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Tableau de bord" sheetId="2" state="visible" r:id="rId2"/>
    <sheet xmlns:r="http://schemas.openxmlformats.org/officeDocument/2006/relationships" name="Journal" sheetId="3" state="visible" r:id="rId3"/>
    <sheet xmlns:r="http://schemas.openxmlformats.org/officeDocument/2006/relationships" name="Registre des documents" sheetId="4" state="visible" r:id="rId4"/>
    <sheet xmlns:r="http://schemas.openxmlformats.org/officeDocument/2006/relationships" name="Bon de livraison" sheetId="5" state="visible" r:id="rId5"/>
    <sheet xmlns:r="http://schemas.openxmlformats.org/officeDocument/2006/relationships" name="Bon de réception" sheetId="6" state="visible" r:id="rId6"/>
    <sheet xmlns:r="http://schemas.openxmlformats.org/officeDocument/2006/relationships" name="Bon de sortie" sheetId="7" state="visible" r:id="rId7"/>
    <sheet xmlns:r="http://schemas.openxmlformats.org/officeDocument/2006/relationships" name="Articles" sheetId="8" state="visible" r:id="rId8"/>
    <sheet xmlns:r="http://schemas.openxmlformats.org/officeDocument/2006/relationships" name="Clients" sheetId="9" state="visible" r:id="rId9"/>
    <sheet xmlns:r="http://schemas.openxmlformats.org/officeDocument/2006/relationships" name="Fournisseurs" sheetId="10" state="visible" r:id="rId10"/>
    <sheet xmlns:r="http://schemas.openxmlformats.org/officeDocument/2006/relationships" name="Paramètres" sheetId="11" state="visible" r:id="rId11"/>
    <sheet xmlns:r="http://schemas.openxmlformats.org/officeDocument/2006/relationships" name="Pourquoi Qualis ERP" sheetId="12" state="visible" r:id="rId12"/>
  </sheets>
  <definedNames>
    <definedName name="jr_type">'Journal'!$A$6:$A$2005</definedName>
    <definedName name="jr_num">'Journal'!$B$6:$B$2005</definedName>
    <definedName name="jr_date">'Journal'!$C$6:$C$2005</definedName>
    <definedName name="jr_tiers">'Journal'!$D$6:$D$2005</definedName>
    <definedName name="jr_name">'Journal'!$E$6:$E$2005</definedName>
    <definedName name="jr_order">'Journal'!$F$6:$F$2005</definedName>
    <definedName name="jr_ext">'Journal'!$G$6:$G$2005</definedName>
    <definedName name="jr_art">'Journal'!$H$6:$H$2005</definedName>
    <definedName name="jr_des">'Journal'!$I$6:$I$2005</definedName>
    <definedName name="jr_unit">'Journal'!$J$6:$J$2005</definedName>
    <definedName name="jr_qcmd">'Journal'!$K$6:$K$2005</definedName>
    <definedName name="jr_qty">'Journal'!$L$6:$L$2005</definedName>
    <definedName name="jr_gap">'Journal'!$M$6:$M$2005</definedName>
    <definedName name="jr_lot">'Journal'!$N$6:$N$2005</definedName>
    <definedName name="jr_colis">'Journal'!$O$6:$O$2005</definedName>
    <definedName name="jr_kg">'Journal'!$P$6:$P$2005</definedName>
    <definedName name="jr_carrier">'Journal'!$Q$6:$Q$2005</definedName>
    <definedName name="jr_etat">'Journal'!$R$6:$R$2005</definedName>
    <definedName name="jr_motif">'Journal'!$S$6:$S$2005</definedName>
    <definedName name="jr_obs">'Journal'!$T$6:$T$2005</definedName>
    <definedName name="jr_pu">'Journal'!$U$6:$U$2005</definedName>
    <definedName name="jr_val">'Journal'!$V$6:$V$2005</definedName>
    <definedName name="jr_rel">'Journal'!$W$6:$W$2005</definedName>
    <definedName name="jr_check">'Journal'!$X$6:$X$2005</definedName>
    <definedName name="jr_key">'Journal'!$Y$6:$Y$2005</definedName>
    <definedName name="jr_new">'Journal'!$Z$6:$Z$2005</definedName>
    <definedName name="jr_seq">'Journal'!$AA$6:$AA$2005</definedName>
    <definedName name="jr_idx">'Journal'!$AB$6:$AB$2005</definedName>
    <definedName name="jr_lkey">'Journal'!$AC$6:$AC$2005</definedName>
    <definedName name="jr_nkey">'Journal'!$AD$6:$AD$2005</definedName>
    <definedName name="jr_year">'Journal'!$AE$6:$AE$2005</definedName>
    <definedName name="jr_month">'Journal'!$AF$6:$AF$2005</definedName>
    <definedName name="jr_dnum">'Journal'!$AG$6:$AG$2005</definedName>
    <definedName name="jr_relrank">'Journal'!$AH$6:$AH$2005</definedName>
    <definedName name="jr_grank">'Journal'!$AI$6:$AI$2005</definedName>
    <definedName name="cl_code">'Clients'!$A$6:$A$305</definedName>
    <definedName name="cl_name">'Clients'!$B$6:$B$305</definedName>
    <definedName name="cl_addr">'Clients'!$C$6:$C$305</definedName>
    <definedName name="cl_city">'Clients'!$D$6:$D$305</definedName>
    <definedName name="cl_ice">'Clients'!$E$6:$E$305</definedName>
    <definedName name="cl_rank">'Clients'!$M$6:$M$305</definedName>
    <definedName name="cl_bl">'Clients'!$H$6:$H$305</definedName>
    <definedName name="cl_val">'Clients'!$I$6:$I$305</definedName>
    <definedName name="fo_code">'Fournisseurs'!$A$6:$A$205</definedName>
    <definedName name="fo_name">'Fournisseurs'!$B$6:$B$205</definedName>
    <definedName name="fo_addr">'Fournisseurs'!$C$6:$C$205</definedName>
    <definedName name="fo_city">'Fournisseurs'!$D$6:$D$205</definedName>
    <definedName name="fo_ice">'Fournisseurs'!$E$6:$E$205</definedName>
    <definedName name="art_ref">'Articles'!$A$6:$A$505</definedName>
    <definedName name="art_des">'Articles'!$B$6:$B$505</definedName>
    <definedName name="art_unit">'Articles'!$C$6:$C$505</definedName>
    <definedName name="art_w">'Articles'!$D$6:$D$505</definedName>
    <definedName name="art_price">'Articles'!$E$6:$E$505</definedName>
    <definedName name="art_cost">'Articles'!$F$6:$F$505</definedName>
    <definedName name="p_company">'Paramètres'!$B$5</definedName>
    <definedName name="p_addr">'Paramètres'!$B$6</definedName>
    <definedName name="p_city">'Paramètres'!$B$7</definedName>
    <definedName name="p_phone">'Paramètres'!$B$8</definedName>
    <definedName name="p_email">'Paramètres'!$B$9</definedName>
    <definedName name="p_ice">'Paramètres'!$B$10</definedName>
    <definedName name="p_if">'Paramètres'!$B$11</definedName>
    <definedName name="p_rc">'Paramètres'!$B$12</definedName>
    <definedName name="p_siret">'Paramètres'!$B$13</definedName>
    <definedName name="p_prices">'Paramètres'!$B$15</definedName>
    <definedName name="p_m_bl">'Paramètres'!$B$18</definedName>
    <definedName name="p_m_br">'Paramètres'!$B$19</definedName>
    <definedName name="p_m_bs">'Paramètres'!$B$20</definedName>
    <definedName name="p_ids">'Paramètres'!$B$23</definedName>
    <definedName name="p_year">'Paramètres'!$B$24</definedName>
    <definedName name="p_services">'Paramètres'!$D$6:$D$17</definedName>
    <definedName name="p_carriers">'Paramètres'!$E$6:$E$17</definedName>
    <definedName name="p_motifs">'Paramètres'!$F$6:$F$17</definedName>
    <definedName name="p_units">'Paramètres'!$G$6:$G$20</definedName>
    <definedName name="p_tiers">'Paramètres'!$I$6:$I$517</definedName>
    <definedName name="db_year_in">'Tableau de bord'!$P$3</definedName>
    <definedName name="l_bl">'Registre des documents'!$R$6:$R$1005</definedName>
    <definedName name="l_br">'Registre des documents'!$S$6:$S$1005</definedName>
    <definedName name="l_bs">'Registre des documents'!$T$6:$T$1005</definedName>
    <definedName name="p_currency">'Paramètres'!$B$14</definedName>
    <definedName name="_xlnm._FilterDatabase" localSheetId="2" hidden="1">'Journal'!$A$5:$X$2005</definedName>
    <definedName name="_xlnm.Print_Titles" localSheetId="2">'Journal'!$5:$5</definedName>
    <definedName name="_xlnm._FilterDatabase" localSheetId="3" hidden="1">'Registre des documents'!$A$5:$M$1005</definedName>
    <definedName name="_xlnm.Print_Titles" localSheetId="3">'Registre des documents'!$5:$5</definedName>
    <definedName name="_xlnm.Print_Area" localSheetId="4">'Bon de livraison'!$A$5:$K$52</definedName>
    <definedName name="_xlnm.Print_Area" localSheetId="5">'Bon de réception'!$A$5:$K$52</definedName>
    <definedName name="_xlnm.Print_Area" localSheetId="6">'Bon de sortie'!$A$5:$K$52</definedName>
    <definedName name="_xlnm._FilterDatabase" localSheetId="7" hidden="1">'Articles'!$A$5:$J$505</definedName>
    <definedName name="_xlnm.Print_Titles" localSheetId="7">'Articles'!$5:$5</definedName>
    <definedName name="_xlnm._FilterDatabase" localSheetId="8" hidden="1">'Clients'!$A$5:$K$305</definedName>
    <definedName name="_xlnm.Print_Titles" localSheetId="8">'Clients'!$5:$5</definedName>
    <definedName name="_xlnm._FilterDatabase" localSheetId="9" hidden="1">'Fournisseurs'!$A$5:$K$205</definedName>
    <definedName name="_xlnm.Print_Titles" localSheetId="9">'Fournisseurs'!$5:$5</definedName>
  </definedNames>
  <calcPr calcId="124519" fullCalcOnLoad="1"/>
</workbook>
</file>

<file path=xl/styles.xml><?xml version="1.0" encoding="utf-8"?>
<styleSheet xmlns="http://schemas.openxmlformats.org/spreadsheetml/2006/main">
  <numFmts count="7">
    <numFmt numFmtId="164" formatCode="0.000000"/>
    <numFmt numFmtId="165" formatCode="#,##0.000"/>
    <numFmt numFmtId="166" formatCode="dd/mm/yyyy"/>
    <numFmt numFmtId="167" formatCode="+#,##0.###;-#,##0.###;0"/>
    <numFmt numFmtId="168" formatCode="#,##0.0##;-#,##0.0##;"/>
    <numFmt numFmtId="169" formatCode="0&quot; à suivre&quot;;;&quot;Conforme&quot;"/>
    <numFmt numFmtId="170" formatCode="money"/>
  </numFmts>
  <fonts count="45">
    <font>
      <name val="Calibri"/>
      <family val="2"/>
      <color theme="1"/>
      <sz val="11"/>
      <scheme val="minor"/>
    </font>
    <font>
      <name val="Calibri"/>
      <b val="1"/>
      <color rgb="FFFFFFFF"/>
      <sz val="18"/>
    </font>
    <font>
      <name val="Calibri"/>
      <i val="1"/>
      <color rgb="FF0F766E"/>
      <sz val="10"/>
    </font>
    <font>
      <name val="Calibri"/>
      <b val="1"/>
      <color rgb="FF0F172A"/>
      <sz val="12"/>
    </font>
    <font>
      <name val="Calibri"/>
      <b val="1"/>
      <color rgb="FF0F766E"/>
      <sz val="10"/>
      <u val="single"/>
    </font>
    <font>
      <name val="Calibri"/>
      <color rgb="FF1E293B"/>
      <sz val="10"/>
    </font>
    <font>
      <name val="Calibri"/>
      <b val="1"/>
      <color rgb="FF0F172A"/>
      <sz val="10"/>
    </font>
    <font>
      <name val="Calibri"/>
      <color rgb="FF1E293B"/>
      <sz val="9"/>
    </font>
    <font>
      <name val="Calibri"/>
      <color rgb="FF64748B"/>
      <sz val="9"/>
    </font>
    <font>
      <name val="Calibri"/>
      <b val="1"/>
      <color rgb="FFFFFFFF"/>
      <sz val="10"/>
      <u val="single"/>
    </font>
    <font>
      <name val="Calibri"/>
      <b val="1"/>
      <color rgb="FF1E293B"/>
      <sz val="10"/>
    </font>
    <font>
      <name val="Calibri"/>
      <b val="1"/>
      <color rgb="FF1E293B"/>
      <sz val="11"/>
    </font>
    <font>
      <name val="Calibri"/>
      <color rgb="FF64748B"/>
      <sz val="10"/>
    </font>
    <font>
      <name val="Calibri"/>
      <b val="1"/>
      <color rgb="FFFFFFFF"/>
      <sz val="10"/>
    </font>
    <font>
      <name val="Calibri"/>
      <i val="1"/>
      <color rgb="FF64748B"/>
      <sz val="9"/>
    </font>
    <font>
      <name val="Calibri"/>
      <color rgb="FF334155"/>
      <sz val="10"/>
    </font>
    <font>
      <name val="Calibri"/>
      <color rgb="FF64748B"/>
      <sz val="8"/>
    </font>
    <font>
      <name val="Calibri"/>
      <b val="1"/>
      <color rgb="FF166534"/>
      <sz val="10"/>
    </font>
    <font>
      <name val="Calibri"/>
      <b val="1"/>
      <color rgb="FF0F172A"/>
      <sz val="16"/>
    </font>
    <font>
      <name val="Calibri"/>
      <color rgb="FF334155"/>
      <sz val="9"/>
    </font>
    <font>
      <name val="Calibri"/>
      <b val="1"/>
      <color rgb="FF0F766E"/>
      <sz val="17"/>
    </font>
    <font>
      <name val="Calibri"/>
      <b val="1"/>
      <color rgb="FF64748B"/>
      <sz val="9"/>
    </font>
    <font>
      <name val="Calibri"/>
      <b val="1"/>
      <color rgb="FF0F172A"/>
      <sz val="11"/>
    </font>
    <font>
      <name val="Calibri"/>
      <color rgb="FF0F172A"/>
      <sz val="10"/>
    </font>
    <font>
      <name val="Calibri"/>
      <b val="1"/>
      <color rgb="FF0F766E"/>
      <sz val="9"/>
    </font>
    <font>
      <name val="Calibri"/>
      <b val="1"/>
      <color rgb="FFFFFFFF"/>
      <sz val="9"/>
    </font>
    <font>
      <name val="Calibri"/>
      <color rgb="FF0F172A"/>
      <sz val="9"/>
    </font>
    <font>
      <name val="Calibri"/>
      <b val="1"/>
      <color rgb="FF0F172A"/>
      <sz val="9"/>
    </font>
    <font>
      <name val="Calibri"/>
      <i val="1"/>
      <color rgb="FF94A3B8"/>
      <sz val="8"/>
    </font>
    <font>
      <name val="Calibri"/>
      <i val="1"/>
      <color rgb="FF64748B"/>
      <sz val="8"/>
    </font>
    <font>
      <name val="Calibri"/>
      <b val="1"/>
      <color rgb="FF0F766E"/>
      <sz val="20"/>
    </font>
    <font>
      <name val="Calibri"/>
      <b val="1"/>
      <color rgb="FF1D4ED8"/>
      <sz val="20"/>
    </font>
    <font>
      <name val="Calibri"/>
      <b val="1"/>
      <color rgb="FFBE185D"/>
      <sz val="20"/>
    </font>
    <font>
      <name val="Calibri"/>
      <b val="1"/>
      <color rgb="FF92400E"/>
      <sz val="20"/>
    </font>
    <font>
      <name val="Calibri"/>
      <b val="1"/>
      <color rgb="FFB91C1C"/>
      <sz val="20"/>
    </font>
    <font>
      <name val="Calibri"/>
      <b val="1"/>
      <color rgb="FF92400E"/>
      <sz val="10"/>
    </font>
    <font>
      <name val="Calibri"/>
      <b val="1"/>
      <color rgb="FFFFFFFF"/>
      <sz val="22"/>
    </font>
    <font>
      <name val="Calibri"/>
      <b val="1"/>
      <color rgb="FFBFDBFE"/>
      <sz val="13"/>
    </font>
    <font>
      <name val="Calibri"/>
      <color rgb="FFE2E8F0"/>
      <sz val="10"/>
    </font>
    <font>
      <name val="Calibri"/>
      <color rgb="FF166534"/>
      <sz val="10"/>
    </font>
    <font>
      <name val="Calibri"/>
      <b val="1"/>
      <color rgb="FF166534"/>
      <sz val="9"/>
    </font>
    <font>
      <name val="Calibri"/>
      <b val="1"/>
      <color rgb="FF475569"/>
      <sz val="9"/>
    </font>
    <font>
      <name val="Calibri"/>
      <b val="1"/>
      <color rgb="FF1E3A8A"/>
      <sz val="13"/>
      <u val="single"/>
    </font>
    <font>
      <name val="Calibri"/>
      <b val="1"/>
      <color rgb="FF2563EB"/>
      <sz val="11"/>
      <u val="single"/>
    </font>
    <font>
      <name val="Calibri"/>
      <color rgb="FF2563EB"/>
      <sz val="10"/>
      <u val="single"/>
    </font>
  </fonts>
  <fills count="14">
    <fill>
      <patternFill/>
    </fill>
    <fill>
      <patternFill patternType="gray125"/>
    </fill>
    <fill>
      <patternFill patternType="solid">
        <fgColor rgb="FF0F766E"/>
        <bgColor rgb="FF0F766E"/>
      </patternFill>
    </fill>
    <fill>
      <patternFill patternType="solid">
        <fgColor rgb="FFCCFBF1"/>
        <bgColor rgb="FFCCFBF1"/>
      </patternFill>
    </fill>
    <fill>
      <patternFill patternType="solid">
        <fgColor rgb="FFFFFFFF"/>
        <bgColor rgb="FFFFFFFF"/>
      </patternFill>
    </fill>
    <fill>
      <patternFill patternType="solid">
        <fgColor rgb="FFF8FAFC"/>
        <bgColor rgb="FFF8FAFC"/>
      </patternFill>
    </fill>
    <fill>
      <patternFill patternType="solid">
        <fgColor rgb="FFF1F5F9"/>
        <bgColor rgb="FFF1F5F9"/>
      </patternFill>
    </fill>
    <fill>
      <patternFill patternType="solid">
        <fgColor rgb="FF1E293B"/>
        <bgColor rgb="FF1E293B"/>
      </patternFill>
    </fill>
    <fill>
      <patternFill patternType="solid">
        <fgColor rgb="FF0F172A"/>
        <bgColor rgb="FF0F172A"/>
      </patternFill>
    </fill>
    <fill>
      <patternFill patternType="solid">
        <fgColor rgb="FFF6F8FB"/>
        <bgColor rgb="FFF6F8FB"/>
      </patternFill>
    </fill>
    <fill>
      <patternFill patternType="solid">
        <fgColor rgb="FF1E3A8A"/>
        <bgColor rgb="FF1E3A8A"/>
      </patternFill>
    </fill>
    <fill>
      <patternFill patternType="solid">
        <fgColor rgb="FF2563EB"/>
        <bgColor rgb="FF2563EB"/>
      </patternFill>
    </fill>
    <fill>
      <patternFill patternType="solid">
        <fgColor rgb="FFDBEAFE"/>
        <bgColor rgb="FFDBEAFE"/>
      </patternFill>
    </fill>
    <fill>
      <patternFill patternType="solid">
        <fgColor rgb="FFDCFCE7"/>
        <bgColor rgb="FFDCFCE7"/>
      </patternFill>
    </fill>
  </fills>
  <borders count="47">
    <border>
      <left/>
      <right/>
      <top/>
      <bottom/>
      <diagonal/>
    </border>
    <border>
      <bottom style="medium">
        <color rgb="FF0F766E"/>
      </bottom>
    </border>
    <border>
      <bottom style="thin">
        <color rgb="FFE2E8F0"/>
      </bottom>
    </border>
    <border>
      <left style="thin">
        <color rgb="FFCBD5E1"/>
      </left>
      <right style="thin">
        <color rgb="FFCBD5E1"/>
      </right>
      <top style="thin">
        <color rgb="FFCBD5E1"/>
      </top>
      <bottom style="thin">
        <color rgb="FFCBD5E1"/>
      </bottom>
    </border>
    <border>
      <left style="medium">
        <color rgb="FF0F766E"/>
      </left>
      <right style="medium">
        <color rgb="FF0F766E"/>
      </right>
      <top style="medium">
        <color rgb="FF0F766E"/>
      </top>
      <bottom style="medium">
        <color rgb="FF0F766E"/>
      </bottom>
    </border>
    <border>
      <left/>
      <right/>
      <top/>
      <bottom style="thin">
        <color rgb="FFE2E8F0"/>
      </bottom>
      <diagonal/>
    </border>
    <border>
      <left style="thin">
        <color rgb="FFCBD5E1"/>
      </left>
      <top style="thin">
        <color rgb="FFCBD5E1"/>
      </top>
    </border>
    <border>
      <top style="thin">
        <color rgb="FFCBD5E1"/>
      </top>
    </border>
    <border>
      <right style="thin">
        <color rgb="FFCBD5E1"/>
      </right>
      <top style="thin">
        <color rgb="FFCBD5E1"/>
      </top>
    </border>
    <border>
      <left style="thin">
        <color rgb="FFCBD5E1"/>
      </left>
    </border>
    <border/>
    <border>
      <right style="thin">
        <color rgb="FFCBD5E1"/>
      </right>
    </border>
    <border>
      <left style="thin">
        <color rgb="FFCBD5E1"/>
      </left>
      <bottom style="thin">
        <color rgb="FFCBD5E1"/>
      </bottom>
    </border>
    <border>
      <bottom style="thin">
        <color rgb="FFCBD5E1"/>
      </bottom>
    </border>
    <border>
      <right style="thin">
        <color rgb="FFCBD5E1"/>
      </right>
      <bottom style="thin">
        <color rgb="FFCBD5E1"/>
      </bottom>
    </border>
    <border>
      <left style="thin">
        <color rgb="FFE2E8F0"/>
      </left>
      <right style="thin">
        <color rgb="FFE2E8F0"/>
      </right>
      <bottom style="thin">
        <color rgb="FFE2E8F0"/>
      </bottom>
    </border>
    <border>
      <top style="medium">
        <color rgb="FF0F766E"/>
      </top>
      <bottom style="thin">
        <color rgb="FFE2E8F0"/>
      </bottom>
    </border>
    <border>
      <left style="thick">
        <color rgb="FF0F766E"/>
      </left>
      <top style="thin">
        <color rgb="FFE2E8F0"/>
      </top>
    </border>
    <border>
      <top style="thin">
        <color rgb="FFE2E8F0"/>
      </top>
    </border>
    <border>
      <right style="thin">
        <color rgb="FFE2E8F0"/>
      </right>
      <top style="thin">
        <color rgb="FFE2E8F0"/>
      </top>
    </border>
    <border>
      <left style="thick">
        <color rgb="FF0F766E"/>
      </left>
    </border>
    <border>
      <right style="thin">
        <color rgb="FFE2E8F0"/>
      </right>
    </border>
    <border>
      <left style="thick">
        <color rgb="FF0F766E"/>
      </left>
      <bottom style="thin">
        <color rgb="FFE2E8F0"/>
      </bottom>
    </border>
    <border>
      <right style="thin">
        <color rgb="FFE2E8F0"/>
      </right>
      <bottom style="thin">
        <color rgb="FFE2E8F0"/>
      </bottom>
    </border>
    <border>
      <left style="thick">
        <color rgb="FF1D4ED8"/>
      </left>
      <top style="thin">
        <color rgb="FFE2E8F0"/>
      </top>
    </border>
    <border>
      <left style="thick">
        <color rgb="FF1D4ED8"/>
      </left>
    </border>
    <border>
      <left style="thick">
        <color rgb="FF1D4ED8"/>
      </left>
      <bottom style="thin">
        <color rgb="FFE2E8F0"/>
      </bottom>
    </border>
    <border>
      <left style="thick">
        <color rgb="FFBE185D"/>
      </left>
      <top style="thin">
        <color rgb="FFE2E8F0"/>
      </top>
    </border>
    <border>
      <left style="thick">
        <color rgb="FFBE185D"/>
      </left>
    </border>
    <border>
      <left style="thick">
        <color rgb="FFBE185D"/>
      </left>
      <bottom style="thin">
        <color rgb="FFE2E8F0"/>
      </bottom>
    </border>
    <border>
      <left style="thick">
        <color rgb="FF92400E"/>
      </left>
      <top style="thin">
        <color rgb="FFE2E8F0"/>
      </top>
    </border>
    <border>
      <left style="thick">
        <color rgb="FF92400E"/>
      </left>
    </border>
    <border>
      <left style="thick">
        <color rgb="FF92400E"/>
      </left>
      <bottom style="thin">
        <color rgb="FFE2E8F0"/>
      </bottom>
    </border>
    <border>
      <left style="thick">
        <color rgb="FFB91C1C"/>
      </left>
      <top style="thin">
        <color rgb="FFE2E8F0"/>
      </top>
    </border>
    <border>
      <left style="thick">
        <color rgb="FFB91C1C"/>
      </left>
    </border>
    <border>
      <left style="thick">
        <color rgb="FFB91C1C"/>
      </left>
      <bottom style="thin">
        <color rgb="FFE2E8F0"/>
      </bottom>
    </border>
    <border>
      <left/>
      <right/>
      <top style="thin">
        <color rgb="FFCBD5E1"/>
      </top>
      <bottom/>
      <diagonal/>
    </border>
    <border>
      <left/>
      <right style="thin">
        <color rgb="FFCBD5E1"/>
      </right>
      <top style="thin">
        <color rgb="FFCBD5E1"/>
      </top>
      <bottom/>
      <diagonal/>
    </border>
    <border>
      <left/>
      <right style="thin">
        <color rgb="FFCBD5E1"/>
      </right>
      <top style="thin">
        <color rgb="FFCBD5E1"/>
      </top>
      <bottom style="thin">
        <color rgb="FFCBD5E1"/>
      </bottom>
      <diagonal/>
    </border>
    <border>
      <left/>
      <right/>
      <top style="thin">
        <color rgb="FFCBD5E1"/>
      </top>
      <bottom style="thin">
        <color rgb="FFCBD5E1"/>
      </bottom>
      <diagonal/>
    </border>
    <border>
      <bottom style="medium">
        <color rgb="FF2563EB"/>
      </bottom>
    </border>
    <border>
      <left style="medium">
        <color rgb="FF2563EB"/>
      </left>
      <top style="medium">
        <color rgb="FF2563EB"/>
      </top>
      <bottom style="medium">
        <color rgb="FF2563EB"/>
      </bottom>
    </border>
    <border>
      <right style="medium">
        <color rgb="FF2563EB"/>
      </right>
      <top style="medium">
        <color rgb="FF2563EB"/>
      </top>
      <bottom style="medium">
        <color rgb="FF2563EB"/>
      </bottom>
    </border>
    <border>
      <left style="medium">
        <color rgb="FF2563EB"/>
      </left>
      <right style="medium">
        <color rgb="FF2563EB"/>
      </right>
      <top style="medium">
        <color rgb="FF2563EB"/>
      </top>
      <bottom style="medium">
        <color rgb="FF2563EB"/>
      </bottom>
    </border>
    <border>
      <left/>
      <right/>
      <top style="medium">
        <color rgb="FF2563EB"/>
      </top>
      <bottom/>
      <diagonal/>
    </border>
    <border>
      <left/>
      <right style="medium">
        <color rgb="FF2563EB"/>
      </right>
      <top style="medium">
        <color rgb="FF2563EB"/>
      </top>
      <bottom/>
      <diagonal/>
    </border>
    <border>
      <left/>
      <right style="medium">
        <color rgb="FF2563EB"/>
      </right>
      <top style="medium">
        <color rgb="FF2563EB"/>
      </top>
      <bottom style="medium">
        <color rgb="FF2563EB"/>
      </bottom>
      <diagonal/>
    </border>
  </borders>
  <cellStyleXfs count="1">
    <xf numFmtId="0" fontId="0" fillId="0" borderId="0"/>
  </cellStyleXfs>
  <cellXfs count="165">
    <xf numFmtId="0" fontId="0" fillId="0" borderId="0" pivotButton="0" quotePrefix="0" xfId="0"/>
    <xf numFmtId="0" fontId="0" fillId="2" borderId="0" pivotButton="0" quotePrefix="0" xfId="0"/>
    <xf numFmtId="0" fontId="1" fillId="2" borderId="0" applyAlignment="1" pivotButton="0" quotePrefix="0" xfId="0">
      <alignment vertical="center" indent="1"/>
    </xf>
    <xf numFmtId="0" fontId="0" fillId="3" borderId="0" pivotButton="0" quotePrefix="0" xfId="0"/>
    <xf numFmtId="0" fontId="2" fillId="3" borderId="0" applyAlignment="1" pivotButton="0" quotePrefix="0" xfId="0">
      <alignment vertical="center" indent="1"/>
    </xf>
    <xf numFmtId="0" fontId="3" fillId="0" borderId="1" pivotButton="0" quotePrefix="0" xfId="0"/>
    <xf numFmtId="0" fontId="0" fillId="0" borderId="1" pivotButton="0" quotePrefix="0" xfId="0"/>
    <xf numFmtId="0" fontId="4" fillId="4" borderId="2" applyAlignment="1" pivotButton="0" quotePrefix="0" xfId="0">
      <alignment vertical="center"/>
    </xf>
    <xf numFmtId="0" fontId="5" fillId="4" borderId="2" applyAlignment="1" pivotButton="0" quotePrefix="0" xfId="0">
      <alignment vertical="center" wrapText="1"/>
    </xf>
    <xf numFmtId="0" fontId="0" fillId="4" borderId="2" pivotButton="0" quotePrefix="0" xfId="0"/>
    <xf numFmtId="0" fontId="4" fillId="5" borderId="2" applyAlignment="1" pivotButton="0" quotePrefix="0" xfId="0">
      <alignment vertical="center"/>
    </xf>
    <xf numFmtId="0" fontId="5" fillId="5" borderId="2" applyAlignment="1" pivotButton="0" quotePrefix="0" xfId="0">
      <alignment vertical="center" wrapText="1"/>
    </xf>
    <xf numFmtId="0" fontId="0" fillId="5" borderId="2"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7" fillId="4" borderId="3" applyAlignment="1" pivotButton="0" quotePrefix="0" xfId="0">
      <alignment horizontal="center"/>
    </xf>
    <xf numFmtId="0" fontId="8" fillId="6" borderId="3" applyAlignment="1" pivotButton="0" quotePrefix="0" xfId="0">
      <alignment horizontal="center"/>
    </xf>
    <xf numFmtId="0" fontId="9" fillId="2" borderId="0" applyAlignment="1" pivotButton="0" quotePrefix="0" xfId="0">
      <alignment horizontal="right" vertical="center"/>
    </xf>
    <xf numFmtId="0" fontId="21" fillId="0" borderId="0" applyAlignment="1" pivotButton="0" quotePrefix="0" xfId="0">
      <alignment horizontal="right" vertical="center"/>
    </xf>
    <xf numFmtId="1" fontId="22" fillId="4" borderId="3" applyAlignment="1" pivotButton="0" quotePrefix="0" xfId="0">
      <alignment horizontal="center"/>
    </xf>
    <xf numFmtId="0" fontId="21" fillId="4" borderId="17" applyAlignment="1" pivotButton="0" quotePrefix="0" xfId="0">
      <alignment vertical="bottom" indent="1"/>
    </xf>
    <xf numFmtId="0" fontId="0" fillId="4" borderId="18" pivotButton="0" quotePrefix="0" xfId="0"/>
    <xf numFmtId="0" fontId="0" fillId="4" borderId="19" pivotButton="0" quotePrefix="0" xfId="0"/>
    <xf numFmtId="0" fontId="21" fillId="4" borderId="24" applyAlignment="1" pivotButton="0" quotePrefix="0" xfId="0">
      <alignment vertical="bottom" indent="1"/>
    </xf>
    <xf numFmtId="0" fontId="21" fillId="4" borderId="27" applyAlignment="1" pivotButton="0" quotePrefix="0" xfId="0">
      <alignment vertical="bottom" indent="1"/>
    </xf>
    <xf numFmtId="0" fontId="21" fillId="4" borderId="30" applyAlignment="1" pivotButton="0" quotePrefix="0" xfId="0">
      <alignment vertical="bottom" indent="1"/>
    </xf>
    <xf numFmtId="0" fontId="21" fillId="4" borderId="33" applyAlignment="1" pivotButton="0" quotePrefix="0" xfId="0">
      <alignment vertical="bottom" indent="1"/>
    </xf>
    <xf numFmtId="3" fontId="30" fillId="4" borderId="20" applyAlignment="1" pivotButton="0" quotePrefix="0" xfId="0">
      <alignment horizontal="left" vertical="center" indent="1"/>
    </xf>
    <xf numFmtId="0" fontId="0" fillId="4" borderId="10" pivotButton="0" quotePrefix="0" xfId="0"/>
    <xf numFmtId="0" fontId="0" fillId="4" borderId="21" pivotButton="0" quotePrefix="0" xfId="0"/>
    <xf numFmtId="3" fontId="31" fillId="4" borderId="25" applyAlignment="1" pivotButton="0" quotePrefix="0" xfId="0">
      <alignment horizontal="left" vertical="center" indent="1"/>
    </xf>
    <xf numFmtId="3" fontId="32" fillId="4" borderId="28" applyAlignment="1" pivotButton="0" quotePrefix="0" xfId="0">
      <alignment horizontal="left" vertical="center" indent="1"/>
    </xf>
    <xf numFmtId="3" fontId="33" fillId="4" borderId="31" applyAlignment="1" pivotButton="0" quotePrefix="0" xfId="0">
      <alignment horizontal="left" vertical="center" indent="1"/>
    </xf>
    <xf numFmtId="3" fontId="34" fillId="4" borderId="34" applyAlignment="1" pivotButton="0" quotePrefix="0" xfId="0">
      <alignment horizontal="left" vertical="center" indent="1"/>
    </xf>
    <xf numFmtId="0" fontId="28" fillId="4" borderId="22" applyAlignment="1" pivotButton="0" quotePrefix="0" xfId="0">
      <alignment vertical="top" indent="1"/>
    </xf>
    <xf numFmtId="0" fontId="0" fillId="4" borderId="23" pivotButton="0" quotePrefix="0" xfId="0"/>
    <xf numFmtId="0" fontId="28" fillId="4" borderId="26" applyAlignment="1" pivotButton="0" quotePrefix="0" xfId="0">
      <alignment vertical="top" indent="1"/>
    </xf>
    <xf numFmtId="0" fontId="28" fillId="4" borderId="29" applyAlignment="1" pivotButton="0" quotePrefix="0" xfId="0">
      <alignment vertical="top" indent="1"/>
    </xf>
    <xf numFmtId="0" fontId="28" fillId="4" borderId="32" applyAlignment="1" pivotButton="0" quotePrefix="0" xfId="0">
      <alignment vertical="top" indent="1"/>
    </xf>
    <xf numFmtId="0" fontId="28" fillId="4" borderId="35" applyAlignment="1" pivotButton="0" quotePrefix="0" xfId="0">
      <alignment vertical="top" indent="1"/>
    </xf>
    <xf numFmtId="0" fontId="14" fillId="0" borderId="0" pivotButton="0" quotePrefix="0" xfId="0"/>
    <xf numFmtId="0" fontId="13" fillId="7" borderId="3" applyAlignment="1" pivotButton="0" quotePrefix="0" xfId="0">
      <alignment horizontal="center" vertical="center" wrapText="1"/>
    </xf>
    <xf numFmtId="0" fontId="0" fillId="0" borderId="38" pivotButton="0" quotePrefix="0" xfId="0"/>
    <xf numFmtId="0" fontId="5" fillId="4" borderId="3" applyAlignment="1" pivotButton="0" quotePrefix="0" xfId="0">
      <alignment horizontal="left" indent="1"/>
    </xf>
    <xf numFmtId="0" fontId="5" fillId="6" borderId="3" applyAlignment="1" pivotButton="0" quotePrefix="0" xfId="0">
      <alignment horizontal="center"/>
    </xf>
    <xf numFmtId="0" fontId="10" fillId="5" borderId="3" applyAlignment="1" pivotButton="0" quotePrefix="0" xfId="0">
      <alignment horizontal="left" indent="1"/>
    </xf>
    <xf numFmtId="0" fontId="10" fillId="5" borderId="3" applyAlignment="1" pivotButton="0" quotePrefix="0" xfId="0">
      <alignment horizontal="center"/>
    </xf>
    <xf numFmtId="0" fontId="0" fillId="0" borderId="39" pivotButton="0" quotePrefix="0" xfId="0"/>
    <xf numFmtId="0" fontId="5" fillId="6" borderId="3" applyAlignment="1" pivotButton="0" quotePrefix="0" xfId="0">
      <alignment horizontal="left" indent="1"/>
    </xf>
    <xf numFmtId="3" fontId="5" fillId="6" borderId="3" applyAlignment="1" pivotButton="0" quotePrefix="0" xfId="0">
      <alignment horizontal="center"/>
    </xf>
    <xf numFmtId="0" fontId="5" fillId="0" borderId="3" pivotButton="0" quotePrefix="0" xfId="0"/>
    <xf numFmtId="166" fontId="5" fillId="6" borderId="3" applyAlignment="1" pivotButton="0" quotePrefix="0" xfId="0">
      <alignment horizontal="center"/>
    </xf>
    <xf numFmtId="0" fontId="35" fillId="6" borderId="3" applyAlignment="1" pivotButton="0" quotePrefix="0" xfId="0">
      <alignment horizontal="center"/>
    </xf>
    <xf numFmtId="0" fontId="5" fillId="4" borderId="3" applyAlignment="1" pivotButton="0" quotePrefix="0" xfId="0">
      <alignment horizontal="center" vertical="center"/>
    </xf>
    <xf numFmtId="49" fontId="15" fillId="6" borderId="3" applyAlignment="1" pivotButton="0" quotePrefix="0" xfId="0">
      <alignment horizontal="center" vertical="center"/>
    </xf>
    <xf numFmtId="166" fontId="5" fillId="4" borderId="3" applyAlignment="1" pivotButton="0" quotePrefix="0" xfId="0">
      <alignment horizontal="center" vertical="center"/>
    </xf>
    <xf numFmtId="0" fontId="15" fillId="6" borderId="3" applyAlignment="1" pivotButton="0" quotePrefix="0" xfId="0">
      <alignment vertical="center"/>
    </xf>
    <xf numFmtId="49" fontId="5" fillId="4" borderId="3" applyAlignment="1" pivotButton="0" quotePrefix="0" xfId="0">
      <alignment vertical="center"/>
    </xf>
    <xf numFmtId="0" fontId="5" fillId="4" borderId="3" applyAlignment="1" pivotButton="0" quotePrefix="0" xfId="0">
      <alignment vertical="center"/>
    </xf>
    <xf numFmtId="0" fontId="15" fillId="6" borderId="3" applyAlignment="1" pivotButton="0" quotePrefix="0" xfId="0">
      <alignment horizontal="center" vertical="center"/>
    </xf>
    <xf numFmtId="167" fontId="15" fillId="6" borderId="3" applyAlignment="1" pivotButton="0" quotePrefix="0" xfId="0">
      <alignment horizontal="center" vertical="center"/>
    </xf>
    <xf numFmtId="3" fontId="5" fillId="4" borderId="3" applyAlignment="1" pivotButton="0" quotePrefix="0" xfId="0">
      <alignment horizontal="center" vertical="center"/>
    </xf>
    <xf numFmtId="168" fontId="15" fillId="6" borderId="3" applyAlignment="1" pivotButton="0" quotePrefix="0" xfId="0">
      <alignment vertical="center"/>
    </xf>
    <xf numFmtId="4" fontId="15" fillId="6" borderId="3" applyAlignment="1" pivotButton="0" quotePrefix="0" xfId="0">
      <alignment vertical="center"/>
    </xf>
    <xf numFmtId="166" fontId="15" fillId="6" borderId="3" applyAlignment="1" pivotButton="0" quotePrefix="0" xfId="0">
      <alignment horizontal="center" vertical="center"/>
    </xf>
    <xf numFmtId="3" fontId="15" fillId="6" borderId="3" applyAlignment="1" pivotButton="0" quotePrefix="0" xfId="0">
      <alignment horizontal="center" vertical="center"/>
    </xf>
    <xf numFmtId="0" fontId="16" fillId="0" borderId="0" pivotButton="0" quotePrefix="0" xfId="0"/>
    <xf numFmtId="0" fontId="6" fillId="0" borderId="0" applyAlignment="1" pivotButton="0" quotePrefix="0" xfId="0">
      <alignment vertical="center"/>
    </xf>
    <xf numFmtId="0" fontId="3" fillId="4" borderId="4" applyAlignment="1" pivotButton="0" quotePrefix="0" xfId="0">
      <alignment horizontal="center" vertical="center"/>
    </xf>
    <xf numFmtId="0" fontId="17" fillId="0" borderId="0" applyAlignment="1" pivotButton="0" quotePrefix="0" xfId="0">
      <alignment vertical="center" indent="1"/>
    </xf>
    <xf numFmtId="0" fontId="18" fillId="0" borderId="0" pivotButton="0" quotePrefix="0" xfId="0"/>
    <xf numFmtId="0" fontId="20" fillId="0" borderId="0" applyAlignment="1" pivotButton="0" quotePrefix="0" xfId="0">
      <alignment horizontal="right" vertical="center"/>
    </xf>
    <xf numFmtId="0" fontId="19" fillId="0" borderId="0" pivotButton="0" quotePrefix="0" xfId="0"/>
    <xf numFmtId="49" fontId="22" fillId="0" borderId="2" applyAlignment="1" pivotButton="0" quotePrefix="0" xfId="0">
      <alignment horizontal="left" vertical="center" indent="1"/>
    </xf>
    <xf numFmtId="0" fontId="0" fillId="0" borderId="2" pivotButton="0" quotePrefix="0" xfId="0"/>
    <xf numFmtId="166" fontId="23" fillId="0" borderId="2" applyAlignment="1" pivotButton="0" quotePrefix="0" xfId="0">
      <alignment horizontal="left" vertical="center" indent="1"/>
    </xf>
    <xf numFmtId="49" fontId="23" fillId="0" borderId="2" applyAlignment="1" pivotButton="0" quotePrefix="0" xfId="0">
      <alignment horizontal="left" vertical="center" indent="1"/>
    </xf>
    <xf numFmtId="0" fontId="24" fillId="3" borderId="6" applyAlignment="1" pivotButton="0" quotePrefix="0" xfId="0">
      <alignment vertical="center" indent="1"/>
    </xf>
    <xf numFmtId="0" fontId="0" fillId="0" borderId="7" pivotButton="0" quotePrefix="0" xfId="0"/>
    <xf numFmtId="0" fontId="0" fillId="0" borderId="8" pivotButton="0" quotePrefix="0" xfId="0"/>
    <xf numFmtId="0" fontId="22" fillId="0" borderId="9" applyAlignment="1" pivotButton="0" quotePrefix="0" xfId="0">
      <alignment vertical="center" indent="1"/>
    </xf>
    <xf numFmtId="0" fontId="0" fillId="0" borderId="10" pivotButton="0" quotePrefix="0" xfId="0"/>
    <xf numFmtId="0" fontId="0" fillId="0" borderId="11" pivotButton="0" quotePrefix="0" xfId="0"/>
    <xf numFmtId="0" fontId="8" fillId="0" borderId="9" applyAlignment="1" pivotButton="0" quotePrefix="0" xfId="0">
      <alignment vertical="center" indent="1"/>
    </xf>
    <xf numFmtId="49" fontId="6" fillId="0" borderId="10" applyAlignment="1" pivotButton="0" quotePrefix="0" xfId="0">
      <alignment horizontal="left" vertical="center" indent="1"/>
    </xf>
    <xf numFmtId="0" fontId="19" fillId="0" borderId="9" applyAlignment="1" pivotButton="0" quotePrefix="0" xfId="0">
      <alignment vertical="center" indent="1"/>
    </xf>
    <xf numFmtId="3" fontId="6" fillId="0" borderId="10" applyAlignment="1" pivotButton="0" quotePrefix="0" xfId="0">
      <alignment horizontal="left" vertical="center" indent="1"/>
    </xf>
    <xf numFmtId="0" fontId="19" fillId="0" borderId="12" applyAlignment="1" pivotButton="0" quotePrefix="0" xfId="0">
      <alignment vertical="center" indent="1"/>
    </xf>
    <xf numFmtId="0" fontId="0" fillId="0" borderId="13" pivotButton="0" quotePrefix="0" xfId="0"/>
    <xf numFmtId="0" fontId="0" fillId="0" borderId="14" pivotButton="0" quotePrefix="0" xfId="0"/>
    <xf numFmtId="0" fontId="8" fillId="0" borderId="12" applyAlignment="1" pivotButton="0" quotePrefix="0" xfId="0">
      <alignment vertical="center" indent="1"/>
    </xf>
    <xf numFmtId="168" fontId="6" fillId="0" borderId="13" applyAlignment="1" pivotButton="0" quotePrefix="0" xfId="0">
      <alignment horizontal="left" vertical="center" indent="1"/>
    </xf>
    <xf numFmtId="0" fontId="25" fillId="8" borderId="3" applyAlignment="1" pivotButton="0" quotePrefix="0" xfId="0">
      <alignment horizontal="center" vertical="center" wrapText="1"/>
    </xf>
    <xf numFmtId="1" fontId="26" fillId="0" borderId="15" applyAlignment="1" pivotButton="0" quotePrefix="0" xfId="0">
      <alignment horizontal="center" vertical="center"/>
    </xf>
    <xf numFmtId="49" fontId="27" fillId="0" borderId="15" applyAlignment="1" pivotButton="0" quotePrefix="0" xfId="0">
      <alignment horizontal="left" vertical="center" shrinkToFit="1"/>
    </xf>
    <xf numFmtId="49" fontId="26" fillId="0" borderId="15" applyAlignment="1" pivotButton="0" quotePrefix="0" xfId="0">
      <alignment horizontal="left" vertical="center" shrinkToFit="1"/>
    </xf>
    <xf numFmtId="49" fontId="26" fillId="0" borderId="15" applyAlignment="1" pivotButton="0" quotePrefix="0" xfId="0">
      <alignment horizontal="center" vertical="center"/>
    </xf>
    <xf numFmtId="0" fontId="26" fillId="0" borderId="15" applyAlignment="1" pivotButton="0" quotePrefix="0" xfId="0">
      <alignment horizontal="center" vertical="center"/>
    </xf>
    <xf numFmtId="49" fontId="26" fillId="0" borderId="15" applyAlignment="1" pivotButton="0" quotePrefix="0" xfId="0">
      <alignment horizontal="center" vertical="center" shrinkToFit="1"/>
    </xf>
    <xf numFmtId="168" fontId="26" fillId="0" borderId="15" applyAlignment="1" pivotButton="0" quotePrefix="0" xfId="0">
      <alignment horizontal="center" vertical="center" shrinkToFit="1"/>
    </xf>
    <xf numFmtId="4" fontId="26" fillId="0" borderId="15" applyAlignment="1" pivotButton="0" quotePrefix="0" xfId="0">
      <alignment horizontal="center" vertical="center"/>
    </xf>
    <xf numFmtId="1" fontId="26" fillId="5" borderId="15" applyAlignment="1" pivotButton="0" quotePrefix="0" xfId="0">
      <alignment horizontal="center" vertical="center"/>
    </xf>
    <xf numFmtId="49" fontId="27" fillId="5" borderId="15" applyAlignment="1" pivotButton="0" quotePrefix="0" xfId="0">
      <alignment horizontal="left" vertical="center" shrinkToFit="1"/>
    </xf>
    <xf numFmtId="49" fontId="26" fillId="5" borderId="15" applyAlignment="1" pivotButton="0" quotePrefix="0" xfId="0">
      <alignment horizontal="left" vertical="center" shrinkToFit="1"/>
    </xf>
    <xf numFmtId="49" fontId="26" fillId="5" borderId="15" applyAlignment="1" pivotButton="0" quotePrefix="0" xfId="0">
      <alignment horizontal="center" vertical="center"/>
    </xf>
    <xf numFmtId="0" fontId="26" fillId="5" borderId="15" applyAlignment="1" pivotButton="0" quotePrefix="0" xfId="0">
      <alignment horizontal="center" vertical="center"/>
    </xf>
    <xf numFmtId="49" fontId="26" fillId="5" borderId="15" applyAlignment="1" pivotButton="0" quotePrefix="0" xfId="0">
      <alignment horizontal="center" vertical="center" shrinkToFit="1"/>
    </xf>
    <xf numFmtId="168" fontId="26" fillId="5" borderId="15" applyAlignment="1" pivotButton="0" quotePrefix="0" xfId="0">
      <alignment horizontal="center" vertical="center" shrinkToFit="1"/>
    </xf>
    <xf numFmtId="4" fontId="26" fillId="5" borderId="15" applyAlignment="1" pivotButton="0" quotePrefix="0" xfId="0">
      <alignment horizontal="center" vertical="center"/>
    </xf>
    <xf numFmtId="0" fontId="27" fillId="3" borderId="16" pivotButton="0" quotePrefix="0" xfId="0"/>
    <xf numFmtId="0" fontId="0" fillId="3" borderId="16" pivotButton="0" quotePrefix="0" xfId="0"/>
    <xf numFmtId="168" fontId="6" fillId="3" borderId="16" applyAlignment="1" pivotButton="0" quotePrefix="0" xfId="0">
      <alignment horizontal="center"/>
    </xf>
    <xf numFmtId="0" fontId="6" fillId="3" borderId="16" applyAlignment="1" pivotButton="0" quotePrefix="0" xfId="0">
      <alignment horizontal="center"/>
    </xf>
    <xf numFmtId="4" fontId="6" fillId="3" borderId="16" applyAlignment="1" pivotButton="0" quotePrefix="0" xfId="0">
      <alignment horizontal="center"/>
    </xf>
    <xf numFmtId="0" fontId="24" fillId="0" borderId="0" pivotButton="0" quotePrefix="0" xfId="0"/>
    <xf numFmtId="0" fontId="26" fillId="0" borderId="6" applyAlignment="1" pivotButton="0" quotePrefix="0" xfId="0">
      <alignment vertical="top" wrapText="1" indent="1"/>
    </xf>
    <xf numFmtId="0" fontId="0" fillId="0" borderId="9" pivotButton="0" quotePrefix="0" xfId="0"/>
    <xf numFmtId="0" fontId="0" fillId="0" borderId="12" pivotButton="0" quotePrefix="0" xfId="0"/>
    <xf numFmtId="0" fontId="27" fillId="5" borderId="6" applyAlignment="1" pivotButton="0" quotePrefix="0" xfId="0">
      <alignment horizontal="center" vertical="center" wrapText="1"/>
    </xf>
    <xf numFmtId="0" fontId="28" fillId="0" borderId="6" applyAlignment="1" pivotButton="0" quotePrefix="0" xfId="0">
      <alignment horizontal="center" vertical="top"/>
    </xf>
    <xf numFmtId="0" fontId="29" fillId="0" borderId="0" applyAlignment="1" pivotButton="0" quotePrefix="0" xfId="0">
      <alignment vertical="top" wrapText="1"/>
    </xf>
    <xf numFmtId="167" fontId="26" fillId="0" borderId="15" applyAlignment="1" pivotButton="0" quotePrefix="0" xfId="0">
      <alignment horizontal="center" vertical="center"/>
    </xf>
    <xf numFmtId="167" fontId="26" fillId="5" borderId="15" applyAlignment="1" pivotButton="0" quotePrefix="0" xfId="0">
      <alignment horizontal="center" vertical="center"/>
    </xf>
    <xf numFmtId="169" fontId="6" fillId="3" borderId="16" applyAlignment="1" pivotButton="0" quotePrefix="0" xfId="0">
      <alignment horizontal="center"/>
    </xf>
    <xf numFmtId="168" fontId="6" fillId="0" borderId="10" applyAlignment="1" pivotButton="0" quotePrefix="0" xfId="0">
      <alignment horizontal="left" vertical="center" indent="1"/>
    </xf>
    <xf numFmtId="4" fontId="6" fillId="0" borderId="13" applyAlignment="1" pivotButton="0" quotePrefix="0" xfId="0">
      <alignment horizontal="left" vertical="center" indent="1"/>
    </xf>
    <xf numFmtId="165" fontId="5" fillId="4" borderId="3" applyAlignment="1" pivotButton="0" quotePrefix="0" xfId="0">
      <alignment vertical="center"/>
    </xf>
    <xf numFmtId="4" fontId="5" fillId="4" borderId="3" applyAlignment="1" pivotButton="0" quotePrefix="0" xfId="0">
      <alignment vertical="center"/>
    </xf>
    <xf numFmtId="49" fontId="5" fillId="4" borderId="3" applyAlignment="1" pivotButton="0" quotePrefix="0" xfId="0">
      <alignment horizontal="center" vertical="center"/>
    </xf>
    <xf numFmtId="164" fontId="15" fillId="6" borderId="3" applyAlignment="1" pivotButton="0" quotePrefix="0" xfId="0">
      <alignment vertical="center"/>
    </xf>
    <xf numFmtId="1" fontId="15" fillId="6" borderId="3" applyAlignment="1" pivotButton="0" quotePrefix="0" xfId="0">
      <alignment vertical="center"/>
    </xf>
    <xf numFmtId="0" fontId="10" fillId="0" borderId="0" pivotButton="0" quotePrefix="0" xfId="0"/>
    <xf numFmtId="49" fontId="5" fillId="4" borderId="3" pivotButton="0" quotePrefix="0" xfId="0"/>
    <xf numFmtId="0" fontId="5" fillId="4" borderId="3" pivotButton="0" quotePrefix="0" xfId="0"/>
    <xf numFmtId="0" fontId="11" fillId="4" borderId="3" applyAlignment="1" pivotButton="0" quotePrefix="0" xfId="0">
      <alignment horizontal="center"/>
    </xf>
    <xf numFmtId="0" fontId="10" fillId="4" borderId="3" applyAlignment="1" pivotButton="0" quotePrefix="0" xfId="0">
      <alignment horizontal="center"/>
    </xf>
    <xf numFmtId="0" fontId="10" fillId="0" borderId="0" applyAlignment="1" pivotButton="0" quotePrefix="0" xfId="0">
      <alignment vertical="top"/>
    </xf>
    <xf numFmtId="0" fontId="7" fillId="4" borderId="3" applyAlignment="1" pivotButton="0" quotePrefix="0" xfId="0">
      <alignment vertical="top" wrapText="1"/>
    </xf>
    <xf numFmtId="0" fontId="14" fillId="0" borderId="0" applyAlignment="1" pivotButton="0" quotePrefix="0" xfId="0">
      <alignment vertical="top" wrapText="1"/>
    </xf>
    <xf numFmtId="0" fontId="12" fillId="0" borderId="0" pivotButton="0" quotePrefix="0" xfId="0"/>
    <xf numFmtId="0" fontId="8" fillId="6" borderId="3" applyAlignment="1" pivotButton="0" quotePrefix="0" xfId="0">
      <alignment vertical="center" wrapText="1"/>
    </xf>
    <xf numFmtId="1" fontId="8" fillId="6" borderId="3" applyAlignment="1" pivotButton="0" quotePrefix="0" xfId="0">
      <alignment horizontal="left"/>
    </xf>
    <xf numFmtId="0" fontId="0" fillId="9" borderId="0" pivotButton="0" quotePrefix="0" xfId="0"/>
    <xf numFmtId="0" fontId="36" fillId="10" borderId="0" applyAlignment="1" pivotButton="0" quotePrefix="0" xfId="0">
      <alignment vertical="bottom" indent="1"/>
    </xf>
    <xf numFmtId="0" fontId="0" fillId="10" borderId="0" pivotButton="0" quotePrefix="0" xfId="0"/>
    <xf numFmtId="0" fontId="37" fillId="10" borderId="0" applyAlignment="1" pivotButton="0" quotePrefix="0" xfId="0">
      <alignment indent="1"/>
    </xf>
    <xf numFmtId="0" fontId="38" fillId="10" borderId="0" applyAlignment="1" pivotButton="0" quotePrefix="0" xfId="0">
      <alignment vertical="top" wrapText="1" indent="1"/>
    </xf>
    <xf numFmtId="0" fontId="3" fillId="9" borderId="40" pivotButton="0" quotePrefix="0" xfId="0"/>
    <xf numFmtId="0" fontId="0" fillId="9" borderId="40" pivotButton="0" quotePrefix="0" xfId="0"/>
    <xf numFmtId="0" fontId="39" fillId="9" borderId="0" applyAlignment="1" pivotButton="0" quotePrefix="0" xfId="0">
      <alignment vertical="center" wrapText="1"/>
    </xf>
    <xf numFmtId="0" fontId="23" fillId="9" borderId="0" applyAlignment="1" pivotButton="0" quotePrefix="0" xfId="0">
      <alignment vertical="center" wrapText="1"/>
    </xf>
    <xf numFmtId="0" fontId="13" fillId="9" borderId="10" applyAlignment="1" pivotButton="0" quotePrefix="0" xfId="0">
      <alignment vertical="center" wrapText="1" indent="1"/>
    </xf>
    <xf numFmtId="0" fontId="13" fillId="7" borderId="3" applyAlignment="1" pivotButton="0" quotePrefix="0" xfId="0">
      <alignment vertical="center" wrapText="1" indent="1"/>
    </xf>
    <xf numFmtId="0" fontId="13" fillId="11" borderId="3" applyAlignment="1" pivotButton="0" quotePrefix="0" xfId="0">
      <alignment vertical="center" wrapText="1" indent="1"/>
    </xf>
    <xf numFmtId="0" fontId="6" fillId="4" borderId="3" applyAlignment="1" pivotButton="0" quotePrefix="0" xfId="0">
      <alignment vertical="center" wrapText="1" indent="1"/>
    </xf>
    <xf numFmtId="0" fontId="23" fillId="4" borderId="3" applyAlignment="1" pivotButton="0" quotePrefix="0" xfId="0">
      <alignment vertical="center" wrapText="1" indent="1"/>
    </xf>
    <xf numFmtId="0" fontId="23" fillId="12" borderId="3" applyAlignment="1" pivotButton="0" quotePrefix="0" xfId="0">
      <alignment vertical="center" wrapText="1" indent="1"/>
    </xf>
    <xf numFmtId="0" fontId="40" fillId="13" borderId="3" applyAlignment="1" pivotButton="0" quotePrefix="0" xfId="0">
      <alignment horizontal="center" vertical="center" wrapText="1" indent="1"/>
    </xf>
    <xf numFmtId="0" fontId="41" fillId="6" borderId="3" applyAlignment="1" pivotButton="0" quotePrefix="0" xfId="0">
      <alignment horizontal="center" vertical="center" wrapText="1" indent="1"/>
    </xf>
    <xf numFmtId="0" fontId="42" fillId="12" borderId="43" applyAlignment="1" pivotButton="0" quotePrefix="0" xfId="0">
      <alignment horizontal="center" vertical="center"/>
    </xf>
    <xf numFmtId="0" fontId="0" fillId="0" borderId="46" pivotButton="0" quotePrefix="0" xfId="0"/>
    <xf numFmtId="0" fontId="43" fillId="9" borderId="0" applyAlignment="1" pivotButton="0" quotePrefix="0" xfId="0">
      <alignment horizontal="center" vertical="center"/>
    </xf>
    <xf numFmtId="0" fontId="44" fillId="9" borderId="0" applyAlignment="1" pivotButton="0" quotePrefix="0" xfId="0">
      <alignment horizontal="center" vertical="center"/>
    </xf>
    <xf numFmtId="0" fontId="8" fillId="9" borderId="0" applyAlignment="1" pivotButton="0" quotePrefix="0" xfId="0">
      <alignment vertical="top" wrapText="1"/>
    </xf>
  </cellXfs>
  <cellStyles count="1">
    <cellStyle name="Normal" xfId="0" builtinId="0" hidden="0"/>
  </cellStyles>
  <dxfs count="17">
    <dxf>
      <font>
        <color rgb="FF166534"/>
      </font>
      <fill>
        <patternFill patternType="solid">
          <fgColor rgb="FFDCFCE7"/>
          <bgColor rgb="FFDCFCE7"/>
        </patternFill>
      </fill>
    </dxf>
    <dxf>
      <font>
        <b val="1"/>
        <color rgb="FF92400E"/>
      </font>
      <fill>
        <patternFill patternType="solid">
          <fgColor rgb="FFFEF3C7"/>
          <bgColor rgb="FFFEF3C7"/>
        </patternFill>
      </fill>
    </dxf>
    <dxf>
      <font>
        <b val="1"/>
        <color rgb="FFB91C1C"/>
      </font>
      <fill>
        <patternFill patternType="solid">
          <fgColor rgb="FFFEE2E2"/>
          <bgColor rgb="FFFEE2E2"/>
        </patternFill>
      </fill>
    </dxf>
    <dxf>
      <font>
        <b val="1"/>
        <color rgb="FF0F766E"/>
      </font>
      <fill>
        <patternFill patternType="solid">
          <fgColor rgb="FFCCFBF1"/>
          <bgColor rgb="FFCCFBF1"/>
        </patternFill>
      </fill>
    </dxf>
    <dxf>
      <font>
        <b val="1"/>
        <color rgb="FF1D4ED8"/>
      </font>
      <fill>
        <patternFill patternType="solid">
          <fgColor rgb="FFDBEAFE"/>
          <bgColor rgb="FFDBEAFE"/>
        </patternFill>
      </fill>
    </dxf>
    <dxf>
      <font>
        <b val="1"/>
        <color rgb="FFBE185D"/>
      </font>
      <fill>
        <patternFill patternType="solid">
          <fgColor rgb="FFFCE7F3"/>
          <bgColor rgb="FFFCE7F3"/>
        </patternFill>
      </fill>
    </dxf>
    <dxf>
      <numFmt numFmtId="190" formatCode="#,##0&quot; DH&quot;"/>
    </dxf>
    <dxf>
      <numFmt numFmtId="191" formatCode="#,##0&quot; €&quot;"/>
    </dxf>
    <dxf>
      <numFmt numFmtId="192" formatCode="&quot;$&quot;#,##0"/>
    </dxf>
    <dxf>
      <font>
        <b val="1"/>
        <color rgb="FFB91C1C"/>
      </font>
    </dxf>
    <dxf>
      <font>
        <b val="1"/>
        <color rgb="FF1D4ED8"/>
      </font>
    </dxf>
    <dxf>
      <numFmt numFmtId="180" formatCode="#,##0.00&quot; DH&quot;"/>
    </dxf>
    <dxf>
      <numFmt numFmtId="181" formatCode="#,##0.00&quot; €&quot;"/>
    </dxf>
    <dxf>
      <numFmt numFmtId="182" formatCode="&quot;$&quot;#,##0.00"/>
    </dxf>
    <dxf>
      <font>
        <color rgb="FF92400E"/>
      </font>
      <fill>
        <patternFill patternType="solid">
          <fgColor rgb="FFFEF3C7"/>
          <bgColor rgb="FFFEF3C7"/>
        </patternFill>
      </fill>
    </dxf>
    <dxf>
      <font>
        <color rgb="FF1D4ED8"/>
      </font>
      <fill>
        <patternFill patternType="solid">
          <fgColor rgb="FFDBEAFE"/>
          <bgColor rgb="FFDBEAFE"/>
        </patternFill>
      </fill>
    </dxf>
    <dxf>
      <font>
        <i val="1"/>
        <color rgb="FF64748B"/>
      </font>
      <fill>
        <patternFill patternType="solid">
          <fgColor rgb="FFF8FAFC"/>
          <bgColor rgb="FFF8FAF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Documents émis par mois</a:t>
            </a:r>
          </a:p>
        </rich>
      </tx>
    </title>
    <plotArea>
      <barChart>
        <barDir val="col"/>
        <grouping val="clustered"/>
        <ser>
          <idx val="0"/>
          <order val="0"/>
          <tx>
            <strRef>
              <f>'Tableau de bord'!D12</f>
            </strRef>
          </tx>
          <spPr>
            <a:solidFill xmlns:a="http://schemas.openxmlformats.org/drawingml/2006/main">
              <a:srgbClr val="0F766E"/>
            </a:solidFill>
            <a:ln xmlns:a="http://schemas.openxmlformats.org/drawingml/2006/main">
              <a:solidFill>
                <a:srgbClr val="0F766E"/>
              </a:solidFill>
              <a:prstDash val="solid"/>
            </a:ln>
          </spPr>
          <cat>
            <numRef>
              <f>'Tableau de bord'!$B$13:$B$24</f>
            </numRef>
          </cat>
          <val>
            <numRef>
              <f>'Tableau de bord'!$D$13:$D$24</f>
            </numRef>
          </val>
        </ser>
        <ser>
          <idx val="1"/>
          <order val="1"/>
          <tx>
            <strRef>
              <f>'Tableau de bord'!E12</f>
            </strRef>
          </tx>
          <spPr>
            <a:solidFill xmlns:a="http://schemas.openxmlformats.org/drawingml/2006/main">
              <a:srgbClr val="1D4ED8"/>
            </a:solidFill>
            <a:ln xmlns:a="http://schemas.openxmlformats.org/drawingml/2006/main">
              <a:solidFill>
                <a:srgbClr val="1D4ED8"/>
              </a:solidFill>
              <a:prstDash val="solid"/>
            </a:ln>
          </spPr>
          <cat>
            <numRef>
              <f>'Tableau de bord'!$B$13:$B$24</f>
            </numRef>
          </cat>
          <val>
            <numRef>
              <f>'Tableau de bord'!$E$13:$E$24</f>
            </numRef>
          </val>
        </ser>
        <ser>
          <idx val="2"/>
          <order val="2"/>
          <tx>
            <strRef>
              <f>'Tableau de bord'!F12</f>
            </strRef>
          </tx>
          <spPr>
            <a:solidFill xmlns:a="http://schemas.openxmlformats.org/drawingml/2006/main">
              <a:srgbClr val="DB2777"/>
            </a:solidFill>
            <a:ln xmlns:a="http://schemas.openxmlformats.org/drawingml/2006/main">
              <a:solidFill>
                <a:srgbClr val="DB2777"/>
              </a:solidFill>
              <a:prstDash val="solid"/>
            </a:ln>
          </spPr>
          <cat>
            <numRef>
              <f>'Tableau de bord'!$B$13:$B$24</f>
            </numRef>
          </cat>
          <val>
            <numRef>
              <f>'Tableau de bord'!$F$13:$F$24</f>
            </numRef>
          </val>
        </ser>
        <gapWidth val="60"/>
        <axId val="10"/>
        <axId val="100"/>
      </bar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legend>
      <legendPos val="b"/>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Valeur sortie par service</a:t>
            </a:r>
          </a:p>
        </rich>
      </tx>
    </title>
    <plotArea>
      <barChart>
        <barDir val="bar"/>
        <grouping val="clustered"/>
        <ser>
          <idx val="0"/>
          <order val="0"/>
          <tx>
            <strRef>
              <f>'Tableau de bord'!N28</f>
            </strRef>
          </tx>
          <spPr>
            <a:solidFill xmlns:a="http://schemas.openxmlformats.org/drawingml/2006/main">
              <a:srgbClr val="BE185D"/>
            </a:solidFill>
            <a:ln xmlns:a="http://schemas.openxmlformats.org/drawingml/2006/main">
              <a:solidFill>
                <a:srgbClr val="BE185D"/>
              </a:solidFill>
              <a:prstDash val="solid"/>
            </a:ln>
          </spPr>
          <cat>
            <numRef>
              <f>'Tableau de bord'!$I$29:$I$40</f>
            </numRef>
          </cat>
          <val>
            <numRef>
              <f>'Tableau de bord'!$N$29:$N$40</f>
            </numRef>
          </val>
        </ser>
        <gapWidth val="60"/>
        <axId val="10"/>
        <axId val="100"/>
      </barChart>
      <catAx>
        <axId val="10"/>
        <scaling>
          <orientation val="maxMin"/>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Lignes reçues</a:t>
            </a:r>
          </a:p>
        </rich>
      </tx>
    </title>
    <plotArea>
      <doughnutChart>
        <varyColors val="1"/>
        <ser>
          <idx val="0"/>
          <order val="0"/>
          <tx>
            <strRef>
              <f>'Tableau de bord'!L44</f>
            </strRef>
          </tx>
          <spPr>
            <a:ln xmlns:a="http://schemas.openxmlformats.org/drawingml/2006/main">
              <a:prstDash val="solid"/>
            </a:ln>
          </spPr>
          <dPt>
            <idx val="0"/>
            <spPr>
              <a:solidFill xmlns:a="http://schemas.openxmlformats.org/drawingml/2006/main">
                <a:srgbClr val="16A34A"/>
              </a:solidFill>
              <a:ln xmlns:a="http://schemas.openxmlformats.org/drawingml/2006/main">
                <a:solidFill>
                  <a:srgbClr val="FFFFFF"/>
                </a:solidFill>
                <a:prstDash val="solid"/>
              </a:ln>
            </spPr>
          </dPt>
          <dPt>
            <idx val="1"/>
            <spPr>
              <a:solidFill xmlns:a="http://schemas.openxmlformats.org/drawingml/2006/main">
                <a:srgbClr val="F59E0B"/>
              </a:solidFill>
              <a:ln xmlns:a="http://schemas.openxmlformats.org/drawingml/2006/main">
                <a:solidFill>
                  <a:srgbClr val="FFFFFF"/>
                </a:solidFill>
                <a:prstDash val="solid"/>
              </a:ln>
            </spPr>
          </dPt>
          <dPt>
            <idx val="2"/>
            <spPr>
              <a:solidFill xmlns:a="http://schemas.openxmlformats.org/drawingml/2006/main">
                <a:srgbClr val="DC2626"/>
              </a:solidFill>
              <a:ln xmlns:a="http://schemas.openxmlformats.org/drawingml/2006/main">
                <a:solidFill>
                  <a:srgbClr val="FFFFFF"/>
                </a:solidFill>
                <a:prstDash val="solid"/>
              </a:ln>
            </spPr>
          </dPt>
          <dPt>
            <idx val="3"/>
            <spPr>
              <a:solidFill xmlns:a="http://schemas.openxmlformats.org/drawingml/2006/main">
                <a:srgbClr val="CBD5E1"/>
              </a:solidFill>
              <a:ln xmlns:a="http://schemas.openxmlformats.org/drawingml/2006/main">
                <a:solidFill>
                  <a:srgbClr val="FFFFFF"/>
                </a:solidFill>
                <a:prstDash val="solid"/>
              </a:ln>
            </spPr>
          </dPt>
          <dLbls>
            <showVal val="0"/>
            <showCatName val="0"/>
            <showSerName val="0"/>
            <showPercent val="0"/>
            <showLeaderLines val="0"/>
          </dLbls>
          <cat>
            <numRef>
              <f>'Tableau de bord'!$J$45:$J$48</f>
            </numRef>
          </cat>
          <val>
            <numRef>
              <f>'Tableau de bord'!$L$45:$L$48</f>
            </numRef>
          </val>
        </ser>
        <firstSliceAng val="0"/>
        <holeSize val="55"/>
      </doughnut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7</col>
      <colOff>0</colOff>
      <row>10</row>
      <rowOff>0</rowOff>
    </from>
    <ext cx="6300000" cy="2664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43</row>
      <rowOff>0</rowOff>
    </from>
    <ext cx="4860000" cy="252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12</col>
      <colOff>0</colOff>
      <row>43</row>
      <rowOff>0</rowOff>
    </from>
    <ext cx="2736000" cy="252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12.xml.rels><Relationships xmlns="http://schemas.openxmlformats.org/package/2006/relationships"><Relationship Type="http://schemas.openxmlformats.org/officeDocument/2006/relationships/hyperlink" Target="https://qualis-erp.com/register?utm_source=excel&amp;utm_medium=modele&amp;utm_campaign=bon-de-livraison-excel" TargetMode="External" Id="rId1"/><Relationship Type="http://schemas.openxmlformats.org/officeDocument/2006/relationships/hyperlink" Target="https://qualis-erp.com/pricing?utm_source=excel&amp;utm_medium=modele&amp;utm_campaign=bon-de-livraison-excel" TargetMode="External" Id="rId2"/><Relationship Type="http://schemas.openxmlformats.org/officeDocument/2006/relationships/hyperlink" Target="https://qualis-erp.com/?utm_source=excel&amp;utm_medium=modele&amp;utm_campaign=bon-de-livraison-excel" TargetMode="External" Id="rId3"/></Relationships>
</file>

<file path=xl/worksheets/sheet1.xml><?xml version="1.0" encoding="utf-8"?>
<worksheet xmlns="http://schemas.openxmlformats.org/spreadsheetml/2006/main">
  <sheetPr>
    <tabColor rgb="FF475569"/>
    <outlinePr summaryBelow="1" summaryRight="1"/>
    <pageSetUpPr fitToPage="1"/>
  </sheetPr>
  <dimension ref="A1:E46"/>
  <sheetViews>
    <sheetView showGridLines="0" tabSelected="1" zoomScale="100" workbookViewId="0">
      <selection activeCell="A1" sqref="A1"/>
    </sheetView>
  </sheetViews>
  <sheetFormatPr baseColWidth="8" defaultRowHeight="15"/>
  <cols>
    <col width="3" customWidth="1" min="1" max="1"/>
    <col width="28" customWidth="1" min="2" max="2"/>
    <col width="44" customWidth="1" min="3" max="3"/>
    <col width="44" customWidth="1" min="4" max="4"/>
    <col width="3" customWidth="1" min="5" max="5"/>
  </cols>
  <sheetData>
    <row r="1" ht="38" customHeight="1">
      <c r="A1" s="1" t="n"/>
      <c r="B1" s="2" t="inlineStr">
        <is>
          <t>Bons de livraison, de réception et de sortie</t>
        </is>
      </c>
      <c r="C1" s="1" t="n"/>
      <c r="D1" s="1" t="n"/>
      <c r="E1" s="1" t="n"/>
    </row>
    <row r="2" ht="22" customHeight="1">
      <c r="A2" s="3" t="n"/>
      <c r="B2" s="4" t="inlineStr">
        <is>
          <t>Mode d'emploi. Lisez cette page une fois, puis travaillez surtout dans « Journal ».</t>
        </is>
      </c>
      <c r="C2" s="3" t="n"/>
      <c r="D2" s="3" t="n"/>
      <c r="E2" s="3" t="n"/>
    </row>
    <row r="3" ht="18" customHeight="1"/>
    <row r="5" ht="22" customHeight="1">
      <c r="B5" s="5" t="inlineStr">
        <is>
          <t>Les feuilles du classeur</t>
        </is>
      </c>
      <c r="C5" s="6" t="n"/>
      <c r="D5" s="6" t="n"/>
    </row>
    <row r="6" ht="30" customHeight="1">
      <c r="B6" s="7" t="inlineStr">
        <is>
          <t>→ Tableau de bord</t>
        </is>
      </c>
      <c r="C6" s="8" t="inlineStr">
        <is>
          <t>Documents par mois, top clients livrés, sorties par service, reliquats en cours.</t>
        </is>
      </c>
      <c r="D6" s="9" t="n"/>
    </row>
    <row r="7" ht="30" customHeight="1">
      <c r="B7" s="10" t="inlineStr">
        <is>
          <t>→ Journal</t>
        </is>
      </c>
      <c r="C7" s="11" t="inlineStr">
        <is>
          <t>Le journal : une ligne par article livré, reçu ou sorti. C'est la seule feuille de saisie au quotidien.</t>
        </is>
      </c>
      <c r="D7" s="12" t="n"/>
    </row>
    <row r="8" ht="30" customHeight="1">
      <c r="B8" s="7" t="inlineStr">
        <is>
          <t>→ Registre des documents</t>
        </is>
      </c>
      <c r="C8" s="8" t="inlineStr">
        <is>
          <t>Un document par ligne : numéro, tiers, nombre de lignes, colis, poids, valeur et état.</t>
        </is>
      </c>
      <c r="D8" s="9" t="n"/>
    </row>
    <row r="9" ht="20" customHeight="1">
      <c r="B9" s="10" t="inlineStr">
        <is>
          <t>→ Bon de livraison</t>
        </is>
      </c>
      <c r="C9" s="11" t="inlineStr">
        <is>
          <t>Le bon de livraison A4 à imprimer : choisissez un numéro, il se remplit.</t>
        </is>
      </c>
      <c r="D9" s="12" t="n"/>
    </row>
    <row r="10" ht="20" customHeight="1">
      <c r="B10" s="7" t="inlineStr">
        <is>
          <t>→ Bon de réception</t>
        </is>
      </c>
      <c r="C10" s="8" t="inlineStr">
        <is>
          <t>Le bon de réception fournisseur, avec écarts commandé / reçu et réserves.</t>
        </is>
      </c>
      <c r="D10" s="9" t="n"/>
    </row>
    <row r="11" ht="20" customHeight="1">
      <c r="B11" s="10" t="inlineStr">
        <is>
          <t>→ Bon de sortie</t>
        </is>
      </c>
      <c r="C11" s="11" t="inlineStr">
        <is>
          <t>Le bon de sortie magasin pour un service interne, avec motif et visas.</t>
        </is>
      </c>
      <c r="D11" s="12" t="n"/>
    </row>
    <row r="12" ht="20" customHeight="1">
      <c r="B12" s="7" t="inlineStr">
        <is>
          <t>→ Articles</t>
        </is>
      </c>
      <c r="C12" s="8" t="inlineStr">
        <is>
          <t>Vos articles : unité, poids unitaire, prix de vente et coût.</t>
        </is>
      </c>
      <c r="D12" s="9" t="n"/>
    </row>
    <row r="13" ht="20" customHeight="1">
      <c r="B13" s="10" t="inlineStr">
        <is>
          <t>→ Clients</t>
        </is>
      </c>
      <c r="C13" s="11" t="inlineStr">
        <is>
          <t>Vos clients : adresse et ICE imprimés sur le bon de livraison.</t>
        </is>
      </c>
      <c r="D13" s="12" t="n"/>
    </row>
    <row r="14" ht="20" customHeight="1">
      <c r="B14" s="7" t="inlineStr">
        <is>
          <t>→ Fournisseurs</t>
        </is>
      </c>
      <c r="C14" s="8" t="inlineStr">
        <is>
          <t>Vos fournisseurs : adresse et ICE imprimés sur le bon de réception.</t>
        </is>
      </c>
      <c r="D14" s="9" t="n"/>
    </row>
    <row r="15" ht="30" customHeight="1">
      <c r="B15" s="10" t="inlineStr">
        <is>
          <t>→ Paramètres</t>
        </is>
      </c>
      <c r="C15" s="11" t="inlineStr">
        <is>
          <t>Entreprise, identifiants, devise, mentions, services, transporteurs, motifs et unités.</t>
        </is>
      </c>
      <c r="D15" s="12" t="n"/>
    </row>
    <row r="18" ht="22" customHeight="1">
      <c r="B18" s="5" t="inlineStr">
        <is>
          <t>Démarrer en 5 étapes</t>
        </is>
      </c>
      <c r="C18" s="6" t="n"/>
      <c r="D18" s="6" t="n"/>
    </row>
    <row r="19" ht="46" customHeight="1">
      <c r="B19" s="13" t="inlineStr">
        <is>
          <t>1. Paramètres</t>
        </is>
      </c>
      <c r="C19" s="14" t="inlineStr">
        <is>
          <t>Raison sociale, adresse, ICE, IF et RC (ou SIRET en France), devise (MAD, EUR ou USD), affichage des prix sur les bons, mentions de bas de page. Complétez les listes : services internes, transporteurs, motifs de sortie, unités.</t>
        </is>
      </c>
    </row>
    <row r="20" ht="32" customHeight="1">
      <c r="B20" s="13" t="inlineStr">
        <is>
          <t>2. Articles, clients, fournisseurs</t>
        </is>
      </c>
      <c r="C20" s="14" t="inlineStr">
        <is>
          <t>Une ligne par article (avec son poids unitaire pour calculer le poids des colis), par client et par fournisseur. Le code court (ATLAS, METCASA) sert à choisir le tiers dans le journal.</t>
        </is>
      </c>
    </row>
    <row r="21" ht="32" customHeight="1">
      <c r="B21" s="13" t="inlineStr">
        <is>
          <t>3. Journal</t>
        </is>
      </c>
      <c r="C21" s="14" t="inlineStr">
        <is>
          <t>Une ligne par article. Type BL (livraison client), BR (réception fournisseur) ou BS (sortie magasin vers un service), date, tiers, n° de commande, article et quantités. Le numéro du document se calcule seul.</t>
        </is>
      </c>
    </row>
    <row r="22" ht="32" customHeight="1">
      <c r="B22" s="13" t="inlineStr">
        <is>
          <t>4. Imprimer</t>
        </is>
      </c>
      <c r="C22" s="14" t="inlineStr">
        <is>
          <t>Ouvrez « Bon de livraison », « Bon de réception » ou « Bon de sortie », choisissez le numéro dans la case blanche et imprimez (Ctrl+P). Sans numéro, le bon s'imprime vide, à remplir à la main.</t>
        </is>
      </c>
    </row>
    <row r="23" ht="32" customHeight="1">
      <c r="B23" s="13" t="inlineStr">
        <is>
          <t>5. Suivre</t>
        </is>
      </c>
      <c r="C23" s="14" t="inlineStr">
        <is>
          <t>Le registre liste chaque document avec son état, le tableau de bord donne les chiffres de l'année et la liste des reliquats à livrer ou à recevoir.</t>
        </is>
      </c>
    </row>
    <row r="25" ht="22" customHeight="1">
      <c r="B25" s="5" t="inlineStr">
        <is>
          <t>Comment les documents sont numérotés</t>
        </is>
      </c>
      <c r="C25" s="6" t="n"/>
      <c r="D25" s="6" t="n"/>
    </row>
    <row r="26" ht="32" customHeight="1">
      <c r="B26" s="15" t="inlineStr">
        <is>
          <t>Un document = plusieurs lignes</t>
        </is>
      </c>
      <c r="C26" s="14" t="inlineStr">
        <is>
          <t>Les lignes du journal qui ont le même type, la même date, le même tiers et le même n° de commande forment un seul document. Recopiez ces quatre cellules sur chaque ligne du même bon.</t>
        </is>
      </c>
    </row>
    <row r="27" ht="46" customHeight="1">
      <c r="B27" s="15" t="inlineStr">
        <is>
          <t>Numéro automatique</t>
        </is>
      </c>
      <c r="C27" s="14" t="inlineStr">
        <is>
          <t>Chaque type a sa propre suite : BL-0001, BL-0002... BR-0001... BS-0001. Le numéro suit l'ordre des lignes : saisissez dans l'ordre des dates et n'insérez pas de ligne au-dessus d'un bon déjà imprimé, sinon les numéros suivants changent.</t>
        </is>
      </c>
    </row>
    <row r="28" ht="32" customHeight="1">
      <c r="B28" s="15" t="inlineStr">
        <is>
          <t>Deux bons le même jour</t>
        </is>
      </c>
      <c r="C28" s="14" t="inlineStr">
        <is>
          <t>Pour faire deux bons distincts le même jour, pour le même client et la même commande, ajoutez un suffixe au n° de commande (CV-1201/2).</t>
        </is>
      </c>
    </row>
    <row r="30" ht="22" customHeight="1">
      <c r="B30" s="5" t="inlineStr">
        <is>
          <t>Reliquats, écarts et réserves</t>
        </is>
      </c>
      <c r="C30" s="6" t="n"/>
      <c r="D30" s="6" t="n"/>
    </row>
    <row r="31" ht="32" customHeight="1">
      <c r="B31" s="15" t="inlineStr">
        <is>
          <t>Qté commandée</t>
        </is>
      </c>
      <c r="C31" s="14" t="inlineStr">
        <is>
          <t>La quantité attendue sur ce bon : commandée par le client, commandée au fournisseur ou demandée par le service. Facultative.</t>
        </is>
      </c>
    </row>
    <row r="32" ht="46" customHeight="1">
      <c r="B32" s="15" t="inlineStr">
        <is>
          <t>Reliquat</t>
        </is>
      </c>
      <c r="C32" s="14" t="inlineStr">
        <is>
          <t>Livré moins que commandé : le reste est un reliquat. Sur le bon suivant de la même commande et du même article, saisissez en qté commandée le reliquat restant. Seul le dernier bon de chaque commande et article compte comme « reliquat en cours ».</t>
        </is>
      </c>
    </row>
    <row r="33" ht="32" customHeight="1">
      <c r="B33" s="15" t="inlineStr">
        <is>
          <t>Écart</t>
        </is>
      </c>
      <c r="C33" s="14" t="inlineStr">
        <is>
          <t>Quantité livrée, reçue ou sortie moins quantité commandée. Négatif = manque, positif = excédent. Sur un bon de réception, choisissez aussi l'état : Conforme, Avec réserves ou Refusé.</t>
        </is>
      </c>
    </row>
    <row r="35" ht="22" customHeight="1">
      <c r="B35" s="5" t="inlineStr">
        <is>
          <t>Couleurs et contrôles</t>
        </is>
      </c>
      <c r="C35" s="6" t="n"/>
      <c r="D35" s="6" t="n"/>
    </row>
    <row r="36" ht="18" customHeight="1">
      <c r="B36" s="15" t="inlineStr">
        <is>
          <t>Cellules blanches</t>
        </is>
      </c>
      <c r="C36" s="14" t="inlineStr">
        <is>
          <t>À remplir par vous.</t>
        </is>
      </c>
    </row>
    <row r="37" ht="18" customHeight="1">
      <c r="B37" s="15" t="inlineStr">
        <is>
          <t>Cellules grises</t>
        </is>
      </c>
      <c r="C37" s="14" t="inlineStr">
        <is>
          <t>Calculées par une formule. Ne tapez pas dedans.</t>
        </is>
      </c>
    </row>
    <row r="38" ht="46" customHeight="1">
      <c r="B38" s="15" t="inlineStr">
        <is>
          <t>Colonne Contrôle</t>
        </is>
      </c>
      <c r="C38" s="14" t="inlineStr">
        <is>
          <t>Chaque ligne du journal est vérifiée : type, date, tiers inconnu, article inconnu, quantité nulle ou négative, date antérieure au bon précédent du même type, livraison supérieure à la commande. Une ligne correcte affiche OK.</t>
        </is>
      </c>
    </row>
    <row r="40" ht="22" customHeight="1">
      <c r="B40" s="5" t="inlineStr">
        <is>
          <t>Bonnes pratiques et limites</t>
        </is>
      </c>
      <c r="C40" s="6" t="n"/>
      <c r="D40" s="6" t="n"/>
    </row>
    <row r="41" ht="32" customHeight="1">
      <c r="B41" s="15" t="inlineStr">
        <is>
          <t>Mentions légales</t>
        </is>
      </c>
      <c r="C41" s="14" t="inlineStr">
        <is>
          <t>Le fichier imprime vos identifiants et vos mentions. Vérifiez avec votre comptable les mentions exigées pour votre activité : le bon de livraison n'est pas une facture.</t>
        </is>
      </c>
    </row>
    <row r="42" ht="32" customHeight="1">
      <c r="B42" s="15" t="inlineStr">
        <is>
          <t>Stock</t>
        </is>
      </c>
      <c r="C42" s="14" t="inlineStr">
        <is>
          <t>Le fichier trace les documents, il ne calcule pas le stock. Pour le stock, utilisez notre modèle gratuit de gestion de stock Excel, ou reportez chaque bon dans votre outil de stock.</t>
        </is>
      </c>
    </row>
    <row r="43" ht="32" customHeight="1">
      <c r="B43" s="15" t="inlineStr">
        <is>
          <t>Capacité</t>
        </is>
      </c>
      <c r="C43" s="14" t="inlineStr">
        <is>
          <t>2 000 lignes de journal  1 000 documents  18 lignes par bon imprimé  300 clients  200 fournisseurs  500 articles  12 services.</t>
        </is>
      </c>
    </row>
    <row r="44" ht="32" customHeight="1">
      <c r="B44" s="15" t="inlineStr">
        <is>
          <t>Compatibilité</t>
        </is>
      </c>
      <c r="C44" s="14" t="inlineStr">
        <is>
          <t>Excel 2010 et suivants (Windows, Mac), Excel en ligne, LibreOffice Calc et Google Sheets. Aucune macro, aucune feuille protégée.</t>
        </is>
      </c>
    </row>
    <row r="46">
      <c r="B46" s="16" t="inlineStr">
        <is>
          <t>Saisie</t>
        </is>
      </c>
      <c r="C46" s="17" t="inlineStr">
        <is>
          <t>Calcul auto</t>
        </is>
      </c>
    </row>
  </sheetData>
  <mergeCells count="28">
    <mergeCell ref="C6:D6"/>
    <mergeCell ref="C15:D15"/>
    <mergeCell ref="C33:D33"/>
    <mergeCell ref="C42:D42"/>
    <mergeCell ref="C14:D14"/>
    <mergeCell ref="C26:D26"/>
    <mergeCell ref="C20:D20"/>
    <mergeCell ref="C10:D10"/>
    <mergeCell ref="C41:D41"/>
    <mergeCell ref="C44:D44"/>
    <mergeCell ref="C22:D22"/>
    <mergeCell ref="C9:D9"/>
    <mergeCell ref="C31:D31"/>
    <mergeCell ref="C43:D43"/>
    <mergeCell ref="C12:D12"/>
    <mergeCell ref="C21:D21"/>
    <mergeCell ref="C11:D11"/>
    <mergeCell ref="C27:D27"/>
    <mergeCell ref="C36:D36"/>
    <mergeCell ref="C23:D23"/>
    <mergeCell ref="C8:D8"/>
    <mergeCell ref="C32:D32"/>
    <mergeCell ref="C7:D7"/>
    <mergeCell ref="C38:D38"/>
    <mergeCell ref="C19:D19"/>
    <mergeCell ref="C37:D37"/>
    <mergeCell ref="C28:D28"/>
    <mergeCell ref="C13:D13"/>
  </mergeCells>
  <hyperlinks>
    <hyperlink ref="B6" location="'Tableau de bord'!A1"/>
    <hyperlink ref="B7" location="'Journal'!A1"/>
    <hyperlink ref="B8" location="'Registre des documents'!A1"/>
    <hyperlink ref="B9" location="'Bon de livraison'!A1"/>
    <hyperlink ref="B10" location="'Bon de réception'!A1"/>
    <hyperlink ref="B11" location="'Bon de sortie'!A1"/>
    <hyperlink ref="B12" location="'Articles'!A1"/>
    <hyperlink ref="B13" location="'Clients'!A1"/>
    <hyperlink ref="B14" location="'Fournisseurs'!A1"/>
    <hyperlink ref="B15" location="'Paramètres'!A1"/>
    <hyperlink ref="B19" location="'Paramètres'!A1"/>
    <hyperlink ref="B20" location="'Articles'!A1"/>
    <hyperlink ref="B21" location="'Journal'!A1"/>
    <hyperlink ref="B22" location="'Bon de livraison'!A1"/>
    <hyperlink ref="B23" location="'Tableau de bord'!A1"/>
  </hyperlinks>
  <printOptions horizontalCentered="1"/>
  <pageMargins left="0.4" right="0.4" top="0.5" bottom="0.5" header="0.5" footer="0.5"/>
  <pageSetup orientation="portrait" paperSize="9" fitToHeight="0" fitToWidth="1"/>
</worksheet>
</file>

<file path=xl/worksheets/sheet2.xml><?xml version="1.0" encoding="utf-8"?>
<worksheet xmlns="http://schemas.openxmlformats.org/spreadsheetml/2006/main">
  <sheetPr>
    <tabColor rgb="FF0F172A"/>
    <outlinePr summaryBelow="1" summaryRight="1"/>
    <pageSetUpPr fitToPage="1"/>
  </sheetPr>
  <dimension ref="A1:P73"/>
  <sheetViews>
    <sheetView showGridLines="0" tabSelected="0" zoomScale="100" workbookViewId="0">
      <selection activeCell="A1" sqref="A1"/>
    </sheetView>
  </sheetViews>
  <sheetFormatPr baseColWidth="8" defaultRowHeight="15"/>
  <cols>
    <col width="2"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2" customWidth="1" min="17" max="17"/>
  </cols>
  <sheetData>
    <row r="1" ht="38" customHeight="1">
      <c r="A1" s="1" t="n"/>
      <c r="B1" s="2" t="str">
        <f>"Livraisons, réceptions et sorties"&amp;IF(p_company&lt;&gt;""," : "&amp;p_company,"")</f>
        <v>Livraisons, réceptions et sorties</v>
      </c>
      <c r="C1" s="1" t="n"/>
      <c r="D1" s="1" t="n"/>
      <c r="E1" s="1" t="n"/>
      <c r="F1" s="1" t="n"/>
      <c r="G1" s="1" t="n"/>
      <c r="H1" s="1" t="n"/>
      <c r="I1" s="1" t="n"/>
      <c r="J1" s="1" t="n"/>
      <c r="K1" s="1" t="n"/>
      <c r="L1" s="1" t="n"/>
      <c r="M1" s="1" t="n"/>
      <c r="N1" s="1" t="n"/>
      <c r="O1" s="1" t="n"/>
      <c r="P1" s="18" t="inlineStr">
        <is>
          <t>⌂ Mode d'emploi</t>
        </is>
      </c>
    </row>
    <row r="2" ht="22" customHeight="1">
      <c r="A2" s="3" t="n"/>
      <c r="B2" s="4" t="inlineStr">
        <is>
          <t>Tout se calcule depuis le journal. Changez l'année dans la case blanche en haut à droite.</t>
        </is>
      </c>
      <c r="C2" s="3" t="n"/>
      <c r="D2" s="3" t="n"/>
      <c r="E2" s="3" t="n"/>
      <c r="F2" s="3" t="n"/>
      <c r="G2" s="3" t="n"/>
      <c r="H2" s="3" t="n"/>
      <c r="I2" s="3" t="n"/>
      <c r="J2" s="3" t="n"/>
      <c r="K2" s="3" t="n"/>
      <c r="L2" s="3" t="n"/>
      <c r="M2" s="3" t="n"/>
      <c r="N2" s="3" t="n"/>
      <c r="O2" s="3" t="n"/>
      <c r="P2" s="3" t="n"/>
    </row>
    <row r="3" ht="20" customHeight="1">
      <c r="M3" s="19" t="inlineStr">
        <is>
          <t>Année affichée</t>
        </is>
      </c>
      <c r="P3" s="20" t="n"/>
    </row>
    <row r="5" ht="18" customHeight="1">
      <c r="B5" s="21" t="inlineStr">
        <is>
          <t>BONS DE LIVRAISON</t>
        </is>
      </c>
      <c r="C5" s="22" t="n"/>
      <c r="D5" s="23" t="n"/>
      <c r="E5" s="24" t="inlineStr">
        <is>
          <t>BONS DE RÉCEPTION</t>
        </is>
      </c>
      <c r="F5" s="22" t="n"/>
      <c r="G5" s="23" t="n"/>
      <c r="H5" s="25" t="inlineStr">
        <is>
          <t>BONS DE SORTIE</t>
        </is>
      </c>
      <c r="I5" s="22" t="n"/>
      <c r="J5" s="23" t="n"/>
      <c r="K5" s="26" t="inlineStr">
        <is>
          <t>RELIQUATS EN COURS</t>
        </is>
      </c>
      <c r="L5" s="22" t="n"/>
      <c r="M5" s="23" t="n"/>
      <c r="N5" s="27" t="inlineStr">
        <is>
          <t>LIGNES À VÉRIFIER</t>
        </is>
      </c>
      <c r="O5" s="22" t="n"/>
      <c r="P5" s="23" t="n"/>
    </row>
    <row r="6" ht="32" customHeight="1">
      <c r="B6" s="28">
        <f>COUNTIFS(jr_new,1,jr_type,"BL",jr_year,p_year)</f>
        <v>0.0</v>
      </c>
      <c r="C6" s="29" t="n"/>
      <c r="D6" s="30" t="n"/>
      <c r="E6" s="31">
        <f>COUNTIFS(jr_new,1,jr_type,"BR",jr_year,p_year)</f>
        <v>0.0</v>
      </c>
      <c r="F6" s="29" t="n"/>
      <c r="G6" s="30" t="n"/>
      <c r="H6" s="32">
        <f>COUNTIFS(jr_new,1,jr_type,"BS",jr_year,p_year)</f>
        <v>0.0</v>
      </c>
      <c r="I6" s="29" t="n"/>
      <c r="J6" s="30" t="n"/>
      <c r="K6" s="33">
        <f>COUNTIF(jr_rel,"&gt;0")</f>
        <v>0.0</v>
      </c>
      <c r="L6" s="29" t="n"/>
      <c r="M6" s="30" t="n"/>
      <c r="N6" s="34">
        <f>COUNTIF(jr_check,"?*")-COUNTIF(jr_check,"OK")</f>
        <v>0.0</v>
      </c>
      <c r="O6" s="29" t="n"/>
      <c r="P6" s="30" t="n"/>
    </row>
    <row r="7" ht="16" customHeight="1">
      <c r="B7" s="35" t="inlineStr">
        <is>
          <t>Émis dans l'année affichée</t>
        </is>
      </c>
      <c r="C7" s="9" t="n"/>
      <c r="D7" s="36" t="n"/>
      <c r="E7" s="37" t="inlineStr">
        <is>
          <t>Réceptions fournisseurs de l'année</t>
        </is>
      </c>
      <c r="F7" s="9" t="n"/>
      <c r="G7" s="36" t="n"/>
      <c r="H7" s="38" t="inlineStr">
        <is>
          <t>Sorties magasin de l'année</t>
        </is>
      </c>
      <c r="I7" s="9" t="n"/>
      <c r="J7" s="36" t="n"/>
      <c r="K7" s="39" t="inlineStr">
        <is>
          <t>Lignes clients et fournisseurs à solder</t>
        </is>
      </c>
      <c r="L7" s="9" t="n"/>
      <c r="M7" s="36" t="n"/>
      <c r="N7" s="40" t="inlineStr">
        <is>
          <t>Colonne Contrôle du journal</t>
        </is>
      </c>
      <c r="O7" s="9" t="n"/>
      <c r="P7" s="36" t="n"/>
    </row>
    <row r="9">
      <c r="B9" s="41" t="str">
        <f>IF(COUNTIF(jr_check,"?*")-COUNTIF(jr_check,"OK")&gt;0,COUNTIF(jr_check,"?*")-COUNTIF(jr_check,"OK")&amp;" ligne(s) signalée(s) dans la colonne Contrôle du journal : filtrez-la pour les corriger.","Toutes les lignes du journal sont valides.")</f>
        <v>Toutes les lignes du journal sont valides.</v>
      </c>
    </row>
    <row r="11" ht="22" customHeight="1">
      <c r="B11" s="5" t="str">
        <f>"Documents par mois, "&amp;p_year</f>
        <v>Documents par mois, 2026</v>
      </c>
      <c r="C11" s="6" t="n"/>
      <c r="D11" s="6" t="n"/>
      <c r="E11" s="6" t="n"/>
      <c r="F11" s="6" t="n"/>
    </row>
    <row r="12" ht="20" customHeight="1">
      <c r="B12" s="42" t="inlineStr">
        <is>
          <t>Mois</t>
        </is>
      </c>
      <c r="C12" s="43" t="n"/>
      <c r="D12" s="42" t="inlineStr">
        <is>
          <t>BL</t>
        </is>
      </c>
      <c r="E12" s="42" t="inlineStr">
        <is>
          <t>BR</t>
        </is>
      </c>
      <c r="F12" s="42" t="inlineStr">
        <is>
          <t>BS</t>
        </is>
      </c>
    </row>
    <row r="13">
      <c r="B13" s="44" t="inlineStr">
        <is>
          <t>Janvier</t>
        </is>
      </c>
      <c r="C13" s="44" t="n"/>
      <c r="D13" s="45">
        <f>COUNTIFS(jr_new,1,jr_type,"BL",jr_year,p_year,jr_month,1)</f>
        <v>0.0</v>
      </c>
      <c r="E13" s="45">
        <f>COUNTIFS(jr_new,1,jr_type,"BR",jr_year,p_year,jr_month,1)</f>
        <v>0.0</v>
      </c>
      <c r="F13" s="45">
        <f>COUNTIFS(jr_new,1,jr_type,"BS",jr_year,p_year,jr_month,1)</f>
        <v>0.0</v>
      </c>
    </row>
    <row r="14">
      <c r="B14" s="44" t="inlineStr">
        <is>
          <t>Février</t>
        </is>
      </c>
      <c r="C14" s="44" t="n"/>
      <c r="D14" s="45">
        <f>COUNTIFS(jr_new,1,jr_type,"BL",jr_year,p_year,jr_month,2)</f>
        <v>0.0</v>
      </c>
      <c r="E14" s="45">
        <f>COUNTIFS(jr_new,1,jr_type,"BR",jr_year,p_year,jr_month,2)</f>
        <v>0.0</v>
      </c>
      <c r="F14" s="45">
        <f>COUNTIFS(jr_new,1,jr_type,"BS",jr_year,p_year,jr_month,2)</f>
        <v>0.0</v>
      </c>
    </row>
    <row r="15">
      <c r="B15" s="44" t="inlineStr">
        <is>
          <t>Mars</t>
        </is>
      </c>
      <c r="C15" s="44" t="n"/>
      <c r="D15" s="45">
        <f>COUNTIFS(jr_new,1,jr_type,"BL",jr_year,p_year,jr_month,3)</f>
        <v>0.0</v>
      </c>
      <c r="E15" s="45">
        <f>COUNTIFS(jr_new,1,jr_type,"BR",jr_year,p_year,jr_month,3)</f>
        <v>0.0</v>
      </c>
      <c r="F15" s="45">
        <f>COUNTIFS(jr_new,1,jr_type,"BS",jr_year,p_year,jr_month,3)</f>
        <v>0.0</v>
      </c>
    </row>
    <row r="16">
      <c r="B16" s="44" t="inlineStr">
        <is>
          <t>Avril</t>
        </is>
      </c>
      <c r="C16" s="44" t="n"/>
      <c r="D16" s="45">
        <f>COUNTIFS(jr_new,1,jr_type,"BL",jr_year,p_year,jr_month,4)</f>
        <v>0.0</v>
      </c>
      <c r="E16" s="45">
        <f>COUNTIFS(jr_new,1,jr_type,"BR",jr_year,p_year,jr_month,4)</f>
        <v>0.0</v>
      </c>
      <c r="F16" s="45">
        <f>COUNTIFS(jr_new,1,jr_type,"BS",jr_year,p_year,jr_month,4)</f>
        <v>0.0</v>
      </c>
    </row>
    <row r="17">
      <c r="B17" s="44" t="inlineStr">
        <is>
          <t>Mai</t>
        </is>
      </c>
      <c r="C17" s="44" t="n"/>
      <c r="D17" s="45">
        <f>COUNTIFS(jr_new,1,jr_type,"BL",jr_year,p_year,jr_month,5)</f>
        <v>0.0</v>
      </c>
      <c r="E17" s="45">
        <f>COUNTIFS(jr_new,1,jr_type,"BR",jr_year,p_year,jr_month,5)</f>
        <v>0.0</v>
      </c>
      <c r="F17" s="45">
        <f>COUNTIFS(jr_new,1,jr_type,"BS",jr_year,p_year,jr_month,5)</f>
        <v>0.0</v>
      </c>
    </row>
    <row r="18">
      <c r="B18" s="44" t="inlineStr">
        <is>
          <t>Juin</t>
        </is>
      </c>
      <c r="C18" s="44" t="n"/>
      <c r="D18" s="45">
        <f>COUNTIFS(jr_new,1,jr_type,"BL",jr_year,p_year,jr_month,6)</f>
        <v>0.0</v>
      </c>
      <c r="E18" s="45">
        <f>COUNTIFS(jr_new,1,jr_type,"BR",jr_year,p_year,jr_month,6)</f>
        <v>0.0</v>
      </c>
      <c r="F18" s="45">
        <f>COUNTIFS(jr_new,1,jr_type,"BS",jr_year,p_year,jr_month,6)</f>
        <v>0.0</v>
      </c>
    </row>
    <row r="19">
      <c r="B19" s="44" t="inlineStr">
        <is>
          <t>Juillet</t>
        </is>
      </c>
      <c r="C19" s="44" t="n"/>
      <c r="D19" s="45">
        <f>COUNTIFS(jr_new,1,jr_type,"BL",jr_year,p_year,jr_month,7)</f>
        <v>0.0</v>
      </c>
      <c r="E19" s="45">
        <f>COUNTIFS(jr_new,1,jr_type,"BR",jr_year,p_year,jr_month,7)</f>
        <v>0.0</v>
      </c>
      <c r="F19" s="45">
        <f>COUNTIFS(jr_new,1,jr_type,"BS",jr_year,p_year,jr_month,7)</f>
        <v>0.0</v>
      </c>
    </row>
    <row r="20">
      <c r="B20" s="44" t="inlineStr">
        <is>
          <t>Août</t>
        </is>
      </c>
      <c r="C20" s="44" t="n"/>
      <c r="D20" s="45">
        <f>COUNTIFS(jr_new,1,jr_type,"BL",jr_year,p_year,jr_month,8)</f>
        <v>0.0</v>
      </c>
      <c r="E20" s="45">
        <f>COUNTIFS(jr_new,1,jr_type,"BR",jr_year,p_year,jr_month,8)</f>
        <v>0.0</v>
      </c>
      <c r="F20" s="45">
        <f>COUNTIFS(jr_new,1,jr_type,"BS",jr_year,p_year,jr_month,8)</f>
        <v>0.0</v>
      </c>
    </row>
    <row r="21">
      <c r="B21" s="44" t="inlineStr">
        <is>
          <t>Septembre</t>
        </is>
      </c>
      <c r="C21" s="44" t="n"/>
      <c r="D21" s="45">
        <f>COUNTIFS(jr_new,1,jr_type,"BL",jr_year,p_year,jr_month,9)</f>
        <v>0.0</v>
      </c>
      <c r="E21" s="45">
        <f>COUNTIFS(jr_new,1,jr_type,"BR",jr_year,p_year,jr_month,9)</f>
        <v>0.0</v>
      </c>
      <c r="F21" s="45">
        <f>COUNTIFS(jr_new,1,jr_type,"BS",jr_year,p_year,jr_month,9)</f>
        <v>0.0</v>
      </c>
    </row>
    <row r="22">
      <c r="B22" s="44" t="inlineStr">
        <is>
          <t>Octobre</t>
        </is>
      </c>
      <c r="C22" s="44" t="n"/>
      <c r="D22" s="45">
        <f>COUNTIFS(jr_new,1,jr_type,"BL",jr_year,p_year,jr_month,10)</f>
        <v>0.0</v>
      </c>
      <c r="E22" s="45">
        <f>COUNTIFS(jr_new,1,jr_type,"BR",jr_year,p_year,jr_month,10)</f>
        <v>0.0</v>
      </c>
      <c r="F22" s="45">
        <f>COUNTIFS(jr_new,1,jr_type,"BS",jr_year,p_year,jr_month,10)</f>
        <v>0.0</v>
      </c>
    </row>
    <row r="23">
      <c r="B23" s="44" t="inlineStr">
        <is>
          <t>Novembre</t>
        </is>
      </c>
      <c r="C23" s="44" t="n"/>
      <c r="D23" s="45">
        <f>COUNTIFS(jr_new,1,jr_type,"BL",jr_year,p_year,jr_month,11)</f>
        <v>0.0</v>
      </c>
      <c r="E23" s="45">
        <f>COUNTIFS(jr_new,1,jr_type,"BR",jr_year,p_year,jr_month,11)</f>
        <v>0.0</v>
      </c>
      <c r="F23" s="45">
        <f>COUNTIFS(jr_new,1,jr_type,"BS",jr_year,p_year,jr_month,11)</f>
        <v>0.0</v>
      </c>
    </row>
    <row r="24">
      <c r="B24" s="44" t="inlineStr">
        <is>
          <t>Décembre</t>
        </is>
      </c>
      <c r="C24" s="44" t="n"/>
      <c r="D24" s="45">
        <f>COUNTIFS(jr_new,1,jr_type,"BL",jr_year,p_year,jr_month,12)</f>
        <v>0.0</v>
      </c>
      <c r="E24" s="45">
        <f>COUNTIFS(jr_new,1,jr_type,"BR",jr_year,p_year,jr_month,12)</f>
        <v>0.0</v>
      </c>
      <c r="F24" s="45">
        <f>COUNTIFS(jr_new,1,jr_type,"BS",jr_year,p_year,jr_month,12)</f>
        <v>0.0</v>
      </c>
    </row>
    <row r="25">
      <c r="B25" s="46" t="inlineStr">
        <is>
          <t>Total</t>
        </is>
      </c>
      <c r="C25" s="46" t="n"/>
      <c r="D25" s="47">
        <f>SUM(D13:D24)</f>
        <v>0.0</v>
      </c>
      <c r="E25" s="47">
        <f>SUM(E13:E24)</f>
        <v>0.0</v>
      </c>
      <c r="F25" s="47">
        <f>SUM(F13:F24)</f>
        <v>0.0</v>
      </c>
    </row>
    <row r="27" ht="22" customHeight="1">
      <c r="B27" s="5" t="inlineStr">
        <is>
          <t>Top 10 clients livrés</t>
        </is>
      </c>
      <c r="C27" s="6" t="n"/>
      <c r="D27" s="6" t="n"/>
      <c r="E27" s="6" t="n"/>
      <c r="F27" s="6" t="n"/>
      <c r="G27" s="6" t="n"/>
      <c r="I27" s="5" t="inlineStr">
        <is>
          <t>Sorties magasin par service</t>
        </is>
      </c>
      <c r="J27" s="6" t="n"/>
      <c r="K27" s="6" t="n"/>
      <c r="L27" s="6" t="n"/>
      <c r="M27" s="6" t="n"/>
      <c r="N27" s="6" t="n"/>
      <c r="O27" s="6" t="n"/>
      <c r="P27" s="6" t="n"/>
    </row>
    <row r="28" ht="20" customHeight="1">
      <c r="B28" s="42" t="inlineStr">
        <is>
          <t>Client</t>
        </is>
      </c>
      <c r="C28" s="48" t="n"/>
      <c r="D28" s="43" t="n"/>
      <c r="E28" s="42" t="inlineStr">
        <is>
          <t>BL</t>
        </is>
      </c>
      <c r="F28" s="42" t="inlineStr">
        <is>
          <t>Valeur livrée</t>
        </is>
      </c>
      <c r="G28" s="43" t="n"/>
      <c r="I28" s="42" t="inlineStr">
        <is>
          <t>Service</t>
        </is>
      </c>
      <c r="J28" s="48" t="n"/>
      <c r="K28" s="43" t="n"/>
      <c r="L28" s="42" t="inlineStr">
        <is>
          <t>Bons</t>
        </is>
      </c>
      <c r="M28" s="42" t="inlineStr">
        <is>
          <t>Lignes</t>
        </is>
      </c>
      <c r="N28" s="42" t="inlineStr">
        <is>
          <t>Valeur sortie</t>
        </is>
      </c>
      <c r="O28" s="48" t="n"/>
      <c r="P28" s="43" t="n"/>
    </row>
    <row r="29">
      <c r="B29" s="49" t="str">
        <f>IFERROR(INDEX(cl_name,MATCH(1,cl_rank,0))&amp;"","")</f>
        <v/>
      </c>
      <c r="C29" s="45" t="n"/>
      <c r="D29" s="45" t="n"/>
      <c r="E29" s="45" t="str">
        <f>IFERROR(INDEX(cl_bl,MATCH(1,cl_rank,0)),"")</f>
        <v/>
      </c>
      <c r="F29" s="50" t="str">
        <f>IFERROR(INDEX(cl_val,MATCH(1,cl_rank,0)),"")</f>
        <v/>
      </c>
      <c r="G29" s="45" t="n"/>
      <c r="I29" s="49" t="str">
        <f>IF(INDEX(p_services,1)="","",INDEX(p_services,1)&amp;"")</f>
        <v>Production</v>
      </c>
      <c r="J29" s="45" t="n"/>
      <c r="K29" s="45" t="n"/>
      <c r="L29" s="45">
        <f>IF(I29="","",COUNTIFS(jr_new,1,jr_type,"BS",jr_tiers,I29,jr_year,p_year))</f>
        <v>0.0</v>
      </c>
      <c r="M29" s="45">
        <f>IF(I29="","",COUNTIFS(jr_type,"BS",jr_tiers,I29,jr_year,p_year))</f>
        <v>0.0</v>
      </c>
      <c r="N29" s="50">
        <f>IF(I29="","",SUMIFS(jr_val,jr_type,"BS",jr_tiers,I29,jr_year,p_year))</f>
        <v>0.0</v>
      </c>
      <c r="O29" s="45" t="n"/>
      <c r="P29" s="45" t="n"/>
    </row>
    <row r="30">
      <c r="B30" s="49" t="str">
        <f>IFERROR(INDEX(cl_name,MATCH(2,cl_rank,0))&amp;"","")</f>
        <v/>
      </c>
      <c r="C30" s="45" t="n"/>
      <c r="D30" s="45" t="n"/>
      <c r="E30" s="45" t="str">
        <f>IFERROR(INDEX(cl_bl,MATCH(2,cl_rank,0)),"")</f>
        <v/>
      </c>
      <c r="F30" s="50" t="str">
        <f>IFERROR(INDEX(cl_val,MATCH(2,cl_rank,0)),"")</f>
        <v/>
      </c>
      <c r="G30" s="45" t="n"/>
      <c r="I30" s="49" t="str">
        <f>IF(INDEX(p_services,2)="","",INDEX(p_services,2)&amp;"")</f>
        <v>Maintenance</v>
      </c>
      <c r="J30" s="45" t="n"/>
      <c r="K30" s="45" t="n"/>
      <c r="L30" s="45">
        <f>IF(I30="","",COUNTIFS(jr_new,1,jr_type,"BS",jr_tiers,I30,jr_year,p_year))</f>
        <v>0.0</v>
      </c>
      <c r="M30" s="45">
        <f>IF(I30="","",COUNTIFS(jr_type,"BS",jr_tiers,I30,jr_year,p_year))</f>
        <v>0.0</v>
      </c>
      <c r="N30" s="50">
        <f>IF(I30="","",SUMIFS(jr_val,jr_type,"BS",jr_tiers,I30,jr_year,p_year))</f>
        <v>0.0</v>
      </c>
      <c r="O30" s="45" t="n"/>
      <c r="P30" s="45" t="n"/>
    </row>
    <row r="31">
      <c r="B31" s="49" t="str">
        <f>IFERROR(INDEX(cl_name,MATCH(3,cl_rank,0))&amp;"","")</f>
        <v/>
      </c>
      <c r="C31" s="45" t="n"/>
      <c r="D31" s="45" t="n"/>
      <c r="E31" s="45" t="str">
        <f>IFERROR(INDEX(cl_bl,MATCH(3,cl_rank,0)),"")</f>
        <v/>
      </c>
      <c r="F31" s="50" t="str">
        <f>IFERROR(INDEX(cl_val,MATCH(3,cl_rank,0)),"")</f>
        <v/>
      </c>
      <c r="G31" s="45" t="n"/>
      <c r="I31" s="49" t="str">
        <f>IF(INDEX(p_services,3)="","",INDEX(p_services,3)&amp;"")</f>
        <v>Qualité</v>
      </c>
      <c r="J31" s="45" t="n"/>
      <c r="K31" s="45" t="n"/>
      <c r="L31" s="45">
        <f>IF(I31="","",COUNTIFS(jr_new,1,jr_type,"BS",jr_tiers,I31,jr_year,p_year))</f>
        <v>0.0</v>
      </c>
      <c r="M31" s="45">
        <f>IF(I31="","",COUNTIFS(jr_type,"BS",jr_tiers,I31,jr_year,p_year))</f>
        <v>0.0</v>
      </c>
      <c r="N31" s="50">
        <f>IF(I31="","",SUMIFS(jr_val,jr_type,"BS",jr_tiers,I31,jr_year,p_year))</f>
        <v>0.0</v>
      </c>
      <c r="O31" s="45" t="n"/>
      <c r="P31" s="45" t="n"/>
    </row>
    <row r="32">
      <c r="B32" s="49" t="str">
        <f>IFERROR(INDEX(cl_name,MATCH(4,cl_rank,0))&amp;"","")</f>
        <v/>
      </c>
      <c r="C32" s="45" t="n"/>
      <c r="D32" s="45" t="n"/>
      <c r="E32" s="45" t="str">
        <f>IFERROR(INDEX(cl_bl,MATCH(4,cl_rank,0)),"")</f>
        <v/>
      </c>
      <c r="F32" s="50" t="str">
        <f>IFERROR(INDEX(cl_val,MATCH(4,cl_rank,0)),"")</f>
        <v/>
      </c>
      <c r="G32" s="45" t="n"/>
      <c r="I32" s="49" t="str">
        <f>IF(INDEX(p_services,4)="","",INDEX(p_services,4)&amp;"")</f>
        <v>Expédition</v>
      </c>
      <c r="J32" s="45" t="n"/>
      <c r="K32" s="45" t="n"/>
      <c r="L32" s="45">
        <f>IF(I32="","",COUNTIFS(jr_new,1,jr_type,"BS",jr_tiers,I32,jr_year,p_year))</f>
        <v>0.0</v>
      </c>
      <c r="M32" s="45">
        <f>IF(I32="","",COUNTIFS(jr_type,"BS",jr_tiers,I32,jr_year,p_year))</f>
        <v>0.0</v>
      </c>
      <c r="N32" s="50">
        <f>IF(I32="","",SUMIFS(jr_val,jr_type,"BS",jr_tiers,I32,jr_year,p_year))</f>
        <v>0.0</v>
      </c>
      <c r="O32" s="45" t="n"/>
      <c r="P32" s="45" t="n"/>
    </row>
    <row r="33">
      <c r="B33" s="49" t="str">
        <f>IFERROR(INDEX(cl_name,MATCH(5,cl_rank,0))&amp;"","")</f>
        <v/>
      </c>
      <c r="C33" s="45" t="n"/>
      <c r="D33" s="45" t="n"/>
      <c r="E33" s="45" t="str">
        <f>IFERROR(INDEX(cl_bl,MATCH(5,cl_rank,0)),"")</f>
        <v/>
      </c>
      <c r="F33" s="50" t="str">
        <f>IFERROR(INDEX(cl_val,MATCH(5,cl_rank,0)),"")</f>
        <v/>
      </c>
      <c r="G33" s="45" t="n"/>
      <c r="I33" s="49" t="str">
        <f>IF(INDEX(p_services,5)="","",INDEX(p_services,5)&amp;"")</f>
        <v/>
      </c>
      <c r="J33" s="45" t="n"/>
      <c r="K33" s="45" t="n"/>
      <c r="L33" s="45" t="str">
        <f>IF(I33="","",COUNTIFS(jr_new,1,jr_type,"BS",jr_tiers,I33,jr_year,p_year))</f>
        <v/>
      </c>
      <c r="M33" s="45" t="str">
        <f>IF(I33="","",COUNTIFS(jr_type,"BS",jr_tiers,I33,jr_year,p_year))</f>
        <v/>
      </c>
      <c r="N33" s="50" t="str">
        <f>IF(I33="","",SUMIFS(jr_val,jr_type,"BS",jr_tiers,I33,jr_year,p_year))</f>
        <v/>
      </c>
      <c r="O33" s="45" t="n"/>
      <c r="P33" s="45" t="n"/>
    </row>
    <row r="34">
      <c r="B34" s="49" t="str">
        <f>IFERROR(INDEX(cl_name,MATCH(6,cl_rank,0))&amp;"","")</f>
        <v/>
      </c>
      <c r="C34" s="45" t="n"/>
      <c r="D34" s="45" t="n"/>
      <c r="E34" s="45" t="str">
        <f>IFERROR(INDEX(cl_bl,MATCH(6,cl_rank,0)),"")</f>
        <v/>
      </c>
      <c r="F34" s="50" t="str">
        <f>IFERROR(INDEX(cl_val,MATCH(6,cl_rank,0)),"")</f>
        <v/>
      </c>
      <c r="G34" s="45" t="n"/>
      <c r="I34" s="49" t="str">
        <f>IF(INDEX(p_services,6)="","",INDEX(p_services,6)&amp;"")</f>
        <v/>
      </c>
      <c r="J34" s="45" t="n"/>
      <c r="K34" s="45" t="n"/>
      <c r="L34" s="45" t="str">
        <f>IF(I34="","",COUNTIFS(jr_new,1,jr_type,"BS",jr_tiers,I34,jr_year,p_year))</f>
        <v/>
      </c>
      <c r="M34" s="45" t="str">
        <f>IF(I34="","",COUNTIFS(jr_type,"BS",jr_tiers,I34,jr_year,p_year))</f>
        <v/>
      </c>
      <c r="N34" s="50" t="str">
        <f>IF(I34="","",SUMIFS(jr_val,jr_type,"BS",jr_tiers,I34,jr_year,p_year))</f>
        <v/>
      </c>
      <c r="O34" s="45" t="n"/>
      <c r="P34" s="45" t="n"/>
    </row>
    <row r="35">
      <c r="B35" s="49" t="str">
        <f>IFERROR(INDEX(cl_name,MATCH(7,cl_rank,0))&amp;"","")</f>
        <v/>
      </c>
      <c r="C35" s="45" t="n"/>
      <c r="D35" s="45" t="n"/>
      <c r="E35" s="45" t="str">
        <f>IFERROR(INDEX(cl_bl,MATCH(7,cl_rank,0)),"")</f>
        <v/>
      </c>
      <c r="F35" s="50" t="str">
        <f>IFERROR(INDEX(cl_val,MATCH(7,cl_rank,0)),"")</f>
        <v/>
      </c>
      <c r="G35" s="45" t="n"/>
      <c r="I35" s="49" t="str">
        <f>IF(INDEX(p_services,7)="","",INDEX(p_services,7)&amp;"")</f>
        <v/>
      </c>
      <c r="J35" s="45" t="n"/>
      <c r="K35" s="45" t="n"/>
      <c r="L35" s="45" t="str">
        <f>IF(I35="","",COUNTIFS(jr_new,1,jr_type,"BS",jr_tiers,I35,jr_year,p_year))</f>
        <v/>
      </c>
      <c r="M35" s="45" t="str">
        <f>IF(I35="","",COUNTIFS(jr_type,"BS",jr_tiers,I35,jr_year,p_year))</f>
        <v/>
      </c>
      <c r="N35" s="50" t="str">
        <f>IF(I35="","",SUMIFS(jr_val,jr_type,"BS",jr_tiers,I35,jr_year,p_year))</f>
        <v/>
      </c>
      <c r="O35" s="45" t="n"/>
      <c r="P35" s="45" t="n"/>
    </row>
    <row r="36">
      <c r="B36" s="49" t="str">
        <f>IFERROR(INDEX(cl_name,MATCH(8,cl_rank,0))&amp;"","")</f>
        <v/>
      </c>
      <c r="C36" s="45" t="n"/>
      <c r="D36" s="45" t="n"/>
      <c r="E36" s="45" t="str">
        <f>IFERROR(INDEX(cl_bl,MATCH(8,cl_rank,0)),"")</f>
        <v/>
      </c>
      <c r="F36" s="50" t="str">
        <f>IFERROR(INDEX(cl_val,MATCH(8,cl_rank,0)),"")</f>
        <v/>
      </c>
      <c r="G36" s="45" t="n"/>
      <c r="I36" s="49" t="str">
        <f>IF(INDEX(p_services,8)="","",INDEX(p_services,8)&amp;"")</f>
        <v/>
      </c>
      <c r="J36" s="45" t="n"/>
      <c r="K36" s="45" t="n"/>
      <c r="L36" s="45" t="str">
        <f>IF(I36="","",COUNTIFS(jr_new,1,jr_type,"BS",jr_tiers,I36,jr_year,p_year))</f>
        <v/>
      </c>
      <c r="M36" s="45" t="str">
        <f>IF(I36="","",COUNTIFS(jr_type,"BS",jr_tiers,I36,jr_year,p_year))</f>
        <v/>
      </c>
      <c r="N36" s="50" t="str">
        <f>IF(I36="","",SUMIFS(jr_val,jr_type,"BS",jr_tiers,I36,jr_year,p_year))</f>
        <v/>
      </c>
      <c r="O36" s="45" t="n"/>
      <c r="P36" s="45" t="n"/>
    </row>
    <row r="37">
      <c r="B37" s="49" t="str">
        <f>IFERROR(INDEX(cl_name,MATCH(9,cl_rank,0))&amp;"","")</f>
        <v/>
      </c>
      <c r="C37" s="45" t="n"/>
      <c r="D37" s="45" t="n"/>
      <c r="E37" s="45" t="str">
        <f>IFERROR(INDEX(cl_bl,MATCH(9,cl_rank,0)),"")</f>
        <v/>
      </c>
      <c r="F37" s="50" t="str">
        <f>IFERROR(INDEX(cl_val,MATCH(9,cl_rank,0)),"")</f>
        <v/>
      </c>
      <c r="G37" s="45" t="n"/>
      <c r="I37" s="49" t="str">
        <f>IF(INDEX(p_services,9)="","",INDEX(p_services,9)&amp;"")</f>
        <v/>
      </c>
      <c r="J37" s="45" t="n"/>
      <c r="K37" s="45" t="n"/>
      <c r="L37" s="45" t="str">
        <f>IF(I37="","",COUNTIFS(jr_new,1,jr_type,"BS",jr_tiers,I37,jr_year,p_year))</f>
        <v/>
      </c>
      <c r="M37" s="45" t="str">
        <f>IF(I37="","",COUNTIFS(jr_type,"BS",jr_tiers,I37,jr_year,p_year))</f>
        <v/>
      </c>
      <c r="N37" s="50" t="str">
        <f>IF(I37="","",SUMIFS(jr_val,jr_type,"BS",jr_tiers,I37,jr_year,p_year))</f>
        <v/>
      </c>
      <c r="O37" s="45" t="n"/>
      <c r="P37" s="45" t="n"/>
    </row>
    <row r="38">
      <c r="B38" s="49" t="str">
        <f>IFERROR(INDEX(cl_name,MATCH(10,cl_rank,0))&amp;"","")</f>
        <v/>
      </c>
      <c r="C38" s="45" t="n"/>
      <c r="D38" s="45" t="n"/>
      <c r="E38" s="45" t="str">
        <f>IFERROR(INDEX(cl_bl,MATCH(10,cl_rank,0)),"")</f>
        <v/>
      </c>
      <c r="F38" s="50" t="str">
        <f>IFERROR(INDEX(cl_val,MATCH(10,cl_rank,0)),"")</f>
        <v/>
      </c>
      <c r="G38" s="45" t="n"/>
      <c r="I38" s="49" t="str">
        <f>IF(INDEX(p_services,10)="","",INDEX(p_services,10)&amp;"")</f>
        <v/>
      </c>
      <c r="J38" s="45" t="n"/>
      <c r="K38" s="45" t="n"/>
      <c r="L38" s="45" t="str">
        <f>IF(I38="","",COUNTIFS(jr_new,1,jr_type,"BS",jr_tiers,I38,jr_year,p_year))</f>
        <v/>
      </c>
      <c r="M38" s="45" t="str">
        <f>IF(I38="","",COUNTIFS(jr_type,"BS",jr_tiers,I38,jr_year,p_year))</f>
        <v/>
      </c>
      <c r="N38" s="50" t="str">
        <f>IF(I38="","",SUMIFS(jr_val,jr_type,"BS",jr_tiers,I38,jr_year,p_year))</f>
        <v/>
      </c>
      <c r="O38" s="45" t="n"/>
      <c r="P38" s="45" t="n"/>
    </row>
    <row r="39">
      <c r="B39" s="41" t="str">
        <f>IF(COUNT(cl_rank)=0,"Aucun bon de livraison sur l'année affichée.","Classés par nombre de BL, puis par valeur livrée.")</f>
        <v>Aucun bon de livraison sur l'année affichée.</v>
      </c>
      <c r="I39" s="49" t="str">
        <f>IF(INDEX(p_services,11)="","",INDEX(p_services,11)&amp;"")</f>
        <v/>
      </c>
      <c r="J39" s="45" t="n"/>
      <c r="K39" s="45" t="n"/>
      <c r="L39" s="45" t="str">
        <f>IF(I39="","",COUNTIFS(jr_new,1,jr_type,"BS",jr_tiers,I39,jr_year,p_year))</f>
        <v/>
      </c>
      <c r="M39" s="45" t="str">
        <f>IF(I39="","",COUNTIFS(jr_type,"BS",jr_tiers,I39,jr_year,p_year))</f>
        <v/>
      </c>
      <c r="N39" s="50" t="str">
        <f>IF(I39="","",SUMIFS(jr_val,jr_type,"BS",jr_tiers,I39,jr_year,p_year))</f>
        <v/>
      </c>
      <c r="O39" s="45" t="n"/>
      <c r="P39" s="45" t="n"/>
    </row>
    <row r="40">
      <c r="I40" s="49" t="str">
        <f>IF(INDEX(p_services,12)="","",INDEX(p_services,12)&amp;"")</f>
        <v/>
      </c>
      <c r="J40" s="45" t="n"/>
      <c r="K40" s="45" t="n"/>
      <c r="L40" s="45" t="str">
        <f>IF(I40="","",COUNTIFS(jr_new,1,jr_type,"BS",jr_tiers,I40,jr_year,p_year))</f>
        <v/>
      </c>
      <c r="M40" s="45" t="str">
        <f>IF(I40="","",COUNTIFS(jr_type,"BS",jr_tiers,I40,jr_year,p_year))</f>
        <v/>
      </c>
      <c r="N40" s="50" t="str">
        <f>IF(I40="","",SUMIFS(jr_val,jr_type,"BS",jr_tiers,I40,jr_year,p_year))</f>
        <v/>
      </c>
      <c r="O40" s="45" t="n"/>
      <c r="P40" s="45" t="n"/>
    </row>
    <row r="43" ht="22" customHeight="1">
      <c r="B43" s="5" t="inlineStr">
        <is>
          <t>Sorties de l'année par service</t>
        </is>
      </c>
      <c r="C43" s="6" t="n"/>
      <c r="D43" s="6" t="n"/>
      <c r="E43" s="6" t="n"/>
      <c r="F43" s="6" t="n"/>
      <c r="G43" s="6" t="n"/>
      <c r="H43" s="6" t="n"/>
      <c r="J43" s="5" t="inlineStr">
        <is>
          <t>État des lignes reçues</t>
        </is>
      </c>
      <c r="K43" s="6" t="n"/>
      <c r="L43" s="6" t="n"/>
      <c r="M43" s="6" t="n"/>
      <c r="N43" s="6" t="n"/>
      <c r="O43" s="6" t="n"/>
      <c r="P43" s="6" t="n"/>
    </row>
    <row r="44" ht="20" customHeight="1">
      <c r="J44" s="42" t="inlineStr">
        <is>
          <t>État</t>
        </is>
      </c>
      <c r="K44" s="43" t="n"/>
      <c r="L44" s="42" t="inlineStr">
        <is>
          <t>Lignes</t>
        </is>
      </c>
    </row>
    <row r="45">
      <c r="J45" s="51" t="inlineStr">
        <is>
          <t>Conforme</t>
        </is>
      </c>
      <c r="K45" s="51" t="n"/>
      <c r="L45" s="45">
        <f>COUNTIFS(jr_type,"BR",jr_etat,"Conforme",jr_year,p_year)</f>
        <v>0.0</v>
      </c>
    </row>
    <row r="46">
      <c r="J46" s="51" t="inlineStr">
        <is>
          <t>Avec réserves</t>
        </is>
      </c>
      <c r="K46" s="51" t="n"/>
      <c r="L46" s="45">
        <f>COUNTIFS(jr_type,"BR",jr_etat,"Avec réserves",jr_year,p_year)</f>
        <v>0.0</v>
      </c>
    </row>
    <row r="47">
      <c r="J47" s="51" t="inlineStr">
        <is>
          <t>Refusé</t>
        </is>
      </c>
      <c r="K47" s="51" t="n"/>
      <c r="L47" s="45">
        <f>COUNTIFS(jr_type,"BR",jr_etat,"Refusé",jr_year,p_year)</f>
        <v>0.0</v>
      </c>
    </row>
    <row r="48">
      <c r="J48" s="51" t="inlineStr">
        <is>
          <t>Non renseigné</t>
        </is>
      </c>
      <c r="K48" s="51" t="n"/>
      <c r="L48" s="45">
        <f>COUNTIFS(jr_type,"BR",jr_year,p_year)-L45-L46-L47</f>
        <v>0.0</v>
      </c>
    </row>
    <row r="59" ht="22" customHeight="1">
      <c r="B59" s="5" t="inlineStr">
        <is>
          <t>Reliquats en cours (les 12 premiers)</t>
        </is>
      </c>
      <c r="C59" s="6" t="n"/>
      <c r="D59" s="6" t="n"/>
      <c r="E59" s="6" t="n"/>
      <c r="F59" s="6" t="n"/>
      <c r="G59" s="6" t="n"/>
      <c r="H59" s="6" t="n"/>
      <c r="I59" s="6" t="n"/>
      <c r="J59" s="6" t="n"/>
      <c r="K59" s="6" t="n"/>
      <c r="L59" s="6" t="n"/>
      <c r="M59" s="6" t="n"/>
      <c r="N59" s="6" t="n"/>
      <c r="O59" s="6" t="n"/>
      <c r="P59" s="6" t="n"/>
    </row>
    <row r="60" ht="20" customHeight="1">
      <c r="B60" s="42" t="inlineStr">
        <is>
          <t>N° document</t>
        </is>
      </c>
      <c r="C60" s="42" t="n"/>
      <c r="D60" s="42" t="inlineStr">
        <is>
          <t>Date</t>
        </is>
      </c>
      <c r="E60" s="42" t="inlineStr">
        <is>
          <t>Client / fournisseur</t>
        </is>
      </c>
      <c r="F60" s="42" t="n"/>
      <c r="G60" s="42" t="n"/>
      <c r="H60" s="42" t="inlineStr">
        <is>
          <t>Commande</t>
        </is>
      </c>
      <c r="I60" s="42" t="n"/>
      <c r="J60" s="42" t="inlineStr">
        <is>
          <t>Article</t>
        </is>
      </c>
      <c r="K60" s="42" t="n"/>
      <c r="L60" s="42" t="n"/>
      <c r="M60" s="42" t="inlineStr">
        <is>
          <t>Commandé</t>
        </is>
      </c>
      <c r="N60" s="42" t="inlineStr">
        <is>
          <t>Livré / reçu</t>
        </is>
      </c>
      <c r="O60" s="42" t="inlineStr">
        <is>
          <t>Reliquat</t>
        </is>
      </c>
      <c r="P60" s="42" t="inlineStr">
        <is>
          <t>Unité</t>
        </is>
      </c>
    </row>
    <row r="61">
      <c r="B61" s="45" t="str">
        <f>IFERROR(INDEX(jr_num,MATCH(1,jr_relrank,0))&amp;"","")</f>
        <v/>
      </c>
      <c r="C61" s="45" t="n"/>
      <c r="D61" s="52" t="str">
        <f>IFERROR(INDEX(jr_date,MATCH(1,jr_relrank,0)),"")</f>
        <v/>
      </c>
      <c r="E61" s="49" t="str">
        <f>IFERROR(INDEX(jr_name,MATCH(1,jr_relrank,0))&amp;"","")</f>
        <v/>
      </c>
      <c r="F61" s="45" t="n"/>
      <c r="G61" s="45" t="n"/>
      <c r="H61" s="45" t="str">
        <f>IFERROR(INDEX(jr_order,MATCH(1,jr_relrank,0))&amp;"","")</f>
        <v/>
      </c>
      <c r="I61" s="45" t="n"/>
      <c r="J61" s="49" t="str">
        <f>IFERROR(INDEX(jr_art,MATCH(1,jr_relrank,0))&amp;"","")</f>
        <v/>
      </c>
      <c r="K61" s="45" t="n"/>
      <c r="L61" s="45" t="n"/>
      <c r="M61" s="45" t="str">
        <f>IFERROR(INDEX(jr_qcmd,MATCH(1,jr_relrank,0)),"")</f>
        <v/>
      </c>
      <c r="N61" s="45" t="str">
        <f>IFERROR(INDEX(jr_qty,MATCH(1,jr_relrank,0)),"")</f>
        <v/>
      </c>
      <c r="O61" s="53" t="str">
        <f>IFERROR(INDEX(jr_rel,MATCH(1,jr_relrank,0)),"")</f>
        <v/>
      </c>
      <c r="P61" s="45" t="str">
        <f>IFERROR(INDEX(jr_unit,MATCH(1,jr_relrank,0))&amp;"","")</f>
        <v/>
      </c>
    </row>
    <row r="62">
      <c r="B62" s="45" t="str">
        <f>IFERROR(INDEX(jr_num,MATCH(2,jr_relrank,0))&amp;"","")</f>
        <v/>
      </c>
      <c r="C62" s="45" t="n"/>
      <c r="D62" s="52" t="str">
        <f>IFERROR(INDEX(jr_date,MATCH(2,jr_relrank,0)),"")</f>
        <v/>
      </c>
      <c r="E62" s="49" t="str">
        <f>IFERROR(INDEX(jr_name,MATCH(2,jr_relrank,0))&amp;"","")</f>
        <v/>
      </c>
      <c r="F62" s="45" t="n"/>
      <c r="G62" s="45" t="n"/>
      <c r="H62" s="45" t="str">
        <f>IFERROR(INDEX(jr_order,MATCH(2,jr_relrank,0))&amp;"","")</f>
        <v/>
      </c>
      <c r="I62" s="45" t="n"/>
      <c r="J62" s="49" t="str">
        <f>IFERROR(INDEX(jr_art,MATCH(2,jr_relrank,0))&amp;"","")</f>
        <v/>
      </c>
      <c r="K62" s="45" t="n"/>
      <c r="L62" s="45" t="n"/>
      <c r="M62" s="45" t="str">
        <f>IFERROR(INDEX(jr_qcmd,MATCH(2,jr_relrank,0)),"")</f>
        <v/>
      </c>
      <c r="N62" s="45" t="str">
        <f>IFERROR(INDEX(jr_qty,MATCH(2,jr_relrank,0)),"")</f>
        <v/>
      </c>
      <c r="O62" s="53" t="str">
        <f>IFERROR(INDEX(jr_rel,MATCH(2,jr_relrank,0)),"")</f>
        <v/>
      </c>
      <c r="P62" s="45" t="str">
        <f>IFERROR(INDEX(jr_unit,MATCH(2,jr_relrank,0))&amp;"","")</f>
        <v/>
      </c>
    </row>
    <row r="63">
      <c r="B63" s="45" t="str">
        <f>IFERROR(INDEX(jr_num,MATCH(3,jr_relrank,0))&amp;"","")</f>
        <v/>
      </c>
      <c r="C63" s="45" t="n"/>
      <c r="D63" s="52" t="str">
        <f>IFERROR(INDEX(jr_date,MATCH(3,jr_relrank,0)),"")</f>
        <v/>
      </c>
      <c r="E63" s="49" t="str">
        <f>IFERROR(INDEX(jr_name,MATCH(3,jr_relrank,0))&amp;"","")</f>
        <v/>
      </c>
      <c r="F63" s="45" t="n"/>
      <c r="G63" s="45" t="n"/>
      <c r="H63" s="45" t="str">
        <f>IFERROR(INDEX(jr_order,MATCH(3,jr_relrank,0))&amp;"","")</f>
        <v/>
      </c>
      <c r="I63" s="45" t="n"/>
      <c r="J63" s="49" t="str">
        <f>IFERROR(INDEX(jr_art,MATCH(3,jr_relrank,0))&amp;"","")</f>
        <v/>
      </c>
      <c r="K63" s="45" t="n"/>
      <c r="L63" s="45" t="n"/>
      <c r="M63" s="45" t="str">
        <f>IFERROR(INDEX(jr_qcmd,MATCH(3,jr_relrank,0)),"")</f>
        <v/>
      </c>
      <c r="N63" s="45" t="str">
        <f>IFERROR(INDEX(jr_qty,MATCH(3,jr_relrank,0)),"")</f>
        <v/>
      </c>
      <c r="O63" s="53" t="str">
        <f>IFERROR(INDEX(jr_rel,MATCH(3,jr_relrank,0)),"")</f>
        <v/>
      </c>
      <c r="P63" s="45" t="str">
        <f>IFERROR(INDEX(jr_unit,MATCH(3,jr_relrank,0))&amp;"","")</f>
        <v/>
      </c>
    </row>
    <row r="64">
      <c r="B64" s="45" t="str">
        <f>IFERROR(INDEX(jr_num,MATCH(4,jr_relrank,0))&amp;"","")</f>
        <v/>
      </c>
      <c r="C64" s="45" t="n"/>
      <c r="D64" s="52" t="str">
        <f>IFERROR(INDEX(jr_date,MATCH(4,jr_relrank,0)),"")</f>
        <v/>
      </c>
      <c r="E64" s="49" t="str">
        <f>IFERROR(INDEX(jr_name,MATCH(4,jr_relrank,0))&amp;"","")</f>
        <v/>
      </c>
      <c r="F64" s="45" t="n"/>
      <c r="G64" s="45" t="n"/>
      <c r="H64" s="45" t="str">
        <f>IFERROR(INDEX(jr_order,MATCH(4,jr_relrank,0))&amp;"","")</f>
        <v/>
      </c>
      <c r="I64" s="45" t="n"/>
      <c r="J64" s="49" t="str">
        <f>IFERROR(INDEX(jr_art,MATCH(4,jr_relrank,0))&amp;"","")</f>
        <v/>
      </c>
      <c r="K64" s="45" t="n"/>
      <c r="L64" s="45" t="n"/>
      <c r="M64" s="45" t="str">
        <f>IFERROR(INDEX(jr_qcmd,MATCH(4,jr_relrank,0)),"")</f>
        <v/>
      </c>
      <c r="N64" s="45" t="str">
        <f>IFERROR(INDEX(jr_qty,MATCH(4,jr_relrank,0)),"")</f>
        <v/>
      </c>
      <c r="O64" s="53" t="str">
        <f>IFERROR(INDEX(jr_rel,MATCH(4,jr_relrank,0)),"")</f>
        <v/>
      </c>
      <c r="P64" s="45" t="str">
        <f>IFERROR(INDEX(jr_unit,MATCH(4,jr_relrank,0))&amp;"","")</f>
        <v/>
      </c>
    </row>
    <row r="65">
      <c r="B65" s="45" t="str">
        <f>IFERROR(INDEX(jr_num,MATCH(5,jr_relrank,0))&amp;"","")</f>
        <v/>
      </c>
      <c r="C65" s="45" t="n"/>
      <c r="D65" s="52" t="str">
        <f>IFERROR(INDEX(jr_date,MATCH(5,jr_relrank,0)),"")</f>
        <v/>
      </c>
      <c r="E65" s="49" t="str">
        <f>IFERROR(INDEX(jr_name,MATCH(5,jr_relrank,0))&amp;"","")</f>
        <v/>
      </c>
      <c r="F65" s="45" t="n"/>
      <c r="G65" s="45" t="n"/>
      <c r="H65" s="45" t="str">
        <f>IFERROR(INDEX(jr_order,MATCH(5,jr_relrank,0))&amp;"","")</f>
        <v/>
      </c>
      <c r="I65" s="45" t="n"/>
      <c r="J65" s="49" t="str">
        <f>IFERROR(INDEX(jr_art,MATCH(5,jr_relrank,0))&amp;"","")</f>
        <v/>
      </c>
      <c r="K65" s="45" t="n"/>
      <c r="L65" s="45" t="n"/>
      <c r="M65" s="45" t="str">
        <f>IFERROR(INDEX(jr_qcmd,MATCH(5,jr_relrank,0)),"")</f>
        <v/>
      </c>
      <c r="N65" s="45" t="str">
        <f>IFERROR(INDEX(jr_qty,MATCH(5,jr_relrank,0)),"")</f>
        <v/>
      </c>
      <c r="O65" s="53" t="str">
        <f>IFERROR(INDEX(jr_rel,MATCH(5,jr_relrank,0)),"")</f>
        <v/>
      </c>
      <c r="P65" s="45" t="str">
        <f>IFERROR(INDEX(jr_unit,MATCH(5,jr_relrank,0))&amp;"","")</f>
        <v/>
      </c>
    </row>
    <row r="66">
      <c r="B66" s="45" t="str">
        <f>IFERROR(INDEX(jr_num,MATCH(6,jr_relrank,0))&amp;"","")</f>
        <v/>
      </c>
      <c r="C66" s="45" t="n"/>
      <c r="D66" s="52" t="str">
        <f>IFERROR(INDEX(jr_date,MATCH(6,jr_relrank,0)),"")</f>
        <v/>
      </c>
      <c r="E66" s="49" t="str">
        <f>IFERROR(INDEX(jr_name,MATCH(6,jr_relrank,0))&amp;"","")</f>
        <v/>
      </c>
      <c r="F66" s="45" t="n"/>
      <c r="G66" s="45" t="n"/>
      <c r="H66" s="45" t="str">
        <f>IFERROR(INDEX(jr_order,MATCH(6,jr_relrank,0))&amp;"","")</f>
        <v/>
      </c>
      <c r="I66" s="45" t="n"/>
      <c r="J66" s="49" t="str">
        <f>IFERROR(INDEX(jr_art,MATCH(6,jr_relrank,0))&amp;"","")</f>
        <v/>
      </c>
      <c r="K66" s="45" t="n"/>
      <c r="L66" s="45" t="n"/>
      <c r="M66" s="45" t="str">
        <f>IFERROR(INDEX(jr_qcmd,MATCH(6,jr_relrank,0)),"")</f>
        <v/>
      </c>
      <c r="N66" s="45" t="str">
        <f>IFERROR(INDEX(jr_qty,MATCH(6,jr_relrank,0)),"")</f>
        <v/>
      </c>
      <c r="O66" s="53" t="str">
        <f>IFERROR(INDEX(jr_rel,MATCH(6,jr_relrank,0)),"")</f>
        <v/>
      </c>
      <c r="P66" s="45" t="str">
        <f>IFERROR(INDEX(jr_unit,MATCH(6,jr_relrank,0))&amp;"","")</f>
        <v/>
      </c>
    </row>
    <row r="67">
      <c r="B67" s="45" t="str">
        <f>IFERROR(INDEX(jr_num,MATCH(7,jr_relrank,0))&amp;"","")</f>
        <v/>
      </c>
      <c r="C67" s="45" t="n"/>
      <c r="D67" s="52" t="str">
        <f>IFERROR(INDEX(jr_date,MATCH(7,jr_relrank,0)),"")</f>
        <v/>
      </c>
      <c r="E67" s="49" t="str">
        <f>IFERROR(INDEX(jr_name,MATCH(7,jr_relrank,0))&amp;"","")</f>
        <v/>
      </c>
      <c r="F67" s="45" t="n"/>
      <c r="G67" s="45" t="n"/>
      <c r="H67" s="45" t="str">
        <f>IFERROR(INDEX(jr_order,MATCH(7,jr_relrank,0))&amp;"","")</f>
        <v/>
      </c>
      <c r="I67" s="45" t="n"/>
      <c r="J67" s="49" t="str">
        <f>IFERROR(INDEX(jr_art,MATCH(7,jr_relrank,0))&amp;"","")</f>
        <v/>
      </c>
      <c r="K67" s="45" t="n"/>
      <c r="L67" s="45" t="n"/>
      <c r="M67" s="45" t="str">
        <f>IFERROR(INDEX(jr_qcmd,MATCH(7,jr_relrank,0)),"")</f>
        <v/>
      </c>
      <c r="N67" s="45" t="str">
        <f>IFERROR(INDEX(jr_qty,MATCH(7,jr_relrank,0)),"")</f>
        <v/>
      </c>
      <c r="O67" s="53" t="str">
        <f>IFERROR(INDEX(jr_rel,MATCH(7,jr_relrank,0)),"")</f>
        <v/>
      </c>
      <c r="P67" s="45" t="str">
        <f>IFERROR(INDEX(jr_unit,MATCH(7,jr_relrank,0))&amp;"","")</f>
        <v/>
      </c>
    </row>
    <row r="68">
      <c r="B68" s="45" t="str">
        <f>IFERROR(INDEX(jr_num,MATCH(8,jr_relrank,0))&amp;"","")</f>
        <v/>
      </c>
      <c r="C68" s="45" t="n"/>
      <c r="D68" s="52" t="str">
        <f>IFERROR(INDEX(jr_date,MATCH(8,jr_relrank,0)),"")</f>
        <v/>
      </c>
      <c r="E68" s="49" t="str">
        <f>IFERROR(INDEX(jr_name,MATCH(8,jr_relrank,0))&amp;"","")</f>
        <v/>
      </c>
      <c r="F68" s="45" t="n"/>
      <c r="G68" s="45" t="n"/>
      <c r="H68" s="45" t="str">
        <f>IFERROR(INDEX(jr_order,MATCH(8,jr_relrank,0))&amp;"","")</f>
        <v/>
      </c>
      <c r="I68" s="45" t="n"/>
      <c r="J68" s="49" t="str">
        <f>IFERROR(INDEX(jr_art,MATCH(8,jr_relrank,0))&amp;"","")</f>
        <v/>
      </c>
      <c r="K68" s="45" t="n"/>
      <c r="L68" s="45" t="n"/>
      <c r="M68" s="45" t="str">
        <f>IFERROR(INDEX(jr_qcmd,MATCH(8,jr_relrank,0)),"")</f>
        <v/>
      </c>
      <c r="N68" s="45" t="str">
        <f>IFERROR(INDEX(jr_qty,MATCH(8,jr_relrank,0)),"")</f>
        <v/>
      </c>
      <c r="O68" s="53" t="str">
        <f>IFERROR(INDEX(jr_rel,MATCH(8,jr_relrank,0)),"")</f>
        <v/>
      </c>
      <c r="P68" s="45" t="str">
        <f>IFERROR(INDEX(jr_unit,MATCH(8,jr_relrank,0))&amp;"","")</f>
        <v/>
      </c>
    </row>
    <row r="69">
      <c r="B69" s="45" t="str">
        <f>IFERROR(INDEX(jr_num,MATCH(9,jr_relrank,0))&amp;"","")</f>
        <v/>
      </c>
      <c r="C69" s="45" t="n"/>
      <c r="D69" s="52" t="str">
        <f>IFERROR(INDEX(jr_date,MATCH(9,jr_relrank,0)),"")</f>
        <v/>
      </c>
      <c r="E69" s="49" t="str">
        <f>IFERROR(INDEX(jr_name,MATCH(9,jr_relrank,0))&amp;"","")</f>
        <v/>
      </c>
      <c r="F69" s="45" t="n"/>
      <c r="G69" s="45" t="n"/>
      <c r="H69" s="45" t="str">
        <f>IFERROR(INDEX(jr_order,MATCH(9,jr_relrank,0))&amp;"","")</f>
        <v/>
      </c>
      <c r="I69" s="45" t="n"/>
      <c r="J69" s="49" t="str">
        <f>IFERROR(INDEX(jr_art,MATCH(9,jr_relrank,0))&amp;"","")</f>
        <v/>
      </c>
      <c r="K69" s="45" t="n"/>
      <c r="L69" s="45" t="n"/>
      <c r="M69" s="45" t="str">
        <f>IFERROR(INDEX(jr_qcmd,MATCH(9,jr_relrank,0)),"")</f>
        <v/>
      </c>
      <c r="N69" s="45" t="str">
        <f>IFERROR(INDEX(jr_qty,MATCH(9,jr_relrank,0)),"")</f>
        <v/>
      </c>
      <c r="O69" s="53" t="str">
        <f>IFERROR(INDEX(jr_rel,MATCH(9,jr_relrank,0)),"")</f>
        <v/>
      </c>
      <c r="P69" s="45" t="str">
        <f>IFERROR(INDEX(jr_unit,MATCH(9,jr_relrank,0))&amp;"","")</f>
        <v/>
      </c>
    </row>
    <row r="70">
      <c r="B70" s="45" t="str">
        <f>IFERROR(INDEX(jr_num,MATCH(10,jr_relrank,0))&amp;"","")</f>
        <v/>
      </c>
      <c r="C70" s="45" t="n"/>
      <c r="D70" s="52" t="str">
        <f>IFERROR(INDEX(jr_date,MATCH(10,jr_relrank,0)),"")</f>
        <v/>
      </c>
      <c r="E70" s="49" t="str">
        <f>IFERROR(INDEX(jr_name,MATCH(10,jr_relrank,0))&amp;"","")</f>
        <v/>
      </c>
      <c r="F70" s="45" t="n"/>
      <c r="G70" s="45" t="n"/>
      <c r="H70" s="45" t="str">
        <f>IFERROR(INDEX(jr_order,MATCH(10,jr_relrank,0))&amp;"","")</f>
        <v/>
      </c>
      <c r="I70" s="45" t="n"/>
      <c r="J70" s="49" t="str">
        <f>IFERROR(INDEX(jr_art,MATCH(10,jr_relrank,0))&amp;"","")</f>
        <v/>
      </c>
      <c r="K70" s="45" t="n"/>
      <c r="L70" s="45" t="n"/>
      <c r="M70" s="45" t="str">
        <f>IFERROR(INDEX(jr_qcmd,MATCH(10,jr_relrank,0)),"")</f>
        <v/>
      </c>
      <c r="N70" s="45" t="str">
        <f>IFERROR(INDEX(jr_qty,MATCH(10,jr_relrank,0)),"")</f>
        <v/>
      </c>
      <c r="O70" s="53" t="str">
        <f>IFERROR(INDEX(jr_rel,MATCH(10,jr_relrank,0)),"")</f>
        <v/>
      </c>
      <c r="P70" s="45" t="str">
        <f>IFERROR(INDEX(jr_unit,MATCH(10,jr_relrank,0))&amp;"","")</f>
        <v/>
      </c>
    </row>
    <row r="71">
      <c r="B71" s="45" t="str">
        <f>IFERROR(INDEX(jr_num,MATCH(11,jr_relrank,0))&amp;"","")</f>
        <v/>
      </c>
      <c r="C71" s="45" t="n"/>
      <c r="D71" s="52" t="str">
        <f>IFERROR(INDEX(jr_date,MATCH(11,jr_relrank,0)),"")</f>
        <v/>
      </c>
      <c r="E71" s="49" t="str">
        <f>IFERROR(INDEX(jr_name,MATCH(11,jr_relrank,0))&amp;"","")</f>
        <v/>
      </c>
      <c r="F71" s="45" t="n"/>
      <c r="G71" s="45" t="n"/>
      <c r="H71" s="45" t="str">
        <f>IFERROR(INDEX(jr_order,MATCH(11,jr_relrank,0))&amp;"","")</f>
        <v/>
      </c>
      <c r="I71" s="45" t="n"/>
      <c r="J71" s="49" t="str">
        <f>IFERROR(INDEX(jr_art,MATCH(11,jr_relrank,0))&amp;"","")</f>
        <v/>
      </c>
      <c r="K71" s="45" t="n"/>
      <c r="L71" s="45" t="n"/>
      <c r="M71" s="45" t="str">
        <f>IFERROR(INDEX(jr_qcmd,MATCH(11,jr_relrank,0)),"")</f>
        <v/>
      </c>
      <c r="N71" s="45" t="str">
        <f>IFERROR(INDEX(jr_qty,MATCH(11,jr_relrank,0)),"")</f>
        <v/>
      </c>
      <c r="O71" s="53" t="str">
        <f>IFERROR(INDEX(jr_rel,MATCH(11,jr_relrank,0)),"")</f>
        <v/>
      </c>
      <c r="P71" s="45" t="str">
        <f>IFERROR(INDEX(jr_unit,MATCH(11,jr_relrank,0))&amp;"","")</f>
        <v/>
      </c>
    </row>
    <row r="72">
      <c r="B72" s="45" t="str">
        <f>IFERROR(INDEX(jr_num,MATCH(12,jr_relrank,0))&amp;"","")</f>
        <v/>
      </c>
      <c r="C72" s="45" t="n"/>
      <c r="D72" s="52" t="str">
        <f>IFERROR(INDEX(jr_date,MATCH(12,jr_relrank,0)),"")</f>
        <v/>
      </c>
      <c r="E72" s="49" t="str">
        <f>IFERROR(INDEX(jr_name,MATCH(12,jr_relrank,0))&amp;"","")</f>
        <v/>
      </c>
      <c r="F72" s="45" t="n"/>
      <c r="G72" s="45" t="n"/>
      <c r="H72" s="45" t="str">
        <f>IFERROR(INDEX(jr_order,MATCH(12,jr_relrank,0))&amp;"","")</f>
        <v/>
      </c>
      <c r="I72" s="45" t="n"/>
      <c r="J72" s="49" t="str">
        <f>IFERROR(INDEX(jr_art,MATCH(12,jr_relrank,0))&amp;"","")</f>
        <v/>
      </c>
      <c r="K72" s="45" t="n"/>
      <c r="L72" s="45" t="n"/>
      <c r="M72" s="45" t="str">
        <f>IFERROR(INDEX(jr_qcmd,MATCH(12,jr_relrank,0)),"")</f>
        <v/>
      </c>
      <c r="N72" s="45" t="str">
        <f>IFERROR(INDEX(jr_qty,MATCH(12,jr_relrank,0)),"")</f>
        <v/>
      </c>
      <c r="O72" s="53" t="str">
        <f>IFERROR(INDEX(jr_rel,MATCH(12,jr_relrank,0)),"")</f>
        <v/>
      </c>
      <c r="P72" s="45" t="str">
        <f>IFERROR(INDEX(jr_unit,MATCH(12,jr_relrank,0))&amp;"","")</f>
        <v/>
      </c>
    </row>
    <row r="73">
      <c r="B73" s="41" t="str">
        <f>IF(COUNT(jr_relrank)=0,"Aucun reliquat en cours.",IF(COUNT(jr_relrank)&gt;12,"Et "&amp;(COUNT(jr_relrank)-12)&amp;" autre(s) : filtrez la colonne Reliquat en cours du journal.","Livrez ou recevez le reste, puis saisissez-le sur un nouveau bon de la même commande."))</f>
        <v>Aucun reliquat en cours.</v>
      </c>
    </row>
  </sheetData>
  <mergeCells count="135">
    <mergeCell ref="I32:K32"/>
    <mergeCell ref="N33:P33"/>
    <mergeCell ref="F29:G29"/>
    <mergeCell ref="B22:C22"/>
    <mergeCell ref="B34:D34"/>
    <mergeCell ref="B12:C12"/>
    <mergeCell ref="B28:D28"/>
    <mergeCell ref="B21:C21"/>
    <mergeCell ref="B37:D37"/>
    <mergeCell ref="N28:P28"/>
    <mergeCell ref="J66:L66"/>
    <mergeCell ref="B67:C67"/>
    <mergeCell ref="B61:C61"/>
    <mergeCell ref="B14:C14"/>
    <mergeCell ref="B30:D30"/>
    <mergeCell ref="J45:K45"/>
    <mergeCell ref="E7:G7"/>
    <mergeCell ref="B6:D6"/>
    <mergeCell ref="N30:P30"/>
    <mergeCell ref="B13:C13"/>
    <mergeCell ref="B69:C69"/>
    <mergeCell ref="H5:J5"/>
    <mergeCell ref="H72:I72"/>
    <mergeCell ref="J61:L61"/>
    <mergeCell ref="I34:K34"/>
    <mergeCell ref="H65:I65"/>
    <mergeCell ref="J72:L72"/>
    <mergeCell ref="B24:C24"/>
    <mergeCell ref="B64:C64"/>
    <mergeCell ref="N32:P32"/>
    <mergeCell ref="I36:K36"/>
    <mergeCell ref="K5:M5"/>
    <mergeCell ref="H62:I62"/>
    <mergeCell ref="H71:I71"/>
    <mergeCell ref="B63:C63"/>
    <mergeCell ref="B16:C16"/>
    <mergeCell ref="B25:C25"/>
    <mergeCell ref="I28:K28"/>
    <mergeCell ref="E60:G60"/>
    <mergeCell ref="I37:K37"/>
    <mergeCell ref="F34:G34"/>
    <mergeCell ref="J65:L65"/>
    <mergeCell ref="H63:I63"/>
    <mergeCell ref="E69:G69"/>
    <mergeCell ref="J70:L70"/>
    <mergeCell ref="B66:C66"/>
    <mergeCell ref="B18:C18"/>
    <mergeCell ref="H7:J7"/>
    <mergeCell ref="E6:G6"/>
    <mergeCell ref="J63:L63"/>
    <mergeCell ref="H68:I68"/>
    <mergeCell ref="F30:G30"/>
    <mergeCell ref="E61:G61"/>
    <mergeCell ref="F33:G33"/>
    <mergeCell ref="E70:G70"/>
    <mergeCell ref="N34:P34"/>
    <mergeCell ref="K7:M7"/>
    <mergeCell ref="H69:I69"/>
    <mergeCell ref="E72:G72"/>
    <mergeCell ref="B5:D5"/>
    <mergeCell ref="B36:D36"/>
    <mergeCell ref="N36:P36"/>
    <mergeCell ref="F31:G31"/>
    <mergeCell ref="F28:G28"/>
    <mergeCell ref="J67:L67"/>
    <mergeCell ref="E71:G71"/>
    <mergeCell ref="B15:C15"/>
    <mergeCell ref="B31:D31"/>
    <mergeCell ref="J46:K46"/>
    <mergeCell ref="J60:L60"/>
    <mergeCell ref="N37:P37"/>
    <mergeCell ref="J69:L69"/>
    <mergeCell ref="J48:K48"/>
    <mergeCell ref="H6:J6"/>
    <mergeCell ref="E63:G63"/>
    <mergeCell ref="B72:C72"/>
    <mergeCell ref="E65:G65"/>
    <mergeCell ref="B71:C71"/>
    <mergeCell ref="H60:I60"/>
    <mergeCell ref="M3:O3"/>
    <mergeCell ref="I39:K39"/>
    <mergeCell ref="N40:P40"/>
    <mergeCell ref="B60:C60"/>
    <mergeCell ref="F36:G36"/>
    <mergeCell ref="B17:C17"/>
    <mergeCell ref="I29:K29"/>
    <mergeCell ref="I38:K38"/>
    <mergeCell ref="J71:L71"/>
    <mergeCell ref="B19:C19"/>
    <mergeCell ref="B35:D35"/>
    <mergeCell ref="I31:K31"/>
    <mergeCell ref="I40:K40"/>
    <mergeCell ref="N35:P35"/>
    <mergeCell ref="H66:I66"/>
    <mergeCell ref="E62:G62"/>
    <mergeCell ref="B20:C20"/>
    <mergeCell ref="E64:G64"/>
    <mergeCell ref="J68:L68"/>
    <mergeCell ref="J44:K44"/>
    <mergeCell ref="B62:C62"/>
    <mergeCell ref="H67:I67"/>
    <mergeCell ref="N5:P5"/>
    <mergeCell ref="N39:P39"/>
    <mergeCell ref="B29:D29"/>
    <mergeCell ref="B38:D38"/>
    <mergeCell ref="N29:P29"/>
    <mergeCell ref="I33:K33"/>
    <mergeCell ref="B70:C70"/>
    <mergeCell ref="N38:P38"/>
    <mergeCell ref="H64:I64"/>
    <mergeCell ref="B23:C23"/>
    <mergeCell ref="N31:P31"/>
    <mergeCell ref="F32:G32"/>
    <mergeCell ref="I35:K35"/>
    <mergeCell ref="H61:I61"/>
    <mergeCell ref="H70:I70"/>
    <mergeCell ref="N6:P6"/>
    <mergeCell ref="F35:G35"/>
    <mergeCell ref="B33:D33"/>
    <mergeCell ref="J62:L62"/>
    <mergeCell ref="F38:G38"/>
    <mergeCell ref="E66:G66"/>
    <mergeCell ref="K6:M6"/>
    <mergeCell ref="B32:D32"/>
    <mergeCell ref="B7:D7"/>
    <mergeCell ref="I30:K30"/>
    <mergeCell ref="J47:K47"/>
    <mergeCell ref="J64:L64"/>
    <mergeCell ref="B65:C65"/>
    <mergeCell ref="E68:G68"/>
    <mergeCell ref="N7:P7"/>
    <mergeCell ref="F37:G37"/>
    <mergeCell ref="B68:C68"/>
    <mergeCell ref="E67:G67"/>
    <mergeCell ref="E5:G5"/>
  </mergeCells>
  <conditionalFormatting sqref="J45:K47">
    <cfRule type="expression" priority="1" dxfId="0">
      <formula>$J45="Conforme"</formula>
    </cfRule>
    <cfRule type="expression" priority="2" dxfId="1">
      <formula>$J45="Avec réserves"</formula>
    </cfRule>
    <cfRule type="expression" priority="3" dxfId="2">
      <formula>$J45="Refusé"</formula>
    </cfRule>
  </conditionalFormatting>
  <conditionalFormatting sqref="B61:C72">
    <cfRule type="expression" priority="4" dxfId="3">
      <formula>LEFT($B61,2)="BL"</formula>
    </cfRule>
    <cfRule type="expression" priority="5" dxfId="4">
      <formula>LEFT($B61,2)="BR"</formula>
    </cfRule>
    <cfRule type="expression" priority="6" dxfId="5">
      <formula>LEFT($B61,2)="BS"</formula>
    </cfRule>
  </conditionalFormatting>
  <conditionalFormatting sqref="F29:G38">
    <cfRule type="expression" priority="7" dxfId="6">
      <formula>p_currency="MAD"</formula>
    </cfRule>
    <cfRule type="expression" priority="9" dxfId="7">
      <formula>p_currency="EUR"</formula>
    </cfRule>
    <cfRule type="expression" priority="11" dxfId="8">
      <formula>p_currency="USD"</formula>
    </cfRule>
  </conditionalFormatting>
  <conditionalFormatting sqref="N29:P40">
    <cfRule type="expression" priority="8" dxfId="6">
      <formula>p_currency="MAD"</formula>
    </cfRule>
    <cfRule type="expression" priority="10" dxfId="7">
      <formula>p_currency="EUR"</formula>
    </cfRule>
    <cfRule type="expression" priority="12" dxfId="8">
      <formula>p_currency="USD"</formula>
    </cfRule>
  </conditionalFormatting>
  <dataValidations count="1">
    <dataValidation sqref="P3" showDropDown="0" showInputMessage="1" showErrorMessage="1" allowBlank="1" errorTitle="Année" error="Année à afficher (2026). Laissez vide pour l'année en cours." promptTitle="Année" prompt="Année à afficher (2026). Laissez vide pour l'année en cours." type="whole" operator="between">
      <formula1>2000</formula1>
      <formula2>2100</formula2>
    </dataValidation>
  </dataValidations>
  <hyperlinks>
    <hyperlink ref="P1" location="'Mode d''emploi'!A1"/>
  </hyperlinks>
  <printOptions horizontalCentered="1"/>
  <pageMargins left="0.4" right="0.4" top="0.5" bottom="0.5" header="0.5" footer="0.5"/>
  <pageSetup orientation="landscape" paperSize="9" fitToHeight="1" fitToWidth="1"/>
  <drawing xmlns:r="http://schemas.openxmlformats.org/officeDocument/2006/relationships" r:id="rId1"/>
</worksheet>
</file>

<file path=xl/worksheets/sheet3.xml><?xml version="1.0" encoding="utf-8"?>
<worksheet xmlns="http://schemas.openxmlformats.org/spreadsheetml/2006/main">
  <sheetPr>
    <tabColor rgb="FF0F766E"/>
    <outlinePr summaryBelow="1" summaryRight="1"/>
    <pageSetUpPr fitToPage="1"/>
  </sheetPr>
  <dimension ref="A1:AI2005"/>
  <sheetViews>
    <sheetView showGridLines="0" tabSelected="0" zoomScale="100" workbookViewId="0">
      <pane xSplit="2" ySplit="5" topLeftCell="C6" activePane="bottomRight" state="frozen"/>
      <selection pane="topRight"/>
      <selection pane="bottomLeft"/>
      <selection pane="bottomRight" activeCell="A1" sqref="A1"/>
    </sheetView>
  </sheetViews>
  <sheetFormatPr baseColWidth="8" defaultRowHeight="15"/>
  <cols>
    <col width="7" customWidth="1" min="1" max="1"/>
    <col width="10" customWidth="1" min="2" max="2"/>
    <col width="11" customWidth="1" min="3" max="3"/>
    <col width="11" customWidth="1" min="4" max="4"/>
    <col width="24" customWidth="1" min="5" max="5"/>
    <col width="13" customWidth="1" min="6" max="6"/>
    <col width="15" customWidth="1" min="7" max="7"/>
    <col width="14" customWidth="1" min="8" max="8"/>
    <col width="28" customWidth="1" min="9" max="9"/>
    <col width="7" customWidth="1" min="10" max="10"/>
    <col width="10" customWidth="1" min="11" max="11"/>
    <col width="10" customWidth="1" min="12" max="12"/>
    <col width="9" customWidth="1" min="13" max="13"/>
    <col width="11" customWidth="1" min="14" max="14"/>
    <col width="7" customWidth="1" min="15" max="15"/>
    <col width="10" customWidth="1" min="16" max="16"/>
    <col width="17" customWidth="1" min="17" max="17"/>
    <col width="14" customWidth="1" min="18" max="18"/>
    <col width="18" customWidth="1" min="19" max="19"/>
    <col width="28" customWidth="1" min="20" max="20"/>
    <col width="12" customWidth="1" min="21" max="21"/>
    <col width="13" customWidth="1" min="22" max="22"/>
    <col width="10" customWidth="1" min="23" max="23"/>
    <col width="30" customWidth="1" min="24" max="24"/>
    <col hidden="1" width="13" customWidth="1" min="25" max="25"/>
    <col hidden="1" width="13" customWidth="1" min="26" max="26"/>
    <col hidden="1" width="13" customWidth="1" min="27" max="27"/>
    <col hidden="1" width="13"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s>
  <sheetData>
    <row r="1" ht="38" customHeight="1">
      <c r="A1" s="2" t="inlineStr">
        <is>
          <t>Journal des livraisons, réceptions et sorties</t>
        </is>
      </c>
      <c r="B1" s="1" t="n"/>
      <c r="C1" s="1" t="n"/>
      <c r="D1" s="1" t="n"/>
      <c r="E1" s="1" t="n"/>
      <c r="F1" s="1" t="n"/>
      <c r="G1" s="1" t="n"/>
      <c r="H1" s="1" t="n"/>
      <c r="I1" s="1" t="n"/>
      <c r="J1" s="1" t="n"/>
      <c r="K1" s="1" t="n"/>
      <c r="L1" s="1" t="n"/>
      <c r="M1" s="1" t="n"/>
      <c r="N1" s="1" t="n"/>
      <c r="O1" s="1" t="n"/>
      <c r="P1" s="1" t="n"/>
      <c r="Q1" s="1" t="n"/>
      <c r="R1" s="1" t="n"/>
      <c r="S1" s="1" t="n"/>
      <c r="T1" s="1" t="n"/>
      <c r="U1" s="1" t="n"/>
      <c r="V1" s="1" t="n"/>
      <c r="W1" s="1" t="n"/>
      <c r="X1" s="18" t="inlineStr">
        <is>
          <t>⌂ Mode d'emploi</t>
        </is>
      </c>
    </row>
    <row r="2" ht="22" customHeight="1">
      <c r="A2" s="4" t="inlineStr">
        <is>
          <t>Une ligne par article. Les lignes de même type, date, tiers et n° de commande forment un document. Remplissez les colonnes blanches.</t>
        </is>
      </c>
      <c r="B2" s="3" t="n"/>
      <c r="C2" s="3" t="n"/>
      <c r="D2" s="3" t="n"/>
      <c r="E2" s="3" t="n"/>
      <c r="F2" s="3" t="n"/>
      <c r="G2" s="3" t="n"/>
      <c r="H2" s="3" t="n"/>
      <c r="I2" s="3" t="n"/>
      <c r="J2" s="3" t="n"/>
      <c r="K2" s="3" t="n"/>
      <c r="L2" s="3" t="n"/>
      <c r="M2" s="3" t="n"/>
      <c r="N2" s="3" t="n"/>
      <c r="O2" s="3" t="n"/>
      <c r="P2" s="3" t="n"/>
      <c r="Q2" s="3" t="n"/>
      <c r="R2" s="3" t="n"/>
      <c r="S2" s="3" t="n"/>
      <c r="T2" s="3" t="n"/>
      <c r="U2" s="3" t="n"/>
      <c r="V2" s="3" t="n"/>
      <c r="W2" s="3" t="n"/>
      <c r="X2" s="3" t="n"/>
    </row>
    <row r="3" ht="18" customHeight="1">
      <c r="V3" s="16" t="inlineStr">
        <is>
          <t>Saisie</t>
        </is>
      </c>
      <c r="W3" s="17" t="inlineStr">
        <is>
          <t>Calcul auto</t>
        </is>
      </c>
    </row>
    <row r="5" ht="44" customHeight="1">
      <c r="A5" s="42" t="inlineStr">
        <is>
          <t>Type</t>
        </is>
      </c>
      <c r="B5" s="42" t="inlineStr">
        <is>
          <t>N° document</t>
        </is>
      </c>
      <c r="C5" s="42" t="inlineStr">
        <is>
          <t>Date</t>
        </is>
      </c>
      <c r="D5" s="42" t="inlineStr">
        <is>
          <t>Client / fourn. / service</t>
        </is>
      </c>
      <c r="E5" s="42" t="inlineStr">
        <is>
          <t>Nom</t>
        </is>
      </c>
      <c r="F5" s="42" t="inlineStr">
        <is>
          <t>N° commande / demande</t>
        </is>
      </c>
      <c r="G5" s="42" t="inlineStr">
        <is>
          <t>Réf. externe / demandeur</t>
        </is>
      </c>
      <c r="H5" s="42" t="inlineStr">
        <is>
          <t>Article</t>
        </is>
      </c>
      <c r="I5" s="42" t="inlineStr">
        <is>
          <t>Désignation</t>
        </is>
      </c>
      <c r="J5" s="42" t="inlineStr">
        <is>
          <t>Unité</t>
        </is>
      </c>
      <c r="K5" s="42" t="inlineStr">
        <is>
          <t>Qté commandée</t>
        </is>
      </c>
      <c r="L5" s="42" t="inlineStr">
        <is>
          <t>Qté livrée / reçue / sortie</t>
        </is>
      </c>
      <c r="M5" s="42" t="inlineStr">
        <is>
          <t>Écart</t>
        </is>
      </c>
      <c r="N5" s="42" t="inlineStr">
        <is>
          <t>Lot / n° série</t>
        </is>
      </c>
      <c r="O5" s="42" t="inlineStr">
        <is>
          <t>Colis</t>
        </is>
      </c>
      <c r="P5" s="42" t="inlineStr">
        <is>
          <t>Poids (kg)</t>
        </is>
      </c>
      <c r="Q5" s="42" t="inlineStr">
        <is>
          <t>Transporteur</t>
        </is>
      </c>
      <c r="R5" s="42" t="inlineStr">
        <is>
          <t>État (réception)</t>
        </is>
      </c>
      <c r="S5" s="42" t="inlineStr">
        <is>
          <t>Motif (sortie)</t>
        </is>
      </c>
      <c r="T5" s="42" t="inlineStr">
        <is>
          <t>Observations</t>
        </is>
      </c>
      <c r="U5" s="42" t="inlineStr">
        <is>
          <t>Prix unitaire</t>
        </is>
      </c>
      <c r="V5" s="42" t="inlineStr">
        <is>
          <t>Valeur</t>
        </is>
      </c>
      <c r="W5" s="42" t="inlineStr">
        <is>
          <t>Reliquat en cours</t>
        </is>
      </c>
      <c r="X5" s="42" t="inlineStr">
        <is>
          <t>Contrôle</t>
        </is>
      </c>
      <c r="Y5" s="42" t="inlineStr">
        <is>
          <t>Clé</t>
        </is>
      </c>
      <c r="Z5" s="42" t="inlineStr">
        <is>
          <t>Nouveau</t>
        </is>
      </c>
      <c r="AA5" s="42" t="inlineStr">
        <is>
          <t>Séquence</t>
        </is>
      </c>
      <c r="AB5" s="42" t="inlineStr">
        <is>
          <t>Ligne</t>
        </is>
      </c>
      <c r="AC5" s="42" t="inlineStr">
        <is>
          <t>Clé ligne</t>
        </is>
      </c>
      <c r="AD5" s="42" t="inlineStr">
        <is>
          <t>Clé type</t>
        </is>
      </c>
      <c r="AE5" s="42" t="inlineStr">
        <is>
          <t>Année</t>
        </is>
      </c>
      <c r="AF5" s="42" t="inlineStr">
        <is>
          <t>Mois</t>
        </is>
      </c>
      <c r="AG5" s="42" t="inlineStr">
        <is>
          <t>Date n°</t>
        </is>
      </c>
      <c r="AH5" s="42" t="inlineStr">
        <is>
          <t>Rang reliquat</t>
        </is>
      </c>
      <c r="AI5" s="42" t="inlineStr">
        <is>
          <t>Rang doc</t>
        </is>
      </c>
    </row>
    <row r="6">
      <c r="A6" s="54" t="n"/>
      <c r="B6" s="55" t="str">
        <f>IF(AA6="","",A6&amp;"-"&amp;RIGHT("000"&amp;AA6,4))</f>
        <v/>
      </c>
      <c r="C6" s="56" t="n"/>
      <c r="D6" s="54" t="n"/>
      <c r="E6" s="57" t="str">
        <f>IF(D6="","",IF(A6="BL",IFERROR(INDEX(cl_name,MATCH(D6,cl_code,0))&amp;"","Client inconnu"),IF(A6="BR",IFERROR(INDEX(fo_name,MATCH(D6,fo_code,0))&amp;"","Fournisseur inconnu"),IF(A6="BS",IF(ISNA(MATCH(D6,p_services,0)),"Service inconnu",D6&amp;""),""))))</f>
        <v/>
      </c>
      <c r="F6" s="58" t="n"/>
      <c r="G6" s="58" t="n"/>
      <c r="H6" s="59" t="n"/>
      <c r="I6" s="57" t="str">
        <f>IF(H6="","",IFERROR(INDEX(art_des,MATCH(H6,art_ref,0))&amp;"","Article inconnu"))</f>
        <v/>
      </c>
      <c r="J6" s="60" t="str">
        <f>IF(H6="","",IFERROR(INDEX(art_unit,MATCH(H6,art_ref,0))&amp;"",""))</f>
        <v/>
      </c>
      <c r="K6" s="59" t="n"/>
      <c r="L6" s="59" t="n"/>
      <c r="M6" s="61" t="str">
        <f>IF(OR(B6="",NOT(ISNUMBER(K6)),NOT(ISNUMBER(L6))),"",IF(OR(K6&lt;=0,L6&lt;=0),"",ROUND(L6-K6,6)))</f>
        <v/>
      </c>
      <c r="N6" s="58" t="n"/>
      <c r="O6" s="62" t="n"/>
      <c r="P6" s="63" t="str">
        <f>IF(OR(B6="",NOT(ISNUMBER(L6))),"",IF(L6&lt;=0,"",IFERROR(ROUND(L6*N(INDEX(art_w,MATCH(H6,art_ref,0))),3),"")))</f>
        <v/>
      </c>
      <c r="Q6" s="59" t="n"/>
      <c r="R6" s="54" t="n"/>
      <c r="S6" s="59" t="n"/>
      <c r="T6" s="59" t="n"/>
      <c r="U6" s="64" t="str">
        <f>IF(OR(B6="",H6=""),"",IFERROR(IF(A6="BL",IF(N(INDEX(art_price,MATCH(H6,art_ref,0)))=0,"",N(INDEX(art_price,MATCH(H6,art_ref,0)))),IF(N(INDEX(art_cost,MATCH(H6,art_ref,0)))=0,"",N(INDEX(art_cost,MATCH(H6,art_ref,0))))),""))</f>
        <v/>
      </c>
      <c r="V6" s="64" t="str">
        <f>IF(OR(U6="",NOT(ISNUMBER(L6))),"",IF(L6&lt;=0,"",ROUND(L6*U6,2)))</f>
        <v/>
      </c>
      <c r="W6" s="60" t="str">
        <f>IF(AND(B6&lt;&gt;"",A6&lt;&gt;"BS",F6&lt;&gt;"",H6&lt;&gt;"",ISNUMBER(K6),ISNUMBER(L6)),IF(AND(K6&gt;0,L6&gt;0,K6-L6&gt;0,COUNTIFS(A7:A$2005,A6,F7:F$2005,F6,H7:H$2005,H6,AA7:AA$2005,"&gt;0")=0),ROUND(K6-L6,6),""),"")</f>
        <v/>
      </c>
      <c r="X6" s="60" t="str">
        <f>IF(AND(A6="",C6="",D6="",H6="",L6=""),"",IF(A6="","Type manquant",IF(AND(A6&lt;&gt;"BL",A6&lt;&gt;"BR",A6&lt;&gt;"BS"),"Type inconnu (BL, BR ou BS)",IF(AG6=0,"Date manquante ou invalide",IF(D6="",IF(A6="BL","Client manquant",IF(A6="BR","Fournisseur manquant","Service manquant")),IF(IF(A6="BL",ISNA(MATCH(D6,cl_code,0)),IF(A6="BR",ISNA(MATCH(D6,fo_code,0)),ISNA(MATCH(D6,p_services,0)))),IF(A6="BL","Client inconnu",IF(A6="BR","Fournisseur inconnu","Service inconnu")),IF(H6="","Article manquant",IF(ISNA(MATCH(H6,art_ref,0)),"Article inconnu",IF(OR(NOT(ISNUMBER(L6)),N(L6)&lt;=0),"Quantité invalide",IF(AND(K6&lt;&gt;"",OR(NOT(ISNUMBER(K6)),N(K6)&lt;=0)),"Qté commandée invalide",IF(FALSE,"Date antérieure au bon précédent",IF(AND(A6&lt;&gt;"BR",ISNUMBER(M6),N(M6)&gt;0),IF(A6="BL","Livré plus que commandé","Sorti plus que demandé"),"OK"))))))))))))</f>
        <v/>
      </c>
      <c r="Y6" s="57" t="str">
        <f>IF(AND(OR(A6="BL",A6="BR",A6="BS"),AG6&gt;0,D6&lt;&gt;""),A6&amp;"|"&amp;AG6&amp;"|"&amp;D6&amp;"|"&amp;F6,"")</f>
        <v/>
      </c>
      <c r="Z6" s="57" t="str">
        <f>IF(Y6="","",1)</f>
        <v/>
      </c>
      <c r="AA6" s="57" t="str">
        <f>IF(Y6="","",1)</f>
        <v/>
      </c>
      <c r="AB6" s="57" t="str">
        <f>IF(B6="","",COUNTIF(B$6:B6,B6))</f>
        <v/>
      </c>
      <c r="AC6" s="57" t="str">
        <f>IF(B6="","",B6&amp;"#"&amp;AB6)</f>
        <v/>
      </c>
      <c r="AD6" s="57" t="str">
        <f>IF(Z6=1,A6&amp;AA6,"")</f>
        <v/>
      </c>
      <c r="AE6" s="57" t="str">
        <f>IF(B6="","",YEAR(C6))</f>
        <v/>
      </c>
      <c r="AF6" s="57" t="str">
        <f>IF(B6="","",MONTH(C6))</f>
        <v/>
      </c>
      <c r="AG6" s="57">
        <f>IF(ISNUMBER(C6),C6,0)</f>
        <v>0.0</v>
      </c>
      <c r="AH6" s="57" t="str">
        <f>IF(N(W6)&gt;0,COUNTIF(W$6:W6,"&gt;0"),"")</f>
        <v/>
      </c>
      <c r="AI6" s="57" t="str">
        <f>IF(Z6=1,COUNTIF(Z$6:Z6,1),"")</f>
        <v/>
      </c>
    </row>
    <row r="7">
      <c r="A7" s="54" t="n"/>
      <c r="B7" s="55" t="str">
        <f>IF(AA7="","",A7&amp;"-"&amp;RIGHT("000"&amp;AA7,4))</f>
        <v/>
      </c>
      <c r="C7" s="56" t="n"/>
      <c r="D7" s="54" t="n"/>
      <c r="E7" s="57" t="str">
        <f>IF(D7="","",IF(A7="BL",IFERROR(INDEX(cl_name,MATCH(D7,cl_code,0))&amp;"","Client inconnu"),IF(A7="BR",IFERROR(INDEX(fo_name,MATCH(D7,fo_code,0))&amp;"","Fournisseur inconnu"),IF(A7="BS",IF(ISNA(MATCH(D7,p_services,0)),"Service inconnu",D7&amp;""),""))))</f>
        <v/>
      </c>
      <c r="F7" s="58" t="n"/>
      <c r="G7" s="58" t="n"/>
      <c r="H7" s="59" t="n"/>
      <c r="I7" s="57" t="str">
        <f>IF(H7="","",IFERROR(INDEX(art_des,MATCH(H7,art_ref,0))&amp;"","Article inconnu"))</f>
        <v/>
      </c>
      <c r="J7" s="60" t="str">
        <f>IF(H7="","",IFERROR(INDEX(art_unit,MATCH(H7,art_ref,0))&amp;"",""))</f>
        <v/>
      </c>
      <c r="K7" s="59" t="n"/>
      <c r="L7" s="59" t="n"/>
      <c r="M7" s="61" t="str">
        <f>IF(OR(B7="",NOT(ISNUMBER(K7)),NOT(ISNUMBER(L7))),"",IF(OR(K7&lt;=0,L7&lt;=0),"",ROUND(L7-K7,6)))</f>
        <v/>
      </c>
      <c r="N7" s="58" t="n"/>
      <c r="O7" s="62" t="n"/>
      <c r="P7" s="63" t="str">
        <f>IF(OR(B7="",NOT(ISNUMBER(L7))),"",IF(L7&lt;=0,"",IFERROR(ROUND(L7*N(INDEX(art_w,MATCH(H7,art_ref,0))),3),"")))</f>
        <v/>
      </c>
      <c r="Q7" s="59" t="n"/>
      <c r="R7" s="54" t="n"/>
      <c r="S7" s="59" t="n"/>
      <c r="T7" s="59" t="n"/>
      <c r="U7" s="64" t="str">
        <f>IF(OR(B7="",H7=""),"",IFERROR(IF(A7="BL",IF(N(INDEX(art_price,MATCH(H7,art_ref,0)))=0,"",N(INDEX(art_price,MATCH(H7,art_ref,0)))),IF(N(INDEX(art_cost,MATCH(H7,art_ref,0)))=0,"",N(INDEX(art_cost,MATCH(H7,art_ref,0))))),""))</f>
        <v/>
      </c>
      <c r="V7" s="64" t="str">
        <f>IF(OR(U7="",NOT(ISNUMBER(L7))),"",IF(L7&lt;=0,"",ROUND(L7*U7,2)))</f>
        <v/>
      </c>
      <c r="W7" s="60" t="str">
        <f>IF(AND(B7&lt;&gt;"",A7&lt;&gt;"BS",F7&lt;&gt;"",H7&lt;&gt;"",ISNUMBER(K7),ISNUMBER(L7)),IF(AND(K7&gt;0,L7&gt;0,K7-L7&gt;0,COUNTIFS(A8:A$2005,A7,F8:F$2005,F7,H8:H$2005,H7,AA8:AA$2005,"&gt;0")=0),ROUND(K7-L7,6),""),"")</f>
        <v/>
      </c>
      <c r="X7" s="60" t="str">
        <f>IF(AND(A7="",C7="",D7="",H7="",L7=""),"",IF(A7="","Type manquant",IF(AND(A7&lt;&gt;"BL",A7&lt;&gt;"BR",A7&lt;&gt;"BS"),"Type inconnu (BL, BR ou BS)",IF(AG7=0,"Date manquante ou invalide",IF(D7="",IF(A7="BL","Client manquant",IF(A7="BR","Fournisseur manquant","Service manquant")),IF(IF(A7="BL",ISNA(MATCH(D7,cl_code,0)),IF(A7="BR",ISNA(MATCH(D7,fo_code,0)),ISNA(MATCH(D7,p_services,0)))),IF(A7="BL","Client inconnu",IF(A7="BR","Fournisseur inconnu","Service inconnu")),IF(H7="","Article manquant",IF(ISNA(MATCH(H7,art_ref,0)),"Article inconnu",IF(OR(NOT(ISNUMBER(L7)),N(L7)&lt;=0),"Quantité invalide",IF(AND(K7&lt;&gt;"",OR(NOT(ISNUMBER(K7)),N(K7)&lt;=0)),"Qté commandée invalide",IF(AG7&lt;SUMPRODUCT(MAX((A$6:A6=A7)*AG$6:AG6)),"Date antérieure au bon précédent",IF(AND(A7&lt;&gt;"BR",ISNUMBER(M7),N(M7)&gt;0),IF(A7="BL","Livré plus que commandé","Sorti plus que demandé"),"OK"))))))))))))</f>
        <v/>
      </c>
      <c r="Y7" s="57" t="str">
        <f>IF(AND(OR(A7="BL",A7="BR",A7="BS"),AG7&gt;0,D7&lt;&gt;""),A7&amp;"|"&amp;AG7&amp;"|"&amp;D7&amp;"|"&amp;F7,"")</f>
        <v/>
      </c>
      <c r="Z7" s="57" t="str">
        <f>IF(Y7="","",IF(COUNTIF(Y$6:Y6,Y7)=0,1,0))</f>
        <v/>
      </c>
      <c r="AA7" s="57" t="str">
        <f>IF(Y7="","",IF(Z7=1,COUNTIFS(A$6:A7,A7,Z$6:Z7,1),INDEX(AA$6:AA6,MATCH(Y7,Y$6:Y6,0))))</f>
        <v/>
      </c>
      <c r="AB7" s="57" t="str">
        <f>IF(B7="","",COUNTIF(B$6:B7,B7))</f>
        <v/>
      </c>
      <c r="AC7" s="57" t="str">
        <f>IF(B7="","",B7&amp;"#"&amp;AB7)</f>
        <v/>
      </c>
      <c r="AD7" s="57" t="str">
        <f>IF(Z7=1,A7&amp;AA7,"")</f>
        <v/>
      </c>
      <c r="AE7" s="57" t="str">
        <f>IF(B7="","",YEAR(C7))</f>
        <v/>
      </c>
      <c r="AF7" s="57" t="str">
        <f>IF(B7="","",MONTH(C7))</f>
        <v/>
      </c>
      <c r="AG7" s="57">
        <f>IF(ISNUMBER(C7),C7,0)</f>
        <v>0.0</v>
      </c>
      <c r="AH7" s="57" t="str">
        <f>IF(N(W7)&gt;0,COUNTIF(W$6:W7,"&gt;0"),"")</f>
        <v/>
      </c>
      <c r="AI7" s="57" t="str">
        <f>IF(Z7=1,COUNTIF(Z$6:Z7,1),"")</f>
        <v/>
      </c>
    </row>
    <row r="8">
      <c r="A8" s="54" t="n"/>
      <c r="B8" s="55" t="str">
        <f>IF(AA8="","",A8&amp;"-"&amp;RIGHT("000"&amp;AA8,4))</f>
        <v/>
      </c>
      <c r="C8" s="56" t="n"/>
      <c r="D8" s="54" t="n"/>
      <c r="E8" s="57" t="str">
        <f>IF(D8="","",IF(A8="BL",IFERROR(INDEX(cl_name,MATCH(D8,cl_code,0))&amp;"","Client inconnu"),IF(A8="BR",IFERROR(INDEX(fo_name,MATCH(D8,fo_code,0))&amp;"","Fournisseur inconnu"),IF(A8="BS",IF(ISNA(MATCH(D8,p_services,0)),"Service inconnu",D8&amp;""),""))))</f>
        <v/>
      </c>
      <c r="F8" s="58" t="n"/>
      <c r="G8" s="58" t="n"/>
      <c r="H8" s="59" t="n"/>
      <c r="I8" s="57" t="str">
        <f>IF(H8="","",IFERROR(INDEX(art_des,MATCH(H8,art_ref,0))&amp;"","Article inconnu"))</f>
        <v/>
      </c>
      <c r="J8" s="60" t="str">
        <f>IF(H8="","",IFERROR(INDEX(art_unit,MATCH(H8,art_ref,0))&amp;"",""))</f>
        <v/>
      </c>
      <c r="K8" s="59" t="n"/>
      <c r="L8" s="59" t="n"/>
      <c r="M8" s="61" t="str">
        <f>IF(OR(B8="",NOT(ISNUMBER(K8)),NOT(ISNUMBER(L8))),"",IF(OR(K8&lt;=0,L8&lt;=0),"",ROUND(L8-K8,6)))</f>
        <v/>
      </c>
      <c r="N8" s="58" t="n"/>
      <c r="O8" s="62" t="n"/>
      <c r="P8" s="63" t="str">
        <f>IF(OR(B8="",NOT(ISNUMBER(L8))),"",IF(L8&lt;=0,"",IFERROR(ROUND(L8*N(INDEX(art_w,MATCH(H8,art_ref,0))),3),"")))</f>
        <v/>
      </c>
      <c r="Q8" s="59" t="n"/>
      <c r="R8" s="54" t="n"/>
      <c r="S8" s="59" t="n"/>
      <c r="T8" s="59" t="n"/>
      <c r="U8" s="64" t="str">
        <f>IF(OR(B8="",H8=""),"",IFERROR(IF(A8="BL",IF(N(INDEX(art_price,MATCH(H8,art_ref,0)))=0,"",N(INDEX(art_price,MATCH(H8,art_ref,0)))),IF(N(INDEX(art_cost,MATCH(H8,art_ref,0)))=0,"",N(INDEX(art_cost,MATCH(H8,art_ref,0))))),""))</f>
        <v/>
      </c>
      <c r="V8" s="64" t="str">
        <f>IF(OR(U8="",NOT(ISNUMBER(L8))),"",IF(L8&lt;=0,"",ROUND(L8*U8,2)))</f>
        <v/>
      </c>
      <c r="W8" s="60" t="str">
        <f>IF(AND(B8&lt;&gt;"",A8&lt;&gt;"BS",F8&lt;&gt;"",H8&lt;&gt;"",ISNUMBER(K8),ISNUMBER(L8)),IF(AND(K8&gt;0,L8&gt;0,K8-L8&gt;0,COUNTIFS(A9:A$2005,A8,F9:F$2005,F8,H9:H$2005,H8,AA9:AA$2005,"&gt;0")=0),ROUND(K8-L8,6),""),"")</f>
        <v/>
      </c>
      <c r="X8" s="60" t="str">
        <f>IF(AND(A8="",C8="",D8="",H8="",L8=""),"",IF(A8="","Type manquant",IF(AND(A8&lt;&gt;"BL",A8&lt;&gt;"BR",A8&lt;&gt;"BS"),"Type inconnu (BL, BR ou BS)",IF(AG8=0,"Date manquante ou invalide",IF(D8="",IF(A8="BL","Client manquant",IF(A8="BR","Fournisseur manquant","Service manquant")),IF(IF(A8="BL",ISNA(MATCH(D8,cl_code,0)),IF(A8="BR",ISNA(MATCH(D8,fo_code,0)),ISNA(MATCH(D8,p_services,0)))),IF(A8="BL","Client inconnu",IF(A8="BR","Fournisseur inconnu","Service inconnu")),IF(H8="","Article manquant",IF(ISNA(MATCH(H8,art_ref,0)),"Article inconnu",IF(OR(NOT(ISNUMBER(L8)),N(L8)&lt;=0),"Quantité invalide",IF(AND(K8&lt;&gt;"",OR(NOT(ISNUMBER(K8)),N(K8)&lt;=0)),"Qté commandée invalide",IF(AG8&lt;SUMPRODUCT(MAX((A$6:A7=A8)*AG$6:AG7)),"Date antérieure au bon précédent",IF(AND(A8&lt;&gt;"BR",ISNUMBER(M8),N(M8)&gt;0),IF(A8="BL","Livré plus que commandé","Sorti plus que demandé"),"OK"))))))))))))</f>
        <v/>
      </c>
      <c r="Y8" s="57" t="str">
        <f>IF(AND(OR(A8="BL",A8="BR",A8="BS"),AG8&gt;0,D8&lt;&gt;""),A8&amp;"|"&amp;AG8&amp;"|"&amp;D8&amp;"|"&amp;F8,"")</f>
        <v/>
      </c>
      <c r="Z8" s="57" t="str">
        <f>IF(Y8="","",IF(COUNTIF(Y$6:Y7,Y8)=0,1,0))</f>
        <v/>
      </c>
      <c r="AA8" s="57" t="str">
        <f>IF(Y8="","",IF(Z8=1,COUNTIFS(A$6:A8,A8,Z$6:Z8,1),INDEX(AA$6:AA7,MATCH(Y8,Y$6:Y7,0))))</f>
        <v/>
      </c>
      <c r="AB8" s="57" t="str">
        <f>IF(B8="","",COUNTIF(B$6:B8,B8))</f>
        <v/>
      </c>
      <c r="AC8" s="57" t="str">
        <f>IF(B8="","",B8&amp;"#"&amp;AB8)</f>
        <v/>
      </c>
      <c r="AD8" s="57" t="str">
        <f>IF(Z8=1,A8&amp;AA8,"")</f>
        <v/>
      </c>
      <c r="AE8" s="57" t="str">
        <f>IF(B8="","",YEAR(C8))</f>
        <v/>
      </c>
      <c r="AF8" s="57" t="str">
        <f>IF(B8="","",MONTH(C8))</f>
        <v/>
      </c>
      <c r="AG8" s="57">
        <f>IF(ISNUMBER(C8),C8,0)</f>
        <v>0.0</v>
      </c>
      <c r="AH8" s="57" t="str">
        <f>IF(N(W8)&gt;0,COUNTIF(W$6:W8,"&gt;0"),"")</f>
        <v/>
      </c>
      <c r="AI8" s="57" t="str">
        <f>IF(Z8=1,COUNTIF(Z$6:Z8,1),"")</f>
        <v/>
      </c>
    </row>
    <row r="9">
      <c r="A9" s="54" t="n"/>
      <c r="B9" s="55" t="str">
        <f>IF(AA9="","",A9&amp;"-"&amp;RIGHT("000"&amp;AA9,4))</f>
        <v/>
      </c>
      <c r="C9" s="56" t="n"/>
      <c r="D9" s="54" t="n"/>
      <c r="E9" s="57" t="str">
        <f>IF(D9="","",IF(A9="BL",IFERROR(INDEX(cl_name,MATCH(D9,cl_code,0))&amp;"","Client inconnu"),IF(A9="BR",IFERROR(INDEX(fo_name,MATCH(D9,fo_code,0))&amp;"","Fournisseur inconnu"),IF(A9="BS",IF(ISNA(MATCH(D9,p_services,0)),"Service inconnu",D9&amp;""),""))))</f>
        <v/>
      </c>
      <c r="F9" s="58" t="n"/>
      <c r="G9" s="58" t="n"/>
      <c r="H9" s="59" t="n"/>
      <c r="I9" s="57" t="str">
        <f>IF(H9="","",IFERROR(INDEX(art_des,MATCH(H9,art_ref,0))&amp;"","Article inconnu"))</f>
        <v/>
      </c>
      <c r="J9" s="60" t="str">
        <f>IF(H9="","",IFERROR(INDEX(art_unit,MATCH(H9,art_ref,0))&amp;"",""))</f>
        <v/>
      </c>
      <c r="K9" s="59" t="n"/>
      <c r="L9" s="59" t="n"/>
      <c r="M9" s="61" t="str">
        <f>IF(OR(B9="",NOT(ISNUMBER(K9)),NOT(ISNUMBER(L9))),"",IF(OR(K9&lt;=0,L9&lt;=0),"",ROUND(L9-K9,6)))</f>
        <v/>
      </c>
      <c r="N9" s="58" t="n"/>
      <c r="O9" s="62" t="n"/>
      <c r="P9" s="63" t="str">
        <f>IF(OR(B9="",NOT(ISNUMBER(L9))),"",IF(L9&lt;=0,"",IFERROR(ROUND(L9*N(INDEX(art_w,MATCH(H9,art_ref,0))),3),"")))</f>
        <v/>
      </c>
      <c r="Q9" s="59" t="n"/>
      <c r="R9" s="54" t="n"/>
      <c r="S9" s="59" t="n"/>
      <c r="T9" s="59" t="n"/>
      <c r="U9" s="64" t="str">
        <f>IF(OR(B9="",H9=""),"",IFERROR(IF(A9="BL",IF(N(INDEX(art_price,MATCH(H9,art_ref,0)))=0,"",N(INDEX(art_price,MATCH(H9,art_ref,0)))),IF(N(INDEX(art_cost,MATCH(H9,art_ref,0)))=0,"",N(INDEX(art_cost,MATCH(H9,art_ref,0))))),""))</f>
        <v/>
      </c>
      <c r="V9" s="64" t="str">
        <f>IF(OR(U9="",NOT(ISNUMBER(L9))),"",IF(L9&lt;=0,"",ROUND(L9*U9,2)))</f>
        <v/>
      </c>
      <c r="W9" s="60" t="str">
        <f>IF(AND(B9&lt;&gt;"",A9&lt;&gt;"BS",F9&lt;&gt;"",H9&lt;&gt;"",ISNUMBER(K9),ISNUMBER(L9)),IF(AND(K9&gt;0,L9&gt;0,K9-L9&gt;0,COUNTIFS(A10:A$2005,A9,F10:F$2005,F9,H10:H$2005,H9,AA10:AA$2005,"&gt;0")=0),ROUND(K9-L9,6),""),"")</f>
        <v/>
      </c>
      <c r="X9" s="60" t="str">
        <f>IF(AND(A9="",C9="",D9="",H9="",L9=""),"",IF(A9="","Type manquant",IF(AND(A9&lt;&gt;"BL",A9&lt;&gt;"BR",A9&lt;&gt;"BS"),"Type inconnu (BL, BR ou BS)",IF(AG9=0,"Date manquante ou invalide",IF(D9="",IF(A9="BL","Client manquant",IF(A9="BR","Fournisseur manquant","Service manquant")),IF(IF(A9="BL",ISNA(MATCH(D9,cl_code,0)),IF(A9="BR",ISNA(MATCH(D9,fo_code,0)),ISNA(MATCH(D9,p_services,0)))),IF(A9="BL","Client inconnu",IF(A9="BR","Fournisseur inconnu","Service inconnu")),IF(H9="","Article manquant",IF(ISNA(MATCH(H9,art_ref,0)),"Article inconnu",IF(OR(NOT(ISNUMBER(L9)),N(L9)&lt;=0),"Quantité invalide",IF(AND(K9&lt;&gt;"",OR(NOT(ISNUMBER(K9)),N(K9)&lt;=0)),"Qté commandée invalide",IF(AG9&lt;SUMPRODUCT(MAX((A$6:A8=A9)*AG$6:AG8)),"Date antérieure au bon précédent",IF(AND(A9&lt;&gt;"BR",ISNUMBER(M9),N(M9)&gt;0),IF(A9="BL","Livré plus que commandé","Sorti plus que demandé"),"OK"))))))))))))</f>
        <v/>
      </c>
      <c r="Y9" s="57" t="str">
        <f>IF(AND(OR(A9="BL",A9="BR",A9="BS"),AG9&gt;0,D9&lt;&gt;""),A9&amp;"|"&amp;AG9&amp;"|"&amp;D9&amp;"|"&amp;F9,"")</f>
        <v/>
      </c>
      <c r="Z9" s="57" t="str">
        <f>IF(Y9="","",IF(COUNTIF(Y$6:Y8,Y9)=0,1,0))</f>
        <v/>
      </c>
      <c r="AA9" s="57" t="str">
        <f>IF(Y9="","",IF(Z9=1,COUNTIFS(A$6:A9,A9,Z$6:Z9,1),INDEX(AA$6:AA8,MATCH(Y9,Y$6:Y8,0))))</f>
        <v/>
      </c>
      <c r="AB9" s="57" t="str">
        <f>IF(B9="","",COUNTIF(B$6:B9,B9))</f>
        <v/>
      </c>
      <c r="AC9" s="57" t="str">
        <f>IF(B9="","",B9&amp;"#"&amp;AB9)</f>
        <v/>
      </c>
      <c r="AD9" s="57" t="str">
        <f>IF(Z9=1,A9&amp;AA9,"")</f>
        <v/>
      </c>
      <c r="AE9" s="57" t="str">
        <f>IF(B9="","",YEAR(C9))</f>
        <v/>
      </c>
      <c r="AF9" s="57" t="str">
        <f>IF(B9="","",MONTH(C9))</f>
        <v/>
      </c>
      <c r="AG9" s="57">
        <f>IF(ISNUMBER(C9),C9,0)</f>
        <v>0.0</v>
      </c>
      <c r="AH9" s="57" t="str">
        <f>IF(N(W9)&gt;0,COUNTIF(W$6:W9,"&gt;0"),"")</f>
        <v/>
      </c>
      <c r="AI9" s="57" t="str">
        <f>IF(Z9=1,COUNTIF(Z$6:Z9,1),"")</f>
        <v/>
      </c>
    </row>
    <row r="10">
      <c r="A10" s="54" t="n"/>
      <c r="B10" s="55" t="str">
        <f>IF(AA10="","",A10&amp;"-"&amp;RIGHT("000"&amp;AA10,4))</f>
        <v/>
      </c>
      <c r="C10" s="56" t="n"/>
      <c r="D10" s="54" t="n"/>
      <c r="E10" s="57" t="str">
        <f>IF(D10="","",IF(A10="BL",IFERROR(INDEX(cl_name,MATCH(D10,cl_code,0))&amp;"","Client inconnu"),IF(A10="BR",IFERROR(INDEX(fo_name,MATCH(D10,fo_code,0))&amp;"","Fournisseur inconnu"),IF(A10="BS",IF(ISNA(MATCH(D10,p_services,0)),"Service inconnu",D10&amp;""),""))))</f>
        <v/>
      </c>
      <c r="F10" s="58" t="n"/>
      <c r="G10" s="58" t="n"/>
      <c r="H10" s="59" t="n"/>
      <c r="I10" s="57" t="str">
        <f>IF(H10="","",IFERROR(INDEX(art_des,MATCH(H10,art_ref,0))&amp;"","Article inconnu"))</f>
        <v/>
      </c>
      <c r="J10" s="60" t="str">
        <f>IF(H10="","",IFERROR(INDEX(art_unit,MATCH(H10,art_ref,0))&amp;"",""))</f>
        <v/>
      </c>
      <c r="K10" s="59" t="n"/>
      <c r="L10" s="59" t="n"/>
      <c r="M10" s="61" t="str">
        <f>IF(OR(B10="",NOT(ISNUMBER(K10)),NOT(ISNUMBER(L10))),"",IF(OR(K10&lt;=0,L10&lt;=0),"",ROUND(L10-K10,6)))</f>
        <v/>
      </c>
      <c r="N10" s="58" t="n"/>
      <c r="O10" s="62" t="n"/>
      <c r="P10" s="63" t="str">
        <f>IF(OR(B10="",NOT(ISNUMBER(L10))),"",IF(L10&lt;=0,"",IFERROR(ROUND(L10*N(INDEX(art_w,MATCH(H10,art_ref,0))),3),"")))</f>
        <v/>
      </c>
      <c r="Q10" s="59" t="n"/>
      <c r="R10" s="54" t="n"/>
      <c r="S10" s="59" t="n"/>
      <c r="T10" s="59" t="n"/>
      <c r="U10" s="64" t="str">
        <f>IF(OR(B10="",H10=""),"",IFERROR(IF(A10="BL",IF(N(INDEX(art_price,MATCH(H10,art_ref,0)))=0,"",N(INDEX(art_price,MATCH(H10,art_ref,0)))),IF(N(INDEX(art_cost,MATCH(H10,art_ref,0)))=0,"",N(INDEX(art_cost,MATCH(H10,art_ref,0))))),""))</f>
        <v/>
      </c>
      <c r="V10" s="64" t="str">
        <f>IF(OR(U10="",NOT(ISNUMBER(L10))),"",IF(L10&lt;=0,"",ROUND(L10*U10,2)))</f>
        <v/>
      </c>
      <c r="W10" s="60" t="str">
        <f>IF(AND(B10&lt;&gt;"",A10&lt;&gt;"BS",F10&lt;&gt;"",H10&lt;&gt;"",ISNUMBER(K10),ISNUMBER(L10)),IF(AND(K10&gt;0,L10&gt;0,K10-L10&gt;0,COUNTIFS(A11:A$2005,A10,F11:F$2005,F10,H11:H$2005,H10,AA11:AA$2005,"&gt;0")=0),ROUND(K10-L10,6),""),"")</f>
        <v/>
      </c>
      <c r="X10" s="60" t="str">
        <f>IF(AND(A10="",C10="",D10="",H10="",L10=""),"",IF(A10="","Type manquant",IF(AND(A10&lt;&gt;"BL",A10&lt;&gt;"BR",A10&lt;&gt;"BS"),"Type inconnu (BL, BR ou BS)",IF(AG10=0,"Date manquante ou invalide",IF(D10="",IF(A10="BL","Client manquant",IF(A10="BR","Fournisseur manquant","Service manquant")),IF(IF(A10="BL",ISNA(MATCH(D10,cl_code,0)),IF(A10="BR",ISNA(MATCH(D10,fo_code,0)),ISNA(MATCH(D10,p_services,0)))),IF(A10="BL","Client inconnu",IF(A10="BR","Fournisseur inconnu","Service inconnu")),IF(H10="","Article manquant",IF(ISNA(MATCH(H10,art_ref,0)),"Article inconnu",IF(OR(NOT(ISNUMBER(L10)),N(L10)&lt;=0),"Quantité invalide",IF(AND(K10&lt;&gt;"",OR(NOT(ISNUMBER(K10)),N(K10)&lt;=0)),"Qté commandée invalide",IF(AG10&lt;SUMPRODUCT(MAX((A$6:A9=A10)*AG$6:AG9)),"Date antérieure au bon précédent",IF(AND(A10&lt;&gt;"BR",ISNUMBER(M10),N(M10)&gt;0),IF(A10="BL","Livré plus que commandé","Sorti plus que demandé"),"OK"))))))))))))</f>
        <v/>
      </c>
      <c r="Y10" s="57" t="str">
        <f>IF(AND(OR(A10="BL",A10="BR",A10="BS"),AG10&gt;0,D10&lt;&gt;""),A10&amp;"|"&amp;AG10&amp;"|"&amp;D10&amp;"|"&amp;F10,"")</f>
        <v/>
      </c>
      <c r="Z10" s="57" t="str">
        <f>IF(Y10="","",IF(COUNTIF(Y$6:Y9,Y10)=0,1,0))</f>
        <v/>
      </c>
      <c r="AA10" s="57" t="str">
        <f>IF(Y10="","",IF(Z10=1,COUNTIFS(A$6:A10,A10,Z$6:Z10,1),INDEX(AA$6:AA9,MATCH(Y10,Y$6:Y9,0))))</f>
        <v/>
      </c>
      <c r="AB10" s="57" t="str">
        <f>IF(B10="","",COUNTIF(B$6:B10,B10))</f>
        <v/>
      </c>
      <c r="AC10" s="57" t="str">
        <f>IF(B10="","",B10&amp;"#"&amp;AB10)</f>
        <v/>
      </c>
      <c r="AD10" s="57" t="str">
        <f>IF(Z10=1,A10&amp;AA10,"")</f>
        <v/>
      </c>
      <c r="AE10" s="57" t="str">
        <f>IF(B10="","",YEAR(C10))</f>
        <v/>
      </c>
      <c r="AF10" s="57" t="str">
        <f>IF(B10="","",MONTH(C10))</f>
        <v/>
      </c>
      <c r="AG10" s="57">
        <f>IF(ISNUMBER(C10),C10,0)</f>
        <v>0.0</v>
      </c>
      <c r="AH10" s="57" t="str">
        <f>IF(N(W10)&gt;0,COUNTIF(W$6:W10,"&gt;0"),"")</f>
        <v/>
      </c>
      <c r="AI10" s="57" t="str">
        <f>IF(Z10=1,COUNTIF(Z$6:Z10,1),"")</f>
        <v/>
      </c>
    </row>
    <row r="11">
      <c r="A11" s="54" t="n"/>
      <c r="B11" s="55" t="str">
        <f>IF(AA11="","",A11&amp;"-"&amp;RIGHT("000"&amp;AA11,4))</f>
        <v/>
      </c>
      <c r="C11" s="56" t="n"/>
      <c r="D11" s="54" t="n"/>
      <c r="E11" s="57" t="str">
        <f>IF(D11="","",IF(A11="BL",IFERROR(INDEX(cl_name,MATCH(D11,cl_code,0))&amp;"","Client inconnu"),IF(A11="BR",IFERROR(INDEX(fo_name,MATCH(D11,fo_code,0))&amp;"","Fournisseur inconnu"),IF(A11="BS",IF(ISNA(MATCH(D11,p_services,0)),"Service inconnu",D11&amp;""),""))))</f>
        <v/>
      </c>
      <c r="F11" s="58" t="n"/>
      <c r="G11" s="58" t="n"/>
      <c r="H11" s="59" t="n"/>
      <c r="I11" s="57" t="str">
        <f>IF(H11="","",IFERROR(INDEX(art_des,MATCH(H11,art_ref,0))&amp;"","Article inconnu"))</f>
        <v/>
      </c>
      <c r="J11" s="60" t="str">
        <f>IF(H11="","",IFERROR(INDEX(art_unit,MATCH(H11,art_ref,0))&amp;"",""))</f>
        <v/>
      </c>
      <c r="K11" s="59" t="n"/>
      <c r="L11" s="59" t="n"/>
      <c r="M11" s="61" t="str">
        <f>IF(OR(B11="",NOT(ISNUMBER(K11)),NOT(ISNUMBER(L11))),"",IF(OR(K11&lt;=0,L11&lt;=0),"",ROUND(L11-K11,6)))</f>
        <v/>
      </c>
      <c r="N11" s="58" t="n"/>
      <c r="O11" s="62" t="n"/>
      <c r="P11" s="63" t="str">
        <f>IF(OR(B11="",NOT(ISNUMBER(L11))),"",IF(L11&lt;=0,"",IFERROR(ROUND(L11*N(INDEX(art_w,MATCH(H11,art_ref,0))),3),"")))</f>
        <v/>
      </c>
      <c r="Q11" s="59" t="n"/>
      <c r="R11" s="54" t="n"/>
      <c r="S11" s="59" t="n"/>
      <c r="T11" s="59" t="n"/>
      <c r="U11" s="64" t="str">
        <f>IF(OR(B11="",H11=""),"",IFERROR(IF(A11="BL",IF(N(INDEX(art_price,MATCH(H11,art_ref,0)))=0,"",N(INDEX(art_price,MATCH(H11,art_ref,0)))),IF(N(INDEX(art_cost,MATCH(H11,art_ref,0)))=0,"",N(INDEX(art_cost,MATCH(H11,art_ref,0))))),""))</f>
        <v/>
      </c>
      <c r="V11" s="64" t="str">
        <f>IF(OR(U11="",NOT(ISNUMBER(L11))),"",IF(L11&lt;=0,"",ROUND(L11*U11,2)))</f>
        <v/>
      </c>
      <c r="W11" s="60" t="str">
        <f>IF(AND(B11&lt;&gt;"",A11&lt;&gt;"BS",F11&lt;&gt;"",H11&lt;&gt;"",ISNUMBER(K11),ISNUMBER(L11)),IF(AND(K11&gt;0,L11&gt;0,K11-L11&gt;0,COUNTIFS(A12:A$2005,A11,F12:F$2005,F11,H12:H$2005,H11,AA12:AA$2005,"&gt;0")=0),ROUND(K11-L11,6),""),"")</f>
        <v/>
      </c>
      <c r="X11" s="60" t="str">
        <f>IF(AND(A11="",C11="",D11="",H11="",L11=""),"",IF(A11="","Type manquant",IF(AND(A11&lt;&gt;"BL",A11&lt;&gt;"BR",A11&lt;&gt;"BS"),"Type inconnu (BL, BR ou BS)",IF(AG11=0,"Date manquante ou invalide",IF(D11="",IF(A11="BL","Client manquant",IF(A11="BR","Fournisseur manquant","Service manquant")),IF(IF(A11="BL",ISNA(MATCH(D11,cl_code,0)),IF(A11="BR",ISNA(MATCH(D11,fo_code,0)),ISNA(MATCH(D11,p_services,0)))),IF(A11="BL","Client inconnu",IF(A11="BR","Fournisseur inconnu","Service inconnu")),IF(H11="","Article manquant",IF(ISNA(MATCH(H11,art_ref,0)),"Article inconnu",IF(OR(NOT(ISNUMBER(L11)),N(L11)&lt;=0),"Quantité invalide",IF(AND(K11&lt;&gt;"",OR(NOT(ISNUMBER(K11)),N(K11)&lt;=0)),"Qté commandée invalide",IF(AG11&lt;SUMPRODUCT(MAX((A$6:A10=A11)*AG$6:AG10)),"Date antérieure au bon précédent",IF(AND(A11&lt;&gt;"BR",ISNUMBER(M11),N(M11)&gt;0),IF(A11="BL","Livré plus que commandé","Sorti plus que demandé"),"OK"))))))))))))</f>
        <v/>
      </c>
      <c r="Y11" s="57" t="str">
        <f>IF(AND(OR(A11="BL",A11="BR",A11="BS"),AG11&gt;0,D11&lt;&gt;""),A11&amp;"|"&amp;AG11&amp;"|"&amp;D11&amp;"|"&amp;F11,"")</f>
        <v/>
      </c>
      <c r="Z11" s="57" t="str">
        <f>IF(Y11="","",IF(COUNTIF(Y$6:Y10,Y11)=0,1,0))</f>
        <v/>
      </c>
      <c r="AA11" s="57" t="str">
        <f>IF(Y11="","",IF(Z11=1,COUNTIFS(A$6:A11,A11,Z$6:Z11,1),INDEX(AA$6:AA10,MATCH(Y11,Y$6:Y10,0))))</f>
        <v/>
      </c>
      <c r="AB11" s="57" t="str">
        <f>IF(B11="","",COUNTIF(B$6:B11,B11))</f>
        <v/>
      </c>
      <c r="AC11" s="57" t="str">
        <f>IF(B11="","",B11&amp;"#"&amp;AB11)</f>
        <v/>
      </c>
      <c r="AD11" s="57" t="str">
        <f>IF(Z11=1,A11&amp;AA11,"")</f>
        <v/>
      </c>
      <c r="AE11" s="57" t="str">
        <f>IF(B11="","",YEAR(C11))</f>
        <v/>
      </c>
      <c r="AF11" s="57" t="str">
        <f>IF(B11="","",MONTH(C11))</f>
        <v/>
      </c>
      <c r="AG11" s="57">
        <f>IF(ISNUMBER(C11),C11,0)</f>
        <v>0.0</v>
      </c>
      <c r="AH11" s="57" t="str">
        <f>IF(N(W11)&gt;0,COUNTIF(W$6:W11,"&gt;0"),"")</f>
        <v/>
      </c>
      <c r="AI11" s="57" t="str">
        <f>IF(Z11=1,COUNTIF(Z$6:Z11,1),"")</f>
        <v/>
      </c>
    </row>
    <row r="12">
      <c r="A12" s="54" t="n"/>
      <c r="B12" s="55" t="str">
        <f>IF(AA12="","",A12&amp;"-"&amp;RIGHT("000"&amp;AA12,4))</f>
        <v/>
      </c>
      <c r="C12" s="56" t="n"/>
      <c r="D12" s="54" t="n"/>
      <c r="E12" s="57" t="str">
        <f>IF(D12="","",IF(A12="BL",IFERROR(INDEX(cl_name,MATCH(D12,cl_code,0))&amp;"","Client inconnu"),IF(A12="BR",IFERROR(INDEX(fo_name,MATCH(D12,fo_code,0))&amp;"","Fournisseur inconnu"),IF(A12="BS",IF(ISNA(MATCH(D12,p_services,0)),"Service inconnu",D12&amp;""),""))))</f>
        <v/>
      </c>
      <c r="F12" s="58" t="n"/>
      <c r="G12" s="58" t="n"/>
      <c r="H12" s="59" t="n"/>
      <c r="I12" s="57" t="str">
        <f>IF(H12="","",IFERROR(INDEX(art_des,MATCH(H12,art_ref,0))&amp;"","Article inconnu"))</f>
        <v/>
      </c>
      <c r="J12" s="60" t="str">
        <f>IF(H12="","",IFERROR(INDEX(art_unit,MATCH(H12,art_ref,0))&amp;"",""))</f>
        <v/>
      </c>
      <c r="K12" s="59" t="n"/>
      <c r="L12" s="59" t="n"/>
      <c r="M12" s="61" t="str">
        <f>IF(OR(B12="",NOT(ISNUMBER(K12)),NOT(ISNUMBER(L12))),"",IF(OR(K12&lt;=0,L12&lt;=0),"",ROUND(L12-K12,6)))</f>
        <v/>
      </c>
      <c r="N12" s="58" t="n"/>
      <c r="O12" s="62" t="n"/>
      <c r="P12" s="63" t="str">
        <f>IF(OR(B12="",NOT(ISNUMBER(L12))),"",IF(L12&lt;=0,"",IFERROR(ROUND(L12*N(INDEX(art_w,MATCH(H12,art_ref,0))),3),"")))</f>
        <v/>
      </c>
      <c r="Q12" s="59" t="n"/>
      <c r="R12" s="54" t="n"/>
      <c r="S12" s="59" t="n"/>
      <c r="T12" s="59" t="n"/>
      <c r="U12" s="64" t="str">
        <f>IF(OR(B12="",H12=""),"",IFERROR(IF(A12="BL",IF(N(INDEX(art_price,MATCH(H12,art_ref,0)))=0,"",N(INDEX(art_price,MATCH(H12,art_ref,0)))),IF(N(INDEX(art_cost,MATCH(H12,art_ref,0)))=0,"",N(INDEX(art_cost,MATCH(H12,art_ref,0))))),""))</f>
        <v/>
      </c>
      <c r="V12" s="64" t="str">
        <f>IF(OR(U12="",NOT(ISNUMBER(L12))),"",IF(L12&lt;=0,"",ROUND(L12*U12,2)))</f>
        <v/>
      </c>
      <c r="W12" s="60" t="str">
        <f>IF(AND(B12&lt;&gt;"",A12&lt;&gt;"BS",F12&lt;&gt;"",H12&lt;&gt;"",ISNUMBER(K12),ISNUMBER(L12)),IF(AND(K12&gt;0,L12&gt;0,K12-L12&gt;0,COUNTIFS(A13:A$2005,A12,F13:F$2005,F12,H13:H$2005,H12,AA13:AA$2005,"&gt;0")=0),ROUND(K12-L12,6),""),"")</f>
        <v/>
      </c>
      <c r="X12" s="60" t="str">
        <f>IF(AND(A12="",C12="",D12="",H12="",L12=""),"",IF(A12="","Type manquant",IF(AND(A12&lt;&gt;"BL",A12&lt;&gt;"BR",A12&lt;&gt;"BS"),"Type inconnu (BL, BR ou BS)",IF(AG12=0,"Date manquante ou invalide",IF(D12="",IF(A12="BL","Client manquant",IF(A12="BR","Fournisseur manquant","Service manquant")),IF(IF(A12="BL",ISNA(MATCH(D12,cl_code,0)),IF(A12="BR",ISNA(MATCH(D12,fo_code,0)),ISNA(MATCH(D12,p_services,0)))),IF(A12="BL","Client inconnu",IF(A12="BR","Fournisseur inconnu","Service inconnu")),IF(H12="","Article manquant",IF(ISNA(MATCH(H12,art_ref,0)),"Article inconnu",IF(OR(NOT(ISNUMBER(L12)),N(L12)&lt;=0),"Quantité invalide",IF(AND(K12&lt;&gt;"",OR(NOT(ISNUMBER(K12)),N(K12)&lt;=0)),"Qté commandée invalide",IF(AG12&lt;SUMPRODUCT(MAX((A$6:A11=A12)*AG$6:AG11)),"Date antérieure au bon précédent",IF(AND(A12&lt;&gt;"BR",ISNUMBER(M12),N(M12)&gt;0),IF(A12="BL","Livré plus que commandé","Sorti plus que demandé"),"OK"))))))))))))</f>
        <v/>
      </c>
      <c r="Y12" s="57" t="str">
        <f>IF(AND(OR(A12="BL",A12="BR",A12="BS"),AG12&gt;0,D12&lt;&gt;""),A12&amp;"|"&amp;AG12&amp;"|"&amp;D12&amp;"|"&amp;F12,"")</f>
        <v/>
      </c>
      <c r="Z12" s="57" t="str">
        <f>IF(Y12="","",IF(COUNTIF(Y$6:Y11,Y12)=0,1,0))</f>
        <v/>
      </c>
      <c r="AA12" s="57" t="str">
        <f>IF(Y12="","",IF(Z12=1,COUNTIFS(A$6:A12,A12,Z$6:Z12,1),INDEX(AA$6:AA11,MATCH(Y12,Y$6:Y11,0))))</f>
        <v/>
      </c>
      <c r="AB12" s="57" t="str">
        <f>IF(B12="","",COUNTIF(B$6:B12,B12))</f>
        <v/>
      </c>
      <c r="AC12" s="57" t="str">
        <f>IF(B12="","",B12&amp;"#"&amp;AB12)</f>
        <v/>
      </c>
      <c r="AD12" s="57" t="str">
        <f>IF(Z12=1,A12&amp;AA12,"")</f>
        <v/>
      </c>
      <c r="AE12" s="57" t="str">
        <f>IF(B12="","",YEAR(C12))</f>
        <v/>
      </c>
      <c r="AF12" s="57" t="str">
        <f>IF(B12="","",MONTH(C12))</f>
        <v/>
      </c>
      <c r="AG12" s="57">
        <f>IF(ISNUMBER(C12),C12,0)</f>
        <v>0.0</v>
      </c>
      <c r="AH12" s="57" t="str">
        <f>IF(N(W12)&gt;0,COUNTIF(W$6:W12,"&gt;0"),"")</f>
        <v/>
      </c>
      <c r="AI12" s="57" t="str">
        <f>IF(Z12=1,COUNTIF(Z$6:Z12,1),"")</f>
        <v/>
      </c>
    </row>
    <row r="13">
      <c r="A13" s="54" t="n"/>
      <c r="B13" s="55" t="str">
        <f>IF(AA13="","",A13&amp;"-"&amp;RIGHT("000"&amp;AA13,4))</f>
        <v/>
      </c>
      <c r="C13" s="56" t="n"/>
      <c r="D13" s="54" t="n"/>
      <c r="E13" s="57" t="str">
        <f>IF(D13="","",IF(A13="BL",IFERROR(INDEX(cl_name,MATCH(D13,cl_code,0))&amp;"","Client inconnu"),IF(A13="BR",IFERROR(INDEX(fo_name,MATCH(D13,fo_code,0))&amp;"","Fournisseur inconnu"),IF(A13="BS",IF(ISNA(MATCH(D13,p_services,0)),"Service inconnu",D13&amp;""),""))))</f>
        <v/>
      </c>
      <c r="F13" s="58" t="n"/>
      <c r="G13" s="58" t="n"/>
      <c r="H13" s="59" t="n"/>
      <c r="I13" s="57" t="str">
        <f>IF(H13="","",IFERROR(INDEX(art_des,MATCH(H13,art_ref,0))&amp;"","Article inconnu"))</f>
        <v/>
      </c>
      <c r="J13" s="60" t="str">
        <f>IF(H13="","",IFERROR(INDEX(art_unit,MATCH(H13,art_ref,0))&amp;"",""))</f>
        <v/>
      </c>
      <c r="K13" s="59" t="n"/>
      <c r="L13" s="59" t="n"/>
      <c r="M13" s="61" t="str">
        <f>IF(OR(B13="",NOT(ISNUMBER(K13)),NOT(ISNUMBER(L13))),"",IF(OR(K13&lt;=0,L13&lt;=0),"",ROUND(L13-K13,6)))</f>
        <v/>
      </c>
      <c r="N13" s="58" t="n"/>
      <c r="O13" s="62" t="n"/>
      <c r="P13" s="63" t="str">
        <f>IF(OR(B13="",NOT(ISNUMBER(L13))),"",IF(L13&lt;=0,"",IFERROR(ROUND(L13*N(INDEX(art_w,MATCH(H13,art_ref,0))),3),"")))</f>
        <v/>
      </c>
      <c r="Q13" s="59" t="n"/>
      <c r="R13" s="54" t="n"/>
      <c r="S13" s="59" t="n"/>
      <c r="T13" s="59" t="n"/>
      <c r="U13" s="64" t="str">
        <f>IF(OR(B13="",H13=""),"",IFERROR(IF(A13="BL",IF(N(INDEX(art_price,MATCH(H13,art_ref,0)))=0,"",N(INDEX(art_price,MATCH(H13,art_ref,0)))),IF(N(INDEX(art_cost,MATCH(H13,art_ref,0)))=0,"",N(INDEX(art_cost,MATCH(H13,art_ref,0))))),""))</f>
        <v/>
      </c>
      <c r="V13" s="64" t="str">
        <f>IF(OR(U13="",NOT(ISNUMBER(L13))),"",IF(L13&lt;=0,"",ROUND(L13*U13,2)))</f>
        <v/>
      </c>
      <c r="W13" s="60" t="str">
        <f>IF(AND(B13&lt;&gt;"",A13&lt;&gt;"BS",F13&lt;&gt;"",H13&lt;&gt;"",ISNUMBER(K13),ISNUMBER(L13)),IF(AND(K13&gt;0,L13&gt;0,K13-L13&gt;0,COUNTIFS(A14:A$2005,A13,F14:F$2005,F13,H14:H$2005,H13,AA14:AA$2005,"&gt;0")=0),ROUND(K13-L13,6),""),"")</f>
        <v/>
      </c>
      <c r="X13" s="60" t="str">
        <f>IF(AND(A13="",C13="",D13="",H13="",L13=""),"",IF(A13="","Type manquant",IF(AND(A13&lt;&gt;"BL",A13&lt;&gt;"BR",A13&lt;&gt;"BS"),"Type inconnu (BL, BR ou BS)",IF(AG13=0,"Date manquante ou invalide",IF(D13="",IF(A13="BL","Client manquant",IF(A13="BR","Fournisseur manquant","Service manquant")),IF(IF(A13="BL",ISNA(MATCH(D13,cl_code,0)),IF(A13="BR",ISNA(MATCH(D13,fo_code,0)),ISNA(MATCH(D13,p_services,0)))),IF(A13="BL","Client inconnu",IF(A13="BR","Fournisseur inconnu","Service inconnu")),IF(H13="","Article manquant",IF(ISNA(MATCH(H13,art_ref,0)),"Article inconnu",IF(OR(NOT(ISNUMBER(L13)),N(L13)&lt;=0),"Quantité invalide",IF(AND(K13&lt;&gt;"",OR(NOT(ISNUMBER(K13)),N(K13)&lt;=0)),"Qté commandée invalide",IF(AG13&lt;SUMPRODUCT(MAX((A$6:A12=A13)*AG$6:AG12)),"Date antérieure au bon précédent",IF(AND(A13&lt;&gt;"BR",ISNUMBER(M13),N(M13)&gt;0),IF(A13="BL","Livré plus que commandé","Sorti plus que demandé"),"OK"))))))))))))</f>
        <v/>
      </c>
      <c r="Y13" s="57" t="str">
        <f>IF(AND(OR(A13="BL",A13="BR",A13="BS"),AG13&gt;0,D13&lt;&gt;""),A13&amp;"|"&amp;AG13&amp;"|"&amp;D13&amp;"|"&amp;F13,"")</f>
        <v/>
      </c>
      <c r="Z13" s="57" t="str">
        <f>IF(Y13="","",IF(COUNTIF(Y$6:Y12,Y13)=0,1,0))</f>
        <v/>
      </c>
      <c r="AA13" s="57" t="str">
        <f>IF(Y13="","",IF(Z13=1,COUNTIFS(A$6:A13,A13,Z$6:Z13,1),INDEX(AA$6:AA12,MATCH(Y13,Y$6:Y12,0))))</f>
        <v/>
      </c>
      <c r="AB13" s="57" t="str">
        <f>IF(B13="","",COUNTIF(B$6:B13,B13))</f>
        <v/>
      </c>
      <c r="AC13" s="57" t="str">
        <f>IF(B13="","",B13&amp;"#"&amp;AB13)</f>
        <v/>
      </c>
      <c r="AD13" s="57" t="str">
        <f>IF(Z13=1,A13&amp;AA13,"")</f>
        <v/>
      </c>
      <c r="AE13" s="57" t="str">
        <f>IF(B13="","",YEAR(C13))</f>
        <v/>
      </c>
      <c r="AF13" s="57" t="str">
        <f>IF(B13="","",MONTH(C13))</f>
        <v/>
      </c>
      <c r="AG13" s="57">
        <f>IF(ISNUMBER(C13),C13,0)</f>
        <v>0.0</v>
      </c>
      <c r="AH13" s="57" t="str">
        <f>IF(N(W13)&gt;0,COUNTIF(W$6:W13,"&gt;0"),"")</f>
        <v/>
      </c>
      <c r="AI13" s="57" t="str">
        <f>IF(Z13=1,COUNTIF(Z$6:Z13,1),"")</f>
        <v/>
      </c>
    </row>
    <row r="14">
      <c r="A14" s="54" t="n"/>
      <c r="B14" s="55" t="str">
        <f>IF(AA14="","",A14&amp;"-"&amp;RIGHT("000"&amp;AA14,4))</f>
        <v/>
      </c>
      <c r="C14" s="56" t="n"/>
      <c r="D14" s="54" t="n"/>
      <c r="E14" s="57" t="str">
        <f>IF(D14="","",IF(A14="BL",IFERROR(INDEX(cl_name,MATCH(D14,cl_code,0))&amp;"","Client inconnu"),IF(A14="BR",IFERROR(INDEX(fo_name,MATCH(D14,fo_code,0))&amp;"","Fournisseur inconnu"),IF(A14="BS",IF(ISNA(MATCH(D14,p_services,0)),"Service inconnu",D14&amp;""),""))))</f>
        <v/>
      </c>
      <c r="F14" s="58" t="n"/>
      <c r="G14" s="58" t="n"/>
      <c r="H14" s="59" t="n"/>
      <c r="I14" s="57" t="str">
        <f>IF(H14="","",IFERROR(INDEX(art_des,MATCH(H14,art_ref,0))&amp;"","Article inconnu"))</f>
        <v/>
      </c>
      <c r="J14" s="60" t="str">
        <f>IF(H14="","",IFERROR(INDEX(art_unit,MATCH(H14,art_ref,0))&amp;"",""))</f>
        <v/>
      </c>
      <c r="K14" s="59" t="n"/>
      <c r="L14" s="59" t="n"/>
      <c r="M14" s="61" t="str">
        <f>IF(OR(B14="",NOT(ISNUMBER(K14)),NOT(ISNUMBER(L14))),"",IF(OR(K14&lt;=0,L14&lt;=0),"",ROUND(L14-K14,6)))</f>
        <v/>
      </c>
      <c r="N14" s="58" t="n"/>
      <c r="O14" s="62" t="n"/>
      <c r="P14" s="63" t="str">
        <f>IF(OR(B14="",NOT(ISNUMBER(L14))),"",IF(L14&lt;=0,"",IFERROR(ROUND(L14*N(INDEX(art_w,MATCH(H14,art_ref,0))),3),"")))</f>
        <v/>
      </c>
      <c r="Q14" s="59" t="n"/>
      <c r="R14" s="54" t="n"/>
      <c r="S14" s="59" t="n"/>
      <c r="T14" s="59" t="n"/>
      <c r="U14" s="64" t="str">
        <f>IF(OR(B14="",H14=""),"",IFERROR(IF(A14="BL",IF(N(INDEX(art_price,MATCH(H14,art_ref,0)))=0,"",N(INDEX(art_price,MATCH(H14,art_ref,0)))),IF(N(INDEX(art_cost,MATCH(H14,art_ref,0)))=0,"",N(INDEX(art_cost,MATCH(H14,art_ref,0))))),""))</f>
        <v/>
      </c>
      <c r="V14" s="64" t="str">
        <f>IF(OR(U14="",NOT(ISNUMBER(L14))),"",IF(L14&lt;=0,"",ROUND(L14*U14,2)))</f>
        <v/>
      </c>
      <c r="W14" s="60" t="str">
        <f>IF(AND(B14&lt;&gt;"",A14&lt;&gt;"BS",F14&lt;&gt;"",H14&lt;&gt;"",ISNUMBER(K14),ISNUMBER(L14)),IF(AND(K14&gt;0,L14&gt;0,K14-L14&gt;0,COUNTIFS(A15:A$2005,A14,F15:F$2005,F14,H15:H$2005,H14,AA15:AA$2005,"&gt;0")=0),ROUND(K14-L14,6),""),"")</f>
        <v/>
      </c>
      <c r="X14" s="60" t="str">
        <f>IF(AND(A14="",C14="",D14="",H14="",L14=""),"",IF(A14="","Type manquant",IF(AND(A14&lt;&gt;"BL",A14&lt;&gt;"BR",A14&lt;&gt;"BS"),"Type inconnu (BL, BR ou BS)",IF(AG14=0,"Date manquante ou invalide",IF(D14="",IF(A14="BL","Client manquant",IF(A14="BR","Fournisseur manquant","Service manquant")),IF(IF(A14="BL",ISNA(MATCH(D14,cl_code,0)),IF(A14="BR",ISNA(MATCH(D14,fo_code,0)),ISNA(MATCH(D14,p_services,0)))),IF(A14="BL","Client inconnu",IF(A14="BR","Fournisseur inconnu","Service inconnu")),IF(H14="","Article manquant",IF(ISNA(MATCH(H14,art_ref,0)),"Article inconnu",IF(OR(NOT(ISNUMBER(L14)),N(L14)&lt;=0),"Quantité invalide",IF(AND(K14&lt;&gt;"",OR(NOT(ISNUMBER(K14)),N(K14)&lt;=0)),"Qté commandée invalide",IF(AG14&lt;SUMPRODUCT(MAX((A$6:A13=A14)*AG$6:AG13)),"Date antérieure au bon précédent",IF(AND(A14&lt;&gt;"BR",ISNUMBER(M14),N(M14)&gt;0),IF(A14="BL","Livré plus que commandé","Sorti plus que demandé"),"OK"))))))))))))</f>
        <v/>
      </c>
      <c r="Y14" s="57" t="str">
        <f>IF(AND(OR(A14="BL",A14="BR",A14="BS"),AG14&gt;0,D14&lt;&gt;""),A14&amp;"|"&amp;AG14&amp;"|"&amp;D14&amp;"|"&amp;F14,"")</f>
        <v/>
      </c>
      <c r="Z14" s="57" t="str">
        <f>IF(Y14="","",IF(COUNTIF(Y$6:Y13,Y14)=0,1,0))</f>
        <v/>
      </c>
      <c r="AA14" s="57" t="str">
        <f>IF(Y14="","",IF(Z14=1,COUNTIFS(A$6:A14,A14,Z$6:Z14,1),INDEX(AA$6:AA13,MATCH(Y14,Y$6:Y13,0))))</f>
        <v/>
      </c>
      <c r="AB14" s="57" t="str">
        <f>IF(B14="","",COUNTIF(B$6:B14,B14))</f>
        <v/>
      </c>
      <c r="AC14" s="57" t="str">
        <f>IF(B14="","",B14&amp;"#"&amp;AB14)</f>
        <v/>
      </c>
      <c r="AD14" s="57" t="str">
        <f>IF(Z14=1,A14&amp;AA14,"")</f>
        <v/>
      </c>
      <c r="AE14" s="57" t="str">
        <f>IF(B14="","",YEAR(C14))</f>
        <v/>
      </c>
      <c r="AF14" s="57" t="str">
        <f>IF(B14="","",MONTH(C14))</f>
        <v/>
      </c>
      <c r="AG14" s="57">
        <f>IF(ISNUMBER(C14),C14,0)</f>
        <v>0.0</v>
      </c>
      <c r="AH14" s="57" t="str">
        <f>IF(N(W14)&gt;0,COUNTIF(W$6:W14,"&gt;0"),"")</f>
        <v/>
      </c>
      <c r="AI14" s="57" t="str">
        <f>IF(Z14=1,COUNTIF(Z$6:Z14,1),"")</f>
        <v/>
      </c>
    </row>
    <row r="15">
      <c r="A15" s="54" t="n"/>
      <c r="B15" s="55" t="str">
        <f>IF(AA15="","",A15&amp;"-"&amp;RIGHT("000"&amp;AA15,4))</f>
        <v/>
      </c>
      <c r="C15" s="56" t="n"/>
      <c r="D15" s="54" t="n"/>
      <c r="E15" s="57" t="str">
        <f>IF(D15="","",IF(A15="BL",IFERROR(INDEX(cl_name,MATCH(D15,cl_code,0))&amp;"","Client inconnu"),IF(A15="BR",IFERROR(INDEX(fo_name,MATCH(D15,fo_code,0))&amp;"","Fournisseur inconnu"),IF(A15="BS",IF(ISNA(MATCH(D15,p_services,0)),"Service inconnu",D15&amp;""),""))))</f>
        <v/>
      </c>
      <c r="F15" s="58" t="n"/>
      <c r="G15" s="58" t="n"/>
      <c r="H15" s="59" t="n"/>
      <c r="I15" s="57" t="str">
        <f>IF(H15="","",IFERROR(INDEX(art_des,MATCH(H15,art_ref,0))&amp;"","Article inconnu"))</f>
        <v/>
      </c>
      <c r="J15" s="60" t="str">
        <f>IF(H15="","",IFERROR(INDEX(art_unit,MATCH(H15,art_ref,0))&amp;"",""))</f>
        <v/>
      </c>
      <c r="K15" s="59" t="n"/>
      <c r="L15" s="59" t="n"/>
      <c r="M15" s="61" t="str">
        <f>IF(OR(B15="",NOT(ISNUMBER(K15)),NOT(ISNUMBER(L15))),"",IF(OR(K15&lt;=0,L15&lt;=0),"",ROUND(L15-K15,6)))</f>
        <v/>
      </c>
      <c r="N15" s="58" t="n"/>
      <c r="O15" s="62" t="n"/>
      <c r="P15" s="63" t="str">
        <f>IF(OR(B15="",NOT(ISNUMBER(L15))),"",IF(L15&lt;=0,"",IFERROR(ROUND(L15*N(INDEX(art_w,MATCH(H15,art_ref,0))),3),"")))</f>
        <v/>
      </c>
      <c r="Q15" s="59" t="n"/>
      <c r="R15" s="54" t="n"/>
      <c r="S15" s="59" t="n"/>
      <c r="T15" s="59" t="n"/>
      <c r="U15" s="64" t="str">
        <f>IF(OR(B15="",H15=""),"",IFERROR(IF(A15="BL",IF(N(INDEX(art_price,MATCH(H15,art_ref,0)))=0,"",N(INDEX(art_price,MATCH(H15,art_ref,0)))),IF(N(INDEX(art_cost,MATCH(H15,art_ref,0)))=0,"",N(INDEX(art_cost,MATCH(H15,art_ref,0))))),""))</f>
        <v/>
      </c>
      <c r="V15" s="64" t="str">
        <f>IF(OR(U15="",NOT(ISNUMBER(L15))),"",IF(L15&lt;=0,"",ROUND(L15*U15,2)))</f>
        <v/>
      </c>
      <c r="W15" s="60" t="str">
        <f>IF(AND(B15&lt;&gt;"",A15&lt;&gt;"BS",F15&lt;&gt;"",H15&lt;&gt;"",ISNUMBER(K15),ISNUMBER(L15)),IF(AND(K15&gt;0,L15&gt;0,K15-L15&gt;0,COUNTIFS(A16:A$2005,A15,F16:F$2005,F15,H16:H$2005,H15,AA16:AA$2005,"&gt;0")=0),ROUND(K15-L15,6),""),"")</f>
        <v/>
      </c>
      <c r="X15" s="60" t="str">
        <f>IF(AND(A15="",C15="",D15="",H15="",L15=""),"",IF(A15="","Type manquant",IF(AND(A15&lt;&gt;"BL",A15&lt;&gt;"BR",A15&lt;&gt;"BS"),"Type inconnu (BL, BR ou BS)",IF(AG15=0,"Date manquante ou invalide",IF(D15="",IF(A15="BL","Client manquant",IF(A15="BR","Fournisseur manquant","Service manquant")),IF(IF(A15="BL",ISNA(MATCH(D15,cl_code,0)),IF(A15="BR",ISNA(MATCH(D15,fo_code,0)),ISNA(MATCH(D15,p_services,0)))),IF(A15="BL","Client inconnu",IF(A15="BR","Fournisseur inconnu","Service inconnu")),IF(H15="","Article manquant",IF(ISNA(MATCH(H15,art_ref,0)),"Article inconnu",IF(OR(NOT(ISNUMBER(L15)),N(L15)&lt;=0),"Quantité invalide",IF(AND(K15&lt;&gt;"",OR(NOT(ISNUMBER(K15)),N(K15)&lt;=0)),"Qté commandée invalide",IF(AG15&lt;SUMPRODUCT(MAX((A$6:A14=A15)*AG$6:AG14)),"Date antérieure au bon précédent",IF(AND(A15&lt;&gt;"BR",ISNUMBER(M15),N(M15)&gt;0),IF(A15="BL","Livré plus que commandé","Sorti plus que demandé"),"OK"))))))))))))</f>
        <v/>
      </c>
      <c r="Y15" s="57" t="str">
        <f>IF(AND(OR(A15="BL",A15="BR",A15="BS"),AG15&gt;0,D15&lt;&gt;""),A15&amp;"|"&amp;AG15&amp;"|"&amp;D15&amp;"|"&amp;F15,"")</f>
        <v/>
      </c>
      <c r="Z15" s="57" t="str">
        <f>IF(Y15="","",IF(COUNTIF(Y$6:Y14,Y15)=0,1,0))</f>
        <v/>
      </c>
      <c r="AA15" s="57" t="str">
        <f>IF(Y15="","",IF(Z15=1,COUNTIFS(A$6:A15,A15,Z$6:Z15,1),INDEX(AA$6:AA14,MATCH(Y15,Y$6:Y14,0))))</f>
        <v/>
      </c>
      <c r="AB15" s="57" t="str">
        <f>IF(B15="","",COUNTIF(B$6:B15,B15))</f>
        <v/>
      </c>
      <c r="AC15" s="57" t="str">
        <f>IF(B15="","",B15&amp;"#"&amp;AB15)</f>
        <v/>
      </c>
      <c r="AD15" s="57" t="str">
        <f>IF(Z15=1,A15&amp;AA15,"")</f>
        <v/>
      </c>
      <c r="AE15" s="57" t="str">
        <f>IF(B15="","",YEAR(C15))</f>
        <v/>
      </c>
      <c r="AF15" s="57" t="str">
        <f>IF(B15="","",MONTH(C15))</f>
        <v/>
      </c>
      <c r="AG15" s="57">
        <f>IF(ISNUMBER(C15),C15,0)</f>
        <v>0.0</v>
      </c>
      <c r="AH15" s="57" t="str">
        <f>IF(N(W15)&gt;0,COUNTIF(W$6:W15,"&gt;0"),"")</f>
        <v/>
      </c>
      <c r="AI15" s="57" t="str">
        <f>IF(Z15=1,COUNTIF(Z$6:Z15,1),"")</f>
        <v/>
      </c>
    </row>
    <row r="16">
      <c r="A16" s="54" t="n"/>
      <c r="B16" s="55" t="str">
        <f>IF(AA16="","",A16&amp;"-"&amp;RIGHT("000"&amp;AA16,4))</f>
        <v/>
      </c>
      <c r="C16" s="56" t="n"/>
      <c r="D16" s="54" t="n"/>
      <c r="E16" s="57" t="str">
        <f>IF(D16="","",IF(A16="BL",IFERROR(INDEX(cl_name,MATCH(D16,cl_code,0))&amp;"","Client inconnu"),IF(A16="BR",IFERROR(INDEX(fo_name,MATCH(D16,fo_code,0))&amp;"","Fournisseur inconnu"),IF(A16="BS",IF(ISNA(MATCH(D16,p_services,0)),"Service inconnu",D16&amp;""),""))))</f>
        <v/>
      </c>
      <c r="F16" s="58" t="n"/>
      <c r="G16" s="58" t="n"/>
      <c r="H16" s="59" t="n"/>
      <c r="I16" s="57" t="str">
        <f>IF(H16="","",IFERROR(INDEX(art_des,MATCH(H16,art_ref,0))&amp;"","Article inconnu"))</f>
        <v/>
      </c>
      <c r="J16" s="60" t="str">
        <f>IF(H16="","",IFERROR(INDEX(art_unit,MATCH(H16,art_ref,0))&amp;"",""))</f>
        <v/>
      </c>
      <c r="K16" s="59" t="n"/>
      <c r="L16" s="59" t="n"/>
      <c r="M16" s="61" t="str">
        <f>IF(OR(B16="",NOT(ISNUMBER(K16)),NOT(ISNUMBER(L16))),"",IF(OR(K16&lt;=0,L16&lt;=0),"",ROUND(L16-K16,6)))</f>
        <v/>
      </c>
      <c r="N16" s="58" t="n"/>
      <c r="O16" s="62" t="n"/>
      <c r="P16" s="63" t="str">
        <f>IF(OR(B16="",NOT(ISNUMBER(L16))),"",IF(L16&lt;=0,"",IFERROR(ROUND(L16*N(INDEX(art_w,MATCH(H16,art_ref,0))),3),"")))</f>
        <v/>
      </c>
      <c r="Q16" s="59" t="n"/>
      <c r="R16" s="54" t="n"/>
      <c r="S16" s="59" t="n"/>
      <c r="T16" s="59" t="n"/>
      <c r="U16" s="64" t="str">
        <f>IF(OR(B16="",H16=""),"",IFERROR(IF(A16="BL",IF(N(INDEX(art_price,MATCH(H16,art_ref,0)))=0,"",N(INDEX(art_price,MATCH(H16,art_ref,0)))),IF(N(INDEX(art_cost,MATCH(H16,art_ref,0)))=0,"",N(INDEX(art_cost,MATCH(H16,art_ref,0))))),""))</f>
        <v/>
      </c>
      <c r="V16" s="64" t="str">
        <f>IF(OR(U16="",NOT(ISNUMBER(L16))),"",IF(L16&lt;=0,"",ROUND(L16*U16,2)))</f>
        <v/>
      </c>
      <c r="W16" s="60" t="str">
        <f>IF(AND(B16&lt;&gt;"",A16&lt;&gt;"BS",F16&lt;&gt;"",H16&lt;&gt;"",ISNUMBER(K16),ISNUMBER(L16)),IF(AND(K16&gt;0,L16&gt;0,K16-L16&gt;0,COUNTIFS(A17:A$2005,A16,F17:F$2005,F16,H17:H$2005,H16,AA17:AA$2005,"&gt;0")=0),ROUND(K16-L16,6),""),"")</f>
        <v/>
      </c>
      <c r="X16" s="60" t="str">
        <f>IF(AND(A16="",C16="",D16="",H16="",L16=""),"",IF(A16="","Type manquant",IF(AND(A16&lt;&gt;"BL",A16&lt;&gt;"BR",A16&lt;&gt;"BS"),"Type inconnu (BL, BR ou BS)",IF(AG16=0,"Date manquante ou invalide",IF(D16="",IF(A16="BL","Client manquant",IF(A16="BR","Fournisseur manquant","Service manquant")),IF(IF(A16="BL",ISNA(MATCH(D16,cl_code,0)),IF(A16="BR",ISNA(MATCH(D16,fo_code,0)),ISNA(MATCH(D16,p_services,0)))),IF(A16="BL","Client inconnu",IF(A16="BR","Fournisseur inconnu","Service inconnu")),IF(H16="","Article manquant",IF(ISNA(MATCH(H16,art_ref,0)),"Article inconnu",IF(OR(NOT(ISNUMBER(L16)),N(L16)&lt;=0),"Quantité invalide",IF(AND(K16&lt;&gt;"",OR(NOT(ISNUMBER(K16)),N(K16)&lt;=0)),"Qté commandée invalide",IF(AG16&lt;SUMPRODUCT(MAX((A$6:A15=A16)*AG$6:AG15)),"Date antérieure au bon précédent",IF(AND(A16&lt;&gt;"BR",ISNUMBER(M16),N(M16)&gt;0),IF(A16="BL","Livré plus que commandé","Sorti plus que demandé"),"OK"))))))))))))</f>
        <v/>
      </c>
      <c r="Y16" s="57" t="str">
        <f>IF(AND(OR(A16="BL",A16="BR",A16="BS"),AG16&gt;0,D16&lt;&gt;""),A16&amp;"|"&amp;AG16&amp;"|"&amp;D16&amp;"|"&amp;F16,"")</f>
        <v/>
      </c>
      <c r="Z16" s="57" t="str">
        <f>IF(Y16="","",IF(COUNTIF(Y$6:Y15,Y16)=0,1,0))</f>
        <v/>
      </c>
      <c r="AA16" s="57" t="str">
        <f>IF(Y16="","",IF(Z16=1,COUNTIFS(A$6:A16,A16,Z$6:Z16,1),INDEX(AA$6:AA15,MATCH(Y16,Y$6:Y15,0))))</f>
        <v/>
      </c>
      <c r="AB16" s="57" t="str">
        <f>IF(B16="","",COUNTIF(B$6:B16,B16))</f>
        <v/>
      </c>
      <c r="AC16" s="57" t="str">
        <f>IF(B16="","",B16&amp;"#"&amp;AB16)</f>
        <v/>
      </c>
      <c r="AD16" s="57" t="str">
        <f>IF(Z16=1,A16&amp;AA16,"")</f>
        <v/>
      </c>
      <c r="AE16" s="57" t="str">
        <f>IF(B16="","",YEAR(C16))</f>
        <v/>
      </c>
      <c r="AF16" s="57" t="str">
        <f>IF(B16="","",MONTH(C16))</f>
        <v/>
      </c>
      <c r="AG16" s="57">
        <f>IF(ISNUMBER(C16),C16,0)</f>
        <v>0.0</v>
      </c>
      <c r="AH16" s="57" t="str">
        <f>IF(N(W16)&gt;0,COUNTIF(W$6:W16,"&gt;0"),"")</f>
        <v/>
      </c>
      <c r="AI16" s="57" t="str">
        <f>IF(Z16=1,COUNTIF(Z$6:Z16,1),"")</f>
        <v/>
      </c>
    </row>
    <row r="17">
      <c r="A17" s="54" t="n"/>
      <c r="B17" s="55" t="str">
        <f>IF(AA17="","",A17&amp;"-"&amp;RIGHT("000"&amp;AA17,4))</f>
        <v/>
      </c>
      <c r="C17" s="56" t="n"/>
      <c r="D17" s="54" t="n"/>
      <c r="E17" s="57" t="str">
        <f>IF(D17="","",IF(A17="BL",IFERROR(INDEX(cl_name,MATCH(D17,cl_code,0))&amp;"","Client inconnu"),IF(A17="BR",IFERROR(INDEX(fo_name,MATCH(D17,fo_code,0))&amp;"","Fournisseur inconnu"),IF(A17="BS",IF(ISNA(MATCH(D17,p_services,0)),"Service inconnu",D17&amp;""),""))))</f>
        <v/>
      </c>
      <c r="F17" s="58" t="n"/>
      <c r="G17" s="58" t="n"/>
      <c r="H17" s="59" t="n"/>
      <c r="I17" s="57" t="str">
        <f>IF(H17="","",IFERROR(INDEX(art_des,MATCH(H17,art_ref,0))&amp;"","Article inconnu"))</f>
        <v/>
      </c>
      <c r="J17" s="60" t="str">
        <f>IF(H17="","",IFERROR(INDEX(art_unit,MATCH(H17,art_ref,0))&amp;"",""))</f>
        <v/>
      </c>
      <c r="K17" s="59" t="n"/>
      <c r="L17" s="59" t="n"/>
      <c r="M17" s="61" t="str">
        <f>IF(OR(B17="",NOT(ISNUMBER(K17)),NOT(ISNUMBER(L17))),"",IF(OR(K17&lt;=0,L17&lt;=0),"",ROUND(L17-K17,6)))</f>
        <v/>
      </c>
      <c r="N17" s="58" t="n"/>
      <c r="O17" s="62" t="n"/>
      <c r="P17" s="63" t="str">
        <f>IF(OR(B17="",NOT(ISNUMBER(L17))),"",IF(L17&lt;=0,"",IFERROR(ROUND(L17*N(INDEX(art_w,MATCH(H17,art_ref,0))),3),"")))</f>
        <v/>
      </c>
      <c r="Q17" s="59" t="n"/>
      <c r="R17" s="54" t="n"/>
      <c r="S17" s="59" t="n"/>
      <c r="T17" s="59" t="n"/>
      <c r="U17" s="64" t="str">
        <f>IF(OR(B17="",H17=""),"",IFERROR(IF(A17="BL",IF(N(INDEX(art_price,MATCH(H17,art_ref,0)))=0,"",N(INDEX(art_price,MATCH(H17,art_ref,0)))),IF(N(INDEX(art_cost,MATCH(H17,art_ref,0)))=0,"",N(INDEX(art_cost,MATCH(H17,art_ref,0))))),""))</f>
        <v/>
      </c>
      <c r="V17" s="64" t="str">
        <f>IF(OR(U17="",NOT(ISNUMBER(L17))),"",IF(L17&lt;=0,"",ROUND(L17*U17,2)))</f>
        <v/>
      </c>
      <c r="W17" s="60" t="str">
        <f>IF(AND(B17&lt;&gt;"",A17&lt;&gt;"BS",F17&lt;&gt;"",H17&lt;&gt;"",ISNUMBER(K17),ISNUMBER(L17)),IF(AND(K17&gt;0,L17&gt;0,K17-L17&gt;0,COUNTIFS(A18:A$2005,A17,F18:F$2005,F17,H18:H$2005,H17,AA18:AA$2005,"&gt;0")=0),ROUND(K17-L17,6),""),"")</f>
        <v/>
      </c>
      <c r="X17" s="60" t="str">
        <f>IF(AND(A17="",C17="",D17="",H17="",L17=""),"",IF(A17="","Type manquant",IF(AND(A17&lt;&gt;"BL",A17&lt;&gt;"BR",A17&lt;&gt;"BS"),"Type inconnu (BL, BR ou BS)",IF(AG17=0,"Date manquante ou invalide",IF(D17="",IF(A17="BL","Client manquant",IF(A17="BR","Fournisseur manquant","Service manquant")),IF(IF(A17="BL",ISNA(MATCH(D17,cl_code,0)),IF(A17="BR",ISNA(MATCH(D17,fo_code,0)),ISNA(MATCH(D17,p_services,0)))),IF(A17="BL","Client inconnu",IF(A17="BR","Fournisseur inconnu","Service inconnu")),IF(H17="","Article manquant",IF(ISNA(MATCH(H17,art_ref,0)),"Article inconnu",IF(OR(NOT(ISNUMBER(L17)),N(L17)&lt;=0),"Quantité invalide",IF(AND(K17&lt;&gt;"",OR(NOT(ISNUMBER(K17)),N(K17)&lt;=0)),"Qté commandée invalide",IF(AG17&lt;SUMPRODUCT(MAX((A$6:A16=A17)*AG$6:AG16)),"Date antérieure au bon précédent",IF(AND(A17&lt;&gt;"BR",ISNUMBER(M17),N(M17)&gt;0),IF(A17="BL","Livré plus que commandé","Sorti plus que demandé"),"OK"))))))))))))</f>
        <v/>
      </c>
      <c r="Y17" s="57" t="str">
        <f>IF(AND(OR(A17="BL",A17="BR",A17="BS"),AG17&gt;0,D17&lt;&gt;""),A17&amp;"|"&amp;AG17&amp;"|"&amp;D17&amp;"|"&amp;F17,"")</f>
        <v/>
      </c>
      <c r="Z17" s="57" t="str">
        <f>IF(Y17="","",IF(COUNTIF(Y$6:Y16,Y17)=0,1,0))</f>
        <v/>
      </c>
      <c r="AA17" s="57" t="str">
        <f>IF(Y17="","",IF(Z17=1,COUNTIFS(A$6:A17,A17,Z$6:Z17,1),INDEX(AA$6:AA16,MATCH(Y17,Y$6:Y16,0))))</f>
        <v/>
      </c>
      <c r="AB17" s="57" t="str">
        <f>IF(B17="","",COUNTIF(B$6:B17,B17))</f>
        <v/>
      </c>
      <c r="AC17" s="57" t="str">
        <f>IF(B17="","",B17&amp;"#"&amp;AB17)</f>
        <v/>
      </c>
      <c r="AD17" s="57" t="str">
        <f>IF(Z17=1,A17&amp;AA17,"")</f>
        <v/>
      </c>
      <c r="AE17" s="57" t="str">
        <f>IF(B17="","",YEAR(C17))</f>
        <v/>
      </c>
      <c r="AF17" s="57" t="str">
        <f>IF(B17="","",MONTH(C17))</f>
        <v/>
      </c>
      <c r="AG17" s="57">
        <f>IF(ISNUMBER(C17),C17,0)</f>
        <v>0.0</v>
      </c>
      <c r="AH17" s="57" t="str">
        <f>IF(N(W17)&gt;0,COUNTIF(W$6:W17,"&gt;0"),"")</f>
        <v/>
      </c>
      <c r="AI17" s="57" t="str">
        <f>IF(Z17=1,COUNTIF(Z$6:Z17,1),"")</f>
        <v/>
      </c>
    </row>
    <row r="18">
      <c r="A18" s="54" t="n"/>
      <c r="B18" s="55" t="str">
        <f>IF(AA18="","",A18&amp;"-"&amp;RIGHT("000"&amp;AA18,4))</f>
        <v/>
      </c>
      <c r="C18" s="56" t="n"/>
      <c r="D18" s="54" t="n"/>
      <c r="E18" s="57" t="str">
        <f>IF(D18="","",IF(A18="BL",IFERROR(INDEX(cl_name,MATCH(D18,cl_code,0))&amp;"","Client inconnu"),IF(A18="BR",IFERROR(INDEX(fo_name,MATCH(D18,fo_code,0))&amp;"","Fournisseur inconnu"),IF(A18="BS",IF(ISNA(MATCH(D18,p_services,0)),"Service inconnu",D18&amp;""),""))))</f>
        <v/>
      </c>
      <c r="F18" s="58" t="n"/>
      <c r="G18" s="58" t="n"/>
      <c r="H18" s="59" t="n"/>
      <c r="I18" s="57" t="str">
        <f>IF(H18="","",IFERROR(INDEX(art_des,MATCH(H18,art_ref,0))&amp;"","Article inconnu"))</f>
        <v/>
      </c>
      <c r="J18" s="60" t="str">
        <f>IF(H18="","",IFERROR(INDEX(art_unit,MATCH(H18,art_ref,0))&amp;"",""))</f>
        <v/>
      </c>
      <c r="K18" s="59" t="n"/>
      <c r="L18" s="59" t="n"/>
      <c r="M18" s="61" t="str">
        <f>IF(OR(B18="",NOT(ISNUMBER(K18)),NOT(ISNUMBER(L18))),"",IF(OR(K18&lt;=0,L18&lt;=0),"",ROUND(L18-K18,6)))</f>
        <v/>
      </c>
      <c r="N18" s="58" t="n"/>
      <c r="O18" s="62" t="n"/>
      <c r="P18" s="63" t="str">
        <f>IF(OR(B18="",NOT(ISNUMBER(L18))),"",IF(L18&lt;=0,"",IFERROR(ROUND(L18*N(INDEX(art_w,MATCH(H18,art_ref,0))),3),"")))</f>
        <v/>
      </c>
      <c r="Q18" s="59" t="n"/>
      <c r="R18" s="54" t="n"/>
      <c r="S18" s="59" t="n"/>
      <c r="T18" s="59" t="n"/>
      <c r="U18" s="64" t="str">
        <f>IF(OR(B18="",H18=""),"",IFERROR(IF(A18="BL",IF(N(INDEX(art_price,MATCH(H18,art_ref,0)))=0,"",N(INDEX(art_price,MATCH(H18,art_ref,0)))),IF(N(INDEX(art_cost,MATCH(H18,art_ref,0)))=0,"",N(INDEX(art_cost,MATCH(H18,art_ref,0))))),""))</f>
        <v/>
      </c>
      <c r="V18" s="64" t="str">
        <f>IF(OR(U18="",NOT(ISNUMBER(L18))),"",IF(L18&lt;=0,"",ROUND(L18*U18,2)))</f>
        <v/>
      </c>
      <c r="W18" s="60" t="str">
        <f>IF(AND(B18&lt;&gt;"",A18&lt;&gt;"BS",F18&lt;&gt;"",H18&lt;&gt;"",ISNUMBER(K18),ISNUMBER(L18)),IF(AND(K18&gt;0,L18&gt;0,K18-L18&gt;0,COUNTIFS(A19:A$2005,A18,F19:F$2005,F18,H19:H$2005,H18,AA19:AA$2005,"&gt;0")=0),ROUND(K18-L18,6),""),"")</f>
        <v/>
      </c>
      <c r="X18" s="60" t="str">
        <f>IF(AND(A18="",C18="",D18="",H18="",L18=""),"",IF(A18="","Type manquant",IF(AND(A18&lt;&gt;"BL",A18&lt;&gt;"BR",A18&lt;&gt;"BS"),"Type inconnu (BL, BR ou BS)",IF(AG18=0,"Date manquante ou invalide",IF(D18="",IF(A18="BL","Client manquant",IF(A18="BR","Fournisseur manquant","Service manquant")),IF(IF(A18="BL",ISNA(MATCH(D18,cl_code,0)),IF(A18="BR",ISNA(MATCH(D18,fo_code,0)),ISNA(MATCH(D18,p_services,0)))),IF(A18="BL","Client inconnu",IF(A18="BR","Fournisseur inconnu","Service inconnu")),IF(H18="","Article manquant",IF(ISNA(MATCH(H18,art_ref,0)),"Article inconnu",IF(OR(NOT(ISNUMBER(L18)),N(L18)&lt;=0),"Quantité invalide",IF(AND(K18&lt;&gt;"",OR(NOT(ISNUMBER(K18)),N(K18)&lt;=0)),"Qté commandée invalide",IF(AG18&lt;SUMPRODUCT(MAX((A$6:A17=A18)*AG$6:AG17)),"Date antérieure au bon précédent",IF(AND(A18&lt;&gt;"BR",ISNUMBER(M18),N(M18)&gt;0),IF(A18="BL","Livré plus que commandé","Sorti plus que demandé"),"OK"))))))))))))</f>
        <v/>
      </c>
      <c r="Y18" s="57" t="str">
        <f>IF(AND(OR(A18="BL",A18="BR",A18="BS"),AG18&gt;0,D18&lt;&gt;""),A18&amp;"|"&amp;AG18&amp;"|"&amp;D18&amp;"|"&amp;F18,"")</f>
        <v/>
      </c>
      <c r="Z18" s="57" t="str">
        <f>IF(Y18="","",IF(COUNTIF(Y$6:Y17,Y18)=0,1,0))</f>
        <v/>
      </c>
      <c r="AA18" s="57" t="str">
        <f>IF(Y18="","",IF(Z18=1,COUNTIFS(A$6:A18,A18,Z$6:Z18,1),INDEX(AA$6:AA17,MATCH(Y18,Y$6:Y17,0))))</f>
        <v/>
      </c>
      <c r="AB18" s="57" t="str">
        <f>IF(B18="","",COUNTIF(B$6:B18,B18))</f>
        <v/>
      </c>
      <c r="AC18" s="57" t="str">
        <f>IF(B18="","",B18&amp;"#"&amp;AB18)</f>
        <v/>
      </c>
      <c r="AD18" s="57" t="str">
        <f>IF(Z18=1,A18&amp;AA18,"")</f>
        <v/>
      </c>
      <c r="AE18" s="57" t="str">
        <f>IF(B18="","",YEAR(C18))</f>
        <v/>
      </c>
      <c r="AF18" s="57" t="str">
        <f>IF(B18="","",MONTH(C18))</f>
        <v/>
      </c>
      <c r="AG18" s="57">
        <f>IF(ISNUMBER(C18),C18,0)</f>
        <v>0.0</v>
      </c>
      <c r="AH18" s="57" t="str">
        <f>IF(N(W18)&gt;0,COUNTIF(W$6:W18,"&gt;0"),"")</f>
        <v/>
      </c>
      <c r="AI18" s="57" t="str">
        <f>IF(Z18=1,COUNTIF(Z$6:Z18,1),"")</f>
        <v/>
      </c>
    </row>
    <row r="19">
      <c r="A19" s="54" t="n"/>
      <c r="B19" s="55" t="str">
        <f>IF(AA19="","",A19&amp;"-"&amp;RIGHT("000"&amp;AA19,4))</f>
        <v/>
      </c>
      <c r="C19" s="56" t="n"/>
      <c r="D19" s="54" t="n"/>
      <c r="E19" s="57" t="str">
        <f>IF(D19="","",IF(A19="BL",IFERROR(INDEX(cl_name,MATCH(D19,cl_code,0))&amp;"","Client inconnu"),IF(A19="BR",IFERROR(INDEX(fo_name,MATCH(D19,fo_code,0))&amp;"","Fournisseur inconnu"),IF(A19="BS",IF(ISNA(MATCH(D19,p_services,0)),"Service inconnu",D19&amp;""),""))))</f>
        <v/>
      </c>
      <c r="F19" s="58" t="n"/>
      <c r="G19" s="58" t="n"/>
      <c r="H19" s="59" t="n"/>
      <c r="I19" s="57" t="str">
        <f>IF(H19="","",IFERROR(INDEX(art_des,MATCH(H19,art_ref,0))&amp;"","Article inconnu"))</f>
        <v/>
      </c>
      <c r="J19" s="60" t="str">
        <f>IF(H19="","",IFERROR(INDEX(art_unit,MATCH(H19,art_ref,0))&amp;"",""))</f>
        <v/>
      </c>
      <c r="K19" s="59" t="n"/>
      <c r="L19" s="59" t="n"/>
      <c r="M19" s="61" t="str">
        <f>IF(OR(B19="",NOT(ISNUMBER(K19)),NOT(ISNUMBER(L19))),"",IF(OR(K19&lt;=0,L19&lt;=0),"",ROUND(L19-K19,6)))</f>
        <v/>
      </c>
      <c r="N19" s="58" t="n"/>
      <c r="O19" s="62" t="n"/>
      <c r="P19" s="63" t="str">
        <f>IF(OR(B19="",NOT(ISNUMBER(L19))),"",IF(L19&lt;=0,"",IFERROR(ROUND(L19*N(INDEX(art_w,MATCH(H19,art_ref,0))),3),"")))</f>
        <v/>
      </c>
      <c r="Q19" s="59" t="n"/>
      <c r="R19" s="54" t="n"/>
      <c r="S19" s="59" t="n"/>
      <c r="T19" s="59" t="n"/>
      <c r="U19" s="64" t="str">
        <f>IF(OR(B19="",H19=""),"",IFERROR(IF(A19="BL",IF(N(INDEX(art_price,MATCH(H19,art_ref,0)))=0,"",N(INDEX(art_price,MATCH(H19,art_ref,0)))),IF(N(INDEX(art_cost,MATCH(H19,art_ref,0)))=0,"",N(INDEX(art_cost,MATCH(H19,art_ref,0))))),""))</f>
        <v/>
      </c>
      <c r="V19" s="64" t="str">
        <f>IF(OR(U19="",NOT(ISNUMBER(L19))),"",IF(L19&lt;=0,"",ROUND(L19*U19,2)))</f>
        <v/>
      </c>
      <c r="W19" s="60" t="str">
        <f>IF(AND(B19&lt;&gt;"",A19&lt;&gt;"BS",F19&lt;&gt;"",H19&lt;&gt;"",ISNUMBER(K19),ISNUMBER(L19)),IF(AND(K19&gt;0,L19&gt;0,K19-L19&gt;0,COUNTIFS(A20:A$2005,A19,F20:F$2005,F19,H20:H$2005,H19,AA20:AA$2005,"&gt;0")=0),ROUND(K19-L19,6),""),"")</f>
        <v/>
      </c>
      <c r="X19" s="60" t="str">
        <f>IF(AND(A19="",C19="",D19="",H19="",L19=""),"",IF(A19="","Type manquant",IF(AND(A19&lt;&gt;"BL",A19&lt;&gt;"BR",A19&lt;&gt;"BS"),"Type inconnu (BL, BR ou BS)",IF(AG19=0,"Date manquante ou invalide",IF(D19="",IF(A19="BL","Client manquant",IF(A19="BR","Fournisseur manquant","Service manquant")),IF(IF(A19="BL",ISNA(MATCH(D19,cl_code,0)),IF(A19="BR",ISNA(MATCH(D19,fo_code,0)),ISNA(MATCH(D19,p_services,0)))),IF(A19="BL","Client inconnu",IF(A19="BR","Fournisseur inconnu","Service inconnu")),IF(H19="","Article manquant",IF(ISNA(MATCH(H19,art_ref,0)),"Article inconnu",IF(OR(NOT(ISNUMBER(L19)),N(L19)&lt;=0),"Quantité invalide",IF(AND(K19&lt;&gt;"",OR(NOT(ISNUMBER(K19)),N(K19)&lt;=0)),"Qté commandée invalide",IF(AG19&lt;SUMPRODUCT(MAX((A$6:A18=A19)*AG$6:AG18)),"Date antérieure au bon précédent",IF(AND(A19&lt;&gt;"BR",ISNUMBER(M19),N(M19)&gt;0),IF(A19="BL","Livré plus que commandé","Sorti plus que demandé"),"OK"))))))))))))</f>
        <v/>
      </c>
      <c r="Y19" s="57" t="str">
        <f>IF(AND(OR(A19="BL",A19="BR",A19="BS"),AG19&gt;0,D19&lt;&gt;""),A19&amp;"|"&amp;AG19&amp;"|"&amp;D19&amp;"|"&amp;F19,"")</f>
        <v/>
      </c>
      <c r="Z19" s="57" t="str">
        <f>IF(Y19="","",IF(COUNTIF(Y$6:Y18,Y19)=0,1,0))</f>
        <v/>
      </c>
      <c r="AA19" s="57" t="str">
        <f>IF(Y19="","",IF(Z19=1,COUNTIFS(A$6:A19,A19,Z$6:Z19,1),INDEX(AA$6:AA18,MATCH(Y19,Y$6:Y18,0))))</f>
        <v/>
      </c>
      <c r="AB19" s="57" t="str">
        <f>IF(B19="","",COUNTIF(B$6:B19,B19))</f>
        <v/>
      </c>
      <c r="AC19" s="57" t="str">
        <f>IF(B19="","",B19&amp;"#"&amp;AB19)</f>
        <v/>
      </c>
      <c r="AD19" s="57" t="str">
        <f>IF(Z19=1,A19&amp;AA19,"")</f>
        <v/>
      </c>
      <c r="AE19" s="57" t="str">
        <f>IF(B19="","",YEAR(C19))</f>
        <v/>
      </c>
      <c r="AF19" s="57" t="str">
        <f>IF(B19="","",MONTH(C19))</f>
        <v/>
      </c>
      <c r="AG19" s="57">
        <f>IF(ISNUMBER(C19),C19,0)</f>
        <v>0.0</v>
      </c>
      <c r="AH19" s="57" t="str">
        <f>IF(N(W19)&gt;0,COUNTIF(W$6:W19,"&gt;0"),"")</f>
        <v/>
      </c>
      <c r="AI19" s="57" t="str">
        <f>IF(Z19=1,COUNTIF(Z$6:Z19,1),"")</f>
        <v/>
      </c>
    </row>
    <row r="20">
      <c r="A20" s="54" t="n"/>
      <c r="B20" s="55" t="str">
        <f>IF(AA20="","",A20&amp;"-"&amp;RIGHT("000"&amp;AA20,4))</f>
        <v/>
      </c>
      <c r="C20" s="56" t="n"/>
      <c r="D20" s="54" t="n"/>
      <c r="E20" s="57" t="str">
        <f>IF(D20="","",IF(A20="BL",IFERROR(INDEX(cl_name,MATCH(D20,cl_code,0))&amp;"","Client inconnu"),IF(A20="BR",IFERROR(INDEX(fo_name,MATCH(D20,fo_code,0))&amp;"","Fournisseur inconnu"),IF(A20="BS",IF(ISNA(MATCH(D20,p_services,0)),"Service inconnu",D20&amp;""),""))))</f>
        <v/>
      </c>
      <c r="F20" s="58" t="n"/>
      <c r="G20" s="58" t="n"/>
      <c r="H20" s="59" t="n"/>
      <c r="I20" s="57" t="str">
        <f>IF(H20="","",IFERROR(INDEX(art_des,MATCH(H20,art_ref,0))&amp;"","Article inconnu"))</f>
        <v/>
      </c>
      <c r="J20" s="60" t="str">
        <f>IF(H20="","",IFERROR(INDEX(art_unit,MATCH(H20,art_ref,0))&amp;"",""))</f>
        <v/>
      </c>
      <c r="K20" s="59" t="n"/>
      <c r="L20" s="59" t="n"/>
      <c r="M20" s="61" t="str">
        <f>IF(OR(B20="",NOT(ISNUMBER(K20)),NOT(ISNUMBER(L20))),"",IF(OR(K20&lt;=0,L20&lt;=0),"",ROUND(L20-K20,6)))</f>
        <v/>
      </c>
      <c r="N20" s="58" t="n"/>
      <c r="O20" s="62" t="n"/>
      <c r="P20" s="63" t="str">
        <f>IF(OR(B20="",NOT(ISNUMBER(L20))),"",IF(L20&lt;=0,"",IFERROR(ROUND(L20*N(INDEX(art_w,MATCH(H20,art_ref,0))),3),"")))</f>
        <v/>
      </c>
      <c r="Q20" s="59" t="n"/>
      <c r="R20" s="54" t="n"/>
      <c r="S20" s="59" t="n"/>
      <c r="T20" s="59" t="n"/>
      <c r="U20" s="64" t="str">
        <f>IF(OR(B20="",H20=""),"",IFERROR(IF(A20="BL",IF(N(INDEX(art_price,MATCH(H20,art_ref,0)))=0,"",N(INDEX(art_price,MATCH(H20,art_ref,0)))),IF(N(INDEX(art_cost,MATCH(H20,art_ref,0)))=0,"",N(INDEX(art_cost,MATCH(H20,art_ref,0))))),""))</f>
        <v/>
      </c>
      <c r="V20" s="64" t="str">
        <f>IF(OR(U20="",NOT(ISNUMBER(L20))),"",IF(L20&lt;=0,"",ROUND(L20*U20,2)))</f>
        <v/>
      </c>
      <c r="W20" s="60" t="str">
        <f>IF(AND(B20&lt;&gt;"",A20&lt;&gt;"BS",F20&lt;&gt;"",H20&lt;&gt;"",ISNUMBER(K20),ISNUMBER(L20)),IF(AND(K20&gt;0,L20&gt;0,K20-L20&gt;0,COUNTIFS(A21:A$2005,A20,F21:F$2005,F20,H21:H$2005,H20,AA21:AA$2005,"&gt;0")=0),ROUND(K20-L20,6),""),"")</f>
        <v/>
      </c>
      <c r="X20" s="60" t="str">
        <f>IF(AND(A20="",C20="",D20="",H20="",L20=""),"",IF(A20="","Type manquant",IF(AND(A20&lt;&gt;"BL",A20&lt;&gt;"BR",A20&lt;&gt;"BS"),"Type inconnu (BL, BR ou BS)",IF(AG20=0,"Date manquante ou invalide",IF(D20="",IF(A20="BL","Client manquant",IF(A20="BR","Fournisseur manquant","Service manquant")),IF(IF(A20="BL",ISNA(MATCH(D20,cl_code,0)),IF(A20="BR",ISNA(MATCH(D20,fo_code,0)),ISNA(MATCH(D20,p_services,0)))),IF(A20="BL","Client inconnu",IF(A20="BR","Fournisseur inconnu","Service inconnu")),IF(H20="","Article manquant",IF(ISNA(MATCH(H20,art_ref,0)),"Article inconnu",IF(OR(NOT(ISNUMBER(L20)),N(L20)&lt;=0),"Quantité invalide",IF(AND(K20&lt;&gt;"",OR(NOT(ISNUMBER(K20)),N(K20)&lt;=0)),"Qté commandée invalide",IF(AG20&lt;SUMPRODUCT(MAX((A$6:A19=A20)*AG$6:AG19)),"Date antérieure au bon précédent",IF(AND(A20&lt;&gt;"BR",ISNUMBER(M20),N(M20)&gt;0),IF(A20="BL","Livré plus que commandé","Sorti plus que demandé"),"OK"))))))))))))</f>
        <v/>
      </c>
      <c r="Y20" s="57" t="str">
        <f>IF(AND(OR(A20="BL",A20="BR",A20="BS"),AG20&gt;0,D20&lt;&gt;""),A20&amp;"|"&amp;AG20&amp;"|"&amp;D20&amp;"|"&amp;F20,"")</f>
        <v/>
      </c>
      <c r="Z20" s="57" t="str">
        <f>IF(Y20="","",IF(COUNTIF(Y$6:Y19,Y20)=0,1,0))</f>
        <v/>
      </c>
      <c r="AA20" s="57" t="str">
        <f>IF(Y20="","",IF(Z20=1,COUNTIFS(A$6:A20,A20,Z$6:Z20,1),INDEX(AA$6:AA19,MATCH(Y20,Y$6:Y19,0))))</f>
        <v/>
      </c>
      <c r="AB20" s="57" t="str">
        <f>IF(B20="","",COUNTIF(B$6:B20,B20))</f>
        <v/>
      </c>
      <c r="AC20" s="57" t="str">
        <f>IF(B20="","",B20&amp;"#"&amp;AB20)</f>
        <v/>
      </c>
      <c r="AD20" s="57" t="str">
        <f>IF(Z20=1,A20&amp;AA20,"")</f>
        <v/>
      </c>
      <c r="AE20" s="57" t="str">
        <f>IF(B20="","",YEAR(C20))</f>
        <v/>
      </c>
      <c r="AF20" s="57" t="str">
        <f>IF(B20="","",MONTH(C20))</f>
        <v/>
      </c>
      <c r="AG20" s="57">
        <f>IF(ISNUMBER(C20),C20,0)</f>
        <v>0.0</v>
      </c>
      <c r="AH20" s="57" t="str">
        <f>IF(N(W20)&gt;0,COUNTIF(W$6:W20,"&gt;0"),"")</f>
        <v/>
      </c>
      <c r="AI20" s="57" t="str">
        <f>IF(Z20=1,COUNTIF(Z$6:Z20,1),"")</f>
        <v/>
      </c>
    </row>
    <row r="21">
      <c r="A21" s="54" t="n"/>
      <c r="B21" s="55" t="str">
        <f>IF(AA21="","",A21&amp;"-"&amp;RIGHT("000"&amp;AA21,4))</f>
        <v/>
      </c>
      <c r="C21" s="56" t="n"/>
      <c r="D21" s="54" t="n"/>
      <c r="E21" s="57" t="str">
        <f>IF(D21="","",IF(A21="BL",IFERROR(INDEX(cl_name,MATCH(D21,cl_code,0))&amp;"","Client inconnu"),IF(A21="BR",IFERROR(INDEX(fo_name,MATCH(D21,fo_code,0))&amp;"","Fournisseur inconnu"),IF(A21="BS",IF(ISNA(MATCH(D21,p_services,0)),"Service inconnu",D21&amp;""),""))))</f>
        <v/>
      </c>
      <c r="F21" s="58" t="n"/>
      <c r="G21" s="58" t="n"/>
      <c r="H21" s="59" t="n"/>
      <c r="I21" s="57" t="str">
        <f>IF(H21="","",IFERROR(INDEX(art_des,MATCH(H21,art_ref,0))&amp;"","Article inconnu"))</f>
        <v/>
      </c>
      <c r="J21" s="60" t="str">
        <f>IF(H21="","",IFERROR(INDEX(art_unit,MATCH(H21,art_ref,0))&amp;"",""))</f>
        <v/>
      </c>
      <c r="K21" s="59" t="n"/>
      <c r="L21" s="59" t="n"/>
      <c r="M21" s="61" t="str">
        <f>IF(OR(B21="",NOT(ISNUMBER(K21)),NOT(ISNUMBER(L21))),"",IF(OR(K21&lt;=0,L21&lt;=0),"",ROUND(L21-K21,6)))</f>
        <v/>
      </c>
      <c r="N21" s="58" t="n"/>
      <c r="O21" s="62" t="n"/>
      <c r="P21" s="63" t="str">
        <f>IF(OR(B21="",NOT(ISNUMBER(L21))),"",IF(L21&lt;=0,"",IFERROR(ROUND(L21*N(INDEX(art_w,MATCH(H21,art_ref,0))),3),"")))</f>
        <v/>
      </c>
      <c r="Q21" s="59" t="n"/>
      <c r="R21" s="54" t="n"/>
      <c r="S21" s="59" t="n"/>
      <c r="T21" s="59" t="n"/>
      <c r="U21" s="64" t="str">
        <f>IF(OR(B21="",H21=""),"",IFERROR(IF(A21="BL",IF(N(INDEX(art_price,MATCH(H21,art_ref,0)))=0,"",N(INDEX(art_price,MATCH(H21,art_ref,0)))),IF(N(INDEX(art_cost,MATCH(H21,art_ref,0)))=0,"",N(INDEX(art_cost,MATCH(H21,art_ref,0))))),""))</f>
        <v/>
      </c>
      <c r="V21" s="64" t="str">
        <f>IF(OR(U21="",NOT(ISNUMBER(L21))),"",IF(L21&lt;=0,"",ROUND(L21*U21,2)))</f>
        <v/>
      </c>
      <c r="W21" s="60" t="str">
        <f>IF(AND(B21&lt;&gt;"",A21&lt;&gt;"BS",F21&lt;&gt;"",H21&lt;&gt;"",ISNUMBER(K21),ISNUMBER(L21)),IF(AND(K21&gt;0,L21&gt;0,K21-L21&gt;0,COUNTIFS(A22:A$2005,A21,F22:F$2005,F21,H22:H$2005,H21,AA22:AA$2005,"&gt;0")=0),ROUND(K21-L21,6),""),"")</f>
        <v/>
      </c>
      <c r="X21" s="60" t="str">
        <f>IF(AND(A21="",C21="",D21="",H21="",L21=""),"",IF(A21="","Type manquant",IF(AND(A21&lt;&gt;"BL",A21&lt;&gt;"BR",A21&lt;&gt;"BS"),"Type inconnu (BL, BR ou BS)",IF(AG21=0,"Date manquante ou invalide",IF(D21="",IF(A21="BL","Client manquant",IF(A21="BR","Fournisseur manquant","Service manquant")),IF(IF(A21="BL",ISNA(MATCH(D21,cl_code,0)),IF(A21="BR",ISNA(MATCH(D21,fo_code,0)),ISNA(MATCH(D21,p_services,0)))),IF(A21="BL","Client inconnu",IF(A21="BR","Fournisseur inconnu","Service inconnu")),IF(H21="","Article manquant",IF(ISNA(MATCH(H21,art_ref,0)),"Article inconnu",IF(OR(NOT(ISNUMBER(L21)),N(L21)&lt;=0),"Quantité invalide",IF(AND(K21&lt;&gt;"",OR(NOT(ISNUMBER(K21)),N(K21)&lt;=0)),"Qté commandée invalide",IF(AG21&lt;SUMPRODUCT(MAX((A$6:A20=A21)*AG$6:AG20)),"Date antérieure au bon précédent",IF(AND(A21&lt;&gt;"BR",ISNUMBER(M21),N(M21)&gt;0),IF(A21="BL","Livré plus que commandé","Sorti plus que demandé"),"OK"))))))))))))</f>
        <v/>
      </c>
      <c r="Y21" s="57" t="str">
        <f>IF(AND(OR(A21="BL",A21="BR",A21="BS"),AG21&gt;0,D21&lt;&gt;""),A21&amp;"|"&amp;AG21&amp;"|"&amp;D21&amp;"|"&amp;F21,"")</f>
        <v/>
      </c>
      <c r="Z21" s="57" t="str">
        <f>IF(Y21="","",IF(COUNTIF(Y$6:Y20,Y21)=0,1,0))</f>
        <v/>
      </c>
      <c r="AA21" s="57" t="str">
        <f>IF(Y21="","",IF(Z21=1,COUNTIFS(A$6:A21,A21,Z$6:Z21,1),INDEX(AA$6:AA20,MATCH(Y21,Y$6:Y20,0))))</f>
        <v/>
      </c>
      <c r="AB21" s="57" t="str">
        <f>IF(B21="","",COUNTIF(B$6:B21,B21))</f>
        <v/>
      </c>
      <c r="AC21" s="57" t="str">
        <f>IF(B21="","",B21&amp;"#"&amp;AB21)</f>
        <v/>
      </c>
      <c r="AD21" s="57" t="str">
        <f>IF(Z21=1,A21&amp;AA21,"")</f>
        <v/>
      </c>
      <c r="AE21" s="57" t="str">
        <f>IF(B21="","",YEAR(C21))</f>
        <v/>
      </c>
      <c r="AF21" s="57" t="str">
        <f>IF(B21="","",MONTH(C21))</f>
        <v/>
      </c>
      <c r="AG21" s="57">
        <f>IF(ISNUMBER(C21),C21,0)</f>
        <v>0.0</v>
      </c>
      <c r="AH21" s="57" t="str">
        <f>IF(N(W21)&gt;0,COUNTIF(W$6:W21,"&gt;0"),"")</f>
        <v/>
      </c>
      <c r="AI21" s="57" t="str">
        <f>IF(Z21=1,COUNTIF(Z$6:Z21,1),"")</f>
        <v/>
      </c>
    </row>
    <row r="22">
      <c r="A22" s="54" t="n"/>
      <c r="B22" s="55" t="str">
        <f>IF(AA22="","",A22&amp;"-"&amp;RIGHT("000"&amp;AA22,4))</f>
        <v/>
      </c>
      <c r="C22" s="56" t="n"/>
      <c r="D22" s="54" t="n"/>
      <c r="E22" s="57" t="str">
        <f>IF(D22="","",IF(A22="BL",IFERROR(INDEX(cl_name,MATCH(D22,cl_code,0))&amp;"","Client inconnu"),IF(A22="BR",IFERROR(INDEX(fo_name,MATCH(D22,fo_code,0))&amp;"","Fournisseur inconnu"),IF(A22="BS",IF(ISNA(MATCH(D22,p_services,0)),"Service inconnu",D22&amp;""),""))))</f>
        <v/>
      </c>
      <c r="F22" s="58" t="n"/>
      <c r="G22" s="58" t="n"/>
      <c r="H22" s="59" t="n"/>
      <c r="I22" s="57" t="str">
        <f>IF(H22="","",IFERROR(INDEX(art_des,MATCH(H22,art_ref,0))&amp;"","Article inconnu"))</f>
        <v/>
      </c>
      <c r="J22" s="60" t="str">
        <f>IF(H22="","",IFERROR(INDEX(art_unit,MATCH(H22,art_ref,0))&amp;"",""))</f>
        <v/>
      </c>
      <c r="K22" s="59" t="n"/>
      <c r="L22" s="59" t="n"/>
      <c r="M22" s="61" t="str">
        <f>IF(OR(B22="",NOT(ISNUMBER(K22)),NOT(ISNUMBER(L22))),"",IF(OR(K22&lt;=0,L22&lt;=0),"",ROUND(L22-K22,6)))</f>
        <v/>
      </c>
      <c r="N22" s="58" t="n"/>
      <c r="O22" s="62" t="n"/>
      <c r="P22" s="63" t="str">
        <f>IF(OR(B22="",NOT(ISNUMBER(L22))),"",IF(L22&lt;=0,"",IFERROR(ROUND(L22*N(INDEX(art_w,MATCH(H22,art_ref,0))),3),"")))</f>
        <v/>
      </c>
      <c r="Q22" s="59" t="n"/>
      <c r="R22" s="54" t="n"/>
      <c r="S22" s="59" t="n"/>
      <c r="T22" s="59" t="n"/>
      <c r="U22" s="64" t="str">
        <f>IF(OR(B22="",H22=""),"",IFERROR(IF(A22="BL",IF(N(INDEX(art_price,MATCH(H22,art_ref,0)))=0,"",N(INDEX(art_price,MATCH(H22,art_ref,0)))),IF(N(INDEX(art_cost,MATCH(H22,art_ref,0)))=0,"",N(INDEX(art_cost,MATCH(H22,art_ref,0))))),""))</f>
        <v/>
      </c>
      <c r="V22" s="64" t="str">
        <f>IF(OR(U22="",NOT(ISNUMBER(L22))),"",IF(L22&lt;=0,"",ROUND(L22*U22,2)))</f>
        <v/>
      </c>
      <c r="W22" s="60" t="str">
        <f>IF(AND(B22&lt;&gt;"",A22&lt;&gt;"BS",F22&lt;&gt;"",H22&lt;&gt;"",ISNUMBER(K22),ISNUMBER(L22)),IF(AND(K22&gt;0,L22&gt;0,K22-L22&gt;0,COUNTIFS(A23:A$2005,A22,F23:F$2005,F22,H23:H$2005,H22,AA23:AA$2005,"&gt;0")=0),ROUND(K22-L22,6),""),"")</f>
        <v/>
      </c>
      <c r="X22" s="60" t="str">
        <f>IF(AND(A22="",C22="",D22="",H22="",L22=""),"",IF(A22="","Type manquant",IF(AND(A22&lt;&gt;"BL",A22&lt;&gt;"BR",A22&lt;&gt;"BS"),"Type inconnu (BL, BR ou BS)",IF(AG22=0,"Date manquante ou invalide",IF(D22="",IF(A22="BL","Client manquant",IF(A22="BR","Fournisseur manquant","Service manquant")),IF(IF(A22="BL",ISNA(MATCH(D22,cl_code,0)),IF(A22="BR",ISNA(MATCH(D22,fo_code,0)),ISNA(MATCH(D22,p_services,0)))),IF(A22="BL","Client inconnu",IF(A22="BR","Fournisseur inconnu","Service inconnu")),IF(H22="","Article manquant",IF(ISNA(MATCH(H22,art_ref,0)),"Article inconnu",IF(OR(NOT(ISNUMBER(L22)),N(L22)&lt;=0),"Quantité invalide",IF(AND(K22&lt;&gt;"",OR(NOT(ISNUMBER(K22)),N(K22)&lt;=0)),"Qté commandée invalide",IF(AG22&lt;SUMPRODUCT(MAX((A$6:A21=A22)*AG$6:AG21)),"Date antérieure au bon précédent",IF(AND(A22&lt;&gt;"BR",ISNUMBER(M22),N(M22)&gt;0),IF(A22="BL","Livré plus que commandé","Sorti plus que demandé"),"OK"))))))))))))</f>
        <v/>
      </c>
      <c r="Y22" s="57" t="str">
        <f>IF(AND(OR(A22="BL",A22="BR",A22="BS"),AG22&gt;0,D22&lt;&gt;""),A22&amp;"|"&amp;AG22&amp;"|"&amp;D22&amp;"|"&amp;F22,"")</f>
        <v/>
      </c>
      <c r="Z22" s="57" t="str">
        <f>IF(Y22="","",IF(COUNTIF(Y$6:Y21,Y22)=0,1,0))</f>
        <v/>
      </c>
      <c r="AA22" s="57" t="str">
        <f>IF(Y22="","",IF(Z22=1,COUNTIFS(A$6:A22,A22,Z$6:Z22,1),INDEX(AA$6:AA21,MATCH(Y22,Y$6:Y21,0))))</f>
        <v/>
      </c>
      <c r="AB22" s="57" t="str">
        <f>IF(B22="","",COUNTIF(B$6:B22,B22))</f>
        <v/>
      </c>
      <c r="AC22" s="57" t="str">
        <f>IF(B22="","",B22&amp;"#"&amp;AB22)</f>
        <v/>
      </c>
      <c r="AD22" s="57" t="str">
        <f>IF(Z22=1,A22&amp;AA22,"")</f>
        <v/>
      </c>
      <c r="AE22" s="57" t="str">
        <f>IF(B22="","",YEAR(C22))</f>
        <v/>
      </c>
      <c r="AF22" s="57" t="str">
        <f>IF(B22="","",MONTH(C22))</f>
        <v/>
      </c>
      <c r="AG22" s="57">
        <f>IF(ISNUMBER(C22),C22,0)</f>
        <v>0.0</v>
      </c>
      <c r="AH22" s="57" t="str">
        <f>IF(N(W22)&gt;0,COUNTIF(W$6:W22,"&gt;0"),"")</f>
        <v/>
      </c>
      <c r="AI22" s="57" t="str">
        <f>IF(Z22=1,COUNTIF(Z$6:Z22,1),"")</f>
        <v/>
      </c>
    </row>
    <row r="23">
      <c r="A23" s="54" t="n"/>
      <c r="B23" s="55" t="str">
        <f>IF(AA23="","",A23&amp;"-"&amp;RIGHT("000"&amp;AA23,4))</f>
        <v/>
      </c>
      <c r="C23" s="56" t="n"/>
      <c r="D23" s="54" t="n"/>
      <c r="E23" s="57" t="str">
        <f>IF(D23="","",IF(A23="BL",IFERROR(INDEX(cl_name,MATCH(D23,cl_code,0))&amp;"","Client inconnu"),IF(A23="BR",IFERROR(INDEX(fo_name,MATCH(D23,fo_code,0))&amp;"","Fournisseur inconnu"),IF(A23="BS",IF(ISNA(MATCH(D23,p_services,0)),"Service inconnu",D23&amp;""),""))))</f>
        <v/>
      </c>
      <c r="F23" s="58" t="n"/>
      <c r="G23" s="58" t="n"/>
      <c r="H23" s="59" t="n"/>
      <c r="I23" s="57" t="str">
        <f>IF(H23="","",IFERROR(INDEX(art_des,MATCH(H23,art_ref,0))&amp;"","Article inconnu"))</f>
        <v/>
      </c>
      <c r="J23" s="60" t="str">
        <f>IF(H23="","",IFERROR(INDEX(art_unit,MATCH(H23,art_ref,0))&amp;"",""))</f>
        <v/>
      </c>
      <c r="K23" s="59" t="n"/>
      <c r="L23" s="59" t="n"/>
      <c r="M23" s="61" t="str">
        <f>IF(OR(B23="",NOT(ISNUMBER(K23)),NOT(ISNUMBER(L23))),"",IF(OR(K23&lt;=0,L23&lt;=0),"",ROUND(L23-K23,6)))</f>
        <v/>
      </c>
      <c r="N23" s="58" t="n"/>
      <c r="O23" s="62" t="n"/>
      <c r="P23" s="63" t="str">
        <f>IF(OR(B23="",NOT(ISNUMBER(L23))),"",IF(L23&lt;=0,"",IFERROR(ROUND(L23*N(INDEX(art_w,MATCH(H23,art_ref,0))),3),"")))</f>
        <v/>
      </c>
      <c r="Q23" s="59" t="n"/>
      <c r="R23" s="54" t="n"/>
      <c r="S23" s="59" t="n"/>
      <c r="T23" s="59" t="n"/>
      <c r="U23" s="64" t="str">
        <f>IF(OR(B23="",H23=""),"",IFERROR(IF(A23="BL",IF(N(INDEX(art_price,MATCH(H23,art_ref,0)))=0,"",N(INDEX(art_price,MATCH(H23,art_ref,0)))),IF(N(INDEX(art_cost,MATCH(H23,art_ref,0)))=0,"",N(INDEX(art_cost,MATCH(H23,art_ref,0))))),""))</f>
        <v/>
      </c>
      <c r="V23" s="64" t="str">
        <f>IF(OR(U23="",NOT(ISNUMBER(L23))),"",IF(L23&lt;=0,"",ROUND(L23*U23,2)))</f>
        <v/>
      </c>
      <c r="W23" s="60" t="str">
        <f>IF(AND(B23&lt;&gt;"",A23&lt;&gt;"BS",F23&lt;&gt;"",H23&lt;&gt;"",ISNUMBER(K23),ISNUMBER(L23)),IF(AND(K23&gt;0,L23&gt;0,K23-L23&gt;0,COUNTIFS(A24:A$2005,A23,F24:F$2005,F23,H24:H$2005,H23,AA24:AA$2005,"&gt;0")=0),ROUND(K23-L23,6),""),"")</f>
        <v/>
      </c>
      <c r="X23" s="60" t="str">
        <f>IF(AND(A23="",C23="",D23="",H23="",L23=""),"",IF(A23="","Type manquant",IF(AND(A23&lt;&gt;"BL",A23&lt;&gt;"BR",A23&lt;&gt;"BS"),"Type inconnu (BL, BR ou BS)",IF(AG23=0,"Date manquante ou invalide",IF(D23="",IF(A23="BL","Client manquant",IF(A23="BR","Fournisseur manquant","Service manquant")),IF(IF(A23="BL",ISNA(MATCH(D23,cl_code,0)),IF(A23="BR",ISNA(MATCH(D23,fo_code,0)),ISNA(MATCH(D23,p_services,0)))),IF(A23="BL","Client inconnu",IF(A23="BR","Fournisseur inconnu","Service inconnu")),IF(H23="","Article manquant",IF(ISNA(MATCH(H23,art_ref,0)),"Article inconnu",IF(OR(NOT(ISNUMBER(L23)),N(L23)&lt;=0),"Quantité invalide",IF(AND(K23&lt;&gt;"",OR(NOT(ISNUMBER(K23)),N(K23)&lt;=0)),"Qté commandée invalide",IF(AG23&lt;SUMPRODUCT(MAX((A$6:A22=A23)*AG$6:AG22)),"Date antérieure au bon précédent",IF(AND(A23&lt;&gt;"BR",ISNUMBER(M23),N(M23)&gt;0),IF(A23="BL","Livré plus que commandé","Sorti plus que demandé"),"OK"))))))))))))</f>
        <v/>
      </c>
      <c r="Y23" s="57" t="str">
        <f>IF(AND(OR(A23="BL",A23="BR",A23="BS"),AG23&gt;0,D23&lt;&gt;""),A23&amp;"|"&amp;AG23&amp;"|"&amp;D23&amp;"|"&amp;F23,"")</f>
        <v/>
      </c>
      <c r="Z23" s="57" t="str">
        <f>IF(Y23="","",IF(COUNTIF(Y$6:Y22,Y23)=0,1,0))</f>
        <v/>
      </c>
      <c r="AA23" s="57" t="str">
        <f>IF(Y23="","",IF(Z23=1,COUNTIFS(A$6:A23,A23,Z$6:Z23,1),INDEX(AA$6:AA22,MATCH(Y23,Y$6:Y22,0))))</f>
        <v/>
      </c>
      <c r="AB23" s="57" t="str">
        <f>IF(B23="","",COUNTIF(B$6:B23,B23))</f>
        <v/>
      </c>
      <c r="AC23" s="57" t="str">
        <f>IF(B23="","",B23&amp;"#"&amp;AB23)</f>
        <v/>
      </c>
      <c r="AD23" s="57" t="str">
        <f>IF(Z23=1,A23&amp;AA23,"")</f>
        <v/>
      </c>
      <c r="AE23" s="57" t="str">
        <f>IF(B23="","",YEAR(C23))</f>
        <v/>
      </c>
      <c r="AF23" s="57" t="str">
        <f>IF(B23="","",MONTH(C23))</f>
        <v/>
      </c>
      <c r="AG23" s="57">
        <f>IF(ISNUMBER(C23),C23,0)</f>
        <v>0.0</v>
      </c>
      <c r="AH23" s="57" t="str">
        <f>IF(N(W23)&gt;0,COUNTIF(W$6:W23,"&gt;0"),"")</f>
        <v/>
      </c>
      <c r="AI23" s="57" t="str">
        <f>IF(Z23=1,COUNTIF(Z$6:Z23,1),"")</f>
        <v/>
      </c>
    </row>
    <row r="24">
      <c r="A24" s="54" t="n"/>
      <c r="B24" s="55" t="str">
        <f>IF(AA24="","",A24&amp;"-"&amp;RIGHT("000"&amp;AA24,4))</f>
        <v/>
      </c>
      <c r="C24" s="56" t="n"/>
      <c r="D24" s="54" t="n"/>
      <c r="E24" s="57" t="str">
        <f>IF(D24="","",IF(A24="BL",IFERROR(INDEX(cl_name,MATCH(D24,cl_code,0))&amp;"","Client inconnu"),IF(A24="BR",IFERROR(INDEX(fo_name,MATCH(D24,fo_code,0))&amp;"","Fournisseur inconnu"),IF(A24="BS",IF(ISNA(MATCH(D24,p_services,0)),"Service inconnu",D24&amp;""),""))))</f>
        <v/>
      </c>
      <c r="F24" s="58" t="n"/>
      <c r="G24" s="58" t="n"/>
      <c r="H24" s="59" t="n"/>
      <c r="I24" s="57" t="str">
        <f>IF(H24="","",IFERROR(INDEX(art_des,MATCH(H24,art_ref,0))&amp;"","Article inconnu"))</f>
        <v/>
      </c>
      <c r="J24" s="60" t="str">
        <f>IF(H24="","",IFERROR(INDEX(art_unit,MATCH(H24,art_ref,0))&amp;"",""))</f>
        <v/>
      </c>
      <c r="K24" s="59" t="n"/>
      <c r="L24" s="59" t="n"/>
      <c r="M24" s="61" t="str">
        <f>IF(OR(B24="",NOT(ISNUMBER(K24)),NOT(ISNUMBER(L24))),"",IF(OR(K24&lt;=0,L24&lt;=0),"",ROUND(L24-K24,6)))</f>
        <v/>
      </c>
      <c r="N24" s="58" t="n"/>
      <c r="O24" s="62" t="n"/>
      <c r="P24" s="63" t="str">
        <f>IF(OR(B24="",NOT(ISNUMBER(L24))),"",IF(L24&lt;=0,"",IFERROR(ROUND(L24*N(INDEX(art_w,MATCH(H24,art_ref,0))),3),"")))</f>
        <v/>
      </c>
      <c r="Q24" s="59" t="n"/>
      <c r="R24" s="54" t="n"/>
      <c r="S24" s="59" t="n"/>
      <c r="T24" s="59" t="n"/>
      <c r="U24" s="64" t="str">
        <f>IF(OR(B24="",H24=""),"",IFERROR(IF(A24="BL",IF(N(INDEX(art_price,MATCH(H24,art_ref,0)))=0,"",N(INDEX(art_price,MATCH(H24,art_ref,0)))),IF(N(INDEX(art_cost,MATCH(H24,art_ref,0)))=0,"",N(INDEX(art_cost,MATCH(H24,art_ref,0))))),""))</f>
        <v/>
      </c>
      <c r="V24" s="64" t="str">
        <f>IF(OR(U24="",NOT(ISNUMBER(L24))),"",IF(L24&lt;=0,"",ROUND(L24*U24,2)))</f>
        <v/>
      </c>
      <c r="W24" s="60" t="str">
        <f>IF(AND(B24&lt;&gt;"",A24&lt;&gt;"BS",F24&lt;&gt;"",H24&lt;&gt;"",ISNUMBER(K24),ISNUMBER(L24)),IF(AND(K24&gt;0,L24&gt;0,K24-L24&gt;0,COUNTIFS(A25:A$2005,A24,F25:F$2005,F24,H25:H$2005,H24,AA25:AA$2005,"&gt;0")=0),ROUND(K24-L24,6),""),"")</f>
        <v/>
      </c>
      <c r="X24" s="60" t="str">
        <f>IF(AND(A24="",C24="",D24="",H24="",L24=""),"",IF(A24="","Type manquant",IF(AND(A24&lt;&gt;"BL",A24&lt;&gt;"BR",A24&lt;&gt;"BS"),"Type inconnu (BL, BR ou BS)",IF(AG24=0,"Date manquante ou invalide",IF(D24="",IF(A24="BL","Client manquant",IF(A24="BR","Fournisseur manquant","Service manquant")),IF(IF(A24="BL",ISNA(MATCH(D24,cl_code,0)),IF(A24="BR",ISNA(MATCH(D24,fo_code,0)),ISNA(MATCH(D24,p_services,0)))),IF(A24="BL","Client inconnu",IF(A24="BR","Fournisseur inconnu","Service inconnu")),IF(H24="","Article manquant",IF(ISNA(MATCH(H24,art_ref,0)),"Article inconnu",IF(OR(NOT(ISNUMBER(L24)),N(L24)&lt;=0),"Quantité invalide",IF(AND(K24&lt;&gt;"",OR(NOT(ISNUMBER(K24)),N(K24)&lt;=0)),"Qté commandée invalide",IF(AG24&lt;SUMPRODUCT(MAX((A$6:A23=A24)*AG$6:AG23)),"Date antérieure au bon précédent",IF(AND(A24&lt;&gt;"BR",ISNUMBER(M24),N(M24)&gt;0),IF(A24="BL","Livré plus que commandé","Sorti plus que demandé"),"OK"))))))))))))</f>
        <v/>
      </c>
      <c r="Y24" s="57" t="str">
        <f>IF(AND(OR(A24="BL",A24="BR",A24="BS"),AG24&gt;0,D24&lt;&gt;""),A24&amp;"|"&amp;AG24&amp;"|"&amp;D24&amp;"|"&amp;F24,"")</f>
        <v/>
      </c>
      <c r="Z24" s="57" t="str">
        <f>IF(Y24="","",IF(COUNTIF(Y$6:Y23,Y24)=0,1,0))</f>
        <v/>
      </c>
      <c r="AA24" s="57" t="str">
        <f>IF(Y24="","",IF(Z24=1,COUNTIFS(A$6:A24,A24,Z$6:Z24,1),INDEX(AA$6:AA23,MATCH(Y24,Y$6:Y23,0))))</f>
        <v/>
      </c>
      <c r="AB24" s="57" t="str">
        <f>IF(B24="","",COUNTIF(B$6:B24,B24))</f>
        <v/>
      </c>
      <c r="AC24" s="57" t="str">
        <f>IF(B24="","",B24&amp;"#"&amp;AB24)</f>
        <v/>
      </c>
      <c r="AD24" s="57" t="str">
        <f>IF(Z24=1,A24&amp;AA24,"")</f>
        <v/>
      </c>
      <c r="AE24" s="57" t="str">
        <f>IF(B24="","",YEAR(C24))</f>
        <v/>
      </c>
      <c r="AF24" s="57" t="str">
        <f>IF(B24="","",MONTH(C24))</f>
        <v/>
      </c>
      <c r="AG24" s="57">
        <f>IF(ISNUMBER(C24),C24,0)</f>
        <v>0.0</v>
      </c>
      <c r="AH24" s="57" t="str">
        <f>IF(N(W24)&gt;0,COUNTIF(W$6:W24,"&gt;0"),"")</f>
        <v/>
      </c>
      <c r="AI24" s="57" t="str">
        <f>IF(Z24=1,COUNTIF(Z$6:Z24,1),"")</f>
        <v/>
      </c>
    </row>
    <row r="25">
      <c r="A25" s="54" t="n"/>
      <c r="B25" s="55" t="str">
        <f>IF(AA25="","",A25&amp;"-"&amp;RIGHT("000"&amp;AA25,4))</f>
        <v/>
      </c>
      <c r="C25" s="56" t="n"/>
      <c r="D25" s="54" t="n"/>
      <c r="E25" s="57" t="str">
        <f>IF(D25="","",IF(A25="BL",IFERROR(INDEX(cl_name,MATCH(D25,cl_code,0))&amp;"","Client inconnu"),IF(A25="BR",IFERROR(INDEX(fo_name,MATCH(D25,fo_code,0))&amp;"","Fournisseur inconnu"),IF(A25="BS",IF(ISNA(MATCH(D25,p_services,0)),"Service inconnu",D25&amp;""),""))))</f>
        <v/>
      </c>
      <c r="F25" s="58" t="n"/>
      <c r="G25" s="58" t="n"/>
      <c r="H25" s="59" t="n"/>
      <c r="I25" s="57" t="str">
        <f>IF(H25="","",IFERROR(INDEX(art_des,MATCH(H25,art_ref,0))&amp;"","Article inconnu"))</f>
        <v/>
      </c>
      <c r="J25" s="60" t="str">
        <f>IF(H25="","",IFERROR(INDEX(art_unit,MATCH(H25,art_ref,0))&amp;"",""))</f>
        <v/>
      </c>
      <c r="K25" s="59" t="n"/>
      <c r="L25" s="59" t="n"/>
      <c r="M25" s="61" t="str">
        <f>IF(OR(B25="",NOT(ISNUMBER(K25)),NOT(ISNUMBER(L25))),"",IF(OR(K25&lt;=0,L25&lt;=0),"",ROUND(L25-K25,6)))</f>
        <v/>
      </c>
      <c r="N25" s="58" t="n"/>
      <c r="O25" s="62" t="n"/>
      <c r="P25" s="63" t="str">
        <f>IF(OR(B25="",NOT(ISNUMBER(L25))),"",IF(L25&lt;=0,"",IFERROR(ROUND(L25*N(INDEX(art_w,MATCH(H25,art_ref,0))),3),"")))</f>
        <v/>
      </c>
      <c r="Q25" s="59" t="n"/>
      <c r="R25" s="54" t="n"/>
      <c r="S25" s="59" t="n"/>
      <c r="T25" s="59" t="n"/>
      <c r="U25" s="64" t="str">
        <f>IF(OR(B25="",H25=""),"",IFERROR(IF(A25="BL",IF(N(INDEX(art_price,MATCH(H25,art_ref,0)))=0,"",N(INDEX(art_price,MATCH(H25,art_ref,0)))),IF(N(INDEX(art_cost,MATCH(H25,art_ref,0)))=0,"",N(INDEX(art_cost,MATCH(H25,art_ref,0))))),""))</f>
        <v/>
      </c>
      <c r="V25" s="64" t="str">
        <f>IF(OR(U25="",NOT(ISNUMBER(L25))),"",IF(L25&lt;=0,"",ROUND(L25*U25,2)))</f>
        <v/>
      </c>
      <c r="W25" s="60" t="str">
        <f>IF(AND(B25&lt;&gt;"",A25&lt;&gt;"BS",F25&lt;&gt;"",H25&lt;&gt;"",ISNUMBER(K25),ISNUMBER(L25)),IF(AND(K25&gt;0,L25&gt;0,K25-L25&gt;0,COUNTIFS(A26:A$2005,A25,F26:F$2005,F25,H26:H$2005,H25,AA26:AA$2005,"&gt;0")=0),ROUND(K25-L25,6),""),"")</f>
        <v/>
      </c>
      <c r="X25" s="60" t="str">
        <f>IF(AND(A25="",C25="",D25="",H25="",L25=""),"",IF(A25="","Type manquant",IF(AND(A25&lt;&gt;"BL",A25&lt;&gt;"BR",A25&lt;&gt;"BS"),"Type inconnu (BL, BR ou BS)",IF(AG25=0,"Date manquante ou invalide",IF(D25="",IF(A25="BL","Client manquant",IF(A25="BR","Fournisseur manquant","Service manquant")),IF(IF(A25="BL",ISNA(MATCH(D25,cl_code,0)),IF(A25="BR",ISNA(MATCH(D25,fo_code,0)),ISNA(MATCH(D25,p_services,0)))),IF(A25="BL","Client inconnu",IF(A25="BR","Fournisseur inconnu","Service inconnu")),IF(H25="","Article manquant",IF(ISNA(MATCH(H25,art_ref,0)),"Article inconnu",IF(OR(NOT(ISNUMBER(L25)),N(L25)&lt;=0),"Quantité invalide",IF(AND(K25&lt;&gt;"",OR(NOT(ISNUMBER(K25)),N(K25)&lt;=0)),"Qté commandée invalide",IF(AG25&lt;SUMPRODUCT(MAX((A$6:A24=A25)*AG$6:AG24)),"Date antérieure au bon précédent",IF(AND(A25&lt;&gt;"BR",ISNUMBER(M25),N(M25)&gt;0),IF(A25="BL","Livré plus que commandé","Sorti plus que demandé"),"OK"))))))))))))</f>
        <v/>
      </c>
      <c r="Y25" s="57" t="str">
        <f>IF(AND(OR(A25="BL",A25="BR",A25="BS"),AG25&gt;0,D25&lt;&gt;""),A25&amp;"|"&amp;AG25&amp;"|"&amp;D25&amp;"|"&amp;F25,"")</f>
        <v/>
      </c>
      <c r="Z25" s="57" t="str">
        <f>IF(Y25="","",IF(COUNTIF(Y$6:Y24,Y25)=0,1,0))</f>
        <v/>
      </c>
      <c r="AA25" s="57" t="str">
        <f>IF(Y25="","",IF(Z25=1,COUNTIFS(A$6:A25,A25,Z$6:Z25,1),INDEX(AA$6:AA24,MATCH(Y25,Y$6:Y24,0))))</f>
        <v/>
      </c>
      <c r="AB25" s="57" t="str">
        <f>IF(B25="","",COUNTIF(B$6:B25,B25))</f>
        <v/>
      </c>
      <c r="AC25" s="57" t="str">
        <f>IF(B25="","",B25&amp;"#"&amp;AB25)</f>
        <v/>
      </c>
      <c r="AD25" s="57" t="str">
        <f>IF(Z25=1,A25&amp;AA25,"")</f>
        <v/>
      </c>
      <c r="AE25" s="57" t="str">
        <f>IF(B25="","",YEAR(C25))</f>
        <v/>
      </c>
      <c r="AF25" s="57" t="str">
        <f>IF(B25="","",MONTH(C25))</f>
        <v/>
      </c>
      <c r="AG25" s="57">
        <f>IF(ISNUMBER(C25),C25,0)</f>
        <v>0.0</v>
      </c>
      <c r="AH25" s="57" t="str">
        <f>IF(N(W25)&gt;0,COUNTIF(W$6:W25,"&gt;0"),"")</f>
        <v/>
      </c>
      <c r="AI25" s="57" t="str">
        <f>IF(Z25=1,COUNTIF(Z$6:Z25,1),"")</f>
        <v/>
      </c>
    </row>
    <row r="26">
      <c r="A26" s="54" t="n"/>
      <c r="B26" s="55" t="str">
        <f>IF(AA26="","",A26&amp;"-"&amp;RIGHT("000"&amp;AA26,4))</f>
        <v/>
      </c>
      <c r="C26" s="56" t="n"/>
      <c r="D26" s="54" t="n"/>
      <c r="E26" s="57" t="str">
        <f>IF(D26="","",IF(A26="BL",IFERROR(INDEX(cl_name,MATCH(D26,cl_code,0))&amp;"","Client inconnu"),IF(A26="BR",IFERROR(INDEX(fo_name,MATCH(D26,fo_code,0))&amp;"","Fournisseur inconnu"),IF(A26="BS",IF(ISNA(MATCH(D26,p_services,0)),"Service inconnu",D26&amp;""),""))))</f>
        <v/>
      </c>
      <c r="F26" s="58" t="n"/>
      <c r="G26" s="58" t="n"/>
      <c r="H26" s="59" t="n"/>
      <c r="I26" s="57" t="str">
        <f>IF(H26="","",IFERROR(INDEX(art_des,MATCH(H26,art_ref,0))&amp;"","Article inconnu"))</f>
        <v/>
      </c>
      <c r="J26" s="60" t="str">
        <f>IF(H26="","",IFERROR(INDEX(art_unit,MATCH(H26,art_ref,0))&amp;"",""))</f>
        <v/>
      </c>
      <c r="K26" s="59" t="n"/>
      <c r="L26" s="59" t="n"/>
      <c r="M26" s="61" t="str">
        <f>IF(OR(B26="",NOT(ISNUMBER(K26)),NOT(ISNUMBER(L26))),"",IF(OR(K26&lt;=0,L26&lt;=0),"",ROUND(L26-K26,6)))</f>
        <v/>
      </c>
      <c r="N26" s="58" t="n"/>
      <c r="O26" s="62" t="n"/>
      <c r="P26" s="63" t="str">
        <f>IF(OR(B26="",NOT(ISNUMBER(L26))),"",IF(L26&lt;=0,"",IFERROR(ROUND(L26*N(INDEX(art_w,MATCH(H26,art_ref,0))),3),"")))</f>
        <v/>
      </c>
      <c r="Q26" s="59" t="n"/>
      <c r="R26" s="54" t="n"/>
      <c r="S26" s="59" t="n"/>
      <c r="T26" s="59" t="n"/>
      <c r="U26" s="64" t="str">
        <f>IF(OR(B26="",H26=""),"",IFERROR(IF(A26="BL",IF(N(INDEX(art_price,MATCH(H26,art_ref,0)))=0,"",N(INDEX(art_price,MATCH(H26,art_ref,0)))),IF(N(INDEX(art_cost,MATCH(H26,art_ref,0)))=0,"",N(INDEX(art_cost,MATCH(H26,art_ref,0))))),""))</f>
        <v/>
      </c>
      <c r="V26" s="64" t="str">
        <f>IF(OR(U26="",NOT(ISNUMBER(L26))),"",IF(L26&lt;=0,"",ROUND(L26*U26,2)))</f>
        <v/>
      </c>
      <c r="W26" s="60" t="str">
        <f>IF(AND(B26&lt;&gt;"",A26&lt;&gt;"BS",F26&lt;&gt;"",H26&lt;&gt;"",ISNUMBER(K26),ISNUMBER(L26)),IF(AND(K26&gt;0,L26&gt;0,K26-L26&gt;0,COUNTIFS(A27:A$2005,A26,F27:F$2005,F26,H27:H$2005,H26,AA27:AA$2005,"&gt;0")=0),ROUND(K26-L26,6),""),"")</f>
        <v/>
      </c>
      <c r="X26" s="60" t="str">
        <f>IF(AND(A26="",C26="",D26="",H26="",L26=""),"",IF(A26="","Type manquant",IF(AND(A26&lt;&gt;"BL",A26&lt;&gt;"BR",A26&lt;&gt;"BS"),"Type inconnu (BL, BR ou BS)",IF(AG26=0,"Date manquante ou invalide",IF(D26="",IF(A26="BL","Client manquant",IF(A26="BR","Fournisseur manquant","Service manquant")),IF(IF(A26="BL",ISNA(MATCH(D26,cl_code,0)),IF(A26="BR",ISNA(MATCH(D26,fo_code,0)),ISNA(MATCH(D26,p_services,0)))),IF(A26="BL","Client inconnu",IF(A26="BR","Fournisseur inconnu","Service inconnu")),IF(H26="","Article manquant",IF(ISNA(MATCH(H26,art_ref,0)),"Article inconnu",IF(OR(NOT(ISNUMBER(L26)),N(L26)&lt;=0),"Quantité invalide",IF(AND(K26&lt;&gt;"",OR(NOT(ISNUMBER(K26)),N(K26)&lt;=0)),"Qté commandée invalide",IF(AG26&lt;SUMPRODUCT(MAX((A$6:A25=A26)*AG$6:AG25)),"Date antérieure au bon précédent",IF(AND(A26&lt;&gt;"BR",ISNUMBER(M26),N(M26)&gt;0),IF(A26="BL","Livré plus que commandé","Sorti plus que demandé"),"OK"))))))))))))</f>
        <v/>
      </c>
      <c r="Y26" s="57" t="str">
        <f>IF(AND(OR(A26="BL",A26="BR",A26="BS"),AG26&gt;0,D26&lt;&gt;""),A26&amp;"|"&amp;AG26&amp;"|"&amp;D26&amp;"|"&amp;F26,"")</f>
        <v/>
      </c>
      <c r="Z26" s="57" t="str">
        <f>IF(Y26="","",IF(COUNTIF(Y$6:Y25,Y26)=0,1,0))</f>
        <v/>
      </c>
      <c r="AA26" s="57" t="str">
        <f>IF(Y26="","",IF(Z26=1,COUNTIFS(A$6:A26,A26,Z$6:Z26,1),INDEX(AA$6:AA25,MATCH(Y26,Y$6:Y25,0))))</f>
        <v/>
      </c>
      <c r="AB26" s="57" t="str">
        <f>IF(B26="","",COUNTIF(B$6:B26,B26))</f>
        <v/>
      </c>
      <c r="AC26" s="57" t="str">
        <f>IF(B26="","",B26&amp;"#"&amp;AB26)</f>
        <v/>
      </c>
      <c r="AD26" s="57" t="str">
        <f>IF(Z26=1,A26&amp;AA26,"")</f>
        <v/>
      </c>
      <c r="AE26" s="57" t="str">
        <f>IF(B26="","",YEAR(C26))</f>
        <v/>
      </c>
      <c r="AF26" s="57" t="str">
        <f>IF(B26="","",MONTH(C26))</f>
        <v/>
      </c>
      <c r="AG26" s="57">
        <f>IF(ISNUMBER(C26),C26,0)</f>
        <v>0.0</v>
      </c>
      <c r="AH26" s="57" t="str">
        <f>IF(N(W26)&gt;0,COUNTIF(W$6:W26,"&gt;0"),"")</f>
        <v/>
      </c>
      <c r="AI26" s="57" t="str">
        <f>IF(Z26=1,COUNTIF(Z$6:Z26,1),"")</f>
        <v/>
      </c>
    </row>
    <row r="27">
      <c r="A27" s="54" t="n"/>
      <c r="B27" s="55" t="str">
        <f>IF(AA27="","",A27&amp;"-"&amp;RIGHT("000"&amp;AA27,4))</f>
        <v/>
      </c>
      <c r="C27" s="56" t="n"/>
      <c r="D27" s="54" t="n"/>
      <c r="E27" s="57" t="str">
        <f>IF(D27="","",IF(A27="BL",IFERROR(INDEX(cl_name,MATCH(D27,cl_code,0))&amp;"","Client inconnu"),IF(A27="BR",IFERROR(INDEX(fo_name,MATCH(D27,fo_code,0))&amp;"","Fournisseur inconnu"),IF(A27="BS",IF(ISNA(MATCH(D27,p_services,0)),"Service inconnu",D27&amp;""),""))))</f>
        <v/>
      </c>
      <c r="F27" s="58" t="n"/>
      <c r="G27" s="58" t="n"/>
      <c r="H27" s="59" t="n"/>
      <c r="I27" s="57" t="str">
        <f>IF(H27="","",IFERROR(INDEX(art_des,MATCH(H27,art_ref,0))&amp;"","Article inconnu"))</f>
        <v/>
      </c>
      <c r="J27" s="60" t="str">
        <f>IF(H27="","",IFERROR(INDEX(art_unit,MATCH(H27,art_ref,0))&amp;"",""))</f>
        <v/>
      </c>
      <c r="K27" s="59" t="n"/>
      <c r="L27" s="59" t="n"/>
      <c r="M27" s="61" t="str">
        <f>IF(OR(B27="",NOT(ISNUMBER(K27)),NOT(ISNUMBER(L27))),"",IF(OR(K27&lt;=0,L27&lt;=0),"",ROUND(L27-K27,6)))</f>
        <v/>
      </c>
      <c r="N27" s="58" t="n"/>
      <c r="O27" s="62" t="n"/>
      <c r="P27" s="63" t="str">
        <f>IF(OR(B27="",NOT(ISNUMBER(L27))),"",IF(L27&lt;=0,"",IFERROR(ROUND(L27*N(INDEX(art_w,MATCH(H27,art_ref,0))),3),"")))</f>
        <v/>
      </c>
      <c r="Q27" s="59" t="n"/>
      <c r="R27" s="54" t="n"/>
      <c r="S27" s="59" t="n"/>
      <c r="T27" s="59" t="n"/>
      <c r="U27" s="64" t="str">
        <f>IF(OR(B27="",H27=""),"",IFERROR(IF(A27="BL",IF(N(INDEX(art_price,MATCH(H27,art_ref,0)))=0,"",N(INDEX(art_price,MATCH(H27,art_ref,0)))),IF(N(INDEX(art_cost,MATCH(H27,art_ref,0)))=0,"",N(INDEX(art_cost,MATCH(H27,art_ref,0))))),""))</f>
        <v/>
      </c>
      <c r="V27" s="64" t="str">
        <f>IF(OR(U27="",NOT(ISNUMBER(L27))),"",IF(L27&lt;=0,"",ROUND(L27*U27,2)))</f>
        <v/>
      </c>
      <c r="W27" s="60" t="str">
        <f>IF(AND(B27&lt;&gt;"",A27&lt;&gt;"BS",F27&lt;&gt;"",H27&lt;&gt;"",ISNUMBER(K27),ISNUMBER(L27)),IF(AND(K27&gt;0,L27&gt;0,K27-L27&gt;0,COUNTIFS(A28:A$2005,A27,F28:F$2005,F27,H28:H$2005,H27,AA28:AA$2005,"&gt;0")=0),ROUND(K27-L27,6),""),"")</f>
        <v/>
      </c>
      <c r="X27" s="60" t="str">
        <f>IF(AND(A27="",C27="",D27="",H27="",L27=""),"",IF(A27="","Type manquant",IF(AND(A27&lt;&gt;"BL",A27&lt;&gt;"BR",A27&lt;&gt;"BS"),"Type inconnu (BL, BR ou BS)",IF(AG27=0,"Date manquante ou invalide",IF(D27="",IF(A27="BL","Client manquant",IF(A27="BR","Fournisseur manquant","Service manquant")),IF(IF(A27="BL",ISNA(MATCH(D27,cl_code,0)),IF(A27="BR",ISNA(MATCH(D27,fo_code,0)),ISNA(MATCH(D27,p_services,0)))),IF(A27="BL","Client inconnu",IF(A27="BR","Fournisseur inconnu","Service inconnu")),IF(H27="","Article manquant",IF(ISNA(MATCH(H27,art_ref,0)),"Article inconnu",IF(OR(NOT(ISNUMBER(L27)),N(L27)&lt;=0),"Quantité invalide",IF(AND(K27&lt;&gt;"",OR(NOT(ISNUMBER(K27)),N(K27)&lt;=0)),"Qté commandée invalide",IF(AG27&lt;SUMPRODUCT(MAX((A$6:A26=A27)*AG$6:AG26)),"Date antérieure au bon précédent",IF(AND(A27&lt;&gt;"BR",ISNUMBER(M27),N(M27)&gt;0),IF(A27="BL","Livré plus que commandé","Sorti plus que demandé"),"OK"))))))))))))</f>
        <v/>
      </c>
      <c r="Y27" s="57" t="str">
        <f>IF(AND(OR(A27="BL",A27="BR",A27="BS"),AG27&gt;0,D27&lt;&gt;""),A27&amp;"|"&amp;AG27&amp;"|"&amp;D27&amp;"|"&amp;F27,"")</f>
        <v/>
      </c>
      <c r="Z27" s="57" t="str">
        <f>IF(Y27="","",IF(COUNTIF(Y$6:Y26,Y27)=0,1,0))</f>
        <v/>
      </c>
      <c r="AA27" s="57" t="str">
        <f>IF(Y27="","",IF(Z27=1,COUNTIFS(A$6:A27,A27,Z$6:Z27,1),INDEX(AA$6:AA26,MATCH(Y27,Y$6:Y26,0))))</f>
        <v/>
      </c>
      <c r="AB27" s="57" t="str">
        <f>IF(B27="","",COUNTIF(B$6:B27,B27))</f>
        <v/>
      </c>
      <c r="AC27" s="57" t="str">
        <f>IF(B27="","",B27&amp;"#"&amp;AB27)</f>
        <v/>
      </c>
      <c r="AD27" s="57" t="str">
        <f>IF(Z27=1,A27&amp;AA27,"")</f>
        <v/>
      </c>
      <c r="AE27" s="57" t="str">
        <f>IF(B27="","",YEAR(C27))</f>
        <v/>
      </c>
      <c r="AF27" s="57" t="str">
        <f>IF(B27="","",MONTH(C27))</f>
        <v/>
      </c>
      <c r="AG27" s="57">
        <f>IF(ISNUMBER(C27),C27,0)</f>
        <v>0.0</v>
      </c>
      <c r="AH27" s="57" t="str">
        <f>IF(N(W27)&gt;0,COUNTIF(W$6:W27,"&gt;0"),"")</f>
        <v/>
      </c>
      <c r="AI27" s="57" t="str">
        <f>IF(Z27=1,COUNTIF(Z$6:Z27,1),"")</f>
        <v/>
      </c>
    </row>
    <row r="28">
      <c r="A28" s="54" t="n"/>
      <c r="B28" s="55" t="str">
        <f>IF(AA28="","",A28&amp;"-"&amp;RIGHT("000"&amp;AA28,4))</f>
        <v/>
      </c>
      <c r="C28" s="56" t="n"/>
      <c r="D28" s="54" t="n"/>
      <c r="E28" s="57" t="str">
        <f>IF(D28="","",IF(A28="BL",IFERROR(INDEX(cl_name,MATCH(D28,cl_code,0))&amp;"","Client inconnu"),IF(A28="BR",IFERROR(INDEX(fo_name,MATCH(D28,fo_code,0))&amp;"","Fournisseur inconnu"),IF(A28="BS",IF(ISNA(MATCH(D28,p_services,0)),"Service inconnu",D28&amp;""),""))))</f>
        <v/>
      </c>
      <c r="F28" s="58" t="n"/>
      <c r="G28" s="58" t="n"/>
      <c r="H28" s="59" t="n"/>
      <c r="I28" s="57" t="str">
        <f>IF(H28="","",IFERROR(INDEX(art_des,MATCH(H28,art_ref,0))&amp;"","Article inconnu"))</f>
        <v/>
      </c>
      <c r="J28" s="60" t="str">
        <f>IF(H28="","",IFERROR(INDEX(art_unit,MATCH(H28,art_ref,0))&amp;"",""))</f>
        <v/>
      </c>
      <c r="K28" s="59" t="n"/>
      <c r="L28" s="59" t="n"/>
      <c r="M28" s="61" t="str">
        <f>IF(OR(B28="",NOT(ISNUMBER(K28)),NOT(ISNUMBER(L28))),"",IF(OR(K28&lt;=0,L28&lt;=0),"",ROUND(L28-K28,6)))</f>
        <v/>
      </c>
      <c r="N28" s="58" t="n"/>
      <c r="O28" s="62" t="n"/>
      <c r="P28" s="63" t="str">
        <f>IF(OR(B28="",NOT(ISNUMBER(L28))),"",IF(L28&lt;=0,"",IFERROR(ROUND(L28*N(INDEX(art_w,MATCH(H28,art_ref,0))),3),"")))</f>
        <v/>
      </c>
      <c r="Q28" s="59" t="n"/>
      <c r="R28" s="54" t="n"/>
      <c r="S28" s="59" t="n"/>
      <c r="T28" s="59" t="n"/>
      <c r="U28" s="64" t="str">
        <f>IF(OR(B28="",H28=""),"",IFERROR(IF(A28="BL",IF(N(INDEX(art_price,MATCH(H28,art_ref,0)))=0,"",N(INDEX(art_price,MATCH(H28,art_ref,0)))),IF(N(INDEX(art_cost,MATCH(H28,art_ref,0)))=0,"",N(INDEX(art_cost,MATCH(H28,art_ref,0))))),""))</f>
        <v/>
      </c>
      <c r="V28" s="64" t="str">
        <f>IF(OR(U28="",NOT(ISNUMBER(L28))),"",IF(L28&lt;=0,"",ROUND(L28*U28,2)))</f>
        <v/>
      </c>
      <c r="W28" s="60" t="str">
        <f>IF(AND(B28&lt;&gt;"",A28&lt;&gt;"BS",F28&lt;&gt;"",H28&lt;&gt;"",ISNUMBER(K28),ISNUMBER(L28)),IF(AND(K28&gt;0,L28&gt;0,K28-L28&gt;0,COUNTIFS(A29:A$2005,A28,F29:F$2005,F28,H29:H$2005,H28,AA29:AA$2005,"&gt;0")=0),ROUND(K28-L28,6),""),"")</f>
        <v/>
      </c>
      <c r="X28" s="60" t="str">
        <f>IF(AND(A28="",C28="",D28="",H28="",L28=""),"",IF(A28="","Type manquant",IF(AND(A28&lt;&gt;"BL",A28&lt;&gt;"BR",A28&lt;&gt;"BS"),"Type inconnu (BL, BR ou BS)",IF(AG28=0,"Date manquante ou invalide",IF(D28="",IF(A28="BL","Client manquant",IF(A28="BR","Fournisseur manquant","Service manquant")),IF(IF(A28="BL",ISNA(MATCH(D28,cl_code,0)),IF(A28="BR",ISNA(MATCH(D28,fo_code,0)),ISNA(MATCH(D28,p_services,0)))),IF(A28="BL","Client inconnu",IF(A28="BR","Fournisseur inconnu","Service inconnu")),IF(H28="","Article manquant",IF(ISNA(MATCH(H28,art_ref,0)),"Article inconnu",IF(OR(NOT(ISNUMBER(L28)),N(L28)&lt;=0),"Quantité invalide",IF(AND(K28&lt;&gt;"",OR(NOT(ISNUMBER(K28)),N(K28)&lt;=0)),"Qté commandée invalide",IF(AG28&lt;SUMPRODUCT(MAX((A$6:A27=A28)*AG$6:AG27)),"Date antérieure au bon précédent",IF(AND(A28&lt;&gt;"BR",ISNUMBER(M28),N(M28)&gt;0),IF(A28="BL","Livré plus que commandé","Sorti plus que demandé"),"OK"))))))))))))</f>
        <v/>
      </c>
      <c r="Y28" s="57" t="str">
        <f>IF(AND(OR(A28="BL",A28="BR",A28="BS"),AG28&gt;0,D28&lt;&gt;""),A28&amp;"|"&amp;AG28&amp;"|"&amp;D28&amp;"|"&amp;F28,"")</f>
        <v/>
      </c>
      <c r="Z28" s="57" t="str">
        <f>IF(Y28="","",IF(COUNTIF(Y$6:Y27,Y28)=0,1,0))</f>
        <v/>
      </c>
      <c r="AA28" s="57" t="str">
        <f>IF(Y28="","",IF(Z28=1,COUNTIFS(A$6:A28,A28,Z$6:Z28,1),INDEX(AA$6:AA27,MATCH(Y28,Y$6:Y27,0))))</f>
        <v/>
      </c>
      <c r="AB28" s="57" t="str">
        <f>IF(B28="","",COUNTIF(B$6:B28,B28))</f>
        <v/>
      </c>
      <c r="AC28" s="57" t="str">
        <f>IF(B28="","",B28&amp;"#"&amp;AB28)</f>
        <v/>
      </c>
      <c r="AD28" s="57" t="str">
        <f>IF(Z28=1,A28&amp;AA28,"")</f>
        <v/>
      </c>
      <c r="AE28" s="57" t="str">
        <f>IF(B28="","",YEAR(C28))</f>
        <v/>
      </c>
      <c r="AF28" s="57" t="str">
        <f>IF(B28="","",MONTH(C28))</f>
        <v/>
      </c>
      <c r="AG28" s="57">
        <f>IF(ISNUMBER(C28),C28,0)</f>
        <v>0.0</v>
      </c>
      <c r="AH28" s="57" t="str">
        <f>IF(N(W28)&gt;0,COUNTIF(W$6:W28,"&gt;0"),"")</f>
        <v/>
      </c>
      <c r="AI28" s="57" t="str">
        <f>IF(Z28=1,COUNTIF(Z$6:Z28,1),"")</f>
        <v/>
      </c>
    </row>
    <row r="29">
      <c r="A29" s="54" t="n"/>
      <c r="B29" s="55" t="str">
        <f>IF(AA29="","",A29&amp;"-"&amp;RIGHT("000"&amp;AA29,4))</f>
        <v/>
      </c>
      <c r="C29" s="56" t="n"/>
      <c r="D29" s="54" t="n"/>
      <c r="E29" s="57" t="str">
        <f>IF(D29="","",IF(A29="BL",IFERROR(INDEX(cl_name,MATCH(D29,cl_code,0))&amp;"","Client inconnu"),IF(A29="BR",IFERROR(INDEX(fo_name,MATCH(D29,fo_code,0))&amp;"","Fournisseur inconnu"),IF(A29="BS",IF(ISNA(MATCH(D29,p_services,0)),"Service inconnu",D29&amp;""),""))))</f>
        <v/>
      </c>
      <c r="F29" s="58" t="n"/>
      <c r="G29" s="58" t="n"/>
      <c r="H29" s="59" t="n"/>
      <c r="I29" s="57" t="str">
        <f>IF(H29="","",IFERROR(INDEX(art_des,MATCH(H29,art_ref,0))&amp;"","Article inconnu"))</f>
        <v/>
      </c>
      <c r="J29" s="60" t="str">
        <f>IF(H29="","",IFERROR(INDEX(art_unit,MATCH(H29,art_ref,0))&amp;"",""))</f>
        <v/>
      </c>
      <c r="K29" s="59" t="n"/>
      <c r="L29" s="59" t="n"/>
      <c r="M29" s="61" t="str">
        <f>IF(OR(B29="",NOT(ISNUMBER(K29)),NOT(ISNUMBER(L29))),"",IF(OR(K29&lt;=0,L29&lt;=0),"",ROUND(L29-K29,6)))</f>
        <v/>
      </c>
      <c r="N29" s="58" t="n"/>
      <c r="O29" s="62" t="n"/>
      <c r="P29" s="63" t="str">
        <f>IF(OR(B29="",NOT(ISNUMBER(L29))),"",IF(L29&lt;=0,"",IFERROR(ROUND(L29*N(INDEX(art_w,MATCH(H29,art_ref,0))),3),"")))</f>
        <v/>
      </c>
      <c r="Q29" s="59" t="n"/>
      <c r="R29" s="54" t="n"/>
      <c r="S29" s="59" t="n"/>
      <c r="T29" s="59" t="n"/>
      <c r="U29" s="64" t="str">
        <f>IF(OR(B29="",H29=""),"",IFERROR(IF(A29="BL",IF(N(INDEX(art_price,MATCH(H29,art_ref,0)))=0,"",N(INDEX(art_price,MATCH(H29,art_ref,0)))),IF(N(INDEX(art_cost,MATCH(H29,art_ref,0)))=0,"",N(INDEX(art_cost,MATCH(H29,art_ref,0))))),""))</f>
        <v/>
      </c>
      <c r="V29" s="64" t="str">
        <f>IF(OR(U29="",NOT(ISNUMBER(L29))),"",IF(L29&lt;=0,"",ROUND(L29*U29,2)))</f>
        <v/>
      </c>
      <c r="W29" s="60" t="str">
        <f>IF(AND(B29&lt;&gt;"",A29&lt;&gt;"BS",F29&lt;&gt;"",H29&lt;&gt;"",ISNUMBER(K29),ISNUMBER(L29)),IF(AND(K29&gt;0,L29&gt;0,K29-L29&gt;0,COUNTIFS(A30:A$2005,A29,F30:F$2005,F29,H30:H$2005,H29,AA30:AA$2005,"&gt;0")=0),ROUND(K29-L29,6),""),"")</f>
        <v/>
      </c>
      <c r="X29" s="60" t="str">
        <f>IF(AND(A29="",C29="",D29="",H29="",L29=""),"",IF(A29="","Type manquant",IF(AND(A29&lt;&gt;"BL",A29&lt;&gt;"BR",A29&lt;&gt;"BS"),"Type inconnu (BL, BR ou BS)",IF(AG29=0,"Date manquante ou invalide",IF(D29="",IF(A29="BL","Client manquant",IF(A29="BR","Fournisseur manquant","Service manquant")),IF(IF(A29="BL",ISNA(MATCH(D29,cl_code,0)),IF(A29="BR",ISNA(MATCH(D29,fo_code,0)),ISNA(MATCH(D29,p_services,0)))),IF(A29="BL","Client inconnu",IF(A29="BR","Fournisseur inconnu","Service inconnu")),IF(H29="","Article manquant",IF(ISNA(MATCH(H29,art_ref,0)),"Article inconnu",IF(OR(NOT(ISNUMBER(L29)),N(L29)&lt;=0),"Quantité invalide",IF(AND(K29&lt;&gt;"",OR(NOT(ISNUMBER(K29)),N(K29)&lt;=0)),"Qté commandée invalide",IF(AG29&lt;SUMPRODUCT(MAX((A$6:A28=A29)*AG$6:AG28)),"Date antérieure au bon précédent",IF(AND(A29&lt;&gt;"BR",ISNUMBER(M29),N(M29)&gt;0),IF(A29="BL","Livré plus que commandé","Sorti plus que demandé"),"OK"))))))))))))</f>
        <v/>
      </c>
      <c r="Y29" s="57" t="str">
        <f>IF(AND(OR(A29="BL",A29="BR",A29="BS"),AG29&gt;0,D29&lt;&gt;""),A29&amp;"|"&amp;AG29&amp;"|"&amp;D29&amp;"|"&amp;F29,"")</f>
        <v/>
      </c>
      <c r="Z29" s="57" t="str">
        <f>IF(Y29="","",IF(COUNTIF(Y$6:Y28,Y29)=0,1,0))</f>
        <v/>
      </c>
      <c r="AA29" s="57" t="str">
        <f>IF(Y29="","",IF(Z29=1,COUNTIFS(A$6:A29,A29,Z$6:Z29,1),INDEX(AA$6:AA28,MATCH(Y29,Y$6:Y28,0))))</f>
        <v/>
      </c>
      <c r="AB29" s="57" t="str">
        <f>IF(B29="","",COUNTIF(B$6:B29,B29))</f>
        <v/>
      </c>
      <c r="AC29" s="57" t="str">
        <f>IF(B29="","",B29&amp;"#"&amp;AB29)</f>
        <v/>
      </c>
      <c r="AD29" s="57" t="str">
        <f>IF(Z29=1,A29&amp;AA29,"")</f>
        <v/>
      </c>
      <c r="AE29" s="57" t="str">
        <f>IF(B29="","",YEAR(C29))</f>
        <v/>
      </c>
      <c r="AF29" s="57" t="str">
        <f>IF(B29="","",MONTH(C29))</f>
        <v/>
      </c>
      <c r="AG29" s="57">
        <f>IF(ISNUMBER(C29),C29,0)</f>
        <v>0.0</v>
      </c>
      <c r="AH29" s="57" t="str">
        <f>IF(N(W29)&gt;0,COUNTIF(W$6:W29,"&gt;0"),"")</f>
        <v/>
      </c>
      <c r="AI29" s="57" t="str">
        <f>IF(Z29=1,COUNTIF(Z$6:Z29,1),"")</f>
        <v/>
      </c>
    </row>
    <row r="30">
      <c r="A30" s="54" t="n"/>
      <c r="B30" s="55" t="str">
        <f>IF(AA30="","",A30&amp;"-"&amp;RIGHT("000"&amp;AA30,4))</f>
        <v/>
      </c>
      <c r="C30" s="56" t="n"/>
      <c r="D30" s="54" t="n"/>
      <c r="E30" s="57" t="str">
        <f>IF(D30="","",IF(A30="BL",IFERROR(INDEX(cl_name,MATCH(D30,cl_code,0))&amp;"","Client inconnu"),IF(A30="BR",IFERROR(INDEX(fo_name,MATCH(D30,fo_code,0))&amp;"","Fournisseur inconnu"),IF(A30="BS",IF(ISNA(MATCH(D30,p_services,0)),"Service inconnu",D30&amp;""),""))))</f>
        <v/>
      </c>
      <c r="F30" s="58" t="n"/>
      <c r="G30" s="58" t="n"/>
      <c r="H30" s="59" t="n"/>
      <c r="I30" s="57" t="str">
        <f>IF(H30="","",IFERROR(INDEX(art_des,MATCH(H30,art_ref,0))&amp;"","Article inconnu"))</f>
        <v/>
      </c>
      <c r="J30" s="60" t="str">
        <f>IF(H30="","",IFERROR(INDEX(art_unit,MATCH(H30,art_ref,0))&amp;"",""))</f>
        <v/>
      </c>
      <c r="K30" s="59" t="n"/>
      <c r="L30" s="59" t="n"/>
      <c r="M30" s="61" t="str">
        <f>IF(OR(B30="",NOT(ISNUMBER(K30)),NOT(ISNUMBER(L30))),"",IF(OR(K30&lt;=0,L30&lt;=0),"",ROUND(L30-K30,6)))</f>
        <v/>
      </c>
      <c r="N30" s="58" t="n"/>
      <c r="O30" s="62" t="n"/>
      <c r="P30" s="63" t="str">
        <f>IF(OR(B30="",NOT(ISNUMBER(L30))),"",IF(L30&lt;=0,"",IFERROR(ROUND(L30*N(INDEX(art_w,MATCH(H30,art_ref,0))),3),"")))</f>
        <v/>
      </c>
      <c r="Q30" s="59" t="n"/>
      <c r="R30" s="54" t="n"/>
      <c r="S30" s="59" t="n"/>
      <c r="T30" s="59" t="n"/>
      <c r="U30" s="64" t="str">
        <f>IF(OR(B30="",H30=""),"",IFERROR(IF(A30="BL",IF(N(INDEX(art_price,MATCH(H30,art_ref,0)))=0,"",N(INDEX(art_price,MATCH(H30,art_ref,0)))),IF(N(INDEX(art_cost,MATCH(H30,art_ref,0)))=0,"",N(INDEX(art_cost,MATCH(H30,art_ref,0))))),""))</f>
        <v/>
      </c>
      <c r="V30" s="64" t="str">
        <f>IF(OR(U30="",NOT(ISNUMBER(L30))),"",IF(L30&lt;=0,"",ROUND(L30*U30,2)))</f>
        <v/>
      </c>
      <c r="W30" s="60" t="str">
        <f>IF(AND(B30&lt;&gt;"",A30&lt;&gt;"BS",F30&lt;&gt;"",H30&lt;&gt;"",ISNUMBER(K30),ISNUMBER(L30)),IF(AND(K30&gt;0,L30&gt;0,K30-L30&gt;0,COUNTIFS(A31:A$2005,A30,F31:F$2005,F30,H31:H$2005,H30,AA31:AA$2005,"&gt;0")=0),ROUND(K30-L30,6),""),"")</f>
        <v/>
      </c>
      <c r="X30" s="60" t="str">
        <f>IF(AND(A30="",C30="",D30="",H30="",L30=""),"",IF(A30="","Type manquant",IF(AND(A30&lt;&gt;"BL",A30&lt;&gt;"BR",A30&lt;&gt;"BS"),"Type inconnu (BL, BR ou BS)",IF(AG30=0,"Date manquante ou invalide",IF(D30="",IF(A30="BL","Client manquant",IF(A30="BR","Fournisseur manquant","Service manquant")),IF(IF(A30="BL",ISNA(MATCH(D30,cl_code,0)),IF(A30="BR",ISNA(MATCH(D30,fo_code,0)),ISNA(MATCH(D30,p_services,0)))),IF(A30="BL","Client inconnu",IF(A30="BR","Fournisseur inconnu","Service inconnu")),IF(H30="","Article manquant",IF(ISNA(MATCH(H30,art_ref,0)),"Article inconnu",IF(OR(NOT(ISNUMBER(L30)),N(L30)&lt;=0),"Quantité invalide",IF(AND(K30&lt;&gt;"",OR(NOT(ISNUMBER(K30)),N(K30)&lt;=0)),"Qté commandée invalide",IF(AG30&lt;SUMPRODUCT(MAX((A$6:A29=A30)*AG$6:AG29)),"Date antérieure au bon précédent",IF(AND(A30&lt;&gt;"BR",ISNUMBER(M30),N(M30)&gt;0),IF(A30="BL","Livré plus que commandé","Sorti plus que demandé"),"OK"))))))))))))</f>
        <v/>
      </c>
      <c r="Y30" s="57" t="str">
        <f>IF(AND(OR(A30="BL",A30="BR",A30="BS"),AG30&gt;0,D30&lt;&gt;""),A30&amp;"|"&amp;AG30&amp;"|"&amp;D30&amp;"|"&amp;F30,"")</f>
        <v/>
      </c>
      <c r="Z30" s="57" t="str">
        <f>IF(Y30="","",IF(COUNTIF(Y$6:Y29,Y30)=0,1,0))</f>
        <v/>
      </c>
      <c r="AA30" s="57" t="str">
        <f>IF(Y30="","",IF(Z30=1,COUNTIFS(A$6:A30,A30,Z$6:Z30,1),INDEX(AA$6:AA29,MATCH(Y30,Y$6:Y29,0))))</f>
        <v/>
      </c>
      <c r="AB30" s="57" t="str">
        <f>IF(B30="","",COUNTIF(B$6:B30,B30))</f>
        <v/>
      </c>
      <c r="AC30" s="57" t="str">
        <f>IF(B30="","",B30&amp;"#"&amp;AB30)</f>
        <v/>
      </c>
      <c r="AD30" s="57" t="str">
        <f>IF(Z30=1,A30&amp;AA30,"")</f>
        <v/>
      </c>
      <c r="AE30" s="57" t="str">
        <f>IF(B30="","",YEAR(C30))</f>
        <v/>
      </c>
      <c r="AF30" s="57" t="str">
        <f>IF(B30="","",MONTH(C30))</f>
        <v/>
      </c>
      <c r="AG30" s="57">
        <f>IF(ISNUMBER(C30),C30,0)</f>
        <v>0.0</v>
      </c>
      <c r="AH30" s="57" t="str">
        <f>IF(N(W30)&gt;0,COUNTIF(W$6:W30,"&gt;0"),"")</f>
        <v/>
      </c>
      <c r="AI30" s="57" t="str">
        <f>IF(Z30=1,COUNTIF(Z$6:Z30,1),"")</f>
        <v/>
      </c>
    </row>
    <row r="31">
      <c r="A31" s="54" t="n"/>
      <c r="B31" s="55" t="str">
        <f>IF(AA31="","",A31&amp;"-"&amp;RIGHT("000"&amp;AA31,4))</f>
        <v/>
      </c>
      <c r="C31" s="56" t="n"/>
      <c r="D31" s="54" t="n"/>
      <c r="E31" s="57" t="str">
        <f>IF(D31="","",IF(A31="BL",IFERROR(INDEX(cl_name,MATCH(D31,cl_code,0))&amp;"","Client inconnu"),IF(A31="BR",IFERROR(INDEX(fo_name,MATCH(D31,fo_code,0))&amp;"","Fournisseur inconnu"),IF(A31="BS",IF(ISNA(MATCH(D31,p_services,0)),"Service inconnu",D31&amp;""),""))))</f>
        <v/>
      </c>
      <c r="F31" s="58" t="n"/>
      <c r="G31" s="58" t="n"/>
      <c r="H31" s="59" t="n"/>
      <c r="I31" s="57" t="str">
        <f>IF(H31="","",IFERROR(INDEX(art_des,MATCH(H31,art_ref,0))&amp;"","Article inconnu"))</f>
        <v/>
      </c>
      <c r="J31" s="60" t="str">
        <f>IF(H31="","",IFERROR(INDEX(art_unit,MATCH(H31,art_ref,0))&amp;"",""))</f>
        <v/>
      </c>
      <c r="K31" s="59" t="n"/>
      <c r="L31" s="59" t="n"/>
      <c r="M31" s="61" t="str">
        <f>IF(OR(B31="",NOT(ISNUMBER(K31)),NOT(ISNUMBER(L31))),"",IF(OR(K31&lt;=0,L31&lt;=0),"",ROUND(L31-K31,6)))</f>
        <v/>
      </c>
      <c r="N31" s="58" t="n"/>
      <c r="O31" s="62" t="n"/>
      <c r="P31" s="63" t="str">
        <f>IF(OR(B31="",NOT(ISNUMBER(L31))),"",IF(L31&lt;=0,"",IFERROR(ROUND(L31*N(INDEX(art_w,MATCH(H31,art_ref,0))),3),"")))</f>
        <v/>
      </c>
      <c r="Q31" s="59" t="n"/>
      <c r="R31" s="54" t="n"/>
      <c r="S31" s="59" t="n"/>
      <c r="T31" s="59" t="n"/>
      <c r="U31" s="64" t="str">
        <f>IF(OR(B31="",H31=""),"",IFERROR(IF(A31="BL",IF(N(INDEX(art_price,MATCH(H31,art_ref,0)))=0,"",N(INDEX(art_price,MATCH(H31,art_ref,0)))),IF(N(INDEX(art_cost,MATCH(H31,art_ref,0)))=0,"",N(INDEX(art_cost,MATCH(H31,art_ref,0))))),""))</f>
        <v/>
      </c>
      <c r="V31" s="64" t="str">
        <f>IF(OR(U31="",NOT(ISNUMBER(L31))),"",IF(L31&lt;=0,"",ROUND(L31*U31,2)))</f>
        <v/>
      </c>
      <c r="W31" s="60" t="str">
        <f>IF(AND(B31&lt;&gt;"",A31&lt;&gt;"BS",F31&lt;&gt;"",H31&lt;&gt;"",ISNUMBER(K31),ISNUMBER(L31)),IF(AND(K31&gt;0,L31&gt;0,K31-L31&gt;0,COUNTIFS(A32:A$2005,A31,F32:F$2005,F31,H32:H$2005,H31,AA32:AA$2005,"&gt;0")=0),ROUND(K31-L31,6),""),"")</f>
        <v/>
      </c>
      <c r="X31" s="60" t="str">
        <f>IF(AND(A31="",C31="",D31="",H31="",L31=""),"",IF(A31="","Type manquant",IF(AND(A31&lt;&gt;"BL",A31&lt;&gt;"BR",A31&lt;&gt;"BS"),"Type inconnu (BL, BR ou BS)",IF(AG31=0,"Date manquante ou invalide",IF(D31="",IF(A31="BL","Client manquant",IF(A31="BR","Fournisseur manquant","Service manquant")),IF(IF(A31="BL",ISNA(MATCH(D31,cl_code,0)),IF(A31="BR",ISNA(MATCH(D31,fo_code,0)),ISNA(MATCH(D31,p_services,0)))),IF(A31="BL","Client inconnu",IF(A31="BR","Fournisseur inconnu","Service inconnu")),IF(H31="","Article manquant",IF(ISNA(MATCH(H31,art_ref,0)),"Article inconnu",IF(OR(NOT(ISNUMBER(L31)),N(L31)&lt;=0),"Quantité invalide",IF(AND(K31&lt;&gt;"",OR(NOT(ISNUMBER(K31)),N(K31)&lt;=0)),"Qté commandée invalide",IF(AG31&lt;SUMPRODUCT(MAX((A$6:A30=A31)*AG$6:AG30)),"Date antérieure au bon précédent",IF(AND(A31&lt;&gt;"BR",ISNUMBER(M31),N(M31)&gt;0),IF(A31="BL","Livré plus que commandé","Sorti plus que demandé"),"OK"))))))))))))</f>
        <v/>
      </c>
      <c r="Y31" s="57" t="str">
        <f>IF(AND(OR(A31="BL",A31="BR",A31="BS"),AG31&gt;0,D31&lt;&gt;""),A31&amp;"|"&amp;AG31&amp;"|"&amp;D31&amp;"|"&amp;F31,"")</f>
        <v/>
      </c>
      <c r="Z31" s="57" t="str">
        <f>IF(Y31="","",IF(COUNTIF(Y$6:Y30,Y31)=0,1,0))</f>
        <v/>
      </c>
      <c r="AA31" s="57" t="str">
        <f>IF(Y31="","",IF(Z31=1,COUNTIFS(A$6:A31,A31,Z$6:Z31,1),INDEX(AA$6:AA30,MATCH(Y31,Y$6:Y30,0))))</f>
        <v/>
      </c>
      <c r="AB31" s="57" t="str">
        <f>IF(B31="","",COUNTIF(B$6:B31,B31))</f>
        <v/>
      </c>
      <c r="AC31" s="57" t="str">
        <f>IF(B31="","",B31&amp;"#"&amp;AB31)</f>
        <v/>
      </c>
      <c r="AD31" s="57" t="str">
        <f>IF(Z31=1,A31&amp;AA31,"")</f>
        <v/>
      </c>
      <c r="AE31" s="57" t="str">
        <f>IF(B31="","",YEAR(C31))</f>
        <v/>
      </c>
      <c r="AF31" s="57" t="str">
        <f>IF(B31="","",MONTH(C31))</f>
        <v/>
      </c>
      <c r="AG31" s="57">
        <f>IF(ISNUMBER(C31),C31,0)</f>
        <v>0.0</v>
      </c>
      <c r="AH31" s="57" t="str">
        <f>IF(N(W31)&gt;0,COUNTIF(W$6:W31,"&gt;0"),"")</f>
        <v/>
      </c>
      <c r="AI31" s="57" t="str">
        <f>IF(Z31=1,COUNTIF(Z$6:Z31,1),"")</f>
        <v/>
      </c>
    </row>
    <row r="32">
      <c r="A32" s="54" t="n"/>
      <c r="B32" s="55" t="str">
        <f>IF(AA32="","",A32&amp;"-"&amp;RIGHT("000"&amp;AA32,4))</f>
        <v/>
      </c>
      <c r="C32" s="56" t="n"/>
      <c r="D32" s="54" t="n"/>
      <c r="E32" s="57" t="str">
        <f>IF(D32="","",IF(A32="BL",IFERROR(INDEX(cl_name,MATCH(D32,cl_code,0))&amp;"","Client inconnu"),IF(A32="BR",IFERROR(INDEX(fo_name,MATCH(D32,fo_code,0))&amp;"","Fournisseur inconnu"),IF(A32="BS",IF(ISNA(MATCH(D32,p_services,0)),"Service inconnu",D32&amp;""),""))))</f>
        <v/>
      </c>
      <c r="F32" s="58" t="n"/>
      <c r="G32" s="58" t="n"/>
      <c r="H32" s="59" t="n"/>
      <c r="I32" s="57" t="str">
        <f>IF(H32="","",IFERROR(INDEX(art_des,MATCH(H32,art_ref,0))&amp;"","Article inconnu"))</f>
        <v/>
      </c>
      <c r="J32" s="60" t="str">
        <f>IF(H32="","",IFERROR(INDEX(art_unit,MATCH(H32,art_ref,0))&amp;"",""))</f>
        <v/>
      </c>
      <c r="K32" s="59" t="n"/>
      <c r="L32" s="59" t="n"/>
      <c r="M32" s="61" t="str">
        <f>IF(OR(B32="",NOT(ISNUMBER(K32)),NOT(ISNUMBER(L32))),"",IF(OR(K32&lt;=0,L32&lt;=0),"",ROUND(L32-K32,6)))</f>
        <v/>
      </c>
      <c r="N32" s="58" t="n"/>
      <c r="O32" s="62" t="n"/>
      <c r="P32" s="63" t="str">
        <f>IF(OR(B32="",NOT(ISNUMBER(L32))),"",IF(L32&lt;=0,"",IFERROR(ROUND(L32*N(INDEX(art_w,MATCH(H32,art_ref,0))),3),"")))</f>
        <v/>
      </c>
      <c r="Q32" s="59" t="n"/>
      <c r="R32" s="54" t="n"/>
      <c r="S32" s="59" t="n"/>
      <c r="T32" s="59" t="n"/>
      <c r="U32" s="64" t="str">
        <f>IF(OR(B32="",H32=""),"",IFERROR(IF(A32="BL",IF(N(INDEX(art_price,MATCH(H32,art_ref,0)))=0,"",N(INDEX(art_price,MATCH(H32,art_ref,0)))),IF(N(INDEX(art_cost,MATCH(H32,art_ref,0)))=0,"",N(INDEX(art_cost,MATCH(H32,art_ref,0))))),""))</f>
        <v/>
      </c>
      <c r="V32" s="64" t="str">
        <f>IF(OR(U32="",NOT(ISNUMBER(L32))),"",IF(L32&lt;=0,"",ROUND(L32*U32,2)))</f>
        <v/>
      </c>
      <c r="W32" s="60" t="str">
        <f>IF(AND(B32&lt;&gt;"",A32&lt;&gt;"BS",F32&lt;&gt;"",H32&lt;&gt;"",ISNUMBER(K32),ISNUMBER(L32)),IF(AND(K32&gt;0,L32&gt;0,K32-L32&gt;0,COUNTIFS(A33:A$2005,A32,F33:F$2005,F32,H33:H$2005,H32,AA33:AA$2005,"&gt;0")=0),ROUND(K32-L32,6),""),"")</f>
        <v/>
      </c>
      <c r="X32" s="60" t="str">
        <f>IF(AND(A32="",C32="",D32="",H32="",L32=""),"",IF(A32="","Type manquant",IF(AND(A32&lt;&gt;"BL",A32&lt;&gt;"BR",A32&lt;&gt;"BS"),"Type inconnu (BL, BR ou BS)",IF(AG32=0,"Date manquante ou invalide",IF(D32="",IF(A32="BL","Client manquant",IF(A32="BR","Fournisseur manquant","Service manquant")),IF(IF(A32="BL",ISNA(MATCH(D32,cl_code,0)),IF(A32="BR",ISNA(MATCH(D32,fo_code,0)),ISNA(MATCH(D32,p_services,0)))),IF(A32="BL","Client inconnu",IF(A32="BR","Fournisseur inconnu","Service inconnu")),IF(H32="","Article manquant",IF(ISNA(MATCH(H32,art_ref,0)),"Article inconnu",IF(OR(NOT(ISNUMBER(L32)),N(L32)&lt;=0),"Quantité invalide",IF(AND(K32&lt;&gt;"",OR(NOT(ISNUMBER(K32)),N(K32)&lt;=0)),"Qté commandée invalide",IF(AG32&lt;SUMPRODUCT(MAX((A$6:A31=A32)*AG$6:AG31)),"Date antérieure au bon précédent",IF(AND(A32&lt;&gt;"BR",ISNUMBER(M32),N(M32)&gt;0),IF(A32="BL","Livré plus que commandé","Sorti plus que demandé"),"OK"))))))))))))</f>
        <v/>
      </c>
      <c r="Y32" s="57" t="str">
        <f>IF(AND(OR(A32="BL",A32="BR",A32="BS"),AG32&gt;0,D32&lt;&gt;""),A32&amp;"|"&amp;AG32&amp;"|"&amp;D32&amp;"|"&amp;F32,"")</f>
        <v/>
      </c>
      <c r="Z32" s="57" t="str">
        <f>IF(Y32="","",IF(COUNTIF(Y$6:Y31,Y32)=0,1,0))</f>
        <v/>
      </c>
      <c r="AA32" s="57" t="str">
        <f>IF(Y32="","",IF(Z32=1,COUNTIFS(A$6:A32,A32,Z$6:Z32,1),INDEX(AA$6:AA31,MATCH(Y32,Y$6:Y31,0))))</f>
        <v/>
      </c>
      <c r="AB32" s="57" t="str">
        <f>IF(B32="","",COUNTIF(B$6:B32,B32))</f>
        <v/>
      </c>
      <c r="AC32" s="57" t="str">
        <f>IF(B32="","",B32&amp;"#"&amp;AB32)</f>
        <v/>
      </c>
      <c r="AD32" s="57" t="str">
        <f>IF(Z32=1,A32&amp;AA32,"")</f>
        <v/>
      </c>
      <c r="AE32" s="57" t="str">
        <f>IF(B32="","",YEAR(C32))</f>
        <v/>
      </c>
      <c r="AF32" s="57" t="str">
        <f>IF(B32="","",MONTH(C32))</f>
        <v/>
      </c>
      <c r="AG32" s="57">
        <f>IF(ISNUMBER(C32),C32,0)</f>
        <v>0.0</v>
      </c>
      <c r="AH32" s="57" t="str">
        <f>IF(N(W32)&gt;0,COUNTIF(W$6:W32,"&gt;0"),"")</f>
        <v/>
      </c>
      <c r="AI32" s="57" t="str">
        <f>IF(Z32=1,COUNTIF(Z$6:Z32,1),"")</f>
        <v/>
      </c>
    </row>
    <row r="33">
      <c r="A33" s="54" t="n"/>
      <c r="B33" s="55" t="str">
        <f>IF(AA33="","",A33&amp;"-"&amp;RIGHT("000"&amp;AA33,4))</f>
        <v/>
      </c>
      <c r="C33" s="56" t="n"/>
      <c r="D33" s="54" t="n"/>
      <c r="E33" s="57" t="str">
        <f>IF(D33="","",IF(A33="BL",IFERROR(INDEX(cl_name,MATCH(D33,cl_code,0))&amp;"","Client inconnu"),IF(A33="BR",IFERROR(INDEX(fo_name,MATCH(D33,fo_code,0))&amp;"","Fournisseur inconnu"),IF(A33="BS",IF(ISNA(MATCH(D33,p_services,0)),"Service inconnu",D33&amp;""),""))))</f>
        <v/>
      </c>
      <c r="F33" s="58" t="n"/>
      <c r="G33" s="58" t="n"/>
      <c r="H33" s="59" t="n"/>
      <c r="I33" s="57" t="str">
        <f>IF(H33="","",IFERROR(INDEX(art_des,MATCH(H33,art_ref,0))&amp;"","Article inconnu"))</f>
        <v/>
      </c>
      <c r="J33" s="60" t="str">
        <f>IF(H33="","",IFERROR(INDEX(art_unit,MATCH(H33,art_ref,0))&amp;"",""))</f>
        <v/>
      </c>
      <c r="K33" s="59" t="n"/>
      <c r="L33" s="59" t="n"/>
      <c r="M33" s="61" t="str">
        <f>IF(OR(B33="",NOT(ISNUMBER(K33)),NOT(ISNUMBER(L33))),"",IF(OR(K33&lt;=0,L33&lt;=0),"",ROUND(L33-K33,6)))</f>
        <v/>
      </c>
      <c r="N33" s="58" t="n"/>
      <c r="O33" s="62" t="n"/>
      <c r="P33" s="63" t="str">
        <f>IF(OR(B33="",NOT(ISNUMBER(L33))),"",IF(L33&lt;=0,"",IFERROR(ROUND(L33*N(INDEX(art_w,MATCH(H33,art_ref,0))),3),"")))</f>
        <v/>
      </c>
      <c r="Q33" s="59" t="n"/>
      <c r="R33" s="54" t="n"/>
      <c r="S33" s="59" t="n"/>
      <c r="T33" s="59" t="n"/>
      <c r="U33" s="64" t="str">
        <f>IF(OR(B33="",H33=""),"",IFERROR(IF(A33="BL",IF(N(INDEX(art_price,MATCH(H33,art_ref,0)))=0,"",N(INDEX(art_price,MATCH(H33,art_ref,0)))),IF(N(INDEX(art_cost,MATCH(H33,art_ref,0)))=0,"",N(INDEX(art_cost,MATCH(H33,art_ref,0))))),""))</f>
        <v/>
      </c>
      <c r="V33" s="64" t="str">
        <f>IF(OR(U33="",NOT(ISNUMBER(L33))),"",IF(L33&lt;=0,"",ROUND(L33*U33,2)))</f>
        <v/>
      </c>
      <c r="W33" s="60" t="str">
        <f>IF(AND(B33&lt;&gt;"",A33&lt;&gt;"BS",F33&lt;&gt;"",H33&lt;&gt;"",ISNUMBER(K33),ISNUMBER(L33)),IF(AND(K33&gt;0,L33&gt;0,K33-L33&gt;0,COUNTIFS(A34:A$2005,A33,F34:F$2005,F33,H34:H$2005,H33,AA34:AA$2005,"&gt;0")=0),ROUND(K33-L33,6),""),"")</f>
        <v/>
      </c>
      <c r="X33" s="60" t="str">
        <f>IF(AND(A33="",C33="",D33="",H33="",L33=""),"",IF(A33="","Type manquant",IF(AND(A33&lt;&gt;"BL",A33&lt;&gt;"BR",A33&lt;&gt;"BS"),"Type inconnu (BL, BR ou BS)",IF(AG33=0,"Date manquante ou invalide",IF(D33="",IF(A33="BL","Client manquant",IF(A33="BR","Fournisseur manquant","Service manquant")),IF(IF(A33="BL",ISNA(MATCH(D33,cl_code,0)),IF(A33="BR",ISNA(MATCH(D33,fo_code,0)),ISNA(MATCH(D33,p_services,0)))),IF(A33="BL","Client inconnu",IF(A33="BR","Fournisseur inconnu","Service inconnu")),IF(H33="","Article manquant",IF(ISNA(MATCH(H33,art_ref,0)),"Article inconnu",IF(OR(NOT(ISNUMBER(L33)),N(L33)&lt;=0),"Quantité invalide",IF(AND(K33&lt;&gt;"",OR(NOT(ISNUMBER(K33)),N(K33)&lt;=0)),"Qté commandée invalide",IF(AG33&lt;SUMPRODUCT(MAX((A$6:A32=A33)*AG$6:AG32)),"Date antérieure au bon précédent",IF(AND(A33&lt;&gt;"BR",ISNUMBER(M33),N(M33)&gt;0),IF(A33="BL","Livré plus que commandé","Sorti plus que demandé"),"OK"))))))))))))</f>
        <v/>
      </c>
      <c r="Y33" s="57" t="str">
        <f>IF(AND(OR(A33="BL",A33="BR",A33="BS"),AG33&gt;0,D33&lt;&gt;""),A33&amp;"|"&amp;AG33&amp;"|"&amp;D33&amp;"|"&amp;F33,"")</f>
        <v/>
      </c>
      <c r="Z33" s="57" t="str">
        <f>IF(Y33="","",IF(COUNTIF(Y$6:Y32,Y33)=0,1,0))</f>
        <v/>
      </c>
      <c r="AA33" s="57" t="str">
        <f>IF(Y33="","",IF(Z33=1,COUNTIFS(A$6:A33,A33,Z$6:Z33,1),INDEX(AA$6:AA32,MATCH(Y33,Y$6:Y32,0))))</f>
        <v/>
      </c>
      <c r="AB33" s="57" t="str">
        <f>IF(B33="","",COUNTIF(B$6:B33,B33))</f>
        <v/>
      </c>
      <c r="AC33" s="57" t="str">
        <f>IF(B33="","",B33&amp;"#"&amp;AB33)</f>
        <v/>
      </c>
      <c r="AD33" s="57" t="str">
        <f>IF(Z33=1,A33&amp;AA33,"")</f>
        <v/>
      </c>
      <c r="AE33" s="57" t="str">
        <f>IF(B33="","",YEAR(C33))</f>
        <v/>
      </c>
      <c r="AF33" s="57" t="str">
        <f>IF(B33="","",MONTH(C33))</f>
        <v/>
      </c>
      <c r="AG33" s="57">
        <f>IF(ISNUMBER(C33),C33,0)</f>
        <v>0.0</v>
      </c>
      <c r="AH33" s="57" t="str">
        <f>IF(N(W33)&gt;0,COUNTIF(W$6:W33,"&gt;0"),"")</f>
        <v/>
      </c>
      <c r="AI33" s="57" t="str">
        <f>IF(Z33=1,COUNTIF(Z$6:Z33,1),"")</f>
        <v/>
      </c>
    </row>
    <row r="34">
      <c r="A34" s="54" t="n"/>
      <c r="B34" s="55" t="str">
        <f>IF(AA34="","",A34&amp;"-"&amp;RIGHT("000"&amp;AA34,4))</f>
        <v/>
      </c>
      <c r="C34" s="56" t="n"/>
      <c r="D34" s="54" t="n"/>
      <c r="E34" s="57" t="str">
        <f>IF(D34="","",IF(A34="BL",IFERROR(INDEX(cl_name,MATCH(D34,cl_code,0))&amp;"","Client inconnu"),IF(A34="BR",IFERROR(INDEX(fo_name,MATCH(D34,fo_code,0))&amp;"","Fournisseur inconnu"),IF(A34="BS",IF(ISNA(MATCH(D34,p_services,0)),"Service inconnu",D34&amp;""),""))))</f>
        <v/>
      </c>
      <c r="F34" s="58" t="n"/>
      <c r="G34" s="58" t="n"/>
      <c r="H34" s="59" t="n"/>
      <c r="I34" s="57" t="str">
        <f>IF(H34="","",IFERROR(INDEX(art_des,MATCH(H34,art_ref,0))&amp;"","Article inconnu"))</f>
        <v/>
      </c>
      <c r="J34" s="60" t="str">
        <f>IF(H34="","",IFERROR(INDEX(art_unit,MATCH(H34,art_ref,0))&amp;"",""))</f>
        <v/>
      </c>
      <c r="K34" s="59" t="n"/>
      <c r="L34" s="59" t="n"/>
      <c r="M34" s="61" t="str">
        <f>IF(OR(B34="",NOT(ISNUMBER(K34)),NOT(ISNUMBER(L34))),"",IF(OR(K34&lt;=0,L34&lt;=0),"",ROUND(L34-K34,6)))</f>
        <v/>
      </c>
      <c r="N34" s="58" t="n"/>
      <c r="O34" s="62" t="n"/>
      <c r="P34" s="63" t="str">
        <f>IF(OR(B34="",NOT(ISNUMBER(L34))),"",IF(L34&lt;=0,"",IFERROR(ROUND(L34*N(INDEX(art_w,MATCH(H34,art_ref,0))),3),"")))</f>
        <v/>
      </c>
      <c r="Q34" s="59" t="n"/>
      <c r="R34" s="54" t="n"/>
      <c r="S34" s="59" t="n"/>
      <c r="T34" s="59" t="n"/>
      <c r="U34" s="64" t="str">
        <f>IF(OR(B34="",H34=""),"",IFERROR(IF(A34="BL",IF(N(INDEX(art_price,MATCH(H34,art_ref,0)))=0,"",N(INDEX(art_price,MATCH(H34,art_ref,0)))),IF(N(INDEX(art_cost,MATCH(H34,art_ref,0)))=0,"",N(INDEX(art_cost,MATCH(H34,art_ref,0))))),""))</f>
        <v/>
      </c>
      <c r="V34" s="64" t="str">
        <f>IF(OR(U34="",NOT(ISNUMBER(L34))),"",IF(L34&lt;=0,"",ROUND(L34*U34,2)))</f>
        <v/>
      </c>
      <c r="W34" s="60" t="str">
        <f>IF(AND(B34&lt;&gt;"",A34&lt;&gt;"BS",F34&lt;&gt;"",H34&lt;&gt;"",ISNUMBER(K34),ISNUMBER(L34)),IF(AND(K34&gt;0,L34&gt;0,K34-L34&gt;0,COUNTIFS(A35:A$2005,A34,F35:F$2005,F34,H35:H$2005,H34,AA35:AA$2005,"&gt;0")=0),ROUND(K34-L34,6),""),"")</f>
        <v/>
      </c>
      <c r="X34" s="60" t="str">
        <f>IF(AND(A34="",C34="",D34="",H34="",L34=""),"",IF(A34="","Type manquant",IF(AND(A34&lt;&gt;"BL",A34&lt;&gt;"BR",A34&lt;&gt;"BS"),"Type inconnu (BL, BR ou BS)",IF(AG34=0,"Date manquante ou invalide",IF(D34="",IF(A34="BL","Client manquant",IF(A34="BR","Fournisseur manquant","Service manquant")),IF(IF(A34="BL",ISNA(MATCH(D34,cl_code,0)),IF(A34="BR",ISNA(MATCH(D34,fo_code,0)),ISNA(MATCH(D34,p_services,0)))),IF(A34="BL","Client inconnu",IF(A34="BR","Fournisseur inconnu","Service inconnu")),IF(H34="","Article manquant",IF(ISNA(MATCH(H34,art_ref,0)),"Article inconnu",IF(OR(NOT(ISNUMBER(L34)),N(L34)&lt;=0),"Quantité invalide",IF(AND(K34&lt;&gt;"",OR(NOT(ISNUMBER(K34)),N(K34)&lt;=0)),"Qté commandée invalide",IF(AG34&lt;SUMPRODUCT(MAX((A$6:A33=A34)*AG$6:AG33)),"Date antérieure au bon précédent",IF(AND(A34&lt;&gt;"BR",ISNUMBER(M34),N(M34)&gt;0),IF(A34="BL","Livré plus que commandé","Sorti plus que demandé"),"OK"))))))))))))</f>
        <v/>
      </c>
      <c r="Y34" s="57" t="str">
        <f>IF(AND(OR(A34="BL",A34="BR",A34="BS"),AG34&gt;0,D34&lt;&gt;""),A34&amp;"|"&amp;AG34&amp;"|"&amp;D34&amp;"|"&amp;F34,"")</f>
        <v/>
      </c>
      <c r="Z34" s="57" t="str">
        <f>IF(Y34="","",IF(COUNTIF(Y$6:Y33,Y34)=0,1,0))</f>
        <v/>
      </c>
      <c r="AA34" s="57" t="str">
        <f>IF(Y34="","",IF(Z34=1,COUNTIFS(A$6:A34,A34,Z$6:Z34,1),INDEX(AA$6:AA33,MATCH(Y34,Y$6:Y33,0))))</f>
        <v/>
      </c>
      <c r="AB34" s="57" t="str">
        <f>IF(B34="","",COUNTIF(B$6:B34,B34))</f>
        <v/>
      </c>
      <c r="AC34" s="57" t="str">
        <f>IF(B34="","",B34&amp;"#"&amp;AB34)</f>
        <v/>
      </c>
      <c r="AD34" s="57" t="str">
        <f>IF(Z34=1,A34&amp;AA34,"")</f>
        <v/>
      </c>
      <c r="AE34" s="57" t="str">
        <f>IF(B34="","",YEAR(C34))</f>
        <v/>
      </c>
      <c r="AF34" s="57" t="str">
        <f>IF(B34="","",MONTH(C34))</f>
        <v/>
      </c>
      <c r="AG34" s="57">
        <f>IF(ISNUMBER(C34),C34,0)</f>
        <v>0.0</v>
      </c>
      <c r="AH34" s="57" t="str">
        <f>IF(N(W34)&gt;0,COUNTIF(W$6:W34,"&gt;0"),"")</f>
        <v/>
      </c>
      <c r="AI34" s="57" t="str">
        <f>IF(Z34=1,COUNTIF(Z$6:Z34,1),"")</f>
        <v/>
      </c>
    </row>
    <row r="35">
      <c r="A35" s="54" t="n"/>
      <c r="B35" s="55" t="str">
        <f>IF(AA35="","",A35&amp;"-"&amp;RIGHT("000"&amp;AA35,4))</f>
        <v/>
      </c>
      <c r="C35" s="56" t="n"/>
      <c r="D35" s="54" t="n"/>
      <c r="E35" s="57" t="str">
        <f>IF(D35="","",IF(A35="BL",IFERROR(INDEX(cl_name,MATCH(D35,cl_code,0))&amp;"","Client inconnu"),IF(A35="BR",IFERROR(INDEX(fo_name,MATCH(D35,fo_code,0))&amp;"","Fournisseur inconnu"),IF(A35="BS",IF(ISNA(MATCH(D35,p_services,0)),"Service inconnu",D35&amp;""),""))))</f>
        <v/>
      </c>
      <c r="F35" s="58" t="n"/>
      <c r="G35" s="58" t="n"/>
      <c r="H35" s="59" t="n"/>
      <c r="I35" s="57" t="str">
        <f>IF(H35="","",IFERROR(INDEX(art_des,MATCH(H35,art_ref,0))&amp;"","Article inconnu"))</f>
        <v/>
      </c>
      <c r="J35" s="60" t="str">
        <f>IF(H35="","",IFERROR(INDEX(art_unit,MATCH(H35,art_ref,0))&amp;"",""))</f>
        <v/>
      </c>
      <c r="K35" s="59" t="n"/>
      <c r="L35" s="59" t="n"/>
      <c r="M35" s="61" t="str">
        <f>IF(OR(B35="",NOT(ISNUMBER(K35)),NOT(ISNUMBER(L35))),"",IF(OR(K35&lt;=0,L35&lt;=0),"",ROUND(L35-K35,6)))</f>
        <v/>
      </c>
      <c r="N35" s="58" t="n"/>
      <c r="O35" s="62" t="n"/>
      <c r="P35" s="63" t="str">
        <f>IF(OR(B35="",NOT(ISNUMBER(L35))),"",IF(L35&lt;=0,"",IFERROR(ROUND(L35*N(INDEX(art_w,MATCH(H35,art_ref,0))),3),"")))</f>
        <v/>
      </c>
      <c r="Q35" s="59" t="n"/>
      <c r="R35" s="54" t="n"/>
      <c r="S35" s="59" t="n"/>
      <c r="T35" s="59" t="n"/>
      <c r="U35" s="64" t="str">
        <f>IF(OR(B35="",H35=""),"",IFERROR(IF(A35="BL",IF(N(INDEX(art_price,MATCH(H35,art_ref,0)))=0,"",N(INDEX(art_price,MATCH(H35,art_ref,0)))),IF(N(INDEX(art_cost,MATCH(H35,art_ref,0)))=0,"",N(INDEX(art_cost,MATCH(H35,art_ref,0))))),""))</f>
        <v/>
      </c>
      <c r="V35" s="64" t="str">
        <f>IF(OR(U35="",NOT(ISNUMBER(L35))),"",IF(L35&lt;=0,"",ROUND(L35*U35,2)))</f>
        <v/>
      </c>
      <c r="W35" s="60" t="str">
        <f>IF(AND(B35&lt;&gt;"",A35&lt;&gt;"BS",F35&lt;&gt;"",H35&lt;&gt;"",ISNUMBER(K35),ISNUMBER(L35)),IF(AND(K35&gt;0,L35&gt;0,K35-L35&gt;0,COUNTIFS(A36:A$2005,A35,F36:F$2005,F35,H36:H$2005,H35,AA36:AA$2005,"&gt;0")=0),ROUND(K35-L35,6),""),"")</f>
        <v/>
      </c>
      <c r="X35" s="60" t="str">
        <f>IF(AND(A35="",C35="",D35="",H35="",L35=""),"",IF(A35="","Type manquant",IF(AND(A35&lt;&gt;"BL",A35&lt;&gt;"BR",A35&lt;&gt;"BS"),"Type inconnu (BL, BR ou BS)",IF(AG35=0,"Date manquante ou invalide",IF(D35="",IF(A35="BL","Client manquant",IF(A35="BR","Fournisseur manquant","Service manquant")),IF(IF(A35="BL",ISNA(MATCH(D35,cl_code,0)),IF(A35="BR",ISNA(MATCH(D35,fo_code,0)),ISNA(MATCH(D35,p_services,0)))),IF(A35="BL","Client inconnu",IF(A35="BR","Fournisseur inconnu","Service inconnu")),IF(H35="","Article manquant",IF(ISNA(MATCH(H35,art_ref,0)),"Article inconnu",IF(OR(NOT(ISNUMBER(L35)),N(L35)&lt;=0),"Quantité invalide",IF(AND(K35&lt;&gt;"",OR(NOT(ISNUMBER(K35)),N(K35)&lt;=0)),"Qté commandée invalide",IF(AG35&lt;SUMPRODUCT(MAX((A$6:A34=A35)*AG$6:AG34)),"Date antérieure au bon précédent",IF(AND(A35&lt;&gt;"BR",ISNUMBER(M35),N(M35)&gt;0),IF(A35="BL","Livré plus que commandé","Sorti plus que demandé"),"OK"))))))))))))</f>
        <v/>
      </c>
      <c r="Y35" s="57" t="str">
        <f>IF(AND(OR(A35="BL",A35="BR",A35="BS"),AG35&gt;0,D35&lt;&gt;""),A35&amp;"|"&amp;AG35&amp;"|"&amp;D35&amp;"|"&amp;F35,"")</f>
        <v/>
      </c>
      <c r="Z35" s="57" t="str">
        <f>IF(Y35="","",IF(COUNTIF(Y$6:Y34,Y35)=0,1,0))</f>
        <v/>
      </c>
      <c r="AA35" s="57" t="str">
        <f>IF(Y35="","",IF(Z35=1,COUNTIFS(A$6:A35,A35,Z$6:Z35,1),INDEX(AA$6:AA34,MATCH(Y35,Y$6:Y34,0))))</f>
        <v/>
      </c>
      <c r="AB35" s="57" t="str">
        <f>IF(B35="","",COUNTIF(B$6:B35,B35))</f>
        <v/>
      </c>
      <c r="AC35" s="57" t="str">
        <f>IF(B35="","",B35&amp;"#"&amp;AB35)</f>
        <v/>
      </c>
      <c r="AD35" s="57" t="str">
        <f>IF(Z35=1,A35&amp;AA35,"")</f>
        <v/>
      </c>
      <c r="AE35" s="57" t="str">
        <f>IF(B35="","",YEAR(C35))</f>
        <v/>
      </c>
      <c r="AF35" s="57" t="str">
        <f>IF(B35="","",MONTH(C35))</f>
        <v/>
      </c>
      <c r="AG35" s="57">
        <f>IF(ISNUMBER(C35),C35,0)</f>
        <v>0.0</v>
      </c>
      <c r="AH35" s="57" t="str">
        <f>IF(N(W35)&gt;0,COUNTIF(W$6:W35,"&gt;0"),"")</f>
        <v/>
      </c>
      <c r="AI35" s="57" t="str">
        <f>IF(Z35=1,COUNTIF(Z$6:Z35,1),"")</f>
        <v/>
      </c>
    </row>
    <row r="36">
      <c r="A36" s="54" t="n"/>
      <c r="B36" s="55" t="str">
        <f>IF(AA36="","",A36&amp;"-"&amp;RIGHT("000"&amp;AA36,4))</f>
        <v/>
      </c>
      <c r="C36" s="56" t="n"/>
      <c r="D36" s="54" t="n"/>
      <c r="E36" s="57" t="str">
        <f>IF(D36="","",IF(A36="BL",IFERROR(INDEX(cl_name,MATCH(D36,cl_code,0))&amp;"","Client inconnu"),IF(A36="BR",IFERROR(INDEX(fo_name,MATCH(D36,fo_code,0))&amp;"","Fournisseur inconnu"),IF(A36="BS",IF(ISNA(MATCH(D36,p_services,0)),"Service inconnu",D36&amp;""),""))))</f>
        <v/>
      </c>
      <c r="F36" s="58" t="n"/>
      <c r="G36" s="58" t="n"/>
      <c r="H36" s="59" t="n"/>
      <c r="I36" s="57" t="str">
        <f>IF(H36="","",IFERROR(INDEX(art_des,MATCH(H36,art_ref,0))&amp;"","Article inconnu"))</f>
        <v/>
      </c>
      <c r="J36" s="60" t="str">
        <f>IF(H36="","",IFERROR(INDEX(art_unit,MATCH(H36,art_ref,0))&amp;"",""))</f>
        <v/>
      </c>
      <c r="K36" s="59" t="n"/>
      <c r="L36" s="59" t="n"/>
      <c r="M36" s="61" t="str">
        <f>IF(OR(B36="",NOT(ISNUMBER(K36)),NOT(ISNUMBER(L36))),"",IF(OR(K36&lt;=0,L36&lt;=0),"",ROUND(L36-K36,6)))</f>
        <v/>
      </c>
      <c r="N36" s="58" t="n"/>
      <c r="O36" s="62" t="n"/>
      <c r="P36" s="63" t="str">
        <f>IF(OR(B36="",NOT(ISNUMBER(L36))),"",IF(L36&lt;=0,"",IFERROR(ROUND(L36*N(INDEX(art_w,MATCH(H36,art_ref,0))),3),"")))</f>
        <v/>
      </c>
      <c r="Q36" s="59" t="n"/>
      <c r="R36" s="54" t="n"/>
      <c r="S36" s="59" t="n"/>
      <c r="T36" s="59" t="n"/>
      <c r="U36" s="64" t="str">
        <f>IF(OR(B36="",H36=""),"",IFERROR(IF(A36="BL",IF(N(INDEX(art_price,MATCH(H36,art_ref,0)))=0,"",N(INDEX(art_price,MATCH(H36,art_ref,0)))),IF(N(INDEX(art_cost,MATCH(H36,art_ref,0)))=0,"",N(INDEX(art_cost,MATCH(H36,art_ref,0))))),""))</f>
        <v/>
      </c>
      <c r="V36" s="64" t="str">
        <f>IF(OR(U36="",NOT(ISNUMBER(L36))),"",IF(L36&lt;=0,"",ROUND(L36*U36,2)))</f>
        <v/>
      </c>
      <c r="W36" s="60" t="str">
        <f>IF(AND(B36&lt;&gt;"",A36&lt;&gt;"BS",F36&lt;&gt;"",H36&lt;&gt;"",ISNUMBER(K36),ISNUMBER(L36)),IF(AND(K36&gt;0,L36&gt;0,K36-L36&gt;0,COUNTIFS(A37:A$2005,A36,F37:F$2005,F36,H37:H$2005,H36,AA37:AA$2005,"&gt;0")=0),ROUND(K36-L36,6),""),"")</f>
        <v/>
      </c>
      <c r="X36" s="60" t="str">
        <f>IF(AND(A36="",C36="",D36="",H36="",L36=""),"",IF(A36="","Type manquant",IF(AND(A36&lt;&gt;"BL",A36&lt;&gt;"BR",A36&lt;&gt;"BS"),"Type inconnu (BL, BR ou BS)",IF(AG36=0,"Date manquante ou invalide",IF(D36="",IF(A36="BL","Client manquant",IF(A36="BR","Fournisseur manquant","Service manquant")),IF(IF(A36="BL",ISNA(MATCH(D36,cl_code,0)),IF(A36="BR",ISNA(MATCH(D36,fo_code,0)),ISNA(MATCH(D36,p_services,0)))),IF(A36="BL","Client inconnu",IF(A36="BR","Fournisseur inconnu","Service inconnu")),IF(H36="","Article manquant",IF(ISNA(MATCH(H36,art_ref,0)),"Article inconnu",IF(OR(NOT(ISNUMBER(L36)),N(L36)&lt;=0),"Quantité invalide",IF(AND(K36&lt;&gt;"",OR(NOT(ISNUMBER(K36)),N(K36)&lt;=0)),"Qté commandée invalide",IF(AG36&lt;SUMPRODUCT(MAX((A$6:A35=A36)*AG$6:AG35)),"Date antérieure au bon précédent",IF(AND(A36&lt;&gt;"BR",ISNUMBER(M36),N(M36)&gt;0),IF(A36="BL","Livré plus que commandé","Sorti plus que demandé"),"OK"))))))))))))</f>
        <v/>
      </c>
      <c r="Y36" s="57" t="str">
        <f>IF(AND(OR(A36="BL",A36="BR",A36="BS"),AG36&gt;0,D36&lt;&gt;""),A36&amp;"|"&amp;AG36&amp;"|"&amp;D36&amp;"|"&amp;F36,"")</f>
        <v/>
      </c>
      <c r="Z36" s="57" t="str">
        <f>IF(Y36="","",IF(COUNTIF(Y$6:Y35,Y36)=0,1,0))</f>
        <v/>
      </c>
      <c r="AA36" s="57" t="str">
        <f>IF(Y36="","",IF(Z36=1,COUNTIFS(A$6:A36,A36,Z$6:Z36,1),INDEX(AA$6:AA35,MATCH(Y36,Y$6:Y35,0))))</f>
        <v/>
      </c>
      <c r="AB36" s="57" t="str">
        <f>IF(B36="","",COUNTIF(B$6:B36,B36))</f>
        <v/>
      </c>
      <c r="AC36" s="57" t="str">
        <f>IF(B36="","",B36&amp;"#"&amp;AB36)</f>
        <v/>
      </c>
      <c r="AD36" s="57" t="str">
        <f>IF(Z36=1,A36&amp;AA36,"")</f>
        <v/>
      </c>
      <c r="AE36" s="57" t="str">
        <f>IF(B36="","",YEAR(C36))</f>
        <v/>
      </c>
      <c r="AF36" s="57" t="str">
        <f>IF(B36="","",MONTH(C36))</f>
        <v/>
      </c>
      <c r="AG36" s="57">
        <f>IF(ISNUMBER(C36),C36,0)</f>
        <v>0.0</v>
      </c>
      <c r="AH36" s="57" t="str">
        <f>IF(N(W36)&gt;0,COUNTIF(W$6:W36,"&gt;0"),"")</f>
        <v/>
      </c>
      <c r="AI36" s="57" t="str">
        <f>IF(Z36=1,COUNTIF(Z$6:Z36,1),"")</f>
        <v/>
      </c>
    </row>
    <row r="37">
      <c r="A37" s="54" t="n"/>
      <c r="B37" s="55" t="str">
        <f>IF(AA37="","",A37&amp;"-"&amp;RIGHT("000"&amp;AA37,4))</f>
        <v/>
      </c>
      <c r="C37" s="56" t="n"/>
      <c r="D37" s="54" t="n"/>
      <c r="E37" s="57" t="str">
        <f>IF(D37="","",IF(A37="BL",IFERROR(INDEX(cl_name,MATCH(D37,cl_code,0))&amp;"","Client inconnu"),IF(A37="BR",IFERROR(INDEX(fo_name,MATCH(D37,fo_code,0))&amp;"","Fournisseur inconnu"),IF(A37="BS",IF(ISNA(MATCH(D37,p_services,0)),"Service inconnu",D37&amp;""),""))))</f>
        <v/>
      </c>
      <c r="F37" s="58" t="n"/>
      <c r="G37" s="58" t="n"/>
      <c r="H37" s="59" t="n"/>
      <c r="I37" s="57" t="str">
        <f>IF(H37="","",IFERROR(INDEX(art_des,MATCH(H37,art_ref,0))&amp;"","Article inconnu"))</f>
        <v/>
      </c>
      <c r="J37" s="60" t="str">
        <f>IF(H37="","",IFERROR(INDEX(art_unit,MATCH(H37,art_ref,0))&amp;"",""))</f>
        <v/>
      </c>
      <c r="K37" s="59" t="n"/>
      <c r="L37" s="59" t="n"/>
      <c r="M37" s="61" t="str">
        <f>IF(OR(B37="",NOT(ISNUMBER(K37)),NOT(ISNUMBER(L37))),"",IF(OR(K37&lt;=0,L37&lt;=0),"",ROUND(L37-K37,6)))</f>
        <v/>
      </c>
      <c r="N37" s="58" t="n"/>
      <c r="O37" s="62" t="n"/>
      <c r="P37" s="63" t="str">
        <f>IF(OR(B37="",NOT(ISNUMBER(L37))),"",IF(L37&lt;=0,"",IFERROR(ROUND(L37*N(INDEX(art_w,MATCH(H37,art_ref,0))),3),"")))</f>
        <v/>
      </c>
      <c r="Q37" s="59" t="n"/>
      <c r="R37" s="54" t="n"/>
      <c r="S37" s="59" t="n"/>
      <c r="T37" s="59" t="n"/>
      <c r="U37" s="64" t="str">
        <f>IF(OR(B37="",H37=""),"",IFERROR(IF(A37="BL",IF(N(INDEX(art_price,MATCH(H37,art_ref,0)))=0,"",N(INDEX(art_price,MATCH(H37,art_ref,0)))),IF(N(INDEX(art_cost,MATCH(H37,art_ref,0)))=0,"",N(INDEX(art_cost,MATCH(H37,art_ref,0))))),""))</f>
        <v/>
      </c>
      <c r="V37" s="64" t="str">
        <f>IF(OR(U37="",NOT(ISNUMBER(L37))),"",IF(L37&lt;=0,"",ROUND(L37*U37,2)))</f>
        <v/>
      </c>
      <c r="W37" s="60" t="str">
        <f>IF(AND(B37&lt;&gt;"",A37&lt;&gt;"BS",F37&lt;&gt;"",H37&lt;&gt;"",ISNUMBER(K37),ISNUMBER(L37)),IF(AND(K37&gt;0,L37&gt;0,K37-L37&gt;0,COUNTIFS(A38:A$2005,A37,F38:F$2005,F37,H38:H$2005,H37,AA38:AA$2005,"&gt;0")=0),ROUND(K37-L37,6),""),"")</f>
        <v/>
      </c>
      <c r="X37" s="60" t="str">
        <f>IF(AND(A37="",C37="",D37="",H37="",L37=""),"",IF(A37="","Type manquant",IF(AND(A37&lt;&gt;"BL",A37&lt;&gt;"BR",A37&lt;&gt;"BS"),"Type inconnu (BL, BR ou BS)",IF(AG37=0,"Date manquante ou invalide",IF(D37="",IF(A37="BL","Client manquant",IF(A37="BR","Fournisseur manquant","Service manquant")),IF(IF(A37="BL",ISNA(MATCH(D37,cl_code,0)),IF(A37="BR",ISNA(MATCH(D37,fo_code,0)),ISNA(MATCH(D37,p_services,0)))),IF(A37="BL","Client inconnu",IF(A37="BR","Fournisseur inconnu","Service inconnu")),IF(H37="","Article manquant",IF(ISNA(MATCH(H37,art_ref,0)),"Article inconnu",IF(OR(NOT(ISNUMBER(L37)),N(L37)&lt;=0),"Quantité invalide",IF(AND(K37&lt;&gt;"",OR(NOT(ISNUMBER(K37)),N(K37)&lt;=0)),"Qté commandée invalide",IF(AG37&lt;SUMPRODUCT(MAX((A$6:A36=A37)*AG$6:AG36)),"Date antérieure au bon précédent",IF(AND(A37&lt;&gt;"BR",ISNUMBER(M37),N(M37)&gt;0),IF(A37="BL","Livré plus que commandé","Sorti plus que demandé"),"OK"))))))))))))</f>
        <v/>
      </c>
      <c r="Y37" s="57" t="str">
        <f>IF(AND(OR(A37="BL",A37="BR",A37="BS"),AG37&gt;0,D37&lt;&gt;""),A37&amp;"|"&amp;AG37&amp;"|"&amp;D37&amp;"|"&amp;F37,"")</f>
        <v/>
      </c>
      <c r="Z37" s="57" t="str">
        <f>IF(Y37="","",IF(COUNTIF(Y$6:Y36,Y37)=0,1,0))</f>
        <v/>
      </c>
      <c r="AA37" s="57" t="str">
        <f>IF(Y37="","",IF(Z37=1,COUNTIFS(A$6:A37,A37,Z$6:Z37,1),INDEX(AA$6:AA36,MATCH(Y37,Y$6:Y36,0))))</f>
        <v/>
      </c>
      <c r="AB37" s="57" t="str">
        <f>IF(B37="","",COUNTIF(B$6:B37,B37))</f>
        <v/>
      </c>
      <c r="AC37" s="57" t="str">
        <f>IF(B37="","",B37&amp;"#"&amp;AB37)</f>
        <v/>
      </c>
      <c r="AD37" s="57" t="str">
        <f>IF(Z37=1,A37&amp;AA37,"")</f>
        <v/>
      </c>
      <c r="AE37" s="57" t="str">
        <f>IF(B37="","",YEAR(C37))</f>
        <v/>
      </c>
      <c r="AF37" s="57" t="str">
        <f>IF(B37="","",MONTH(C37))</f>
        <v/>
      </c>
      <c r="AG37" s="57">
        <f>IF(ISNUMBER(C37),C37,0)</f>
        <v>0.0</v>
      </c>
      <c r="AH37" s="57" t="str">
        <f>IF(N(W37)&gt;0,COUNTIF(W$6:W37,"&gt;0"),"")</f>
        <v/>
      </c>
      <c r="AI37" s="57" t="str">
        <f>IF(Z37=1,COUNTIF(Z$6:Z37,1),"")</f>
        <v/>
      </c>
    </row>
    <row r="38">
      <c r="A38" s="54" t="n"/>
      <c r="B38" s="55" t="str">
        <f>IF(AA38="","",A38&amp;"-"&amp;RIGHT("000"&amp;AA38,4))</f>
        <v/>
      </c>
      <c r="C38" s="56" t="n"/>
      <c r="D38" s="54" t="n"/>
      <c r="E38" s="57" t="str">
        <f>IF(D38="","",IF(A38="BL",IFERROR(INDEX(cl_name,MATCH(D38,cl_code,0))&amp;"","Client inconnu"),IF(A38="BR",IFERROR(INDEX(fo_name,MATCH(D38,fo_code,0))&amp;"","Fournisseur inconnu"),IF(A38="BS",IF(ISNA(MATCH(D38,p_services,0)),"Service inconnu",D38&amp;""),""))))</f>
        <v/>
      </c>
      <c r="F38" s="58" t="n"/>
      <c r="G38" s="58" t="n"/>
      <c r="H38" s="59" t="n"/>
      <c r="I38" s="57" t="str">
        <f>IF(H38="","",IFERROR(INDEX(art_des,MATCH(H38,art_ref,0))&amp;"","Article inconnu"))</f>
        <v/>
      </c>
      <c r="J38" s="60" t="str">
        <f>IF(H38="","",IFERROR(INDEX(art_unit,MATCH(H38,art_ref,0))&amp;"",""))</f>
        <v/>
      </c>
      <c r="K38" s="59" t="n"/>
      <c r="L38" s="59" t="n"/>
      <c r="M38" s="61" t="str">
        <f>IF(OR(B38="",NOT(ISNUMBER(K38)),NOT(ISNUMBER(L38))),"",IF(OR(K38&lt;=0,L38&lt;=0),"",ROUND(L38-K38,6)))</f>
        <v/>
      </c>
      <c r="N38" s="58" t="n"/>
      <c r="O38" s="62" t="n"/>
      <c r="P38" s="63" t="str">
        <f>IF(OR(B38="",NOT(ISNUMBER(L38))),"",IF(L38&lt;=0,"",IFERROR(ROUND(L38*N(INDEX(art_w,MATCH(H38,art_ref,0))),3),"")))</f>
        <v/>
      </c>
      <c r="Q38" s="59" t="n"/>
      <c r="R38" s="54" t="n"/>
      <c r="S38" s="59" t="n"/>
      <c r="T38" s="59" t="n"/>
      <c r="U38" s="64" t="str">
        <f>IF(OR(B38="",H38=""),"",IFERROR(IF(A38="BL",IF(N(INDEX(art_price,MATCH(H38,art_ref,0)))=0,"",N(INDEX(art_price,MATCH(H38,art_ref,0)))),IF(N(INDEX(art_cost,MATCH(H38,art_ref,0)))=0,"",N(INDEX(art_cost,MATCH(H38,art_ref,0))))),""))</f>
        <v/>
      </c>
      <c r="V38" s="64" t="str">
        <f>IF(OR(U38="",NOT(ISNUMBER(L38))),"",IF(L38&lt;=0,"",ROUND(L38*U38,2)))</f>
        <v/>
      </c>
      <c r="W38" s="60" t="str">
        <f>IF(AND(B38&lt;&gt;"",A38&lt;&gt;"BS",F38&lt;&gt;"",H38&lt;&gt;"",ISNUMBER(K38),ISNUMBER(L38)),IF(AND(K38&gt;0,L38&gt;0,K38-L38&gt;0,COUNTIFS(A39:A$2005,A38,F39:F$2005,F38,H39:H$2005,H38,AA39:AA$2005,"&gt;0")=0),ROUND(K38-L38,6),""),"")</f>
        <v/>
      </c>
      <c r="X38" s="60" t="str">
        <f>IF(AND(A38="",C38="",D38="",H38="",L38=""),"",IF(A38="","Type manquant",IF(AND(A38&lt;&gt;"BL",A38&lt;&gt;"BR",A38&lt;&gt;"BS"),"Type inconnu (BL, BR ou BS)",IF(AG38=0,"Date manquante ou invalide",IF(D38="",IF(A38="BL","Client manquant",IF(A38="BR","Fournisseur manquant","Service manquant")),IF(IF(A38="BL",ISNA(MATCH(D38,cl_code,0)),IF(A38="BR",ISNA(MATCH(D38,fo_code,0)),ISNA(MATCH(D38,p_services,0)))),IF(A38="BL","Client inconnu",IF(A38="BR","Fournisseur inconnu","Service inconnu")),IF(H38="","Article manquant",IF(ISNA(MATCH(H38,art_ref,0)),"Article inconnu",IF(OR(NOT(ISNUMBER(L38)),N(L38)&lt;=0),"Quantité invalide",IF(AND(K38&lt;&gt;"",OR(NOT(ISNUMBER(K38)),N(K38)&lt;=0)),"Qté commandée invalide",IF(AG38&lt;SUMPRODUCT(MAX((A$6:A37=A38)*AG$6:AG37)),"Date antérieure au bon précédent",IF(AND(A38&lt;&gt;"BR",ISNUMBER(M38),N(M38)&gt;0),IF(A38="BL","Livré plus que commandé","Sorti plus que demandé"),"OK"))))))))))))</f>
        <v/>
      </c>
      <c r="Y38" s="57" t="str">
        <f>IF(AND(OR(A38="BL",A38="BR",A38="BS"),AG38&gt;0,D38&lt;&gt;""),A38&amp;"|"&amp;AG38&amp;"|"&amp;D38&amp;"|"&amp;F38,"")</f>
        <v/>
      </c>
      <c r="Z38" s="57" t="str">
        <f>IF(Y38="","",IF(COUNTIF(Y$6:Y37,Y38)=0,1,0))</f>
        <v/>
      </c>
      <c r="AA38" s="57" t="str">
        <f>IF(Y38="","",IF(Z38=1,COUNTIFS(A$6:A38,A38,Z$6:Z38,1),INDEX(AA$6:AA37,MATCH(Y38,Y$6:Y37,0))))</f>
        <v/>
      </c>
      <c r="AB38" s="57" t="str">
        <f>IF(B38="","",COUNTIF(B$6:B38,B38))</f>
        <v/>
      </c>
      <c r="AC38" s="57" t="str">
        <f>IF(B38="","",B38&amp;"#"&amp;AB38)</f>
        <v/>
      </c>
      <c r="AD38" s="57" t="str">
        <f>IF(Z38=1,A38&amp;AA38,"")</f>
        <v/>
      </c>
      <c r="AE38" s="57" t="str">
        <f>IF(B38="","",YEAR(C38))</f>
        <v/>
      </c>
      <c r="AF38" s="57" t="str">
        <f>IF(B38="","",MONTH(C38))</f>
        <v/>
      </c>
      <c r="AG38" s="57">
        <f>IF(ISNUMBER(C38),C38,0)</f>
        <v>0.0</v>
      </c>
      <c r="AH38" s="57" t="str">
        <f>IF(N(W38)&gt;0,COUNTIF(W$6:W38,"&gt;0"),"")</f>
        <v/>
      </c>
      <c r="AI38" s="57" t="str">
        <f>IF(Z38=1,COUNTIF(Z$6:Z38,1),"")</f>
        <v/>
      </c>
    </row>
    <row r="39">
      <c r="A39" s="54" t="n"/>
      <c r="B39" s="55" t="str">
        <f>IF(AA39="","",A39&amp;"-"&amp;RIGHT("000"&amp;AA39,4))</f>
        <v/>
      </c>
      <c r="C39" s="56" t="n"/>
      <c r="D39" s="54" t="n"/>
      <c r="E39" s="57" t="str">
        <f>IF(D39="","",IF(A39="BL",IFERROR(INDEX(cl_name,MATCH(D39,cl_code,0))&amp;"","Client inconnu"),IF(A39="BR",IFERROR(INDEX(fo_name,MATCH(D39,fo_code,0))&amp;"","Fournisseur inconnu"),IF(A39="BS",IF(ISNA(MATCH(D39,p_services,0)),"Service inconnu",D39&amp;""),""))))</f>
        <v/>
      </c>
      <c r="F39" s="58" t="n"/>
      <c r="G39" s="58" t="n"/>
      <c r="H39" s="59" t="n"/>
      <c r="I39" s="57" t="str">
        <f>IF(H39="","",IFERROR(INDEX(art_des,MATCH(H39,art_ref,0))&amp;"","Article inconnu"))</f>
        <v/>
      </c>
      <c r="J39" s="60" t="str">
        <f>IF(H39="","",IFERROR(INDEX(art_unit,MATCH(H39,art_ref,0))&amp;"",""))</f>
        <v/>
      </c>
      <c r="K39" s="59" t="n"/>
      <c r="L39" s="59" t="n"/>
      <c r="M39" s="61" t="str">
        <f>IF(OR(B39="",NOT(ISNUMBER(K39)),NOT(ISNUMBER(L39))),"",IF(OR(K39&lt;=0,L39&lt;=0),"",ROUND(L39-K39,6)))</f>
        <v/>
      </c>
      <c r="N39" s="58" t="n"/>
      <c r="O39" s="62" t="n"/>
      <c r="P39" s="63" t="str">
        <f>IF(OR(B39="",NOT(ISNUMBER(L39))),"",IF(L39&lt;=0,"",IFERROR(ROUND(L39*N(INDEX(art_w,MATCH(H39,art_ref,0))),3),"")))</f>
        <v/>
      </c>
      <c r="Q39" s="59" t="n"/>
      <c r="R39" s="54" t="n"/>
      <c r="S39" s="59" t="n"/>
      <c r="T39" s="59" t="n"/>
      <c r="U39" s="64" t="str">
        <f>IF(OR(B39="",H39=""),"",IFERROR(IF(A39="BL",IF(N(INDEX(art_price,MATCH(H39,art_ref,0)))=0,"",N(INDEX(art_price,MATCH(H39,art_ref,0)))),IF(N(INDEX(art_cost,MATCH(H39,art_ref,0)))=0,"",N(INDEX(art_cost,MATCH(H39,art_ref,0))))),""))</f>
        <v/>
      </c>
      <c r="V39" s="64" t="str">
        <f>IF(OR(U39="",NOT(ISNUMBER(L39))),"",IF(L39&lt;=0,"",ROUND(L39*U39,2)))</f>
        <v/>
      </c>
      <c r="W39" s="60" t="str">
        <f>IF(AND(B39&lt;&gt;"",A39&lt;&gt;"BS",F39&lt;&gt;"",H39&lt;&gt;"",ISNUMBER(K39),ISNUMBER(L39)),IF(AND(K39&gt;0,L39&gt;0,K39-L39&gt;0,COUNTIFS(A40:A$2005,A39,F40:F$2005,F39,H40:H$2005,H39,AA40:AA$2005,"&gt;0")=0),ROUND(K39-L39,6),""),"")</f>
        <v/>
      </c>
      <c r="X39" s="60" t="str">
        <f>IF(AND(A39="",C39="",D39="",H39="",L39=""),"",IF(A39="","Type manquant",IF(AND(A39&lt;&gt;"BL",A39&lt;&gt;"BR",A39&lt;&gt;"BS"),"Type inconnu (BL, BR ou BS)",IF(AG39=0,"Date manquante ou invalide",IF(D39="",IF(A39="BL","Client manquant",IF(A39="BR","Fournisseur manquant","Service manquant")),IF(IF(A39="BL",ISNA(MATCH(D39,cl_code,0)),IF(A39="BR",ISNA(MATCH(D39,fo_code,0)),ISNA(MATCH(D39,p_services,0)))),IF(A39="BL","Client inconnu",IF(A39="BR","Fournisseur inconnu","Service inconnu")),IF(H39="","Article manquant",IF(ISNA(MATCH(H39,art_ref,0)),"Article inconnu",IF(OR(NOT(ISNUMBER(L39)),N(L39)&lt;=0),"Quantité invalide",IF(AND(K39&lt;&gt;"",OR(NOT(ISNUMBER(K39)),N(K39)&lt;=0)),"Qté commandée invalide",IF(AG39&lt;SUMPRODUCT(MAX((A$6:A38=A39)*AG$6:AG38)),"Date antérieure au bon précédent",IF(AND(A39&lt;&gt;"BR",ISNUMBER(M39),N(M39)&gt;0),IF(A39="BL","Livré plus que commandé","Sorti plus que demandé"),"OK"))))))))))))</f>
        <v/>
      </c>
      <c r="Y39" s="57" t="str">
        <f>IF(AND(OR(A39="BL",A39="BR",A39="BS"),AG39&gt;0,D39&lt;&gt;""),A39&amp;"|"&amp;AG39&amp;"|"&amp;D39&amp;"|"&amp;F39,"")</f>
        <v/>
      </c>
      <c r="Z39" s="57" t="str">
        <f>IF(Y39="","",IF(COUNTIF(Y$6:Y38,Y39)=0,1,0))</f>
        <v/>
      </c>
      <c r="AA39" s="57" t="str">
        <f>IF(Y39="","",IF(Z39=1,COUNTIFS(A$6:A39,A39,Z$6:Z39,1),INDEX(AA$6:AA38,MATCH(Y39,Y$6:Y38,0))))</f>
        <v/>
      </c>
      <c r="AB39" s="57" t="str">
        <f>IF(B39="","",COUNTIF(B$6:B39,B39))</f>
        <v/>
      </c>
      <c r="AC39" s="57" t="str">
        <f>IF(B39="","",B39&amp;"#"&amp;AB39)</f>
        <v/>
      </c>
      <c r="AD39" s="57" t="str">
        <f>IF(Z39=1,A39&amp;AA39,"")</f>
        <v/>
      </c>
      <c r="AE39" s="57" t="str">
        <f>IF(B39="","",YEAR(C39))</f>
        <v/>
      </c>
      <c r="AF39" s="57" t="str">
        <f>IF(B39="","",MONTH(C39))</f>
        <v/>
      </c>
      <c r="AG39" s="57">
        <f>IF(ISNUMBER(C39),C39,0)</f>
        <v>0.0</v>
      </c>
      <c r="AH39" s="57" t="str">
        <f>IF(N(W39)&gt;0,COUNTIF(W$6:W39,"&gt;0"),"")</f>
        <v/>
      </c>
      <c r="AI39" s="57" t="str">
        <f>IF(Z39=1,COUNTIF(Z$6:Z39,1),"")</f>
        <v/>
      </c>
    </row>
    <row r="40">
      <c r="A40" s="54" t="n"/>
      <c r="B40" s="55" t="str">
        <f>IF(AA40="","",A40&amp;"-"&amp;RIGHT("000"&amp;AA40,4))</f>
        <v/>
      </c>
      <c r="C40" s="56" t="n"/>
      <c r="D40" s="54" t="n"/>
      <c r="E40" s="57" t="str">
        <f>IF(D40="","",IF(A40="BL",IFERROR(INDEX(cl_name,MATCH(D40,cl_code,0))&amp;"","Client inconnu"),IF(A40="BR",IFERROR(INDEX(fo_name,MATCH(D40,fo_code,0))&amp;"","Fournisseur inconnu"),IF(A40="BS",IF(ISNA(MATCH(D40,p_services,0)),"Service inconnu",D40&amp;""),""))))</f>
        <v/>
      </c>
      <c r="F40" s="58" t="n"/>
      <c r="G40" s="58" t="n"/>
      <c r="H40" s="59" t="n"/>
      <c r="I40" s="57" t="str">
        <f>IF(H40="","",IFERROR(INDEX(art_des,MATCH(H40,art_ref,0))&amp;"","Article inconnu"))</f>
        <v/>
      </c>
      <c r="J40" s="60" t="str">
        <f>IF(H40="","",IFERROR(INDEX(art_unit,MATCH(H40,art_ref,0))&amp;"",""))</f>
        <v/>
      </c>
      <c r="K40" s="59" t="n"/>
      <c r="L40" s="59" t="n"/>
      <c r="M40" s="61" t="str">
        <f>IF(OR(B40="",NOT(ISNUMBER(K40)),NOT(ISNUMBER(L40))),"",IF(OR(K40&lt;=0,L40&lt;=0),"",ROUND(L40-K40,6)))</f>
        <v/>
      </c>
      <c r="N40" s="58" t="n"/>
      <c r="O40" s="62" t="n"/>
      <c r="P40" s="63" t="str">
        <f>IF(OR(B40="",NOT(ISNUMBER(L40))),"",IF(L40&lt;=0,"",IFERROR(ROUND(L40*N(INDEX(art_w,MATCH(H40,art_ref,0))),3),"")))</f>
        <v/>
      </c>
      <c r="Q40" s="59" t="n"/>
      <c r="R40" s="54" t="n"/>
      <c r="S40" s="59" t="n"/>
      <c r="T40" s="59" t="n"/>
      <c r="U40" s="64" t="str">
        <f>IF(OR(B40="",H40=""),"",IFERROR(IF(A40="BL",IF(N(INDEX(art_price,MATCH(H40,art_ref,0)))=0,"",N(INDEX(art_price,MATCH(H40,art_ref,0)))),IF(N(INDEX(art_cost,MATCH(H40,art_ref,0)))=0,"",N(INDEX(art_cost,MATCH(H40,art_ref,0))))),""))</f>
        <v/>
      </c>
      <c r="V40" s="64" t="str">
        <f>IF(OR(U40="",NOT(ISNUMBER(L40))),"",IF(L40&lt;=0,"",ROUND(L40*U40,2)))</f>
        <v/>
      </c>
      <c r="W40" s="60" t="str">
        <f>IF(AND(B40&lt;&gt;"",A40&lt;&gt;"BS",F40&lt;&gt;"",H40&lt;&gt;"",ISNUMBER(K40),ISNUMBER(L40)),IF(AND(K40&gt;0,L40&gt;0,K40-L40&gt;0,COUNTIFS(A41:A$2005,A40,F41:F$2005,F40,H41:H$2005,H40,AA41:AA$2005,"&gt;0")=0),ROUND(K40-L40,6),""),"")</f>
        <v/>
      </c>
      <c r="X40" s="60" t="str">
        <f>IF(AND(A40="",C40="",D40="",H40="",L40=""),"",IF(A40="","Type manquant",IF(AND(A40&lt;&gt;"BL",A40&lt;&gt;"BR",A40&lt;&gt;"BS"),"Type inconnu (BL, BR ou BS)",IF(AG40=0,"Date manquante ou invalide",IF(D40="",IF(A40="BL","Client manquant",IF(A40="BR","Fournisseur manquant","Service manquant")),IF(IF(A40="BL",ISNA(MATCH(D40,cl_code,0)),IF(A40="BR",ISNA(MATCH(D40,fo_code,0)),ISNA(MATCH(D40,p_services,0)))),IF(A40="BL","Client inconnu",IF(A40="BR","Fournisseur inconnu","Service inconnu")),IF(H40="","Article manquant",IF(ISNA(MATCH(H40,art_ref,0)),"Article inconnu",IF(OR(NOT(ISNUMBER(L40)),N(L40)&lt;=0),"Quantité invalide",IF(AND(K40&lt;&gt;"",OR(NOT(ISNUMBER(K40)),N(K40)&lt;=0)),"Qté commandée invalide",IF(AG40&lt;SUMPRODUCT(MAX((A$6:A39=A40)*AG$6:AG39)),"Date antérieure au bon précédent",IF(AND(A40&lt;&gt;"BR",ISNUMBER(M40),N(M40)&gt;0),IF(A40="BL","Livré plus que commandé","Sorti plus que demandé"),"OK"))))))))))))</f>
        <v/>
      </c>
      <c r="Y40" s="57" t="str">
        <f>IF(AND(OR(A40="BL",A40="BR",A40="BS"),AG40&gt;0,D40&lt;&gt;""),A40&amp;"|"&amp;AG40&amp;"|"&amp;D40&amp;"|"&amp;F40,"")</f>
        <v/>
      </c>
      <c r="Z40" s="57" t="str">
        <f>IF(Y40="","",IF(COUNTIF(Y$6:Y39,Y40)=0,1,0))</f>
        <v/>
      </c>
      <c r="AA40" s="57" t="str">
        <f>IF(Y40="","",IF(Z40=1,COUNTIFS(A$6:A40,A40,Z$6:Z40,1),INDEX(AA$6:AA39,MATCH(Y40,Y$6:Y39,0))))</f>
        <v/>
      </c>
      <c r="AB40" s="57" t="str">
        <f>IF(B40="","",COUNTIF(B$6:B40,B40))</f>
        <v/>
      </c>
      <c r="AC40" s="57" t="str">
        <f>IF(B40="","",B40&amp;"#"&amp;AB40)</f>
        <v/>
      </c>
      <c r="AD40" s="57" t="str">
        <f>IF(Z40=1,A40&amp;AA40,"")</f>
        <v/>
      </c>
      <c r="AE40" s="57" t="str">
        <f>IF(B40="","",YEAR(C40))</f>
        <v/>
      </c>
      <c r="AF40" s="57" t="str">
        <f>IF(B40="","",MONTH(C40))</f>
        <v/>
      </c>
      <c r="AG40" s="57">
        <f>IF(ISNUMBER(C40),C40,0)</f>
        <v>0.0</v>
      </c>
      <c r="AH40" s="57" t="str">
        <f>IF(N(W40)&gt;0,COUNTIF(W$6:W40,"&gt;0"),"")</f>
        <v/>
      </c>
      <c r="AI40" s="57" t="str">
        <f>IF(Z40=1,COUNTIF(Z$6:Z40,1),"")</f>
        <v/>
      </c>
    </row>
    <row r="41">
      <c r="A41" s="54" t="n"/>
      <c r="B41" s="55" t="str">
        <f>IF(AA41="","",A41&amp;"-"&amp;RIGHT("000"&amp;AA41,4))</f>
        <v/>
      </c>
      <c r="C41" s="56" t="n"/>
      <c r="D41" s="54" t="n"/>
      <c r="E41" s="57" t="str">
        <f>IF(D41="","",IF(A41="BL",IFERROR(INDEX(cl_name,MATCH(D41,cl_code,0))&amp;"","Client inconnu"),IF(A41="BR",IFERROR(INDEX(fo_name,MATCH(D41,fo_code,0))&amp;"","Fournisseur inconnu"),IF(A41="BS",IF(ISNA(MATCH(D41,p_services,0)),"Service inconnu",D41&amp;""),""))))</f>
        <v/>
      </c>
      <c r="F41" s="58" t="n"/>
      <c r="G41" s="58" t="n"/>
      <c r="H41" s="59" t="n"/>
      <c r="I41" s="57" t="str">
        <f>IF(H41="","",IFERROR(INDEX(art_des,MATCH(H41,art_ref,0))&amp;"","Article inconnu"))</f>
        <v/>
      </c>
      <c r="J41" s="60" t="str">
        <f>IF(H41="","",IFERROR(INDEX(art_unit,MATCH(H41,art_ref,0))&amp;"",""))</f>
        <v/>
      </c>
      <c r="K41" s="59" t="n"/>
      <c r="L41" s="59" t="n"/>
      <c r="M41" s="61" t="str">
        <f>IF(OR(B41="",NOT(ISNUMBER(K41)),NOT(ISNUMBER(L41))),"",IF(OR(K41&lt;=0,L41&lt;=0),"",ROUND(L41-K41,6)))</f>
        <v/>
      </c>
      <c r="N41" s="58" t="n"/>
      <c r="O41" s="62" t="n"/>
      <c r="P41" s="63" t="str">
        <f>IF(OR(B41="",NOT(ISNUMBER(L41))),"",IF(L41&lt;=0,"",IFERROR(ROUND(L41*N(INDEX(art_w,MATCH(H41,art_ref,0))),3),"")))</f>
        <v/>
      </c>
      <c r="Q41" s="59" t="n"/>
      <c r="R41" s="54" t="n"/>
      <c r="S41" s="59" t="n"/>
      <c r="T41" s="59" t="n"/>
      <c r="U41" s="64" t="str">
        <f>IF(OR(B41="",H41=""),"",IFERROR(IF(A41="BL",IF(N(INDEX(art_price,MATCH(H41,art_ref,0)))=0,"",N(INDEX(art_price,MATCH(H41,art_ref,0)))),IF(N(INDEX(art_cost,MATCH(H41,art_ref,0)))=0,"",N(INDEX(art_cost,MATCH(H41,art_ref,0))))),""))</f>
        <v/>
      </c>
      <c r="V41" s="64" t="str">
        <f>IF(OR(U41="",NOT(ISNUMBER(L41))),"",IF(L41&lt;=0,"",ROUND(L41*U41,2)))</f>
        <v/>
      </c>
      <c r="W41" s="60" t="str">
        <f>IF(AND(B41&lt;&gt;"",A41&lt;&gt;"BS",F41&lt;&gt;"",H41&lt;&gt;"",ISNUMBER(K41),ISNUMBER(L41)),IF(AND(K41&gt;0,L41&gt;0,K41-L41&gt;0,COUNTIFS(A42:A$2005,A41,F42:F$2005,F41,H42:H$2005,H41,AA42:AA$2005,"&gt;0")=0),ROUND(K41-L41,6),""),"")</f>
        <v/>
      </c>
      <c r="X41" s="60" t="str">
        <f>IF(AND(A41="",C41="",D41="",H41="",L41=""),"",IF(A41="","Type manquant",IF(AND(A41&lt;&gt;"BL",A41&lt;&gt;"BR",A41&lt;&gt;"BS"),"Type inconnu (BL, BR ou BS)",IF(AG41=0,"Date manquante ou invalide",IF(D41="",IF(A41="BL","Client manquant",IF(A41="BR","Fournisseur manquant","Service manquant")),IF(IF(A41="BL",ISNA(MATCH(D41,cl_code,0)),IF(A41="BR",ISNA(MATCH(D41,fo_code,0)),ISNA(MATCH(D41,p_services,0)))),IF(A41="BL","Client inconnu",IF(A41="BR","Fournisseur inconnu","Service inconnu")),IF(H41="","Article manquant",IF(ISNA(MATCH(H41,art_ref,0)),"Article inconnu",IF(OR(NOT(ISNUMBER(L41)),N(L41)&lt;=0),"Quantité invalide",IF(AND(K41&lt;&gt;"",OR(NOT(ISNUMBER(K41)),N(K41)&lt;=0)),"Qté commandée invalide",IF(AG41&lt;SUMPRODUCT(MAX((A$6:A40=A41)*AG$6:AG40)),"Date antérieure au bon précédent",IF(AND(A41&lt;&gt;"BR",ISNUMBER(M41),N(M41)&gt;0),IF(A41="BL","Livré plus que commandé","Sorti plus que demandé"),"OK"))))))))))))</f>
        <v/>
      </c>
      <c r="Y41" s="57" t="str">
        <f>IF(AND(OR(A41="BL",A41="BR",A41="BS"),AG41&gt;0,D41&lt;&gt;""),A41&amp;"|"&amp;AG41&amp;"|"&amp;D41&amp;"|"&amp;F41,"")</f>
        <v/>
      </c>
      <c r="Z41" s="57" t="str">
        <f>IF(Y41="","",IF(COUNTIF(Y$6:Y40,Y41)=0,1,0))</f>
        <v/>
      </c>
      <c r="AA41" s="57" t="str">
        <f>IF(Y41="","",IF(Z41=1,COUNTIFS(A$6:A41,A41,Z$6:Z41,1),INDEX(AA$6:AA40,MATCH(Y41,Y$6:Y40,0))))</f>
        <v/>
      </c>
      <c r="AB41" s="57" t="str">
        <f>IF(B41="","",COUNTIF(B$6:B41,B41))</f>
        <v/>
      </c>
      <c r="AC41" s="57" t="str">
        <f>IF(B41="","",B41&amp;"#"&amp;AB41)</f>
        <v/>
      </c>
      <c r="AD41" s="57" t="str">
        <f>IF(Z41=1,A41&amp;AA41,"")</f>
        <v/>
      </c>
      <c r="AE41" s="57" t="str">
        <f>IF(B41="","",YEAR(C41))</f>
        <v/>
      </c>
      <c r="AF41" s="57" t="str">
        <f>IF(B41="","",MONTH(C41))</f>
        <v/>
      </c>
      <c r="AG41" s="57">
        <f>IF(ISNUMBER(C41),C41,0)</f>
        <v>0.0</v>
      </c>
      <c r="AH41" s="57" t="str">
        <f>IF(N(W41)&gt;0,COUNTIF(W$6:W41,"&gt;0"),"")</f>
        <v/>
      </c>
      <c r="AI41" s="57" t="str">
        <f>IF(Z41=1,COUNTIF(Z$6:Z41,1),"")</f>
        <v/>
      </c>
    </row>
    <row r="42">
      <c r="A42" s="54" t="n"/>
      <c r="B42" s="55" t="str">
        <f>IF(AA42="","",A42&amp;"-"&amp;RIGHT("000"&amp;AA42,4))</f>
        <v/>
      </c>
      <c r="C42" s="56" t="n"/>
      <c r="D42" s="54" t="n"/>
      <c r="E42" s="57" t="str">
        <f>IF(D42="","",IF(A42="BL",IFERROR(INDEX(cl_name,MATCH(D42,cl_code,0))&amp;"","Client inconnu"),IF(A42="BR",IFERROR(INDEX(fo_name,MATCH(D42,fo_code,0))&amp;"","Fournisseur inconnu"),IF(A42="BS",IF(ISNA(MATCH(D42,p_services,0)),"Service inconnu",D42&amp;""),""))))</f>
        <v/>
      </c>
      <c r="F42" s="58" t="n"/>
      <c r="G42" s="58" t="n"/>
      <c r="H42" s="59" t="n"/>
      <c r="I42" s="57" t="str">
        <f>IF(H42="","",IFERROR(INDEX(art_des,MATCH(H42,art_ref,0))&amp;"","Article inconnu"))</f>
        <v/>
      </c>
      <c r="J42" s="60" t="str">
        <f>IF(H42="","",IFERROR(INDEX(art_unit,MATCH(H42,art_ref,0))&amp;"",""))</f>
        <v/>
      </c>
      <c r="K42" s="59" t="n"/>
      <c r="L42" s="59" t="n"/>
      <c r="M42" s="61" t="str">
        <f>IF(OR(B42="",NOT(ISNUMBER(K42)),NOT(ISNUMBER(L42))),"",IF(OR(K42&lt;=0,L42&lt;=0),"",ROUND(L42-K42,6)))</f>
        <v/>
      </c>
      <c r="N42" s="58" t="n"/>
      <c r="O42" s="62" t="n"/>
      <c r="P42" s="63" t="str">
        <f>IF(OR(B42="",NOT(ISNUMBER(L42))),"",IF(L42&lt;=0,"",IFERROR(ROUND(L42*N(INDEX(art_w,MATCH(H42,art_ref,0))),3),"")))</f>
        <v/>
      </c>
      <c r="Q42" s="59" t="n"/>
      <c r="R42" s="54" t="n"/>
      <c r="S42" s="59" t="n"/>
      <c r="T42" s="59" t="n"/>
      <c r="U42" s="64" t="str">
        <f>IF(OR(B42="",H42=""),"",IFERROR(IF(A42="BL",IF(N(INDEX(art_price,MATCH(H42,art_ref,0)))=0,"",N(INDEX(art_price,MATCH(H42,art_ref,0)))),IF(N(INDEX(art_cost,MATCH(H42,art_ref,0)))=0,"",N(INDEX(art_cost,MATCH(H42,art_ref,0))))),""))</f>
        <v/>
      </c>
      <c r="V42" s="64" t="str">
        <f>IF(OR(U42="",NOT(ISNUMBER(L42))),"",IF(L42&lt;=0,"",ROUND(L42*U42,2)))</f>
        <v/>
      </c>
      <c r="W42" s="60" t="str">
        <f>IF(AND(B42&lt;&gt;"",A42&lt;&gt;"BS",F42&lt;&gt;"",H42&lt;&gt;"",ISNUMBER(K42),ISNUMBER(L42)),IF(AND(K42&gt;0,L42&gt;0,K42-L42&gt;0,COUNTIFS(A43:A$2005,A42,F43:F$2005,F42,H43:H$2005,H42,AA43:AA$2005,"&gt;0")=0),ROUND(K42-L42,6),""),"")</f>
        <v/>
      </c>
      <c r="X42" s="60" t="str">
        <f>IF(AND(A42="",C42="",D42="",H42="",L42=""),"",IF(A42="","Type manquant",IF(AND(A42&lt;&gt;"BL",A42&lt;&gt;"BR",A42&lt;&gt;"BS"),"Type inconnu (BL, BR ou BS)",IF(AG42=0,"Date manquante ou invalide",IF(D42="",IF(A42="BL","Client manquant",IF(A42="BR","Fournisseur manquant","Service manquant")),IF(IF(A42="BL",ISNA(MATCH(D42,cl_code,0)),IF(A42="BR",ISNA(MATCH(D42,fo_code,0)),ISNA(MATCH(D42,p_services,0)))),IF(A42="BL","Client inconnu",IF(A42="BR","Fournisseur inconnu","Service inconnu")),IF(H42="","Article manquant",IF(ISNA(MATCH(H42,art_ref,0)),"Article inconnu",IF(OR(NOT(ISNUMBER(L42)),N(L42)&lt;=0),"Quantité invalide",IF(AND(K42&lt;&gt;"",OR(NOT(ISNUMBER(K42)),N(K42)&lt;=0)),"Qté commandée invalide",IF(AG42&lt;SUMPRODUCT(MAX((A$6:A41=A42)*AG$6:AG41)),"Date antérieure au bon précédent",IF(AND(A42&lt;&gt;"BR",ISNUMBER(M42),N(M42)&gt;0),IF(A42="BL","Livré plus que commandé","Sorti plus que demandé"),"OK"))))))))))))</f>
        <v/>
      </c>
      <c r="Y42" s="57" t="str">
        <f>IF(AND(OR(A42="BL",A42="BR",A42="BS"),AG42&gt;0,D42&lt;&gt;""),A42&amp;"|"&amp;AG42&amp;"|"&amp;D42&amp;"|"&amp;F42,"")</f>
        <v/>
      </c>
      <c r="Z42" s="57" t="str">
        <f>IF(Y42="","",IF(COUNTIF(Y$6:Y41,Y42)=0,1,0))</f>
        <v/>
      </c>
      <c r="AA42" s="57" t="str">
        <f>IF(Y42="","",IF(Z42=1,COUNTIFS(A$6:A42,A42,Z$6:Z42,1),INDEX(AA$6:AA41,MATCH(Y42,Y$6:Y41,0))))</f>
        <v/>
      </c>
      <c r="AB42" s="57" t="str">
        <f>IF(B42="","",COUNTIF(B$6:B42,B42))</f>
        <v/>
      </c>
      <c r="AC42" s="57" t="str">
        <f>IF(B42="","",B42&amp;"#"&amp;AB42)</f>
        <v/>
      </c>
      <c r="AD42" s="57" t="str">
        <f>IF(Z42=1,A42&amp;AA42,"")</f>
        <v/>
      </c>
      <c r="AE42" s="57" t="str">
        <f>IF(B42="","",YEAR(C42))</f>
        <v/>
      </c>
      <c r="AF42" s="57" t="str">
        <f>IF(B42="","",MONTH(C42))</f>
        <v/>
      </c>
      <c r="AG42" s="57">
        <f>IF(ISNUMBER(C42),C42,0)</f>
        <v>0.0</v>
      </c>
      <c r="AH42" s="57" t="str">
        <f>IF(N(W42)&gt;0,COUNTIF(W$6:W42,"&gt;0"),"")</f>
        <v/>
      </c>
      <c r="AI42" s="57" t="str">
        <f>IF(Z42=1,COUNTIF(Z$6:Z42,1),"")</f>
        <v/>
      </c>
    </row>
    <row r="43">
      <c r="A43" s="54" t="n"/>
      <c r="B43" s="55" t="str">
        <f>IF(AA43="","",A43&amp;"-"&amp;RIGHT("000"&amp;AA43,4))</f>
        <v/>
      </c>
      <c r="C43" s="56" t="n"/>
      <c r="D43" s="54" t="n"/>
      <c r="E43" s="57" t="str">
        <f>IF(D43="","",IF(A43="BL",IFERROR(INDEX(cl_name,MATCH(D43,cl_code,0))&amp;"","Client inconnu"),IF(A43="BR",IFERROR(INDEX(fo_name,MATCH(D43,fo_code,0))&amp;"","Fournisseur inconnu"),IF(A43="BS",IF(ISNA(MATCH(D43,p_services,0)),"Service inconnu",D43&amp;""),""))))</f>
        <v/>
      </c>
      <c r="F43" s="58" t="n"/>
      <c r="G43" s="58" t="n"/>
      <c r="H43" s="59" t="n"/>
      <c r="I43" s="57" t="str">
        <f>IF(H43="","",IFERROR(INDEX(art_des,MATCH(H43,art_ref,0))&amp;"","Article inconnu"))</f>
        <v/>
      </c>
      <c r="J43" s="60" t="str">
        <f>IF(H43="","",IFERROR(INDEX(art_unit,MATCH(H43,art_ref,0))&amp;"",""))</f>
        <v/>
      </c>
      <c r="K43" s="59" t="n"/>
      <c r="L43" s="59" t="n"/>
      <c r="M43" s="61" t="str">
        <f>IF(OR(B43="",NOT(ISNUMBER(K43)),NOT(ISNUMBER(L43))),"",IF(OR(K43&lt;=0,L43&lt;=0),"",ROUND(L43-K43,6)))</f>
        <v/>
      </c>
      <c r="N43" s="58" t="n"/>
      <c r="O43" s="62" t="n"/>
      <c r="P43" s="63" t="str">
        <f>IF(OR(B43="",NOT(ISNUMBER(L43))),"",IF(L43&lt;=0,"",IFERROR(ROUND(L43*N(INDEX(art_w,MATCH(H43,art_ref,0))),3),"")))</f>
        <v/>
      </c>
      <c r="Q43" s="59" t="n"/>
      <c r="R43" s="54" t="n"/>
      <c r="S43" s="59" t="n"/>
      <c r="T43" s="59" t="n"/>
      <c r="U43" s="64" t="str">
        <f>IF(OR(B43="",H43=""),"",IFERROR(IF(A43="BL",IF(N(INDEX(art_price,MATCH(H43,art_ref,0)))=0,"",N(INDEX(art_price,MATCH(H43,art_ref,0)))),IF(N(INDEX(art_cost,MATCH(H43,art_ref,0)))=0,"",N(INDEX(art_cost,MATCH(H43,art_ref,0))))),""))</f>
        <v/>
      </c>
      <c r="V43" s="64" t="str">
        <f>IF(OR(U43="",NOT(ISNUMBER(L43))),"",IF(L43&lt;=0,"",ROUND(L43*U43,2)))</f>
        <v/>
      </c>
      <c r="W43" s="60" t="str">
        <f>IF(AND(B43&lt;&gt;"",A43&lt;&gt;"BS",F43&lt;&gt;"",H43&lt;&gt;"",ISNUMBER(K43),ISNUMBER(L43)),IF(AND(K43&gt;0,L43&gt;0,K43-L43&gt;0,COUNTIFS(A44:A$2005,A43,F44:F$2005,F43,H44:H$2005,H43,AA44:AA$2005,"&gt;0")=0),ROUND(K43-L43,6),""),"")</f>
        <v/>
      </c>
      <c r="X43" s="60" t="str">
        <f>IF(AND(A43="",C43="",D43="",H43="",L43=""),"",IF(A43="","Type manquant",IF(AND(A43&lt;&gt;"BL",A43&lt;&gt;"BR",A43&lt;&gt;"BS"),"Type inconnu (BL, BR ou BS)",IF(AG43=0,"Date manquante ou invalide",IF(D43="",IF(A43="BL","Client manquant",IF(A43="BR","Fournisseur manquant","Service manquant")),IF(IF(A43="BL",ISNA(MATCH(D43,cl_code,0)),IF(A43="BR",ISNA(MATCH(D43,fo_code,0)),ISNA(MATCH(D43,p_services,0)))),IF(A43="BL","Client inconnu",IF(A43="BR","Fournisseur inconnu","Service inconnu")),IF(H43="","Article manquant",IF(ISNA(MATCH(H43,art_ref,0)),"Article inconnu",IF(OR(NOT(ISNUMBER(L43)),N(L43)&lt;=0),"Quantité invalide",IF(AND(K43&lt;&gt;"",OR(NOT(ISNUMBER(K43)),N(K43)&lt;=0)),"Qté commandée invalide",IF(AG43&lt;SUMPRODUCT(MAX((A$6:A42=A43)*AG$6:AG42)),"Date antérieure au bon précédent",IF(AND(A43&lt;&gt;"BR",ISNUMBER(M43),N(M43)&gt;0),IF(A43="BL","Livré plus que commandé","Sorti plus que demandé"),"OK"))))))))))))</f>
        <v/>
      </c>
      <c r="Y43" s="57" t="str">
        <f>IF(AND(OR(A43="BL",A43="BR",A43="BS"),AG43&gt;0,D43&lt;&gt;""),A43&amp;"|"&amp;AG43&amp;"|"&amp;D43&amp;"|"&amp;F43,"")</f>
        <v/>
      </c>
      <c r="Z43" s="57" t="str">
        <f>IF(Y43="","",IF(COUNTIF(Y$6:Y42,Y43)=0,1,0))</f>
        <v/>
      </c>
      <c r="AA43" s="57" t="str">
        <f>IF(Y43="","",IF(Z43=1,COUNTIFS(A$6:A43,A43,Z$6:Z43,1),INDEX(AA$6:AA42,MATCH(Y43,Y$6:Y42,0))))</f>
        <v/>
      </c>
      <c r="AB43" s="57" t="str">
        <f>IF(B43="","",COUNTIF(B$6:B43,B43))</f>
        <v/>
      </c>
      <c r="AC43" s="57" t="str">
        <f>IF(B43="","",B43&amp;"#"&amp;AB43)</f>
        <v/>
      </c>
      <c r="AD43" s="57" t="str">
        <f>IF(Z43=1,A43&amp;AA43,"")</f>
        <v/>
      </c>
      <c r="AE43" s="57" t="str">
        <f>IF(B43="","",YEAR(C43))</f>
        <v/>
      </c>
      <c r="AF43" s="57" t="str">
        <f>IF(B43="","",MONTH(C43))</f>
        <v/>
      </c>
      <c r="AG43" s="57">
        <f>IF(ISNUMBER(C43),C43,0)</f>
        <v>0.0</v>
      </c>
      <c r="AH43" s="57" t="str">
        <f>IF(N(W43)&gt;0,COUNTIF(W$6:W43,"&gt;0"),"")</f>
        <v/>
      </c>
      <c r="AI43" s="57" t="str">
        <f>IF(Z43=1,COUNTIF(Z$6:Z43,1),"")</f>
        <v/>
      </c>
    </row>
    <row r="44">
      <c r="A44" s="54" t="n"/>
      <c r="B44" s="55" t="str">
        <f>IF(AA44="","",A44&amp;"-"&amp;RIGHT("000"&amp;AA44,4))</f>
        <v/>
      </c>
      <c r="C44" s="56" t="n"/>
      <c r="D44" s="54" t="n"/>
      <c r="E44" s="57" t="str">
        <f>IF(D44="","",IF(A44="BL",IFERROR(INDEX(cl_name,MATCH(D44,cl_code,0))&amp;"","Client inconnu"),IF(A44="BR",IFERROR(INDEX(fo_name,MATCH(D44,fo_code,0))&amp;"","Fournisseur inconnu"),IF(A44="BS",IF(ISNA(MATCH(D44,p_services,0)),"Service inconnu",D44&amp;""),""))))</f>
        <v/>
      </c>
      <c r="F44" s="58" t="n"/>
      <c r="G44" s="58" t="n"/>
      <c r="H44" s="59" t="n"/>
      <c r="I44" s="57" t="str">
        <f>IF(H44="","",IFERROR(INDEX(art_des,MATCH(H44,art_ref,0))&amp;"","Article inconnu"))</f>
        <v/>
      </c>
      <c r="J44" s="60" t="str">
        <f>IF(H44="","",IFERROR(INDEX(art_unit,MATCH(H44,art_ref,0))&amp;"",""))</f>
        <v/>
      </c>
      <c r="K44" s="59" t="n"/>
      <c r="L44" s="59" t="n"/>
      <c r="M44" s="61" t="str">
        <f>IF(OR(B44="",NOT(ISNUMBER(K44)),NOT(ISNUMBER(L44))),"",IF(OR(K44&lt;=0,L44&lt;=0),"",ROUND(L44-K44,6)))</f>
        <v/>
      </c>
      <c r="N44" s="58" t="n"/>
      <c r="O44" s="62" t="n"/>
      <c r="P44" s="63" t="str">
        <f>IF(OR(B44="",NOT(ISNUMBER(L44))),"",IF(L44&lt;=0,"",IFERROR(ROUND(L44*N(INDEX(art_w,MATCH(H44,art_ref,0))),3),"")))</f>
        <v/>
      </c>
      <c r="Q44" s="59" t="n"/>
      <c r="R44" s="54" t="n"/>
      <c r="S44" s="59" t="n"/>
      <c r="T44" s="59" t="n"/>
      <c r="U44" s="64" t="str">
        <f>IF(OR(B44="",H44=""),"",IFERROR(IF(A44="BL",IF(N(INDEX(art_price,MATCH(H44,art_ref,0)))=0,"",N(INDEX(art_price,MATCH(H44,art_ref,0)))),IF(N(INDEX(art_cost,MATCH(H44,art_ref,0)))=0,"",N(INDEX(art_cost,MATCH(H44,art_ref,0))))),""))</f>
        <v/>
      </c>
      <c r="V44" s="64" t="str">
        <f>IF(OR(U44="",NOT(ISNUMBER(L44))),"",IF(L44&lt;=0,"",ROUND(L44*U44,2)))</f>
        <v/>
      </c>
      <c r="W44" s="60" t="str">
        <f>IF(AND(B44&lt;&gt;"",A44&lt;&gt;"BS",F44&lt;&gt;"",H44&lt;&gt;"",ISNUMBER(K44),ISNUMBER(L44)),IF(AND(K44&gt;0,L44&gt;0,K44-L44&gt;0,COUNTIFS(A45:A$2005,A44,F45:F$2005,F44,H45:H$2005,H44,AA45:AA$2005,"&gt;0")=0),ROUND(K44-L44,6),""),"")</f>
        <v/>
      </c>
      <c r="X44" s="60" t="str">
        <f>IF(AND(A44="",C44="",D44="",H44="",L44=""),"",IF(A44="","Type manquant",IF(AND(A44&lt;&gt;"BL",A44&lt;&gt;"BR",A44&lt;&gt;"BS"),"Type inconnu (BL, BR ou BS)",IF(AG44=0,"Date manquante ou invalide",IF(D44="",IF(A44="BL","Client manquant",IF(A44="BR","Fournisseur manquant","Service manquant")),IF(IF(A44="BL",ISNA(MATCH(D44,cl_code,0)),IF(A44="BR",ISNA(MATCH(D44,fo_code,0)),ISNA(MATCH(D44,p_services,0)))),IF(A44="BL","Client inconnu",IF(A44="BR","Fournisseur inconnu","Service inconnu")),IF(H44="","Article manquant",IF(ISNA(MATCH(H44,art_ref,0)),"Article inconnu",IF(OR(NOT(ISNUMBER(L44)),N(L44)&lt;=0),"Quantité invalide",IF(AND(K44&lt;&gt;"",OR(NOT(ISNUMBER(K44)),N(K44)&lt;=0)),"Qté commandée invalide",IF(AG44&lt;SUMPRODUCT(MAX((A$6:A43=A44)*AG$6:AG43)),"Date antérieure au bon précédent",IF(AND(A44&lt;&gt;"BR",ISNUMBER(M44),N(M44)&gt;0),IF(A44="BL","Livré plus que commandé","Sorti plus que demandé"),"OK"))))))))))))</f>
        <v/>
      </c>
      <c r="Y44" s="57" t="str">
        <f>IF(AND(OR(A44="BL",A44="BR",A44="BS"),AG44&gt;0,D44&lt;&gt;""),A44&amp;"|"&amp;AG44&amp;"|"&amp;D44&amp;"|"&amp;F44,"")</f>
        <v/>
      </c>
      <c r="Z44" s="57" t="str">
        <f>IF(Y44="","",IF(COUNTIF(Y$6:Y43,Y44)=0,1,0))</f>
        <v/>
      </c>
      <c r="AA44" s="57" t="str">
        <f>IF(Y44="","",IF(Z44=1,COUNTIFS(A$6:A44,A44,Z$6:Z44,1),INDEX(AA$6:AA43,MATCH(Y44,Y$6:Y43,0))))</f>
        <v/>
      </c>
      <c r="AB44" s="57" t="str">
        <f>IF(B44="","",COUNTIF(B$6:B44,B44))</f>
        <v/>
      </c>
      <c r="AC44" s="57" t="str">
        <f>IF(B44="","",B44&amp;"#"&amp;AB44)</f>
        <v/>
      </c>
      <c r="AD44" s="57" t="str">
        <f>IF(Z44=1,A44&amp;AA44,"")</f>
        <v/>
      </c>
      <c r="AE44" s="57" t="str">
        <f>IF(B44="","",YEAR(C44))</f>
        <v/>
      </c>
      <c r="AF44" s="57" t="str">
        <f>IF(B44="","",MONTH(C44))</f>
        <v/>
      </c>
      <c r="AG44" s="57">
        <f>IF(ISNUMBER(C44),C44,0)</f>
        <v>0.0</v>
      </c>
      <c r="AH44" s="57" t="str">
        <f>IF(N(W44)&gt;0,COUNTIF(W$6:W44,"&gt;0"),"")</f>
        <v/>
      </c>
      <c r="AI44" s="57" t="str">
        <f>IF(Z44=1,COUNTIF(Z$6:Z44,1),"")</f>
        <v/>
      </c>
    </row>
    <row r="45">
      <c r="A45" s="54" t="n"/>
      <c r="B45" s="55" t="str">
        <f>IF(AA45="","",A45&amp;"-"&amp;RIGHT("000"&amp;AA45,4))</f>
        <v/>
      </c>
      <c r="C45" s="56" t="n"/>
      <c r="D45" s="54" t="n"/>
      <c r="E45" s="57" t="str">
        <f>IF(D45="","",IF(A45="BL",IFERROR(INDEX(cl_name,MATCH(D45,cl_code,0))&amp;"","Client inconnu"),IF(A45="BR",IFERROR(INDEX(fo_name,MATCH(D45,fo_code,0))&amp;"","Fournisseur inconnu"),IF(A45="BS",IF(ISNA(MATCH(D45,p_services,0)),"Service inconnu",D45&amp;""),""))))</f>
        <v/>
      </c>
      <c r="F45" s="58" t="n"/>
      <c r="G45" s="58" t="n"/>
      <c r="H45" s="59" t="n"/>
      <c r="I45" s="57" t="str">
        <f>IF(H45="","",IFERROR(INDEX(art_des,MATCH(H45,art_ref,0))&amp;"","Article inconnu"))</f>
        <v/>
      </c>
      <c r="J45" s="60" t="str">
        <f>IF(H45="","",IFERROR(INDEX(art_unit,MATCH(H45,art_ref,0))&amp;"",""))</f>
        <v/>
      </c>
      <c r="K45" s="59" t="n"/>
      <c r="L45" s="59" t="n"/>
      <c r="M45" s="61" t="str">
        <f>IF(OR(B45="",NOT(ISNUMBER(K45)),NOT(ISNUMBER(L45))),"",IF(OR(K45&lt;=0,L45&lt;=0),"",ROUND(L45-K45,6)))</f>
        <v/>
      </c>
      <c r="N45" s="58" t="n"/>
      <c r="O45" s="62" t="n"/>
      <c r="P45" s="63" t="str">
        <f>IF(OR(B45="",NOT(ISNUMBER(L45))),"",IF(L45&lt;=0,"",IFERROR(ROUND(L45*N(INDEX(art_w,MATCH(H45,art_ref,0))),3),"")))</f>
        <v/>
      </c>
      <c r="Q45" s="59" t="n"/>
      <c r="R45" s="54" t="n"/>
      <c r="S45" s="59" t="n"/>
      <c r="T45" s="59" t="n"/>
      <c r="U45" s="64" t="str">
        <f>IF(OR(B45="",H45=""),"",IFERROR(IF(A45="BL",IF(N(INDEX(art_price,MATCH(H45,art_ref,0)))=0,"",N(INDEX(art_price,MATCH(H45,art_ref,0)))),IF(N(INDEX(art_cost,MATCH(H45,art_ref,0)))=0,"",N(INDEX(art_cost,MATCH(H45,art_ref,0))))),""))</f>
        <v/>
      </c>
      <c r="V45" s="64" t="str">
        <f>IF(OR(U45="",NOT(ISNUMBER(L45))),"",IF(L45&lt;=0,"",ROUND(L45*U45,2)))</f>
        <v/>
      </c>
      <c r="W45" s="60" t="str">
        <f>IF(AND(B45&lt;&gt;"",A45&lt;&gt;"BS",F45&lt;&gt;"",H45&lt;&gt;"",ISNUMBER(K45),ISNUMBER(L45)),IF(AND(K45&gt;0,L45&gt;0,K45-L45&gt;0,COUNTIFS(A46:A$2005,A45,F46:F$2005,F45,H46:H$2005,H45,AA46:AA$2005,"&gt;0")=0),ROUND(K45-L45,6),""),"")</f>
        <v/>
      </c>
      <c r="X45" s="60" t="str">
        <f>IF(AND(A45="",C45="",D45="",H45="",L45=""),"",IF(A45="","Type manquant",IF(AND(A45&lt;&gt;"BL",A45&lt;&gt;"BR",A45&lt;&gt;"BS"),"Type inconnu (BL, BR ou BS)",IF(AG45=0,"Date manquante ou invalide",IF(D45="",IF(A45="BL","Client manquant",IF(A45="BR","Fournisseur manquant","Service manquant")),IF(IF(A45="BL",ISNA(MATCH(D45,cl_code,0)),IF(A45="BR",ISNA(MATCH(D45,fo_code,0)),ISNA(MATCH(D45,p_services,0)))),IF(A45="BL","Client inconnu",IF(A45="BR","Fournisseur inconnu","Service inconnu")),IF(H45="","Article manquant",IF(ISNA(MATCH(H45,art_ref,0)),"Article inconnu",IF(OR(NOT(ISNUMBER(L45)),N(L45)&lt;=0),"Quantité invalide",IF(AND(K45&lt;&gt;"",OR(NOT(ISNUMBER(K45)),N(K45)&lt;=0)),"Qté commandée invalide",IF(AG45&lt;SUMPRODUCT(MAX((A$6:A44=A45)*AG$6:AG44)),"Date antérieure au bon précédent",IF(AND(A45&lt;&gt;"BR",ISNUMBER(M45),N(M45)&gt;0),IF(A45="BL","Livré plus que commandé","Sorti plus que demandé"),"OK"))))))))))))</f>
        <v/>
      </c>
      <c r="Y45" s="57" t="str">
        <f>IF(AND(OR(A45="BL",A45="BR",A45="BS"),AG45&gt;0,D45&lt;&gt;""),A45&amp;"|"&amp;AG45&amp;"|"&amp;D45&amp;"|"&amp;F45,"")</f>
        <v/>
      </c>
      <c r="Z45" s="57" t="str">
        <f>IF(Y45="","",IF(COUNTIF(Y$6:Y44,Y45)=0,1,0))</f>
        <v/>
      </c>
      <c r="AA45" s="57" t="str">
        <f>IF(Y45="","",IF(Z45=1,COUNTIFS(A$6:A45,A45,Z$6:Z45,1),INDEX(AA$6:AA44,MATCH(Y45,Y$6:Y44,0))))</f>
        <v/>
      </c>
      <c r="AB45" s="57" t="str">
        <f>IF(B45="","",COUNTIF(B$6:B45,B45))</f>
        <v/>
      </c>
      <c r="AC45" s="57" t="str">
        <f>IF(B45="","",B45&amp;"#"&amp;AB45)</f>
        <v/>
      </c>
      <c r="AD45" s="57" t="str">
        <f>IF(Z45=1,A45&amp;AA45,"")</f>
        <v/>
      </c>
      <c r="AE45" s="57" t="str">
        <f>IF(B45="","",YEAR(C45))</f>
        <v/>
      </c>
      <c r="AF45" s="57" t="str">
        <f>IF(B45="","",MONTH(C45))</f>
        <v/>
      </c>
      <c r="AG45" s="57">
        <f>IF(ISNUMBER(C45),C45,0)</f>
        <v>0.0</v>
      </c>
      <c r="AH45" s="57" t="str">
        <f>IF(N(W45)&gt;0,COUNTIF(W$6:W45,"&gt;0"),"")</f>
        <v/>
      </c>
      <c r="AI45" s="57" t="str">
        <f>IF(Z45=1,COUNTIF(Z$6:Z45,1),"")</f>
        <v/>
      </c>
    </row>
    <row r="46">
      <c r="A46" s="54" t="n"/>
      <c r="B46" s="55" t="str">
        <f>IF(AA46="","",A46&amp;"-"&amp;RIGHT("000"&amp;AA46,4))</f>
        <v/>
      </c>
      <c r="C46" s="56" t="n"/>
      <c r="D46" s="54" t="n"/>
      <c r="E46" s="57" t="str">
        <f>IF(D46="","",IF(A46="BL",IFERROR(INDEX(cl_name,MATCH(D46,cl_code,0))&amp;"","Client inconnu"),IF(A46="BR",IFERROR(INDEX(fo_name,MATCH(D46,fo_code,0))&amp;"","Fournisseur inconnu"),IF(A46="BS",IF(ISNA(MATCH(D46,p_services,0)),"Service inconnu",D46&amp;""),""))))</f>
        <v/>
      </c>
      <c r="F46" s="58" t="n"/>
      <c r="G46" s="58" t="n"/>
      <c r="H46" s="59" t="n"/>
      <c r="I46" s="57" t="str">
        <f>IF(H46="","",IFERROR(INDEX(art_des,MATCH(H46,art_ref,0))&amp;"","Article inconnu"))</f>
        <v/>
      </c>
      <c r="J46" s="60" t="str">
        <f>IF(H46="","",IFERROR(INDEX(art_unit,MATCH(H46,art_ref,0))&amp;"",""))</f>
        <v/>
      </c>
      <c r="K46" s="59" t="n"/>
      <c r="L46" s="59" t="n"/>
      <c r="M46" s="61" t="str">
        <f>IF(OR(B46="",NOT(ISNUMBER(K46)),NOT(ISNUMBER(L46))),"",IF(OR(K46&lt;=0,L46&lt;=0),"",ROUND(L46-K46,6)))</f>
        <v/>
      </c>
      <c r="N46" s="58" t="n"/>
      <c r="O46" s="62" t="n"/>
      <c r="P46" s="63" t="str">
        <f>IF(OR(B46="",NOT(ISNUMBER(L46))),"",IF(L46&lt;=0,"",IFERROR(ROUND(L46*N(INDEX(art_w,MATCH(H46,art_ref,0))),3),"")))</f>
        <v/>
      </c>
      <c r="Q46" s="59" t="n"/>
      <c r="R46" s="54" t="n"/>
      <c r="S46" s="59" t="n"/>
      <c r="T46" s="59" t="n"/>
      <c r="U46" s="64" t="str">
        <f>IF(OR(B46="",H46=""),"",IFERROR(IF(A46="BL",IF(N(INDEX(art_price,MATCH(H46,art_ref,0)))=0,"",N(INDEX(art_price,MATCH(H46,art_ref,0)))),IF(N(INDEX(art_cost,MATCH(H46,art_ref,0)))=0,"",N(INDEX(art_cost,MATCH(H46,art_ref,0))))),""))</f>
        <v/>
      </c>
      <c r="V46" s="64" t="str">
        <f>IF(OR(U46="",NOT(ISNUMBER(L46))),"",IF(L46&lt;=0,"",ROUND(L46*U46,2)))</f>
        <v/>
      </c>
      <c r="W46" s="60" t="str">
        <f>IF(AND(B46&lt;&gt;"",A46&lt;&gt;"BS",F46&lt;&gt;"",H46&lt;&gt;"",ISNUMBER(K46),ISNUMBER(L46)),IF(AND(K46&gt;0,L46&gt;0,K46-L46&gt;0,COUNTIFS(A47:A$2005,A46,F47:F$2005,F46,H47:H$2005,H46,AA47:AA$2005,"&gt;0")=0),ROUND(K46-L46,6),""),"")</f>
        <v/>
      </c>
      <c r="X46" s="60" t="str">
        <f>IF(AND(A46="",C46="",D46="",H46="",L46=""),"",IF(A46="","Type manquant",IF(AND(A46&lt;&gt;"BL",A46&lt;&gt;"BR",A46&lt;&gt;"BS"),"Type inconnu (BL, BR ou BS)",IF(AG46=0,"Date manquante ou invalide",IF(D46="",IF(A46="BL","Client manquant",IF(A46="BR","Fournisseur manquant","Service manquant")),IF(IF(A46="BL",ISNA(MATCH(D46,cl_code,0)),IF(A46="BR",ISNA(MATCH(D46,fo_code,0)),ISNA(MATCH(D46,p_services,0)))),IF(A46="BL","Client inconnu",IF(A46="BR","Fournisseur inconnu","Service inconnu")),IF(H46="","Article manquant",IF(ISNA(MATCH(H46,art_ref,0)),"Article inconnu",IF(OR(NOT(ISNUMBER(L46)),N(L46)&lt;=0),"Quantité invalide",IF(AND(K46&lt;&gt;"",OR(NOT(ISNUMBER(K46)),N(K46)&lt;=0)),"Qté commandée invalide",IF(AG46&lt;SUMPRODUCT(MAX((A$6:A45=A46)*AG$6:AG45)),"Date antérieure au bon précédent",IF(AND(A46&lt;&gt;"BR",ISNUMBER(M46),N(M46)&gt;0),IF(A46="BL","Livré plus que commandé","Sorti plus que demandé"),"OK"))))))))))))</f>
        <v/>
      </c>
      <c r="Y46" s="57" t="str">
        <f>IF(AND(OR(A46="BL",A46="BR",A46="BS"),AG46&gt;0,D46&lt;&gt;""),A46&amp;"|"&amp;AG46&amp;"|"&amp;D46&amp;"|"&amp;F46,"")</f>
        <v/>
      </c>
      <c r="Z46" s="57" t="str">
        <f>IF(Y46="","",IF(COUNTIF(Y$6:Y45,Y46)=0,1,0))</f>
        <v/>
      </c>
      <c r="AA46" s="57" t="str">
        <f>IF(Y46="","",IF(Z46=1,COUNTIFS(A$6:A46,A46,Z$6:Z46,1),INDEX(AA$6:AA45,MATCH(Y46,Y$6:Y45,0))))</f>
        <v/>
      </c>
      <c r="AB46" s="57" t="str">
        <f>IF(B46="","",COUNTIF(B$6:B46,B46))</f>
        <v/>
      </c>
      <c r="AC46" s="57" t="str">
        <f>IF(B46="","",B46&amp;"#"&amp;AB46)</f>
        <v/>
      </c>
      <c r="AD46" s="57" t="str">
        <f>IF(Z46=1,A46&amp;AA46,"")</f>
        <v/>
      </c>
      <c r="AE46" s="57" t="str">
        <f>IF(B46="","",YEAR(C46))</f>
        <v/>
      </c>
      <c r="AF46" s="57" t="str">
        <f>IF(B46="","",MONTH(C46))</f>
        <v/>
      </c>
      <c r="AG46" s="57">
        <f>IF(ISNUMBER(C46),C46,0)</f>
        <v>0.0</v>
      </c>
      <c r="AH46" s="57" t="str">
        <f>IF(N(W46)&gt;0,COUNTIF(W$6:W46,"&gt;0"),"")</f>
        <v/>
      </c>
      <c r="AI46" s="57" t="str">
        <f>IF(Z46=1,COUNTIF(Z$6:Z46,1),"")</f>
        <v/>
      </c>
    </row>
    <row r="47">
      <c r="A47" s="54" t="n"/>
      <c r="B47" s="55" t="str">
        <f>IF(AA47="","",A47&amp;"-"&amp;RIGHT("000"&amp;AA47,4))</f>
        <v/>
      </c>
      <c r="C47" s="56" t="n"/>
      <c r="D47" s="54" t="n"/>
      <c r="E47" s="57" t="str">
        <f>IF(D47="","",IF(A47="BL",IFERROR(INDEX(cl_name,MATCH(D47,cl_code,0))&amp;"","Client inconnu"),IF(A47="BR",IFERROR(INDEX(fo_name,MATCH(D47,fo_code,0))&amp;"","Fournisseur inconnu"),IF(A47="BS",IF(ISNA(MATCH(D47,p_services,0)),"Service inconnu",D47&amp;""),""))))</f>
        <v/>
      </c>
      <c r="F47" s="58" t="n"/>
      <c r="G47" s="58" t="n"/>
      <c r="H47" s="59" t="n"/>
      <c r="I47" s="57" t="str">
        <f>IF(H47="","",IFERROR(INDEX(art_des,MATCH(H47,art_ref,0))&amp;"","Article inconnu"))</f>
        <v/>
      </c>
      <c r="J47" s="60" t="str">
        <f>IF(H47="","",IFERROR(INDEX(art_unit,MATCH(H47,art_ref,0))&amp;"",""))</f>
        <v/>
      </c>
      <c r="K47" s="59" t="n"/>
      <c r="L47" s="59" t="n"/>
      <c r="M47" s="61" t="str">
        <f>IF(OR(B47="",NOT(ISNUMBER(K47)),NOT(ISNUMBER(L47))),"",IF(OR(K47&lt;=0,L47&lt;=0),"",ROUND(L47-K47,6)))</f>
        <v/>
      </c>
      <c r="N47" s="58" t="n"/>
      <c r="O47" s="62" t="n"/>
      <c r="P47" s="63" t="str">
        <f>IF(OR(B47="",NOT(ISNUMBER(L47))),"",IF(L47&lt;=0,"",IFERROR(ROUND(L47*N(INDEX(art_w,MATCH(H47,art_ref,0))),3),"")))</f>
        <v/>
      </c>
      <c r="Q47" s="59" t="n"/>
      <c r="R47" s="54" t="n"/>
      <c r="S47" s="59" t="n"/>
      <c r="T47" s="59" t="n"/>
      <c r="U47" s="64" t="str">
        <f>IF(OR(B47="",H47=""),"",IFERROR(IF(A47="BL",IF(N(INDEX(art_price,MATCH(H47,art_ref,0)))=0,"",N(INDEX(art_price,MATCH(H47,art_ref,0)))),IF(N(INDEX(art_cost,MATCH(H47,art_ref,0)))=0,"",N(INDEX(art_cost,MATCH(H47,art_ref,0))))),""))</f>
        <v/>
      </c>
      <c r="V47" s="64" t="str">
        <f>IF(OR(U47="",NOT(ISNUMBER(L47))),"",IF(L47&lt;=0,"",ROUND(L47*U47,2)))</f>
        <v/>
      </c>
      <c r="W47" s="60" t="str">
        <f>IF(AND(B47&lt;&gt;"",A47&lt;&gt;"BS",F47&lt;&gt;"",H47&lt;&gt;"",ISNUMBER(K47),ISNUMBER(L47)),IF(AND(K47&gt;0,L47&gt;0,K47-L47&gt;0,COUNTIFS(A48:A$2005,A47,F48:F$2005,F47,H48:H$2005,H47,AA48:AA$2005,"&gt;0")=0),ROUND(K47-L47,6),""),"")</f>
        <v/>
      </c>
      <c r="X47" s="60" t="str">
        <f>IF(AND(A47="",C47="",D47="",H47="",L47=""),"",IF(A47="","Type manquant",IF(AND(A47&lt;&gt;"BL",A47&lt;&gt;"BR",A47&lt;&gt;"BS"),"Type inconnu (BL, BR ou BS)",IF(AG47=0,"Date manquante ou invalide",IF(D47="",IF(A47="BL","Client manquant",IF(A47="BR","Fournisseur manquant","Service manquant")),IF(IF(A47="BL",ISNA(MATCH(D47,cl_code,0)),IF(A47="BR",ISNA(MATCH(D47,fo_code,0)),ISNA(MATCH(D47,p_services,0)))),IF(A47="BL","Client inconnu",IF(A47="BR","Fournisseur inconnu","Service inconnu")),IF(H47="","Article manquant",IF(ISNA(MATCH(H47,art_ref,0)),"Article inconnu",IF(OR(NOT(ISNUMBER(L47)),N(L47)&lt;=0),"Quantité invalide",IF(AND(K47&lt;&gt;"",OR(NOT(ISNUMBER(K47)),N(K47)&lt;=0)),"Qté commandée invalide",IF(AG47&lt;SUMPRODUCT(MAX((A$6:A46=A47)*AG$6:AG46)),"Date antérieure au bon précédent",IF(AND(A47&lt;&gt;"BR",ISNUMBER(M47),N(M47)&gt;0),IF(A47="BL","Livré plus que commandé","Sorti plus que demandé"),"OK"))))))))))))</f>
        <v/>
      </c>
      <c r="Y47" s="57" t="str">
        <f>IF(AND(OR(A47="BL",A47="BR",A47="BS"),AG47&gt;0,D47&lt;&gt;""),A47&amp;"|"&amp;AG47&amp;"|"&amp;D47&amp;"|"&amp;F47,"")</f>
        <v/>
      </c>
      <c r="Z47" s="57" t="str">
        <f>IF(Y47="","",IF(COUNTIF(Y$6:Y46,Y47)=0,1,0))</f>
        <v/>
      </c>
      <c r="AA47" s="57" t="str">
        <f>IF(Y47="","",IF(Z47=1,COUNTIFS(A$6:A47,A47,Z$6:Z47,1),INDEX(AA$6:AA46,MATCH(Y47,Y$6:Y46,0))))</f>
        <v/>
      </c>
      <c r="AB47" s="57" t="str">
        <f>IF(B47="","",COUNTIF(B$6:B47,B47))</f>
        <v/>
      </c>
      <c r="AC47" s="57" t="str">
        <f>IF(B47="","",B47&amp;"#"&amp;AB47)</f>
        <v/>
      </c>
      <c r="AD47" s="57" t="str">
        <f>IF(Z47=1,A47&amp;AA47,"")</f>
        <v/>
      </c>
      <c r="AE47" s="57" t="str">
        <f>IF(B47="","",YEAR(C47))</f>
        <v/>
      </c>
      <c r="AF47" s="57" t="str">
        <f>IF(B47="","",MONTH(C47))</f>
        <v/>
      </c>
      <c r="AG47" s="57">
        <f>IF(ISNUMBER(C47),C47,0)</f>
        <v>0.0</v>
      </c>
      <c r="AH47" s="57" t="str">
        <f>IF(N(W47)&gt;0,COUNTIF(W$6:W47,"&gt;0"),"")</f>
        <v/>
      </c>
      <c r="AI47" s="57" t="str">
        <f>IF(Z47=1,COUNTIF(Z$6:Z47,1),"")</f>
        <v/>
      </c>
    </row>
    <row r="48">
      <c r="A48" s="54" t="n"/>
      <c r="B48" s="55" t="str">
        <f>IF(AA48="","",A48&amp;"-"&amp;RIGHT("000"&amp;AA48,4))</f>
        <v/>
      </c>
      <c r="C48" s="56" t="n"/>
      <c r="D48" s="54" t="n"/>
      <c r="E48" s="57" t="str">
        <f>IF(D48="","",IF(A48="BL",IFERROR(INDEX(cl_name,MATCH(D48,cl_code,0))&amp;"","Client inconnu"),IF(A48="BR",IFERROR(INDEX(fo_name,MATCH(D48,fo_code,0))&amp;"","Fournisseur inconnu"),IF(A48="BS",IF(ISNA(MATCH(D48,p_services,0)),"Service inconnu",D48&amp;""),""))))</f>
        <v/>
      </c>
      <c r="F48" s="58" t="n"/>
      <c r="G48" s="58" t="n"/>
      <c r="H48" s="59" t="n"/>
      <c r="I48" s="57" t="str">
        <f>IF(H48="","",IFERROR(INDEX(art_des,MATCH(H48,art_ref,0))&amp;"","Article inconnu"))</f>
        <v/>
      </c>
      <c r="J48" s="60" t="str">
        <f>IF(H48="","",IFERROR(INDEX(art_unit,MATCH(H48,art_ref,0))&amp;"",""))</f>
        <v/>
      </c>
      <c r="K48" s="59" t="n"/>
      <c r="L48" s="59" t="n"/>
      <c r="M48" s="61" t="str">
        <f>IF(OR(B48="",NOT(ISNUMBER(K48)),NOT(ISNUMBER(L48))),"",IF(OR(K48&lt;=0,L48&lt;=0),"",ROUND(L48-K48,6)))</f>
        <v/>
      </c>
      <c r="N48" s="58" t="n"/>
      <c r="O48" s="62" t="n"/>
      <c r="P48" s="63" t="str">
        <f>IF(OR(B48="",NOT(ISNUMBER(L48))),"",IF(L48&lt;=0,"",IFERROR(ROUND(L48*N(INDEX(art_w,MATCH(H48,art_ref,0))),3),"")))</f>
        <v/>
      </c>
      <c r="Q48" s="59" t="n"/>
      <c r="R48" s="54" t="n"/>
      <c r="S48" s="59" t="n"/>
      <c r="T48" s="59" t="n"/>
      <c r="U48" s="64" t="str">
        <f>IF(OR(B48="",H48=""),"",IFERROR(IF(A48="BL",IF(N(INDEX(art_price,MATCH(H48,art_ref,0)))=0,"",N(INDEX(art_price,MATCH(H48,art_ref,0)))),IF(N(INDEX(art_cost,MATCH(H48,art_ref,0)))=0,"",N(INDEX(art_cost,MATCH(H48,art_ref,0))))),""))</f>
        <v/>
      </c>
      <c r="V48" s="64" t="str">
        <f>IF(OR(U48="",NOT(ISNUMBER(L48))),"",IF(L48&lt;=0,"",ROUND(L48*U48,2)))</f>
        <v/>
      </c>
      <c r="W48" s="60" t="str">
        <f>IF(AND(B48&lt;&gt;"",A48&lt;&gt;"BS",F48&lt;&gt;"",H48&lt;&gt;"",ISNUMBER(K48),ISNUMBER(L48)),IF(AND(K48&gt;0,L48&gt;0,K48-L48&gt;0,COUNTIFS(A49:A$2005,A48,F49:F$2005,F48,H49:H$2005,H48,AA49:AA$2005,"&gt;0")=0),ROUND(K48-L48,6),""),"")</f>
        <v/>
      </c>
      <c r="X48" s="60" t="str">
        <f>IF(AND(A48="",C48="",D48="",H48="",L48=""),"",IF(A48="","Type manquant",IF(AND(A48&lt;&gt;"BL",A48&lt;&gt;"BR",A48&lt;&gt;"BS"),"Type inconnu (BL, BR ou BS)",IF(AG48=0,"Date manquante ou invalide",IF(D48="",IF(A48="BL","Client manquant",IF(A48="BR","Fournisseur manquant","Service manquant")),IF(IF(A48="BL",ISNA(MATCH(D48,cl_code,0)),IF(A48="BR",ISNA(MATCH(D48,fo_code,0)),ISNA(MATCH(D48,p_services,0)))),IF(A48="BL","Client inconnu",IF(A48="BR","Fournisseur inconnu","Service inconnu")),IF(H48="","Article manquant",IF(ISNA(MATCH(H48,art_ref,0)),"Article inconnu",IF(OR(NOT(ISNUMBER(L48)),N(L48)&lt;=0),"Quantité invalide",IF(AND(K48&lt;&gt;"",OR(NOT(ISNUMBER(K48)),N(K48)&lt;=0)),"Qté commandée invalide",IF(AG48&lt;SUMPRODUCT(MAX((A$6:A47=A48)*AG$6:AG47)),"Date antérieure au bon précédent",IF(AND(A48&lt;&gt;"BR",ISNUMBER(M48),N(M48)&gt;0),IF(A48="BL","Livré plus que commandé","Sorti plus que demandé"),"OK"))))))))))))</f>
        <v/>
      </c>
      <c r="Y48" s="57" t="str">
        <f>IF(AND(OR(A48="BL",A48="BR",A48="BS"),AG48&gt;0,D48&lt;&gt;""),A48&amp;"|"&amp;AG48&amp;"|"&amp;D48&amp;"|"&amp;F48,"")</f>
        <v/>
      </c>
      <c r="Z48" s="57" t="str">
        <f>IF(Y48="","",IF(COUNTIF(Y$6:Y47,Y48)=0,1,0))</f>
        <v/>
      </c>
      <c r="AA48" s="57" t="str">
        <f>IF(Y48="","",IF(Z48=1,COUNTIFS(A$6:A48,A48,Z$6:Z48,1),INDEX(AA$6:AA47,MATCH(Y48,Y$6:Y47,0))))</f>
        <v/>
      </c>
      <c r="AB48" s="57" t="str">
        <f>IF(B48="","",COUNTIF(B$6:B48,B48))</f>
        <v/>
      </c>
      <c r="AC48" s="57" t="str">
        <f>IF(B48="","",B48&amp;"#"&amp;AB48)</f>
        <v/>
      </c>
      <c r="AD48" s="57" t="str">
        <f>IF(Z48=1,A48&amp;AA48,"")</f>
        <v/>
      </c>
      <c r="AE48" s="57" t="str">
        <f>IF(B48="","",YEAR(C48))</f>
        <v/>
      </c>
      <c r="AF48" s="57" t="str">
        <f>IF(B48="","",MONTH(C48))</f>
        <v/>
      </c>
      <c r="AG48" s="57">
        <f>IF(ISNUMBER(C48),C48,0)</f>
        <v>0.0</v>
      </c>
      <c r="AH48" s="57" t="str">
        <f>IF(N(W48)&gt;0,COUNTIF(W$6:W48,"&gt;0"),"")</f>
        <v/>
      </c>
      <c r="AI48" s="57" t="str">
        <f>IF(Z48=1,COUNTIF(Z$6:Z48,1),"")</f>
        <v/>
      </c>
    </row>
    <row r="49">
      <c r="A49" s="54" t="n"/>
      <c r="B49" s="55" t="str">
        <f>IF(AA49="","",A49&amp;"-"&amp;RIGHT("000"&amp;AA49,4))</f>
        <v/>
      </c>
      <c r="C49" s="56" t="n"/>
      <c r="D49" s="54" t="n"/>
      <c r="E49" s="57" t="str">
        <f>IF(D49="","",IF(A49="BL",IFERROR(INDEX(cl_name,MATCH(D49,cl_code,0))&amp;"","Client inconnu"),IF(A49="BR",IFERROR(INDEX(fo_name,MATCH(D49,fo_code,0))&amp;"","Fournisseur inconnu"),IF(A49="BS",IF(ISNA(MATCH(D49,p_services,0)),"Service inconnu",D49&amp;""),""))))</f>
        <v/>
      </c>
      <c r="F49" s="58" t="n"/>
      <c r="G49" s="58" t="n"/>
      <c r="H49" s="59" t="n"/>
      <c r="I49" s="57" t="str">
        <f>IF(H49="","",IFERROR(INDEX(art_des,MATCH(H49,art_ref,0))&amp;"","Article inconnu"))</f>
        <v/>
      </c>
      <c r="J49" s="60" t="str">
        <f>IF(H49="","",IFERROR(INDEX(art_unit,MATCH(H49,art_ref,0))&amp;"",""))</f>
        <v/>
      </c>
      <c r="K49" s="59" t="n"/>
      <c r="L49" s="59" t="n"/>
      <c r="M49" s="61" t="str">
        <f>IF(OR(B49="",NOT(ISNUMBER(K49)),NOT(ISNUMBER(L49))),"",IF(OR(K49&lt;=0,L49&lt;=0),"",ROUND(L49-K49,6)))</f>
        <v/>
      </c>
      <c r="N49" s="58" t="n"/>
      <c r="O49" s="62" t="n"/>
      <c r="P49" s="63" t="str">
        <f>IF(OR(B49="",NOT(ISNUMBER(L49))),"",IF(L49&lt;=0,"",IFERROR(ROUND(L49*N(INDEX(art_w,MATCH(H49,art_ref,0))),3),"")))</f>
        <v/>
      </c>
      <c r="Q49" s="59" t="n"/>
      <c r="R49" s="54" t="n"/>
      <c r="S49" s="59" t="n"/>
      <c r="T49" s="59" t="n"/>
      <c r="U49" s="64" t="str">
        <f>IF(OR(B49="",H49=""),"",IFERROR(IF(A49="BL",IF(N(INDEX(art_price,MATCH(H49,art_ref,0)))=0,"",N(INDEX(art_price,MATCH(H49,art_ref,0)))),IF(N(INDEX(art_cost,MATCH(H49,art_ref,0)))=0,"",N(INDEX(art_cost,MATCH(H49,art_ref,0))))),""))</f>
        <v/>
      </c>
      <c r="V49" s="64" t="str">
        <f>IF(OR(U49="",NOT(ISNUMBER(L49))),"",IF(L49&lt;=0,"",ROUND(L49*U49,2)))</f>
        <v/>
      </c>
      <c r="W49" s="60" t="str">
        <f>IF(AND(B49&lt;&gt;"",A49&lt;&gt;"BS",F49&lt;&gt;"",H49&lt;&gt;"",ISNUMBER(K49),ISNUMBER(L49)),IF(AND(K49&gt;0,L49&gt;0,K49-L49&gt;0,COUNTIFS(A50:A$2005,A49,F50:F$2005,F49,H50:H$2005,H49,AA50:AA$2005,"&gt;0")=0),ROUND(K49-L49,6),""),"")</f>
        <v/>
      </c>
      <c r="X49" s="60" t="str">
        <f>IF(AND(A49="",C49="",D49="",H49="",L49=""),"",IF(A49="","Type manquant",IF(AND(A49&lt;&gt;"BL",A49&lt;&gt;"BR",A49&lt;&gt;"BS"),"Type inconnu (BL, BR ou BS)",IF(AG49=0,"Date manquante ou invalide",IF(D49="",IF(A49="BL","Client manquant",IF(A49="BR","Fournisseur manquant","Service manquant")),IF(IF(A49="BL",ISNA(MATCH(D49,cl_code,0)),IF(A49="BR",ISNA(MATCH(D49,fo_code,0)),ISNA(MATCH(D49,p_services,0)))),IF(A49="BL","Client inconnu",IF(A49="BR","Fournisseur inconnu","Service inconnu")),IF(H49="","Article manquant",IF(ISNA(MATCH(H49,art_ref,0)),"Article inconnu",IF(OR(NOT(ISNUMBER(L49)),N(L49)&lt;=0),"Quantité invalide",IF(AND(K49&lt;&gt;"",OR(NOT(ISNUMBER(K49)),N(K49)&lt;=0)),"Qté commandée invalide",IF(AG49&lt;SUMPRODUCT(MAX((A$6:A48=A49)*AG$6:AG48)),"Date antérieure au bon précédent",IF(AND(A49&lt;&gt;"BR",ISNUMBER(M49),N(M49)&gt;0),IF(A49="BL","Livré plus que commandé","Sorti plus que demandé"),"OK"))))))))))))</f>
        <v/>
      </c>
      <c r="Y49" s="57" t="str">
        <f>IF(AND(OR(A49="BL",A49="BR",A49="BS"),AG49&gt;0,D49&lt;&gt;""),A49&amp;"|"&amp;AG49&amp;"|"&amp;D49&amp;"|"&amp;F49,"")</f>
        <v/>
      </c>
      <c r="Z49" s="57" t="str">
        <f>IF(Y49="","",IF(COUNTIF(Y$6:Y48,Y49)=0,1,0))</f>
        <v/>
      </c>
      <c r="AA49" s="57" t="str">
        <f>IF(Y49="","",IF(Z49=1,COUNTIFS(A$6:A49,A49,Z$6:Z49,1),INDEX(AA$6:AA48,MATCH(Y49,Y$6:Y48,0))))</f>
        <v/>
      </c>
      <c r="AB49" s="57" t="str">
        <f>IF(B49="","",COUNTIF(B$6:B49,B49))</f>
        <v/>
      </c>
      <c r="AC49" s="57" t="str">
        <f>IF(B49="","",B49&amp;"#"&amp;AB49)</f>
        <v/>
      </c>
      <c r="AD49" s="57" t="str">
        <f>IF(Z49=1,A49&amp;AA49,"")</f>
        <v/>
      </c>
      <c r="AE49" s="57" t="str">
        <f>IF(B49="","",YEAR(C49))</f>
        <v/>
      </c>
      <c r="AF49" s="57" t="str">
        <f>IF(B49="","",MONTH(C49))</f>
        <v/>
      </c>
      <c r="AG49" s="57">
        <f>IF(ISNUMBER(C49),C49,0)</f>
        <v>0.0</v>
      </c>
      <c r="AH49" s="57" t="str">
        <f>IF(N(W49)&gt;0,COUNTIF(W$6:W49,"&gt;0"),"")</f>
        <v/>
      </c>
      <c r="AI49" s="57" t="str">
        <f>IF(Z49=1,COUNTIF(Z$6:Z49,1),"")</f>
        <v/>
      </c>
    </row>
    <row r="50">
      <c r="A50" s="54" t="n"/>
      <c r="B50" s="55" t="str">
        <f>IF(AA50="","",A50&amp;"-"&amp;RIGHT("000"&amp;AA50,4))</f>
        <v/>
      </c>
      <c r="C50" s="56" t="n"/>
      <c r="D50" s="54" t="n"/>
      <c r="E50" s="57" t="str">
        <f>IF(D50="","",IF(A50="BL",IFERROR(INDEX(cl_name,MATCH(D50,cl_code,0))&amp;"","Client inconnu"),IF(A50="BR",IFERROR(INDEX(fo_name,MATCH(D50,fo_code,0))&amp;"","Fournisseur inconnu"),IF(A50="BS",IF(ISNA(MATCH(D50,p_services,0)),"Service inconnu",D50&amp;""),""))))</f>
        <v/>
      </c>
      <c r="F50" s="58" t="n"/>
      <c r="G50" s="58" t="n"/>
      <c r="H50" s="59" t="n"/>
      <c r="I50" s="57" t="str">
        <f>IF(H50="","",IFERROR(INDEX(art_des,MATCH(H50,art_ref,0))&amp;"","Article inconnu"))</f>
        <v/>
      </c>
      <c r="J50" s="60" t="str">
        <f>IF(H50="","",IFERROR(INDEX(art_unit,MATCH(H50,art_ref,0))&amp;"",""))</f>
        <v/>
      </c>
      <c r="K50" s="59" t="n"/>
      <c r="L50" s="59" t="n"/>
      <c r="M50" s="61" t="str">
        <f>IF(OR(B50="",NOT(ISNUMBER(K50)),NOT(ISNUMBER(L50))),"",IF(OR(K50&lt;=0,L50&lt;=0),"",ROUND(L50-K50,6)))</f>
        <v/>
      </c>
      <c r="N50" s="58" t="n"/>
      <c r="O50" s="62" t="n"/>
      <c r="P50" s="63" t="str">
        <f>IF(OR(B50="",NOT(ISNUMBER(L50))),"",IF(L50&lt;=0,"",IFERROR(ROUND(L50*N(INDEX(art_w,MATCH(H50,art_ref,0))),3),"")))</f>
        <v/>
      </c>
      <c r="Q50" s="59" t="n"/>
      <c r="R50" s="54" t="n"/>
      <c r="S50" s="59" t="n"/>
      <c r="T50" s="59" t="n"/>
      <c r="U50" s="64" t="str">
        <f>IF(OR(B50="",H50=""),"",IFERROR(IF(A50="BL",IF(N(INDEX(art_price,MATCH(H50,art_ref,0)))=0,"",N(INDEX(art_price,MATCH(H50,art_ref,0)))),IF(N(INDEX(art_cost,MATCH(H50,art_ref,0)))=0,"",N(INDEX(art_cost,MATCH(H50,art_ref,0))))),""))</f>
        <v/>
      </c>
      <c r="V50" s="64" t="str">
        <f>IF(OR(U50="",NOT(ISNUMBER(L50))),"",IF(L50&lt;=0,"",ROUND(L50*U50,2)))</f>
        <v/>
      </c>
      <c r="W50" s="60" t="str">
        <f>IF(AND(B50&lt;&gt;"",A50&lt;&gt;"BS",F50&lt;&gt;"",H50&lt;&gt;"",ISNUMBER(K50),ISNUMBER(L50)),IF(AND(K50&gt;0,L50&gt;0,K50-L50&gt;0,COUNTIFS(A51:A$2005,A50,F51:F$2005,F50,H51:H$2005,H50,AA51:AA$2005,"&gt;0")=0),ROUND(K50-L50,6),""),"")</f>
        <v/>
      </c>
      <c r="X50" s="60" t="str">
        <f>IF(AND(A50="",C50="",D50="",H50="",L50=""),"",IF(A50="","Type manquant",IF(AND(A50&lt;&gt;"BL",A50&lt;&gt;"BR",A50&lt;&gt;"BS"),"Type inconnu (BL, BR ou BS)",IF(AG50=0,"Date manquante ou invalide",IF(D50="",IF(A50="BL","Client manquant",IF(A50="BR","Fournisseur manquant","Service manquant")),IF(IF(A50="BL",ISNA(MATCH(D50,cl_code,0)),IF(A50="BR",ISNA(MATCH(D50,fo_code,0)),ISNA(MATCH(D50,p_services,0)))),IF(A50="BL","Client inconnu",IF(A50="BR","Fournisseur inconnu","Service inconnu")),IF(H50="","Article manquant",IF(ISNA(MATCH(H50,art_ref,0)),"Article inconnu",IF(OR(NOT(ISNUMBER(L50)),N(L50)&lt;=0),"Quantité invalide",IF(AND(K50&lt;&gt;"",OR(NOT(ISNUMBER(K50)),N(K50)&lt;=0)),"Qté commandée invalide",IF(AG50&lt;SUMPRODUCT(MAX((A$6:A49=A50)*AG$6:AG49)),"Date antérieure au bon précédent",IF(AND(A50&lt;&gt;"BR",ISNUMBER(M50),N(M50)&gt;0),IF(A50="BL","Livré plus que commandé","Sorti plus que demandé"),"OK"))))))))))))</f>
        <v/>
      </c>
      <c r="Y50" s="57" t="str">
        <f>IF(AND(OR(A50="BL",A50="BR",A50="BS"),AG50&gt;0,D50&lt;&gt;""),A50&amp;"|"&amp;AG50&amp;"|"&amp;D50&amp;"|"&amp;F50,"")</f>
        <v/>
      </c>
      <c r="Z50" s="57" t="str">
        <f>IF(Y50="","",IF(COUNTIF(Y$6:Y49,Y50)=0,1,0))</f>
        <v/>
      </c>
      <c r="AA50" s="57" t="str">
        <f>IF(Y50="","",IF(Z50=1,COUNTIFS(A$6:A50,A50,Z$6:Z50,1),INDEX(AA$6:AA49,MATCH(Y50,Y$6:Y49,0))))</f>
        <v/>
      </c>
      <c r="AB50" s="57" t="str">
        <f>IF(B50="","",COUNTIF(B$6:B50,B50))</f>
        <v/>
      </c>
      <c r="AC50" s="57" t="str">
        <f>IF(B50="","",B50&amp;"#"&amp;AB50)</f>
        <v/>
      </c>
      <c r="AD50" s="57" t="str">
        <f>IF(Z50=1,A50&amp;AA50,"")</f>
        <v/>
      </c>
      <c r="AE50" s="57" t="str">
        <f>IF(B50="","",YEAR(C50))</f>
        <v/>
      </c>
      <c r="AF50" s="57" t="str">
        <f>IF(B50="","",MONTH(C50))</f>
        <v/>
      </c>
      <c r="AG50" s="57">
        <f>IF(ISNUMBER(C50),C50,0)</f>
        <v>0.0</v>
      </c>
      <c r="AH50" s="57" t="str">
        <f>IF(N(W50)&gt;0,COUNTIF(W$6:W50,"&gt;0"),"")</f>
        <v/>
      </c>
      <c r="AI50" s="57" t="str">
        <f>IF(Z50=1,COUNTIF(Z$6:Z50,1),"")</f>
        <v/>
      </c>
    </row>
    <row r="51">
      <c r="A51" s="54" t="n"/>
      <c r="B51" s="55" t="str">
        <f>IF(AA51="","",A51&amp;"-"&amp;RIGHT("000"&amp;AA51,4))</f>
        <v/>
      </c>
      <c r="C51" s="56" t="n"/>
      <c r="D51" s="54" t="n"/>
      <c r="E51" s="57" t="str">
        <f>IF(D51="","",IF(A51="BL",IFERROR(INDEX(cl_name,MATCH(D51,cl_code,0))&amp;"","Client inconnu"),IF(A51="BR",IFERROR(INDEX(fo_name,MATCH(D51,fo_code,0))&amp;"","Fournisseur inconnu"),IF(A51="BS",IF(ISNA(MATCH(D51,p_services,0)),"Service inconnu",D51&amp;""),""))))</f>
        <v/>
      </c>
      <c r="F51" s="58" t="n"/>
      <c r="G51" s="58" t="n"/>
      <c r="H51" s="59" t="n"/>
      <c r="I51" s="57" t="str">
        <f>IF(H51="","",IFERROR(INDEX(art_des,MATCH(H51,art_ref,0))&amp;"","Article inconnu"))</f>
        <v/>
      </c>
      <c r="J51" s="60" t="str">
        <f>IF(H51="","",IFERROR(INDEX(art_unit,MATCH(H51,art_ref,0))&amp;"",""))</f>
        <v/>
      </c>
      <c r="K51" s="59" t="n"/>
      <c r="L51" s="59" t="n"/>
      <c r="M51" s="61" t="str">
        <f>IF(OR(B51="",NOT(ISNUMBER(K51)),NOT(ISNUMBER(L51))),"",IF(OR(K51&lt;=0,L51&lt;=0),"",ROUND(L51-K51,6)))</f>
        <v/>
      </c>
      <c r="N51" s="58" t="n"/>
      <c r="O51" s="62" t="n"/>
      <c r="P51" s="63" t="str">
        <f>IF(OR(B51="",NOT(ISNUMBER(L51))),"",IF(L51&lt;=0,"",IFERROR(ROUND(L51*N(INDEX(art_w,MATCH(H51,art_ref,0))),3),"")))</f>
        <v/>
      </c>
      <c r="Q51" s="59" t="n"/>
      <c r="R51" s="54" t="n"/>
      <c r="S51" s="59" t="n"/>
      <c r="T51" s="59" t="n"/>
      <c r="U51" s="64" t="str">
        <f>IF(OR(B51="",H51=""),"",IFERROR(IF(A51="BL",IF(N(INDEX(art_price,MATCH(H51,art_ref,0)))=0,"",N(INDEX(art_price,MATCH(H51,art_ref,0)))),IF(N(INDEX(art_cost,MATCH(H51,art_ref,0)))=0,"",N(INDEX(art_cost,MATCH(H51,art_ref,0))))),""))</f>
        <v/>
      </c>
      <c r="V51" s="64" t="str">
        <f>IF(OR(U51="",NOT(ISNUMBER(L51))),"",IF(L51&lt;=0,"",ROUND(L51*U51,2)))</f>
        <v/>
      </c>
      <c r="W51" s="60" t="str">
        <f>IF(AND(B51&lt;&gt;"",A51&lt;&gt;"BS",F51&lt;&gt;"",H51&lt;&gt;"",ISNUMBER(K51),ISNUMBER(L51)),IF(AND(K51&gt;0,L51&gt;0,K51-L51&gt;0,COUNTIFS(A52:A$2005,A51,F52:F$2005,F51,H52:H$2005,H51,AA52:AA$2005,"&gt;0")=0),ROUND(K51-L51,6),""),"")</f>
        <v/>
      </c>
      <c r="X51" s="60" t="str">
        <f>IF(AND(A51="",C51="",D51="",H51="",L51=""),"",IF(A51="","Type manquant",IF(AND(A51&lt;&gt;"BL",A51&lt;&gt;"BR",A51&lt;&gt;"BS"),"Type inconnu (BL, BR ou BS)",IF(AG51=0,"Date manquante ou invalide",IF(D51="",IF(A51="BL","Client manquant",IF(A51="BR","Fournisseur manquant","Service manquant")),IF(IF(A51="BL",ISNA(MATCH(D51,cl_code,0)),IF(A51="BR",ISNA(MATCH(D51,fo_code,0)),ISNA(MATCH(D51,p_services,0)))),IF(A51="BL","Client inconnu",IF(A51="BR","Fournisseur inconnu","Service inconnu")),IF(H51="","Article manquant",IF(ISNA(MATCH(H51,art_ref,0)),"Article inconnu",IF(OR(NOT(ISNUMBER(L51)),N(L51)&lt;=0),"Quantité invalide",IF(AND(K51&lt;&gt;"",OR(NOT(ISNUMBER(K51)),N(K51)&lt;=0)),"Qté commandée invalide",IF(AG51&lt;SUMPRODUCT(MAX((A$6:A50=A51)*AG$6:AG50)),"Date antérieure au bon précédent",IF(AND(A51&lt;&gt;"BR",ISNUMBER(M51),N(M51)&gt;0),IF(A51="BL","Livré plus que commandé","Sorti plus que demandé"),"OK"))))))))))))</f>
        <v/>
      </c>
      <c r="Y51" s="57" t="str">
        <f>IF(AND(OR(A51="BL",A51="BR",A51="BS"),AG51&gt;0,D51&lt;&gt;""),A51&amp;"|"&amp;AG51&amp;"|"&amp;D51&amp;"|"&amp;F51,"")</f>
        <v/>
      </c>
      <c r="Z51" s="57" t="str">
        <f>IF(Y51="","",IF(COUNTIF(Y$6:Y50,Y51)=0,1,0))</f>
        <v/>
      </c>
      <c r="AA51" s="57" t="str">
        <f>IF(Y51="","",IF(Z51=1,COUNTIFS(A$6:A51,A51,Z$6:Z51,1),INDEX(AA$6:AA50,MATCH(Y51,Y$6:Y50,0))))</f>
        <v/>
      </c>
      <c r="AB51" s="57" t="str">
        <f>IF(B51="","",COUNTIF(B$6:B51,B51))</f>
        <v/>
      </c>
      <c r="AC51" s="57" t="str">
        <f>IF(B51="","",B51&amp;"#"&amp;AB51)</f>
        <v/>
      </c>
      <c r="AD51" s="57" t="str">
        <f>IF(Z51=1,A51&amp;AA51,"")</f>
        <v/>
      </c>
      <c r="AE51" s="57" t="str">
        <f>IF(B51="","",YEAR(C51))</f>
        <v/>
      </c>
      <c r="AF51" s="57" t="str">
        <f>IF(B51="","",MONTH(C51))</f>
        <v/>
      </c>
      <c r="AG51" s="57">
        <f>IF(ISNUMBER(C51),C51,0)</f>
        <v>0.0</v>
      </c>
      <c r="AH51" s="57" t="str">
        <f>IF(N(W51)&gt;0,COUNTIF(W$6:W51,"&gt;0"),"")</f>
        <v/>
      </c>
      <c r="AI51" s="57" t="str">
        <f>IF(Z51=1,COUNTIF(Z$6:Z51,1),"")</f>
        <v/>
      </c>
    </row>
    <row r="52">
      <c r="A52" s="54" t="n"/>
      <c r="B52" s="55" t="str">
        <f>IF(AA52="","",A52&amp;"-"&amp;RIGHT("000"&amp;AA52,4))</f>
        <v/>
      </c>
      <c r="C52" s="56" t="n"/>
      <c r="D52" s="54" t="n"/>
      <c r="E52" s="57" t="str">
        <f>IF(D52="","",IF(A52="BL",IFERROR(INDEX(cl_name,MATCH(D52,cl_code,0))&amp;"","Client inconnu"),IF(A52="BR",IFERROR(INDEX(fo_name,MATCH(D52,fo_code,0))&amp;"","Fournisseur inconnu"),IF(A52="BS",IF(ISNA(MATCH(D52,p_services,0)),"Service inconnu",D52&amp;""),""))))</f>
        <v/>
      </c>
      <c r="F52" s="58" t="n"/>
      <c r="G52" s="58" t="n"/>
      <c r="H52" s="59" t="n"/>
      <c r="I52" s="57" t="str">
        <f>IF(H52="","",IFERROR(INDEX(art_des,MATCH(H52,art_ref,0))&amp;"","Article inconnu"))</f>
        <v/>
      </c>
      <c r="J52" s="60" t="str">
        <f>IF(H52="","",IFERROR(INDEX(art_unit,MATCH(H52,art_ref,0))&amp;"",""))</f>
        <v/>
      </c>
      <c r="K52" s="59" t="n"/>
      <c r="L52" s="59" t="n"/>
      <c r="M52" s="61" t="str">
        <f>IF(OR(B52="",NOT(ISNUMBER(K52)),NOT(ISNUMBER(L52))),"",IF(OR(K52&lt;=0,L52&lt;=0),"",ROUND(L52-K52,6)))</f>
        <v/>
      </c>
      <c r="N52" s="58" t="n"/>
      <c r="O52" s="62" t="n"/>
      <c r="P52" s="63" t="str">
        <f>IF(OR(B52="",NOT(ISNUMBER(L52))),"",IF(L52&lt;=0,"",IFERROR(ROUND(L52*N(INDEX(art_w,MATCH(H52,art_ref,0))),3),"")))</f>
        <v/>
      </c>
      <c r="Q52" s="59" t="n"/>
      <c r="R52" s="54" t="n"/>
      <c r="S52" s="59" t="n"/>
      <c r="T52" s="59" t="n"/>
      <c r="U52" s="64" t="str">
        <f>IF(OR(B52="",H52=""),"",IFERROR(IF(A52="BL",IF(N(INDEX(art_price,MATCH(H52,art_ref,0)))=0,"",N(INDEX(art_price,MATCH(H52,art_ref,0)))),IF(N(INDEX(art_cost,MATCH(H52,art_ref,0)))=0,"",N(INDEX(art_cost,MATCH(H52,art_ref,0))))),""))</f>
        <v/>
      </c>
      <c r="V52" s="64" t="str">
        <f>IF(OR(U52="",NOT(ISNUMBER(L52))),"",IF(L52&lt;=0,"",ROUND(L52*U52,2)))</f>
        <v/>
      </c>
      <c r="W52" s="60" t="str">
        <f>IF(AND(B52&lt;&gt;"",A52&lt;&gt;"BS",F52&lt;&gt;"",H52&lt;&gt;"",ISNUMBER(K52),ISNUMBER(L52)),IF(AND(K52&gt;0,L52&gt;0,K52-L52&gt;0,COUNTIFS(A53:A$2005,A52,F53:F$2005,F52,H53:H$2005,H52,AA53:AA$2005,"&gt;0")=0),ROUND(K52-L52,6),""),"")</f>
        <v/>
      </c>
      <c r="X52" s="60" t="str">
        <f>IF(AND(A52="",C52="",D52="",H52="",L52=""),"",IF(A52="","Type manquant",IF(AND(A52&lt;&gt;"BL",A52&lt;&gt;"BR",A52&lt;&gt;"BS"),"Type inconnu (BL, BR ou BS)",IF(AG52=0,"Date manquante ou invalide",IF(D52="",IF(A52="BL","Client manquant",IF(A52="BR","Fournisseur manquant","Service manquant")),IF(IF(A52="BL",ISNA(MATCH(D52,cl_code,0)),IF(A52="BR",ISNA(MATCH(D52,fo_code,0)),ISNA(MATCH(D52,p_services,0)))),IF(A52="BL","Client inconnu",IF(A52="BR","Fournisseur inconnu","Service inconnu")),IF(H52="","Article manquant",IF(ISNA(MATCH(H52,art_ref,0)),"Article inconnu",IF(OR(NOT(ISNUMBER(L52)),N(L52)&lt;=0),"Quantité invalide",IF(AND(K52&lt;&gt;"",OR(NOT(ISNUMBER(K52)),N(K52)&lt;=0)),"Qté commandée invalide",IF(AG52&lt;SUMPRODUCT(MAX((A$6:A51=A52)*AG$6:AG51)),"Date antérieure au bon précédent",IF(AND(A52&lt;&gt;"BR",ISNUMBER(M52),N(M52)&gt;0),IF(A52="BL","Livré plus que commandé","Sorti plus que demandé"),"OK"))))))))))))</f>
        <v/>
      </c>
      <c r="Y52" s="57" t="str">
        <f>IF(AND(OR(A52="BL",A52="BR",A52="BS"),AG52&gt;0,D52&lt;&gt;""),A52&amp;"|"&amp;AG52&amp;"|"&amp;D52&amp;"|"&amp;F52,"")</f>
        <v/>
      </c>
      <c r="Z52" s="57" t="str">
        <f>IF(Y52="","",IF(COUNTIF(Y$6:Y51,Y52)=0,1,0))</f>
        <v/>
      </c>
      <c r="AA52" s="57" t="str">
        <f>IF(Y52="","",IF(Z52=1,COUNTIFS(A$6:A52,A52,Z$6:Z52,1),INDEX(AA$6:AA51,MATCH(Y52,Y$6:Y51,0))))</f>
        <v/>
      </c>
      <c r="AB52" s="57" t="str">
        <f>IF(B52="","",COUNTIF(B$6:B52,B52))</f>
        <v/>
      </c>
      <c r="AC52" s="57" t="str">
        <f>IF(B52="","",B52&amp;"#"&amp;AB52)</f>
        <v/>
      </c>
      <c r="AD52" s="57" t="str">
        <f>IF(Z52=1,A52&amp;AA52,"")</f>
        <v/>
      </c>
      <c r="AE52" s="57" t="str">
        <f>IF(B52="","",YEAR(C52))</f>
        <v/>
      </c>
      <c r="AF52" s="57" t="str">
        <f>IF(B52="","",MONTH(C52))</f>
        <v/>
      </c>
      <c r="AG52" s="57">
        <f>IF(ISNUMBER(C52),C52,0)</f>
        <v>0.0</v>
      </c>
      <c r="AH52" s="57" t="str">
        <f>IF(N(W52)&gt;0,COUNTIF(W$6:W52,"&gt;0"),"")</f>
        <v/>
      </c>
      <c r="AI52" s="57" t="str">
        <f>IF(Z52=1,COUNTIF(Z$6:Z52,1),"")</f>
        <v/>
      </c>
    </row>
    <row r="53">
      <c r="A53" s="54" t="n"/>
      <c r="B53" s="55" t="str">
        <f>IF(AA53="","",A53&amp;"-"&amp;RIGHT("000"&amp;AA53,4))</f>
        <v/>
      </c>
      <c r="C53" s="56" t="n"/>
      <c r="D53" s="54" t="n"/>
      <c r="E53" s="57" t="str">
        <f>IF(D53="","",IF(A53="BL",IFERROR(INDEX(cl_name,MATCH(D53,cl_code,0))&amp;"","Client inconnu"),IF(A53="BR",IFERROR(INDEX(fo_name,MATCH(D53,fo_code,0))&amp;"","Fournisseur inconnu"),IF(A53="BS",IF(ISNA(MATCH(D53,p_services,0)),"Service inconnu",D53&amp;""),""))))</f>
        <v/>
      </c>
      <c r="F53" s="58" t="n"/>
      <c r="G53" s="58" t="n"/>
      <c r="H53" s="59" t="n"/>
      <c r="I53" s="57" t="str">
        <f>IF(H53="","",IFERROR(INDEX(art_des,MATCH(H53,art_ref,0))&amp;"","Article inconnu"))</f>
        <v/>
      </c>
      <c r="J53" s="60" t="str">
        <f>IF(H53="","",IFERROR(INDEX(art_unit,MATCH(H53,art_ref,0))&amp;"",""))</f>
        <v/>
      </c>
      <c r="K53" s="59" t="n"/>
      <c r="L53" s="59" t="n"/>
      <c r="M53" s="61" t="str">
        <f>IF(OR(B53="",NOT(ISNUMBER(K53)),NOT(ISNUMBER(L53))),"",IF(OR(K53&lt;=0,L53&lt;=0),"",ROUND(L53-K53,6)))</f>
        <v/>
      </c>
      <c r="N53" s="58" t="n"/>
      <c r="O53" s="62" t="n"/>
      <c r="P53" s="63" t="str">
        <f>IF(OR(B53="",NOT(ISNUMBER(L53))),"",IF(L53&lt;=0,"",IFERROR(ROUND(L53*N(INDEX(art_w,MATCH(H53,art_ref,0))),3),"")))</f>
        <v/>
      </c>
      <c r="Q53" s="59" t="n"/>
      <c r="R53" s="54" t="n"/>
      <c r="S53" s="59" t="n"/>
      <c r="T53" s="59" t="n"/>
      <c r="U53" s="64" t="str">
        <f>IF(OR(B53="",H53=""),"",IFERROR(IF(A53="BL",IF(N(INDEX(art_price,MATCH(H53,art_ref,0)))=0,"",N(INDEX(art_price,MATCH(H53,art_ref,0)))),IF(N(INDEX(art_cost,MATCH(H53,art_ref,0)))=0,"",N(INDEX(art_cost,MATCH(H53,art_ref,0))))),""))</f>
        <v/>
      </c>
      <c r="V53" s="64" t="str">
        <f>IF(OR(U53="",NOT(ISNUMBER(L53))),"",IF(L53&lt;=0,"",ROUND(L53*U53,2)))</f>
        <v/>
      </c>
      <c r="W53" s="60" t="str">
        <f>IF(AND(B53&lt;&gt;"",A53&lt;&gt;"BS",F53&lt;&gt;"",H53&lt;&gt;"",ISNUMBER(K53),ISNUMBER(L53)),IF(AND(K53&gt;0,L53&gt;0,K53-L53&gt;0,COUNTIFS(A54:A$2005,A53,F54:F$2005,F53,H54:H$2005,H53,AA54:AA$2005,"&gt;0")=0),ROUND(K53-L53,6),""),"")</f>
        <v/>
      </c>
      <c r="X53" s="60" t="str">
        <f>IF(AND(A53="",C53="",D53="",H53="",L53=""),"",IF(A53="","Type manquant",IF(AND(A53&lt;&gt;"BL",A53&lt;&gt;"BR",A53&lt;&gt;"BS"),"Type inconnu (BL, BR ou BS)",IF(AG53=0,"Date manquante ou invalide",IF(D53="",IF(A53="BL","Client manquant",IF(A53="BR","Fournisseur manquant","Service manquant")),IF(IF(A53="BL",ISNA(MATCH(D53,cl_code,0)),IF(A53="BR",ISNA(MATCH(D53,fo_code,0)),ISNA(MATCH(D53,p_services,0)))),IF(A53="BL","Client inconnu",IF(A53="BR","Fournisseur inconnu","Service inconnu")),IF(H53="","Article manquant",IF(ISNA(MATCH(H53,art_ref,0)),"Article inconnu",IF(OR(NOT(ISNUMBER(L53)),N(L53)&lt;=0),"Quantité invalide",IF(AND(K53&lt;&gt;"",OR(NOT(ISNUMBER(K53)),N(K53)&lt;=0)),"Qté commandée invalide",IF(AG53&lt;SUMPRODUCT(MAX((A$6:A52=A53)*AG$6:AG52)),"Date antérieure au bon précédent",IF(AND(A53&lt;&gt;"BR",ISNUMBER(M53),N(M53)&gt;0),IF(A53="BL","Livré plus que commandé","Sorti plus que demandé"),"OK"))))))))))))</f>
        <v/>
      </c>
      <c r="Y53" s="57" t="str">
        <f>IF(AND(OR(A53="BL",A53="BR",A53="BS"),AG53&gt;0,D53&lt;&gt;""),A53&amp;"|"&amp;AG53&amp;"|"&amp;D53&amp;"|"&amp;F53,"")</f>
        <v/>
      </c>
      <c r="Z53" s="57" t="str">
        <f>IF(Y53="","",IF(COUNTIF(Y$6:Y52,Y53)=0,1,0))</f>
        <v/>
      </c>
      <c r="AA53" s="57" t="str">
        <f>IF(Y53="","",IF(Z53=1,COUNTIFS(A$6:A53,A53,Z$6:Z53,1),INDEX(AA$6:AA52,MATCH(Y53,Y$6:Y52,0))))</f>
        <v/>
      </c>
      <c r="AB53" s="57" t="str">
        <f>IF(B53="","",COUNTIF(B$6:B53,B53))</f>
        <v/>
      </c>
      <c r="AC53" s="57" t="str">
        <f>IF(B53="","",B53&amp;"#"&amp;AB53)</f>
        <v/>
      </c>
      <c r="AD53" s="57" t="str">
        <f>IF(Z53=1,A53&amp;AA53,"")</f>
        <v/>
      </c>
      <c r="AE53" s="57" t="str">
        <f>IF(B53="","",YEAR(C53))</f>
        <v/>
      </c>
      <c r="AF53" s="57" t="str">
        <f>IF(B53="","",MONTH(C53))</f>
        <v/>
      </c>
      <c r="AG53" s="57">
        <f>IF(ISNUMBER(C53),C53,0)</f>
        <v>0.0</v>
      </c>
      <c r="AH53" s="57" t="str">
        <f>IF(N(W53)&gt;0,COUNTIF(W$6:W53,"&gt;0"),"")</f>
        <v/>
      </c>
      <c r="AI53" s="57" t="str">
        <f>IF(Z53=1,COUNTIF(Z$6:Z53,1),"")</f>
        <v/>
      </c>
    </row>
    <row r="54">
      <c r="A54" s="54" t="n"/>
      <c r="B54" s="55" t="str">
        <f>IF(AA54="","",A54&amp;"-"&amp;RIGHT("000"&amp;AA54,4))</f>
        <v/>
      </c>
      <c r="C54" s="56" t="n"/>
      <c r="D54" s="54" t="n"/>
      <c r="E54" s="57" t="str">
        <f>IF(D54="","",IF(A54="BL",IFERROR(INDEX(cl_name,MATCH(D54,cl_code,0))&amp;"","Client inconnu"),IF(A54="BR",IFERROR(INDEX(fo_name,MATCH(D54,fo_code,0))&amp;"","Fournisseur inconnu"),IF(A54="BS",IF(ISNA(MATCH(D54,p_services,0)),"Service inconnu",D54&amp;""),""))))</f>
        <v/>
      </c>
      <c r="F54" s="58" t="n"/>
      <c r="G54" s="58" t="n"/>
      <c r="H54" s="59" t="n"/>
      <c r="I54" s="57" t="str">
        <f>IF(H54="","",IFERROR(INDEX(art_des,MATCH(H54,art_ref,0))&amp;"","Article inconnu"))</f>
        <v/>
      </c>
      <c r="J54" s="60" t="str">
        <f>IF(H54="","",IFERROR(INDEX(art_unit,MATCH(H54,art_ref,0))&amp;"",""))</f>
        <v/>
      </c>
      <c r="K54" s="59" t="n"/>
      <c r="L54" s="59" t="n"/>
      <c r="M54" s="61" t="str">
        <f>IF(OR(B54="",NOT(ISNUMBER(K54)),NOT(ISNUMBER(L54))),"",IF(OR(K54&lt;=0,L54&lt;=0),"",ROUND(L54-K54,6)))</f>
        <v/>
      </c>
      <c r="N54" s="58" t="n"/>
      <c r="O54" s="62" t="n"/>
      <c r="P54" s="63" t="str">
        <f>IF(OR(B54="",NOT(ISNUMBER(L54))),"",IF(L54&lt;=0,"",IFERROR(ROUND(L54*N(INDEX(art_w,MATCH(H54,art_ref,0))),3),"")))</f>
        <v/>
      </c>
      <c r="Q54" s="59" t="n"/>
      <c r="R54" s="54" t="n"/>
      <c r="S54" s="59" t="n"/>
      <c r="T54" s="59" t="n"/>
      <c r="U54" s="64" t="str">
        <f>IF(OR(B54="",H54=""),"",IFERROR(IF(A54="BL",IF(N(INDEX(art_price,MATCH(H54,art_ref,0)))=0,"",N(INDEX(art_price,MATCH(H54,art_ref,0)))),IF(N(INDEX(art_cost,MATCH(H54,art_ref,0)))=0,"",N(INDEX(art_cost,MATCH(H54,art_ref,0))))),""))</f>
        <v/>
      </c>
      <c r="V54" s="64" t="str">
        <f>IF(OR(U54="",NOT(ISNUMBER(L54))),"",IF(L54&lt;=0,"",ROUND(L54*U54,2)))</f>
        <v/>
      </c>
      <c r="W54" s="60" t="str">
        <f>IF(AND(B54&lt;&gt;"",A54&lt;&gt;"BS",F54&lt;&gt;"",H54&lt;&gt;"",ISNUMBER(K54),ISNUMBER(L54)),IF(AND(K54&gt;0,L54&gt;0,K54-L54&gt;0,COUNTIFS(A55:A$2005,A54,F55:F$2005,F54,H55:H$2005,H54,AA55:AA$2005,"&gt;0")=0),ROUND(K54-L54,6),""),"")</f>
        <v/>
      </c>
      <c r="X54" s="60" t="str">
        <f>IF(AND(A54="",C54="",D54="",H54="",L54=""),"",IF(A54="","Type manquant",IF(AND(A54&lt;&gt;"BL",A54&lt;&gt;"BR",A54&lt;&gt;"BS"),"Type inconnu (BL, BR ou BS)",IF(AG54=0,"Date manquante ou invalide",IF(D54="",IF(A54="BL","Client manquant",IF(A54="BR","Fournisseur manquant","Service manquant")),IF(IF(A54="BL",ISNA(MATCH(D54,cl_code,0)),IF(A54="BR",ISNA(MATCH(D54,fo_code,0)),ISNA(MATCH(D54,p_services,0)))),IF(A54="BL","Client inconnu",IF(A54="BR","Fournisseur inconnu","Service inconnu")),IF(H54="","Article manquant",IF(ISNA(MATCH(H54,art_ref,0)),"Article inconnu",IF(OR(NOT(ISNUMBER(L54)),N(L54)&lt;=0),"Quantité invalide",IF(AND(K54&lt;&gt;"",OR(NOT(ISNUMBER(K54)),N(K54)&lt;=0)),"Qté commandée invalide",IF(AG54&lt;SUMPRODUCT(MAX((A$6:A53=A54)*AG$6:AG53)),"Date antérieure au bon précédent",IF(AND(A54&lt;&gt;"BR",ISNUMBER(M54),N(M54)&gt;0),IF(A54="BL","Livré plus que commandé","Sorti plus que demandé"),"OK"))))))))))))</f>
        <v/>
      </c>
      <c r="Y54" s="57" t="str">
        <f>IF(AND(OR(A54="BL",A54="BR",A54="BS"),AG54&gt;0,D54&lt;&gt;""),A54&amp;"|"&amp;AG54&amp;"|"&amp;D54&amp;"|"&amp;F54,"")</f>
        <v/>
      </c>
      <c r="Z54" s="57" t="str">
        <f>IF(Y54="","",IF(COUNTIF(Y$6:Y53,Y54)=0,1,0))</f>
        <v/>
      </c>
      <c r="AA54" s="57" t="str">
        <f>IF(Y54="","",IF(Z54=1,COUNTIFS(A$6:A54,A54,Z$6:Z54,1),INDEX(AA$6:AA53,MATCH(Y54,Y$6:Y53,0))))</f>
        <v/>
      </c>
      <c r="AB54" s="57" t="str">
        <f>IF(B54="","",COUNTIF(B$6:B54,B54))</f>
        <v/>
      </c>
      <c r="AC54" s="57" t="str">
        <f>IF(B54="","",B54&amp;"#"&amp;AB54)</f>
        <v/>
      </c>
      <c r="AD54" s="57" t="str">
        <f>IF(Z54=1,A54&amp;AA54,"")</f>
        <v/>
      </c>
      <c r="AE54" s="57" t="str">
        <f>IF(B54="","",YEAR(C54))</f>
        <v/>
      </c>
      <c r="AF54" s="57" t="str">
        <f>IF(B54="","",MONTH(C54))</f>
        <v/>
      </c>
      <c r="AG54" s="57">
        <f>IF(ISNUMBER(C54),C54,0)</f>
        <v>0.0</v>
      </c>
      <c r="AH54" s="57" t="str">
        <f>IF(N(W54)&gt;0,COUNTIF(W$6:W54,"&gt;0"),"")</f>
        <v/>
      </c>
      <c r="AI54" s="57" t="str">
        <f>IF(Z54=1,COUNTIF(Z$6:Z54,1),"")</f>
        <v/>
      </c>
    </row>
    <row r="55">
      <c r="A55" s="54" t="n"/>
      <c r="B55" s="55" t="str">
        <f>IF(AA55="","",A55&amp;"-"&amp;RIGHT("000"&amp;AA55,4))</f>
        <v/>
      </c>
      <c r="C55" s="56" t="n"/>
      <c r="D55" s="54" t="n"/>
      <c r="E55" s="57" t="str">
        <f>IF(D55="","",IF(A55="BL",IFERROR(INDEX(cl_name,MATCH(D55,cl_code,0))&amp;"","Client inconnu"),IF(A55="BR",IFERROR(INDEX(fo_name,MATCH(D55,fo_code,0))&amp;"","Fournisseur inconnu"),IF(A55="BS",IF(ISNA(MATCH(D55,p_services,0)),"Service inconnu",D55&amp;""),""))))</f>
        <v/>
      </c>
      <c r="F55" s="58" t="n"/>
      <c r="G55" s="58" t="n"/>
      <c r="H55" s="59" t="n"/>
      <c r="I55" s="57" t="str">
        <f>IF(H55="","",IFERROR(INDEX(art_des,MATCH(H55,art_ref,0))&amp;"","Article inconnu"))</f>
        <v/>
      </c>
      <c r="J55" s="60" t="str">
        <f>IF(H55="","",IFERROR(INDEX(art_unit,MATCH(H55,art_ref,0))&amp;"",""))</f>
        <v/>
      </c>
      <c r="K55" s="59" t="n"/>
      <c r="L55" s="59" t="n"/>
      <c r="M55" s="61" t="str">
        <f>IF(OR(B55="",NOT(ISNUMBER(K55)),NOT(ISNUMBER(L55))),"",IF(OR(K55&lt;=0,L55&lt;=0),"",ROUND(L55-K55,6)))</f>
        <v/>
      </c>
      <c r="N55" s="58" t="n"/>
      <c r="O55" s="62" t="n"/>
      <c r="P55" s="63" t="str">
        <f>IF(OR(B55="",NOT(ISNUMBER(L55))),"",IF(L55&lt;=0,"",IFERROR(ROUND(L55*N(INDEX(art_w,MATCH(H55,art_ref,0))),3),"")))</f>
        <v/>
      </c>
      <c r="Q55" s="59" t="n"/>
      <c r="R55" s="54" t="n"/>
      <c r="S55" s="59" t="n"/>
      <c r="T55" s="59" t="n"/>
      <c r="U55" s="64" t="str">
        <f>IF(OR(B55="",H55=""),"",IFERROR(IF(A55="BL",IF(N(INDEX(art_price,MATCH(H55,art_ref,0)))=0,"",N(INDEX(art_price,MATCH(H55,art_ref,0)))),IF(N(INDEX(art_cost,MATCH(H55,art_ref,0)))=0,"",N(INDEX(art_cost,MATCH(H55,art_ref,0))))),""))</f>
        <v/>
      </c>
      <c r="V55" s="64" t="str">
        <f>IF(OR(U55="",NOT(ISNUMBER(L55))),"",IF(L55&lt;=0,"",ROUND(L55*U55,2)))</f>
        <v/>
      </c>
      <c r="W55" s="60" t="str">
        <f>IF(AND(B55&lt;&gt;"",A55&lt;&gt;"BS",F55&lt;&gt;"",H55&lt;&gt;"",ISNUMBER(K55),ISNUMBER(L55)),IF(AND(K55&gt;0,L55&gt;0,K55-L55&gt;0,COUNTIFS(A56:A$2005,A55,F56:F$2005,F55,H56:H$2005,H55,AA56:AA$2005,"&gt;0")=0),ROUND(K55-L55,6),""),"")</f>
        <v/>
      </c>
      <c r="X55" s="60" t="str">
        <f>IF(AND(A55="",C55="",D55="",H55="",L55=""),"",IF(A55="","Type manquant",IF(AND(A55&lt;&gt;"BL",A55&lt;&gt;"BR",A55&lt;&gt;"BS"),"Type inconnu (BL, BR ou BS)",IF(AG55=0,"Date manquante ou invalide",IF(D55="",IF(A55="BL","Client manquant",IF(A55="BR","Fournisseur manquant","Service manquant")),IF(IF(A55="BL",ISNA(MATCH(D55,cl_code,0)),IF(A55="BR",ISNA(MATCH(D55,fo_code,0)),ISNA(MATCH(D55,p_services,0)))),IF(A55="BL","Client inconnu",IF(A55="BR","Fournisseur inconnu","Service inconnu")),IF(H55="","Article manquant",IF(ISNA(MATCH(H55,art_ref,0)),"Article inconnu",IF(OR(NOT(ISNUMBER(L55)),N(L55)&lt;=0),"Quantité invalide",IF(AND(K55&lt;&gt;"",OR(NOT(ISNUMBER(K55)),N(K55)&lt;=0)),"Qté commandée invalide",IF(AG55&lt;SUMPRODUCT(MAX((A$6:A54=A55)*AG$6:AG54)),"Date antérieure au bon précédent",IF(AND(A55&lt;&gt;"BR",ISNUMBER(M55),N(M55)&gt;0),IF(A55="BL","Livré plus que commandé","Sorti plus que demandé"),"OK"))))))))))))</f>
        <v/>
      </c>
      <c r="Y55" s="57" t="str">
        <f>IF(AND(OR(A55="BL",A55="BR",A55="BS"),AG55&gt;0,D55&lt;&gt;""),A55&amp;"|"&amp;AG55&amp;"|"&amp;D55&amp;"|"&amp;F55,"")</f>
        <v/>
      </c>
      <c r="Z55" s="57" t="str">
        <f>IF(Y55="","",IF(COUNTIF(Y$6:Y54,Y55)=0,1,0))</f>
        <v/>
      </c>
      <c r="AA55" s="57" t="str">
        <f>IF(Y55="","",IF(Z55=1,COUNTIFS(A$6:A55,A55,Z$6:Z55,1),INDEX(AA$6:AA54,MATCH(Y55,Y$6:Y54,0))))</f>
        <v/>
      </c>
      <c r="AB55" s="57" t="str">
        <f>IF(B55="","",COUNTIF(B$6:B55,B55))</f>
        <v/>
      </c>
      <c r="AC55" s="57" t="str">
        <f>IF(B55="","",B55&amp;"#"&amp;AB55)</f>
        <v/>
      </c>
      <c r="AD55" s="57" t="str">
        <f>IF(Z55=1,A55&amp;AA55,"")</f>
        <v/>
      </c>
      <c r="AE55" s="57" t="str">
        <f>IF(B55="","",YEAR(C55))</f>
        <v/>
      </c>
      <c r="AF55" s="57" t="str">
        <f>IF(B55="","",MONTH(C55))</f>
        <v/>
      </c>
      <c r="AG55" s="57">
        <f>IF(ISNUMBER(C55),C55,0)</f>
        <v>0.0</v>
      </c>
      <c r="AH55" s="57" t="str">
        <f>IF(N(W55)&gt;0,COUNTIF(W$6:W55,"&gt;0"),"")</f>
        <v/>
      </c>
      <c r="AI55" s="57" t="str">
        <f>IF(Z55=1,COUNTIF(Z$6:Z55,1),"")</f>
        <v/>
      </c>
    </row>
    <row r="56">
      <c r="A56" s="54" t="n"/>
      <c r="B56" s="55" t="str">
        <f>IF(AA56="","",A56&amp;"-"&amp;RIGHT("000"&amp;AA56,4))</f>
        <v/>
      </c>
      <c r="C56" s="56" t="n"/>
      <c r="D56" s="54" t="n"/>
      <c r="E56" s="57" t="str">
        <f>IF(D56="","",IF(A56="BL",IFERROR(INDEX(cl_name,MATCH(D56,cl_code,0))&amp;"","Client inconnu"),IF(A56="BR",IFERROR(INDEX(fo_name,MATCH(D56,fo_code,0))&amp;"","Fournisseur inconnu"),IF(A56="BS",IF(ISNA(MATCH(D56,p_services,0)),"Service inconnu",D56&amp;""),""))))</f>
        <v/>
      </c>
      <c r="F56" s="58" t="n"/>
      <c r="G56" s="58" t="n"/>
      <c r="H56" s="59" t="n"/>
      <c r="I56" s="57" t="str">
        <f>IF(H56="","",IFERROR(INDEX(art_des,MATCH(H56,art_ref,0))&amp;"","Article inconnu"))</f>
        <v/>
      </c>
      <c r="J56" s="60" t="str">
        <f>IF(H56="","",IFERROR(INDEX(art_unit,MATCH(H56,art_ref,0))&amp;"",""))</f>
        <v/>
      </c>
      <c r="K56" s="59" t="n"/>
      <c r="L56" s="59" t="n"/>
      <c r="M56" s="61" t="str">
        <f>IF(OR(B56="",NOT(ISNUMBER(K56)),NOT(ISNUMBER(L56))),"",IF(OR(K56&lt;=0,L56&lt;=0),"",ROUND(L56-K56,6)))</f>
        <v/>
      </c>
      <c r="N56" s="58" t="n"/>
      <c r="O56" s="62" t="n"/>
      <c r="P56" s="63" t="str">
        <f>IF(OR(B56="",NOT(ISNUMBER(L56))),"",IF(L56&lt;=0,"",IFERROR(ROUND(L56*N(INDEX(art_w,MATCH(H56,art_ref,0))),3),"")))</f>
        <v/>
      </c>
      <c r="Q56" s="59" t="n"/>
      <c r="R56" s="54" t="n"/>
      <c r="S56" s="59" t="n"/>
      <c r="T56" s="59" t="n"/>
      <c r="U56" s="64" t="str">
        <f>IF(OR(B56="",H56=""),"",IFERROR(IF(A56="BL",IF(N(INDEX(art_price,MATCH(H56,art_ref,0)))=0,"",N(INDEX(art_price,MATCH(H56,art_ref,0)))),IF(N(INDEX(art_cost,MATCH(H56,art_ref,0)))=0,"",N(INDEX(art_cost,MATCH(H56,art_ref,0))))),""))</f>
        <v/>
      </c>
      <c r="V56" s="64" t="str">
        <f>IF(OR(U56="",NOT(ISNUMBER(L56))),"",IF(L56&lt;=0,"",ROUND(L56*U56,2)))</f>
        <v/>
      </c>
      <c r="W56" s="60" t="str">
        <f>IF(AND(B56&lt;&gt;"",A56&lt;&gt;"BS",F56&lt;&gt;"",H56&lt;&gt;"",ISNUMBER(K56),ISNUMBER(L56)),IF(AND(K56&gt;0,L56&gt;0,K56-L56&gt;0,COUNTIFS(A57:A$2005,A56,F57:F$2005,F56,H57:H$2005,H56,AA57:AA$2005,"&gt;0")=0),ROUND(K56-L56,6),""),"")</f>
        <v/>
      </c>
      <c r="X56" s="60" t="str">
        <f>IF(AND(A56="",C56="",D56="",H56="",L56=""),"",IF(A56="","Type manquant",IF(AND(A56&lt;&gt;"BL",A56&lt;&gt;"BR",A56&lt;&gt;"BS"),"Type inconnu (BL, BR ou BS)",IF(AG56=0,"Date manquante ou invalide",IF(D56="",IF(A56="BL","Client manquant",IF(A56="BR","Fournisseur manquant","Service manquant")),IF(IF(A56="BL",ISNA(MATCH(D56,cl_code,0)),IF(A56="BR",ISNA(MATCH(D56,fo_code,0)),ISNA(MATCH(D56,p_services,0)))),IF(A56="BL","Client inconnu",IF(A56="BR","Fournisseur inconnu","Service inconnu")),IF(H56="","Article manquant",IF(ISNA(MATCH(H56,art_ref,0)),"Article inconnu",IF(OR(NOT(ISNUMBER(L56)),N(L56)&lt;=0),"Quantité invalide",IF(AND(K56&lt;&gt;"",OR(NOT(ISNUMBER(K56)),N(K56)&lt;=0)),"Qté commandée invalide",IF(AG56&lt;SUMPRODUCT(MAX((A$6:A55=A56)*AG$6:AG55)),"Date antérieure au bon précédent",IF(AND(A56&lt;&gt;"BR",ISNUMBER(M56),N(M56)&gt;0),IF(A56="BL","Livré plus que commandé","Sorti plus que demandé"),"OK"))))))))))))</f>
        <v/>
      </c>
      <c r="Y56" s="57" t="str">
        <f>IF(AND(OR(A56="BL",A56="BR",A56="BS"),AG56&gt;0,D56&lt;&gt;""),A56&amp;"|"&amp;AG56&amp;"|"&amp;D56&amp;"|"&amp;F56,"")</f>
        <v/>
      </c>
      <c r="Z56" s="57" t="str">
        <f>IF(Y56="","",IF(COUNTIF(Y$6:Y55,Y56)=0,1,0))</f>
        <v/>
      </c>
      <c r="AA56" s="57" t="str">
        <f>IF(Y56="","",IF(Z56=1,COUNTIFS(A$6:A56,A56,Z$6:Z56,1),INDEX(AA$6:AA55,MATCH(Y56,Y$6:Y55,0))))</f>
        <v/>
      </c>
      <c r="AB56" s="57" t="str">
        <f>IF(B56="","",COUNTIF(B$6:B56,B56))</f>
        <v/>
      </c>
      <c r="AC56" s="57" t="str">
        <f>IF(B56="","",B56&amp;"#"&amp;AB56)</f>
        <v/>
      </c>
      <c r="AD56" s="57" t="str">
        <f>IF(Z56=1,A56&amp;AA56,"")</f>
        <v/>
      </c>
      <c r="AE56" s="57" t="str">
        <f>IF(B56="","",YEAR(C56))</f>
        <v/>
      </c>
      <c r="AF56" s="57" t="str">
        <f>IF(B56="","",MONTH(C56))</f>
        <v/>
      </c>
      <c r="AG56" s="57">
        <f>IF(ISNUMBER(C56),C56,0)</f>
        <v>0.0</v>
      </c>
      <c r="AH56" s="57" t="str">
        <f>IF(N(W56)&gt;0,COUNTIF(W$6:W56,"&gt;0"),"")</f>
        <v/>
      </c>
      <c r="AI56" s="57" t="str">
        <f>IF(Z56=1,COUNTIF(Z$6:Z56,1),"")</f>
        <v/>
      </c>
    </row>
    <row r="57">
      <c r="A57" s="54" t="n"/>
      <c r="B57" s="55" t="str">
        <f>IF(AA57="","",A57&amp;"-"&amp;RIGHT("000"&amp;AA57,4))</f>
        <v/>
      </c>
      <c r="C57" s="56" t="n"/>
      <c r="D57" s="54" t="n"/>
      <c r="E57" s="57" t="str">
        <f>IF(D57="","",IF(A57="BL",IFERROR(INDEX(cl_name,MATCH(D57,cl_code,0))&amp;"","Client inconnu"),IF(A57="BR",IFERROR(INDEX(fo_name,MATCH(D57,fo_code,0))&amp;"","Fournisseur inconnu"),IF(A57="BS",IF(ISNA(MATCH(D57,p_services,0)),"Service inconnu",D57&amp;""),""))))</f>
        <v/>
      </c>
      <c r="F57" s="58" t="n"/>
      <c r="G57" s="58" t="n"/>
      <c r="H57" s="59" t="n"/>
      <c r="I57" s="57" t="str">
        <f>IF(H57="","",IFERROR(INDEX(art_des,MATCH(H57,art_ref,0))&amp;"","Article inconnu"))</f>
        <v/>
      </c>
      <c r="J57" s="60" t="str">
        <f>IF(H57="","",IFERROR(INDEX(art_unit,MATCH(H57,art_ref,0))&amp;"",""))</f>
        <v/>
      </c>
      <c r="K57" s="59" t="n"/>
      <c r="L57" s="59" t="n"/>
      <c r="M57" s="61" t="str">
        <f>IF(OR(B57="",NOT(ISNUMBER(K57)),NOT(ISNUMBER(L57))),"",IF(OR(K57&lt;=0,L57&lt;=0),"",ROUND(L57-K57,6)))</f>
        <v/>
      </c>
      <c r="N57" s="58" t="n"/>
      <c r="O57" s="62" t="n"/>
      <c r="P57" s="63" t="str">
        <f>IF(OR(B57="",NOT(ISNUMBER(L57))),"",IF(L57&lt;=0,"",IFERROR(ROUND(L57*N(INDEX(art_w,MATCH(H57,art_ref,0))),3),"")))</f>
        <v/>
      </c>
      <c r="Q57" s="59" t="n"/>
      <c r="R57" s="54" t="n"/>
      <c r="S57" s="59" t="n"/>
      <c r="T57" s="59" t="n"/>
      <c r="U57" s="64" t="str">
        <f>IF(OR(B57="",H57=""),"",IFERROR(IF(A57="BL",IF(N(INDEX(art_price,MATCH(H57,art_ref,0)))=0,"",N(INDEX(art_price,MATCH(H57,art_ref,0)))),IF(N(INDEX(art_cost,MATCH(H57,art_ref,0)))=0,"",N(INDEX(art_cost,MATCH(H57,art_ref,0))))),""))</f>
        <v/>
      </c>
      <c r="V57" s="64" t="str">
        <f>IF(OR(U57="",NOT(ISNUMBER(L57))),"",IF(L57&lt;=0,"",ROUND(L57*U57,2)))</f>
        <v/>
      </c>
      <c r="W57" s="60" t="str">
        <f>IF(AND(B57&lt;&gt;"",A57&lt;&gt;"BS",F57&lt;&gt;"",H57&lt;&gt;"",ISNUMBER(K57),ISNUMBER(L57)),IF(AND(K57&gt;0,L57&gt;0,K57-L57&gt;0,COUNTIFS(A58:A$2005,A57,F58:F$2005,F57,H58:H$2005,H57,AA58:AA$2005,"&gt;0")=0),ROUND(K57-L57,6),""),"")</f>
        <v/>
      </c>
      <c r="X57" s="60" t="str">
        <f>IF(AND(A57="",C57="",D57="",H57="",L57=""),"",IF(A57="","Type manquant",IF(AND(A57&lt;&gt;"BL",A57&lt;&gt;"BR",A57&lt;&gt;"BS"),"Type inconnu (BL, BR ou BS)",IF(AG57=0,"Date manquante ou invalide",IF(D57="",IF(A57="BL","Client manquant",IF(A57="BR","Fournisseur manquant","Service manquant")),IF(IF(A57="BL",ISNA(MATCH(D57,cl_code,0)),IF(A57="BR",ISNA(MATCH(D57,fo_code,0)),ISNA(MATCH(D57,p_services,0)))),IF(A57="BL","Client inconnu",IF(A57="BR","Fournisseur inconnu","Service inconnu")),IF(H57="","Article manquant",IF(ISNA(MATCH(H57,art_ref,0)),"Article inconnu",IF(OR(NOT(ISNUMBER(L57)),N(L57)&lt;=0),"Quantité invalide",IF(AND(K57&lt;&gt;"",OR(NOT(ISNUMBER(K57)),N(K57)&lt;=0)),"Qté commandée invalide",IF(AG57&lt;SUMPRODUCT(MAX((A$6:A56=A57)*AG$6:AG56)),"Date antérieure au bon précédent",IF(AND(A57&lt;&gt;"BR",ISNUMBER(M57),N(M57)&gt;0),IF(A57="BL","Livré plus que commandé","Sorti plus que demandé"),"OK"))))))))))))</f>
        <v/>
      </c>
      <c r="Y57" s="57" t="str">
        <f>IF(AND(OR(A57="BL",A57="BR",A57="BS"),AG57&gt;0,D57&lt;&gt;""),A57&amp;"|"&amp;AG57&amp;"|"&amp;D57&amp;"|"&amp;F57,"")</f>
        <v/>
      </c>
      <c r="Z57" s="57" t="str">
        <f>IF(Y57="","",IF(COUNTIF(Y$6:Y56,Y57)=0,1,0))</f>
        <v/>
      </c>
      <c r="AA57" s="57" t="str">
        <f>IF(Y57="","",IF(Z57=1,COUNTIFS(A$6:A57,A57,Z$6:Z57,1),INDEX(AA$6:AA56,MATCH(Y57,Y$6:Y56,0))))</f>
        <v/>
      </c>
      <c r="AB57" s="57" t="str">
        <f>IF(B57="","",COUNTIF(B$6:B57,B57))</f>
        <v/>
      </c>
      <c r="AC57" s="57" t="str">
        <f>IF(B57="","",B57&amp;"#"&amp;AB57)</f>
        <v/>
      </c>
      <c r="AD57" s="57" t="str">
        <f>IF(Z57=1,A57&amp;AA57,"")</f>
        <v/>
      </c>
      <c r="AE57" s="57" t="str">
        <f>IF(B57="","",YEAR(C57))</f>
        <v/>
      </c>
      <c r="AF57" s="57" t="str">
        <f>IF(B57="","",MONTH(C57))</f>
        <v/>
      </c>
      <c r="AG57" s="57">
        <f>IF(ISNUMBER(C57),C57,0)</f>
        <v>0.0</v>
      </c>
      <c r="AH57" s="57" t="str">
        <f>IF(N(W57)&gt;0,COUNTIF(W$6:W57,"&gt;0"),"")</f>
        <v/>
      </c>
      <c r="AI57" s="57" t="str">
        <f>IF(Z57=1,COUNTIF(Z$6:Z57,1),"")</f>
        <v/>
      </c>
    </row>
    <row r="58">
      <c r="A58" s="54" t="n"/>
      <c r="B58" s="55" t="str">
        <f>IF(AA58="","",A58&amp;"-"&amp;RIGHT("000"&amp;AA58,4))</f>
        <v/>
      </c>
      <c r="C58" s="56" t="n"/>
      <c r="D58" s="54" t="n"/>
      <c r="E58" s="57" t="str">
        <f>IF(D58="","",IF(A58="BL",IFERROR(INDEX(cl_name,MATCH(D58,cl_code,0))&amp;"","Client inconnu"),IF(A58="BR",IFERROR(INDEX(fo_name,MATCH(D58,fo_code,0))&amp;"","Fournisseur inconnu"),IF(A58="BS",IF(ISNA(MATCH(D58,p_services,0)),"Service inconnu",D58&amp;""),""))))</f>
        <v/>
      </c>
      <c r="F58" s="58" t="n"/>
      <c r="G58" s="58" t="n"/>
      <c r="H58" s="59" t="n"/>
      <c r="I58" s="57" t="str">
        <f>IF(H58="","",IFERROR(INDEX(art_des,MATCH(H58,art_ref,0))&amp;"","Article inconnu"))</f>
        <v/>
      </c>
      <c r="J58" s="60" t="str">
        <f>IF(H58="","",IFERROR(INDEX(art_unit,MATCH(H58,art_ref,0))&amp;"",""))</f>
        <v/>
      </c>
      <c r="K58" s="59" t="n"/>
      <c r="L58" s="59" t="n"/>
      <c r="M58" s="61" t="str">
        <f>IF(OR(B58="",NOT(ISNUMBER(K58)),NOT(ISNUMBER(L58))),"",IF(OR(K58&lt;=0,L58&lt;=0),"",ROUND(L58-K58,6)))</f>
        <v/>
      </c>
      <c r="N58" s="58" t="n"/>
      <c r="O58" s="62" t="n"/>
      <c r="P58" s="63" t="str">
        <f>IF(OR(B58="",NOT(ISNUMBER(L58))),"",IF(L58&lt;=0,"",IFERROR(ROUND(L58*N(INDEX(art_w,MATCH(H58,art_ref,0))),3),"")))</f>
        <v/>
      </c>
      <c r="Q58" s="59" t="n"/>
      <c r="R58" s="54" t="n"/>
      <c r="S58" s="59" t="n"/>
      <c r="T58" s="59" t="n"/>
      <c r="U58" s="64" t="str">
        <f>IF(OR(B58="",H58=""),"",IFERROR(IF(A58="BL",IF(N(INDEX(art_price,MATCH(H58,art_ref,0)))=0,"",N(INDEX(art_price,MATCH(H58,art_ref,0)))),IF(N(INDEX(art_cost,MATCH(H58,art_ref,0)))=0,"",N(INDEX(art_cost,MATCH(H58,art_ref,0))))),""))</f>
        <v/>
      </c>
      <c r="V58" s="64" t="str">
        <f>IF(OR(U58="",NOT(ISNUMBER(L58))),"",IF(L58&lt;=0,"",ROUND(L58*U58,2)))</f>
        <v/>
      </c>
      <c r="W58" s="60" t="str">
        <f>IF(AND(B58&lt;&gt;"",A58&lt;&gt;"BS",F58&lt;&gt;"",H58&lt;&gt;"",ISNUMBER(K58),ISNUMBER(L58)),IF(AND(K58&gt;0,L58&gt;0,K58-L58&gt;0,COUNTIFS(A59:A$2005,A58,F59:F$2005,F58,H59:H$2005,H58,AA59:AA$2005,"&gt;0")=0),ROUND(K58-L58,6),""),"")</f>
        <v/>
      </c>
      <c r="X58" s="60" t="str">
        <f>IF(AND(A58="",C58="",D58="",H58="",L58=""),"",IF(A58="","Type manquant",IF(AND(A58&lt;&gt;"BL",A58&lt;&gt;"BR",A58&lt;&gt;"BS"),"Type inconnu (BL, BR ou BS)",IF(AG58=0,"Date manquante ou invalide",IF(D58="",IF(A58="BL","Client manquant",IF(A58="BR","Fournisseur manquant","Service manquant")),IF(IF(A58="BL",ISNA(MATCH(D58,cl_code,0)),IF(A58="BR",ISNA(MATCH(D58,fo_code,0)),ISNA(MATCH(D58,p_services,0)))),IF(A58="BL","Client inconnu",IF(A58="BR","Fournisseur inconnu","Service inconnu")),IF(H58="","Article manquant",IF(ISNA(MATCH(H58,art_ref,0)),"Article inconnu",IF(OR(NOT(ISNUMBER(L58)),N(L58)&lt;=0),"Quantité invalide",IF(AND(K58&lt;&gt;"",OR(NOT(ISNUMBER(K58)),N(K58)&lt;=0)),"Qté commandée invalide",IF(AG58&lt;SUMPRODUCT(MAX((A$6:A57=A58)*AG$6:AG57)),"Date antérieure au bon précédent",IF(AND(A58&lt;&gt;"BR",ISNUMBER(M58),N(M58)&gt;0),IF(A58="BL","Livré plus que commandé","Sorti plus que demandé"),"OK"))))))))))))</f>
        <v/>
      </c>
      <c r="Y58" s="57" t="str">
        <f>IF(AND(OR(A58="BL",A58="BR",A58="BS"),AG58&gt;0,D58&lt;&gt;""),A58&amp;"|"&amp;AG58&amp;"|"&amp;D58&amp;"|"&amp;F58,"")</f>
        <v/>
      </c>
      <c r="Z58" s="57" t="str">
        <f>IF(Y58="","",IF(COUNTIF(Y$6:Y57,Y58)=0,1,0))</f>
        <v/>
      </c>
      <c r="AA58" s="57" t="str">
        <f>IF(Y58="","",IF(Z58=1,COUNTIFS(A$6:A58,A58,Z$6:Z58,1),INDEX(AA$6:AA57,MATCH(Y58,Y$6:Y57,0))))</f>
        <v/>
      </c>
      <c r="AB58" s="57" t="str">
        <f>IF(B58="","",COUNTIF(B$6:B58,B58))</f>
        <v/>
      </c>
      <c r="AC58" s="57" t="str">
        <f>IF(B58="","",B58&amp;"#"&amp;AB58)</f>
        <v/>
      </c>
      <c r="AD58" s="57" t="str">
        <f>IF(Z58=1,A58&amp;AA58,"")</f>
        <v/>
      </c>
      <c r="AE58" s="57" t="str">
        <f>IF(B58="","",YEAR(C58))</f>
        <v/>
      </c>
      <c r="AF58" s="57" t="str">
        <f>IF(B58="","",MONTH(C58))</f>
        <v/>
      </c>
      <c r="AG58" s="57">
        <f>IF(ISNUMBER(C58),C58,0)</f>
        <v>0.0</v>
      </c>
      <c r="AH58" s="57" t="str">
        <f>IF(N(W58)&gt;0,COUNTIF(W$6:W58,"&gt;0"),"")</f>
        <v/>
      </c>
      <c r="AI58" s="57" t="str">
        <f>IF(Z58=1,COUNTIF(Z$6:Z58,1),"")</f>
        <v/>
      </c>
    </row>
    <row r="59">
      <c r="A59" s="54" t="n"/>
      <c r="B59" s="55" t="str">
        <f>IF(AA59="","",A59&amp;"-"&amp;RIGHT("000"&amp;AA59,4))</f>
        <v/>
      </c>
      <c r="C59" s="56" t="n"/>
      <c r="D59" s="54" t="n"/>
      <c r="E59" s="57" t="str">
        <f>IF(D59="","",IF(A59="BL",IFERROR(INDEX(cl_name,MATCH(D59,cl_code,0))&amp;"","Client inconnu"),IF(A59="BR",IFERROR(INDEX(fo_name,MATCH(D59,fo_code,0))&amp;"","Fournisseur inconnu"),IF(A59="BS",IF(ISNA(MATCH(D59,p_services,0)),"Service inconnu",D59&amp;""),""))))</f>
        <v/>
      </c>
      <c r="F59" s="58" t="n"/>
      <c r="G59" s="58" t="n"/>
      <c r="H59" s="59" t="n"/>
      <c r="I59" s="57" t="str">
        <f>IF(H59="","",IFERROR(INDEX(art_des,MATCH(H59,art_ref,0))&amp;"","Article inconnu"))</f>
        <v/>
      </c>
      <c r="J59" s="60" t="str">
        <f>IF(H59="","",IFERROR(INDEX(art_unit,MATCH(H59,art_ref,0))&amp;"",""))</f>
        <v/>
      </c>
      <c r="K59" s="59" t="n"/>
      <c r="L59" s="59" t="n"/>
      <c r="M59" s="61" t="str">
        <f>IF(OR(B59="",NOT(ISNUMBER(K59)),NOT(ISNUMBER(L59))),"",IF(OR(K59&lt;=0,L59&lt;=0),"",ROUND(L59-K59,6)))</f>
        <v/>
      </c>
      <c r="N59" s="58" t="n"/>
      <c r="O59" s="62" t="n"/>
      <c r="P59" s="63" t="str">
        <f>IF(OR(B59="",NOT(ISNUMBER(L59))),"",IF(L59&lt;=0,"",IFERROR(ROUND(L59*N(INDEX(art_w,MATCH(H59,art_ref,0))),3),"")))</f>
        <v/>
      </c>
      <c r="Q59" s="59" t="n"/>
      <c r="R59" s="54" t="n"/>
      <c r="S59" s="59" t="n"/>
      <c r="T59" s="59" t="n"/>
      <c r="U59" s="64" t="str">
        <f>IF(OR(B59="",H59=""),"",IFERROR(IF(A59="BL",IF(N(INDEX(art_price,MATCH(H59,art_ref,0)))=0,"",N(INDEX(art_price,MATCH(H59,art_ref,0)))),IF(N(INDEX(art_cost,MATCH(H59,art_ref,0)))=0,"",N(INDEX(art_cost,MATCH(H59,art_ref,0))))),""))</f>
        <v/>
      </c>
      <c r="V59" s="64" t="str">
        <f>IF(OR(U59="",NOT(ISNUMBER(L59))),"",IF(L59&lt;=0,"",ROUND(L59*U59,2)))</f>
        <v/>
      </c>
      <c r="W59" s="60" t="str">
        <f>IF(AND(B59&lt;&gt;"",A59&lt;&gt;"BS",F59&lt;&gt;"",H59&lt;&gt;"",ISNUMBER(K59),ISNUMBER(L59)),IF(AND(K59&gt;0,L59&gt;0,K59-L59&gt;0,COUNTIFS(A60:A$2005,A59,F60:F$2005,F59,H60:H$2005,H59,AA60:AA$2005,"&gt;0")=0),ROUND(K59-L59,6),""),"")</f>
        <v/>
      </c>
      <c r="X59" s="60" t="str">
        <f>IF(AND(A59="",C59="",D59="",H59="",L59=""),"",IF(A59="","Type manquant",IF(AND(A59&lt;&gt;"BL",A59&lt;&gt;"BR",A59&lt;&gt;"BS"),"Type inconnu (BL, BR ou BS)",IF(AG59=0,"Date manquante ou invalide",IF(D59="",IF(A59="BL","Client manquant",IF(A59="BR","Fournisseur manquant","Service manquant")),IF(IF(A59="BL",ISNA(MATCH(D59,cl_code,0)),IF(A59="BR",ISNA(MATCH(D59,fo_code,0)),ISNA(MATCH(D59,p_services,0)))),IF(A59="BL","Client inconnu",IF(A59="BR","Fournisseur inconnu","Service inconnu")),IF(H59="","Article manquant",IF(ISNA(MATCH(H59,art_ref,0)),"Article inconnu",IF(OR(NOT(ISNUMBER(L59)),N(L59)&lt;=0),"Quantité invalide",IF(AND(K59&lt;&gt;"",OR(NOT(ISNUMBER(K59)),N(K59)&lt;=0)),"Qté commandée invalide",IF(AG59&lt;SUMPRODUCT(MAX((A$6:A58=A59)*AG$6:AG58)),"Date antérieure au bon précédent",IF(AND(A59&lt;&gt;"BR",ISNUMBER(M59),N(M59)&gt;0),IF(A59="BL","Livré plus que commandé","Sorti plus que demandé"),"OK"))))))))))))</f>
        <v/>
      </c>
      <c r="Y59" s="57" t="str">
        <f>IF(AND(OR(A59="BL",A59="BR",A59="BS"),AG59&gt;0,D59&lt;&gt;""),A59&amp;"|"&amp;AG59&amp;"|"&amp;D59&amp;"|"&amp;F59,"")</f>
        <v/>
      </c>
      <c r="Z59" s="57" t="str">
        <f>IF(Y59="","",IF(COUNTIF(Y$6:Y58,Y59)=0,1,0))</f>
        <v/>
      </c>
      <c r="AA59" s="57" t="str">
        <f>IF(Y59="","",IF(Z59=1,COUNTIFS(A$6:A59,A59,Z$6:Z59,1),INDEX(AA$6:AA58,MATCH(Y59,Y$6:Y58,0))))</f>
        <v/>
      </c>
      <c r="AB59" s="57" t="str">
        <f>IF(B59="","",COUNTIF(B$6:B59,B59))</f>
        <v/>
      </c>
      <c r="AC59" s="57" t="str">
        <f>IF(B59="","",B59&amp;"#"&amp;AB59)</f>
        <v/>
      </c>
      <c r="AD59" s="57" t="str">
        <f>IF(Z59=1,A59&amp;AA59,"")</f>
        <v/>
      </c>
      <c r="AE59" s="57" t="str">
        <f>IF(B59="","",YEAR(C59))</f>
        <v/>
      </c>
      <c r="AF59" s="57" t="str">
        <f>IF(B59="","",MONTH(C59))</f>
        <v/>
      </c>
      <c r="AG59" s="57">
        <f>IF(ISNUMBER(C59),C59,0)</f>
        <v>0.0</v>
      </c>
      <c r="AH59" s="57" t="str">
        <f>IF(N(W59)&gt;0,COUNTIF(W$6:W59,"&gt;0"),"")</f>
        <v/>
      </c>
      <c r="AI59" s="57" t="str">
        <f>IF(Z59=1,COUNTIF(Z$6:Z59,1),"")</f>
        <v/>
      </c>
    </row>
    <row r="60">
      <c r="A60" s="54" t="n"/>
      <c r="B60" s="55" t="str">
        <f>IF(AA60="","",A60&amp;"-"&amp;RIGHT("000"&amp;AA60,4))</f>
        <v/>
      </c>
      <c r="C60" s="56" t="n"/>
      <c r="D60" s="54" t="n"/>
      <c r="E60" s="57" t="str">
        <f>IF(D60="","",IF(A60="BL",IFERROR(INDEX(cl_name,MATCH(D60,cl_code,0))&amp;"","Client inconnu"),IF(A60="BR",IFERROR(INDEX(fo_name,MATCH(D60,fo_code,0))&amp;"","Fournisseur inconnu"),IF(A60="BS",IF(ISNA(MATCH(D60,p_services,0)),"Service inconnu",D60&amp;""),""))))</f>
        <v/>
      </c>
      <c r="F60" s="58" t="n"/>
      <c r="G60" s="58" t="n"/>
      <c r="H60" s="59" t="n"/>
      <c r="I60" s="57" t="str">
        <f>IF(H60="","",IFERROR(INDEX(art_des,MATCH(H60,art_ref,0))&amp;"","Article inconnu"))</f>
        <v/>
      </c>
      <c r="J60" s="60" t="str">
        <f>IF(H60="","",IFERROR(INDEX(art_unit,MATCH(H60,art_ref,0))&amp;"",""))</f>
        <v/>
      </c>
      <c r="K60" s="59" t="n"/>
      <c r="L60" s="59" t="n"/>
      <c r="M60" s="61" t="str">
        <f>IF(OR(B60="",NOT(ISNUMBER(K60)),NOT(ISNUMBER(L60))),"",IF(OR(K60&lt;=0,L60&lt;=0),"",ROUND(L60-K60,6)))</f>
        <v/>
      </c>
      <c r="N60" s="58" t="n"/>
      <c r="O60" s="62" t="n"/>
      <c r="P60" s="63" t="str">
        <f>IF(OR(B60="",NOT(ISNUMBER(L60))),"",IF(L60&lt;=0,"",IFERROR(ROUND(L60*N(INDEX(art_w,MATCH(H60,art_ref,0))),3),"")))</f>
        <v/>
      </c>
      <c r="Q60" s="59" t="n"/>
      <c r="R60" s="54" t="n"/>
      <c r="S60" s="59" t="n"/>
      <c r="T60" s="59" t="n"/>
      <c r="U60" s="64" t="str">
        <f>IF(OR(B60="",H60=""),"",IFERROR(IF(A60="BL",IF(N(INDEX(art_price,MATCH(H60,art_ref,0)))=0,"",N(INDEX(art_price,MATCH(H60,art_ref,0)))),IF(N(INDEX(art_cost,MATCH(H60,art_ref,0)))=0,"",N(INDEX(art_cost,MATCH(H60,art_ref,0))))),""))</f>
        <v/>
      </c>
      <c r="V60" s="64" t="str">
        <f>IF(OR(U60="",NOT(ISNUMBER(L60))),"",IF(L60&lt;=0,"",ROUND(L60*U60,2)))</f>
        <v/>
      </c>
      <c r="W60" s="60" t="str">
        <f>IF(AND(B60&lt;&gt;"",A60&lt;&gt;"BS",F60&lt;&gt;"",H60&lt;&gt;"",ISNUMBER(K60),ISNUMBER(L60)),IF(AND(K60&gt;0,L60&gt;0,K60-L60&gt;0,COUNTIFS(A61:A$2005,A60,F61:F$2005,F60,H61:H$2005,H60,AA61:AA$2005,"&gt;0")=0),ROUND(K60-L60,6),""),"")</f>
        <v/>
      </c>
      <c r="X60" s="60" t="str">
        <f>IF(AND(A60="",C60="",D60="",H60="",L60=""),"",IF(A60="","Type manquant",IF(AND(A60&lt;&gt;"BL",A60&lt;&gt;"BR",A60&lt;&gt;"BS"),"Type inconnu (BL, BR ou BS)",IF(AG60=0,"Date manquante ou invalide",IF(D60="",IF(A60="BL","Client manquant",IF(A60="BR","Fournisseur manquant","Service manquant")),IF(IF(A60="BL",ISNA(MATCH(D60,cl_code,0)),IF(A60="BR",ISNA(MATCH(D60,fo_code,0)),ISNA(MATCH(D60,p_services,0)))),IF(A60="BL","Client inconnu",IF(A60="BR","Fournisseur inconnu","Service inconnu")),IF(H60="","Article manquant",IF(ISNA(MATCH(H60,art_ref,0)),"Article inconnu",IF(OR(NOT(ISNUMBER(L60)),N(L60)&lt;=0),"Quantité invalide",IF(AND(K60&lt;&gt;"",OR(NOT(ISNUMBER(K60)),N(K60)&lt;=0)),"Qté commandée invalide",IF(AG60&lt;SUMPRODUCT(MAX((A$6:A59=A60)*AG$6:AG59)),"Date antérieure au bon précédent",IF(AND(A60&lt;&gt;"BR",ISNUMBER(M60),N(M60)&gt;0),IF(A60="BL","Livré plus que commandé","Sorti plus que demandé"),"OK"))))))))))))</f>
        <v/>
      </c>
      <c r="Y60" s="57" t="str">
        <f>IF(AND(OR(A60="BL",A60="BR",A60="BS"),AG60&gt;0,D60&lt;&gt;""),A60&amp;"|"&amp;AG60&amp;"|"&amp;D60&amp;"|"&amp;F60,"")</f>
        <v/>
      </c>
      <c r="Z60" s="57" t="str">
        <f>IF(Y60="","",IF(COUNTIF(Y$6:Y59,Y60)=0,1,0))</f>
        <v/>
      </c>
      <c r="AA60" s="57" t="str">
        <f>IF(Y60="","",IF(Z60=1,COUNTIFS(A$6:A60,A60,Z$6:Z60,1),INDEX(AA$6:AA59,MATCH(Y60,Y$6:Y59,0))))</f>
        <v/>
      </c>
      <c r="AB60" s="57" t="str">
        <f>IF(B60="","",COUNTIF(B$6:B60,B60))</f>
        <v/>
      </c>
      <c r="AC60" s="57" t="str">
        <f>IF(B60="","",B60&amp;"#"&amp;AB60)</f>
        <v/>
      </c>
      <c r="AD60" s="57" t="str">
        <f>IF(Z60=1,A60&amp;AA60,"")</f>
        <v/>
      </c>
      <c r="AE60" s="57" t="str">
        <f>IF(B60="","",YEAR(C60))</f>
        <v/>
      </c>
      <c r="AF60" s="57" t="str">
        <f>IF(B60="","",MONTH(C60))</f>
        <v/>
      </c>
      <c r="AG60" s="57">
        <f>IF(ISNUMBER(C60),C60,0)</f>
        <v>0.0</v>
      </c>
      <c r="AH60" s="57" t="str">
        <f>IF(N(W60)&gt;0,COUNTIF(W$6:W60,"&gt;0"),"")</f>
        <v/>
      </c>
      <c r="AI60" s="57" t="str">
        <f>IF(Z60=1,COUNTIF(Z$6:Z60,1),"")</f>
        <v/>
      </c>
    </row>
    <row r="61">
      <c r="A61" s="54" t="n"/>
      <c r="B61" s="55" t="str">
        <f>IF(AA61="","",A61&amp;"-"&amp;RIGHT("000"&amp;AA61,4))</f>
        <v/>
      </c>
      <c r="C61" s="56" t="n"/>
      <c r="D61" s="54" t="n"/>
      <c r="E61" s="57" t="str">
        <f>IF(D61="","",IF(A61="BL",IFERROR(INDEX(cl_name,MATCH(D61,cl_code,0))&amp;"","Client inconnu"),IF(A61="BR",IFERROR(INDEX(fo_name,MATCH(D61,fo_code,0))&amp;"","Fournisseur inconnu"),IF(A61="BS",IF(ISNA(MATCH(D61,p_services,0)),"Service inconnu",D61&amp;""),""))))</f>
        <v/>
      </c>
      <c r="F61" s="58" t="n"/>
      <c r="G61" s="58" t="n"/>
      <c r="H61" s="59" t="n"/>
      <c r="I61" s="57" t="str">
        <f>IF(H61="","",IFERROR(INDEX(art_des,MATCH(H61,art_ref,0))&amp;"","Article inconnu"))</f>
        <v/>
      </c>
      <c r="J61" s="60" t="str">
        <f>IF(H61="","",IFERROR(INDEX(art_unit,MATCH(H61,art_ref,0))&amp;"",""))</f>
        <v/>
      </c>
      <c r="K61" s="59" t="n"/>
      <c r="L61" s="59" t="n"/>
      <c r="M61" s="61" t="str">
        <f>IF(OR(B61="",NOT(ISNUMBER(K61)),NOT(ISNUMBER(L61))),"",IF(OR(K61&lt;=0,L61&lt;=0),"",ROUND(L61-K61,6)))</f>
        <v/>
      </c>
      <c r="N61" s="58" t="n"/>
      <c r="O61" s="62" t="n"/>
      <c r="P61" s="63" t="str">
        <f>IF(OR(B61="",NOT(ISNUMBER(L61))),"",IF(L61&lt;=0,"",IFERROR(ROUND(L61*N(INDEX(art_w,MATCH(H61,art_ref,0))),3),"")))</f>
        <v/>
      </c>
      <c r="Q61" s="59" t="n"/>
      <c r="R61" s="54" t="n"/>
      <c r="S61" s="59" t="n"/>
      <c r="T61" s="59" t="n"/>
      <c r="U61" s="64" t="str">
        <f>IF(OR(B61="",H61=""),"",IFERROR(IF(A61="BL",IF(N(INDEX(art_price,MATCH(H61,art_ref,0)))=0,"",N(INDEX(art_price,MATCH(H61,art_ref,0)))),IF(N(INDEX(art_cost,MATCH(H61,art_ref,0)))=0,"",N(INDEX(art_cost,MATCH(H61,art_ref,0))))),""))</f>
        <v/>
      </c>
      <c r="V61" s="64" t="str">
        <f>IF(OR(U61="",NOT(ISNUMBER(L61))),"",IF(L61&lt;=0,"",ROUND(L61*U61,2)))</f>
        <v/>
      </c>
      <c r="W61" s="60" t="str">
        <f>IF(AND(B61&lt;&gt;"",A61&lt;&gt;"BS",F61&lt;&gt;"",H61&lt;&gt;"",ISNUMBER(K61),ISNUMBER(L61)),IF(AND(K61&gt;0,L61&gt;0,K61-L61&gt;0,COUNTIFS(A62:A$2005,A61,F62:F$2005,F61,H62:H$2005,H61,AA62:AA$2005,"&gt;0")=0),ROUND(K61-L61,6),""),"")</f>
        <v/>
      </c>
      <c r="X61" s="60" t="str">
        <f>IF(AND(A61="",C61="",D61="",H61="",L61=""),"",IF(A61="","Type manquant",IF(AND(A61&lt;&gt;"BL",A61&lt;&gt;"BR",A61&lt;&gt;"BS"),"Type inconnu (BL, BR ou BS)",IF(AG61=0,"Date manquante ou invalide",IF(D61="",IF(A61="BL","Client manquant",IF(A61="BR","Fournisseur manquant","Service manquant")),IF(IF(A61="BL",ISNA(MATCH(D61,cl_code,0)),IF(A61="BR",ISNA(MATCH(D61,fo_code,0)),ISNA(MATCH(D61,p_services,0)))),IF(A61="BL","Client inconnu",IF(A61="BR","Fournisseur inconnu","Service inconnu")),IF(H61="","Article manquant",IF(ISNA(MATCH(H61,art_ref,0)),"Article inconnu",IF(OR(NOT(ISNUMBER(L61)),N(L61)&lt;=0),"Quantité invalide",IF(AND(K61&lt;&gt;"",OR(NOT(ISNUMBER(K61)),N(K61)&lt;=0)),"Qté commandée invalide",IF(AG61&lt;SUMPRODUCT(MAX((A$6:A60=A61)*AG$6:AG60)),"Date antérieure au bon précédent",IF(AND(A61&lt;&gt;"BR",ISNUMBER(M61),N(M61)&gt;0),IF(A61="BL","Livré plus que commandé","Sorti plus que demandé"),"OK"))))))))))))</f>
        <v/>
      </c>
      <c r="Y61" s="57" t="str">
        <f>IF(AND(OR(A61="BL",A61="BR",A61="BS"),AG61&gt;0,D61&lt;&gt;""),A61&amp;"|"&amp;AG61&amp;"|"&amp;D61&amp;"|"&amp;F61,"")</f>
        <v/>
      </c>
      <c r="Z61" s="57" t="str">
        <f>IF(Y61="","",IF(COUNTIF(Y$6:Y60,Y61)=0,1,0))</f>
        <v/>
      </c>
      <c r="AA61" s="57" t="str">
        <f>IF(Y61="","",IF(Z61=1,COUNTIFS(A$6:A61,A61,Z$6:Z61,1),INDEX(AA$6:AA60,MATCH(Y61,Y$6:Y60,0))))</f>
        <v/>
      </c>
      <c r="AB61" s="57" t="str">
        <f>IF(B61="","",COUNTIF(B$6:B61,B61))</f>
        <v/>
      </c>
      <c r="AC61" s="57" t="str">
        <f>IF(B61="","",B61&amp;"#"&amp;AB61)</f>
        <v/>
      </c>
      <c r="AD61" s="57" t="str">
        <f>IF(Z61=1,A61&amp;AA61,"")</f>
        <v/>
      </c>
      <c r="AE61" s="57" t="str">
        <f>IF(B61="","",YEAR(C61))</f>
        <v/>
      </c>
      <c r="AF61" s="57" t="str">
        <f>IF(B61="","",MONTH(C61))</f>
        <v/>
      </c>
      <c r="AG61" s="57">
        <f>IF(ISNUMBER(C61),C61,0)</f>
        <v>0.0</v>
      </c>
      <c r="AH61" s="57" t="str">
        <f>IF(N(W61)&gt;0,COUNTIF(W$6:W61,"&gt;0"),"")</f>
        <v/>
      </c>
      <c r="AI61" s="57" t="str">
        <f>IF(Z61=1,COUNTIF(Z$6:Z61,1),"")</f>
        <v/>
      </c>
    </row>
    <row r="62">
      <c r="A62" s="54" t="n"/>
      <c r="B62" s="55" t="str">
        <f>IF(AA62="","",A62&amp;"-"&amp;RIGHT("000"&amp;AA62,4))</f>
        <v/>
      </c>
      <c r="C62" s="56" t="n"/>
      <c r="D62" s="54" t="n"/>
      <c r="E62" s="57" t="str">
        <f>IF(D62="","",IF(A62="BL",IFERROR(INDEX(cl_name,MATCH(D62,cl_code,0))&amp;"","Client inconnu"),IF(A62="BR",IFERROR(INDEX(fo_name,MATCH(D62,fo_code,0))&amp;"","Fournisseur inconnu"),IF(A62="BS",IF(ISNA(MATCH(D62,p_services,0)),"Service inconnu",D62&amp;""),""))))</f>
        <v/>
      </c>
      <c r="F62" s="58" t="n"/>
      <c r="G62" s="58" t="n"/>
      <c r="H62" s="59" t="n"/>
      <c r="I62" s="57" t="str">
        <f>IF(H62="","",IFERROR(INDEX(art_des,MATCH(H62,art_ref,0))&amp;"","Article inconnu"))</f>
        <v/>
      </c>
      <c r="J62" s="60" t="str">
        <f>IF(H62="","",IFERROR(INDEX(art_unit,MATCH(H62,art_ref,0))&amp;"",""))</f>
        <v/>
      </c>
      <c r="K62" s="59" t="n"/>
      <c r="L62" s="59" t="n"/>
      <c r="M62" s="61" t="str">
        <f>IF(OR(B62="",NOT(ISNUMBER(K62)),NOT(ISNUMBER(L62))),"",IF(OR(K62&lt;=0,L62&lt;=0),"",ROUND(L62-K62,6)))</f>
        <v/>
      </c>
      <c r="N62" s="58" t="n"/>
      <c r="O62" s="62" t="n"/>
      <c r="P62" s="63" t="str">
        <f>IF(OR(B62="",NOT(ISNUMBER(L62))),"",IF(L62&lt;=0,"",IFERROR(ROUND(L62*N(INDEX(art_w,MATCH(H62,art_ref,0))),3),"")))</f>
        <v/>
      </c>
      <c r="Q62" s="59" t="n"/>
      <c r="R62" s="54" t="n"/>
      <c r="S62" s="59" t="n"/>
      <c r="T62" s="59" t="n"/>
      <c r="U62" s="64" t="str">
        <f>IF(OR(B62="",H62=""),"",IFERROR(IF(A62="BL",IF(N(INDEX(art_price,MATCH(H62,art_ref,0)))=0,"",N(INDEX(art_price,MATCH(H62,art_ref,0)))),IF(N(INDEX(art_cost,MATCH(H62,art_ref,0)))=0,"",N(INDEX(art_cost,MATCH(H62,art_ref,0))))),""))</f>
        <v/>
      </c>
      <c r="V62" s="64" t="str">
        <f>IF(OR(U62="",NOT(ISNUMBER(L62))),"",IF(L62&lt;=0,"",ROUND(L62*U62,2)))</f>
        <v/>
      </c>
      <c r="W62" s="60" t="str">
        <f>IF(AND(B62&lt;&gt;"",A62&lt;&gt;"BS",F62&lt;&gt;"",H62&lt;&gt;"",ISNUMBER(K62),ISNUMBER(L62)),IF(AND(K62&gt;0,L62&gt;0,K62-L62&gt;0,COUNTIFS(A63:A$2005,A62,F63:F$2005,F62,H63:H$2005,H62,AA63:AA$2005,"&gt;0")=0),ROUND(K62-L62,6),""),"")</f>
        <v/>
      </c>
      <c r="X62" s="60" t="str">
        <f>IF(AND(A62="",C62="",D62="",H62="",L62=""),"",IF(A62="","Type manquant",IF(AND(A62&lt;&gt;"BL",A62&lt;&gt;"BR",A62&lt;&gt;"BS"),"Type inconnu (BL, BR ou BS)",IF(AG62=0,"Date manquante ou invalide",IF(D62="",IF(A62="BL","Client manquant",IF(A62="BR","Fournisseur manquant","Service manquant")),IF(IF(A62="BL",ISNA(MATCH(D62,cl_code,0)),IF(A62="BR",ISNA(MATCH(D62,fo_code,0)),ISNA(MATCH(D62,p_services,0)))),IF(A62="BL","Client inconnu",IF(A62="BR","Fournisseur inconnu","Service inconnu")),IF(H62="","Article manquant",IF(ISNA(MATCH(H62,art_ref,0)),"Article inconnu",IF(OR(NOT(ISNUMBER(L62)),N(L62)&lt;=0),"Quantité invalide",IF(AND(K62&lt;&gt;"",OR(NOT(ISNUMBER(K62)),N(K62)&lt;=0)),"Qté commandée invalide",IF(AG62&lt;SUMPRODUCT(MAX((A$6:A61=A62)*AG$6:AG61)),"Date antérieure au bon précédent",IF(AND(A62&lt;&gt;"BR",ISNUMBER(M62),N(M62)&gt;0),IF(A62="BL","Livré plus que commandé","Sorti plus que demandé"),"OK"))))))))))))</f>
        <v/>
      </c>
      <c r="Y62" s="57" t="str">
        <f>IF(AND(OR(A62="BL",A62="BR",A62="BS"),AG62&gt;0,D62&lt;&gt;""),A62&amp;"|"&amp;AG62&amp;"|"&amp;D62&amp;"|"&amp;F62,"")</f>
        <v/>
      </c>
      <c r="Z62" s="57" t="str">
        <f>IF(Y62="","",IF(COUNTIF(Y$6:Y61,Y62)=0,1,0))</f>
        <v/>
      </c>
      <c r="AA62" s="57" t="str">
        <f>IF(Y62="","",IF(Z62=1,COUNTIFS(A$6:A62,A62,Z$6:Z62,1),INDEX(AA$6:AA61,MATCH(Y62,Y$6:Y61,0))))</f>
        <v/>
      </c>
      <c r="AB62" s="57" t="str">
        <f>IF(B62="","",COUNTIF(B$6:B62,B62))</f>
        <v/>
      </c>
      <c r="AC62" s="57" t="str">
        <f>IF(B62="","",B62&amp;"#"&amp;AB62)</f>
        <v/>
      </c>
      <c r="AD62" s="57" t="str">
        <f>IF(Z62=1,A62&amp;AA62,"")</f>
        <v/>
      </c>
      <c r="AE62" s="57" t="str">
        <f>IF(B62="","",YEAR(C62))</f>
        <v/>
      </c>
      <c r="AF62" s="57" t="str">
        <f>IF(B62="","",MONTH(C62))</f>
        <v/>
      </c>
      <c r="AG62" s="57">
        <f>IF(ISNUMBER(C62),C62,0)</f>
        <v>0.0</v>
      </c>
      <c r="AH62" s="57" t="str">
        <f>IF(N(W62)&gt;0,COUNTIF(W$6:W62,"&gt;0"),"")</f>
        <v/>
      </c>
      <c r="AI62" s="57" t="str">
        <f>IF(Z62=1,COUNTIF(Z$6:Z62,1),"")</f>
        <v/>
      </c>
    </row>
    <row r="63">
      <c r="A63" s="54" t="n"/>
      <c r="B63" s="55" t="str">
        <f>IF(AA63="","",A63&amp;"-"&amp;RIGHT("000"&amp;AA63,4))</f>
        <v/>
      </c>
      <c r="C63" s="56" t="n"/>
      <c r="D63" s="54" t="n"/>
      <c r="E63" s="57" t="str">
        <f>IF(D63="","",IF(A63="BL",IFERROR(INDEX(cl_name,MATCH(D63,cl_code,0))&amp;"","Client inconnu"),IF(A63="BR",IFERROR(INDEX(fo_name,MATCH(D63,fo_code,0))&amp;"","Fournisseur inconnu"),IF(A63="BS",IF(ISNA(MATCH(D63,p_services,0)),"Service inconnu",D63&amp;""),""))))</f>
        <v/>
      </c>
      <c r="F63" s="58" t="n"/>
      <c r="G63" s="58" t="n"/>
      <c r="H63" s="59" t="n"/>
      <c r="I63" s="57" t="str">
        <f>IF(H63="","",IFERROR(INDEX(art_des,MATCH(H63,art_ref,0))&amp;"","Article inconnu"))</f>
        <v/>
      </c>
      <c r="J63" s="60" t="str">
        <f>IF(H63="","",IFERROR(INDEX(art_unit,MATCH(H63,art_ref,0))&amp;"",""))</f>
        <v/>
      </c>
      <c r="K63" s="59" t="n"/>
      <c r="L63" s="59" t="n"/>
      <c r="M63" s="61" t="str">
        <f>IF(OR(B63="",NOT(ISNUMBER(K63)),NOT(ISNUMBER(L63))),"",IF(OR(K63&lt;=0,L63&lt;=0),"",ROUND(L63-K63,6)))</f>
        <v/>
      </c>
      <c r="N63" s="58" t="n"/>
      <c r="O63" s="62" t="n"/>
      <c r="P63" s="63" t="str">
        <f>IF(OR(B63="",NOT(ISNUMBER(L63))),"",IF(L63&lt;=0,"",IFERROR(ROUND(L63*N(INDEX(art_w,MATCH(H63,art_ref,0))),3),"")))</f>
        <v/>
      </c>
      <c r="Q63" s="59" t="n"/>
      <c r="R63" s="54" t="n"/>
      <c r="S63" s="59" t="n"/>
      <c r="T63" s="59" t="n"/>
      <c r="U63" s="64" t="str">
        <f>IF(OR(B63="",H63=""),"",IFERROR(IF(A63="BL",IF(N(INDEX(art_price,MATCH(H63,art_ref,0)))=0,"",N(INDEX(art_price,MATCH(H63,art_ref,0)))),IF(N(INDEX(art_cost,MATCH(H63,art_ref,0)))=0,"",N(INDEX(art_cost,MATCH(H63,art_ref,0))))),""))</f>
        <v/>
      </c>
      <c r="V63" s="64" t="str">
        <f>IF(OR(U63="",NOT(ISNUMBER(L63))),"",IF(L63&lt;=0,"",ROUND(L63*U63,2)))</f>
        <v/>
      </c>
      <c r="W63" s="60" t="str">
        <f>IF(AND(B63&lt;&gt;"",A63&lt;&gt;"BS",F63&lt;&gt;"",H63&lt;&gt;"",ISNUMBER(K63),ISNUMBER(L63)),IF(AND(K63&gt;0,L63&gt;0,K63-L63&gt;0,COUNTIFS(A64:A$2005,A63,F64:F$2005,F63,H64:H$2005,H63,AA64:AA$2005,"&gt;0")=0),ROUND(K63-L63,6),""),"")</f>
        <v/>
      </c>
      <c r="X63" s="60" t="str">
        <f>IF(AND(A63="",C63="",D63="",H63="",L63=""),"",IF(A63="","Type manquant",IF(AND(A63&lt;&gt;"BL",A63&lt;&gt;"BR",A63&lt;&gt;"BS"),"Type inconnu (BL, BR ou BS)",IF(AG63=0,"Date manquante ou invalide",IF(D63="",IF(A63="BL","Client manquant",IF(A63="BR","Fournisseur manquant","Service manquant")),IF(IF(A63="BL",ISNA(MATCH(D63,cl_code,0)),IF(A63="BR",ISNA(MATCH(D63,fo_code,0)),ISNA(MATCH(D63,p_services,0)))),IF(A63="BL","Client inconnu",IF(A63="BR","Fournisseur inconnu","Service inconnu")),IF(H63="","Article manquant",IF(ISNA(MATCH(H63,art_ref,0)),"Article inconnu",IF(OR(NOT(ISNUMBER(L63)),N(L63)&lt;=0),"Quantité invalide",IF(AND(K63&lt;&gt;"",OR(NOT(ISNUMBER(K63)),N(K63)&lt;=0)),"Qté commandée invalide",IF(AG63&lt;SUMPRODUCT(MAX((A$6:A62=A63)*AG$6:AG62)),"Date antérieure au bon précédent",IF(AND(A63&lt;&gt;"BR",ISNUMBER(M63),N(M63)&gt;0),IF(A63="BL","Livré plus que commandé","Sorti plus que demandé"),"OK"))))))))))))</f>
        <v/>
      </c>
      <c r="Y63" s="57" t="str">
        <f>IF(AND(OR(A63="BL",A63="BR",A63="BS"),AG63&gt;0,D63&lt;&gt;""),A63&amp;"|"&amp;AG63&amp;"|"&amp;D63&amp;"|"&amp;F63,"")</f>
        <v/>
      </c>
      <c r="Z63" s="57" t="str">
        <f>IF(Y63="","",IF(COUNTIF(Y$6:Y62,Y63)=0,1,0))</f>
        <v/>
      </c>
      <c r="AA63" s="57" t="str">
        <f>IF(Y63="","",IF(Z63=1,COUNTIFS(A$6:A63,A63,Z$6:Z63,1),INDEX(AA$6:AA62,MATCH(Y63,Y$6:Y62,0))))</f>
        <v/>
      </c>
      <c r="AB63" s="57" t="str">
        <f>IF(B63="","",COUNTIF(B$6:B63,B63))</f>
        <v/>
      </c>
      <c r="AC63" s="57" t="str">
        <f>IF(B63="","",B63&amp;"#"&amp;AB63)</f>
        <v/>
      </c>
      <c r="AD63" s="57" t="str">
        <f>IF(Z63=1,A63&amp;AA63,"")</f>
        <v/>
      </c>
      <c r="AE63" s="57" t="str">
        <f>IF(B63="","",YEAR(C63))</f>
        <v/>
      </c>
      <c r="AF63" s="57" t="str">
        <f>IF(B63="","",MONTH(C63))</f>
        <v/>
      </c>
      <c r="AG63" s="57">
        <f>IF(ISNUMBER(C63),C63,0)</f>
        <v>0.0</v>
      </c>
      <c r="AH63" s="57" t="str">
        <f>IF(N(W63)&gt;0,COUNTIF(W$6:W63,"&gt;0"),"")</f>
        <v/>
      </c>
      <c r="AI63" s="57" t="str">
        <f>IF(Z63=1,COUNTIF(Z$6:Z63,1),"")</f>
        <v/>
      </c>
    </row>
    <row r="64">
      <c r="A64" s="54" t="n"/>
      <c r="B64" s="55" t="str">
        <f>IF(AA64="","",A64&amp;"-"&amp;RIGHT("000"&amp;AA64,4))</f>
        <v/>
      </c>
      <c r="C64" s="56" t="n"/>
      <c r="D64" s="54" t="n"/>
      <c r="E64" s="57" t="str">
        <f>IF(D64="","",IF(A64="BL",IFERROR(INDEX(cl_name,MATCH(D64,cl_code,0))&amp;"","Client inconnu"),IF(A64="BR",IFERROR(INDEX(fo_name,MATCH(D64,fo_code,0))&amp;"","Fournisseur inconnu"),IF(A64="BS",IF(ISNA(MATCH(D64,p_services,0)),"Service inconnu",D64&amp;""),""))))</f>
        <v/>
      </c>
      <c r="F64" s="58" t="n"/>
      <c r="G64" s="58" t="n"/>
      <c r="H64" s="59" t="n"/>
      <c r="I64" s="57" t="str">
        <f>IF(H64="","",IFERROR(INDEX(art_des,MATCH(H64,art_ref,0))&amp;"","Article inconnu"))</f>
        <v/>
      </c>
      <c r="J64" s="60" t="str">
        <f>IF(H64="","",IFERROR(INDEX(art_unit,MATCH(H64,art_ref,0))&amp;"",""))</f>
        <v/>
      </c>
      <c r="K64" s="59" t="n"/>
      <c r="L64" s="59" t="n"/>
      <c r="M64" s="61" t="str">
        <f>IF(OR(B64="",NOT(ISNUMBER(K64)),NOT(ISNUMBER(L64))),"",IF(OR(K64&lt;=0,L64&lt;=0),"",ROUND(L64-K64,6)))</f>
        <v/>
      </c>
      <c r="N64" s="58" t="n"/>
      <c r="O64" s="62" t="n"/>
      <c r="P64" s="63" t="str">
        <f>IF(OR(B64="",NOT(ISNUMBER(L64))),"",IF(L64&lt;=0,"",IFERROR(ROUND(L64*N(INDEX(art_w,MATCH(H64,art_ref,0))),3),"")))</f>
        <v/>
      </c>
      <c r="Q64" s="59" t="n"/>
      <c r="R64" s="54" t="n"/>
      <c r="S64" s="59" t="n"/>
      <c r="T64" s="59" t="n"/>
      <c r="U64" s="64" t="str">
        <f>IF(OR(B64="",H64=""),"",IFERROR(IF(A64="BL",IF(N(INDEX(art_price,MATCH(H64,art_ref,0)))=0,"",N(INDEX(art_price,MATCH(H64,art_ref,0)))),IF(N(INDEX(art_cost,MATCH(H64,art_ref,0)))=0,"",N(INDEX(art_cost,MATCH(H64,art_ref,0))))),""))</f>
        <v/>
      </c>
      <c r="V64" s="64" t="str">
        <f>IF(OR(U64="",NOT(ISNUMBER(L64))),"",IF(L64&lt;=0,"",ROUND(L64*U64,2)))</f>
        <v/>
      </c>
      <c r="W64" s="60" t="str">
        <f>IF(AND(B64&lt;&gt;"",A64&lt;&gt;"BS",F64&lt;&gt;"",H64&lt;&gt;"",ISNUMBER(K64),ISNUMBER(L64)),IF(AND(K64&gt;0,L64&gt;0,K64-L64&gt;0,COUNTIFS(A65:A$2005,A64,F65:F$2005,F64,H65:H$2005,H64,AA65:AA$2005,"&gt;0")=0),ROUND(K64-L64,6),""),"")</f>
        <v/>
      </c>
      <c r="X64" s="60" t="str">
        <f>IF(AND(A64="",C64="",D64="",H64="",L64=""),"",IF(A64="","Type manquant",IF(AND(A64&lt;&gt;"BL",A64&lt;&gt;"BR",A64&lt;&gt;"BS"),"Type inconnu (BL, BR ou BS)",IF(AG64=0,"Date manquante ou invalide",IF(D64="",IF(A64="BL","Client manquant",IF(A64="BR","Fournisseur manquant","Service manquant")),IF(IF(A64="BL",ISNA(MATCH(D64,cl_code,0)),IF(A64="BR",ISNA(MATCH(D64,fo_code,0)),ISNA(MATCH(D64,p_services,0)))),IF(A64="BL","Client inconnu",IF(A64="BR","Fournisseur inconnu","Service inconnu")),IF(H64="","Article manquant",IF(ISNA(MATCH(H64,art_ref,0)),"Article inconnu",IF(OR(NOT(ISNUMBER(L64)),N(L64)&lt;=0),"Quantité invalide",IF(AND(K64&lt;&gt;"",OR(NOT(ISNUMBER(K64)),N(K64)&lt;=0)),"Qté commandée invalide",IF(AG64&lt;SUMPRODUCT(MAX((A$6:A63=A64)*AG$6:AG63)),"Date antérieure au bon précédent",IF(AND(A64&lt;&gt;"BR",ISNUMBER(M64),N(M64)&gt;0),IF(A64="BL","Livré plus que commandé","Sorti plus que demandé"),"OK"))))))))))))</f>
        <v/>
      </c>
      <c r="Y64" s="57" t="str">
        <f>IF(AND(OR(A64="BL",A64="BR",A64="BS"),AG64&gt;0,D64&lt;&gt;""),A64&amp;"|"&amp;AG64&amp;"|"&amp;D64&amp;"|"&amp;F64,"")</f>
        <v/>
      </c>
      <c r="Z64" s="57" t="str">
        <f>IF(Y64="","",IF(COUNTIF(Y$6:Y63,Y64)=0,1,0))</f>
        <v/>
      </c>
      <c r="AA64" s="57" t="str">
        <f>IF(Y64="","",IF(Z64=1,COUNTIFS(A$6:A64,A64,Z$6:Z64,1),INDEX(AA$6:AA63,MATCH(Y64,Y$6:Y63,0))))</f>
        <v/>
      </c>
      <c r="AB64" s="57" t="str">
        <f>IF(B64="","",COUNTIF(B$6:B64,B64))</f>
        <v/>
      </c>
      <c r="AC64" s="57" t="str">
        <f>IF(B64="","",B64&amp;"#"&amp;AB64)</f>
        <v/>
      </c>
      <c r="AD64" s="57" t="str">
        <f>IF(Z64=1,A64&amp;AA64,"")</f>
        <v/>
      </c>
      <c r="AE64" s="57" t="str">
        <f>IF(B64="","",YEAR(C64))</f>
        <v/>
      </c>
      <c r="AF64" s="57" t="str">
        <f>IF(B64="","",MONTH(C64))</f>
        <v/>
      </c>
      <c r="AG64" s="57">
        <f>IF(ISNUMBER(C64),C64,0)</f>
        <v>0.0</v>
      </c>
      <c r="AH64" s="57" t="str">
        <f>IF(N(W64)&gt;0,COUNTIF(W$6:W64,"&gt;0"),"")</f>
        <v/>
      </c>
      <c r="AI64" s="57" t="str">
        <f>IF(Z64=1,COUNTIF(Z$6:Z64,1),"")</f>
        <v/>
      </c>
    </row>
    <row r="65">
      <c r="A65" s="54" t="n"/>
      <c r="B65" s="55" t="str">
        <f>IF(AA65="","",A65&amp;"-"&amp;RIGHT("000"&amp;AA65,4))</f>
        <v/>
      </c>
      <c r="C65" s="56" t="n"/>
      <c r="D65" s="54" t="n"/>
      <c r="E65" s="57" t="str">
        <f>IF(D65="","",IF(A65="BL",IFERROR(INDEX(cl_name,MATCH(D65,cl_code,0))&amp;"","Client inconnu"),IF(A65="BR",IFERROR(INDEX(fo_name,MATCH(D65,fo_code,0))&amp;"","Fournisseur inconnu"),IF(A65="BS",IF(ISNA(MATCH(D65,p_services,0)),"Service inconnu",D65&amp;""),""))))</f>
        <v/>
      </c>
      <c r="F65" s="58" t="n"/>
      <c r="G65" s="58" t="n"/>
      <c r="H65" s="59" t="n"/>
      <c r="I65" s="57" t="str">
        <f>IF(H65="","",IFERROR(INDEX(art_des,MATCH(H65,art_ref,0))&amp;"","Article inconnu"))</f>
        <v/>
      </c>
      <c r="J65" s="60" t="str">
        <f>IF(H65="","",IFERROR(INDEX(art_unit,MATCH(H65,art_ref,0))&amp;"",""))</f>
        <v/>
      </c>
      <c r="K65" s="59" t="n"/>
      <c r="L65" s="59" t="n"/>
      <c r="M65" s="61" t="str">
        <f>IF(OR(B65="",NOT(ISNUMBER(K65)),NOT(ISNUMBER(L65))),"",IF(OR(K65&lt;=0,L65&lt;=0),"",ROUND(L65-K65,6)))</f>
        <v/>
      </c>
      <c r="N65" s="58" t="n"/>
      <c r="O65" s="62" t="n"/>
      <c r="P65" s="63" t="str">
        <f>IF(OR(B65="",NOT(ISNUMBER(L65))),"",IF(L65&lt;=0,"",IFERROR(ROUND(L65*N(INDEX(art_w,MATCH(H65,art_ref,0))),3),"")))</f>
        <v/>
      </c>
      <c r="Q65" s="59" t="n"/>
      <c r="R65" s="54" t="n"/>
      <c r="S65" s="59" t="n"/>
      <c r="T65" s="59" t="n"/>
      <c r="U65" s="64" t="str">
        <f>IF(OR(B65="",H65=""),"",IFERROR(IF(A65="BL",IF(N(INDEX(art_price,MATCH(H65,art_ref,0)))=0,"",N(INDEX(art_price,MATCH(H65,art_ref,0)))),IF(N(INDEX(art_cost,MATCH(H65,art_ref,0)))=0,"",N(INDEX(art_cost,MATCH(H65,art_ref,0))))),""))</f>
        <v/>
      </c>
      <c r="V65" s="64" t="str">
        <f>IF(OR(U65="",NOT(ISNUMBER(L65))),"",IF(L65&lt;=0,"",ROUND(L65*U65,2)))</f>
        <v/>
      </c>
      <c r="W65" s="60" t="str">
        <f>IF(AND(B65&lt;&gt;"",A65&lt;&gt;"BS",F65&lt;&gt;"",H65&lt;&gt;"",ISNUMBER(K65),ISNUMBER(L65)),IF(AND(K65&gt;0,L65&gt;0,K65-L65&gt;0,COUNTIFS(A66:A$2005,A65,F66:F$2005,F65,H66:H$2005,H65,AA66:AA$2005,"&gt;0")=0),ROUND(K65-L65,6),""),"")</f>
        <v/>
      </c>
      <c r="X65" s="60" t="str">
        <f>IF(AND(A65="",C65="",D65="",H65="",L65=""),"",IF(A65="","Type manquant",IF(AND(A65&lt;&gt;"BL",A65&lt;&gt;"BR",A65&lt;&gt;"BS"),"Type inconnu (BL, BR ou BS)",IF(AG65=0,"Date manquante ou invalide",IF(D65="",IF(A65="BL","Client manquant",IF(A65="BR","Fournisseur manquant","Service manquant")),IF(IF(A65="BL",ISNA(MATCH(D65,cl_code,0)),IF(A65="BR",ISNA(MATCH(D65,fo_code,0)),ISNA(MATCH(D65,p_services,0)))),IF(A65="BL","Client inconnu",IF(A65="BR","Fournisseur inconnu","Service inconnu")),IF(H65="","Article manquant",IF(ISNA(MATCH(H65,art_ref,0)),"Article inconnu",IF(OR(NOT(ISNUMBER(L65)),N(L65)&lt;=0),"Quantité invalide",IF(AND(K65&lt;&gt;"",OR(NOT(ISNUMBER(K65)),N(K65)&lt;=0)),"Qté commandée invalide",IF(AG65&lt;SUMPRODUCT(MAX((A$6:A64=A65)*AG$6:AG64)),"Date antérieure au bon précédent",IF(AND(A65&lt;&gt;"BR",ISNUMBER(M65),N(M65)&gt;0),IF(A65="BL","Livré plus que commandé","Sorti plus que demandé"),"OK"))))))))))))</f>
        <v/>
      </c>
      <c r="Y65" s="57" t="str">
        <f>IF(AND(OR(A65="BL",A65="BR",A65="BS"),AG65&gt;0,D65&lt;&gt;""),A65&amp;"|"&amp;AG65&amp;"|"&amp;D65&amp;"|"&amp;F65,"")</f>
        <v/>
      </c>
      <c r="Z65" s="57" t="str">
        <f>IF(Y65="","",IF(COUNTIF(Y$6:Y64,Y65)=0,1,0))</f>
        <v/>
      </c>
      <c r="AA65" s="57" t="str">
        <f>IF(Y65="","",IF(Z65=1,COUNTIFS(A$6:A65,A65,Z$6:Z65,1),INDEX(AA$6:AA64,MATCH(Y65,Y$6:Y64,0))))</f>
        <v/>
      </c>
      <c r="AB65" s="57" t="str">
        <f>IF(B65="","",COUNTIF(B$6:B65,B65))</f>
        <v/>
      </c>
      <c r="AC65" s="57" t="str">
        <f>IF(B65="","",B65&amp;"#"&amp;AB65)</f>
        <v/>
      </c>
      <c r="AD65" s="57" t="str">
        <f>IF(Z65=1,A65&amp;AA65,"")</f>
        <v/>
      </c>
      <c r="AE65" s="57" t="str">
        <f>IF(B65="","",YEAR(C65))</f>
        <v/>
      </c>
      <c r="AF65" s="57" t="str">
        <f>IF(B65="","",MONTH(C65))</f>
        <v/>
      </c>
      <c r="AG65" s="57">
        <f>IF(ISNUMBER(C65),C65,0)</f>
        <v>0.0</v>
      </c>
      <c r="AH65" s="57" t="str">
        <f>IF(N(W65)&gt;0,COUNTIF(W$6:W65,"&gt;0"),"")</f>
        <v/>
      </c>
      <c r="AI65" s="57" t="str">
        <f>IF(Z65=1,COUNTIF(Z$6:Z65,1),"")</f>
        <v/>
      </c>
    </row>
    <row r="66">
      <c r="A66" s="54" t="n"/>
      <c r="B66" s="55" t="str">
        <f>IF(AA66="","",A66&amp;"-"&amp;RIGHT("000"&amp;AA66,4))</f>
        <v/>
      </c>
      <c r="C66" s="56" t="n"/>
      <c r="D66" s="54" t="n"/>
      <c r="E66" s="57" t="str">
        <f>IF(D66="","",IF(A66="BL",IFERROR(INDEX(cl_name,MATCH(D66,cl_code,0))&amp;"","Client inconnu"),IF(A66="BR",IFERROR(INDEX(fo_name,MATCH(D66,fo_code,0))&amp;"","Fournisseur inconnu"),IF(A66="BS",IF(ISNA(MATCH(D66,p_services,0)),"Service inconnu",D66&amp;""),""))))</f>
        <v/>
      </c>
      <c r="F66" s="58" t="n"/>
      <c r="G66" s="58" t="n"/>
      <c r="H66" s="59" t="n"/>
      <c r="I66" s="57" t="str">
        <f>IF(H66="","",IFERROR(INDEX(art_des,MATCH(H66,art_ref,0))&amp;"","Article inconnu"))</f>
        <v/>
      </c>
      <c r="J66" s="60" t="str">
        <f>IF(H66="","",IFERROR(INDEX(art_unit,MATCH(H66,art_ref,0))&amp;"",""))</f>
        <v/>
      </c>
      <c r="K66" s="59" t="n"/>
      <c r="L66" s="59" t="n"/>
      <c r="M66" s="61" t="str">
        <f>IF(OR(B66="",NOT(ISNUMBER(K66)),NOT(ISNUMBER(L66))),"",IF(OR(K66&lt;=0,L66&lt;=0),"",ROUND(L66-K66,6)))</f>
        <v/>
      </c>
      <c r="N66" s="58" t="n"/>
      <c r="O66" s="62" t="n"/>
      <c r="P66" s="63" t="str">
        <f>IF(OR(B66="",NOT(ISNUMBER(L66))),"",IF(L66&lt;=0,"",IFERROR(ROUND(L66*N(INDEX(art_w,MATCH(H66,art_ref,0))),3),"")))</f>
        <v/>
      </c>
      <c r="Q66" s="59" t="n"/>
      <c r="R66" s="54" t="n"/>
      <c r="S66" s="59" t="n"/>
      <c r="T66" s="59" t="n"/>
      <c r="U66" s="64" t="str">
        <f>IF(OR(B66="",H66=""),"",IFERROR(IF(A66="BL",IF(N(INDEX(art_price,MATCH(H66,art_ref,0)))=0,"",N(INDEX(art_price,MATCH(H66,art_ref,0)))),IF(N(INDEX(art_cost,MATCH(H66,art_ref,0)))=0,"",N(INDEX(art_cost,MATCH(H66,art_ref,0))))),""))</f>
        <v/>
      </c>
      <c r="V66" s="64" t="str">
        <f>IF(OR(U66="",NOT(ISNUMBER(L66))),"",IF(L66&lt;=0,"",ROUND(L66*U66,2)))</f>
        <v/>
      </c>
      <c r="W66" s="60" t="str">
        <f>IF(AND(B66&lt;&gt;"",A66&lt;&gt;"BS",F66&lt;&gt;"",H66&lt;&gt;"",ISNUMBER(K66),ISNUMBER(L66)),IF(AND(K66&gt;0,L66&gt;0,K66-L66&gt;0,COUNTIFS(A67:A$2005,A66,F67:F$2005,F66,H67:H$2005,H66,AA67:AA$2005,"&gt;0")=0),ROUND(K66-L66,6),""),"")</f>
        <v/>
      </c>
      <c r="X66" s="60" t="str">
        <f>IF(AND(A66="",C66="",D66="",H66="",L66=""),"",IF(A66="","Type manquant",IF(AND(A66&lt;&gt;"BL",A66&lt;&gt;"BR",A66&lt;&gt;"BS"),"Type inconnu (BL, BR ou BS)",IF(AG66=0,"Date manquante ou invalide",IF(D66="",IF(A66="BL","Client manquant",IF(A66="BR","Fournisseur manquant","Service manquant")),IF(IF(A66="BL",ISNA(MATCH(D66,cl_code,0)),IF(A66="BR",ISNA(MATCH(D66,fo_code,0)),ISNA(MATCH(D66,p_services,0)))),IF(A66="BL","Client inconnu",IF(A66="BR","Fournisseur inconnu","Service inconnu")),IF(H66="","Article manquant",IF(ISNA(MATCH(H66,art_ref,0)),"Article inconnu",IF(OR(NOT(ISNUMBER(L66)),N(L66)&lt;=0),"Quantité invalide",IF(AND(K66&lt;&gt;"",OR(NOT(ISNUMBER(K66)),N(K66)&lt;=0)),"Qté commandée invalide",IF(AG66&lt;SUMPRODUCT(MAX((A$6:A65=A66)*AG$6:AG65)),"Date antérieure au bon précédent",IF(AND(A66&lt;&gt;"BR",ISNUMBER(M66),N(M66)&gt;0),IF(A66="BL","Livré plus que commandé","Sorti plus que demandé"),"OK"))))))))))))</f>
        <v/>
      </c>
      <c r="Y66" s="57" t="str">
        <f>IF(AND(OR(A66="BL",A66="BR",A66="BS"),AG66&gt;0,D66&lt;&gt;""),A66&amp;"|"&amp;AG66&amp;"|"&amp;D66&amp;"|"&amp;F66,"")</f>
        <v/>
      </c>
      <c r="Z66" s="57" t="str">
        <f>IF(Y66="","",IF(COUNTIF(Y$6:Y65,Y66)=0,1,0))</f>
        <v/>
      </c>
      <c r="AA66" s="57" t="str">
        <f>IF(Y66="","",IF(Z66=1,COUNTIFS(A$6:A66,A66,Z$6:Z66,1),INDEX(AA$6:AA65,MATCH(Y66,Y$6:Y65,0))))</f>
        <v/>
      </c>
      <c r="AB66" s="57" t="str">
        <f>IF(B66="","",COUNTIF(B$6:B66,B66))</f>
        <v/>
      </c>
      <c r="AC66" s="57" t="str">
        <f>IF(B66="","",B66&amp;"#"&amp;AB66)</f>
        <v/>
      </c>
      <c r="AD66" s="57" t="str">
        <f>IF(Z66=1,A66&amp;AA66,"")</f>
        <v/>
      </c>
      <c r="AE66" s="57" t="str">
        <f>IF(B66="","",YEAR(C66))</f>
        <v/>
      </c>
      <c r="AF66" s="57" t="str">
        <f>IF(B66="","",MONTH(C66))</f>
        <v/>
      </c>
      <c r="AG66" s="57">
        <f>IF(ISNUMBER(C66),C66,0)</f>
        <v>0.0</v>
      </c>
      <c r="AH66" s="57" t="str">
        <f>IF(N(W66)&gt;0,COUNTIF(W$6:W66,"&gt;0"),"")</f>
        <v/>
      </c>
      <c r="AI66" s="57" t="str">
        <f>IF(Z66=1,COUNTIF(Z$6:Z66,1),"")</f>
        <v/>
      </c>
    </row>
    <row r="67">
      <c r="A67" s="54" t="n"/>
      <c r="B67" s="55" t="str">
        <f>IF(AA67="","",A67&amp;"-"&amp;RIGHT("000"&amp;AA67,4))</f>
        <v/>
      </c>
      <c r="C67" s="56" t="n"/>
      <c r="D67" s="54" t="n"/>
      <c r="E67" s="57" t="str">
        <f>IF(D67="","",IF(A67="BL",IFERROR(INDEX(cl_name,MATCH(D67,cl_code,0))&amp;"","Client inconnu"),IF(A67="BR",IFERROR(INDEX(fo_name,MATCH(D67,fo_code,0))&amp;"","Fournisseur inconnu"),IF(A67="BS",IF(ISNA(MATCH(D67,p_services,0)),"Service inconnu",D67&amp;""),""))))</f>
        <v/>
      </c>
      <c r="F67" s="58" t="n"/>
      <c r="G67" s="58" t="n"/>
      <c r="H67" s="59" t="n"/>
      <c r="I67" s="57" t="str">
        <f>IF(H67="","",IFERROR(INDEX(art_des,MATCH(H67,art_ref,0))&amp;"","Article inconnu"))</f>
        <v/>
      </c>
      <c r="J67" s="60" t="str">
        <f>IF(H67="","",IFERROR(INDEX(art_unit,MATCH(H67,art_ref,0))&amp;"",""))</f>
        <v/>
      </c>
      <c r="K67" s="59" t="n"/>
      <c r="L67" s="59" t="n"/>
      <c r="M67" s="61" t="str">
        <f>IF(OR(B67="",NOT(ISNUMBER(K67)),NOT(ISNUMBER(L67))),"",IF(OR(K67&lt;=0,L67&lt;=0),"",ROUND(L67-K67,6)))</f>
        <v/>
      </c>
      <c r="N67" s="58" t="n"/>
      <c r="O67" s="62" t="n"/>
      <c r="P67" s="63" t="str">
        <f>IF(OR(B67="",NOT(ISNUMBER(L67))),"",IF(L67&lt;=0,"",IFERROR(ROUND(L67*N(INDEX(art_w,MATCH(H67,art_ref,0))),3),"")))</f>
        <v/>
      </c>
      <c r="Q67" s="59" t="n"/>
      <c r="R67" s="54" t="n"/>
      <c r="S67" s="59" t="n"/>
      <c r="T67" s="59" t="n"/>
      <c r="U67" s="64" t="str">
        <f>IF(OR(B67="",H67=""),"",IFERROR(IF(A67="BL",IF(N(INDEX(art_price,MATCH(H67,art_ref,0)))=0,"",N(INDEX(art_price,MATCH(H67,art_ref,0)))),IF(N(INDEX(art_cost,MATCH(H67,art_ref,0)))=0,"",N(INDEX(art_cost,MATCH(H67,art_ref,0))))),""))</f>
        <v/>
      </c>
      <c r="V67" s="64" t="str">
        <f>IF(OR(U67="",NOT(ISNUMBER(L67))),"",IF(L67&lt;=0,"",ROUND(L67*U67,2)))</f>
        <v/>
      </c>
      <c r="W67" s="60" t="str">
        <f>IF(AND(B67&lt;&gt;"",A67&lt;&gt;"BS",F67&lt;&gt;"",H67&lt;&gt;"",ISNUMBER(K67),ISNUMBER(L67)),IF(AND(K67&gt;0,L67&gt;0,K67-L67&gt;0,COUNTIFS(A68:A$2005,A67,F68:F$2005,F67,H68:H$2005,H67,AA68:AA$2005,"&gt;0")=0),ROUND(K67-L67,6),""),"")</f>
        <v/>
      </c>
      <c r="X67" s="60" t="str">
        <f>IF(AND(A67="",C67="",D67="",H67="",L67=""),"",IF(A67="","Type manquant",IF(AND(A67&lt;&gt;"BL",A67&lt;&gt;"BR",A67&lt;&gt;"BS"),"Type inconnu (BL, BR ou BS)",IF(AG67=0,"Date manquante ou invalide",IF(D67="",IF(A67="BL","Client manquant",IF(A67="BR","Fournisseur manquant","Service manquant")),IF(IF(A67="BL",ISNA(MATCH(D67,cl_code,0)),IF(A67="BR",ISNA(MATCH(D67,fo_code,0)),ISNA(MATCH(D67,p_services,0)))),IF(A67="BL","Client inconnu",IF(A67="BR","Fournisseur inconnu","Service inconnu")),IF(H67="","Article manquant",IF(ISNA(MATCH(H67,art_ref,0)),"Article inconnu",IF(OR(NOT(ISNUMBER(L67)),N(L67)&lt;=0),"Quantité invalide",IF(AND(K67&lt;&gt;"",OR(NOT(ISNUMBER(K67)),N(K67)&lt;=0)),"Qté commandée invalide",IF(AG67&lt;SUMPRODUCT(MAX((A$6:A66=A67)*AG$6:AG66)),"Date antérieure au bon précédent",IF(AND(A67&lt;&gt;"BR",ISNUMBER(M67),N(M67)&gt;0),IF(A67="BL","Livré plus que commandé","Sorti plus que demandé"),"OK"))))))))))))</f>
        <v/>
      </c>
      <c r="Y67" s="57" t="str">
        <f>IF(AND(OR(A67="BL",A67="BR",A67="BS"),AG67&gt;0,D67&lt;&gt;""),A67&amp;"|"&amp;AG67&amp;"|"&amp;D67&amp;"|"&amp;F67,"")</f>
        <v/>
      </c>
      <c r="Z67" s="57" t="str">
        <f>IF(Y67="","",IF(COUNTIF(Y$6:Y66,Y67)=0,1,0))</f>
        <v/>
      </c>
      <c r="AA67" s="57" t="str">
        <f>IF(Y67="","",IF(Z67=1,COUNTIFS(A$6:A67,A67,Z$6:Z67,1),INDEX(AA$6:AA66,MATCH(Y67,Y$6:Y66,0))))</f>
        <v/>
      </c>
      <c r="AB67" s="57" t="str">
        <f>IF(B67="","",COUNTIF(B$6:B67,B67))</f>
        <v/>
      </c>
      <c r="AC67" s="57" t="str">
        <f>IF(B67="","",B67&amp;"#"&amp;AB67)</f>
        <v/>
      </c>
      <c r="AD67" s="57" t="str">
        <f>IF(Z67=1,A67&amp;AA67,"")</f>
        <v/>
      </c>
      <c r="AE67" s="57" t="str">
        <f>IF(B67="","",YEAR(C67))</f>
        <v/>
      </c>
      <c r="AF67" s="57" t="str">
        <f>IF(B67="","",MONTH(C67))</f>
        <v/>
      </c>
      <c r="AG67" s="57">
        <f>IF(ISNUMBER(C67),C67,0)</f>
        <v>0.0</v>
      </c>
      <c r="AH67" s="57" t="str">
        <f>IF(N(W67)&gt;0,COUNTIF(W$6:W67,"&gt;0"),"")</f>
        <v/>
      </c>
      <c r="AI67" s="57" t="str">
        <f>IF(Z67=1,COUNTIF(Z$6:Z67,1),"")</f>
        <v/>
      </c>
    </row>
    <row r="68">
      <c r="A68" s="54" t="n"/>
      <c r="B68" s="55" t="str">
        <f>IF(AA68="","",A68&amp;"-"&amp;RIGHT("000"&amp;AA68,4))</f>
        <v/>
      </c>
      <c r="C68" s="56" t="n"/>
      <c r="D68" s="54" t="n"/>
      <c r="E68" s="57" t="str">
        <f>IF(D68="","",IF(A68="BL",IFERROR(INDEX(cl_name,MATCH(D68,cl_code,0))&amp;"","Client inconnu"),IF(A68="BR",IFERROR(INDEX(fo_name,MATCH(D68,fo_code,0))&amp;"","Fournisseur inconnu"),IF(A68="BS",IF(ISNA(MATCH(D68,p_services,0)),"Service inconnu",D68&amp;""),""))))</f>
        <v/>
      </c>
      <c r="F68" s="58" t="n"/>
      <c r="G68" s="58" t="n"/>
      <c r="H68" s="59" t="n"/>
      <c r="I68" s="57" t="str">
        <f>IF(H68="","",IFERROR(INDEX(art_des,MATCH(H68,art_ref,0))&amp;"","Article inconnu"))</f>
        <v/>
      </c>
      <c r="J68" s="60" t="str">
        <f>IF(H68="","",IFERROR(INDEX(art_unit,MATCH(H68,art_ref,0))&amp;"",""))</f>
        <v/>
      </c>
      <c r="K68" s="59" t="n"/>
      <c r="L68" s="59" t="n"/>
      <c r="M68" s="61" t="str">
        <f>IF(OR(B68="",NOT(ISNUMBER(K68)),NOT(ISNUMBER(L68))),"",IF(OR(K68&lt;=0,L68&lt;=0),"",ROUND(L68-K68,6)))</f>
        <v/>
      </c>
      <c r="N68" s="58" t="n"/>
      <c r="O68" s="62" t="n"/>
      <c r="P68" s="63" t="str">
        <f>IF(OR(B68="",NOT(ISNUMBER(L68))),"",IF(L68&lt;=0,"",IFERROR(ROUND(L68*N(INDEX(art_w,MATCH(H68,art_ref,0))),3),"")))</f>
        <v/>
      </c>
      <c r="Q68" s="59" t="n"/>
      <c r="R68" s="54" t="n"/>
      <c r="S68" s="59" t="n"/>
      <c r="T68" s="59" t="n"/>
      <c r="U68" s="64" t="str">
        <f>IF(OR(B68="",H68=""),"",IFERROR(IF(A68="BL",IF(N(INDEX(art_price,MATCH(H68,art_ref,0)))=0,"",N(INDEX(art_price,MATCH(H68,art_ref,0)))),IF(N(INDEX(art_cost,MATCH(H68,art_ref,0)))=0,"",N(INDEX(art_cost,MATCH(H68,art_ref,0))))),""))</f>
        <v/>
      </c>
      <c r="V68" s="64" t="str">
        <f>IF(OR(U68="",NOT(ISNUMBER(L68))),"",IF(L68&lt;=0,"",ROUND(L68*U68,2)))</f>
        <v/>
      </c>
      <c r="W68" s="60" t="str">
        <f>IF(AND(B68&lt;&gt;"",A68&lt;&gt;"BS",F68&lt;&gt;"",H68&lt;&gt;"",ISNUMBER(K68),ISNUMBER(L68)),IF(AND(K68&gt;0,L68&gt;0,K68-L68&gt;0,COUNTIFS(A69:A$2005,A68,F69:F$2005,F68,H69:H$2005,H68,AA69:AA$2005,"&gt;0")=0),ROUND(K68-L68,6),""),"")</f>
        <v/>
      </c>
      <c r="X68" s="60" t="str">
        <f>IF(AND(A68="",C68="",D68="",H68="",L68=""),"",IF(A68="","Type manquant",IF(AND(A68&lt;&gt;"BL",A68&lt;&gt;"BR",A68&lt;&gt;"BS"),"Type inconnu (BL, BR ou BS)",IF(AG68=0,"Date manquante ou invalide",IF(D68="",IF(A68="BL","Client manquant",IF(A68="BR","Fournisseur manquant","Service manquant")),IF(IF(A68="BL",ISNA(MATCH(D68,cl_code,0)),IF(A68="BR",ISNA(MATCH(D68,fo_code,0)),ISNA(MATCH(D68,p_services,0)))),IF(A68="BL","Client inconnu",IF(A68="BR","Fournisseur inconnu","Service inconnu")),IF(H68="","Article manquant",IF(ISNA(MATCH(H68,art_ref,0)),"Article inconnu",IF(OR(NOT(ISNUMBER(L68)),N(L68)&lt;=0),"Quantité invalide",IF(AND(K68&lt;&gt;"",OR(NOT(ISNUMBER(K68)),N(K68)&lt;=0)),"Qté commandée invalide",IF(AG68&lt;SUMPRODUCT(MAX((A$6:A67=A68)*AG$6:AG67)),"Date antérieure au bon précédent",IF(AND(A68&lt;&gt;"BR",ISNUMBER(M68),N(M68)&gt;0),IF(A68="BL","Livré plus que commandé","Sorti plus que demandé"),"OK"))))))))))))</f>
        <v/>
      </c>
      <c r="Y68" s="57" t="str">
        <f>IF(AND(OR(A68="BL",A68="BR",A68="BS"),AG68&gt;0,D68&lt;&gt;""),A68&amp;"|"&amp;AG68&amp;"|"&amp;D68&amp;"|"&amp;F68,"")</f>
        <v/>
      </c>
      <c r="Z68" s="57" t="str">
        <f>IF(Y68="","",IF(COUNTIF(Y$6:Y67,Y68)=0,1,0))</f>
        <v/>
      </c>
      <c r="AA68" s="57" t="str">
        <f>IF(Y68="","",IF(Z68=1,COUNTIFS(A$6:A68,A68,Z$6:Z68,1),INDEX(AA$6:AA67,MATCH(Y68,Y$6:Y67,0))))</f>
        <v/>
      </c>
      <c r="AB68" s="57" t="str">
        <f>IF(B68="","",COUNTIF(B$6:B68,B68))</f>
        <v/>
      </c>
      <c r="AC68" s="57" t="str">
        <f>IF(B68="","",B68&amp;"#"&amp;AB68)</f>
        <v/>
      </c>
      <c r="AD68" s="57" t="str">
        <f>IF(Z68=1,A68&amp;AA68,"")</f>
        <v/>
      </c>
      <c r="AE68" s="57" t="str">
        <f>IF(B68="","",YEAR(C68))</f>
        <v/>
      </c>
      <c r="AF68" s="57" t="str">
        <f>IF(B68="","",MONTH(C68))</f>
        <v/>
      </c>
      <c r="AG68" s="57">
        <f>IF(ISNUMBER(C68),C68,0)</f>
        <v>0.0</v>
      </c>
      <c r="AH68" s="57" t="str">
        <f>IF(N(W68)&gt;0,COUNTIF(W$6:W68,"&gt;0"),"")</f>
        <v/>
      </c>
      <c r="AI68" s="57" t="str">
        <f>IF(Z68=1,COUNTIF(Z$6:Z68,1),"")</f>
        <v/>
      </c>
    </row>
    <row r="69">
      <c r="A69" s="54" t="n"/>
      <c r="B69" s="55" t="str">
        <f>IF(AA69="","",A69&amp;"-"&amp;RIGHT("000"&amp;AA69,4))</f>
        <v/>
      </c>
      <c r="C69" s="56" t="n"/>
      <c r="D69" s="54" t="n"/>
      <c r="E69" s="57" t="str">
        <f>IF(D69="","",IF(A69="BL",IFERROR(INDEX(cl_name,MATCH(D69,cl_code,0))&amp;"","Client inconnu"),IF(A69="BR",IFERROR(INDEX(fo_name,MATCH(D69,fo_code,0))&amp;"","Fournisseur inconnu"),IF(A69="BS",IF(ISNA(MATCH(D69,p_services,0)),"Service inconnu",D69&amp;""),""))))</f>
        <v/>
      </c>
      <c r="F69" s="58" t="n"/>
      <c r="G69" s="58" t="n"/>
      <c r="H69" s="59" t="n"/>
      <c r="I69" s="57" t="str">
        <f>IF(H69="","",IFERROR(INDEX(art_des,MATCH(H69,art_ref,0))&amp;"","Article inconnu"))</f>
        <v/>
      </c>
      <c r="J69" s="60" t="str">
        <f>IF(H69="","",IFERROR(INDEX(art_unit,MATCH(H69,art_ref,0))&amp;"",""))</f>
        <v/>
      </c>
      <c r="K69" s="59" t="n"/>
      <c r="L69" s="59" t="n"/>
      <c r="M69" s="61" t="str">
        <f>IF(OR(B69="",NOT(ISNUMBER(K69)),NOT(ISNUMBER(L69))),"",IF(OR(K69&lt;=0,L69&lt;=0),"",ROUND(L69-K69,6)))</f>
        <v/>
      </c>
      <c r="N69" s="58" t="n"/>
      <c r="O69" s="62" t="n"/>
      <c r="P69" s="63" t="str">
        <f>IF(OR(B69="",NOT(ISNUMBER(L69))),"",IF(L69&lt;=0,"",IFERROR(ROUND(L69*N(INDEX(art_w,MATCH(H69,art_ref,0))),3),"")))</f>
        <v/>
      </c>
      <c r="Q69" s="59" t="n"/>
      <c r="R69" s="54" t="n"/>
      <c r="S69" s="59" t="n"/>
      <c r="T69" s="59" t="n"/>
      <c r="U69" s="64" t="str">
        <f>IF(OR(B69="",H69=""),"",IFERROR(IF(A69="BL",IF(N(INDEX(art_price,MATCH(H69,art_ref,0)))=0,"",N(INDEX(art_price,MATCH(H69,art_ref,0)))),IF(N(INDEX(art_cost,MATCH(H69,art_ref,0)))=0,"",N(INDEX(art_cost,MATCH(H69,art_ref,0))))),""))</f>
        <v/>
      </c>
      <c r="V69" s="64" t="str">
        <f>IF(OR(U69="",NOT(ISNUMBER(L69))),"",IF(L69&lt;=0,"",ROUND(L69*U69,2)))</f>
        <v/>
      </c>
      <c r="W69" s="60" t="str">
        <f>IF(AND(B69&lt;&gt;"",A69&lt;&gt;"BS",F69&lt;&gt;"",H69&lt;&gt;"",ISNUMBER(K69),ISNUMBER(L69)),IF(AND(K69&gt;0,L69&gt;0,K69-L69&gt;0,COUNTIFS(A70:A$2005,A69,F70:F$2005,F69,H70:H$2005,H69,AA70:AA$2005,"&gt;0")=0),ROUND(K69-L69,6),""),"")</f>
        <v/>
      </c>
      <c r="X69" s="60" t="str">
        <f>IF(AND(A69="",C69="",D69="",H69="",L69=""),"",IF(A69="","Type manquant",IF(AND(A69&lt;&gt;"BL",A69&lt;&gt;"BR",A69&lt;&gt;"BS"),"Type inconnu (BL, BR ou BS)",IF(AG69=0,"Date manquante ou invalide",IF(D69="",IF(A69="BL","Client manquant",IF(A69="BR","Fournisseur manquant","Service manquant")),IF(IF(A69="BL",ISNA(MATCH(D69,cl_code,0)),IF(A69="BR",ISNA(MATCH(D69,fo_code,0)),ISNA(MATCH(D69,p_services,0)))),IF(A69="BL","Client inconnu",IF(A69="BR","Fournisseur inconnu","Service inconnu")),IF(H69="","Article manquant",IF(ISNA(MATCH(H69,art_ref,0)),"Article inconnu",IF(OR(NOT(ISNUMBER(L69)),N(L69)&lt;=0),"Quantité invalide",IF(AND(K69&lt;&gt;"",OR(NOT(ISNUMBER(K69)),N(K69)&lt;=0)),"Qté commandée invalide",IF(AG69&lt;SUMPRODUCT(MAX((A$6:A68=A69)*AG$6:AG68)),"Date antérieure au bon précédent",IF(AND(A69&lt;&gt;"BR",ISNUMBER(M69),N(M69)&gt;0),IF(A69="BL","Livré plus que commandé","Sorti plus que demandé"),"OK"))))))))))))</f>
        <v/>
      </c>
      <c r="Y69" s="57" t="str">
        <f>IF(AND(OR(A69="BL",A69="BR",A69="BS"),AG69&gt;0,D69&lt;&gt;""),A69&amp;"|"&amp;AG69&amp;"|"&amp;D69&amp;"|"&amp;F69,"")</f>
        <v/>
      </c>
      <c r="Z69" s="57" t="str">
        <f>IF(Y69="","",IF(COUNTIF(Y$6:Y68,Y69)=0,1,0))</f>
        <v/>
      </c>
      <c r="AA69" s="57" t="str">
        <f>IF(Y69="","",IF(Z69=1,COUNTIFS(A$6:A69,A69,Z$6:Z69,1),INDEX(AA$6:AA68,MATCH(Y69,Y$6:Y68,0))))</f>
        <v/>
      </c>
      <c r="AB69" s="57" t="str">
        <f>IF(B69="","",COUNTIF(B$6:B69,B69))</f>
        <v/>
      </c>
      <c r="AC69" s="57" t="str">
        <f>IF(B69="","",B69&amp;"#"&amp;AB69)</f>
        <v/>
      </c>
      <c r="AD69" s="57" t="str">
        <f>IF(Z69=1,A69&amp;AA69,"")</f>
        <v/>
      </c>
      <c r="AE69" s="57" t="str">
        <f>IF(B69="","",YEAR(C69))</f>
        <v/>
      </c>
      <c r="AF69" s="57" t="str">
        <f>IF(B69="","",MONTH(C69))</f>
        <v/>
      </c>
      <c r="AG69" s="57">
        <f>IF(ISNUMBER(C69),C69,0)</f>
        <v>0.0</v>
      </c>
      <c r="AH69" s="57" t="str">
        <f>IF(N(W69)&gt;0,COUNTIF(W$6:W69,"&gt;0"),"")</f>
        <v/>
      </c>
      <c r="AI69" s="57" t="str">
        <f>IF(Z69=1,COUNTIF(Z$6:Z69,1),"")</f>
        <v/>
      </c>
    </row>
    <row r="70">
      <c r="A70" s="54" t="n"/>
      <c r="B70" s="55" t="str">
        <f>IF(AA70="","",A70&amp;"-"&amp;RIGHT("000"&amp;AA70,4))</f>
        <v/>
      </c>
      <c r="C70" s="56" t="n"/>
      <c r="D70" s="54" t="n"/>
      <c r="E70" s="57" t="str">
        <f>IF(D70="","",IF(A70="BL",IFERROR(INDEX(cl_name,MATCH(D70,cl_code,0))&amp;"","Client inconnu"),IF(A70="BR",IFERROR(INDEX(fo_name,MATCH(D70,fo_code,0))&amp;"","Fournisseur inconnu"),IF(A70="BS",IF(ISNA(MATCH(D70,p_services,0)),"Service inconnu",D70&amp;""),""))))</f>
        <v/>
      </c>
      <c r="F70" s="58" t="n"/>
      <c r="G70" s="58" t="n"/>
      <c r="H70" s="59" t="n"/>
      <c r="I70" s="57" t="str">
        <f>IF(H70="","",IFERROR(INDEX(art_des,MATCH(H70,art_ref,0))&amp;"","Article inconnu"))</f>
        <v/>
      </c>
      <c r="J70" s="60" t="str">
        <f>IF(H70="","",IFERROR(INDEX(art_unit,MATCH(H70,art_ref,0))&amp;"",""))</f>
        <v/>
      </c>
      <c r="K70" s="59" t="n"/>
      <c r="L70" s="59" t="n"/>
      <c r="M70" s="61" t="str">
        <f>IF(OR(B70="",NOT(ISNUMBER(K70)),NOT(ISNUMBER(L70))),"",IF(OR(K70&lt;=0,L70&lt;=0),"",ROUND(L70-K70,6)))</f>
        <v/>
      </c>
      <c r="N70" s="58" t="n"/>
      <c r="O70" s="62" t="n"/>
      <c r="P70" s="63" t="str">
        <f>IF(OR(B70="",NOT(ISNUMBER(L70))),"",IF(L70&lt;=0,"",IFERROR(ROUND(L70*N(INDEX(art_w,MATCH(H70,art_ref,0))),3),"")))</f>
        <v/>
      </c>
      <c r="Q70" s="59" t="n"/>
      <c r="R70" s="54" t="n"/>
      <c r="S70" s="59" t="n"/>
      <c r="T70" s="59" t="n"/>
      <c r="U70" s="64" t="str">
        <f>IF(OR(B70="",H70=""),"",IFERROR(IF(A70="BL",IF(N(INDEX(art_price,MATCH(H70,art_ref,0)))=0,"",N(INDEX(art_price,MATCH(H70,art_ref,0)))),IF(N(INDEX(art_cost,MATCH(H70,art_ref,0)))=0,"",N(INDEX(art_cost,MATCH(H70,art_ref,0))))),""))</f>
        <v/>
      </c>
      <c r="V70" s="64" t="str">
        <f>IF(OR(U70="",NOT(ISNUMBER(L70))),"",IF(L70&lt;=0,"",ROUND(L70*U70,2)))</f>
        <v/>
      </c>
      <c r="W70" s="60" t="str">
        <f>IF(AND(B70&lt;&gt;"",A70&lt;&gt;"BS",F70&lt;&gt;"",H70&lt;&gt;"",ISNUMBER(K70),ISNUMBER(L70)),IF(AND(K70&gt;0,L70&gt;0,K70-L70&gt;0,COUNTIFS(A71:A$2005,A70,F71:F$2005,F70,H71:H$2005,H70,AA71:AA$2005,"&gt;0")=0),ROUND(K70-L70,6),""),"")</f>
        <v/>
      </c>
      <c r="X70" s="60" t="str">
        <f>IF(AND(A70="",C70="",D70="",H70="",L70=""),"",IF(A70="","Type manquant",IF(AND(A70&lt;&gt;"BL",A70&lt;&gt;"BR",A70&lt;&gt;"BS"),"Type inconnu (BL, BR ou BS)",IF(AG70=0,"Date manquante ou invalide",IF(D70="",IF(A70="BL","Client manquant",IF(A70="BR","Fournisseur manquant","Service manquant")),IF(IF(A70="BL",ISNA(MATCH(D70,cl_code,0)),IF(A70="BR",ISNA(MATCH(D70,fo_code,0)),ISNA(MATCH(D70,p_services,0)))),IF(A70="BL","Client inconnu",IF(A70="BR","Fournisseur inconnu","Service inconnu")),IF(H70="","Article manquant",IF(ISNA(MATCH(H70,art_ref,0)),"Article inconnu",IF(OR(NOT(ISNUMBER(L70)),N(L70)&lt;=0),"Quantité invalide",IF(AND(K70&lt;&gt;"",OR(NOT(ISNUMBER(K70)),N(K70)&lt;=0)),"Qté commandée invalide",IF(AG70&lt;SUMPRODUCT(MAX((A$6:A69=A70)*AG$6:AG69)),"Date antérieure au bon précédent",IF(AND(A70&lt;&gt;"BR",ISNUMBER(M70),N(M70)&gt;0),IF(A70="BL","Livré plus que commandé","Sorti plus que demandé"),"OK"))))))))))))</f>
        <v/>
      </c>
      <c r="Y70" s="57" t="str">
        <f>IF(AND(OR(A70="BL",A70="BR",A70="BS"),AG70&gt;0,D70&lt;&gt;""),A70&amp;"|"&amp;AG70&amp;"|"&amp;D70&amp;"|"&amp;F70,"")</f>
        <v/>
      </c>
      <c r="Z70" s="57" t="str">
        <f>IF(Y70="","",IF(COUNTIF(Y$6:Y69,Y70)=0,1,0))</f>
        <v/>
      </c>
      <c r="AA70" s="57" t="str">
        <f>IF(Y70="","",IF(Z70=1,COUNTIFS(A$6:A70,A70,Z$6:Z70,1),INDEX(AA$6:AA69,MATCH(Y70,Y$6:Y69,0))))</f>
        <v/>
      </c>
      <c r="AB70" s="57" t="str">
        <f>IF(B70="","",COUNTIF(B$6:B70,B70))</f>
        <v/>
      </c>
      <c r="AC70" s="57" t="str">
        <f>IF(B70="","",B70&amp;"#"&amp;AB70)</f>
        <v/>
      </c>
      <c r="AD70" s="57" t="str">
        <f>IF(Z70=1,A70&amp;AA70,"")</f>
        <v/>
      </c>
      <c r="AE70" s="57" t="str">
        <f>IF(B70="","",YEAR(C70))</f>
        <v/>
      </c>
      <c r="AF70" s="57" t="str">
        <f>IF(B70="","",MONTH(C70))</f>
        <v/>
      </c>
      <c r="AG70" s="57">
        <f>IF(ISNUMBER(C70),C70,0)</f>
        <v>0.0</v>
      </c>
      <c r="AH70" s="57" t="str">
        <f>IF(N(W70)&gt;0,COUNTIF(W$6:W70,"&gt;0"),"")</f>
        <v/>
      </c>
      <c r="AI70" s="57" t="str">
        <f>IF(Z70=1,COUNTIF(Z$6:Z70,1),"")</f>
        <v/>
      </c>
    </row>
    <row r="71">
      <c r="A71" s="54" t="n"/>
      <c r="B71" s="55" t="str">
        <f>IF(AA71="","",A71&amp;"-"&amp;RIGHT("000"&amp;AA71,4))</f>
        <v/>
      </c>
      <c r="C71" s="56" t="n"/>
      <c r="D71" s="54" t="n"/>
      <c r="E71" s="57" t="str">
        <f>IF(D71="","",IF(A71="BL",IFERROR(INDEX(cl_name,MATCH(D71,cl_code,0))&amp;"","Client inconnu"),IF(A71="BR",IFERROR(INDEX(fo_name,MATCH(D71,fo_code,0))&amp;"","Fournisseur inconnu"),IF(A71="BS",IF(ISNA(MATCH(D71,p_services,0)),"Service inconnu",D71&amp;""),""))))</f>
        <v/>
      </c>
      <c r="F71" s="58" t="n"/>
      <c r="G71" s="58" t="n"/>
      <c r="H71" s="59" t="n"/>
      <c r="I71" s="57" t="str">
        <f>IF(H71="","",IFERROR(INDEX(art_des,MATCH(H71,art_ref,0))&amp;"","Article inconnu"))</f>
        <v/>
      </c>
      <c r="J71" s="60" t="str">
        <f>IF(H71="","",IFERROR(INDEX(art_unit,MATCH(H71,art_ref,0))&amp;"",""))</f>
        <v/>
      </c>
      <c r="K71" s="59" t="n"/>
      <c r="L71" s="59" t="n"/>
      <c r="M71" s="61" t="str">
        <f>IF(OR(B71="",NOT(ISNUMBER(K71)),NOT(ISNUMBER(L71))),"",IF(OR(K71&lt;=0,L71&lt;=0),"",ROUND(L71-K71,6)))</f>
        <v/>
      </c>
      <c r="N71" s="58" t="n"/>
      <c r="O71" s="62" t="n"/>
      <c r="P71" s="63" t="str">
        <f>IF(OR(B71="",NOT(ISNUMBER(L71))),"",IF(L71&lt;=0,"",IFERROR(ROUND(L71*N(INDEX(art_w,MATCH(H71,art_ref,0))),3),"")))</f>
        <v/>
      </c>
      <c r="Q71" s="59" t="n"/>
      <c r="R71" s="54" t="n"/>
      <c r="S71" s="59" t="n"/>
      <c r="T71" s="59" t="n"/>
      <c r="U71" s="64" t="str">
        <f>IF(OR(B71="",H71=""),"",IFERROR(IF(A71="BL",IF(N(INDEX(art_price,MATCH(H71,art_ref,0)))=0,"",N(INDEX(art_price,MATCH(H71,art_ref,0)))),IF(N(INDEX(art_cost,MATCH(H71,art_ref,0)))=0,"",N(INDEX(art_cost,MATCH(H71,art_ref,0))))),""))</f>
        <v/>
      </c>
      <c r="V71" s="64" t="str">
        <f>IF(OR(U71="",NOT(ISNUMBER(L71))),"",IF(L71&lt;=0,"",ROUND(L71*U71,2)))</f>
        <v/>
      </c>
      <c r="W71" s="60" t="str">
        <f>IF(AND(B71&lt;&gt;"",A71&lt;&gt;"BS",F71&lt;&gt;"",H71&lt;&gt;"",ISNUMBER(K71),ISNUMBER(L71)),IF(AND(K71&gt;0,L71&gt;0,K71-L71&gt;0,COUNTIFS(A72:A$2005,A71,F72:F$2005,F71,H72:H$2005,H71,AA72:AA$2005,"&gt;0")=0),ROUND(K71-L71,6),""),"")</f>
        <v/>
      </c>
      <c r="X71" s="60" t="str">
        <f>IF(AND(A71="",C71="",D71="",H71="",L71=""),"",IF(A71="","Type manquant",IF(AND(A71&lt;&gt;"BL",A71&lt;&gt;"BR",A71&lt;&gt;"BS"),"Type inconnu (BL, BR ou BS)",IF(AG71=0,"Date manquante ou invalide",IF(D71="",IF(A71="BL","Client manquant",IF(A71="BR","Fournisseur manquant","Service manquant")),IF(IF(A71="BL",ISNA(MATCH(D71,cl_code,0)),IF(A71="BR",ISNA(MATCH(D71,fo_code,0)),ISNA(MATCH(D71,p_services,0)))),IF(A71="BL","Client inconnu",IF(A71="BR","Fournisseur inconnu","Service inconnu")),IF(H71="","Article manquant",IF(ISNA(MATCH(H71,art_ref,0)),"Article inconnu",IF(OR(NOT(ISNUMBER(L71)),N(L71)&lt;=0),"Quantité invalide",IF(AND(K71&lt;&gt;"",OR(NOT(ISNUMBER(K71)),N(K71)&lt;=0)),"Qté commandée invalide",IF(AG71&lt;SUMPRODUCT(MAX((A$6:A70=A71)*AG$6:AG70)),"Date antérieure au bon précédent",IF(AND(A71&lt;&gt;"BR",ISNUMBER(M71),N(M71)&gt;0),IF(A71="BL","Livré plus que commandé","Sorti plus que demandé"),"OK"))))))))))))</f>
        <v/>
      </c>
      <c r="Y71" s="57" t="str">
        <f>IF(AND(OR(A71="BL",A71="BR",A71="BS"),AG71&gt;0,D71&lt;&gt;""),A71&amp;"|"&amp;AG71&amp;"|"&amp;D71&amp;"|"&amp;F71,"")</f>
        <v/>
      </c>
      <c r="Z71" s="57" t="str">
        <f>IF(Y71="","",IF(COUNTIF(Y$6:Y70,Y71)=0,1,0))</f>
        <v/>
      </c>
      <c r="AA71" s="57" t="str">
        <f>IF(Y71="","",IF(Z71=1,COUNTIFS(A$6:A71,A71,Z$6:Z71,1),INDEX(AA$6:AA70,MATCH(Y71,Y$6:Y70,0))))</f>
        <v/>
      </c>
      <c r="AB71" s="57" t="str">
        <f>IF(B71="","",COUNTIF(B$6:B71,B71))</f>
        <v/>
      </c>
      <c r="AC71" s="57" t="str">
        <f>IF(B71="","",B71&amp;"#"&amp;AB71)</f>
        <v/>
      </c>
      <c r="AD71" s="57" t="str">
        <f>IF(Z71=1,A71&amp;AA71,"")</f>
        <v/>
      </c>
      <c r="AE71" s="57" t="str">
        <f>IF(B71="","",YEAR(C71))</f>
        <v/>
      </c>
      <c r="AF71" s="57" t="str">
        <f>IF(B71="","",MONTH(C71))</f>
        <v/>
      </c>
      <c r="AG71" s="57">
        <f>IF(ISNUMBER(C71),C71,0)</f>
        <v>0.0</v>
      </c>
      <c r="AH71" s="57" t="str">
        <f>IF(N(W71)&gt;0,COUNTIF(W$6:W71,"&gt;0"),"")</f>
        <v/>
      </c>
      <c r="AI71" s="57" t="str">
        <f>IF(Z71=1,COUNTIF(Z$6:Z71,1),"")</f>
        <v/>
      </c>
    </row>
    <row r="72">
      <c r="A72" s="54" t="n"/>
      <c r="B72" s="55" t="str">
        <f>IF(AA72="","",A72&amp;"-"&amp;RIGHT("000"&amp;AA72,4))</f>
        <v/>
      </c>
      <c r="C72" s="56" t="n"/>
      <c r="D72" s="54" t="n"/>
      <c r="E72" s="57" t="str">
        <f>IF(D72="","",IF(A72="BL",IFERROR(INDEX(cl_name,MATCH(D72,cl_code,0))&amp;"","Client inconnu"),IF(A72="BR",IFERROR(INDEX(fo_name,MATCH(D72,fo_code,0))&amp;"","Fournisseur inconnu"),IF(A72="BS",IF(ISNA(MATCH(D72,p_services,0)),"Service inconnu",D72&amp;""),""))))</f>
        <v/>
      </c>
      <c r="F72" s="58" t="n"/>
      <c r="G72" s="58" t="n"/>
      <c r="H72" s="59" t="n"/>
      <c r="I72" s="57" t="str">
        <f>IF(H72="","",IFERROR(INDEX(art_des,MATCH(H72,art_ref,0))&amp;"","Article inconnu"))</f>
        <v/>
      </c>
      <c r="J72" s="60" t="str">
        <f>IF(H72="","",IFERROR(INDEX(art_unit,MATCH(H72,art_ref,0))&amp;"",""))</f>
        <v/>
      </c>
      <c r="K72" s="59" t="n"/>
      <c r="L72" s="59" t="n"/>
      <c r="M72" s="61" t="str">
        <f>IF(OR(B72="",NOT(ISNUMBER(K72)),NOT(ISNUMBER(L72))),"",IF(OR(K72&lt;=0,L72&lt;=0),"",ROUND(L72-K72,6)))</f>
        <v/>
      </c>
      <c r="N72" s="58" t="n"/>
      <c r="O72" s="62" t="n"/>
      <c r="P72" s="63" t="str">
        <f>IF(OR(B72="",NOT(ISNUMBER(L72))),"",IF(L72&lt;=0,"",IFERROR(ROUND(L72*N(INDEX(art_w,MATCH(H72,art_ref,0))),3),"")))</f>
        <v/>
      </c>
      <c r="Q72" s="59" t="n"/>
      <c r="R72" s="54" t="n"/>
      <c r="S72" s="59" t="n"/>
      <c r="T72" s="59" t="n"/>
      <c r="U72" s="64" t="str">
        <f>IF(OR(B72="",H72=""),"",IFERROR(IF(A72="BL",IF(N(INDEX(art_price,MATCH(H72,art_ref,0)))=0,"",N(INDEX(art_price,MATCH(H72,art_ref,0)))),IF(N(INDEX(art_cost,MATCH(H72,art_ref,0)))=0,"",N(INDEX(art_cost,MATCH(H72,art_ref,0))))),""))</f>
        <v/>
      </c>
      <c r="V72" s="64" t="str">
        <f>IF(OR(U72="",NOT(ISNUMBER(L72))),"",IF(L72&lt;=0,"",ROUND(L72*U72,2)))</f>
        <v/>
      </c>
      <c r="W72" s="60" t="str">
        <f>IF(AND(B72&lt;&gt;"",A72&lt;&gt;"BS",F72&lt;&gt;"",H72&lt;&gt;"",ISNUMBER(K72),ISNUMBER(L72)),IF(AND(K72&gt;0,L72&gt;0,K72-L72&gt;0,COUNTIFS(A73:A$2005,A72,F73:F$2005,F72,H73:H$2005,H72,AA73:AA$2005,"&gt;0")=0),ROUND(K72-L72,6),""),"")</f>
        <v/>
      </c>
      <c r="X72" s="60" t="str">
        <f>IF(AND(A72="",C72="",D72="",H72="",L72=""),"",IF(A72="","Type manquant",IF(AND(A72&lt;&gt;"BL",A72&lt;&gt;"BR",A72&lt;&gt;"BS"),"Type inconnu (BL, BR ou BS)",IF(AG72=0,"Date manquante ou invalide",IF(D72="",IF(A72="BL","Client manquant",IF(A72="BR","Fournisseur manquant","Service manquant")),IF(IF(A72="BL",ISNA(MATCH(D72,cl_code,0)),IF(A72="BR",ISNA(MATCH(D72,fo_code,0)),ISNA(MATCH(D72,p_services,0)))),IF(A72="BL","Client inconnu",IF(A72="BR","Fournisseur inconnu","Service inconnu")),IF(H72="","Article manquant",IF(ISNA(MATCH(H72,art_ref,0)),"Article inconnu",IF(OR(NOT(ISNUMBER(L72)),N(L72)&lt;=0),"Quantité invalide",IF(AND(K72&lt;&gt;"",OR(NOT(ISNUMBER(K72)),N(K72)&lt;=0)),"Qté commandée invalide",IF(AG72&lt;SUMPRODUCT(MAX((A$6:A71=A72)*AG$6:AG71)),"Date antérieure au bon précédent",IF(AND(A72&lt;&gt;"BR",ISNUMBER(M72),N(M72)&gt;0),IF(A72="BL","Livré plus que commandé","Sorti plus que demandé"),"OK"))))))))))))</f>
        <v/>
      </c>
      <c r="Y72" s="57" t="str">
        <f>IF(AND(OR(A72="BL",A72="BR",A72="BS"),AG72&gt;0,D72&lt;&gt;""),A72&amp;"|"&amp;AG72&amp;"|"&amp;D72&amp;"|"&amp;F72,"")</f>
        <v/>
      </c>
      <c r="Z72" s="57" t="str">
        <f>IF(Y72="","",IF(COUNTIF(Y$6:Y71,Y72)=0,1,0))</f>
        <v/>
      </c>
      <c r="AA72" s="57" t="str">
        <f>IF(Y72="","",IF(Z72=1,COUNTIFS(A$6:A72,A72,Z$6:Z72,1),INDEX(AA$6:AA71,MATCH(Y72,Y$6:Y71,0))))</f>
        <v/>
      </c>
      <c r="AB72" s="57" t="str">
        <f>IF(B72="","",COUNTIF(B$6:B72,B72))</f>
        <v/>
      </c>
      <c r="AC72" s="57" t="str">
        <f>IF(B72="","",B72&amp;"#"&amp;AB72)</f>
        <v/>
      </c>
      <c r="AD72" s="57" t="str">
        <f>IF(Z72=1,A72&amp;AA72,"")</f>
        <v/>
      </c>
      <c r="AE72" s="57" t="str">
        <f>IF(B72="","",YEAR(C72))</f>
        <v/>
      </c>
      <c r="AF72" s="57" t="str">
        <f>IF(B72="","",MONTH(C72))</f>
        <v/>
      </c>
      <c r="AG72" s="57">
        <f>IF(ISNUMBER(C72),C72,0)</f>
        <v>0.0</v>
      </c>
      <c r="AH72" s="57" t="str">
        <f>IF(N(W72)&gt;0,COUNTIF(W$6:W72,"&gt;0"),"")</f>
        <v/>
      </c>
      <c r="AI72" s="57" t="str">
        <f>IF(Z72=1,COUNTIF(Z$6:Z72,1),"")</f>
        <v/>
      </c>
    </row>
    <row r="73">
      <c r="A73" s="54" t="n"/>
      <c r="B73" s="55" t="str">
        <f>IF(AA73="","",A73&amp;"-"&amp;RIGHT("000"&amp;AA73,4))</f>
        <v/>
      </c>
      <c r="C73" s="56" t="n"/>
      <c r="D73" s="54" t="n"/>
      <c r="E73" s="57" t="str">
        <f>IF(D73="","",IF(A73="BL",IFERROR(INDEX(cl_name,MATCH(D73,cl_code,0))&amp;"","Client inconnu"),IF(A73="BR",IFERROR(INDEX(fo_name,MATCH(D73,fo_code,0))&amp;"","Fournisseur inconnu"),IF(A73="BS",IF(ISNA(MATCH(D73,p_services,0)),"Service inconnu",D73&amp;""),""))))</f>
        <v/>
      </c>
      <c r="F73" s="58" t="n"/>
      <c r="G73" s="58" t="n"/>
      <c r="H73" s="59" t="n"/>
      <c r="I73" s="57" t="str">
        <f>IF(H73="","",IFERROR(INDEX(art_des,MATCH(H73,art_ref,0))&amp;"","Article inconnu"))</f>
        <v/>
      </c>
      <c r="J73" s="60" t="str">
        <f>IF(H73="","",IFERROR(INDEX(art_unit,MATCH(H73,art_ref,0))&amp;"",""))</f>
        <v/>
      </c>
      <c r="K73" s="59" t="n"/>
      <c r="L73" s="59" t="n"/>
      <c r="M73" s="61" t="str">
        <f>IF(OR(B73="",NOT(ISNUMBER(K73)),NOT(ISNUMBER(L73))),"",IF(OR(K73&lt;=0,L73&lt;=0),"",ROUND(L73-K73,6)))</f>
        <v/>
      </c>
      <c r="N73" s="58" t="n"/>
      <c r="O73" s="62" t="n"/>
      <c r="P73" s="63" t="str">
        <f>IF(OR(B73="",NOT(ISNUMBER(L73))),"",IF(L73&lt;=0,"",IFERROR(ROUND(L73*N(INDEX(art_w,MATCH(H73,art_ref,0))),3),"")))</f>
        <v/>
      </c>
      <c r="Q73" s="59" t="n"/>
      <c r="R73" s="54" t="n"/>
      <c r="S73" s="59" t="n"/>
      <c r="T73" s="59" t="n"/>
      <c r="U73" s="64" t="str">
        <f>IF(OR(B73="",H73=""),"",IFERROR(IF(A73="BL",IF(N(INDEX(art_price,MATCH(H73,art_ref,0)))=0,"",N(INDEX(art_price,MATCH(H73,art_ref,0)))),IF(N(INDEX(art_cost,MATCH(H73,art_ref,0)))=0,"",N(INDEX(art_cost,MATCH(H73,art_ref,0))))),""))</f>
        <v/>
      </c>
      <c r="V73" s="64" t="str">
        <f>IF(OR(U73="",NOT(ISNUMBER(L73))),"",IF(L73&lt;=0,"",ROUND(L73*U73,2)))</f>
        <v/>
      </c>
      <c r="W73" s="60" t="str">
        <f>IF(AND(B73&lt;&gt;"",A73&lt;&gt;"BS",F73&lt;&gt;"",H73&lt;&gt;"",ISNUMBER(K73),ISNUMBER(L73)),IF(AND(K73&gt;0,L73&gt;0,K73-L73&gt;0,COUNTIFS(A74:A$2005,A73,F74:F$2005,F73,H74:H$2005,H73,AA74:AA$2005,"&gt;0")=0),ROUND(K73-L73,6),""),"")</f>
        <v/>
      </c>
      <c r="X73" s="60" t="str">
        <f>IF(AND(A73="",C73="",D73="",H73="",L73=""),"",IF(A73="","Type manquant",IF(AND(A73&lt;&gt;"BL",A73&lt;&gt;"BR",A73&lt;&gt;"BS"),"Type inconnu (BL, BR ou BS)",IF(AG73=0,"Date manquante ou invalide",IF(D73="",IF(A73="BL","Client manquant",IF(A73="BR","Fournisseur manquant","Service manquant")),IF(IF(A73="BL",ISNA(MATCH(D73,cl_code,0)),IF(A73="BR",ISNA(MATCH(D73,fo_code,0)),ISNA(MATCH(D73,p_services,0)))),IF(A73="BL","Client inconnu",IF(A73="BR","Fournisseur inconnu","Service inconnu")),IF(H73="","Article manquant",IF(ISNA(MATCH(H73,art_ref,0)),"Article inconnu",IF(OR(NOT(ISNUMBER(L73)),N(L73)&lt;=0),"Quantité invalide",IF(AND(K73&lt;&gt;"",OR(NOT(ISNUMBER(K73)),N(K73)&lt;=0)),"Qté commandée invalide",IF(AG73&lt;SUMPRODUCT(MAX((A$6:A72=A73)*AG$6:AG72)),"Date antérieure au bon précédent",IF(AND(A73&lt;&gt;"BR",ISNUMBER(M73),N(M73)&gt;0),IF(A73="BL","Livré plus que commandé","Sorti plus que demandé"),"OK"))))))))))))</f>
        <v/>
      </c>
      <c r="Y73" s="57" t="str">
        <f>IF(AND(OR(A73="BL",A73="BR",A73="BS"),AG73&gt;0,D73&lt;&gt;""),A73&amp;"|"&amp;AG73&amp;"|"&amp;D73&amp;"|"&amp;F73,"")</f>
        <v/>
      </c>
      <c r="Z73" s="57" t="str">
        <f>IF(Y73="","",IF(COUNTIF(Y$6:Y72,Y73)=0,1,0))</f>
        <v/>
      </c>
      <c r="AA73" s="57" t="str">
        <f>IF(Y73="","",IF(Z73=1,COUNTIFS(A$6:A73,A73,Z$6:Z73,1),INDEX(AA$6:AA72,MATCH(Y73,Y$6:Y72,0))))</f>
        <v/>
      </c>
      <c r="AB73" s="57" t="str">
        <f>IF(B73="","",COUNTIF(B$6:B73,B73))</f>
        <v/>
      </c>
      <c r="AC73" s="57" t="str">
        <f>IF(B73="","",B73&amp;"#"&amp;AB73)</f>
        <v/>
      </c>
      <c r="AD73" s="57" t="str">
        <f>IF(Z73=1,A73&amp;AA73,"")</f>
        <v/>
      </c>
      <c r="AE73" s="57" t="str">
        <f>IF(B73="","",YEAR(C73))</f>
        <v/>
      </c>
      <c r="AF73" s="57" t="str">
        <f>IF(B73="","",MONTH(C73))</f>
        <v/>
      </c>
      <c r="AG73" s="57">
        <f>IF(ISNUMBER(C73),C73,0)</f>
        <v>0.0</v>
      </c>
      <c r="AH73" s="57" t="str">
        <f>IF(N(W73)&gt;0,COUNTIF(W$6:W73,"&gt;0"),"")</f>
        <v/>
      </c>
      <c r="AI73" s="57" t="str">
        <f>IF(Z73=1,COUNTIF(Z$6:Z73,1),"")</f>
        <v/>
      </c>
    </row>
    <row r="74">
      <c r="A74" s="54" t="n"/>
      <c r="B74" s="55" t="str">
        <f>IF(AA74="","",A74&amp;"-"&amp;RIGHT("000"&amp;AA74,4))</f>
        <v/>
      </c>
      <c r="C74" s="56" t="n"/>
      <c r="D74" s="54" t="n"/>
      <c r="E74" s="57" t="str">
        <f>IF(D74="","",IF(A74="BL",IFERROR(INDEX(cl_name,MATCH(D74,cl_code,0))&amp;"","Client inconnu"),IF(A74="BR",IFERROR(INDEX(fo_name,MATCH(D74,fo_code,0))&amp;"","Fournisseur inconnu"),IF(A74="BS",IF(ISNA(MATCH(D74,p_services,0)),"Service inconnu",D74&amp;""),""))))</f>
        <v/>
      </c>
      <c r="F74" s="58" t="n"/>
      <c r="G74" s="58" t="n"/>
      <c r="H74" s="59" t="n"/>
      <c r="I74" s="57" t="str">
        <f>IF(H74="","",IFERROR(INDEX(art_des,MATCH(H74,art_ref,0))&amp;"","Article inconnu"))</f>
        <v/>
      </c>
      <c r="J74" s="60" t="str">
        <f>IF(H74="","",IFERROR(INDEX(art_unit,MATCH(H74,art_ref,0))&amp;"",""))</f>
        <v/>
      </c>
      <c r="K74" s="59" t="n"/>
      <c r="L74" s="59" t="n"/>
      <c r="M74" s="61" t="str">
        <f>IF(OR(B74="",NOT(ISNUMBER(K74)),NOT(ISNUMBER(L74))),"",IF(OR(K74&lt;=0,L74&lt;=0),"",ROUND(L74-K74,6)))</f>
        <v/>
      </c>
      <c r="N74" s="58" t="n"/>
      <c r="O74" s="62" t="n"/>
      <c r="P74" s="63" t="str">
        <f>IF(OR(B74="",NOT(ISNUMBER(L74))),"",IF(L74&lt;=0,"",IFERROR(ROUND(L74*N(INDEX(art_w,MATCH(H74,art_ref,0))),3),"")))</f>
        <v/>
      </c>
      <c r="Q74" s="59" t="n"/>
      <c r="R74" s="54" t="n"/>
      <c r="S74" s="59" t="n"/>
      <c r="T74" s="59" t="n"/>
      <c r="U74" s="64" t="str">
        <f>IF(OR(B74="",H74=""),"",IFERROR(IF(A74="BL",IF(N(INDEX(art_price,MATCH(H74,art_ref,0)))=0,"",N(INDEX(art_price,MATCH(H74,art_ref,0)))),IF(N(INDEX(art_cost,MATCH(H74,art_ref,0)))=0,"",N(INDEX(art_cost,MATCH(H74,art_ref,0))))),""))</f>
        <v/>
      </c>
      <c r="V74" s="64" t="str">
        <f>IF(OR(U74="",NOT(ISNUMBER(L74))),"",IF(L74&lt;=0,"",ROUND(L74*U74,2)))</f>
        <v/>
      </c>
      <c r="W74" s="60" t="str">
        <f>IF(AND(B74&lt;&gt;"",A74&lt;&gt;"BS",F74&lt;&gt;"",H74&lt;&gt;"",ISNUMBER(K74),ISNUMBER(L74)),IF(AND(K74&gt;0,L74&gt;0,K74-L74&gt;0,COUNTIFS(A75:A$2005,A74,F75:F$2005,F74,H75:H$2005,H74,AA75:AA$2005,"&gt;0")=0),ROUND(K74-L74,6),""),"")</f>
        <v/>
      </c>
      <c r="X74" s="60" t="str">
        <f>IF(AND(A74="",C74="",D74="",H74="",L74=""),"",IF(A74="","Type manquant",IF(AND(A74&lt;&gt;"BL",A74&lt;&gt;"BR",A74&lt;&gt;"BS"),"Type inconnu (BL, BR ou BS)",IF(AG74=0,"Date manquante ou invalide",IF(D74="",IF(A74="BL","Client manquant",IF(A74="BR","Fournisseur manquant","Service manquant")),IF(IF(A74="BL",ISNA(MATCH(D74,cl_code,0)),IF(A74="BR",ISNA(MATCH(D74,fo_code,0)),ISNA(MATCH(D74,p_services,0)))),IF(A74="BL","Client inconnu",IF(A74="BR","Fournisseur inconnu","Service inconnu")),IF(H74="","Article manquant",IF(ISNA(MATCH(H74,art_ref,0)),"Article inconnu",IF(OR(NOT(ISNUMBER(L74)),N(L74)&lt;=0),"Quantité invalide",IF(AND(K74&lt;&gt;"",OR(NOT(ISNUMBER(K74)),N(K74)&lt;=0)),"Qté commandée invalide",IF(AG74&lt;SUMPRODUCT(MAX((A$6:A73=A74)*AG$6:AG73)),"Date antérieure au bon précédent",IF(AND(A74&lt;&gt;"BR",ISNUMBER(M74),N(M74)&gt;0),IF(A74="BL","Livré plus que commandé","Sorti plus que demandé"),"OK"))))))))))))</f>
        <v/>
      </c>
      <c r="Y74" s="57" t="str">
        <f>IF(AND(OR(A74="BL",A74="BR",A74="BS"),AG74&gt;0,D74&lt;&gt;""),A74&amp;"|"&amp;AG74&amp;"|"&amp;D74&amp;"|"&amp;F74,"")</f>
        <v/>
      </c>
      <c r="Z74" s="57" t="str">
        <f>IF(Y74="","",IF(COUNTIF(Y$6:Y73,Y74)=0,1,0))</f>
        <v/>
      </c>
      <c r="AA74" s="57" t="str">
        <f>IF(Y74="","",IF(Z74=1,COUNTIFS(A$6:A74,A74,Z$6:Z74,1),INDEX(AA$6:AA73,MATCH(Y74,Y$6:Y73,0))))</f>
        <v/>
      </c>
      <c r="AB74" s="57" t="str">
        <f>IF(B74="","",COUNTIF(B$6:B74,B74))</f>
        <v/>
      </c>
      <c r="AC74" s="57" t="str">
        <f>IF(B74="","",B74&amp;"#"&amp;AB74)</f>
        <v/>
      </c>
      <c r="AD74" s="57" t="str">
        <f>IF(Z74=1,A74&amp;AA74,"")</f>
        <v/>
      </c>
      <c r="AE74" s="57" t="str">
        <f>IF(B74="","",YEAR(C74))</f>
        <v/>
      </c>
      <c r="AF74" s="57" t="str">
        <f>IF(B74="","",MONTH(C74))</f>
        <v/>
      </c>
      <c r="AG74" s="57">
        <f>IF(ISNUMBER(C74),C74,0)</f>
        <v>0.0</v>
      </c>
      <c r="AH74" s="57" t="str">
        <f>IF(N(W74)&gt;0,COUNTIF(W$6:W74,"&gt;0"),"")</f>
        <v/>
      </c>
      <c r="AI74" s="57" t="str">
        <f>IF(Z74=1,COUNTIF(Z$6:Z74,1),"")</f>
        <v/>
      </c>
    </row>
    <row r="75">
      <c r="A75" s="54" t="n"/>
      <c r="B75" s="55" t="str">
        <f>IF(AA75="","",A75&amp;"-"&amp;RIGHT("000"&amp;AA75,4))</f>
        <v/>
      </c>
      <c r="C75" s="56" t="n"/>
      <c r="D75" s="54" t="n"/>
      <c r="E75" s="57" t="str">
        <f>IF(D75="","",IF(A75="BL",IFERROR(INDEX(cl_name,MATCH(D75,cl_code,0))&amp;"","Client inconnu"),IF(A75="BR",IFERROR(INDEX(fo_name,MATCH(D75,fo_code,0))&amp;"","Fournisseur inconnu"),IF(A75="BS",IF(ISNA(MATCH(D75,p_services,0)),"Service inconnu",D75&amp;""),""))))</f>
        <v/>
      </c>
      <c r="F75" s="58" t="n"/>
      <c r="G75" s="58" t="n"/>
      <c r="H75" s="59" t="n"/>
      <c r="I75" s="57" t="str">
        <f>IF(H75="","",IFERROR(INDEX(art_des,MATCH(H75,art_ref,0))&amp;"","Article inconnu"))</f>
        <v/>
      </c>
      <c r="J75" s="60" t="str">
        <f>IF(H75="","",IFERROR(INDEX(art_unit,MATCH(H75,art_ref,0))&amp;"",""))</f>
        <v/>
      </c>
      <c r="K75" s="59" t="n"/>
      <c r="L75" s="59" t="n"/>
      <c r="M75" s="61" t="str">
        <f>IF(OR(B75="",NOT(ISNUMBER(K75)),NOT(ISNUMBER(L75))),"",IF(OR(K75&lt;=0,L75&lt;=0),"",ROUND(L75-K75,6)))</f>
        <v/>
      </c>
      <c r="N75" s="58" t="n"/>
      <c r="O75" s="62" t="n"/>
      <c r="P75" s="63" t="str">
        <f>IF(OR(B75="",NOT(ISNUMBER(L75))),"",IF(L75&lt;=0,"",IFERROR(ROUND(L75*N(INDEX(art_w,MATCH(H75,art_ref,0))),3),"")))</f>
        <v/>
      </c>
      <c r="Q75" s="59" t="n"/>
      <c r="R75" s="54" t="n"/>
      <c r="S75" s="59" t="n"/>
      <c r="T75" s="59" t="n"/>
      <c r="U75" s="64" t="str">
        <f>IF(OR(B75="",H75=""),"",IFERROR(IF(A75="BL",IF(N(INDEX(art_price,MATCH(H75,art_ref,0)))=0,"",N(INDEX(art_price,MATCH(H75,art_ref,0)))),IF(N(INDEX(art_cost,MATCH(H75,art_ref,0)))=0,"",N(INDEX(art_cost,MATCH(H75,art_ref,0))))),""))</f>
        <v/>
      </c>
      <c r="V75" s="64" t="str">
        <f>IF(OR(U75="",NOT(ISNUMBER(L75))),"",IF(L75&lt;=0,"",ROUND(L75*U75,2)))</f>
        <v/>
      </c>
      <c r="W75" s="60" t="str">
        <f>IF(AND(B75&lt;&gt;"",A75&lt;&gt;"BS",F75&lt;&gt;"",H75&lt;&gt;"",ISNUMBER(K75),ISNUMBER(L75)),IF(AND(K75&gt;0,L75&gt;0,K75-L75&gt;0,COUNTIFS(A76:A$2005,A75,F76:F$2005,F75,H76:H$2005,H75,AA76:AA$2005,"&gt;0")=0),ROUND(K75-L75,6),""),"")</f>
        <v/>
      </c>
      <c r="X75" s="60" t="str">
        <f>IF(AND(A75="",C75="",D75="",H75="",L75=""),"",IF(A75="","Type manquant",IF(AND(A75&lt;&gt;"BL",A75&lt;&gt;"BR",A75&lt;&gt;"BS"),"Type inconnu (BL, BR ou BS)",IF(AG75=0,"Date manquante ou invalide",IF(D75="",IF(A75="BL","Client manquant",IF(A75="BR","Fournisseur manquant","Service manquant")),IF(IF(A75="BL",ISNA(MATCH(D75,cl_code,0)),IF(A75="BR",ISNA(MATCH(D75,fo_code,0)),ISNA(MATCH(D75,p_services,0)))),IF(A75="BL","Client inconnu",IF(A75="BR","Fournisseur inconnu","Service inconnu")),IF(H75="","Article manquant",IF(ISNA(MATCH(H75,art_ref,0)),"Article inconnu",IF(OR(NOT(ISNUMBER(L75)),N(L75)&lt;=0),"Quantité invalide",IF(AND(K75&lt;&gt;"",OR(NOT(ISNUMBER(K75)),N(K75)&lt;=0)),"Qté commandée invalide",IF(AG75&lt;SUMPRODUCT(MAX((A$6:A74=A75)*AG$6:AG74)),"Date antérieure au bon précédent",IF(AND(A75&lt;&gt;"BR",ISNUMBER(M75),N(M75)&gt;0),IF(A75="BL","Livré plus que commandé","Sorti plus que demandé"),"OK"))))))))))))</f>
        <v/>
      </c>
      <c r="Y75" s="57" t="str">
        <f>IF(AND(OR(A75="BL",A75="BR",A75="BS"),AG75&gt;0,D75&lt;&gt;""),A75&amp;"|"&amp;AG75&amp;"|"&amp;D75&amp;"|"&amp;F75,"")</f>
        <v/>
      </c>
      <c r="Z75" s="57" t="str">
        <f>IF(Y75="","",IF(COUNTIF(Y$6:Y74,Y75)=0,1,0))</f>
        <v/>
      </c>
      <c r="AA75" s="57" t="str">
        <f>IF(Y75="","",IF(Z75=1,COUNTIFS(A$6:A75,A75,Z$6:Z75,1),INDEX(AA$6:AA74,MATCH(Y75,Y$6:Y74,0))))</f>
        <v/>
      </c>
      <c r="AB75" s="57" t="str">
        <f>IF(B75="","",COUNTIF(B$6:B75,B75))</f>
        <v/>
      </c>
      <c r="AC75" s="57" t="str">
        <f>IF(B75="","",B75&amp;"#"&amp;AB75)</f>
        <v/>
      </c>
      <c r="AD75" s="57" t="str">
        <f>IF(Z75=1,A75&amp;AA75,"")</f>
        <v/>
      </c>
      <c r="AE75" s="57" t="str">
        <f>IF(B75="","",YEAR(C75))</f>
        <v/>
      </c>
      <c r="AF75" s="57" t="str">
        <f>IF(B75="","",MONTH(C75))</f>
        <v/>
      </c>
      <c r="AG75" s="57">
        <f>IF(ISNUMBER(C75),C75,0)</f>
        <v>0.0</v>
      </c>
      <c r="AH75" s="57" t="str">
        <f>IF(N(W75)&gt;0,COUNTIF(W$6:W75,"&gt;0"),"")</f>
        <v/>
      </c>
      <c r="AI75" s="57" t="str">
        <f>IF(Z75=1,COUNTIF(Z$6:Z75,1),"")</f>
        <v/>
      </c>
    </row>
    <row r="76">
      <c r="A76" s="54" t="n"/>
      <c r="B76" s="55" t="str">
        <f>IF(AA76="","",A76&amp;"-"&amp;RIGHT("000"&amp;AA76,4))</f>
        <v/>
      </c>
      <c r="C76" s="56" t="n"/>
      <c r="D76" s="54" t="n"/>
      <c r="E76" s="57" t="str">
        <f>IF(D76="","",IF(A76="BL",IFERROR(INDEX(cl_name,MATCH(D76,cl_code,0))&amp;"","Client inconnu"),IF(A76="BR",IFERROR(INDEX(fo_name,MATCH(D76,fo_code,0))&amp;"","Fournisseur inconnu"),IF(A76="BS",IF(ISNA(MATCH(D76,p_services,0)),"Service inconnu",D76&amp;""),""))))</f>
        <v/>
      </c>
      <c r="F76" s="58" t="n"/>
      <c r="G76" s="58" t="n"/>
      <c r="H76" s="59" t="n"/>
      <c r="I76" s="57" t="str">
        <f>IF(H76="","",IFERROR(INDEX(art_des,MATCH(H76,art_ref,0))&amp;"","Article inconnu"))</f>
        <v/>
      </c>
      <c r="J76" s="60" t="str">
        <f>IF(H76="","",IFERROR(INDEX(art_unit,MATCH(H76,art_ref,0))&amp;"",""))</f>
        <v/>
      </c>
      <c r="K76" s="59" t="n"/>
      <c r="L76" s="59" t="n"/>
      <c r="M76" s="61" t="str">
        <f>IF(OR(B76="",NOT(ISNUMBER(K76)),NOT(ISNUMBER(L76))),"",IF(OR(K76&lt;=0,L76&lt;=0),"",ROUND(L76-K76,6)))</f>
        <v/>
      </c>
      <c r="N76" s="58" t="n"/>
      <c r="O76" s="62" t="n"/>
      <c r="P76" s="63" t="str">
        <f>IF(OR(B76="",NOT(ISNUMBER(L76))),"",IF(L76&lt;=0,"",IFERROR(ROUND(L76*N(INDEX(art_w,MATCH(H76,art_ref,0))),3),"")))</f>
        <v/>
      </c>
      <c r="Q76" s="59" t="n"/>
      <c r="R76" s="54" t="n"/>
      <c r="S76" s="59" t="n"/>
      <c r="T76" s="59" t="n"/>
      <c r="U76" s="64" t="str">
        <f>IF(OR(B76="",H76=""),"",IFERROR(IF(A76="BL",IF(N(INDEX(art_price,MATCH(H76,art_ref,0)))=0,"",N(INDEX(art_price,MATCH(H76,art_ref,0)))),IF(N(INDEX(art_cost,MATCH(H76,art_ref,0)))=0,"",N(INDEX(art_cost,MATCH(H76,art_ref,0))))),""))</f>
        <v/>
      </c>
      <c r="V76" s="64" t="str">
        <f>IF(OR(U76="",NOT(ISNUMBER(L76))),"",IF(L76&lt;=0,"",ROUND(L76*U76,2)))</f>
        <v/>
      </c>
      <c r="W76" s="60" t="str">
        <f>IF(AND(B76&lt;&gt;"",A76&lt;&gt;"BS",F76&lt;&gt;"",H76&lt;&gt;"",ISNUMBER(K76),ISNUMBER(L76)),IF(AND(K76&gt;0,L76&gt;0,K76-L76&gt;0,COUNTIFS(A77:A$2005,A76,F77:F$2005,F76,H77:H$2005,H76,AA77:AA$2005,"&gt;0")=0),ROUND(K76-L76,6),""),"")</f>
        <v/>
      </c>
      <c r="X76" s="60" t="str">
        <f>IF(AND(A76="",C76="",D76="",H76="",L76=""),"",IF(A76="","Type manquant",IF(AND(A76&lt;&gt;"BL",A76&lt;&gt;"BR",A76&lt;&gt;"BS"),"Type inconnu (BL, BR ou BS)",IF(AG76=0,"Date manquante ou invalide",IF(D76="",IF(A76="BL","Client manquant",IF(A76="BR","Fournisseur manquant","Service manquant")),IF(IF(A76="BL",ISNA(MATCH(D76,cl_code,0)),IF(A76="BR",ISNA(MATCH(D76,fo_code,0)),ISNA(MATCH(D76,p_services,0)))),IF(A76="BL","Client inconnu",IF(A76="BR","Fournisseur inconnu","Service inconnu")),IF(H76="","Article manquant",IF(ISNA(MATCH(H76,art_ref,0)),"Article inconnu",IF(OR(NOT(ISNUMBER(L76)),N(L76)&lt;=0),"Quantité invalide",IF(AND(K76&lt;&gt;"",OR(NOT(ISNUMBER(K76)),N(K76)&lt;=0)),"Qté commandée invalide",IF(AG76&lt;SUMPRODUCT(MAX((A$6:A75=A76)*AG$6:AG75)),"Date antérieure au bon précédent",IF(AND(A76&lt;&gt;"BR",ISNUMBER(M76),N(M76)&gt;0),IF(A76="BL","Livré plus que commandé","Sorti plus que demandé"),"OK"))))))))))))</f>
        <v/>
      </c>
      <c r="Y76" s="57" t="str">
        <f>IF(AND(OR(A76="BL",A76="BR",A76="BS"),AG76&gt;0,D76&lt;&gt;""),A76&amp;"|"&amp;AG76&amp;"|"&amp;D76&amp;"|"&amp;F76,"")</f>
        <v/>
      </c>
      <c r="Z76" s="57" t="str">
        <f>IF(Y76="","",IF(COUNTIF(Y$6:Y75,Y76)=0,1,0))</f>
        <v/>
      </c>
      <c r="AA76" s="57" t="str">
        <f>IF(Y76="","",IF(Z76=1,COUNTIFS(A$6:A76,A76,Z$6:Z76,1),INDEX(AA$6:AA75,MATCH(Y76,Y$6:Y75,0))))</f>
        <v/>
      </c>
      <c r="AB76" s="57" t="str">
        <f>IF(B76="","",COUNTIF(B$6:B76,B76))</f>
        <v/>
      </c>
      <c r="AC76" s="57" t="str">
        <f>IF(B76="","",B76&amp;"#"&amp;AB76)</f>
        <v/>
      </c>
      <c r="AD76" s="57" t="str">
        <f>IF(Z76=1,A76&amp;AA76,"")</f>
        <v/>
      </c>
      <c r="AE76" s="57" t="str">
        <f>IF(B76="","",YEAR(C76))</f>
        <v/>
      </c>
      <c r="AF76" s="57" t="str">
        <f>IF(B76="","",MONTH(C76))</f>
        <v/>
      </c>
      <c r="AG76" s="57">
        <f>IF(ISNUMBER(C76),C76,0)</f>
        <v>0.0</v>
      </c>
      <c r="AH76" s="57" t="str">
        <f>IF(N(W76)&gt;0,COUNTIF(W$6:W76,"&gt;0"),"")</f>
        <v/>
      </c>
      <c r="AI76" s="57" t="str">
        <f>IF(Z76=1,COUNTIF(Z$6:Z76,1),"")</f>
        <v/>
      </c>
    </row>
    <row r="77">
      <c r="A77" s="54" t="n"/>
      <c r="B77" s="55" t="str">
        <f>IF(AA77="","",A77&amp;"-"&amp;RIGHT("000"&amp;AA77,4))</f>
        <v/>
      </c>
      <c r="C77" s="56" t="n"/>
      <c r="D77" s="54" t="n"/>
      <c r="E77" s="57" t="str">
        <f>IF(D77="","",IF(A77="BL",IFERROR(INDEX(cl_name,MATCH(D77,cl_code,0))&amp;"","Client inconnu"),IF(A77="BR",IFERROR(INDEX(fo_name,MATCH(D77,fo_code,0))&amp;"","Fournisseur inconnu"),IF(A77="BS",IF(ISNA(MATCH(D77,p_services,0)),"Service inconnu",D77&amp;""),""))))</f>
        <v/>
      </c>
      <c r="F77" s="58" t="n"/>
      <c r="G77" s="58" t="n"/>
      <c r="H77" s="59" t="n"/>
      <c r="I77" s="57" t="str">
        <f>IF(H77="","",IFERROR(INDEX(art_des,MATCH(H77,art_ref,0))&amp;"","Article inconnu"))</f>
        <v/>
      </c>
      <c r="J77" s="60" t="str">
        <f>IF(H77="","",IFERROR(INDEX(art_unit,MATCH(H77,art_ref,0))&amp;"",""))</f>
        <v/>
      </c>
      <c r="K77" s="59" t="n"/>
      <c r="L77" s="59" t="n"/>
      <c r="M77" s="61" t="str">
        <f>IF(OR(B77="",NOT(ISNUMBER(K77)),NOT(ISNUMBER(L77))),"",IF(OR(K77&lt;=0,L77&lt;=0),"",ROUND(L77-K77,6)))</f>
        <v/>
      </c>
      <c r="N77" s="58" t="n"/>
      <c r="O77" s="62" t="n"/>
      <c r="P77" s="63" t="str">
        <f>IF(OR(B77="",NOT(ISNUMBER(L77))),"",IF(L77&lt;=0,"",IFERROR(ROUND(L77*N(INDEX(art_w,MATCH(H77,art_ref,0))),3),"")))</f>
        <v/>
      </c>
      <c r="Q77" s="59" t="n"/>
      <c r="R77" s="54" t="n"/>
      <c r="S77" s="59" t="n"/>
      <c r="T77" s="59" t="n"/>
      <c r="U77" s="64" t="str">
        <f>IF(OR(B77="",H77=""),"",IFERROR(IF(A77="BL",IF(N(INDEX(art_price,MATCH(H77,art_ref,0)))=0,"",N(INDEX(art_price,MATCH(H77,art_ref,0)))),IF(N(INDEX(art_cost,MATCH(H77,art_ref,0)))=0,"",N(INDEX(art_cost,MATCH(H77,art_ref,0))))),""))</f>
        <v/>
      </c>
      <c r="V77" s="64" t="str">
        <f>IF(OR(U77="",NOT(ISNUMBER(L77))),"",IF(L77&lt;=0,"",ROUND(L77*U77,2)))</f>
        <v/>
      </c>
      <c r="W77" s="60" t="str">
        <f>IF(AND(B77&lt;&gt;"",A77&lt;&gt;"BS",F77&lt;&gt;"",H77&lt;&gt;"",ISNUMBER(K77),ISNUMBER(L77)),IF(AND(K77&gt;0,L77&gt;0,K77-L77&gt;0,COUNTIFS(A78:A$2005,A77,F78:F$2005,F77,H78:H$2005,H77,AA78:AA$2005,"&gt;0")=0),ROUND(K77-L77,6),""),"")</f>
        <v/>
      </c>
      <c r="X77" s="60" t="str">
        <f>IF(AND(A77="",C77="",D77="",H77="",L77=""),"",IF(A77="","Type manquant",IF(AND(A77&lt;&gt;"BL",A77&lt;&gt;"BR",A77&lt;&gt;"BS"),"Type inconnu (BL, BR ou BS)",IF(AG77=0,"Date manquante ou invalide",IF(D77="",IF(A77="BL","Client manquant",IF(A77="BR","Fournisseur manquant","Service manquant")),IF(IF(A77="BL",ISNA(MATCH(D77,cl_code,0)),IF(A77="BR",ISNA(MATCH(D77,fo_code,0)),ISNA(MATCH(D77,p_services,0)))),IF(A77="BL","Client inconnu",IF(A77="BR","Fournisseur inconnu","Service inconnu")),IF(H77="","Article manquant",IF(ISNA(MATCH(H77,art_ref,0)),"Article inconnu",IF(OR(NOT(ISNUMBER(L77)),N(L77)&lt;=0),"Quantité invalide",IF(AND(K77&lt;&gt;"",OR(NOT(ISNUMBER(K77)),N(K77)&lt;=0)),"Qté commandée invalide",IF(AG77&lt;SUMPRODUCT(MAX((A$6:A76=A77)*AG$6:AG76)),"Date antérieure au bon précédent",IF(AND(A77&lt;&gt;"BR",ISNUMBER(M77),N(M77)&gt;0),IF(A77="BL","Livré plus que commandé","Sorti plus que demandé"),"OK"))))))))))))</f>
        <v/>
      </c>
      <c r="Y77" s="57" t="str">
        <f>IF(AND(OR(A77="BL",A77="BR",A77="BS"),AG77&gt;0,D77&lt;&gt;""),A77&amp;"|"&amp;AG77&amp;"|"&amp;D77&amp;"|"&amp;F77,"")</f>
        <v/>
      </c>
      <c r="Z77" s="57" t="str">
        <f>IF(Y77="","",IF(COUNTIF(Y$6:Y76,Y77)=0,1,0))</f>
        <v/>
      </c>
      <c r="AA77" s="57" t="str">
        <f>IF(Y77="","",IF(Z77=1,COUNTIFS(A$6:A77,A77,Z$6:Z77,1),INDEX(AA$6:AA76,MATCH(Y77,Y$6:Y76,0))))</f>
        <v/>
      </c>
      <c r="AB77" s="57" t="str">
        <f>IF(B77="","",COUNTIF(B$6:B77,B77))</f>
        <v/>
      </c>
      <c r="AC77" s="57" t="str">
        <f>IF(B77="","",B77&amp;"#"&amp;AB77)</f>
        <v/>
      </c>
      <c r="AD77" s="57" t="str">
        <f>IF(Z77=1,A77&amp;AA77,"")</f>
        <v/>
      </c>
      <c r="AE77" s="57" t="str">
        <f>IF(B77="","",YEAR(C77))</f>
        <v/>
      </c>
      <c r="AF77" s="57" t="str">
        <f>IF(B77="","",MONTH(C77))</f>
        <v/>
      </c>
      <c r="AG77" s="57">
        <f>IF(ISNUMBER(C77),C77,0)</f>
        <v>0.0</v>
      </c>
      <c r="AH77" s="57" t="str">
        <f>IF(N(W77)&gt;0,COUNTIF(W$6:W77,"&gt;0"),"")</f>
        <v/>
      </c>
      <c r="AI77" s="57" t="str">
        <f>IF(Z77=1,COUNTIF(Z$6:Z77,1),"")</f>
        <v/>
      </c>
    </row>
    <row r="78">
      <c r="A78" s="54" t="n"/>
      <c r="B78" s="55" t="str">
        <f>IF(AA78="","",A78&amp;"-"&amp;RIGHT("000"&amp;AA78,4))</f>
        <v/>
      </c>
      <c r="C78" s="56" t="n"/>
      <c r="D78" s="54" t="n"/>
      <c r="E78" s="57" t="str">
        <f>IF(D78="","",IF(A78="BL",IFERROR(INDEX(cl_name,MATCH(D78,cl_code,0))&amp;"","Client inconnu"),IF(A78="BR",IFERROR(INDEX(fo_name,MATCH(D78,fo_code,0))&amp;"","Fournisseur inconnu"),IF(A78="BS",IF(ISNA(MATCH(D78,p_services,0)),"Service inconnu",D78&amp;""),""))))</f>
        <v/>
      </c>
      <c r="F78" s="58" t="n"/>
      <c r="G78" s="58" t="n"/>
      <c r="H78" s="59" t="n"/>
      <c r="I78" s="57" t="str">
        <f>IF(H78="","",IFERROR(INDEX(art_des,MATCH(H78,art_ref,0))&amp;"","Article inconnu"))</f>
        <v/>
      </c>
      <c r="J78" s="60" t="str">
        <f>IF(H78="","",IFERROR(INDEX(art_unit,MATCH(H78,art_ref,0))&amp;"",""))</f>
        <v/>
      </c>
      <c r="K78" s="59" t="n"/>
      <c r="L78" s="59" t="n"/>
      <c r="M78" s="61" t="str">
        <f>IF(OR(B78="",NOT(ISNUMBER(K78)),NOT(ISNUMBER(L78))),"",IF(OR(K78&lt;=0,L78&lt;=0),"",ROUND(L78-K78,6)))</f>
        <v/>
      </c>
      <c r="N78" s="58" t="n"/>
      <c r="O78" s="62" t="n"/>
      <c r="P78" s="63" t="str">
        <f>IF(OR(B78="",NOT(ISNUMBER(L78))),"",IF(L78&lt;=0,"",IFERROR(ROUND(L78*N(INDEX(art_w,MATCH(H78,art_ref,0))),3),"")))</f>
        <v/>
      </c>
      <c r="Q78" s="59" t="n"/>
      <c r="R78" s="54" t="n"/>
      <c r="S78" s="59" t="n"/>
      <c r="T78" s="59" t="n"/>
      <c r="U78" s="64" t="str">
        <f>IF(OR(B78="",H78=""),"",IFERROR(IF(A78="BL",IF(N(INDEX(art_price,MATCH(H78,art_ref,0)))=0,"",N(INDEX(art_price,MATCH(H78,art_ref,0)))),IF(N(INDEX(art_cost,MATCH(H78,art_ref,0)))=0,"",N(INDEX(art_cost,MATCH(H78,art_ref,0))))),""))</f>
        <v/>
      </c>
      <c r="V78" s="64" t="str">
        <f>IF(OR(U78="",NOT(ISNUMBER(L78))),"",IF(L78&lt;=0,"",ROUND(L78*U78,2)))</f>
        <v/>
      </c>
      <c r="W78" s="60" t="str">
        <f>IF(AND(B78&lt;&gt;"",A78&lt;&gt;"BS",F78&lt;&gt;"",H78&lt;&gt;"",ISNUMBER(K78),ISNUMBER(L78)),IF(AND(K78&gt;0,L78&gt;0,K78-L78&gt;0,COUNTIFS(A79:A$2005,A78,F79:F$2005,F78,H79:H$2005,H78,AA79:AA$2005,"&gt;0")=0),ROUND(K78-L78,6),""),"")</f>
        <v/>
      </c>
      <c r="X78" s="60" t="str">
        <f>IF(AND(A78="",C78="",D78="",H78="",L78=""),"",IF(A78="","Type manquant",IF(AND(A78&lt;&gt;"BL",A78&lt;&gt;"BR",A78&lt;&gt;"BS"),"Type inconnu (BL, BR ou BS)",IF(AG78=0,"Date manquante ou invalide",IF(D78="",IF(A78="BL","Client manquant",IF(A78="BR","Fournisseur manquant","Service manquant")),IF(IF(A78="BL",ISNA(MATCH(D78,cl_code,0)),IF(A78="BR",ISNA(MATCH(D78,fo_code,0)),ISNA(MATCH(D78,p_services,0)))),IF(A78="BL","Client inconnu",IF(A78="BR","Fournisseur inconnu","Service inconnu")),IF(H78="","Article manquant",IF(ISNA(MATCH(H78,art_ref,0)),"Article inconnu",IF(OR(NOT(ISNUMBER(L78)),N(L78)&lt;=0),"Quantité invalide",IF(AND(K78&lt;&gt;"",OR(NOT(ISNUMBER(K78)),N(K78)&lt;=0)),"Qté commandée invalide",IF(AG78&lt;SUMPRODUCT(MAX((A$6:A77=A78)*AG$6:AG77)),"Date antérieure au bon précédent",IF(AND(A78&lt;&gt;"BR",ISNUMBER(M78),N(M78)&gt;0),IF(A78="BL","Livré plus que commandé","Sorti plus que demandé"),"OK"))))))))))))</f>
        <v/>
      </c>
      <c r="Y78" s="57" t="str">
        <f>IF(AND(OR(A78="BL",A78="BR",A78="BS"),AG78&gt;0,D78&lt;&gt;""),A78&amp;"|"&amp;AG78&amp;"|"&amp;D78&amp;"|"&amp;F78,"")</f>
        <v/>
      </c>
      <c r="Z78" s="57" t="str">
        <f>IF(Y78="","",IF(COUNTIF(Y$6:Y77,Y78)=0,1,0))</f>
        <v/>
      </c>
      <c r="AA78" s="57" t="str">
        <f>IF(Y78="","",IF(Z78=1,COUNTIFS(A$6:A78,A78,Z$6:Z78,1),INDEX(AA$6:AA77,MATCH(Y78,Y$6:Y77,0))))</f>
        <v/>
      </c>
      <c r="AB78" s="57" t="str">
        <f>IF(B78="","",COUNTIF(B$6:B78,B78))</f>
        <v/>
      </c>
      <c r="AC78" s="57" t="str">
        <f>IF(B78="","",B78&amp;"#"&amp;AB78)</f>
        <v/>
      </c>
      <c r="AD78" s="57" t="str">
        <f>IF(Z78=1,A78&amp;AA78,"")</f>
        <v/>
      </c>
      <c r="AE78" s="57" t="str">
        <f>IF(B78="","",YEAR(C78))</f>
        <v/>
      </c>
      <c r="AF78" s="57" t="str">
        <f>IF(B78="","",MONTH(C78))</f>
        <v/>
      </c>
      <c r="AG78" s="57">
        <f>IF(ISNUMBER(C78),C78,0)</f>
        <v>0.0</v>
      </c>
      <c r="AH78" s="57" t="str">
        <f>IF(N(W78)&gt;0,COUNTIF(W$6:W78,"&gt;0"),"")</f>
        <v/>
      </c>
      <c r="AI78" s="57" t="str">
        <f>IF(Z78=1,COUNTIF(Z$6:Z78,1),"")</f>
        <v/>
      </c>
    </row>
    <row r="79">
      <c r="A79" s="54" t="n"/>
      <c r="B79" s="55" t="str">
        <f>IF(AA79="","",A79&amp;"-"&amp;RIGHT("000"&amp;AA79,4))</f>
        <v/>
      </c>
      <c r="C79" s="56" t="n"/>
      <c r="D79" s="54" t="n"/>
      <c r="E79" s="57" t="str">
        <f>IF(D79="","",IF(A79="BL",IFERROR(INDEX(cl_name,MATCH(D79,cl_code,0))&amp;"","Client inconnu"),IF(A79="BR",IFERROR(INDEX(fo_name,MATCH(D79,fo_code,0))&amp;"","Fournisseur inconnu"),IF(A79="BS",IF(ISNA(MATCH(D79,p_services,0)),"Service inconnu",D79&amp;""),""))))</f>
        <v/>
      </c>
      <c r="F79" s="58" t="n"/>
      <c r="G79" s="58" t="n"/>
      <c r="H79" s="59" t="n"/>
      <c r="I79" s="57" t="str">
        <f>IF(H79="","",IFERROR(INDEX(art_des,MATCH(H79,art_ref,0))&amp;"","Article inconnu"))</f>
        <v/>
      </c>
      <c r="J79" s="60" t="str">
        <f>IF(H79="","",IFERROR(INDEX(art_unit,MATCH(H79,art_ref,0))&amp;"",""))</f>
        <v/>
      </c>
      <c r="K79" s="59" t="n"/>
      <c r="L79" s="59" t="n"/>
      <c r="M79" s="61" t="str">
        <f>IF(OR(B79="",NOT(ISNUMBER(K79)),NOT(ISNUMBER(L79))),"",IF(OR(K79&lt;=0,L79&lt;=0),"",ROUND(L79-K79,6)))</f>
        <v/>
      </c>
      <c r="N79" s="58" t="n"/>
      <c r="O79" s="62" t="n"/>
      <c r="P79" s="63" t="str">
        <f>IF(OR(B79="",NOT(ISNUMBER(L79))),"",IF(L79&lt;=0,"",IFERROR(ROUND(L79*N(INDEX(art_w,MATCH(H79,art_ref,0))),3),"")))</f>
        <v/>
      </c>
      <c r="Q79" s="59" t="n"/>
      <c r="R79" s="54" t="n"/>
      <c r="S79" s="59" t="n"/>
      <c r="T79" s="59" t="n"/>
      <c r="U79" s="64" t="str">
        <f>IF(OR(B79="",H79=""),"",IFERROR(IF(A79="BL",IF(N(INDEX(art_price,MATCH(H79,art_ref,0)))=0,"",N(INDEX(art_price,MATCH(H79,art_ref,0)))),IF(N(INDEX(art_cost,MATCH(H79,art_ref,0)))=0,"",N(INDEX(art_cost,MATCH(H79,art_ref,0))))),""))</f>
        <v/>
      </c>
      <c r="V79" s="64" t="str">
        <f>IF(OR(U79="",NOT(ISNUMBER(L79))),"",IF(L79&lt;=0,"",ROUND(L79*U79,2)))</f>
        <v/>
      </c>
      <c r="W79" s="60" t="str">
        <f>IF(AND(B79&lt;&gt;"",A79&lt;&gt;"BS",F79&lt;&gt;"",H79&lt;&gt;"",ISNUMBER(K79),ISNUMBER(L79)),IF(AND(K79&gt;0,L79&gt;0,K79-L79&gt;0,COUNTIFS(A80:A$2005,A79,F80:F$2005,F79,H80:H$2005,H79,AA80:AA$2005,"&gt;0")=0),ROUND(K79-L79,6),""),"")</f>
        <v/>
      </c>
      <c r="X79" s="60" t="str">
        <f>IF(AND(A79="",C79="",D79="",H79="",L79=""),"",IF(A79="","Type manquant",IF(AND(A79&lt;&gt;"BL",A79&lt;&gt;"BR",A79&lt;&gt;"BS"),"Type inconnu (BL, BR ou BS)",IF(AG79=0,"Date manquante ou invalide",IF(D79="",IF(A79="BL","Client manquant",IF(A79="BR","Fournisseur manquant","Service manquant")),IF(IF(A79="BL",ISNA(MATCH(D79,cl_code,0)),IF(A79="BR",ISNA(MATCH(D79,fo_code,0)),ISNA(MATCH(D79,p_services,0)))),IF(A79="BL","Client inconnu",IF(A79="BR","Fournisseur inconnu","Service inconnu")),IF(H79="","Article manquant",IF(ISNA(MATCH(H79,art_ref,0)),"Article inconnu",IF(OR(NOT(ISNUMBER(L79)),N(L79)&lt;=0),"Quantité invalide",IF(AND(K79&lt;&gt;"",OR(NOT(ISNUMBER(K79)),N(K79)&lt;=0)),"Qté commandée invalide",IF(AG79&lt;SUMPRODUCT(MAX((A$6:A78=A79)*AG$6:AG78)),"Date antérieure au bon précédent",IF(AND(A79&lt;&gt;"BR",ISNUMBER(M79),N(M79)&gt;0),IF(A79="BL","Livré plus que commandé","Sorti plus que demandé"),"OK"))))))))))))</f>
        <v/>
      </c>
      <c r="Y79" s="57" t="str">
        <f>IF(AND(OR(A79="BL",A79="BR",A79="BS"),AG79&gt;0,D79&lt;&gt;""),A79&amp;"|"&amp;AG79&amp;"|"&amp;D79&amp;"|"&amp;F79,"")</f>
        <v/>
      </c>
      <c r="Z79" s="57" t="str">
        <f>IF(Y79="","",IF(COUNTIF(Y$6:Y78,Y79)=0,1,0))</f>
        <v/>
      </c>
      <c r="AA79" s="57" t="str">
        <f>IF(Y79="","",IF(Z79=1,COUNTIFS(A$6:A79,A79,Z$6:Z79,1),INDEX(AA$6:AA78,MATCH(Y79,Y$6:Y78,0))))</f>
        <v/>
      </c>
      <c r="AB79" s="57" t="str">
        <f>IF(B79="","",COUNTIF(B$6:B79,B79))</f>
        <v/>
      </c>
      <c r="AC79" s="57" t="str">
        <f>IF(B79="","",B79&amp;"#"&amp;AB79)</f>
        <v/>
      </c>
      <c r="AD79" s="57" t="str">
        <f>IF(Z79=1,A79&amp;AA79,"")</f>
        <v/>
      </c>
      <c r="AE79" s="57" t="str">
        <f>IF(B79="","",YEAR(C79))</f>
        <v/>
      </c>
      <c r="AF79" s="57" t="str">
        <f>IF(B79="","",MONTH(C79))</f>
        <v/>
      </c>
      <c r="AG79" s="57">
        <f>IF(ISNUMBER(C79),C79,0)</f>
        <v>0.0</v>
      </c>
      <c r="AH79" s="57" t="str">
        <f>IF(N(W79)&gt;0,COUNTIF(W$6:W79,"&gt;0"),"")</f>
        <v/>
      </c>
      <c r="AI79" s="57" t="str">
        <f>IF(Z79=1,COUNTIF(Z$6:Z79,1),"")</f>
        <v/>
      </c>
    </row>
    <row r="80">
      <c r="A80" s="54" t="n"/>
      <c r="B80" s="55" t="str">
        <f>IF(AA80="","",A80&amp;"-"&amp;RIGHT("000"&amp;AA80,4))</f>
        <v/>
      </c>
      <c r="C80" s="56" t="n"/>
      <c r="D80" s="54" t="n"/>
      <c r="E80" s="57" t="str">
        <f>IF(D80="","",IF(A80="BL",IFERROR(INDEX(cl_name,MATCH(D80,cl_code,0))&amp;"","Client inconnu"),IF(A80="BR",IFERROR(INDEX(fo_name,MATCH(D80,fo_code,0))&amp;"","Fournisseur inconnu"),IF(A80="BS",IF(ISNA(MATCH(D80,p_services,0)),"Service inconnu",D80&amp;""),""))))</f>
        <v/>
      </c>
      <c r="F80" s="58" t="n"/>
      <c r="G80" s="58" t="n"/>
      <c r="H80" s="59" t="n"/>
      <c r="I80" s="57" t="str">
        <f>IF(H80="","",IFERROR(INDEX(art_des,MATCH(H80,art_ref,0))&amp;"","Article inconnu"))</f>
        <v/>
      </c>
      <c r="J80" s="60" t="str">
        <f>IF(H80="","",IFERROR(INDEX(art_unit,MATCH(H80,art_ref,0))&amp;"",""))</f>
        <v/>
      </c>
      <c r="K80" s="59" t="n"/>
      <c r="L80" s="59" t="n"/>
      <c r="M80" s="61" t="str">
        <f>IF(OR(B80="",NOT(ISNUMBER(K80)),NOT(ISNUMBER(L80))),"",IF(OR(K80&lt;=0,L80&lt;=0),"",ROUND(L80-K80,6)))</f>
        <v/>
      </c>
      <c r="N80" s="58" t="n"/>
      <c r="O80" s="62" t="n"/>
      <c r="P80" s="63" t="str">
        <f>IF(OR(B80="",NOT(ISNUMBER(L80))),"",IF(L80&lt;=0,"",IFERROR(ROUND(L80*N(INDEX(art_w,MATCH(H80,art_ref,0))),3),"")))</f>
        <v/>
      </c>
      <c r="Q80" s="59" t="n"/>
      <c r="R80" s="54" t="n"/>
      <c r="S80" s="59" t="n"/>
      <c r="T80" s="59" t="n"/>
      <c r="U80" s="64" t="str">
        <f>IF(OR(B80="",H80=""),"",IFERROR(IF(A80="BL",IF(N(INDEX(art_price,MATCH(H80,art_ref,0)))=0,"",N(INDEX(art_price,MATCH(H80,art_ref,0)))),IF(N(INDEX(art_cost,MATCH(H80,art_ref,0)))=0,"",N(INDEX(art_cost,MATCH(H80,art_ref,0))))),""))</f>
        <v/>
      </c>
      <c r="V80" s="64" t="str">
        <f>IF(OR(U80="",NOT(ISNUMBER(L80))),"",IF(L80&lt;=0,"",ROUND(L80*U80,2)))</f>
        <v/>
      </c>
      <c r="W80" s="60" t="str">
        <f>IF(AND(B80&lt;&gt;"",A80&lt;&gt;"BS",F80&lt;&gt;"",H80&lt;&gt;"",ISNUMBER(K80),ISNUMBER(L80)),IF(AND(K80&gt;0,L80&gt;0,K80-L80&gt;0,COUNTIFS(A81:A$2005,A80,F81:F$2005,F80,H81:H$2005,H80,AA81:AA$2005,"&gt;0")=0),ROUND(K80-L80,6),""),"")</f>
        <v/>
      </c>
      <c r="X80" s="60" t="str">
        <f>IF(AND(A80="",C80="",D80="",H80="",L80=""),"",IF(A80="","Type manquant",IF(AND(A80&lt;&gt;"BL",A80&lt;&gt;"BR",A80&lt;&gt;"BS"),"Type inconnu (BL, BR ou BS)",IF(AG80=0,"Date manquante ou invalide",IF(D80="",IF(A80="BL","Client manquant",IF(A80="BR","Fournisseur manquant","Service manquant")),IF(IF(A80="BL",ISNA(MATCH(D80,cl_code,0)),IF(A80="BR",ISNA(MATCH(D80,fo_code,0)),ISNA(MATCH(D80,p_services,0)))),IF(A80="BL","Client inconnu",IF(A80="BR","Fournisseur inconnu","Service inconnu")),IF(H80="","Article manquant",IF(ISNA(MATCH(H80,art_ref,0)),"Article inconnu",IF(OR(NOT(ISNUMBER(L80)),N(L80)&lt;=0),"Quantité invalide",IF(AND(K80&lt;&gt;"",OR(NOT(ISNUMBER(K80)),N(K80)&lt;=0)),"Qté commandée invalide",IF(AG80&lt;SUMPRODUCT(MAX((A$6:A79=A80)*AG$6:AG79)),"Date antérieure au bon précédent",IF(AND(A80&lt;&gt;"BR",ISNUMBER(M80),N(M80)&gt;0),IF(A80="BL","Livré plus que commandé","Sorti plus que demandé"),"OK"))))))))))))</f>
        <v/>
      </c>
      <c r="Y80" s="57" t="str">
        <f>IF(AND(OR(A80="BL",A80="BR",A80="BS"),AG80&gt;0,D80&lt;&gt;""),A80&amp;"|"&amp;AG80&amp;"|"&amp;D80&amp;"|"&amp;F80,"")</f>
        <v/>
      </c>
      <c r="Z80" s="57" t="str">
        <f>IF(Y80="","",IF(COUNTIF(Y$6:Y79,Y80)=0,1,0))</f>
        <v/>
      </c>
      <c r="AA80" s="57" t="str">
        <f>IF(Y80="","",IF(Z80=1,COUNTIFS(A$6:A80,A80,Z$6:Z80,1),INDEX(AA$6:AA79,MATCH(Y80,Y$6:Y79,0))))</f>
        <v/>
      </c>
      <c r="AB80" s="57" t="str">
        <f>IF(B80="","",COUNTIF(B$6:B80,B80))</f>
        <v/>
      </c>
      <c r="AC80" s="57" t="str">
        <f>IF(B80="","",B80&amp;"#"&amp;AB80)</f>
        <v/>
      </c>
      <c r="AD80" s="57" t="str">
        <f>IF(Z80=1,A80&amp;AA80,"")</f>
        <v/>
      </c>
      <c r="AE80" s="57" t="str">
        <f>IF(B80="","",YEAR(C80))</f>
        <v/>
      </c>
      <c r="AF80" s="57" t="str">
        <f>IF(B80="","",MONTH(C80))</f>
        <v/>
      </c>
      <c r="AG80" s="57">
        <f>IF(ISNUMBER(C80),C80,0)</f>
        <v>0.0</v>
      </c>
      <c r="AH80" s="57" t="str">
        <f>IF(N(W80)&gt;0,COUNTIF(W$6:W80,"&gt;0"),"")</f>
        <v/>
      </c>
      <c r="AI80" s="57" t="str">
        <f>IF(Z80=1,COUNTIF(Z$6:Z80,1),"")</f>
        <v/>
      </c>
    </row>
    <row r="81">
      <c r="A81" s="54" t="n"/>
      <c r="B81" s="55" t="str">
        <f>IF(AA81="","",A81&amp;"-"&amp;RIGHT("000"&amp;AA81,4))</f>
        <v/>
      </c>
      <c r="C81" s="56" t="n"/>
      <c r="D81" s="54" t="n"/>
      <c r="E81" s="57" t="str">
        <f>IF(D81="","",IF(A81="BL",IFERROR(INDEX(cl_name,MATCH(D81,cl_code,0))&amp;"","Client inconnu"),IF(A81="BR",IFERROR(INDEX(fo_name,MATCH(D81,fo_code,0))&amp;"","Fournisseur inconnu"),IF(A81="BS",IF(ISNA(MATCH(D81,p_services,0)),"Service inconnu",D81&amp;""),""))))</f>
        <v/>
      </c>
      <c r="F81" s="58" t="n"/>
      <c r="G81" s="58" t="n"/>
      <c r="H81" s="59" t="n"/>
      <c r="I81" s="57" t="str">
        <f>IF(H81="","",IFERROR(INDEX(art_des,MATCH(H81,art_ref,0))&amp;"","Article inconnu"))</f>
        <v/>
      </c>
      <c r="J81" s="60" t="str">
        <f>IF(H81="","",IFERROR(INDEX(art_unit,MATCH(H81,art_ref,0))&amp;"",""))</f>
        <v/>
      </c>
      <c r="K81" s="59" t="n"/>
      <c r="L81" s="59" t="n"/>
      <c r="M81" s="61" t="str">
        <f>IF(OR(B81="",NOT(ISNUMBER(K81)),NOT(ISNUMBER(L81))),"",IF(OR(K81&lt;=0,L81&lt;=0),"",ROUND(L81-K81,6)))</f>
        <v/>
      </c>
      <c r="N81" s="58" t="n"/>
      <c r="O81" s="62" t="n"/>
      <c r="P81" s="63" t="str">
        <f>IF(OR(B81="",NOT(ISNUMBER(L81))),"",IF(L81&lt;=0,"",IFERROR(ROUND(L81*N(INDEX(art_w,MATCH(H81,art_ref,0))),3),"")))</f>
        <v/>
      </c>
      <c r="Q81" s="59" t="n"/>
      <c r="R81" s="54" t="n"/>
      <c r="S81" s="59" t="n"/>
      <c r="T81" s="59" t="n"/>
      <c r="U81" s="64" t="str">
        <f>IF(OR(B81="",H81=""),"",IFERROR(IF(A81="BL",IF(N(INDEX(art_price,MATCH(H81,art_ref,0)))=0,"",N(INDEX(art_price,MATCH(H81,art_ref,0)))),IF(N(INDEX(art_cost,MATCH(H81,art_ref,0)))=0,"",N(INDEX(art_cost,MATCH(H81,art_ref,0))))),""))</f>
        <v/>
      </c>
      <c r="V81" s="64" t="str">
        <f>IF(OR(U81="",NOT(ISNUMBER(L81))),"",IF(L81&lt;=0,"",ROUND(L81*U81,2)))</f>
        <v/>
      </c>
      <c r="W81" s="60" t="str">
        <f>IF(AND(B81&lt;&gt;"",A81&lt;&gt;"BS",F81&lt;&gt;"",H81&lt;&gt;"",ISNUMBER(K81),ISNUMBER(L81)),IF(AND(K81&gt;0,L81&gt;0,K81-L81&gt;0,COUNTIFS(A82:A$2005,A81,F82:F$2005,F81,H82:H$2005,H81,AA82:AA$2005,"&gt;0")=0),ROUND(K81-L81,6),""),"")</f>
        <v/>
      </c>
      <c r="X81" s="60" t="str">
        <f>IF(AND(A81="",C81="",D81="",H81="",L81=""),"",IF(A81="","Type manquant",IF(AND(A81&lt;&gt;"BL",A81&lt;&gt;"BR",A81&lt;&gt;"BS"),"Type inconnu (BL, BR ou BS)",IF(AG81=0,"Date manquante ou invalide",IF(D81="",IF(A81="BL","Client manquant",IF(A81="BR","Fournisseur manquant","Service manquant")),IF(IF(A81="BL",ISNA(MATCH(D81,cl_code,0)),IF(A81="BR",ISNA(MATCH(D81,fo_code,0)),ISNA(MATCH(D81,p_services,0)))),IF(A81="BL","Client inconnu",IF(A81="BR","Fournisseur inconnu","Service inconnu")),IF(H81="","Article manquant",IF(ISNA(MATCH(H81,art_ref,0)),"Article inconnu",IF(OR(NOT(ISNUMBER(L81)),N(L81)&lt;=0),"Quantité invalide",IF(AND(K81&lt;&gt;"",OR(NOT(ISNUMBER(K81)),N(K81)&lt;=0)),"Qté commandée invalide",IF(AG81&lt;SUMPRODUCT(MAX((A$6:A80=A81)*AG$6:AG80)),"Date antérieure au bon précédent",IF(AND(A81&lt;&gt;"BR",ISNUMBER(M81),N(M81)&gt;0),IF(A81="BL","Livré plus que commandé","Sorti plus que demandé"),"OK"))))))))))))</f>
        <v/>
      </c>
      <c r="Y81" s="57" t="str">
        <f>IF(AND(OR(A81="BL",A81="BR",A81="BS"),AG81&gt;0,D81&lt;&gt;""),A81&amp;"|"&amp;AG81&amp;"|"&amp;D81&amp;"|"&amp;F81,"")</f>
        <v/>
      </c>
      <c r="Z81" s="57" t="str">
        <f>IF(Y81="","",IF(COUNTIF(Y$6:Y80,Y81)=0,1,0))</f>
        <v/>
      </c>
      <c r="AA81" s="57" t="str">
        <f>IF(Y81="","",IF(Z81=1,COUNTIFS(A$6:A81,A81,Z$6:Z81,1),INDEX(AA$6:AA80,MATCH(Y81,Y$6:Y80,0))))</f>
        <v/>
      </c>
      <c r="AB81" s="57" t="str">
        <f>IF(B81="","",COUNTIF(B$6:B81,B81))</f>
        <v/>
      </c>
      <c r="AC81" s="57" t="str">
        <f>IF(B81="","",B81&amp;"#"&amp;AB81)</f>
        <v/>
      </c>
      <c r="AD81" s="57" t="str">
        <f>IF(Z81=1,A81&amp;AA81,"")</f>
        <v/>
      </c>
      <c r="AE81" s="57" t="str">
        <f>IF(B81="","",YEAR(C81))</f>
        <v/>
      </c>
      <c r="AF81" s="57" t="str">
        <f>IF(B81="","",MONTH(C81))</f>
        <v/>
      </c>
      <c r="AG81" s="57">
        <f>IF(ISNUMBER(C81),C81,0)</f>
        <v>0.0</v>
      </c>
      <c r="AH81" s="57" t="str">
        <f>IF(N(W81)&gt;0,COUNTIF(W$6:W81,"&gt;0"),"")</f>
        <v/>
      </c>
      <c r="AI81" s="57" t="str">
        <f>IF(Z81=1,COUNTIF(Z$6:Z81,1),"")</f>
        <v/>
      </c>
    </row>
    <row r="82">
      <c r="A82" s="54" t="n"/>
      <c r="B82" s="55" t="str">
        <f>IF(AA82="","",A82&amp;"-"&amp;RIGHT("000"&amp;AA82,4))</f>
        <v/>
      </c>
      <c r="C82" s="56" t="n"/>
      <c r="D82" s="54" t="n"/>
      <c r="E82" s="57" t="str">
        <f>IF(D82="","",IF(A82="BL",IFERROR(INDEX(cl_name,MATCH(D82,cl_code,0))&amp;"","Client inconnu"),IF(A82="BR",IFERROR(INDEX(fo_name,MATCH(D82,fo_code,0))&amp;"","Fournisseur inconnu"),IF(A82="BS",IF(ISNA(MATCH(D82,p_services,0)),"Service inconnu",D82&amp;""),""))))</f>
        <v/>
      </c>
      <c r="F82" s="58" t="n"/>
      <c r="G82" s="58" t="n"/>
      <c r="H82" s="59" t="n"/>
      <c r="I82" s="57" t="str">
        <f>IF(H82="","",IFERROR(INDEX(art_des,MATCH(H82,art_ref,0))&amp;"","Article inconnu"))</f>
        <v/>
      </c>
      <c r="J82" s="60" t="str">
        <f>IF(H82="","",IFERROR(INDEX(art_unit,MATCH(H82,art_ref,0))&amp;"",""))</f>
        <v/>
      </c>
      <c r="K82" s="59" t="n"/>
      <c r="L82" s="59" t="n"/>
      <c r="M82" s="61" t="str">
        <f>IF(OR(B82="",NOT(ISNUMBER(K82)),NOT(ISNUMBER(L82))),"",IF(OR(K82&lt;=0,L82&lt;=0),"",ROUND(L82-K82,6)))</f>
        <v/>
      </c>
      <c r="N82" s="58" t="n"/>
      <c r="O82" s="62" t="n"/>
      <c r="P82" s="63" t="str">
        <f>IF(OR(B82="",NOT(ISNUMBER(L82))),"",IF(L82&lt;=0,"",IFERROR(ROUND(L82*N(INDEX(art_w,MATCH(H82,art_ref,0))),3),"")))</f>
        <v/>
      </c>
      <c r="Q82" s="59" t="n"/>
      <c r="R82" s="54" t="n"/>
      <c r="S82" s="59" t="n"/>
      <c r="T82" s="59" t="n"/>
      <c r="U82" s="64" t="str">
        <f>IF(OR(B82="",H82=""),"",IFERROR(IF(A82="BL",IF(N(INDEX(art_price,MATCH(H82,art_ref,0)))=0,"",N(INDEX(art_price,MATCH(H82,art_ref,0)))),IF(N(INDEX(art_cost,MATCH(H82,art_ref,0)))=0,"",N(INDEX(art_cost,MATCH(H82,art_ref,0))))),""))</f>
        <v/>
      </c>
      <c r="V82" s="64" t="str">
        <f>IF(OR(U82="",NOT(ISNUMBER(L82))),"",IF(L82&lt;=0,"",ROUND(L82*U82,2)))</f>
        <v/>
      </c>
      <c r="W82" s="60" t="str">
        <f>IF(AND(B82&lt;&gt;"",A82&lt;&gt;"BS",F82&lt;&gt;"",H82&lt;&gt;"",ISNUMBER(K82),ISNUMBER(L82)),IF(AND(K82&gt;0,L82&gt;0,K82-L82&gt;0,COUNTIFS(A83:A$2005,A82,F83:F$2005,F82,H83:H$2005,H82,AA83:AA$2005,"&gt;0")=0),ROUND(K82-L82,6),""),"")</f>
        <v/>
      </c>
      <c r="X82" s="60" t="str">
        <f>IF(AND(A82="",C82="",D82="",H82="",L82=""),"",IF(A82="","Type manquant",IF(AND(A82&lt;&gt;"BL",A82&lt;&gt;"BR",A82&lt;&gt;"BS"),"Type inconnu (BL, BR ou BS)",IF(AG82=0,"Date manquante ou invalide",IF(D82="",IF(A82="BL","Client manquant",IF(A82="BR","Fournisseur manquant","Service manquant")),IF(IF(A82="BL",ISNA(MATCH(D82,cl_code,0)),IF(A82="BR",ISNA(MATCH(D82,fo_code,0)),ISNA(MATCH(D82,p_services,0)))),IF(A82="BL","Client inconnu",IF(A82="BR","Fournisseur inconnu","Service inconnu")),IF(H82="","Article manquant",IF(ISNA(MATCH(H82,art_ref,0)),"Article inconnu",IF(OR(NOT(ISNUMBER(L82)),N(L82)&lt;=0),"Quantité invalide",IF(AND(K82&lt;&gt;"",OR(NOT(ISNUMBER(K82)),N(K82)&lt;=0)),"Qté commandée invalide",IF(AG82&lt;SUMPRODUCT(MAX((A$6:A81=A82)*AG$6:AG81)),"Date antérieure au bon précédent",IF(AND(A82&lt;&gt;"BR",ISNUMBER(M82),N(M82)&gt;0),IF(A82="BL","Livré plus que commandé","Sorti plus que demandé"),"OK"))))))))))))</f>
        <v/>
      </c>
      <c r="Y82" s="57" t="str">
        <f>IF(AND(OR(A82="BL",A82="BR",A82="BS"),AG82&gt;0,D82&lt;&gt;""),A82&amp;"|"&amp;AG82&amp;"|"&amp;D82&amp;"|"&amp;F82,"")</f>
        <v/>
      </c>
      <c r="Z82" s="57" t="str">
        <f>IF(Y82="","",IF(COUNTIF(Y$6:Y81,Y82)=0,1,0))</f>
        <v/>
      </c>
      <c r="AA82" s="57" t="str">
        <f>IF(Y82="","",IF(Z82=1,COUNTIFS(A$6:A82,A82,Z$6:Z82,1),INDEX(AA$6:AA81,MATCH(Y82,Y$6:Y81,0))))</f>
        <v/>
      </c>
      <c r="AB82" s="57" t="str">
        <f>IF(B82="","",COUNTIF(B$6:B82,B82))</f>
        <v/>
      </c>
      <c r="AC82" s="57" t="str">
        <f>IF(B82="","",B82&amp;"#"&amp;AB82)</f>
        <v/>
      </c>
      <c r="AD82" s="57" t="str">
        <f>IF(Z82=1,A82&amp;AA82,"")</f>
        <v/>
      </c>
      <c r="AE82" s="57" t="str">
        <f>IF(B82="","",YEAR(C82))</f>
        <v/>
      </c>
      <c r="AF82" s="57" t="str">
        <f>IF(B82="","",MONTH(C82))</f>
        <v/>
      </c>
      <c r="AG82" s="57">
        <f>IF(ISNUMBER(C82),C82,0)</f>
        <v>0.0</v>
      </c>
      <c r="AH82" s="57" t="str">
        <f>IF(N(W82)&gt;0,COUNTIF(W$6:W82,"&gt;0"),"")</f>
        <v/>
      </c>
      <c r="AI82" s="57" t="str">
        <f>IF(Z82=1,COUNTIF(Z$6:Z82,1),"")</f>
        <v/>
      </c>
    </row>
    <row r="83">
      <c r="A83" s="54" t="n"/>
      <c r="B83" s="55" t="str">
        <f>IF(AA83="","",A83&amp;"-"&amp;RIGHT("000"&amp;AA83,4))</f>
        <v/>
      </c>
      <c r="C83" s="56" t="n"/>
      <c r="D83" s="54" t="n"/>
      <c r="E83" s="57" t="str">
        <f>IF(D83="","",IF(A83="BL",IFERROR(INDEX(cl_name,MATCH(D83,cl_code,0))&amp;"","Client inconnu"),IF(A83="BR",IFERROR(INDEX(fo_name,MATCH(D83,fo_code,0))&amp;"","Fournisseur inconnu"),IF(A83="BS",IF(ISNA(MATCH(D83,p_services,0)),"Service inconnu",D83&amp;""),""))))</f>
        <v/>
      </c>
      <c r="F83" s="58" t="n"/>
      <c r="G83" s="58" t="n"/>
      <c r="H83" s="59" t="n"/>
      <c r="I83" s="57" t="str">
        <f>IF(H83="","",IFERROR(INDEX(art_des,MATCH(H83,art_ref,0))&amp;"","Article inconnu"))</f>
        <v/>
      </c>
      <c r="J83" s="60" t="str">
        <f>IF(H83="","",IFERROR(INDEX(art_unit,MATCH(H83,art_ref,0))&amp;"",""))</f>
        <v/>
      </c>
      <c r="K83" s="59" t="n"/>
      <c r="L83" s="59" t="n"/>
      <c r="M83" s="61" t="str">
        <f>IF(OR(B83="",NOT(ISNUMBER(K83)),NOT(ISNUMBER(L83))),"",IF(OR(K83&lt;=0,L83&lt;=0),"",ROUND(L83-K83,6)))</f>
        <v/>
      </c>
      <c r="N83" s="58" t="n"/>
      <c r="O83" s="62" t="n"/>
      <c r="P83" s="63" t="str">
        <f>IF(OR(B83="",NOT(ISNUMBER(L83))),"",IF(L83&lt;=0,"",IFERROR(ROUND(L83*N(INDEX(art_w,MATCH(H83,art_ref,0))),3),"")))</f>
        <v/>
      </c>
      <c r="Q83" s="59" t="n"/>
      <c r="R83" s="54" t="n"/>
      <c r="S83" s="59" t="n"/>
      <c r="T83" s="59" t="n"/>
      <c r="U83" s="64" t="str">
        <f>IF(OR(B83="",H83=""),"",IFERROR(IF(A83="BL",IF(N(INDEX(art_price,MATCH(H83,art_ref,0)))=0,"",N(INDEX(art_price,MATCH(H83,art_ref,0)))),IF(N(INDEX(art_cost,MATCH(H83,art_ref,0)))=0,"",N(INDEX(art_cost,MATCH(H83,art_ref,0))))),""))</f>
        <v/>
      </c>
      <c r="V83" s="64" t="str">
        <f>IF(OR(U83="",NOT(ISNUMBER(L83))),"",IF(L83&lt;=0,"",ROUND(L83*U83,2)))</f>
        <v/>
      </c>
      <c r="W83" s="60" t="str">
        <f>IF(AND(B83&lt;&gt;"",A83&lt;&gt;"BS",F83&lt;&gt;"",H83&lt;&gt;"",ISNUMBER(K83),ISNUMBER(L83)),IF(AND(K83&gt;0,L83&gt;0,K83-L83&gt;0,COUNTIFS(A84:A$2005,A83,F84:F$2005,F83,H84:H$2005,H83,AA84:AA$2005,"&gt;0")=0),ROUND(K83-L83,6),""),"")</f>
        <v/>
      </c>
      <c r="X83" s="60" t="str">
        <f>IF(AND(A83="",C83="",D83="",H83="",L83=""),"",IF(A83="","Type manquant",IF(AND(A83&lt;&gt;"BL",A83&lt;&gt;"BR",A83&lt;&gt;"BS"),"Type inconnu (BL, BR ou BS)",IF(AG83=0,"Date manquante ou invalide",IF(D83="",IF(A83="BL","Client manquant",IF(A83="BR","Fournisseur manquant","Service manquant")),IF(IF(A83="BL",ISNA(MATCH(D83,cl_code,0)),IF(A83="BR",ISNA(MATCH(D83,fo_code,0)),ISNA(MATCH(D83,p_services,0)))),IF(A83="BL","Client inconnu",IF(A83="BR","Fournisseur inconnu","Service inconnu")),IF(H83="","Article manquant",IF(ISNA(MATCH(H83,art_ref,0)),"Article inconnu",IF(OR(NOT(ISNUMBER(L83)),N(L83)&lt;=0),"Quantité invalide",IF(AND(K83&lt;&gt;"",OR(NOT(ISNUMBER(K83)),N(K83)&lt;=0)),"Qté commandée invalide",IF(AG83&lt;SUMPRODUCT(MAX((A$6:A82=A83)*AG$6:AG82)),"Date antérieure au bon précédent",IF(AND(A83&lt;&gt;"BR",ISNUMBER(M83),N(M83)&gt;0),IF(A83="BL","Livré plus que commandé","Sorti plus que demandé"),"OK"))))))))))))</f>
        <v/>
      </c>
      <c r="Y83" s="57" t="str">
        <f>IF(AND(OR(A83="BL",A83="BR",A83="BS"),AG83&gt;0,D83&lt;&gt;""),A83&amp;"|"&amp;AG83&amp;"|"&amp;D83&amp;"|"&amp;F83,"")</f>
        <v/>
      </c>
      <c r="Z83" s="57" t="str">
        <f>IF(Y83="","",IF(COUNTIF(Y$6:Y82,Y83)=0,1,0))</f>
        <v/>
      </c>
      <c r="AA83" s="57" t="str">
        <f>IF(Y83="","",IF(Z83=1,COUNTIFS(A$6:A83,A83,Z$6:Z83,1),INDEX(AA$6:AA82,MATCH(Y83,Y$6:Y82,0))))</f>
        <v/>
      </c>
      <c r="AB83" s="57" t="str">
        <f>IF(B83="","",COUNTIF(B$6:B83,B83))</f>
        <v/>
      </c>
      <c r="AC83" s="57" t="str">
        <f>IF(B83="","",B83&amp;"#"&amp;AB83)</f>
        <v/>
      </c>
      <c r="AD83" s="57" t="str">
        <f>IF(Z83=1,A83&amp;AA83,"")</f>
        <v/>
      </c>
      <c r="AE83" s="57" t="str">
        <f>IF(B83="","",YEAR(C83))</f>
        <v/>
      </c>
      <c r="AF83" s="57" t="str">
        <f>IF(B83="","",MONTH(C83))</f>
        <v/>
      </c>
      <c r="AG83" s="57">
        <f>IF(ISNUMBER(C83),C83,0)</f>
        <v>0.0</v>
      </c>
      <c r="AH83" s="57" t="str">
        <f>IF(N(W83)&gt;0,COUNTIF(W$6:W83,"&gt;0"),"")</f>
        <v/>
      </c>
      <c r="AI83" s="57" t="str">
        <f>IF(Z83=1,COUNTIF(Z$6:Z83,1),"")</f>
        <v/>
      </c>
    </row>
    <row r="84">
      <c r="A84" s="54" t="n"/>
      <c r="B84" s="55" t="str">
        <f>IF(AA84="","",A84&amp;"-"&amp;RIGHT("000"&amp;AA84,4))</f>
        <v/>
      </c>
      <c r="C84" s="56" t="n"/>
      <c r="D84" s="54" t="n"/>
      <c r="E84" s="57" t="str">
        <f>IF(D84="","",IF(A84="BL",IFERROR(INDEX(cl_name,MATCH(D84,cl_code,0))&amp;"","Client inconnu"),IF(A84="BR",IFERROR(INDEX(fo_name,MATCH(D84,fo_code,0))&amp;"","Fournisseur inconnu"),IF(A84="BS",IF(ISNA(MATCH(D84,p_services,0)),"Service inconnu",D84&amp;""),""))))</f>
        <v/>
      </c>
      <c r="F84" s="58" t="n"/>
      <c r="G84" s="58" t="n"/>
      <c r="H84" s="59" t="n"/>
      <c r="I84" s="57" t="str">
        <f>IF(H84="","",IFERROR(INDEX(art_des,MATCH(H84,art_ref,0))&amp;"","Article inconnu"))</f>
        <v/>
      </c>
      <c r="J84" s="60" t="str">
        <f>IF(H84="","",IFERROR(INDEX(art_unit,MATCH(H84,art_ref,0))&amp;"",""))</f>
        <v/>
      </c>
      <c r="K84" s="59" t="n"/>
      <c r="L84" s="59" t="n"/>
      <c r="M84" s="61" t="str">
        <f>IF(OR(B84="",NOT(ISNUMBER(K84)),NOT(ISNUMBER(L84))),"",IF(OR(K84&lt;=0,L84&lt;=0),"",ROUND(L84-K84,6)))</f>
        <v/>
      </c>
      <c r="N84" s="58" t="n"/>
      <c r="O84" s="62" t="n"/>
      <c r="P84" s="63" t="str">
        <f>IF(OR(B84="",NOT(ISNUMBER(L84))),"",IF(L84&lt;=0,"",IFERROR(ROUND(L84*N(INDEX(art_w,MATCH(H84,art_ref,0))),3),"")))</f>
        <v/>
      </c>
      <c r="Q84" s="59" t="n"/>
      <c r="R84" s="54" t="n"/>
      <c r="S84" s="59" t="n"/>
      <c r="T84" s="59" t="n"/>
      <c r="U84" s="64" t="str">
        <f>IF(OR(B84="",H84=""),"",IFERROR(IF(A84="BL",IF(N(INDEX(art_price,MATCH(H84,art_ref,0)))=0,"",N(INDEX(art_price,MATCH(H84,art_ref,0)))),IF(N(INDEX(art_cost,MATCH(H84,art_ref,0)))=0,"",N(INDEX(art_cost,MATCH(H84,art_ref,0))))),""))</f>
        <v/>
      </c>
      <c r="V84" s="64" t="str">
        <f>IF(OR(U84="",NOT(ISNUMBER(L84))),"",IF(L84&lt;=0,"",ROUND(L84*U84,2)))</f>
        <v/>
      </c>
      <c r="W84" s="60" t="str">
        <f>IF(AND(B84&lt;&gt;"",A84&lt;&gt;"BS",F84&lt;&gt;"",H84&lt;&gt;"",ISNUMBER(K84),ISNUMBER(L84)),IF(AND(K84&gt;0,L84&gt;0,K84-L84&gt;0,COUNTIFS(A85:A$2005,A84,F85:F$2005,F84,H85:H$2005,H84,AA85:AA$2005,"&gt;0")=0),ROUND(K84-L84,6),""),"")</f>
        <v/>
      </c>
      <c r="X84" s="60" t="str">
        <f>IF(AND(A84="",C84="",D84="",H84="",L84=""),"",IF(A84="","Type manquant",IF(AND(A84&lt;&gt;"BL",A84&lt;&gt;"BR",A84&lt;&gt;"BS"),"Type inconnu (BL, BR ou BS)",IF(AG84=0,"Date manquante ou invalide",IF(D84="",IF(A84="BL","Client manquant",IF(A84="BR","Fournisseur manquant","Service manquant")),IF(IF(A84="BL",ISNA(MATCH(D84,cl_code,0)),IF(A84="BR",ISNA(MATCH(D84,fo_code,0)),ISNA(MATCH(D84,p_services,0)))),IF(A84="BL","Client inconnu",IF(A84="BR","Fournisseur inconnu","Service inconnu")),IF(H84="","Article manquant",IF(ISNA(MATCH(H84,art_ref,0)),"Article inconnu",IF(OR(NOT(ISNUMBER(L84)),N(L84)&lt;=0),"Quantité invalide",IF(AND(K84&lt;&gt;"",OR(NOT(ISNUMBER(K84)),N(K84)&lt;=0)),"Qté commandée invalide",IF(AG84&lt;SUMPRODUCT(MAX((A$6:A83=A84)*AG$6:AG83)),"Date antérieure au bon précédent",IF(AND(A84&lt;&gt;"BR",ISNUMBER(M84),N(M84)&gt;0),IF(A84="BL","Livré plus que commandé","Sorti plus que demandé"),"OK"))))))))))))</f>
        <v/>
      </c>
      <c r="Y84" s="57" t="str">
        <f>IF(AND(OR(A84="BL",A84="BR",A84="BS"),AG84&gt;0,D84&lt;&gt;""),A84&amp;"|"&amp;AG84&amp;"|"&amp;D84&amp;"|"&amp;F84,"")</f>
        <v/>
      </c>
      <c r="Z84" s="57" t="str">
        <f>IF(Y84="","",IF(COUNTIF(Y$6:Y83,Y84)=0,1,0))</f>
        <v/>
      </c>
      <c r="AA84" s="57" t="str">
        <f>IF(Y84="","",IF(Z84=1,COUNTIFS(A$6:A84,A84,Z$6:Z84,1),INDEX(AA$6:AA83,MATCH(Y84,Y$6:Y83,0))))</f>
        <v/>
      </c>
      <c r="AB84" s="57" t="str">
        <f>IF(B84="","",COUNTIF(B$6:B84,B84))</f>
        <v/>
      </c>
      <c r="AC84" s="57" t="str">
        <f>IF(B84="","",B84&amp;"#"&amp;AB84)</f>
        <v/>
      </c>
      <c r="AD84" s="57" t="str">
        <f>IF(Z84=1,A84&amp;AA84,"")</f>
        <v/>
      </c>
      <c r="AE84" s="57" t="str">
        <f>IF(B84="","",YEAR(C84))</f>
        <v/>
      </c>
      <c r="AF84" s="57" t="str">
        <f>IF(B84="","",MONTH(C84))</f>
        <v/>
      </c>
      <c r="AG84" s="57">
        <f>IF(ISNUMBER(C84),C84,0)</f>
        <v>0.0</v>
      </c>
      <c r="AH84" s="57" t="str">
        <f>IF(N(W84)&gt;0,COUNTIF(W$6:W84,"&gt;0"),"")</f>
        <v/>
      </c>
      <c r="AI84" s="57" t="str">
        <f>IF(Z84=1,COUNTIF(Z$6:Z84,1),"")</f>
        <v/>
      </c>
    </row>
    <row r="85">
      <c r="A85" s="54" t="n"/>
      <c r="B85" s="55" t="str">
        <f>IF(AA85="","",A85&amp;"-"&amp;RIGHT("000"&amp;AA85,4))</f>
        <v/>
      </c>
      <c r="C85" s="56" t="n"/>
      <c r="D85" s="54" t="n"/>
      <c r="E85" s="57" t="str">
        <f>IF(D85="","",IF(A85="BL",IFERROR(INDEX(cl_name,MATCH(D85,cl_code,0))&amp;"","Client inconnu"),IF(A85="BR",IFERROR(INDEX(fo_name,MATCH(D85,fo_code,0))&amp;"","Fournisseur inconnu"),IF(A85="BS",IF(ISNA(MATCH(D85,p_services,0)),"Service inconnu",D85&amp;""),""))))</f>
        <v/>
      </c>
      <c r="F85" s="58" t="n"/>
      <c r="G85" s="58" t="n"/>
      <c r="H85" s="59" t="n"/>
      <c r="I85" s="57" t="str">
        <f>IF(H85="","",IFERROR(INDEX(art_des,MATCH(H85,art_ref,0))&amp;"","Article inconnu"))</f>
        <v/>
      </c>
      <c r="J85" s="60" t="str">
        <f>IF(H85="","",IFERROR(INDEX(art_unit,MATCH(H85,art_ref,0))&amp;"",""))</f>
        <v/>
      </c>
      <c r="K85" s="59" t="n"/>
      <c r="L85" s="59" t="n"/>
      <c r="M85" s="61" t="str">
        <f>IF(OR(B85="",NOT(ISNUMBER(K85)),NOT(ISNUMBER(L85))),"",IF(OR(K85&lt;=0,L85&lt;=0),"",ROUND(L85-K85,6)))</f>
        <v/>
      </c>
      <c r="N85" s="58" t="n"/>
      <c r="O85" s="62" t="n"/>
      <c r="P85" s="63" t="str">
        <f>IF(OR(B85="",NOT(ISNUMBER(L85))),"",IF(L85&lt;=0,"",IFERROR(ROUND(L85*N(INDEX(art_w,MATCH(H85,art_ref,0))),3),"")))</f>
        <v/>
      </c>
      <c r="Q85" s="59" t="n"/>
      <c r="R85" s="54" t="n"/>
      <c r="S85" s="59" t="n"/>
      <c r="T85" s="59" t="n"/>
      <c r="U85" s="64" t="str">
        <f>IF(OR(B85="",H85=""),"",IFERROR(IF(A85="BL",IF(N(INDEX(art_price,MATCH(H85,art_ref,0)))=0,"",N(INDEX(art_price,MATCH(H85,art_ref,0)))),IF(N(INDEX(art_cost,MATCH(H85,art_ref,0)))=0,"",N(INDEX(art_cost,MATCH(H85,art_ref,0))))),""))</f>
        <v/>
      </c>
      <c r="V85" s="64" t="str">
        <f>IF(OR(U85="",NOT(ISNUMBER(L85))),"",IF(L85&lt;=0,"",ROUND(L85*U85,2)))</f>
        <v/>
      </c>
      <c r="W85" s="60" t="str">
        <f>IF(AND(B85&lt;&gt;"",A85&lt;&gt;"BS",F85&lt;&gt;"",H85&lt;&gt;"",ISNUMBER(K85),ISNUMBER(L85)),IF(AND(K85&gt;0,L85&gt;0,K85-L85&gt;0,COUNTIFS(A86:A$2005,A85,F86:F$2005,F85,H86:H$2005,H85,AA86:AA$2005,"&gt;0")=0),ROUND(K85-L85,6),""),"")</f>
        <v/>
      </c>
      <c r="X85" s="60" t="str">
        <f>IF(AND(A85="",C85="",D85="",H85="",L85=""),"",IF(A85="","Type manquant",IF(AND(A85&lt;&gt;"BL",A85&lt;&gt;"BR",A85&lt;&gt;"BS"),"Type inconnu (BL, BR ou BS)",IF(AG85=0,"Date manquante ou invalide",IF(D85="",IF(A85="BL","Client manquant",IF(A85="BR","Fournisseur manquant","Service manquant")),IF(IF(A85="BL",ISNA(MATCH(D85,cl_code,0)),IF(A85="BR",ISNA(MATCH(D85,fo_code,0)),ISNA(MATCH(D85,p_services,0)))),IF(A85="BL","Client inconnu",IF(A85="BR","Fournisseur inconnu","Service inconnu")),IF(H85="","Article manquant",IF(ISNA(MATCH(H85,art_ref,0)),"Article inconnu",IF(OR(NOT(ISNUMBER(L85)),N(L85)&lt;=0),"Quantité invalide",IF(AND(K85&lt;&gt;"",OR(NOT(ISNUMBER(K85)),N(K85)&lt;=0)),"Qté commandée invalide",IF(AG85&lt;SUMPRODUCT(MAX((A$6:A84=A85)*AG$6:AG84)),"Date antérieure au bon précédent",IF(AND(A85&lt;&gt;"BR",ISNUMBER(M85),N(M85)&gt;0),IF(A85="BL","Livré plus que commandé","Sorti plus que demandé"),"OK"))))))))))))</f>
        <v/>
      </c>
      <c r="Y85" s="57" t="str">
        <f>IF(AND(OR(A85="BL",A85="BR",A85="BS"),AG85&gt;0,D85&lt;&gt;""),A85&amp;"|"&amp;AG85&amp;"|"&amp;D85&amp;"|"&amp;F85,"")</f>
        <v/>
      </c>
      <c r="Z85" s="57" t="str">
        <f>IF(Y85="","",IF(COUNTIF(Y$6:Y84,Y85)=0,1,0))</f>
        <v/>
      </c>
      <c r="AA85" s="57" t="str">
        <f>IF(Y85="","",IF(Z85=1,COUNTIFS(A$6:A85,A85,Z$6:Z85,1),INDEX(AA$6:AA84,MATCH(Y85,Y$6:Y84,0))))</f>
        <v/>
      </c>
      <c r="AB85" s="57" t="str">
        <f>IF(B85="","",COUNTIF(B$6:B85,B85))</f>
        <v/>
      </c>
      <c r="AC85" s="57" t="str">
        <f>IF(B85="","",B85&amp;"#"&amp;AB85)</f>
        <v/>
      </c>
      <c r="AD85" s="57" t="str">
        <f>IF(Z85=1,A85&amp;AA85,"")</f>
        <v/>
      </c>
      <c r="AE85" s="57" t="str">
        <f>IF(B85="","",YEAR(C85))</f>
        <v/>
      </c>
      <c r="AF85" s="57" t="str">
        <f>IF(B85="","",MONTH(C85))</f>
        <v/>
      </c>
      <c r="AG85" s="57">
        <f>IF(ISNUMBER(C85),C85,0)</f>
        <v>0.0</v>
      </c>
      <c r="AH85" s="57" t="str">
        <f>IF(N(W85)&gt;0,COUNTIF(W$6:W85,"&gt;0"),"")</f>
        <v/>
      </c>
      <c r="AI85" s="57" t="str">
        <f>IF(Z85=1,COUNTIF(Z$6:Z85,1),"")</f>
        <v/>
      </c>
    </row>
    <row r="86">
      <c r="A86" s="54" t="n"/>
      <c r="B86" s="55" t="str">
        <f>IF(AA86="","",A86&amp;"-"&amp;RIGHT("000"&amp;AA86,4))</f>
        <v/>
      </c>
      <c r="C86" s="56" t="n"/>
      <c r="D86" s="54" t="n"/>
      <c r="E86" s="57" t="str">
        <f>IF(D86="","",IF(A86="BL",IFERROR(INDEX(cl_name,MATCH(D86,cl_code,0))&amp;"","Client inconnu"),IF(A86="BR",IFERROR(INDEX(fo_name,MATCH(D86,fo_code,0))&amp;"","Fournisseur inconnu"),IF(A86="BS",IF(ISNA(MATCH(D86,p_services,0)),"Service inconnu",D86&amp;""),""))))</f>
        <v/>
      </c>
      <c r="F86" s="58" t="n"/>
      <c r="G86" s="58" t="n"/>
      <c r="H86" s="59" t="n"/>
      <c r="I86" s="57" t="str">
        <f>IF(H86="","",IFERROR(INDEX(art_des,MATCH(H86,art_ref,0))&amp;"","Article inconnu"))</f>
        <v/>
      </c>
      <c r="J86" s="60" t="str">
        <f>IF(H86="","",IFERROR(INDEX(art_unit,MATCH(H86,art_ref,0))&amp;"",""))</f>
        <v/>
      </c>
      <c r="K86" s="59" t="n"/>
      <c r="L86" s="59" t="n"/>
      <c r="M86" s="61" t="str">
        <f>IF(OR(B86="",NOT(ISNUMBER(K86)),NOT(ISNUMBER(L86))),"",IF(OR(K86&lt;=0,L86&lt;=0),"",ROUND(L86-K86,6)))</f>
        <v/>
      </c>
      <c r="N86" s="58" t="n"/>
      <c r="O86" s="62" t="n"/>
      <c r="P86" s="63" t="str">
        <f>IF(OR(B86="",NOT(ISNUMBER(L86))),"",IF(L86&lt;=0,"",IFERROR(ROUND(L86*N(INDEX(art_w,MATCH(H86,art_ref,0))),3),"")))</f>
        <v/>
      </c>
      <c r="Q86" s="59" t="n"/>
      <c r="R86" s="54" t="n"/>
      <c r="S86" s="59" t="n"/>
      <c r="T86" s="59" t="n"/>
      <c r="U86" s="64" t="str">
        <f>IF(OR(B86="",H86=""),"",IFERROR(IF(A86="BL",IF(N(INDEX(art_price,MATCH(H86,art_ref,0)))=0,"",N(INDEX(art_price,MATCH(H86,art_ref,0)))),IF(N(INDEX(art_cost,MATCH(H86,art_ref,0)))=0,"",N(INDEX(art_cost,MATCH(H86,art_ref,0))))),""))</f>
        <v/>
      </c>
      <c r="V86" s="64" t="str">
        <f>IF(OR(U86="",NOT(ISNUMBER(L86))),"",IF(L86&lt;=0,"",ROUND(L86*U86,2)))</f>
        <v/>
      </c>
      <c r="W86" s="60" t="str">
        <f>IF(AND(B86&lt;&gt;"",A86&lt;&gt;"BS",F86&lt;&gt;"",H86&lt;&gt;"",ISNUMBER(K86),ISNUMBER(L86)),IF(AND(K86&gt;0,L86&gt;0,K86-L86&gt;0,COUNTIFS(A87:A$2005,A86,F87:F$2005,F86,H87:H$2005,H86,AA87:AA$2005,"&gt;0")=0),ROUND(K86-L86,6),""),"")</f>
        <v/>
      </c>
      <c r="X86" s="60" t="str">
        <f>IF(AND(A86="",C86="",D86="",H86="",L86=""),"",IF(A86="","Type manquant",IF(AND(A86&lt;&gt;"BL",A86&lt;&gt;"BR",A86&lt;&gt;"BS"),"Type inconnu (BL, BR ou BS)",IF(AG86=0,"Date manquante ou invalide",IF(D86="",IF(A86="BL","Client manquant",IF(A86="BR","Fournisseur manquant","Service manquant")),IF(IF(A86="BL",ISNA(MATCH(D86,cl_code,0)),IF(A86="BR",ISNA(MATCH(D86,fo_code,0)),ISNA(MATCH(D86,p_services,0)))),IF(A86="BL","Client inconnu",IF(A86="BR","Fournisseur inconnu","Service inconnu")),IF(H86="","Article manquant",IF(ISNA(MATCH(H86,art_ref,0)),"Article inconnu",IF(OR(NOT(ISNUMBER(L86)),N(L86)&lt;=0),"Quantité invalide",IF(AND(K86&lt;&gt;"",OR(NOT(ISNUMBER(K86)),N(K86)&lt;=0)),"Qté commandée invalide",IF(AG86&lt;SUMPRODUCT(MAX((A$6:A85=A86)*AG$6:AG85)),"Date antérieure au bon précédent",IF(AND(A86&lt;&gt;"BR",ISNUMBER(M86),N(M86)&gt;0),IF(A86="BL","Livré plus que commandé","Sorti plus que demandé"),"OK"))))))))))))</f>
        <v/>
      </c>
      <c r="Y86" s="57" t="str">
        <f>IF(AND(OR(A86="BL",A86="BR",A86="BS"),AG86&gt;0,D86&lt;&gt;""),A86&amp;"|"&amp;AG86&amp;"|"&amp;D86&amp;"|"&amp;F86,"")</f>
        <v/>
      </c>
      <c r="Z86" s="57" t="str">
        <f>IF(Y86="","",IF(COUNTIF(Y$6:Y85,Y86)=0,1,0))</f>
        <v/>
      </c>
      <c r="AA86" s="57" t="str">
        <f>IF(Y86="","",IF(Z86=1,COUNTIFS(A$6:A86,A86,Z$6:Z86,1),INDEX(AA$6:AA85,MATCH(Y86,Y$6:Y85,0))))</f>
        <v/>
      </c>
      <c r="AB86" s="57" t="str">
        <f>IF(B86="","",COUNTIF(B$6:B86,B86))</f>
        <v/>
      </c>
      <c r="AC86" s="57" t="str">
        <f>IF(B86="","",B86&amp;"#"&amp;AB86)</f>
        <v/>
      </c>
      <c r="AD86" s="57" t="str">
        <f>IF(Z86=1,A86&amp;AA86,"")</f>
        <v/>
      </c>
      <c r="AE86" s="57" t="str">
        <f>IF(B86="","",YEAR(C86))</f>
        <v/>
      </c>
      <c r="AF86" s="57" t="str">
        <f>IF(B86="","",MONTH(C86))</f>
        <v/>
      </c>
      <c r="AG86" s="57">
        <f>IF(ISNUMBER(C86),C86,0)</f>
        <v>0.0</v>
      </c>
      <c r="AH86" s="57" t="str">
        <f>IF(N(W86)&gt;0,COUNTIF(W$6:W86,"&gt;0"),"")</f>
        <v/>
      </c>
      <c r="AI86" s="57" t="str">
        <f>IF(Z86=1,COUNTIF(Z$6:Z86,1),"")</f>
        <v/>
      </c>
    </row>
    <row r="87">
      <c r="A87" s="54" t="n"/>
      <c r="B87" s="55" t="str">
        <f>IF(AA87="","",A87&amp;"-"&amp;RIGHT("000"&amp;AA87,4))</f>
        <v/>
      </c>
      <c r="C87" s="56" t="n"/>
      <c r="D87" s="54" t="n"/>
      <c r="E87" s="57" t="str">
        <f>IF(D87="","",IF(A87="BL",IFERROR(INDEX(cl_name,MATCH(D87,cl_code,0))&amp;"","Client inconnu"),IF(A87="BR",IFERROR(INDEX(fo_name,MATCH(D87,fo_code,0))&amp;"","Fournisseur inconnu"),IF(A87="BS",IF(ISNA(MATCH(D87,p_services,0)),"Service inconnu",D87&amp;""),""))))</f>
        <v/>
      </c>
      <c r="F87" s="58" t="n"/>
      <c r="G87" s="58" t="n"/>
      <c r="H87" s="59" t="n"/>
      <c r="I87" s="57" t="str">
        <f>IF(H87="","",IFERROR(INDEX(art_des,MATCH(H87,art_ref,0))&amp;"","Article inconnu"))</f>
        <v/>
      </c>
      <c r="J87" s="60" t="str">
        <f>IF(H87="","",IFERROR(INDEX(art_unit,MATCH(H87,art_ref,0))&amp;"",""))</f>
        <v/>
      </c>
      <c r="K87" s="59" t="n"/>
      <c r="L87" s="59" t="n"/>
      <c r="M87" s="61" t="str">
        <f>IF(OR(B87="",NOT(ISNUMBER(K87)),NOT(ISNUMBER(L87))),"",IF(OR(K87&lt;=0,L87&lt;=0),"",ROUND(L87-K87,6)))</f>
        <v/>
      </c>
      <c r="N87" s="58" t="n"/>
      <c r="O87" s="62" t="n"/>
      <c r="P87" s="63" t="str">
        <f>IF(OR(B87="",NOT(ISNUMBER(L87))),"",IF(L87&lt;=0,"",IFERROR(ROUND(L87*N(INDEX(art_w,MATCH(H87,art_ref,0))),3),"")))</f>
        <v/>
      </c>
      <c r="Q87" s="59" t="n"/>
      <c r="R87" s="54" t="n"/>
      <c r="S87" s="59" t="n"/>
      <c r="T87" s="59" t="n"/>
      <c r="U87" s="64" t="str">
        <f>IF(OR(B87="",H87=""),"",IFERROR(IF(A87="BL",IF(N(INDEX(art_price,MATCH(H87,art_ref,0)))=0,"",N(INDEX(art_price,MATCH(H87,art_ref,0)))),IF(N(INDEX(art_cost,MATCH(H87,art_ref,0)))=0,"",N(INDEX(art_cost,MATCH(H87,art_ref,0))))),""))</f>
        <v/>
      </c>
      <c r="V87" s="64" t="str">
        <f>IF(OR(U87="",NOT(ISNUMBER(L87))),"",IF(L87&lt;=0,"",ROUND(L87*U87,2)))</f>
        <v/>
      </c>
      <c r="W87" s="60" t="str">
        <f>IF(AND(B87&lt;&gt;"",A87&lt;&gt;"BS",F87&lt;&gt;"",H87&lt;&gt;"",ISNUMBER(K87),ISNUMBER(L87)),IF(AND(K87&gt;0,L87&gt;0,K87-L87&gt;0,COUNTIFS(A88:A$2005,A87,F88:F$2005,F87,H88:H$2005,H87,AA88:AA$2005,"&gt;0")=0),ROUND(K87-L87,6),""),"")</f>
        <v/>
      </c>
      <c r="X87" s="60" t="str">
        <f>IF(AND(A87="",C87="",D87="",H87="",L87=""),"",IF(A87="","Type manquant",IF(AND(A87&lt;&gt;"BL",A87&lt;&gt;"BR",A87&lt;&gt;"BS"),"Type inconnu (BL, BR ou BS)",IF(AG87=0,"Date manquante ou invalide",IF(D87="",IF(A87="BL","Client manquant",IF(A87="BR","Fournisseur manquant","Service manquant")),IF(IF(A87="BL",ISNA(MATCH(D87,cl_code,0)),IF(A87="BR",ISNA(MATCH(D87,fo_code,0)),ISNA(MATCH(D87,p_services,0)))),IF(A87="BL","Client inconnu",IF(A87="BR","Fournisseur inconnu","Service inconnu")),IF(H87="","Article manquant",IF(ISNA(MATCH(H87,art_ref,0)),"Article inconnu",IF(OR(NOT(ISNUMBER(L87)),N(L87)&lt;=0),"Quantité invalide",IF(AND(K87&lt;&gt;"",OR(NOT(ISNUMBER(K87)),N(K87)&lt;=0)),"Qté commandée invalide",IF(AG87&lt;SUMPRODUCT(MAX((A$6:A86=A87)*AG$6:AG86)),"Date antérieure au bon précédent",IF(AND(A87&lt;&gt;"BR",ISNUMBER(M87),N(M87)&gt;0),IF(A87="BL","Livré plus que commandé","Sorti plus que demandé"),"OK"))))))))))))</f>
        <v/>
      </c>
      <c r="Y87" s="57" t="str">
        <f>IF(AND(OR(A87="BL",A87="BR",A87="BS"),AG87&gt;0,D87&lt;&gt;""),A87&amp;"|"&amp;AG87&amp;"|"&amp;D87&amp;"|"&amp;F87,"")</f>
        <v/>
      </c>
      <c r="Z87" s="57" t="str">
        <f>IF(Y87="","",IF(COUNTIF(Y$6:Y86,Y87)=0,1,0))</f>
        <v/>
      </c>
      <c r="AA87" s="57" t="str">
        <f>IF(Y87="","",IF(Z87=1,COUNTIFS(A$6:A87,A87,Z$6:Z87,1),INDEX(AA$6:AA86,MATCH(Y87,Y$6:Y86,0))))</f>
        <v/>
      </c>
      <c r="AB87" s="57" t="str">
        <f>IF(B87="","",COUNTIF(B$6:B87,B87))</f>
        <v/>
      </c>
      <c r="AC87" s="57" t="str">
        <f>IF(B87="","",B87&amp;"#"&amp;AB87)</f>
        <v/>
      </c>
      <c r="AD87" s="57" t="str">
        <f>IF(Z87=1,A87&amp;AA87,"")</f>
        <v/>
      </c>
      <c r="AE87" s="57" t="str">
        <f>IF(B87="","",YEAR(C87))</f>
        <v/>
      </c>
      <c r="AF87" s="57" t="str">
        <f>IF(B87="","",MONTH(C87))</f>
        <v/>
      </c>
      <c r="AG87" s="57">
        <f>IF(ISNUMBER(C87),C87,0)</f>
        <v>0.0</v>
      </c>
      <c r="AH87" s="57" t="str">
        <f>IF(N(W87)&gt;0,COUNTIF(W$6:W87,"&gt;0"),"")</f>
        <v/>
      </c>
      <c r="AI87" s="57" t="str">
        <f>IF(Z87=1,COUNTIF(Z$6:Z87,1),"")</f>
        <v/>
      </c>
    </row>
    <row r="88">
      <c r="A88" s="54" t="n"/>
      <c r="B88" s="55" t="str">
        <f>IF(AA88="","",A88&amp;"-"&amp;RIGHT("000"&amp;AA88,4))</f>
        <v/>
      </c>
      <c r="C88" s="56" t="n"/>
      <c r="D88" s="54" t="n"/>
      <c r="E88" s="57" t="str">
        <f>IF(D88="","",IF(A88="BL",IFERROR(INDEX(cl_name,MATCH(D88,cl_code,0))&amp;"","Client inconnu"),IF(A88="BR",IFERROR(INDEX(fo_name,MATCH(D88,fo_code,0))&amp;"","Fournisseur inconnu"),IF(A88="BS",IF(ISNA(MATCH(D88,p_services,0)),"Service inconnu",D88&amp;""),""))))</f>
        <v/>
      </c>
      <c r="F88" s="58" t="n"/>
      <c r="G88" s="58" t="n"/>
      <c r="H88" s="59" t="n"/>
      <c r="I88" s="57" t="str">
        <f>IF(H88="","",IFERROR(INDEX(art_des,MATCH(H88,art_ref,0))&amp;"","Article inconnu"))</f>
        <v/>
      </c>
      <c r="J88" s="60" t="str">
        <f>IF(H88="","",IFERROR(INDEX(art_unit,MATCH(H88,art_ref,0))&amp;"",""))</f>
        <v/>
      </c>
      <c r="K88" s="59" t="n"/>
      <c r="L88" s="59" t="n"/>
      <c r="M88" s="61" t="str">
        <f>IF(OR(B88="",NOT(ISNUMBER(K88)),NOT(ISNUMBER(L88))),"",IF(OR(K88&lt;=0,L88&lt;=0),"",ROUND(L88-K88,6)))</f>
        <v/>
      </c>
      <c r="N88" s="58" t="n"/>
      <c r="O88" s="62" t="n"/>
      <c r="P88" s="63" t="str">
        <f>IF(OR(B88="",NOT(ISNUMBER(L88))),"",IF(L88&lt;=0,"",IFERROR(ROUND(L88*N(INDEX(art_w,MATCH(H88,art_ref,0))),3),"")))</f>
        <v/>
      </c>
      <c r="Q88" s="59" t="n"/>
      <c r="R88" s="54" t="n"/>
      <c r="S88" s="59" t="n"/>
      <c r="T88" s="59" t="n"/>
      <c r="U88" s="64" t="str">
        <f>IF(OR(B88="",H88=""),"",IFERROR(IF(A88="BL",IF(N(INDEX(art_price,MATCH(H88,art_ref,0)))=0,"",N(INDEX(art_price,MATCH(H88,art_ref,0)))),IF(N(INDEX(art_cost,MATCH(H88,art_ref,0)))=0,"",N(INDEX(art_cost,MATCH(H88,art_ref,0))))),""))</f>
        <v/>
      </c>
      <c r="V88" s="64" t="str">
        <f>IF(OR(U88="",NOT(ISNUMBER(L88))),"",IF(L88&lt;=0,"",ROUND(L88*U88,2)))</f>
        <v/>
      </c>
      <c r="W88" s="60" t="str">
        <f>IF(AND(B88&lt;&gt;"",A88&lt;&gt;"BS",F88&lt;&gt;"",H88&lt;&gt;"",ISNUMBER(K88),ISNUMBER(L88)),IF(AND(K88&gt;0,L88&gt;0,K88-L88&gt;0,COUNTIFS(A89:A$2005,A88,F89:F$2005,F88,H89:H$2005,H88,AA89:AA$2005,"&gt;0")=0),ROUND(K88-L88,6),""),"")</f>
        <v/>
      </c>
      <c r="X88" s="60" t="str">
        <f>IF(AND(A88="",C88="",D88="",H88="",L88=""),"",IF(A88="","Type manquant",IF(AND(A88&lt;&gt;"BL",A88&lt;&gt;"BR",A88&lt;&gt;"BS"),"Type inconnu (BL, BR ou BS)",IF(AG88=0,"Date manquante ou invalide",IF(D88="",IF(A88="BL","Client manquant",IF(A88="BR","Fournisseur manquant","Service manquant")),IF(IF(A88="BL",ISNA(MATCH(D88,cl_code,0)),IF(A88="BR",ISNA(MATCH(D88,fo_code,0)),ISNA(MATCH(D88,p_services,0)))),IF(A88="BL","Client inconnu",IF(A88="BR","Fournisseur inconnu","Service inconnu")),IF(H88="","Article manquant",IF(ISNA(MATCH(H88,art_ref,0)),"Article inconnu",IF(OR(NOT(ISNUMBER(L88)),N(L88)&lt;=0),"Quantité invalide",IF(AND(K88&lt;&gt;"",OR(NOT(ISNUMBER(K88)),N(K88)&lt;=0)),"Qté commandée invalide",IF(AG88&lt;SUMPRODUCT(MAX((A$6:A87=A88)*AG$6:AG87)),"Date antérieure au bon précédent",IF(AND(A88&lt;&gt;"BR",ISNUMBER(M88),N(M88)&gt;0),IF(A88="BL","Livré plus que commandé","Sorti plus que demandé"),"OK"))))))))))))</f>
        <v/>
      </c>
      <c r="Y88" s="57" t="str">
        <f>IF(AND(OR(A88="BL",A88="BR",A88="BS"),AG88&gt;0,D88&lt;&gt;""),A88&amp;"|"&amp;AG88&amp;"|"&amp;D88&amp;"|"&amp;F88,"")</f>
        <v/>
      </c>
      <c r="Z88" s="57" t="str">
        <f>IF(Y88="","",IF(COUNTIF(Y$6:Y87,Y88)=0,1,0))</f>
        <v/>
      </c>
      <c r="AA88" s="57" t="str">
        <f>IF(Y88="","",IF(Z88=1,COUNTIFS(A$6:A88,A88,Z$6:Z88,1),INDEX(AA$6:AA87,MATCH(Y88,Y$6:Y87,0))))</f>
        <v/>
      </c>
      <c r="AB88" s="57" t="str">
        <f>IF(B88="","",COUNTIF(B$6:B88,B88))</f>
        <v/>
      </c>
      <c r="AC88" s="57" t="str">
        <f>IF(B88="","",B88&amp;"#"&amp;AB88)</f>
        <v/>
      </c>
      <c r="AD88" s="57" t="str">
        <f>IF(Z88=1,A88&amp;AA88,"")</f>
        <v/>
      </c>
      <c r="AE88" s="57" t="str">
        <f>IF(B88="","",YEAR(C88))</f>
        <v/>
      </c>
      <c r="AF88" s="57" t="str">
        <f>IF(B88="","",MONTH(C88))</f>
        <v/>
      </c>
      <c r="AG88" s="57">
        <f>IF(ISNUMBER(C88),C88,0)</f>
        <v>0.0</v>
      </c>
      <c r="AH88" s="57" t="str">
        <f>IF(N(W88)&gt;0,COUNTIF(W$6:W88,"&gt;0"),"")</f>
        <v/>
      </c>
      <c r="AI88" s="57" t="str">
        <f>IF(Z88=1,COUNTIF(Z$6:Z88,1),"")</f>
        <v/>
      </c>
    </row>
    <row r="89">
      <c r="A89" s="54" t="n"/>
      <c r="B89" s="55" t="str">
        <f>IF(AA89="","",A89&amp;"-"&amp;RIGHT("000"&amp;AA89,4))</f>
        <v/>
      </c>
      <c r="C89" s="56" t="n"/>
      <c r="D89" s="54" t="n"/>
      <c r="E89" s="57" t="str">
        <f>IF(D89="","",IF(A89="BL",IFERROR(INDEX(cl_name,MATCH(D89,cl_code,0))&amp;"","Client inconnu"),IF(A89="BR",IFERROR(INDEX(fo_name,MATCH(D89,fo_code,0))&amp;"","Fournisseur inconnu"),IF(A89="BS",IF(ISNA(MATCH(D89,p_services,0)),"Service inconnu",D89&amp;""),""))))</f>
        <v/>
      </c>
      <c r="F89" s="58" t="n"/>
      <c r="G89" s="58" t="n"/>
      <c r="H89" s="59" t="n"/>
      <c r="I89" s="57" t="str">
        <f>IF(H89="","",IFERROR(INDEX(art_des,MATCH(H89,art_ref,0))&amp;"","Article inconnu"))</f>
        <v/>
      </c>
      <c r="J89" s="60" t="str">
        <f>IF(H89="","",IFERROR(INDEX(art_unit,MATCH(H89,art_ref,0))&amp;"",""))</f>
        <v/>
      </c>
      <c r="K89" s="59" t="n"/>
      <c r="L89" s="59" t="n"/>
      <c r="M89" s="61" t="str">
        <f>IF(OR(B89="",NOT(ISNUMBER(K89)),NOT(ISNUMBER(L89))),"",IF(OR(K89&lt;=0,L89&lt;=0),"",ROUND(L89-K89,6)))</f>
        <v/>
      </c>
      <c r="N89" s="58" t="n"/>
      <c r="O89" s="62" t="n"/>
      <c r="P89" s="63" t="str">
        <f>IF(OR(B89="",NOT(ISNUMBER(L89))),"",IF(L89&lt;=0,"",IFERROR(ROUND(L89*N(INDEX(art_w,MATCH(H89,art_ref,0))),3),"")))</f>
        <v/>
      </c>
      <c r="Q89" s="59" t="n"/>
      <c r="R89" s="54" t="n"/>
      <c r="S89" s="59" t="n"/>
      <c r="T89" s="59" t="n"/>
      <c r="U89" s="64" t="str">
        <f>IF(OR(B89="",H89=""),"",IFERROR(IF(A89="BL",IF(N(INDEX(art_price,MATCH(H89,art_ref,0)))=0,"",N(INDEX(art_price,MATCH(H89,art_ref,0)))),IF(N(INDEX(art_cost,MATCH(H89,art_ref,0)))=0,"",N(INDEX(art_cost,MATCH(H89,art_ref,0))))),""))</f>
        <v/>
      </c>
      <c r="V89" s="64" t="str">
        <f>IF(OR(U89="",NOT(ISNUMBER(L89))),"",IF(L89&lt;=0,"",ROUND(L89*U89,2)))</f>
        <v/>
      </c>
      <c r="W89" s="60" t="str">
        <f>IF(AND(B89&lt;&gt;"",A89&lt;&gt;"BS",F89&lt;&gt;"",H89&lt;&gt;"",ISNUMBER(K89),ISNUMBER(L89)),IF(AND(K89&gt;0,L89&gt;0,K89-L89&gt;0,COUNTIFS(A90:A$2005,A89,F90:F$2005,F89,H90:H$2005,H89,AA90:AA$2005,"&gt;0")=0),ROUND(K89-L89,6),""),"")</f>
        <v/>
      </c>
      <c r="X89" s="60" t="str">
        <f>IF(AND(A89="",C89="",D89="",H89="",L89=""),"",IF(A89="","Type manquant",IF(AND(A89&lt;&gt;"BL",A89&lt;&gt;"BR",A89&lt;&gt;"BS"),"Type inconnu (BL, BR ou BS)",IF(AG89=0,"Date manquante ou invalide",IF(D89="",IF(A89="BL","Client manquant",IF(A89="BR","Fournisseur manquant","Service manquant")),IF(IF(A89="BL",ISNA(MATCH(D89,cl_code,0)),IF(A89="BR",ISNA(MATCH(D89,fo_code,0)),ISNA(MATCH(D89,p_services,0)))),IF(A89="BL","Client inconnu",IF(A89="BR","Fournisseur inconnu","Service inconnu")),IF(H89="","Article manquant",IF(ISNA(MATCH(H89,art_ref,0)),"Article inconnu",IF(OR(NOT(ISNUMBER(L89)),N(L89)&lt;=0),"Quantité invalide",IF(AND(K89&lt;&gt;"",OR(NOT(ISNUMBER(K89)),N(K89)&lt;=0)),"Qté commandée invalide",IF(AG89&lt;SUMPRODUCT(MAX((A$6:A88=A89)*AG$6:AG88)),"Date antérieure au bon précédent",IF(AND(A89&lt;&gt;"BR",ISNUMBER(M89),N(M89)&gt;0),IF(A89="BL","Livré plus que commandé","Sorti plus que demandé"),"OK"))))))))))))</f>
        <v/>
      </c>
      <c r="Y89" s="57" t="str">
        <f>IF(AND(OR(A89="BL",A89="BR",A89="BS"),AG89&gt;0,D89&lt;&gt;""),A89&amp;"|"&amp;AG89&amp;"|"&amp;D89&amp;"|"&amp;F89,"")</f>
        <v/>
      </c>
      <c r="Z89" s="57" t="str">
        <f>IF(Y89="","",IF(COUNTIF(Y$6:Y88,Y89)=0,1,0))</f>
        <v/>
      </c>
      <c r="AA89" s="57" t="str">
        <f>IF(Y89="","",IF(Z89=1,COUNTIFS(A$6:A89,A89,Z$6:Z89,1),INDEX(AA$6:AA88,MATCH(Y89,Y$6:Y88,0))))</f>
        <v/>
      </c>
      <c r="AB89" s="57" t="str">
        <f>IF(B89="","",COUNTIF(B$6:B89,B89))</f>
        <v/>
      </c>
      <c r="AC89" s="57" t="str">
        <f>IF(B89="","",B89&amp;"#"&amp;AB89)</f>
        <v/>
      </c>
      <c r="AD89" s="57" t="str">
        <f>IF(Z89=1,A89&amp;AA89,"")</f>
        <v/>
      </c>
      <c r="AE89" s="57" t="str">
        <f>IF(B89="","",YEAR(C89))</f>
        <v/>
      </c>
      <c r="AF89" s="57" t="str">
        <f>IF(B89="","",MONTH(C89))</f>
        <v/>
      </c>
      <c r="AG89" s="57">
        <f>IF(ISNUMBER(C89),C89,0)</f>
        <v>0.0</v>
      </c>
      <c r="AH89" s="57" t="str">
        <f>IF(N(W89)&gt;0,COUNTIF(W$6:W89,"&gt;0"),"")</f>
        <v/>
      </c>
      <c r="AI89" s="57" t="str">
        <f>IF(Z89=1,COUNTIF(Z$6:Z89,1),"")</f>
        <v/>
      </c>
    </row>
    <row r="90">
      <c r="A90" s="54" t="n"/>
      <c r="B90" s="55" t="str">
        <f>IF(AA90="","",A90&amp;"-"&amp;RIGHT("000"&amp;AA90,4))</f>
        <v/>
      </c>
      <c r="C90" s="56" t="n"/>
      <c r="D90" s="54" t="n"/>
      <c r="E90" s="57" t="str">
        <f>IF(D90="","",IF(A90="BL",IFERROR(INDEX(cl_name,MATCH(D90,cl_code,0))&amp;"","Client inconnu"),IF(A90="BR",IFERROR(INDEX(fo_name,MATCH(D90,fo_code,0))&amp;"","Fournisseur inconnu"),IF(A90="BS",IF(ISNA(MATCH(D90,p_services,0)),"Service inconnu",D90&amp;""),""))))</f>
        <v/>
      </c>
      <c r="F90" s="58" t="n"/>
      <c r="G90" s="58" t="n"/>
      <c r="H90" s="59" t="n"/>
      <c r="I90" s="57" t="str">
        <f>IF(H90="","",IFERROR(INDEX(art_des,MATCH(H90,art_ref,0))&amp;"","Article inconnu"))</f>
        <v/>
      </c>
      <c r="J90" s="60" t="str">
        <f>IF(H90="","",IFERROR(INDEX(art_unit,MATCH(H90,art_ref,0))&amp;"",""))</f>
        <v/>
      </c>
      <c r="K90" s="59" t="n"/>
      <c r="L90" s="59" t="n"/>
      <c r="M90" s="61" t="str">
        <f>IF(OR(B90="",NOT(ISNUMBER(K90)),NOT(ISNUMBER(L90))),"",IF(OR(K90&lt;=0,L90&lt;=0),"",ROUND(L90-K90,6)))</f>
        <v/>
      </c>
      <c r="N90" s="58" t="n"/>
      <c r="O90" s="62" t="n"/>
      <c r="P90" s="63" t="str">
        <f>IF(OR(B90="",NOT(ISNUMBER(L90))),"",IF(L90&lt;=0,"",IFERROR(ROUND(L90*N(INDEX(art_w,MATCH(H90,art_ref,0))),3),"")))</f>
        <v/>
      </c>
      <c r="Q90" s="59" t="n"/>
      <c r="R90" s="54" t="n"/>
      <c r="S90" s="59" t="n"/>
      <c r="T90" s="59" t="n"/>
      <c r="U90" s="64" t="str">
        <f>IF(OR(B90="",H90=""),"",IFERROR(IF(A90="BL",IF(N(INDEX(art_price,MATCH(H90,art_ref,0)))=0,"",N(INDEX(art_price,MATCH(H90,art_ref,0)))),IF(N(INDEX(art_cost,MATCH(H90,art_ref,0)))=0,"",N(INDEX(art_cost,MATCH(H90,art_ref,0))))),""))</f>
        <v/>
      </c>
      <c r="V90" s="64" t="str">
        <f>IF(OR(U90="",NOT(ISNUMBER(L90))),"",IF(L90&lt;=0,"",ROUND(L90*U90,2)))</f>
        <v/>
      </c>
      <c r="W90" s="60" t="str">
        <f>IF(AND(B90&lt;&gt;"",A90&lt;&gt;"BS",F90&lt;&gt;"",H90&lt;&gt;"",ISNUMBER(K90),ISNUMBER(L90)),IF(AND(K90&gt;0,L90&gt;0,K90-L90&gt;0,COUNTIFS(A91:A$2005,A90,F91:F$2005,F90,H91:H$2005,H90,AA91:AA$2005,"&gt;0")=0),ROUND(K90-L90,6),""),"")</f>
        <v/>
      </c>
      <c r="X90" s="60" t="str">
        <f>IF(AND(A90="",C90="",D90="",H90="",L90=""),"",IF(A90="","Type manquant",IF(AND(A90&lt;&gt;"BL",A90&lt;&gt;"BR",A90&lt;&gt;"BS"),"Type inconnu (BL, BR ou BS)",IF(AG90=0,"Date manquante ou invalide",IF(D90="",IF(A90="BL","Client manquant",IF(A90="BR","Fournisseur manquant","Service manquant")),IF(IF(A90="BL",ISNA(MATCH(D90,cl_code,0)),IF(A90="BR",ISNA(MATCH(D90,fo_code,0)),ISNA(MATCH(D90,p_services,0)))),IF(A90="BL","Client inconnu",IF(A90="BR","Fournisseur inconnu","Service inconnu")),IF(H90="","Article manquant",IF(ISNA(MATCH(H90,art_ref,0)),"Article inconnu",IF(OR(NOT(ISNUMBER(L90)),N(L90)&lt;=0),"Quantité invalide",IF(AND(K90&lt;&gt;"",OR(NOT(ISNUMBER(K90)),N(K90)&lt;=0)),"Qté commandée invalide",IF(AG90&lt;SUMPRODUCT(MAX((A$6:A89=A90)*AG$6:AG89)),"Date antérieure au bon précédent",IF(AND(A90&lt;&gt;"BR",ISNUMBER(M90),N(M90)&gt;0),IF(A90="BL","Livré plus que commandé","Sorti plus que demandé"),"OK"))))))))))))</f>
        <v/>
      </c>
      <c r="Y90" s="57" t="str">
        <f>IF(AND(OR(A90="BL",A90="BR",A90="BS"),AG90&gt;0,D90&lt;&gt;""),A90&amp;"|"&amp;AG90&amp;"|"&amp;D90&amp;"|"&amp;F90,"")</f>
        <v/>
      </c>
      <c r="Z90" s="57" t="str">
        <f>IF(Y90="","",IF(COUNTIF(Y$6:Y89,Y90)=0,1,0))</f>
        <v/>
      </c>
      <c r="AA90" s="57" t="str">
        <f>IF(Y90="","",IF(Z90=1,COUNTIFS(A$6:A90,A90,Z$6:Z90,1),INDEX(AA$6:AA89,MATCH(Y90,Y$6:Y89,0))))</f>
        <v/>
      </c>
      <c r="AB90" s="57" t="str">
        <f>IF(B90="","",COUNTIF(B$6:B90,B90))</f>
        <v/>
      </c>
      <c r="AC90" s="57" t="str">
        <f>IF(B90="","",B90&amp;"#"&amp;AB90)</f>
        <v/>
      </c>
      <c r="AD90" s="57" t="str">
        <f>IF(Z90=1,A90&amp;AA90,"")</f>
        <v/>
      </c>
      <c r="AE90" s="57" t="str">
        <f>IF(B90="","",YEAR(C90))</f>
        <v/>
      </c>
      <c r="AF90" s="57" t="str">
        <f>IF(B90="","",MONTH(C90))</f>
        <v/>
      </c>
      <c r="AG90" s="57">
        <f>IF(ISNUMBER(C90),C90,0)</f>
        <v>0.0</v>
      </c>
      <c r="AH90" s="57" t="str">
        <f>IF(N(W90)&gt;0,COUNTIF(W$6:W90,"&gt;0"),"")</f>
        <v/>
      </c>
      <c r="AI90" s="57" t="str">
        <f>IF(Z90=1,COUNTIF(Z$6:Z90,1),"")</f>
        <v/>
      </c>
    </row>
    <row r="91">
      <c r="A91" s="54" t="n"/>
      <c r="B91" s="55" t="str">
        <f>IF(AA91="","",A91&amp;"-"&amp;RIGHT("000"&amp;AA91,4))</f>
        <v/>
      </c>
      <c r="C91" s="56" t="n"/>
      <c r="D91" s="54" t="n"/>
      <c r="E91" s="57" t="str">
        <f>IF(D91="","",IF(A91="BL",IFERROR(INDEX(cl_name,MATCH(D91,cl_code,0))&amp;"","Client inconnu"),IF(A91="BR",IFERROR(INDEX(fo_name,MATCH(D91,fo_code,0))&amp;"","Fournisseur inconnu"),IF(A91="BS",IF(ISNA(MATCH(D91,p_services,0)),"Service inconnu",D91&amp;""),""))))</f>
        <v/>
      </c>
      <c r="F91" s="58" t="n"/>
      <c r="G91" s="58" t="n"/>
      <c r="H91" s="59" t="n"/>
      <c r="I91" s="57" t="str">
        <f>IF(H91="","",IFERROR(INDEX(art_des,MATCH(H91,art_ref,0))&amp;"","Article inconnu"))</f>
        <v/>
      </c>
      <c r="J91" s="60" t="str">
        <f>IF(H91="","",IFERROR(INDEX(art_unit,MATCH(H91,art_ref,0))&amp;"",""))</f>
        <v/>
      </c>
      <c r="K91" s="59" t="n"/>
      <c r="L91" s="59" t="n"/>
      <c r="M91" s="61" t="str">
        <f>IF(OR(B91="",NOT(ISNUMBER(K91)),NOT(ISNUMBER(L91))),"",IF(OR(K91&lt;=0,L91&lt;=0),"",ROUND(L91-K91,6)))</f>
        <v/>
      </c>
      <c r="N91" s="58" t="n"/>
      <c r="O91" s="62" t="n"/>
      <c r="P91" s="63" t="str">
        <f>IF(OR(B91="",NOT(ISNUMBER(L91))),"",IF(L91&lt;=0,"",IFERROR(ROUND(L91*N(INDEX(art_w,MATCH(H91,art_ref,0))),3),"")))</f>
        <v/>
      </c>
      <c r="Q91" s="59" t="n"/>
      <c r="R91" s="54" t="n"/>
      <c r="S91" s="59" t="n"/>
      <c r="T91" s="59" t="n"/>
      <c r="U91" s="64" t="str">
        <f>IF(OR(B91="",H91=""),"",IFERROR(IF(A91="BL",IF(N(INDEX(art_price,MATCH(H91,art_ref,0)))=0,"",N(INDEX(art_price,MATCH(H91,art_ref,0)))),IF(N(INDEX(art_cost,MATCH(H91,art_ref,0)))=0,"",N(INDEX(art_cost,MATCH(H91,art_ref,0))))),""))</f>
        <v/>
      </c>
      <c r="V91" s="64" t="str">
        <f>IF(OR(U91="",NOT(ISNUMBER(L91))),"",IF(L91&lt;=0,"",ROUND(L91*U91,2)))</f>
        <v/>
      </c>
      <c r="W91" s="60" t="str">
        <f>IF(AND(B91&lt;&gt;"",A91&lt;&gt;"BS",F91&lt;&gt;"",H91&lt;&gt;"",ISNUMBER(K91),ISNUMBER(L91)),IF(AND(K91&gt;0,L91&gt;0,K91-L91&gt;0,COUNTIFS(A92:A$2005,A91,F92:F$2005,F91,H92:H$2005,H91,AA92:AA$2005,"&gt;0")=0),ROUND(K91-L91,6),""),"")</f>
        <v/>
      </c>
      <c r="X91" s="60" t="str">
        <f>IF(AND(A91="",C91="",D91="",H91="",L91=""),"",IF(A91="","Type manquant",IF(AND(A91&lt;&gt;"BL",A91&lt;&gt;"BR",A91&lt;&gt;"BS"),"Type inconnu (BL, BR ou BS)",IF(AG91=0,"Date manquante ou invalide",IF(D91="",IF(A91="BL","Client manquant",IF(A91="BR","Fournisseur manquant","Service manquant")),IF(IF(A91="BL",ISNA(MATCH(D91,cl_code,0)),IF(A91="BR",ISNA(MATCH(D91,fo_code,0)),ISNA(MATCH(D91,p_services,0)))),IF(A91="BL","Client inconnu",IF(A91="BR","Fournisseur inconnu","Service inconnu")),IF(H91="","Article manquant",IF(ISNA(MATCH(H91,art_ref,0)),"Article inconnu",IF(OR(NOT(ISNUMBER(L91)),N(L91)&lt;=0),"Quantité invalide",IF(AND(K91&lt;&gt;"",OR(NOT(ISNUMBER(K91)),N(K91)&lt;=0)),"Qté commandée invalide",IF(AG91&lt;SUMPRODUCT(MAX((A$6:A90=A91)*AG$6:AG90)),"Date antérieure au bon précédent",IF(AND(A91&lt;&gt;"BR",ISNUMBER(M91),N(M91)&gt;0),IF(A91="BL","Livré plus que commandé","Sorti plus que demandé"),"OK"))))))))))))</f>
        <v/>
      </c>
      <c r="Y91" s="57" t="str">
        <f>IF(AND(OR(A91="BL",A91="BR",A91="BS"),AG91&gt;0,D91&lt;&gt;""),A91&amp;"|"&amp;AG91&amp;"|"&amp;D91&amp;"|"&amp;F91,"")</f>
        <v/>
      </c>
      <c r="Z91" s="57" t="str">
        <f>IF(Y91="","",IF(COUNTIF(Y$6:Y90,Y91)=0,1,0))</f>
        <v/>
      </c>
      <c r="AA91" s="57" t="str">
        <f>IF(Y91="","",IF(Z91=1,COUNTIFS(A$6:A91,A91,Z$6:Z91,1),INDEX(AA$6:AA90,MATCH(Y91,Y$6:Y90,0))))</f>
        <v/>
      </c>
      <c r="AB91" s="57" t="str">
        <f>IF(B91="","",COUNTIF(B$6:B91,B91))</f>
        <v/>
      </c>
      <c r="AC91" s="57" t="str">
        <f>IF(B91="","",B91&amp;"#"&amp;AB91)</f>
        <v/>
      </c>
      <c r="AD91" s="57" t="str">
        <f>IF(Z91=1,A91&amp;AA91,"")</f>
        <v/>
      </c>
      <c r="AE91" s="57" t="str">
        <f>IF(B91="","",YEAR(C91))</f>
        <v/>
      </c>
      <c r="AF91" s="57" t="str">
        <f>IF(B91="","",MONTH(C91))</f>
        <v/>
      </c>
      <c r="AG91" s="57">
        <f>IF(ISNUMBER(C91),C91,0)</f>
        <v>0.0</v>
      </c>
      <c r="AH91" s="57" t="str">
        <f>IF(N(W91)&gt;0,COUNTIF(W$6:W91,"&gt;0"),"")</f>
        <v/>
      </c>
      <c r="AI91" s="57" t="str">
        <f>IF(Z91=1,COUNTIF(Z$6:Z91,1),"")</f>
        <v/>
      </c>
    </row>
    <row r="92">
      <c r="A92" s="54" t="n"/>
      <c r="B92" s="55" t="str">
        <f>IF(AA92="","",A92&amp;"-"&amp;RIGHT("000"&amp;AA92,4))</f>
        <v/>
      </c>
      <c r="C92" s="56" t="n"/>
      <c r="D92" s="54" t="n"/>
      <c r="E92" s="57" t="str">
        <f>IF(D92="","",IF(A92="BL",IFERROR(INDEX(cl_name,MATCH(D92,cl_code,0))&amp;"","Client inconnu"),IF(A92="BR",IFERROR(INDEX(fo_name,MATCH(D92,fo_code,0))&amp;"","Fournisseur inconnu"),IF(A92="BS",IF(ISNA(MATCH(D92,p_services,0)),"Service inconnu",D92&amp;""),""))))</f>
        <v/>
      </c>
      <c r="F92" s="58" t="n"/>
      <c r="G92" s="58" t="n"/>
      <c r="H92" s="59" t="n"/>
      <c r="I92" s="57" t="str">
        <f>IF(H92="","",IFERROR(INDEX(art_des,MATCH(H92,art_ref,0))&amp;"","Article inconnu"))</f>
        <v/>
      </c>
      <c r="J92" s="60" t="str">
        <f>IF(H92="","",IFERROR(INDEX(art_unit,MATCH(H92,art_ref,0))&amp;"",""))</f>
        <v/>
      </c>
      <c r="K92" s="59" t="n"/>
      <c r="L92" s="59" t="n"/>
      <c r="M92" s="61" t="str">
        <f>IF(OR(B92="",NOT(ISNUMBER(K92)),NOT(ISNUMBER(L92))),"",IF(OR(K92&lt;=0,L92&lt;=0),"",ROUND(L92-K92,6)))</f>
        <v/>
      </c>
      <c r="N92" s="58" t="n"/>
      <c r="O92" s="62" t="n"/>
      <c r="P92" s="63" t="str">
        <f>IF(OR(B92="",NOT(ISNUMBER(L92))),"",IF(L92&lt;=0,"",IFERROR(ROUND(L92*N(INDEX(art_w,MATCH(H92,art_ref,0))),3),"")))</f>
        <v/>
      </c>
      <c r="Q92" s="59" t="n"/>
      <c r="R92" s="54" t="n"/>
      <c r="S92" s="59" t="n"/>
      <c r="T92" s="59" t="n"/>
      <c r="U92" s="64" t="str">
        <f>IF(OR(B92="",H92=""),"",IFERROR(IF(A92="BL",IF(N(INDEX(art_price,MATCH(H92,art_ref,0)))=0,"",N(INDEX(art_price,MATCH(H92,art_ref,0)))),IF(N(INDEX(art_cost,MATCH(H92,art_ref,0)))=0,"",N(INDEX(art_cost,MATCH(H92,art_ref,0))))),""))</f>
        <v/>
      </c>
      <c r="V92" s="64" t="str">
        <f>IF(OR(U92="",NOT(ISNUMBER(L92))),"",IF(L92&lt;=0,"",ROUND(L92*U92,2)))</f>
        <v/>
      </c>
      <c r="W92" s="60" t="str">
        <f>IF(AND(B92&lt;&gt;"",A92&lt;&gt;"BS",F92&lt;&gt;"",H92&lt;&gt;"",ISNUMBER(K92),ISNUMBER(L92)),IF(AND(K92&gt;0,L92&gt;0,K92-L92&gt;0,COUNTIFS(A93:A$2005,A92,F93:F$2005,F92,H93:H$2005,H92,AA93:AA$2005,"&gt;0")=0),ROUND(K92-L92,6),""),"")</f>
        <v/>
      </c>
      <c r="X92" s="60" t="str">
        <f>IF(AND(A92="",C92="",D92="",H92="",L92=""),"",IF(A92="","Type manquant",IF(AND(A92&lt;&gt;"BL",A92&lt;&gt;"BR",A92&lt;&gt;"BS"),"Type inconnu (BL, BR ou BS)",IF(AG92=0,"Date manquante ou invalide",IF(D92="",IF(A92="BL","Client manquant",IF(A92="BR","Fournisseur manquant","Service manquant")),IF(IF(A92="BL",ISNA(MATCH(D92,cl_code,0)),IF(A92="BR",ISNA(MATCH(D92,fo_code,0)),ISNA(MATCH(D92,p_services,0)))),IF(A92="BL","Client inconnu",IF(A92="BR","Fournisseur inconnu","Service inconnu")),IF(H92="","Article manquant",IF(ISNA(MATCH(H92,art_ref,0)),"Article inconnu",IF(OR(NOT(ISNUMBER(L92)),N(L92)&lt;=0),"Quantité invalide",IF(AND(K92&lt;&gt;"",OR(NOT(ISNUMBER(K92)),N(K92)&lt;=0)),"Qté commandée invalide",IF(AG92&lt;SUMPRODUCT(MAX((A$6:A91=A92)*AG$6:AG91)),"Date antérieure au bon précédent",IF(AND(A92&lt;&gt;"BR",ISNUMBER(M92),N(M92)&gt;0),IF(A92="BL","Livré plus que commandé","Sorti plus que demandé"),"OK"))))))))))))</f>
        <v/>
      </c>
      <c r="Y92" s="57" t="str">
        <f>IF(AND(OR(A92="BL",A92="BR",A92="BS"),AG92&gt;0,D92&lt;&gt;""),A92&amp;"|"&amp;AG92&amp;"|"&amp;D92&amp;"|"&amp;F92,"")</f>
        <v/>
      </c>
      <c r="Z92" s="57" t="str">
        <f>IF(Y92="","",IF(COUNTIF(Y$6:Y91,Y92)=0,1,0))</f>
        <v/>
      </c>
      <c r="AA92" s="57" t="str">
        <f>IF(Y92="","",IF(Z92=1,COUNTIFS(A$6:A92,A92,Z$6:Z92,1),INDEX(AA$6:AA91,MATCH(Y92,Y$6:Y91,0))))</f>
        <v/>
      </c>
      <c r="AB92" s="57" t="str">
        <f>IF(B92="","",COUNTIF(B$6:B92,B92))</f>
        <v/>
      </c>
      <c r="AC92" s="57" t="str">
        <f>IF(B92="","",B92&amp;"#"&amp;AB92)</f>
        <v/>
      </c>
      <c r="AD92" s="57" t="str">
        <f>IF(Z92=1,A92&amp;AA92,"")</f>
        <v/>
      </c>
      <c r="AE92" s="57" t="str">
        <f>IF(B92="","",YEAR(C92))</f>
        <v/>
      </c>
      <c r="AF92" s="57" t="str">
        <f>IF(B92="","",MONTH(C92))</f>
        <v/>
      </c>
      <c r="AG92" s="57">
        <f>IF(ISNUMBER(C92),C92,0)</f>
        <v>0.0</v>
      </c>
      <c r="AH92" s="57" t="str">
        <f>IF(N(W92)&gt;0,COUNTIF(W$6:W92,"&gt;0"),"")</f>
        <v/>
      </c>
      <c r="AI92" s="57" t="str">
        <f>IF(Z92=1,COUNTIF(Z$6:Z92,1),"")</f>
        <v/>
      </c>
    </row>
    <row r="93">
      <c r="A93" s="54" t="n"/>
      <c r="B93" s="55" t="str">
        <f>IF(AA93="","",A93&amp;"-"&amp;RIGHT("000"&amp;AA93,4))</f>
        <v/>
      </c>
      <c r="C93" s="56" t="n"/>
      <c r="D93" s="54" t="n"/>
      <c r="E93" s="57" t="str">
        <f>IF(D93="","",IF(A93="BL",IFERROR(INDEX(cl_name,MATCH(D93,cl_code,0))&amp;"","Client inconnu"),IF(A93="BR",IFERROR(INDEX(fo_name,MATCH(D93,fo_code,0))&amp;"","Fournisseur inconnu"),IF(A93="BS",IF(ISNA(MATCH(D93,p_services,0)),"Service inconnu",D93&amp;""),""))))</f>
        <v/>
      </c>
      <c r="F93" s="58" t="n"/>
      <c r="G93" s="58" t="n"/>
      <c r="H93" s="59" t="n"/>
      <c r="I93" s="57" t="str">
        <f>IF(H93="","",IFERROR(INDEX(art_des,MATCH(H93,art_ref,0))&amp;"","Article inconnu"))</f>
        <v/>
      </c>
      <c r="J93" s="60" t="str">
        <f>IF(H93="","",IFERROR(INDEX(art_unit,MATCH(H93,art_ref,0))&amp;"",""))</f>
        <v/>
      </c>
      <c r="K93" s="59" t="n"/>
      <c r="L93" s="59" t="n"/>
      <c r="M93" s="61" t="str">
        <f>IF(OR(B93="",NOT(ISNUMBER(K93)),NOT(ISNUMBER(L93))),"",IF(OR(K93&lt;=0,L93&lt;=0),"",ROUND(L93-K93,6)))</f>
        <v/>
      </c>
      <c r="N93" s="58" t="n"/>
      <c r="O93" s="62" t="n"/>
      <c r="P93" s="63" t="str">
        <f>IF(OR(B93="",NOT(ISNUMBER(L93))),"",IF(L93&lt;=0,"",IFERROR(ROUND(L93*N(INDEX(art_w,MATCH(H93,art_ref,0))),3),"")))</f>
        <v/>
      </c>
      <c r="Q93" s="59" t="n"/>
      <c r="R93" s="54" t="n"/>
      <c r="S93" s="59" t="n"/>
      <c r="T93" s="59" t="n"/>
      <c r="U93" s="64" t="str">
        <f>IF(OR(B93="",H93=""),"",IFERROR(IF(A93="BL",IF(N(INDEX(art_price,MATCH(H93,art_ref,0)))=0,"",N(INDEX(art_price,MATCH(H93,art_ref,0)))),IF(N(INDEX(art_cost,MATCH(H93,art_ref,0)))=0,"",N(INDEX(art_cost,MATCH(H93,art_ref,0))))),""))</f>
        <v/>
      </c>
      <c r="V93" s="64" t="str">
        <f>IF(OR(U93="",NOT(ISNUMBER(L93))),"",IF(L93&lt;=0,"",ROUND(L93*U93,2)))</f>
        <v/>
      </c>
      <c r="W93" s="60" t="str">
        <f>IF(AND(B93&lt;&gt;"",A93&lt;&gt;"BS",F93&lt;&gt;"",H93&lt;&gt;"",ISNUMBER(K93),ISNUMBER(L93)),IF(AND(K93&gt;0,L93&gt;0,K93-L93&gt;0,COUNTIFS(A94:A$2005,A93,F94:F$2005,F93,H94:H$2005,H93,AA94:AA$2005,"&gt;0")=0),ROUND(K93-L93,6),""),"")</f>
        <v/>
      </c>
      <c r="X93" s="60" t="str">
        <f>IF(AND(A93="",C93="",D93="",H93="",L93=""),"",IF(A93="","Type manquant",IF(AND(A93&lt;&gt;"BL",A93&lt;&gt;"BR",A93&lt;&gt;"BS"),"Type inconnu (BL, BR ou BS)",IF(AG93=0,"Date manquante ou invalide",IF(D93="",IF(A93="BL","Client manquant",IF(A93="BR","Fournisseur manquant","Service manquant")),IF(IF(A93="BL",ISNA(MATCH(D93,cl_code,0)),IF(A93="BR",ISNA(MATCH(D93,fo_code,0)),ISNA(MATCH(D93,p_services,0)))),IF(A93="BL","Client inconnu",IF(A93="BR","Fournisseur inconnu","Service inconnu")),IF(H93="","Article manquant",IF(ISNA(MATCH(H93,art_ref,0)),"Article inconnu",IF(OR(NOT(ISNUMBER(L93)),N(L93)&lt;=0),"Quantité invalide",IF(AND(K93&lt;&gt;"",OR(NOT(ISNUMBER(K93)),N(K93)&lt;=0)),"Qté commandée invalide",IF(AG93&lt;SUMPRODUCT(MAX((A$6:A92=A93)*AG$6:AG92)),"Date antérieure au bon précédent",IF(AND(A93&lt;&gt;"BR",ISNUMBER(M93),N(M93)&gt;0),IF(A93="BL","Livré plus que commandé","Sorti plus que demandé"),"OK"))))))))))))</f>
        <v/>
      </c>
      <c r="Y93" s="57" t="str">
        <f>IF(AND(OR(A93="BL",A93="BR",A93="BS"),AG93&gt;0,D93&lt;&gt;""),A93&amp;"|"&amp;AG93&amp;"|"&amp;D93&amp;"|"&amp;F93,"")</f>
        <v/>
      </c>
      <c r="Z93" s="57" t="str">
        <f>IF(Y93="","",IF(COUNTIF(Y$6:Y92,Y93)=0,1,0))</f>
        <v/>
      </c>
      <c r="AA93" s="57" t="str">
        <f>IF(Y93="","",IF(Z93=1,COUNTIFS(A$6:A93,A93,Z$6:Z93,1),INDEX(AA$6:AA92,MATCH(Y93,Y$6:Y92,0))))</f>
        <v/>
      </c>
      <c r="AB93" s="57" t="str">
        <f>IF(B93="","",COUNTIF(B$6:B93,B93))</f>
        <v/>
      </c>
      <c r="AC93" s="57" t="str">
        <f>IF(B93="","",B93&amp;"#"&amp;AB93)</f>
        <v/>
      </c>
      <c r="AD93" s="57" t="str">
        <f>IF(Z93=1,A93&amp;AA93,"")</f>
        <v/>
      </c>
      <c r="AE93" s="57" t="str">
        <f>IF(B93="","",YEAR(C93))</f>
        <v/>
      </c>
      <c r="AF93" s="57" t="str">
        <f>IF(B93="","",MONTH(C93))</f>
        <v/>
      </c>
      <c r="AG93" s="57">
        <f>IF(ISNUMBER(C93),C93,0)</f>
        <v>0.0</v>
      </c>
      <c r="AH93" s="57" t="str">
        <f>IF(N(W93)&gt;0,COUNTIF(W$6:W93,"&gt;0"),"")</f>
        <v/>
      </c>
      <c r="AI93" s="57" t="str">
        <f>IF(Z93=1,COUNTIF(Z$6:Z93,1),"")</f>
        <v/>
      </c>
    </row>
    <row r="94">
      <c r="A94" s="54" t="n"/>
      <c r="B94" s="55" t="str">
        <f>IF(AA94="","",A94&amp;"-"&amp;RIGHT("000"&amp;AA94,4))</f>
        <v/>
      </c>
      <c r="C94" s="56" t="n"/>
      <c r="D94" s="54" t="n"/>
      <c r="E94" s="57" t="str">
        <f>IF(D94="","",IF(A94="BL",IFERROR(INDEX(cl_name,MATCH(D94,cl_code,0))&amp;"","Client inconnu"),IF(A94="BR",IFERROR(INDEX(fo_name,MATCH(D94,fo_code,0))&amp;"","Fournisseur inconnu"),IF(A94="BS",IF(ISNA(MATCH(D94,p_services,0)),"Service inconnu",D94&amp;""),""))))</f>
        <v/>
      </c>
      <c r="F94" s="58" t="n"/>
      <c r="G94" s="58" t="n"/>
      <c r="H94" s="59" t="n"/>
      <c r="I94" s="57" t="str">
        <f>IF(H94="","",IFERROR(INDEX(art_des,MATCH(H94,art_ref,0))&amp;"","Article inconnu"))</f>
        <v/>
      </c>
      <c r="J94" s="60" t="str">
        <f>IF(H94="","",IFERROR(INDEX(art_unit,MATCH(H94,art_ref,0))&amp;"",""))</f>
        <v/>
      </c>
      <c r="K94" s="59" t="n"/>
      <c r="L94" s="59" t="n"/>
      <c r="M94" s="61" t="str">
        <f>IF(OR(B94="",NOT(ISNUMBER(K94)),NOT(ISNUMBER(L94))),"",IF(OR(K94&lt;=0,L94&lt;=0),"",ROUND(L94-K94,6)))</f>
        <v/>
      </c>
      <c r="N94" s="58" t="n"/>
      <c r="O94" s="62" t="n"/>
      <c r="P94" s="63" t="str">
        <f>IF(OR(B94="",NOT(ISNUMBER(L94))),"",IF(L94&lt;=0,"",IFERROR(ROUND(L94*N(INDEX(art_w,MATCH(H94,art_ref,0))),3),"")))</f>
        <v/>
      </c>
      <c r="Q94" s="59" t="n"/>
      <c r="R94" s="54" t="n"/>
      <c r="S94" s="59" t="n"/>
      <c r="T94" s="59" t="n"/>
      <c r="U94" s="64" t="str">
        <f>IF(OR(B94="",H94=""),"",IFERROR(IF(A94="BL",IF(N(INDEX(art_price,MATCH(H94,art_ref,0)))=0,"",N(INDEX(art_price,MATCH(H94,art_ref,0)))),IF(N(INDEX(art_cost,MATCH(H94,art_ref,0)))=0,"",N(INDEX(art_cost,MATCH(H94,art_ref,0))))),""))</f>
        <v/>
      </c>
      <c r="V94" s="64" t="str">
        <f>IF(OR(U94="",NOT(ISNUMBER(L94))),"",IF(L94&lt;=0,"",ROUND(L94*U94,2)))</f>
        <v/>
      </c>
      <c r="W94" s="60" t="str">
        <f>IF(AND(B94&lt;&gt;"",A94&lt;&gt;"BS",F94&lt;&gt;"",H94&lt;&gt;"",ISNUMBER(K94),ISNUMBER(L94)),IF(AND(K94&gt;0,L94&gt;0,K94-L94&gt;0,COUNTIFS(A95:A$2005,A94,F95:F$2005,F94,H95:H$2005,H94,AA95:AA$2005,"&gt;0")=0),ROUND(K94-L94,6),""),"")</f>
        <v/>
      </c>
      <c r="X94" s="60" t="str">
        <f>IF(AND(A94="",C94="",D94="",H94="",L94=""),"",IF(A94="","Type manquant",IF(AND(A94&lt;&gt;"BL",A94&lt;&gt;"BR",A94&lt;&gt;"BS"),"Type inconnu (BL, BR ou BS)",IF(AG94=0,"Date manquante ou invalide",IF(D94="",IF(A94="BL","Client manquant",IF(A94="BR","Fournisseur manquant","Service manquant")),IF(IF(A94="BL",ISNA(MATCH(D94,cl_code,0)),IF(A94="BR",ISNA(MATCH(D94,fo_code,0)),ISNA(MATCH(D94,p_services,0)))),IF(A94="BL","Client inconnu",IF(A94="BR","Fournisseur inconnu","Service inconnu")),IF(H94="","Article manquant",IF(ISNA(MATCH(H94,art_ref,0)),"Article inconnu",IF(OR(NOT(ISNUMBER(L94)),N(L94)&lt;=0),"Quantité invalide",IF(AND(K94&lt;&gt;"",OR(NOT(ISNUMBER(K94)),N(K94)&lt;=0)),"Qté commandée invalide",IF(AG94&lt;SUMPRODUCT(MAX((A$6:A93=A94)*AG$6:AG93)),"Date antérieure au bon précédent",IF(AND(A94&lt;&gt;"BR",ISNUMBER(M94),N(M94)&gt;0),IF(A94="BL","Livré plus que commandé","Sorti plus que demandé"),"OK"))))))))))))</f>
        <v/>
      </c>
      <c r="Y94" s="57" t="str">
        <f>IF(AND(OR(A94="BL",A94="BR",A94="BS"),AG94&gt;0,D94&lt;&gt;""),A94&amp;"|"&amp;AG94&amp;"|"&amp;D94&amp;"|"&amp;F94,"")</f>
        <v/>
      </c>
      <c r="Z94" s="57" t="str">
        <f>IF(Y94="","",IF(COUNTIF(Y$6:Y93,Y94)=0,1,0))</f>
        <v/>
      </c>
      <c r="AA94" s="57" t="str">
        <f>IF(Y94="","",IF(Z94=1,COUNTIFS(A$6:A94,A94,Z$6:Z94,1),INDEX(AA$6:AA93,MATCH(Y94,Y$6:Y93,0))))</f>
        <v/>
      </c>
      <c r="AB94" s="57" t="str">
        <f>IF(B94="","",COUNTIF(B$6:B94,B94))</f>
        <v/>
      </c>
      <c r="AC94" s="57" t="str">
        <f>IF(B94="","",B94&amp;"#"&amp;AB94)</f>
        <v/>
      </c>
      <c r="AD94" s="57" t="str">
        <f>IF(Z94=1,A94&amp;AA94,"")</f>
        <v/>
      </c>
      <c r="AE94" s="57" t="str">
        <f>IF(B94="","",YEAR(C94))</f>
        <v/>
      </c>
      <c r="AF94" s="57" t="str">
        <f>IF(B94="","",MONTH(C94))</f>
        <v/>
      </c>
      <c r="AG94" s="57">
        <f>IF(ISNUMBER(C94),C94,0)</f>
        <v>0.0</v>
      </c>
      <c r="AH94" s="57" t="str">
        <f>IF(N(W94)&gt;0,COUNTIF(W$6:W94,"&gt;0"),"")</f>
        <v/>
      </c>
      <c r="AI94" s="57" t="str">
        <f>IF(Z94=1,COUNTIF(Z$6:Z94,1),"")</f>
        <v/>
      </c>
    </row>
    <row r="95">
      <c r="A95" s="54" t="n"/>
      <c r="B95" s="55" t="str">
        <f>IF(AA95="","",A95&amp;"-"&amp;RIGHT("000"&amp;AA95,4))</f>
        <v/>
      </c>
      <c r="C95" s="56" t="n"/>
      <c r="D95" s="54" t="n"/>
      <c r="E95" s="57" t="str">
        <f>IF(D95="","",IF(A95="BL",IFERROR(INDEX(cl_name,MATCH(D95,cl_code,0))&amp;"","Client inconnu"),IF(A95="BR",IFERROR(INDEX(fo_name,MATCH(D95,fo_code,0))&amp;"","Fournisseur inconnu"),IF(A95="BS",IF(ISNA(MATCH(D95,p_services,0)),"Service inconnu",D95&amp;""),""))))</f>
        <v/>
      </c>
      <c r="F95" s="58" t="n"/>
      <c r="G95" s="58" t="n"/>
      <c r="H95" s="59" t="n"/>
      <c r="I95" s="57" t="str">
        <f>IF(H95="","",IFERROR(INDEX(art_des,MATCH(H95,art_ref,0))&amp;"","Article inconnu"))</f>
        <v/>
      </c>
      <c r="J95" s="60" t="str">
        <f>IF(H95="","",IFERROR(INDEX(art_unit,MATCH(H95,art_ref,0))&amp;"",""))</f>
        <v/>
      </c>
      <c r="K95" s="59" t="n"/>
      <c r="L95" s="59" t="n"/>
      <c r="M95" s="61" t="str">
        <f>IF(OR(B95="",NOT(ISNUMBER(K95)),NOT(ISNUMBER(L95))),"",IF(OR(K95&lt;=0,L95&lt;=0),"",ROUND(L95-K95,6)))</f>
        <v/>
      </c>
      <c r="N95" s="58" t="n"/>
      <c r="O95" s="62" t="n"/>
      <c r="P95" s="63" t="str">
        <f>IF(OR(B95="",NOT(ISNUMBER(L95))),"",IF(L95&lt;=0,"",IFERROR(ROUND(L95*N(INDEX(art_w,MATCH(H95,art_ref,0))),3),"")))</f>
        <v/>
      </c>
      <c r="Q95" s="59" t="n"/>
      <c r="R95" s="54" t="n"/>
      <c r="S95" s="59" t="n"/>
      <c r="T95" s="59" t="n"/>
      <c r="U95" s="64" t="str">
        <f>IF(OR(B95="",H95=""),"",IFERROR(IF(A95="BL",IF(N(INDEX(art_price,MATCH(H95,art_ref,0)))=0,"",N(INDEX(art_price,MATCH(H95,art_ref,0)))),IF(N(INDEX(art_cost,MATCH(H95,art_ref,0)))=0,"",N(INDEX(art_cost,MATCH(H95,art_ref,0))))),""))</f>
        <v/>
      </c>
      <c r="V95" s="64" t="str">
        <f>IF(OR(U95="",NOT(ISNUMBER(L95))),"",IF(L95&lt;=0,"",ROUND(L95*U95,2)))</f>
        <v/>
      </c>
      <c r="W95" s="60" t="str">
        <f>IF(AND(B95&lt;&gt;"",A95&lt;&gt;"BS",F95&lt;&gt;"",H95&lt;&gt;"",ISNUMBER(K95),ISNUMBER(L95)),IF(AND(K95&gt;0,L95&gt;0,K95-L95&gt;0,COUNTIFS(A96:A$2005,A95,F96:F$2005,F95,H96:H$2005,H95,AA96:AA$2005,"&gt;0")=0),ROUND(K95-L95,6),""),"")</f>
        <v/>
      </c>
      <c r="X95" s="60" t="str">
        <f>IF(AND(A95="",C95="",D95="",H95="",L95=""),"",IF(A95="","Type manquant",IF(AND(A95&lt;&gt;"BL",A95&lt;&gt;"BR",A95&lt;&gt;"BS"),"Type inconnu (BL, BR ou BS)",IF(AG95=0,"Date manquante ou invalide",IF(D95="",IF(A95="BL","Client manquant",IF(A95="BR","Fournisseur manquant","Service manquant")),IF(IF(A95="BL",ISNA(MATCH(D95,cl_code,0)),IF(A95="BR",ISNA(MATCH(D95,fo_code,0)),ISNA(MATCH(D95,p_services,0)))),IF(A95="BL","Client inconnu",IF(A95="BR","Fournisseur inconnu","Service inconnu")),IF(H95="","Article manquant",IF(ISNA(MATCH(H95,art_ref,0)),"Article inconnu",IF(OR(NOT(ISNUMBER(L95)),N(L95)&lt;=0),"Quantité invalide",IF(AND(K95&lt;&gt;"",OR(NOT(ISNUMBER(K95)),N(K95)&lt;=0)),"Qté commandée invalide",IF(AG95&lt;SUMPRODUCT(MAX((A$6:A94=A95)*AG$6:AG94)),"Date antérieure au bon précédent",IF(AND(A95&lt;&gt;"BR",ISNUMBER(M95),N(M95)&gt;0),IF(A95="BL","Livré plus que commandé","Sorti plus que demandé"),"OK"))))))))))))</f>
        <v/>
      </c>
      <c r="Y95" s="57" t="str">
        <f>IF(AND(OR(A95="BL",A95="BR",A95="BS"),AG95&gt;0,D95&lt;&gt;""),A95&amp;"|"&amp;AG95&amp;"|"&amp;D95&amp;"|"&amp;F95,"")</f>
        <v/>
      </c>
      <c r="Z95" s="57" t="str">
        <f>IF(Y95="","",IF(COUNTIF(Y$6:Y94,Y95)=0,1,0))</f>
        <v/>
      </c>
      <c r="AA95" s="57" t="str">
        <f>IF(Y95="","",IF(Z95=1,COUNTIFS(A$6:A95,A95,Z$6:Z95,1),INDEX(AA$6:AA94,MATCH(Y95,Y$6:Y94,0))))</f>
        <v/>
      </c>
      <c r="AB95" s="57" t="str">
        <f>IF(B95="","",COUNTIF(B$6:B95,B95))</f>
        <v/>
      </c>
      <c r="AC95" s="57" t="str">
        <f>IF(B95="","",B95&amp;"#"&amp;AB95)</f>
        <v/>
      </c>
      <c r="AD95" s="57" t="str">
        <f>IF(Z95=1,A95&amp;AA95,"")</f>
        <v/>
      </c>
      <c r="AE95" s="57" t="str">
        <f>IF(B95="","",YEAR(C95))</f>
        <v/>
      </c>
      <c r="AF95" s="57" t="str">
        <f>IF(B95="","",MONTH(C95))</f>
        <v/>
      </c>
      <c r="AG95" s="57">
        <f>IF(ISNUMBER(C95),C95,0)</f>
        <v>0.0</v>
      </c>
      <c r="AH95" s="57" t="str">
        <f>IF(N(W95)&gt;0,COUNTIF(W$6:W95,"&gt;0"),"")</f>
        <v/>
      </c>
      <c r="AI95" s="57" t="str">
        <f>IF(Z95=1,COUNTIF(Z$6:Z95,1),"")</f>
        <v/>
      </c>
    </row>
    <row r="96">
      <c r="A96" s="54" t="n"/>
      <c r="B96" s="55" t="str">
        <f>IF(AA96="","",A96&amp;"-"&amp;RIGHT("000"&amp;AA96,4))</f>
        <v/>
      </c>
      <c r="C96" s="56" t="n"/>
      <c r="D96" s="54" t="n"/>
      <c r="E96" s="57" t="str">
        <f>IF(D96="","",IF(A96="BL",IFERROR(INDEX(cl_name,MATCH(D96,cl_code,0))&amp;"","Client inconnu"),IF(A96="BR",IFERROR(INDEX(fo_name,MATCH(D96,fo_code,0))&amp;"","Fournisseur inconnu"),IF(A96="BS",IF(ISNA(MATCH(D96,p_services,0)),"Service inconnu",D96&amp;""),""))))</f>
        <v/>
      </c>
      <c r="F96" s="58" t="n"/>
      <c r="G96" s="58" t="n"/>
      <c r="H96" s="59" t="n"/>
      <c r="I96" s="57" t="str">
        <f>IF(H96="","",IFERROR(INDEX(art_des,MATCH(H96,art_ref,0))&amp;"","Article inconnu"))</f>
        <v/>
      </c>
      <c r="J96" s="60" t="str">
        <f>IF(H96="","",IFERROR(INDEX(art_unit,MATCH(H96,art_ref,0))&amp;"",""))</f>
        <v/>
      </c>
      <c r="K96" s="59" t="n"/>
      <c r="L96" s="59" t="n"/>
      <c r="M96" s="61" t="str">
        <f>IF(OR(B96="",NOT(ISNUMBER(K96)),NOT(ISNUMBER(L96))),"",IF(OR(K96&lt;=0,L96&lt;=0),"",ROUND(L96-K96,6)))</f>
        <v/>
      </c>
      <c r="N96" s="58" t="n"/>
      <c r="O96" s="62" t="n"/>
      <c r="P96" s="63" t="str">
        <f>IF(OR(B96="",NOT(ISNUMBER(L96))),"",IF(L96&lt;=0,"",IFERROR(ROUND(L96*N(INDEX(art_w,MATCH(H96,art_ref,0))),3),"")))</f>
        <v/>
      </c>
      <c r="Q96" s="59" t="n"/>
      <c r="R96" s="54" t="n"/>
      <c r="S96" s="59" t="n"/>
      <c r="T96" s="59" t="n"/>
      <c r="U96" s="64" t="str">
        <f>IF(OR(B96="",H96=""),"",IFERROR(IF(A96="BL",IF(N(INDEX(art_price,MATCH(H96,art_ref,0)))=0,"",N(INDEX(art_price,MATCH(H96,art_ref,0)))),IF(N(INDEX(art_cost,MATCH(H96,art_ref,0)))=0,"",N(INDEX(art_cost,MATCH(H96,art_ref,0))))),""))</f>
        <v/>
      </c>
      <c r="V96" s="64" t="str">
        <f>IF(OR(U96="",NOT(ISNUMBER(L96))),"",IF(L96&lt;=0,"",ROUND(L96*U96,2)))</f>
        <v/>
      </c>
      <c r="W96" s="60" t="str">
        <f>IF(AND(B96&lt;&gt;"",A96&lt;&gt;"BS",F96&lt;&gt;"",H96&lt;&gt;"",ISNUMBER(K96),ISNUMBER(L96)),IF(AND(K96&gt;0,L96&gt;0,K96-L96&gt;0,COUNTIFS(A97:A$2005,A96,F97:F$2005,F96,H97:H$2005,H96,AA97:AA$2005,"&gt;0")=0),ROUND(K96-L96,6),""),"")</f>
        <v/>
      </c>
      <c r="X96" s="60" t="str">
        <f>IF(AND(A96="",C96="",D96="",H96="",L96=""),"",IF(A96="","Type manquant",IF(AND(A96&lt;&gt;"BL",A96&lt;&gt;"BR",A96&lt;&gt;"BS"),"Type inconnu (BL, BR ou BS)",IF(AG96=0,"Date manquante ou invalide",IF(D96="",IF(A96="BL","Client manquant",IF(A96="BR","Fournisseur manquant","Service manquant")),IF(IF(A96="BL",ISNA(MATCH(D96,cl_code,0)),IF(A96="BR",ISNA(MATCH(D96,fo_code,0)),ISNA(MATCH(D96,p_services,0)))),IF(A96="BL","Client inconnu",IF(A96="BR","Fournisseur inconnu","Service inconnu")),IF(H96="","Article manquant",IF(ISNA(MATCH(H96,art_ref,0)),"Article inconnu",IF(OR(NOT(ISNUMBER(L96)),N(L96)&lt;=0),"Quantité invalide",IF(AND(K96&lt;&gt;"",OR(NOT(ISNUMBER(K96)),N(K96)&lt;=0)),"Qté commandée invalide",IF(AG96&lt;SUMPRODUCT(MAX((A$6:A95=A96)*AG$6:AG95)),"Date antérieure au bon précédent",IF(AND(A96&lt;&gt;"BR",ISNUMBER(M96),N(M96)&gt;0),IF(A96="BL","Livré plus que commandé","Sorti plus que demandé"),"OK"))))))))))))</f>
        <v/>
      </c>
      <c r="Y96" s="57" t="str">
        <f>IF(AND(OR(A96="BL",A96="BR",A96="BS"),AG96&gt;0,D96&lt;&gt;""),A96&amp;"|"&amp;AG96&amp;"|"&amp;D96&amp;"|"&amp;F96,"")</f>
        <v/>
      </c>
      <c r="Z96" s="57" t="str">
        <f>IF(Y96="","",IF(COUNTIF(Y$6:Y95,Y96)=0,1,0))</f>
        <v/>
      </c>
      <c r="AA96" s="57" t="str">
        <f>IF(Y96="","",IF(Z96=1,COUNTIFS(A$6:A96,A96,Z$6:Z96,1),INDEX(AA$6:AA95,MATCH(Y96,Y$6:Y95,0))))</f>
        <v/>
      </c>
      <c r="AB96" s="57" t="str">
        <f>IF(B96="","",COUNTIF(B$6:B96,B96))</f>
        <v/>
      </c>
      <c r="AC96" s="57" t="str">
        <f>IF(B96="","",B96&amp;"#"&amp;AB96)</f>
        <v/>
      </c>
      <c r="AD96" s="57" t="str">
        <f>IF(Z96=1,A96&amp;AA96,"")</f>
        <v/>
      </c>
      <c r="AE96" s="57" t="str">
        <f>IF(B96="","",YEAR(C96))</f>
        <v/>
      </c>
      <c r="AF96" s="57" t="str">
        <f>IF(B96="","",MONTH(C96))</f>
        <v/>
      </c>
      <c r="AG96" s="57">
        <f>IF(ISNUMBER(C96),C96,0)</f>
        <v>0.0</v>
      </c>
      <c r="AH96" s="57" t="str">
        <f>IF(N(W96)&gt;0,COUNTIF(W$6:W96,"&gt;0"),"")</f>
        <v/>
      </c>
      <c r="AI96" s="57" t="str">
        <f>IF(Z96=1,COUNTIF(Z$6:Z96,1),"")</f>
        <v/>
      </c>
    </row>
    <row r="97">
      <c r="A97" s="54" t="n"/>
      <c r="B97" s="55" t="str">
        <f>IF(AA97="","",A97&amp;"-"&amp;RIGHT("000"&amp;AA97,4))</f>
        <v/>
      </c>
      <c r="C97" s="56" t="n"/>
      <c r="D97" s="54" t="n"/>
      <c r="E97" s="57" t="str">
        <f>IF(D97="","",IF(A97="BL",IFERROR(INDEX(cl_name,MATCH(D97,cl_code,0))&amp;"","Client inconnu"),IF(A97="BR",IFERROR(INDEX(fo_name,MATCH(D97,fo_code,0))&amp;"","Fournisseur inconnu"),IF(A97="BS",IF(ISNA(MATCH(D97,p_services,0)),"Service inconnu",D97&amp;""),""))))</f>
        <v/>
      </c>
      <c r="F97" s="58" t="n"/>
      <c r="G97" s="58" t="n"/>
      <c r="H97" s="59" t="n"/>
      <c r="I97" s="57" t="str">
        <f>IF(H97="","",IFERROR(INDEX(art_des,MATCH(H97,art_ref,0))&amp;"","Article inconnu"))</f>
        <v/>
      </c>
      <c r="J97" s="60" t="str">
        <f>IF(H97="","",IFERROR(INDEX(art_unit,MATCH(H97,art_ref,0))&amp;"",""))</f>
        <v/>
      </c>
      <c r="K97" s="59" t="n"/>
      <c r="L97" s="59" t="n"/>
      <c r="M97" s="61" t="str">
        <f>IF(OR(B97="",NOT(ISNUMBER(K97)),NOT(ISNUMBER(L97))),"",IF(OR(K97&lt;=0,L97&lt;=0),"",ROUND(L97-K97,6)))</f>
        <v/>
      </c>
      <c r="N97" s="58" t="n"/>
      <c r="O97" s="62" t="n"/>
      <c r="P97" s="63" t="str">
        <f>IF(OR(B97="",NOT(ISNUMBER(L97))),"",IF(L97&lt;=0,"",IFERROR(ROUND(L97*N(INDEX(art_w,MATCH(H97,art_ref,0))),3),"")))</f>
        <v/>
      </c>
      <c r="Q97" s="59" t="n"/>
      <c r="R97" s="54" t="n"/>
      <c r="S97" s="59" t="n"/>
      <c r="T97" s="59" t="n"/>
      <c r="U97" s="64" t="str">
        <f>IF(OR(B97="",H97=""),"",IFERROR(IF(A97="BL",IF(N(INDEX(art_price,MATCH(H97,art_ref,0)))=0,"",N(INDEX(art_price,MATCH(H97,art_ref,0)))),IF(N(INDEX(art_cost,MATCH(H97,art_ref,0)))=0,"",N(INDEX(art_cost,MATCH(H97,art_ref,0))))),""))</f>
        <v/>
      </c>
      <c r="V97" s="64" t="str">
        <f>IF(OR(U97="",NOT(ISNUMBER(L97))),"",IF(L97&lt;=0,"",ROUND(L97*U97,2)))</f>
        <v/>
      </c>
      <c r="W97" s="60" t="str">
        <f>IF(AND(B97&lt;&gt;"",A97&lt;&gt;"BS",F97&lt;&gt;"",H97&lt;&gt;"",ISNUMBER(K97),ISNUMBER(L97)),IF(AND(K97&gt;0,L97&gt;0,K97-L97&gt;0,COUNTIFS(A98:A$2005,A97,F98:F$2005,F97,H98:H$2005,H97,AA98:AA$2005,"&gt;0")=0),ROUND(K97-L97,6),""),"")</f>
        <v/>
      </c>
      <c r="X97" s="60" t="str">
        <f>IF(AND(A97="",C97="",D97="",H97="",L97=""),"",IF(A97="","Type manquant",IF(AND(A97&lt;&gt;"BL",A97&lt;&gt;"BR",A97&lt;&gt;"BS"),"Type inconnu (BL, BR ou BS)",IF(AG97=0,"Date manquante ou invalide",IF(D97="",IF(A97="BL","Client manquant",IF(A97="BR","Fournisseur manquant","Service manquant")),IF(IF(A97="BL",ISNA(MATCH(D97,cl_code,0)),IF(A97="BR",ISNA(MATCH(D97,fo_code,0)),ISNA(MATCH(D97,p_services,0)))),IF(A97="BL","Client inconnu",IF(A97="BR","Fournisseur inconnu","Service inconnu")),IF(H97="","Article manquant",IF(ISNA(MATCH(H97,art_ref,0)),"Article inconnu",IF(OR(NOT(ISNUMBER(L97)),N(L97)&lt;=0),"Quantité invalide",IF(AND(K97&lt;&gt;"",OR(NOT(ISNUMBER(K97)),N(K97)&lt;=0)),"Qté commandée invalide",IF(AG97&lt;SUMPRODUCT(MAX((A$6:A96=A97)*AG$6:AG96)),"Date antérieure au bon précédent",IF(AND(A97&lt;&gt;"BR",ISNUMBER(M97),N(M97)&gt;0),IF(A97="BL","Livré plus que commandé","Sorti plus que demandé"),"OK"))))))))))))</f>
        <v/>
      </c>
      <c r="Y97" s="57" t="str">
        <f>IF(AND(OR(A97="BL",A97="BR",A97="BS"),AG97&gt;0,D97&lt;&gt;""),A97&amp;"|"&amp;AG97&amp;"|"&amp;D97&amp;"|"&amp;F97,"")</f>
        <v/>
      </c>
      <c r="Z97" s="57" t="str">
        <f>IF(Y97="","",IF(COUNTIF(Y$6:Y96,Y97)=0,1,0))</f>
        <v/>
      </c>
      <c r="AA97" s="57" t="str">
        <f>IF(Y97="","",IF(Z97=1,COUNTIFS(A$6:A97,A97,Z$6:Z97,1),INDEX(AA$6:AA96,MATCH(Y97,Y$6:Y96,0))))</f>
        <v/>
      </c>
      <c r="AB97" s="57" t="str">
        <f>IF(B97="","",COUNTIF(B$6:B97,B97))</f>
        <v/>
      </c>
      <c r="AC97" s="57" t="str">
        <f>IF(B97="","",B97&amp;"#"&amp;AB97)</f>
        <v/>
      </c>
      <c r="AD97" s="57" t="str">
        <f>IF(Z97=1,A97&amp;AA97,"")</f>
        <v/>
      </c>
      <c r="AE97" s="57" t="str">
        <f>IF(B97="","",YEAR(C97))</f>
        <v/>
      </c>
      <c r="AF97" s="57" t="str">
        <f>IF(B97="","",MONTH(C97))</f>
        <v/>
      </c>
      <c r="AG97" s="57">
        <f>IF(ISNUMBER(C97),C97,0)</f>
        <v>0.0</v>
      </c>
      <c r="AH97" s="57" t="str">
        <f>IF(N(W97)&gt;0,COUNTIF(W$6:W97,"&gt;0"),"")</f>
        <v/>
      </c>
      <c r="AI97" s="57" t="str">
        <f>IF(Z97=1,COUNTIF(Z$6:Z97,1),"")</f>
        <v/>
      </c>
    </row>
    <row r="98">
      <c r="A98" s="54" t="n"/>
      <c r="B98" s="55" t="str">
        <f>IF(AA98="","",A98&amp;"-"&amp;RIGHT("000"&amp;AA98,4))</f>
        <v/>
      </c>
      <c r="C98" s="56" t="n"/>
      <c r="D98" s="54" t="n"/>
      <c r="E98" s="57" t="str">
        <f>IF(D98="","",IF(A98="BL",IFERROR(INDEX(cl_name,MATCH(D98,cl_code,0))&amp;"","Client inconnu"),IF(A98="BR",IFERROR(INDEX(fo_name,MATCH(D98,fo_code,0))&amp;"","Fournisseur inconnu"),IF(A98="BS",IF(ISNA(MATCH(D98,p_services,0)),"Service inconnu",D98&amp;""),""))))</f>
        <v/>
      </c>
      <c r="F98" s="58" t="n"/>
      <c r="G98" s="58" t="n"/>
      <c r="H98" s="59" t="n"/>
      <c r="I98" s="57" t="str">
        <f>IF(H98="","",IFERROR(INDEX(art_des,MATCH(H98,art_ref,0))&amp;"","Article inconnu"))</f>
        <v/>
      </c>
      <c r="J98" s="60" t="str">
        <f>IF(H98="","",IFERROR(INDEX(art_unit,MATCH(H98,art_ref,0))&amp;"",""))</f>
        <v/>
      </c>
      <c r="K98" s="59" t="n"/>
      <c r="L98" s="59" t="n"/>
      <c r="M98" s="61" t="str">
        <f>IF(OR(B98="",NOT(ISNUMBER(K98)),NOT(ISNUMBER(L98))),"",IF(OR(K98&lt;=0,L98&lt;=0),"",ROUND(L98-K98,6)))</f>
        <v/>
      </c>
      <c r="N98" s="58" t="n"/>
      <c r="O98" s="62" t="n"/>
      <c r="P98" s="63" t="str">
        <f>IF(OR(B98="",NOT(ISNUMBER(L98))),"",IF(L98&lt;=0,"",IFERROR(ROUND(L98*N(INDEX(art_w,MATCH(H98,art_ref,0))),3),"")))</f>
        <v/>
      </c>
      <c r="Q98" s="59" t="n"/>
      <c r="R98" s="54" t="n"/>
      <c r="S98" s="59" t="n"/>
      <c r="T98" s="59" t="n"/>
      <c r="U98" s="64" t="str">
        <f>IF(OR(B98="",H98=""),"",IFERROR(IF(A98="BL",IF(N(INDEX(art_price,MATCH(H98,art_ref,0)))=0,"",N(INDEX(art_price,MATCH(H98,art_ref,0)))),IF(N(INDEX(art_cost,MATCH(H98,art_ref,0)))=0,"",N(INDEX(art_cost,MATCH(H98,art_ref,0))))),""))</f>
        <v/>
      </c>
      <c r="V98" s="64" t="str">
        <f>IF(OR(U98="",NOT(ISNUMBER(L98))),"",IF(L98&lt;=0,"",ROUND(L98*U98,2)))</f>
        <v/>
      </c>
      <c r="W98" s="60" t="str">
        <f>IF(AND(B98&lt;&gt;"",A98&lt;&gt;"BS",F98&lt;&gt;"",H98&lt;&gt;"",ISNUMBER(K98),ISNUMBER(L98)),IF(AND(K98&gt;0,L98&gt;0,K98-L98&gt;0,COUNTIFS(A99:A$2005,A98,F99:F$2005,F98,H99:H$2005,H98,AA99:AA$2005,"&gt;0")=0),ROUND(K98-L98,6),""),"")</f>
        <v/>
      </c>
      <c r="X98" s="60" t="str">
        <f>IF(AND(A98="",C98="",D98="",H98="",L98=""),"",IF(A98="","Type manquant",IF(AND(A98&lt;&gt;"BL",A98&lt;&gt;"BR",A98&lt;&gt;"BS"),"Type inconnu (BL, BR ou BS)",IF(AG98=0,"Date manquante ou invalide",IF(D98="",IF(A98="BL","Client manquant",IF(A98="BR","Fournisseur manquant","Service manquant")),IF(IF(A98="BL",ISNA(MATCH(D98,cl_code,0)),IF(A98="BR",ISNA(MATCH(D98,fo_code,0)),ISNA(MATCH(D98,p_services,0)))),IF(A98="BL","Client inconnu",IF(A98="BR","Fournisseur inconnu","Service inconnu")),IF(H98="","Article manquant",IF(ISNA(MATCH(H98,art_ref,0)),"Article inconnu",IF(OR(NOT(ISNUMBER(L98)),N(L98)&lt;=0),"Quantité invalide",IF(AND(K98&lt;&gt;"",OR(NOT(ISNUMBER(K98)),N(K98)&lt;=0)),"Qté commandée invalide",IF(AG98&lt;SUMPRODUCT(MAX((A$6:A97=A98)*AG$6:AG97)),"Date antérieure au bon précédent",IF(AND(A98&lt;&gt;"BR",ISNUMBER(M98),N(M98)&gt;0),IF(A98="BL","Livré plus que commandé","Sorti plus que demandé"),"OK"))))))))))))</f>
        <v/>
      </c>
      <c r="Y98" s="57" t="str">
        <f>IF(AND(OR(A98="BL",A98="BR",A98="BS"),AG98&gt;0,D98&lt;&gt;""),A98&amp;"|"&amp;AG98&amp;"|"&amp;D98&amp;"|"&amp;F98,"")</f>
        <v/>
      </c>
      <c r="Z98" s="57" t="str">
        <f>IF(Y98="","",IF(COUNTIF(Y$6:Y97,Y98)=0,1,0))</f>
        <v/>
      </c>
      <c r="AA98" s="57" t="str">
        <f>IF(Y98="","",IF(Z98=1,COUNTIFS(A$6:A98,A98,Z$6:Z98,1),INDEX(AA$6:AA97,MATCH(Y98,Y$6:Y97,0))))</f>
        <v/>
      </c>
      <c r="AB98" s="57" t="str">
        <f>IF(B98="","",COUNTIF(B$6:B98,B98))</f>
        <v/>
      </c>
      <c r="AC98" s="57" t="str">
        <f>IF(B98="","",B98&amp;"#"&amp;AB98)</f>
        <v/>
      </c>
      <c r="AD98" s="57" t="str">
        <f>IF(Z98=1,A98&amp;AA98,"")</f>
        <v/>
      </c>
      <c r="AE98" s="57" t="str">
        <f>IF(B98="","",YEAR(C98))</f>
        <v/>
      </c>
      <c r="AF98" s="57" t="str">
        <f>IF(B98="","",MONTH(C98))</f>
        <v/>
      </c>
      <c r="AG98" s="57">
        <f>IF(ISNUMBER(C98),C98,0)</f>
        <v>0.0</v>
      </c>
      <c r="AH98" s="57" t="str">
        <f>IF(N(W98)&gt;0,COUNTIF(W$6:W98,"&gt;0"),"")</f>
        <v/>
      </c>
      <c r="AI98" s="57" t="str">
        <f>IF(Z98=1,COUNTIF(Z$6:Z98,1),"")</f>
        <v/>
      </c>
    </row>
    <row r="99">
      <c r="A99" s="54" t="n"/>
      <c r="B99" s="55" t="str">
        <f>IF(AA99="","",A99&amp;"-"&amp;RIGHT("000"&amp;AA99,4))</f>
        <v/>
      </c>
      <c r="C99" s="56" t="n"/>
      <c r="D99" s="54" t="n"/>
      <c r="E99" s="57" t="str">
        <f>IF(D99="","",IF(A99="BL",IFERROR(INDEX(cl_name,MATCH(D99,cl_code,0))&amp;"","Client inconnu"),IF(A99="BR",IFERROR(INDEX(fo_name,MATCH(D99,fo_code,0))&amp;"","Fournisseur inconnu"),IF(A99="BS",IF(ISNA(MATCH(D99,p_services,0)),"Service inconnu",D99&amp;""),""))))</f>
        <v/>
      </c>
      <c r="F99" s="58" t="n"/>
      <c r="G99" s="58" t="n"/>
      <c r="H99" s="59" t="n"/>
      <c r="I99" s="57" t="str">
        <f>IF(H99="","",IFERROR(INDEX(art_des,MATCH(H99,art_ref,0))&amp;"","Article inconnu"))</f>
        <v/>
      </c>
      <c r="J99" s="60" t="str">
        <f>IF(H99="","",IFERROR(INDEX(art_unit,MATCH(H99,art_ref,0))&amp;"",""))</f>
        <v/>
      </c>
      <c r="K99" s="59" t="n"/>
      <c r="L99" s="59" t="n"/>
      <c r="M99" s="61" t="str">
        <f>IF(OR(B99="",NOT(ISNUMBER(K99)),NOT(ISNUMBER(L99))),"",IF(OR(K99&lt;=0,L99&lt;=0),"",ROUND(L99-K99,6)))</f>
        <v/>
      </c>
      <c r="N99" s="58" t="n"/>
      <c r="O99" s="62" t="n"/>
      <c r="P99" s="63" t="str">
        <f>IF(OR(B99="",NOT(ISNUMBER(L99))),"",IF(L99&lt;=0,"",IFERROR(ROUND(L99*N(INDEX(art_w,MATCH(H99,art_ref,0))),3),"")))</f>
        <v/>
      </c>
      <c r="Q99" s="59" t="n"/>
      <c r="R99" s="54" t="n"/>
      <c r="S99" s="59" t="n"/>
      <c r="T99" s="59" t="n"/>
      <c r="U99" s="64" t="str">
        <f>IF(OR(B99="",H99=""),"",IFERROR(IF(A99="BL",IF(N(INDEX(art_price,MATCH(H99,art_ref,0)))=0,"",N(INDEX(art_price,MATCH(H99,art_ref,0)))),IF(N(INDEX(art_cost,MATCH(H99,art_ref,0)))=0,"",N(INDEX(art_cost,MATCH(H99,art_ref,0))))),""))</f>
        <v/>
      </c>
      <c r="V99" s="64" t="str">
        <f>IF(OR(U99="",NOT(ISNUMBER(L99))),"",IF(L99&lt;=0,"",ROUND(L99*U99,2)))</f>
        <v/>
      </c>
      <c r="W99" s="60" t="str">
        <f>IF(AND(B99&lt;&gt;"",A99&lt;&gt;"BS",F99&lt;&gt;"",H99&lt;&gt;"",ISNUMBER(K99),ISNUMBER(L99)),IF(AND(K99&gt;0,L99&gt;0,K99-L99&gt;0,COUNTIFS(A100:A$2005,A99,F100:F$2005,F99,H100:H$2005,H99,AA100:AA$2005,"&gt;0")=0),ROUND(K99-L99,6),""),"")</f>
        <v/>
      </c>
      <c r="X99" s="60" t="str">
        <f>IF(AND(A99="",C99="",D99="",H99="",L99=""),"",IF(A99="","Type manquant",IF(AND(A99&lt;&gt;"BL",A99&lt;&gt;"BR",A99&lt;&gt;"BS"),"Type inconnu (BL, BR ou BS)",IF(AG99=0,"Date manquante ou invalide",IF(D99="",IF(A99="BL","Client manquant",IF(A99="BR","Fournisseur manquant","Service manquant")),IF(IF(A99="BL",ISNA(MATCH(D99,cl_code,0)),IF(A99="BR",ISNA(MATCH(D99,fo_code,0)),ISNA(MATCH(D99,p_services,0)))),IF(A99="BL","Client inconnu",IF(A99="BR","Fournisseur inconnu","Service inconnu")),IF(H99="","Article manquant",IF(ISNA(MATCH(H99,art_ref,0)),"Article inconnu",IF(OR(NOT(ISNUMBER(L99)),N(L99)&lt;=0),"Quantité invalide",IF(AND(K99&lt;&gt;"",OR(NOT(ISNUMBER(K99)),N(K99)&lt;=0)),"Qté commandée invalide",IF(AG99&lt;SUMPRODUCT(MAX((A$6:A98=A99)*AG$6:AG98)),"Date antérieure au bon précédent",IF(AND(A99&lt;&gt;"BR",ISNUMBER(M99),N(M99)&gt;0),IF(A99="BL","Livré plus que commandé","Sorti plus que demandé"),"OK"))))))))))))</f>
        <v/>
      </c>
      <c r="Y99" s="57" t="str">
        <f>IF(AND(OR(A99="BL",A99="BR",A99="BS"),AG99&gt;0,D99&lt;&gt;""),A99&amp;"|"&amp;AG99&amp;"|"&amp;D99&amp;"|"&amp;F99,"")</f>
        <v/>
      </c>
      <c r="Z99" s="57" t="str">
        <f>IF(Y99="","",IF(COUNTIF(Y$6:Y98,Y99)=0,1,0))</f>
        <v/>
      </c>
      <c r="AA99" s="57" t="str">
        <f>IF(Y99="","",IF(Z99=1,COUNTIFS(A$6:A99,A99,Z$6:Z99,1),INDEX(AA$6:AA98,MATCH(Y99,Y$6:Y98,0))))</f>
        <v/>
      </c>
      <c r="AB99" s="57" t="str">
        <f>IF(B99="","",COUNTIF(B$6:B99,B99))</f>
        <v/>
      </c>
      <c r="AC99" s="57" t="str">
        <f>IF(B99="","",B99&amp;"#"&amp;AB99)</f>
        <v/>
      </c>
      <c r="AD99" s="57" t="str">
        <f>IF(Z99=1,A99&amp;AA99,"")</f>
        <v/>
      </c>
      <c r="AE99" s="57" t="str">
        <f>IF(B99="","",YEAR(C99))</f>
        <v/>
      </c>
      <c r="AF99" s="57" t="str">
        <f>IF(B99="","",MONTH(C99))</f>
        <v/>
      </c>
      <c r="AG99" s="57">
        <f>IF(ISNUMBER(C99),C99,0)</f>
        <v>0.0</v>
      </c>
      <c r="AH99" s="57" t="str">
        <f>IF(N(W99)&gt;0,COUNTIF(W$6:W99,"&gt;0"),"")</f>
        <v/>
      </c>
      <c r="AI99" s="57" t="str">
        <f>IF(Z99=1,COUNTIF(Z$6:Z99,1),"")</f>
        <v/>
      </c>
    </row>
    <row r="100">
      <c r="A100" s="54" t="n"/>
      <c r="B100" s="55" t="str">
        <f>IF(AA100="","",A100&amp;"-"&amp;RIGHT("000"&amp;AA100,4))</f>
        <v/>
      </c>
      <c r="C100" s="56" t="n"/>
      <c r="D100" s="54" t="n"/>
      <c r="E100" s="57" t="str">
        <f>IF(D100="","",IF(A100="BL",IFERROR(INDEX(cl_name,MATCH(D100,cl_code,0))&amp;"","Client inconnu"),IF(A100="BR",IFERROR(INDEX(fo_name,MATCH(D100,fo_code,0))&amp;"","Fournisseur inconnu"),IF(A100="BS",IF(ISNA(MATCH(D100,p_services,0)),"Service inconnu",D100&amp;""),""))))</f>
        <v/>
      </c>
      <c r="F100" s="58" t="n"/>
      <c r="G100" s="58" t="n"/>
      <c r="H100" s="59" t="n"/>
      <c r="I100" s="57" t="str">
        <f>IF(H100="","",IFERROR(INDEX(art_des,MATCH(H100,art_ref,0))&amp;"","Article inconnu"))</f>
        <v/>
      </c>
      <c r="J100" s="60" t="str">
        <f>IF(H100="","",IFERROR(INDEX(art_unit,MATCH(H100,art_ref,0))&amp;"",""))</f>
        <v/>
      </c>
      <c r="K100" s="59" t="n"/>
      <c r="L100" s="59" t="n"/>
      <c r="M100" s="61" t="str">
        <f>IF(OR(B100="",NOT(ISNUMBER(K100)),NOT(ISNUMBER(L100))),"",IF(OR(K100&lt;=0,L100&lt;=0),"",ROUND(L100-K100,6)))</f>
        <v/>
      </c>
      <c r="N100" s="58" t="n"/>
      <c r="O100" s="62" t="n"/>
      <c r="P100" s="63" t="str">
        <f>IF(OR(B100="",NOT(ISNUMBER(L100))),"",IF(L100&lt;=0,"",IFERROR(ROUND(L100*N(INDEX(art_w,MATCH(H100,art_ref,0))),3),"")))</f>
        <v/>
      </c>
      <c r="Q100" s="59" t="n"/>
      <c r="R100" s="54" t="n"/>
      <c r="S100" s="59" t="n"/>
      <c r="T100" s="59" t="n"/>
      <c r="U100" s="64" t="str">
        <f>IF(OR(B100="",H100=""),"",IFERROR(IF(A100="BL",IF(N(INDEX(art_price,MATCH(H100,art_ref,0)))=0,"",N(INDEX(art_price,MATCH(H100,art_ref,0)))),IF(N(INDEX(art_cost,MATCH(H100,art_ref,0)))=0,"",N(INDEX(art_cost,MATCH(H100,art_ref,0))))),""))</f>
        <v/>
      </c>
      <c r="V100" s="64" t="str">
        <f>IF(OR(U100="",NOT(ISNUMBER(L100))),"",IF(L100&lt;=0,"",ROUND(L100*U100,2)))</f>
        <v/>
      </c>
      <c r="W100" s="60" t="str">
        <f>IF(AND(B100&lt;&gt;"",A100&lt;&gt;"BS",F100&lt;&gt;"",H100&lt;&gt;"",ISNUMBER(K100),ISNUMBER(L100)),IF(AND(K100&gt;0,L100&gt;0,K100-L100&gt;0,COUNTIFS(A101:A$2005,A100,F101:F$2005,F100,H101:H$2005,H100,AA101:AA$2005,"&gt;0")=0),ROUND(K100-L100,6),""),"")</f>
        <v/>
      </c>
      <c r="X100" s="60" t="str">
        <f>IF(AND(A100="",C100="",D100="",H100="",L100=""),"",IF(A100="","Type manquant",IF(AND(A100&lt;&gt;"BL",A100&lt;&gt;"BR",A100&lt;&gt;"BS"),"Type inconnu (BL, BR ou BS)",IF(AG100=0,"Date manquante ou invalide",IF(D100="",IF(A100="BL","Client manquant",IF(A100="BR","Fournisseur manquant","Service manquant")),IF(IF(A100="BL",ISNA(MATCH(D100,cl_code,0)),IF(A100="BR",ISNA(MATCH(D100,fo_code,0)),ISNA(MATCH(D100,p_services,0)))),IF(A100="BL","Client inconnu",IF(A100="BR","Fournisseur inconnu","Service inconnu")),IF(H100="","Article manquant",IF(ISNA(MATCH(H100,art_ref,0)),"Article inconnu",IF(OR(NOT(ISNUMBER(L100)),N(L100)&lt;=0),"Quantité invalide",IF(AND(K100&lt;&gt;"",OR(NOT(ISNUMBER(K100)),N(K100)&lt;=0)),"Qté commandée invalide",IF(AG100&lt;SUMPRODUCT(MAX((A$6:A99=A100)*AG$6:AG99)),"Date antérieure au bon précédent",IF(AND(A100&lt;&gt;"BR",ISNUMBER(M100),N(M100)&gt;0),IF(A100="BL","Livré plus que commandé","Sorti plus que demandé"),"OK"))))))))))))</f>
        <v/>
      </c>
      <c r="Y100" s="57" t="str">
        <f>IF(AND(OR(A100="BL",A100="BR",A100="BS"),AG100&gt;0,D100&lt;&gt;""),A100&amp;"|"&amp;AG100&amp;"|"&amp;D100&amp;"|"&amp;F100,"")</f>
        <v/>
      </c>
      <c r="Z100" s="57" t="str">
        <f>IF(Y100="","",IF(COUNTIF(Y$6:Y99,Y100)=0,1,0))</f>
        <v/>
      </c>
      <c r="AA100" s="57" t="str">
        <f>IF(Y100="","",IF(Z100=1,COUNTIFS(A$6:A100,A100,Z$6:Z100,1),INDEX(AA$6:AA99,MATCH(Y100,Y$6:Y99,0))))</f>
        <v/>
      </c>
      <c r="AB100" s="57" t="str">
        <f>IF(B100="","",COUNTIF(B$6:B100,B100))</f>
        <v/>
      </c>
      <c r="AC100" s="57" t="str">
        <f>IF(B100="","",B100&amp;"#"&amp;AB100)</f>
        <v/>
      </c>
      <c r="AD100" s="57" t="str">
        <f>IF(Z100=1,A100&amp;AA100,"")</f>
        <v/>
      </c>
      <c r="AE100" s="57" t="str">
        <f>IF(B100="","",YEAR(C100))</f>
        <v/>
      </c>
      <c r="AF100" s="57" t="str">
        <f>IF(B100="","",MONTH(C100))</f>
        <v/>
      </c>
      <c r="AG100" s="57">
        <f>IF(ISNUMBER(C100),C100,0)</f>
        <v>0.0</v>
      </c>
      <c r="AH100" s="57" t="str">
        <f>IF(N(W100)&gt;0,COUNTIF(W$6:W100,"&gt;0"),"")</f>
        <v/>
      </c>
      <c r="AI100" s="57" t="str">
        <f>IF(Z100=1,COUNTIF(Z$6:Z100,1),"")</f>
        <v/>
      </c>
    </row>
    <row r="101">
      <c r="A101" s="54" t="n"/>
      <c r="B101" s="55" t="str">
        <f>IF(AA101="","",A101&amp;"-"&amp;RIGHT("000"&amp;AA101,4))</f>
        <v/>
      </c>
      <c r="C101" s="56" t="n"/>
      <c r="D101" s="54" t="n"/>
      <c r="E101" s="57" t="str">
        <f>IF(D101="","",IF(A101="BL",IFERROR(INDEX(cl_name,MATCH(D101,cl_code,0))&amp;"","Client inconnu"),IF(A101="BR",IFERROR(INDEX(fo_name,MATCH(D101,fo_code,0))&amp;"","Fournisseur inconnu"),IF(A101="BS",IF(ISNA(MATCH(D101,p_services,0)),"Service inconnu",D101&amp;""),""))))</f>
        <v/>
      </c>
      <c r="F101" s="58" t="n"/>
      <c r="G101" s="58" t="n"/>
      <c r="H101" s="59" t="n"/>
      <c r="I101" s="57" t="str">
        <f>IF(H101="","",IFERROR(INDEX(art_des,MATCH(H101,art_ref,0))&amp;"","Article inconnu"))</f>
        <v/>
      </c>
      <c r="J101" s="60" t="str">
        <f>IF(H101="","",IFERROR(INDEX(art_unit,MATCH(H101,art_ref,0))&amp;"",""))</f>
        <v/>
      </c>
      <c r="K101" s="59" t="n"/>
      <c r="L101" s="59" t="n"/>
      <c r="M101" s="61" t="str">
        <f>IF(OR(B101="",NOT(ISNUMBER(K101)),NOT(ISNUMBER(L101))),"",IF(OR(K101&lt;=0,L101&lt;=0),"",ROUND(L101-K101,6)))</f>
        <v/>
      </c>
      <c r="N101" s="58" t="n"/>
      <c r="O101" s="62" t="n"/>
      <c r="P101" s="63" t="str">
        <f>IF(OR(B101="",NOT(ISNUMBER(L101))),"",IF(L101&lt;=0,"",IFERROR(ROUND(L101*N(INDEX(art_w,MATCH(H101,art_ref,0))),3),"")))</f>
        <v/>
      </c>
      <c r="Q101" s="59" t="n"/>
      <c r="R101" s="54" t="n"/>
      <c r="S101" s="59" t="n"/>
      <c r="T101" s="59" t="n"/>
      <c r="U101" s="64" t="str">
        <f>IF(OR(B101="",H101=""),"",IFERROR(IF(A101="BL",IF(N(INDEX(art_price,MATCH(H101,art_ref,0)))=0,"",N(INDEX(art_price,MATCH(H101,art_ref,0)))),IF(N(INDEX(art_cost,MATCH(H101,art_ref,0)))=0,"",N(INDEX(art_cost,MATCH(H101,art_ref,0))))),""))</f>
        <v/>
      </c>
      <c r="V101" s="64" t="str">
        <f>IF(OR(U101="",NOT(ISNUMBER(L101))),"",IF(L101&lt;=0,"",ROUND(L101*U101,2)))</f>
        <v/>
      </c>
      <c r="W101" s="60" t="str">
        <f>IF(AND(B101&lt;&gt;"",A101&lt;&gt;"BS",F101&lt;&gt;"",H101&lt;&gt;"",ISNUMBER(K101),ISNUMBER(L101)),IF(AND(K101&gt;0,L101&gt;0,K101-L101&gt;0,COUNTIFS(A102:A$2005,A101,F102:F$2005,F101,H102:H$2005,H101,AA102:AA$2005,"&gt;0")=0),ROUND(K101-L101,6),""),"")</f>
        <v/>
      </c>
      <c r="X101" s="60" t="str">
        <f>IF(AND(A101="",C101="",D101="",H101="",L101=""),"",IF(A101="","Type manquant",IF(AND(A101&lt;&gt;"BL",A101&lt;&gt;"BR",A101&lt;&gt;"BS"),"Type inconnu (BL, BR ou BS)",IF(AG101=0,"Date manquante ou invalide",IF(D101="",IF(A101="BL","Client manquant",IF(A101="BR","Fournisseur manquant","Service manquant")),IF(IF(A101="BL",ISNA(MATCH(D101,cl_code,0)),IF(A101="BR",ISNA(MATCH(D101,fo_code,0)),ISNA(MATCH(D101,p_services,0)))),IF(A101="BL","Client inconnu",IF(A101="BR","Fournisseur inconnu","Service inconnu")),IF(H101="","Article manquant",IF(ISNA(MATCH(H101,art_ref,0)),"Article inconnu",IF(OR(NOT(ISNUMBER(L101)),N(L101)&lt;=0),"Quantité invalide",IF(AND(K101&lt;&gt;"",OR(NOT(ISNUMBER(K101)),N(K101)&lt;=0)),"Qté commandée invalide",IF(AG101&lt;SUMPRODUCT(MAX((A$6:A100=A101)*AG$6:AG100)),"Date antérieure au bon précédent",IF(AND(A101&lt;&gt;"BR",ISNUMBER(M101),N(M101)&gt;0),IF(A101="BL","Livré plus que commandé","Sorti plus que demandé"),"OK"))))))))))))</f>
        <v/>
      </c>
      <c r="Y101" s="57" t="str">
        <f>IF(AND(OR(A101="BL",A101="BR",A101="BS"),AG101&gt;0,D101&lt;&gt;""),A101&amp;"|"&amp;AG101&amp;"|"&amp;D101&amp;"|"&amp;F101,"")</f>
        <v/>
      </c>
      <c r="Z101" s="57" t="str">
        <f>IF(Y101="","",IF(COUNTIF(Y$6:Y100,Y101)=0,1,0))</f>
        <v/>
      </c>
      <c r="AA101" s="57" t="str">
        <f>IF(Y101="","",IF(Z101=1,COUNTIFS(A$6:A101,A101,Z$6:Z101,1),INDEX(AA$6:AA100,MATCH(Y101,Y$6:Y100,0))))</f>
        <v/>
      </c>
      <c r="AB101" s="57" t="str">
        <f>IF(B101="","",COUNTIF(B$6:B101,B101))</f>
        <v/>
      </c>
      <c r="AC101" s="57" t="str">
        <f>IF(B101="","",B101&amp;"#"&amp;AB101)</f>
        <v/>
      </c>
      <c r="AD101" s="57" t="str">
        <f>IF(Z101=1,A101&amp;AA101,"")</f>
        <v/>
      </c>
      <c r="AE101" s="57" t="str">
        <f>IF(B101="","",YEAR(C101))</f>
        <v/>
      </c>
      <c r="AF101" s="57" t="str">
        <f>IF(B101="","",MONTH(C101))</f>
        <v/>
      </c>
      <c r="AG101" s="57">
        <f>IF(ISNUMBER(C101),C101,0)</f>
        <v>0.0</v>
      </c>
      <c r="AH101" s="57" t="str">
        <f>IF(N(W101)&gt;0,COUNTIF(W$6:W101,"&gt;0"),"")</f>
        <v/>
      </c>
      <c r="AI101" s="57" t="str">
        <f>IF(Z101=1,COUNTIF(Z$6:Z101,1),"")</f>
        <v/>
      </c>
    </row>
    <row r="102">
      <c r="A102" s="54" t="n"/>
      <c r="B102" s="55" t="str">
        <f>IF(AA102="","",A102&amp;"-"&amp;RIGHT("000"&amp;AA102,4))</f>
        <v/>
      </c>
      <c r="C102" s="56" t="n"/>
      <c r="D102" s="54" t="n"/>
      <c r="E102" s="57" t="str">
        <f>IF(D102="","",IF(A102="BL",IFERROR(INDEX(cl_name,MATCH(D102,cl_code,0))&amp;"","Client inconnu"),IF(A102="BR",IFERROR(INDEX(fo_name,MATCH(D102,fo_code,0))&amp;"","Fournisseur inconnu"),IF(A102="BS",IF(ISNA(MATCH(D102,p_services,0)),"Service inconnu",D102&amp;""),""))))</f>
        <v/>
      </c>
      <c r="F102" s="58" t="n"/>
      <c r="G102" s="58" t="n"/>
      <c r="H102" s="59" t="n"/>
      <c r="I102" s="57" t="str">
        <f>IF(H102="","",IFERROR(INDEX(art_des,MATCH(H102,art_ref,0))&amp;"","Article inconnu"))</f>
        <v/>
      </c>
      <c r="J102" s="60" t="str">
        <f>IF(H102="","",IFERROR(INDEX(art_unit,MATCH(H102,art_ref,0))&amp;"",""))</f>
        <v/>
      </c>
      <c r="K102" s="59" t="n"/>
      <c r="L102" s="59" t="n"/>
      <c r="M102" s="61" t="str">
        <f>IF(OR(B102="",NOT(ISNUMBER(K102)),NOT(ISNUMBER(L102))),"",IF(OR(K102&lt;=0,L102&lt;=0),"",ROUND(L102-K102,6)))</f>
        <v/>
      </c>
      <c r="N102" s="58" t="n"/>
      <c r="O102" s="62" t="n"/>
      <c r="P102" s="63" t="str">
        <f>IF(OR(B102="",NOT(ISNUMBER(L102))),"",IF(L102&lt;=0,"",IFERROR(ROUND(L102*N(INDEX(art_w,MATCH(H102,art_ref,0))),3),"")))</f>
        <v/>
      </c>
      <c r="Q102" s="59" t="n"/>
      <c r="R102" s="54" t="n"/>
      <c r="S102" s="59" t="n"/>
      <c r="T102" s="59" t="n"/>
      <c r="U102" s="64" t="str">
        <f>IF(OR(B102="",H102=""),"",IFERROR(IF(A102="BL",IF(N(INDEX(art_price,MATCH(H102,art_ref,0)))=0,"",N(INDEX(art_price,MATCH(H102,art_ref,0)))),IF(N(INDEX(art_cost,MATCH(H102,art_ref,0)))=0,"",N(INDEX(art_cost,MATCH(H102,art_ref,0))))),""))</f>
        <v/>
      </c>
      <c r="V102" s="64" t="str">
        <f>IF(OR(U102="",NOT(ISNUMBER(L102))),"",IF(L102&lt;=0,"",ROUND(L102*U102,2)))</f>
        <v/>
      </c>
      <c r="W102" s="60" t="str">
        <f>IF(AND(B102&lt;&gt;"",A102&lt;&gt;"BS",F102&lt;&gt;"",H102&lt;&gt;"",ISNUMBER(K102),ISNUMBER(L102)),IF(AND(K102&gt;0,L102&gt;0,K102-L102&gt;0,COUNTIFS(A103:A$2005,A102,F103:F$2005,F102,H103:H$2005,H102,AA103:AA$2005,"&gt;0")=0),ROUND(K102-L102,6),""),"")</f>
        <v/>
      </c>
      <c r="X102" s="60" t="str">
        <f>IF(AND(A102="",C102="",D102="",H102="",L102=""),"",IF(A102="","Type manquant",IF(AND(A102&lt;&gt;"BL",A102&lt;&gt;"BR",A102&lt;&gt;"BS"),"Type inconnu (BL, BR ou BS)",IF(AG102=0,"Date manquante ou invalide",IF(D102="",IF(A102="BL","Client manquant",IF(A102="BR","Fournisseur manquant","Service manquant")),IF(IF(A102="BL",ISNA(MATCH(D102,cl_code,0)),IF(A102="BR",ISNA(MATCH(D102,fo_code,0)),ISNA(MATCH(D102,p_services,0)))),IF(A102="BL","Client inconnu",IF(A102="BR","Fournisseur inconnu","Service inconnu")),IF(H102="","Article manquant",IF(ISNA(MATCH(H102,art_ref,0)),"Article inconnu",IF(OR(NOT(ISNUMBER(L102)),N(L102)&lt;=0),"Quantité invalide",IF(AND(K102&lt;&gt;"",OR(NOT(ISNUMBER(K102)),N(K102)&lt;=0)),"Qté commandée invalide",IF(AG102&lt;SUMPRODUCT(MAX((A$6:A101=A102)*AG$6:AG101)),"Date antérieure au bon précédent",IF(AND(A102&lt;&gt;"BR",ISNUMBER(M102),N(M102)&gt;0),IF(A102="BL","Livré plus que commandé","Sorti plus que demandé"),"OK"))))))))))))</f>
        <v/>
      </c>
      <c r="Y102" s="57" t="str">
        <f>IF(AND(OR(A102="BL",A102="BR",A102="BS"),AG102&gt;0,D102&lt;&gt;""),A102&amp;"|"&amp;AG102&amp;"|"&amp;D102&amp;"|"&amp;F102,"")</f>
        <v/>
      </c>
      <c r="Z102" s="57" t="str">
        <f>IF(Y102="","",IF(COUNTIF(Y$6:Y101,Y102)=0,1,0))</f>
        <v/>
      </c>
      <c r="AA102" s="57" t="str">
        <f>IF(Y102="","",IF(Z102=1,COUNTIFS(A$6:A102,A102,Z$6:Z102,1),INDEX(AA$6:AA101,MATCH(Y102,Y$6:Y101,0))))</f>
        <v/>
      </c>
      <c r="AB102" s="57" t="str">
        <f>IF(B102="","",COUNTIF(B$6:B102,B102))</f>
        <v/>
      </c>
      <c r="AC102" s="57" t="str">
        <f>IF(B102="","",B102&amp;"#"&amp;AB102)</f>
        <v/>
      </c>
      <c r="AD102" s="57" t="str">
        <f>IF(Z102=1,A102&amp;AA102,"")</f>
        <v/>
      </c>
      <c r="AE102" s="57" t="str">
        <f>IF(B102="","",YEAR(C102))</f>
        <v/>
      </c>
      <c r="AF102" s="57" t="str">
        <f>IF(B102="","",MONTH(C102))</f>
        <v/>
      </c>
      <c r="AG102" s="57">
        <f>IF(ISNUMBER(C102),C102,0)</f>
        <v>0.0</v>
      </c>
      <c r="AH102" s="57" t="str">
        <f>IF(N(W102)&gt;0,COUNTIF(W$6:W102,"&gt;0"),"")</f>
        <v/>
      </c>
      <c r="AI102" s="57" t="str">
        <f>IF(Z102=1,COUNTIF(Z$6:Z102,1),"")</f>
        <v/>
      </c>
    </row>
    <row r="103">
      <c r="A103" s="54" t="n"/>
      <c r="B103" s="55" t="str">
        <f>IF(AA103="","",A103&amp;"-"&amp;RIGHT("000"&amp;AA103,4))</f>
        <v/>
      </c>
      <c r="C103" s="56" t="n"/>
      <c r="D103" s="54" t="n"/>
      <c r="E103" s="57" t="str">
        <f>IF(D103="","",IF(A103="BL",IFERROR(INDEX(cl_name,MATCH(D103,cl_code,0))&amp;"","Client inconnu"),IF(A103="BR",IFERROR(INDEX(fo_name,MATCH(D103,fo_code,0))&amp;"","Fournisseur inconnu"),IF(A103="BS",IF(ISNA(MATCH(D103,p_services,0)),"Service inconnu",D103&amp;""),""))))</f>
        <v/>
      </c>
      <c r="F103" s="58" t="n"/>
      <c r="G103" s="58" t="n"/>
      <c r="H103" s="59" t="n"/>
      <c r="I103" s="57" t="str">
        <f>IF(H103="","",IFERROR(INDEX(art_des,MATCH(H103,art_ref,0))&amp;"","Article inconnu"))</f>
        <v/>
      </c>
      <c r="J103" s="60" t="str">
        <f>IF(H103="","",IFERROR(INDEX(art_unit,MATCH(H103,art_ref,0))&amp;"",""))</f>
        <v/>
      </c>
      <c r="K103" s="59" t="n"/>
      <c r="L103" s="59" t="n"/>
      <c r="M103" s="61" t="str">
        <f>IF(OR(B103="",NOT(ISNUMBER(K103)),NOT(ISNUMBER(L103))),"",IF(OR(K103&lt;=0,L103&lt;=0),"",ROUND(L103-K103,6)))</f>
        <v/>
      </c>
      <c r="N103" s="58" t="n"/>
      <c r="O103" s="62" t="n"/>
      <c r="P103" s="63" t="str">
        <f>IF(OR(B103="",NOT(ISNUMBER(L103))),"",IF(L103&lt;=0,"",IFERROR(ROUND(L103*N(INDEX(art_w,MATCH(H103,art_ref,0))),3),"")))</f>
        <v/>
      </c>
      <c r="Q103" s="59" t="n"/>
      <c r="R103" s="54" t="n"/>
      <c r="S103" s="59" t="n"/>
      <c r="T103" s="59" t="n"/>
      <c r="U103" s="64" t="str">
        <f>IF(OR(B103="",H103=""),"",IFERROR(IF(A103="BL",IF(N(INDEX(art_price,MATCH(H103,art_ref,0)))=0,"",N(INDEX(art_price,MATCH(H103,art_ref,0)))),IF(N(INDEX(art_cost,MATCH(H103,art_ref,0)))=0,"",N(INDEX(art_cost,MATCH(H103,art_ref,0))))),""))</f>
        <v/>
      </c>
      <c r="V103" s="64" t="str">
        <f>IF(OR(U103="",NOT(ISNUMBER(L103))),"",IF(L103&lt;=0,"",ROUND(L103*U103,2)))</f>
        <v/>
      </c>
      <c r="W103" s="60" t="str">
        <f>IF(AND(B103&lt;&gt;"",A103&lt;&gt;"BS",F103&lt;&gt;"",H103&lt;&gt;"",ISNUMBER(K103),ISNUMBER(L103)),IF(AND(K103&gt;0,L103&gt;0,K103-L103&gt;0,COUNTIFS(A104:A$2005,A103,F104:F$2005,F103,H104:H$2005,H103,AA104:AA$2005,"&gt;0")=0),ROUND(K103-L103,6),""),"")</f>
        <v/>
      </c>
      <c r="X103" s="60" t="str">
        <f>IF(AND(A103="",C103="",D103="",H103="",L103=""),"",IF(A103="","Type manquant",IF(AND(A103&lt;&gt;"BL",A103&lt;&gt;"BR",A103&lt;&gt;"BS"),"Type inconnu (BL, BR ou BS)",IF(AG103=0,"Date manquante ou invalide",IF(D103="",IF(A103="BL","Client manquant",IF(A103="BR","Fournisseur manquant","Service manquant")),IF(IF(A103="BL",ISNA(MATCH(D103,cl_code,0)),IF(A103="BR",ISNA(MATCH(D103,fo_code,0)),ISNA(MATCH(D103,p_services,0)))),IF(A103="BL","Client inconnu",IF(A103="BR","Fournisseur inconnu","Service inconnu")),IF(H103="","Article manquant",IF(ISNA(MATCH(H103,art_ref,0)),"Article inconnu",IF(OR(NOT(ISNUMBER(L103)),N(L103)&lt;=0),"Quantité invalide",IF(AND(K103&lt;&gt;"",OR(NOT(ISNUMBER(K103)),N(K103)&lt;=0)),"Qté commandée invalide",IF(AG103&lt;SUMPRODUCT(MAX((A$6:A102=A103)*AG$6:AG102)),"Date antérieure au bon précédent",IF(AND(A103&lt;&gt;"BR",ISNUMBER(M103),N(M103)&gt;0),IF(A103="BL","Livré plus que commandé","Sorti plus que demandé"),"OK"))))))))))))</f>
        <v/>
      </c>
      <c r="Y103" s="57" t="str">
        <f>IF(AND(OR(A103="BL",A103="BR",A103="BS"),AG103&gt;0,D103&lt;&gt;""),A103&amp;"|"&amp;AG103&amp;"|"&amp;D103&amp;"|"&amp;F103,"")</f>
        <v/>
      </c>
      <c r="Z103" s="57" t="str">
        <f>IF(Y103="","",IF(COUNTIF(Y$6:Y102,Y103)=0,1,0))</f>
        <v/>
      </c>
      <c r="AA103" s="57" t="str">
        <f>IF(Y103="","",IF(Z103=1,COUNTIFS(A$6:A103,A103,Z$6:Z103,1),INDEX(AA$6:AA102,MATCH(Y103,Y$6:Y102,0))))</f>
        <v/>
      </c>
      <c r="AB103" s="57" t="str">
        <f>IF(B103="","",COUNTIF(B$6:B103,B103))</f>
        <v/>
      </c>
      <c r="AC103" s="57" t="str">
        <f>IF(B103="","",B103&amp;"#"&amp;AB103)</f>
        <v/>
      </c>
      <c r="AD103" s="57" t="str">
        <f>IF(Z103=1,A103&amp;AA103,"")</f>
        <v/>
      </c>
      <c r="AE103" s="57" t="str">
        <f>IF(B103="","",YEAR(C103))</f>
        <v/>
      </c>
      <c r="AF103" s="57" t="str">
        <f>IF(B103="","",MONTH(C103))</f>
        <v/>
      </c>
      <c r="AG103" s="57">
        <f>IF(ISNUMBER(C103),C103,0)</f>
        <v>0.0</v>
      </c>
      <c r="AH103" s="57" t="str">
        <f>IF(N(W103)&gt;0,COUNTIF(W$6:W103,"&gt;0"),"")</f>
        <v/>
      </c>
      <c r="AI103" s="57" t="str">
        <f>IF(Z103=1,COUNTIF(Z$6:Z103,1),"")</f>
        <v/>
      </c>
    </row>
    <row r="104">
      <c r="A104" s="54" t="n"/>
      <c r="B104" s="55" t="str">
        <f>IF(AA104="","",A104&amp;"-"&amp;RIGHT("000"&amp;AA104,4))</f>
        <v/>
      </c>
      <c r="C104" s="56" t="n"/>
      <c r="D104" s="54" t="n"/>
      <c r="E104" s="57" t="str">
        <f>IF(D104="","",IF(A104="BL",IFERROR(INDEX(cl_name,MATCH(D104,cl_code,0))&amp;"","Client inconnu"),IF(A104="BR",IFERROR(INDEX(fo_name,MATCH(D104,fo_code,0))&amp;"","Fournisseur inconnu"),IF(A104="BS",IF(ISNA(MATCH(D104,p_services,0)),"Service inconnu",D104&amp;""),""))))</f>
        <v/>
      </c>
      <c r="F104" s="58" t="n"/>
      <c r="G104" s="58" t="n"/>
      <c r="H104" s="59" t="n"/>
      <c r="I104" s="57" t="str">
        <f>IF(H104="","",IFERROR(INDEX(art_des,MATCH(H104,art_ref,0))&amp;"","Article inconnu"))</f>
        <v/>
      </c>
      <c r="J104" s="60" t="str">
        <f>IF(H104="","",IFERROR(INDEX(art_unit,MATCH(H104,art_ref,0))&amp;"",""))</f>
        <v/>
      </c>
      <c r="K104" s="59" t="n"/>
      <c r="L104" s="59" t="n"/>
      <c r="M104" s="61" t="str">
        <f>IF(OR(B104="",NOT(ISNUMBER(K104)),NOT(ISNUMBER(L104))),"",IF(OR(K104&lt;=0,L104&lt;=0),"",ROUND(L104-K104,6)))</f>
        <v/>
      </c>
      <c r="N104" s="58" t="n"/>
      <c r="O104" s="62" t="n"/>
      <c r="P104" s="63" t="str">
        <f>IF(OR(B104="",NOT(ISNUMBER(L104))),"",IF(L104&lt;=0,"",IFERROR(ROUND(L104*N(INDEX(art_w,MATCH(H104,art_ref,0))),3),"")))</f>
        <v/>
      </c>
      <c r="Q104" s="59" t="n"/>
      <c r="R104" s="54" t="n"/>
      <c r="S104" s="59" t="n"/>
      <c r="T104" s="59" t="n"/>
      <c r="U104" s="64" t="str">
        <f>IF(OR(B104="",H104=""),"",IFERROR(IF(A104="BL",IF(N(INDEX(art_price,MATCH(H104,art_ref,0)))=0,"",N(INDEX(art_price,MATCH(H104,art_ref,0)))),IF(N(INDEX(art_cost,MATCH(H104,art_ref,0)))=0,"",N(INDEX(art_cost,MATCH(H104,art_ref,0))))),""))</f>
        <v/>
      </c>
      <c r="V104" s="64" t="str">
        <f>IF(OR(U104="",NOT(ISNUMBER(L104))),"",IF(L104&lt;=0,"",ROUND(L104*U104,2)))</f>
        <v/>
      </c>
      <c r="W104" s="60" t="str">
        <f>IF(AND(B104&lt;&gt;"",A104&lt;&gt;"BS",F104&lt;&gt;"",H104&lt;&gt;"",ISNUMBER(K104),ISNUMBER(L104)),IF(AND(K104&gt;0,L104&gt;0,K104-L104&gt;0,COUNTIFS(A105:A$2005,A104,F105:F$2005,F104,H105:H$2005,H104,AA105:AA$2005,"&gt;0")=0),ROUND(K104-L104,6),""),"")</f>
        <v/>
      </c>
      <c r="X104" s="60" t="str">
        <f>IF(AND(A104="",C104="",D104="",H104="",L104=""),"",IF(A104="","Type manquant",IF(AND(A104&lt;&gt;"BL",A104&lt;&gt;"BR",A104&lt;&gt;"BS"),"Type inconnu (BL, BR ou BS)",IF(AG104=0,"Date manquante ou invalide",IF(D104="",IF(A104="BL","Client manquant",IF(A104="BR","Fournisseur manquant","Service manquant")),IF(IF(A104="BL",ISNA(MATCH(D104,cl_code,0)),IF(A104="BR",ISNA(MATCH(D104,fo_code,0)),ISNA(MATCH(D104,p_services,0)))),IF(A104="BL","Client inconnu",IF(A104="BR","Fournisseur inconnu","Service inconnu")),IF(H104="","Article manquant",IF(ISNA(MATCH(H104,art_ref,0)),"Article inconnu",IF(OR(NOT(ISNUMBER(L104)),N(L104)&lt;=0),"Quantité invalide",IF(AND(K104&lt;&gt;"",OR(NOT(ISNUMBER(K104)),N(K104)&lt;=0)),"Qté commandée invalide",IF(AG104&lt;SUMPRODUCT(MAX((A$6:A103=A104)*AG$6:AG103)),"Date antérieure au bon précédent",IF(AND(A104&lt;&gt;"BR",ISNUMBER(M104),N(M104)&gt;0),IF(A104="BL","Livré plus que commandé","Sorti plus que demandé"),"OK"))))))))))))</f>
        <v/>
      </c>
      <c r="Y104" s="57" t="str">
        <f>IF(AND(OR(A104="BL",A104="BR",A104="BS"),AG104&gt;0,D104&lt;&gt;""),A104&amp;"|"&amp;AG104&amp;"|"&amp;D104&amp;"|"&amp;F104,"")</f>
        <v/>
      </c>
      <c r="Z104" s="57" t="str">
        <f>IF(Y104="","",IF(COUNTIF(Y$6:Y103,Y104)=0,1,0))</f>
        <v/>
      </c>
      <c r="AA104" s="57" t="str">
        <f>IF(Y104="","",IF(Z104=1,COUNTIFS(A$6:A104,A104,Z$6:Z104,1),INDEX(AA$6:AA103,MATCH(Y104,Y$6:Y103,0))))</f>
        <v/>
      </c>
      <c r="AB104" s="57" t="str">
        <f>IF(B104="","",COUNTIF(B$6:B104,B104))</f>
        <v/>
      </c>
      <c r="AC104" s="57" t="str">
        <f>IF(B104="","",B104&amp;"#"&amp;AB104)</f>
        <v/>
      </c>
      <c r="AD104" s="57" t="str">
        <f>IF(Z104=1,A104&amp;AA104,"")</f>
        <v/>
      </c>
      <c r="AE104" s="57" t="str">
        <f>IF(B104="","",YEAR(C104))</f>
        <v/>
      </c>
      <c r="AF104" s="57" t="str">
        <f>IF(B104="","",MONTH(C104))</f>
        <v/>
      </c>
      <c r="AG104" s="57">
        <f>IF(ISNUMBER(C104),C104,0)</f>
        <v>0.0</v>
      </c>
      <c r="AH104" s="57" t="str">
        <f>IF(N(W104)&gt;0,COUNTIF(W$6:W104,"&gt;0"),"")</f>
        <v/>
      </c>
      <c r="AI104" s="57" t="str">
        <f>IF(Z104=1,COUNTIF(Z$6:Z104,1),"")</f>
        <v/>
      </c>
    </row>
    <row r="105">
      <c r="A105" s="54" t="n"/>
      <c r="B105" s="55" t="str">
        <f>IF(AA105="","",A105&amp;"-"&amp;RIGHT("000"&amp;AA105,4))</f>
        <v/>
      </c>
      <c r="C105" s="56" t="n"/>
      <c r="D105" s="54" t="n"/>
      <c r="E105" s="57" t="str">
        <f>IF(D105="","",IF(A105="BL",IFERROR(INDEX(cl_name,MATCH(D105,cl_code,0))&amp;"","Client inconnu"),IF(A105="BR",IFERROR(INDEX(fo_name,MATCH(D105,fo_code,0))&amp;"","Fournisseur inconnu"),IF(A105="BS",IF(ISNA(MATCH(D105,p_services,0)),"Service inconnu",D105&amp;""),""))))</f>
        <v/>
      </c>
      <c r="F105" s="58" t="n"/>
      <c r="G105" s="58" t="n"/>
      <c r="H105" s="59" t="n"/>
      <c r="I105" s="57" t="str">
        <f>IF(H105="","",IFERROR(INDEX(art_des,MATCH(H105,art_ref,0))&amp;"","Article inconnu"))</f>
        <v/>
      </c>
      <c r="J105" s="60" t="str">
        <f>IF(H105="","",IFERROR(INDEX(art_unit,MATCH(H105,art_ref,0))&amp;"",""))</f>
        <v/>
      </c>
      <c r="K105" s="59" t="n"/>
      <c r="L105" s="59" t="n"/>
      <c r="M105" s="61" t="str">
        <f>IF(OR(B105="",NOT(ISNUMBER(K105)),NOT(ISNUMBER(L105))),"",IF(OR(K105&lt;=0,L105&lt;=0),"",ROUND(L105-K105,6)))</f>
        <v/>
      </c>
      <c r="N105" s="58" t="n"/>
      <c r="O105" s="62" t="n"/>
      <c r="P105" s="63" t="str">
        <f>IF(OR(B105="",NOT(ISNUMBER(L105))),"",IF(L105&lt;=0,"",IFERROR(ROUND(L105*N(INDEX(art_w,MATCH(H105,art_ref,0))),3),"")))</f>
        <v/>
      </c>
      <c r="Q105" s="59" t="n"/>
      <c r="R105" s="54" t="n"/>
      <c r="S105" s="59" t="n"/>
      <c r="T105" s="59" t="n"/>
      <c r="U105" s="64" t="str">
        <f>IF(OR(B105="",H105=""),"",IFERROR(IF(A105="BL",IF(N(INDEX(art_price,MATCH(H105,art_ref,0)))=0,"",N(INDEX(art_price,MATCH(H105,art_ref,0)))),IF(N(INDEX(art_cost,MATCH(H105,art_ref,0)))=0,"",N(INDEX(art_cost,MATCH(H105,art_ref,0))))),""))</f>
        <v/>
      </c>
      <c r="V105" s="64" t="str">
        <f>IF(OR(U105="",NOT(ISNUMBER(L105))),"",IF(L105&lt;=0,"",ROUND(L105*U105,2)))</f>
        <v/>
      </c>
      <c r="W105" s="60" t="str">
        <f>IF(AND(B105&lt;&gt;"",A105&lt;&gt;"BS",F105&lt;&gt;"",H105&lt;&gt;"",ISNUMBER(K105),ISNUMBER(L105)),IF(AND(K105&gt;0,L105&gt;0,K105-L105&gt;0,COUNTIFS(A106:A$2005,A105,F106:F$2005,F105,H106:H$2005,H105,AA106:AA$2005,"&gt;0")=0),ROUND(K105-L105,6),""),"")</f>
        <v/>
      </c>
      <c r="X105" s="60" t="str">
        <f>IF(AND(A105="",C105="",D105="",H105="",L105=""),"",IF(A105="","Type manquant",IF(AND(A105&lt;&gt;"BL",A105&lt;&gt;"BR",A105&lt;&gt;"BS"),"Type inconnu (BL, BR ou BS)",IF(AG105=0,"Date manquante ou invalide",IF(D105="",IF(A105="BL","Client manquant",IF(A105="BR","Fournisseur manquant","Service manquant")),IF(IF(A105="BL",ISNA(MATCH(D105,cl_code,0)),IF(A105="BR",ISNA(MATCH(D105,fo_code,0)),ISNA(MATCH(D105,p_services,0)))),IF(A105="BL","Client inconnu",IF(A105="BR","Fournisseur inconnu","Service inconnu")),IF(H105="","Article manquant",IF(ISNA(MATCH(H105,art_ref,0)),"Article inconnu",IF(OR(NOT(ISNUMBER(L105)),N(L105)&lt;=0),"Quantité invalide",IF(AND(K105&lt;&gt;"",OR(NOT(ISNUMBER(K105)),N(K105)&lt;=0)),"Qté commandée invalide",IF(AG105&lt;SUMPRODUCT(MAX((A$6:A104=A105)*AG$6:AG104)),"Date antérieure au bon précédent",IF(AND(A105&lt;&gt;"BR",ISNUMBER(M105),N(M105)&gt;0),IF(A105="BL","Livré plus que commandé","Sorti plus que demandé"),"OK"))))))))))))</f>
        <v/>
      </c>
      <c r="Y105" s="57" t="str">
        <f>IF(AND(OR(A105="BL",A105="BR",A105="BS"),AG105&gt;0,D105&lt;&gt;""),A105&amp;"|"&amp;AG105&amp;"|"&amp;D105&amp;"|"&amp;F105,"")</f>
        <v/>
      </c>
      <c r="Z105" s="57" t="str">
        <f>IF(Y105="","",IF(COUNTIF(Y$6:Y104,Y105)=0,1,0))</f>
        <v/>
      </c>
      <c r="AA105" s="57" t="str">
        <f>IF(Y105="","",IF(Z105=1,COUNTIFS(A$6:A105,A105,Z$6:Z105,1),INDEX(AA$6:AA104,MATCH(Y105,Y$6:Y104,0))))</f>
        <v/>
      </c>
      <c r="AB105" s="57" t="str">
        <f>IF(B105="","",COUNTIF(B$6:B105,B105))</f>
        <v/>
      </c>
      <c r="AC105" s="57" t="str">
        <f>IF(B105="","",B105&amp;"#"&amp;AB105)</f>
        <v/>
      </c>
      <c r="AD105" s="57" t="str">
        <f>IF(Z105=1,A105&amp;AA105,"")</f>
        <v/>
      </c>
      <c r="AE105" s="57" t="str">
        <f>IF(B105="","",YEAR(C105))</f>
        <v/>
      </c>
      <c r="AF105" s="57" t="str">
        <f>IF(B105="","",MONTH(C105))</f>
        <v/>
      </c>
      <c r="AG105" s="57">
        <f>IF(ISNUMBER(C105),C105,0)</f>
        <v>0.0</v>
      </c>
      <c r="AH105" s="57" t="str">
        <f>IF(N(W105)&gt;0,COUNTIF(W$6:W105,"&gt;0"),"")</f>
        <v/>
      </c>
      <c r="AI105" s="57" t="str">
        <f>IF(Z105=1,COUNTIF(Z$6:Z105,1),"")</f>
        <v/>
      </c>
    </row>
    <row r="106">
      <c r="A106" s="54" t="n"/>
      <c r="B106" s="55" t="str">
        <f>IF(AA106="","",A106&amp;"-"&amp;RIGHT("000"&amp;AA106,4))</f>
        <v/>
      </c>
      <c r="C106" s="56" t="n"/>
      <c r="D106" s="54" t="n"/>
      <c r="E106" s="57" t="str">
        <f>IF(D106="","",IF(A106="BL",IFERROR(INDEX(cl_name,MATCH(D106,cl_code,0))&amp;"","Client inconnu"),IF(A106="BR",IFERROR(INDEX(fo_name,MATCH(D106,fo_code,0))&amp;"","Fournisseur inconnu"),IF(A106="BS",IF(ISNA(MATCH(D106,p_services,0)),"Service inconnu",D106&amp;""),""))))</f>
        <v/>
      </c>
      <c r="F106" s="58" t="n"/>
      <c r="G106" s="58" t="n"/>
      <c r="H106" s="59" t="n"/>
      <c r="I106" s="57" t="str">
        <f>IF(H106="","",IFERROR(INDEX(art_des,MATCH(H106,art_ref,0))&amp;"","Article inconnu"))</f>
        <v/>
      </c>
      <c r="J106" s="60" t="str">
        <f>IF(H106="","",IFERROR(INDEX(art_unit,MATCH(H106,art_ref,0))&amp;"",""))</f>
        <v/>
      </c>
      <c r="K106" s="59" t="n"/>
      <c r="L106" s="59" t="n"/>
      <c r="M106" s="61" t="str">
        <f>IF(OR(B106="",NOT(ISNUMBER(K106)),NOT(ISNUMBER(L106))),"",IF(OR(K106&lt;=0,L106&lt;=0),"",ROUND(L106-K106,6)))</f>
        <v/>
      </c>
      <c r="N106" s="58" t="n"/>
      <c r="O106" s="62" t="n"/>
      <c r="P106" s="63" t="str">
        <f>IF(OR(B106="",NOT(ISNUMBER(L106))),"",IF(L106&lt;=0,"",IFERROR(ROUND(L106*N(INDEX(art_w,MATCH(H106,art_ref,0))),3),"")))</f>
        <v/>
      </c>
      <c r="Q106" s="59" t="n"/>
      <c r="R106" s="54" t="n"/>
      <c r="S106" s="59" t="n"/>
      <c r="T106" s="59" t="n"/>
      <c r="U106" s="64" t="str">
        <f>IF(OR(B106="",H106=""),"",IFERROR(IF(A106="BL",IF(N(INDEX(art_price,MATCH(H106,art_ref,0)))=0,"",N(INDEX(art_price,MATCH(H106,art_ref,0)))),IF(N(INDEX(art_cost,MATCH(H106,art_ref,0)))=0,"",N(INDEX(art_cost,MATCH(H106,art_ref,0))))),""))</f>
        <v/>
      </c>
      <c r="V106" s="64" t="str">
        <f>IF(OR(U106="",NOT(ISNUMBER(L106))),"",IF(L106&lt;=0,"",ROUND(L106*U106,2)))</f>
        <v/>
      </c>
      <c r="W106" s="60" t="str">
        <f>IF(AND(B106&lt;&gt;"",A106&lt;&gt;"BS",F106&lt;&gt;"",H106&lt;&gt;"",ISNUMBER(K106),ISNUMBER(L106)),IF(AND(K106&gt;0,L106&gt;0,K106-L106&gt;0,COUNTIFS(A107:A$2005,A106,F107:F$2005,F106,H107:H$2005,H106,AA107:AA$2005,"&gt;0")=0),ROUND(K106-L106,6),""),"")</f>
        <v/>
      </c>
      <c r="X106" s="60" t="str">
        <f>IF(AND(A106="",C106="",D106="",H106="",L106=""),"",IF(A106="","Type manquant",IF(AND(A106&lt;&gt;"BL",A106&lt;&gt;"BR",A106&lt;&gt;"BS"),"Type inconnu (BL, BR ou BS)",IF(AG106=0,"Date manquante ou invalide",IF(D106="",IF(A106="BL","Client manquant",IF(A106="BR","Fournisseur manquant","Service manquant")),IF(IF(A106="BL",ISNA(MATCH(D106,cl_code,0)),IF(A106="BR",ISNA(MATCH(D106,fo_code,0)),ISNA(MATCH(D106,p_services,0)))),IF(A106="BL","Client inconnu",IF(A106="BR","Fournisseur inconnu","Service inconnu")),IF(H106="","Article manquant",IF(ISNA(MATCH(H106,art_ref,0)),"Article inconnu",IF(OR(NOT(ISNUMBER(L106)),N(L106)&lt;=0),"Quantité invalide",IF(AND(K106&lt;&gt;"",OR(NOT(ISNUMBER(K106)),N(K106)&lt;=0)),"Qté commandée invalide",IF(AG106&lt;SUMPRODUCT(MAX((A$6:A105=A106)*AG$6:AG105)),"Date antérieure au bon précédent",IF(AND(A106&lt;&gt;"BR",ISNUMBER(M106),N(M106)&gt;0),IF(A106="BL","Livré plus que commandé","Sorti plus que demandé"),"OK"))))))))))))</f>
        <v/>
      </c>
      <c r="Y106" s="57" t="str">
        <f>IF(AND(OR(A106="BL",A106="BR",A106="BS"),AG106&gt;0,D106&lt;&gt;""),A106&amp;"|"&amp;AG106&amp;"|"&amp;D106&amp;"|"&amp;F106,"")</f>
        <v/>
      </c>
      <c r="Z106" s="57" t="str">
        <f>IF(Y106="","",IF(COUNTIF(Y$6:Y105,Y106)=0,1,0))</f>
        <v/>
      </c>
      <c r="AA106" s="57" t="str">
        <f>IF(Y106="","",IF(Z106=1,COUNTIFS(A$6:A106,A106,Z$6:Z106,1),INDEX(AA$6:AA105,MATCH(Y106,Y$6:Y105,0))))</f>
        <v/>
      </c>
      <c r="AB106" s="57" t="str">
        <f>IF(B106="","",COUNTIF(B$6:B106,B106))</f>
        <v/>
      </c>
      <c r="AC106" s="57" t="str">
        <f>IF(B106="","",B106&amp;"#"&amp;AB106)</f>
        <v/>
      </c>
      <c r="AD106" s="57" t="str">
        <f>IF(Z106=1,A106&amp;AA106,"")</f>
        <v/>
      </c>
      <c r="AE106" s="57" t="str">
        <f>IF(B106="","",YEAR(C106))</f>
        <v/>
      </c>
      <c r="AF106" s="57" t="str">
        <f>IF(B106="","",MONTH(C106))</f>
        <v/>
      </c>
      <c r="AG106" s="57">
        <f>IF(ISNUMBER(C106),C106,0)</f>
        <v>0.0</v>
      </c>
      <c r="AH106" s="57" t="str">
        <f>IF(N(W106)&gt;0,COUNTIF(W$6:W106,"&gt;0"),"")</f>
        <v/>
      </c>
      <c r="AI106" s="57" t="str">
        <f>IF(Z106=1,COUNTIF(Z$6:Z106,1),"")</f>
        <v/>
      </c>
    </row>
    <row r="107">
      <c r="A107" s="54" t="n"/>
      <c r="B107" s="55" t="str">
        <f>IF(AA107="","",A107&amp;"-"&amp;RIGHT("000"&amp;AA107,4))</f>
        <v/>
      </c>
      <c r="C107" s="56" t="n"/>
      <c r="D107" s="54" t="n"/>
      <c r="E107" s="57" t="str">
        <f>IF(D107="","",IF(A107="BL",IFERROR(INDEX(cl_name,MATCH(D107,cl_code,0))&amp;"","Client inconnu"),IF(A107="BR",IFERROR(INDEX(fo_name,MATCH(D107,fo_code,0))&amp;"","Fournisseur inconnu"),IF(A107="BS",IF(ISNA(MATCH(D107,p_services,0)),"Service inconnu",D107&amp;""),""))))</f>
        <v/>
      </c>
      <c r="F107" s="58" t="n"/>
      <c r="G107" s="58" t="n"/>
      <c r="H107" s="59" t="n"/>
      <c r="I107" s="57" t="str">
        <f>IF(H107="","",IFERROR(INDEX(art_des,MATCH(H107,art_ref,0))&amp;"","Article inconnu"))</f>
        <v/>
      </c>
      <c r="J107" s="60" t="str">
        <f>IF(H107="","",IFERROR(INDEX(art_unit,MATCH(H107,art_ref,0))&amp;"",""))</f>
        <v/>
      </c>
      <c r="K107" s="59" t="n"/>
      <c r="L107" s="59" t="n"/>
      <c r="M107" s="61" t="str">
        <f>IF(OR(B107="",NOT(ISNUMBER(K107)),NOT(ISNUMBER(L107))),"",IF(OR(K107&lt;=0,L107&lt;=0),"",ROUND(L107-K107,6)))</f>
        <v/>
      </c>
      <c r="N107" s="58" t="n"/>
      <c r="O107" s="62" t="n"/>
      <c r="P107" s="63" t="str">
        <f>IF(OR(B107="",NOT(ISNUMBER(L107))),"",IF(L107&lt;=0,"",IFERROR(ROUND(L107*N(INDEX(art_w,MATCH(H107,art_ref,0))),3),"")))</f>
        <v/>
      </c>
      <c r="Q107" s="59" t="n"/>
      <c r="R107" s="54" t="n"/>
      <c r="S107" s="59" t="n"/>
      <c r="T107" s="59" t="n"/>
      <c r="U107" s="64" t="str">
        <f>IF(OR(B107="",H107=""),"",IFERROR(IF(A107="BL",IF(N(INDEX(art_price,MATCH(H107,art_ref,0)))=0,"",N(INDEX(art_price,MATCH(H107,art_ref,0)))),IF(N(INDEX(art_cost,MATCH(H107,art_ref,0)))=0,"",N(INDEX(art_cost,MATCH(H107,art_ref,0))))),""))</f>
        <v/>
      </c>
      <c r="V107" s="64" t="str">
        <f>IF(OR(U107="",NOT(ISNUMBER(L107))),"",IF(L107&lt;=0,"",ROUND(L107*U107,2)))</f>
        <v/>
      </c>
      <c r="W107" s="60" t="str">
        <f>IF(AND(B107&lt;&gt;"",A107&lt;&gt;"BS",F107&lt;&gt;"",H107&lt;&gt;"",ISNUMBER(K107),ISNUMBER(L107)),IF(AND(K107&gt;0,L107&gt;0,K107-L107&gt;0,COUNTIFS(A108:A$2005,A107,F108:F$2005,F107,H108:H$2005,H107,AA108:AA$2005,"&gt;0")=0),ROUND(K107-L107,6),""),"")</f>
        <v/>
      </c>
      <c r="X107" s="60" t="str">
        <f>IF(AND(A107="",C107="",D107="",H107="",L107=""),"",IF(A107="","Type manquant",IF(AND(A107&lt;&gt;"BL",A107&lt;&gt;"BR",A107&lt;&gt;"BS"),"Type inconnu (BL, BR ou BS)",IF(AG107=0,"Date manquante ou invalide",IF(D107="",IF(A107="BL","Client manquant",IF(A107="BR","Fournisseur manquant","Service manquant")),IF(IF(A107="BL",ISNA(MATCH(D107,cl_code,0)),IF(A107="BR",ISNA(MATCH(D107,fo_code,0)),ISNA(MATCH(D107,p_services,0)))),IF(A107="BL","Client inconnu",IF(A107="BR","Fournisseur inconnu","Service inconnu")),IF(H107="","Article manquant",IF(ISNA(MATCH(H107,art_ref,0)),"Article inconnu",IF(OR(NOT(ISNUMBER(L107)),N(L107)&lt;=0),"Quantité invalide",IF(AND(K107&lt;&gt;"",OR(NOT(ISNUMBER(K107)),N(K107)&lt;=0)),"Qté commandée invalide",IF(AG107&lt;SUMPRODUCT(MAX((A$6:A106=A107)*AG$6:AG106)),"Date antérieure au bon précédent",IF(AND(A107&lt;&gt;"BR",ISNUMBER(M107),N(M107)&gt;0),IF(A107="BL","Livré plus que commandé","Sorti plus que demandé"),"OK"))))))))))))</f>
        <v/>
      </c>
      <c r="Y107" s="57" t="str">
        <f>IF(AND(OR(A107="BL",A107="BR",A107="BS"),AG107&gt;0,D107&lt;&gt;""),A107&amp;"|"&amp;AG107&amp;"|"&amp;D107&amp;"|"&amp;F107,"")</f>
        <v/>
      </c>
      <c r="Z107" s="57" t="str">
        <f>IF(Y107="","",IF(COUNTIF(Y$6:Y106,Y107)=0,1,0))</f>
        <v/>
      </c>
      <c r="AA107" s="57" t="str">
        <f>IF(Y107="","",IF(Z107=1,COUNTIFS(A$6:A107,A107,Z$6:Z107,1),INDEX(AA$6:AA106,MATCH(Y107,Y$6:Y106,0))))</f>
        <v/>
      </c>
      <c r="AB107" s="57" t="str">
        <f>IF(B107="","",COUNTIF(B$6:B107,B107))</f>
        <v/>
      </c>
      <c r="AC107" s="57" t="str">
        <f>IF(B107="","",B107&amp;"#"&amp;AB107)</f>
        <v/>
      </c>
      <c r="AD107" s="57" t="str">
        <f>IF(Z107=1,A107&amp;AA107,"")</f>
        <v/>
      </c>
      <c r="AE107" s="57" t="str">
        <f>IF(B107="","",YEAR(C107))</f>
        <v/>
      </c>
      <c r="AF107" s="57" t="str">
        <f>IF(B107="","",MONTH(C107))</f>
        <v/>
      </c>
      <c r="AG107" s="57">
        <f>IF(ISNUMBER(C107),C107,0)</f>
        <v>0.0</v>
      </c>
      <c r="AH107" s="57" t="str">
        <f>IF(N(W107)&gt;0,COUNTIF(W$6:W107,"&gt;0"),"")</f>
        <v/>
      </c>
      <c r="AI107" s="57" t="str">
        <f>IF(Z107=1,COUNTIF(Z$6:Z107,1),"")</f>
        <v/>
      </c>
    </row>
    <row r="108">
      <c r="A108" s="54" t="n"/>
      <c r="B108" s="55" t="str">
        <f>IF(AA108="","",A108&amp;"-"&amp;RIGHT("000"&amp;AA108,4))</f>
        <v/>
      </c>
      <c r="C108" s="56" t="n"/>
      <c r="D108" s="54" t="n"/>
      <c r="E108" s="57" t="str">
        <f>IF(D108="","",IF(A108="BL",IFERROR(INDEX(cl_name,MATCH(D108,cl_code,0))&amp;"","Client inconnu"),IF(A108="BR",IFERROR(INDEX(fo_name,MATCH(D108,fo_code,0))&amp;"","Fournisseur inconnu"),IF(A108="BS",IF(ISNA(MATCH(D108,p_services,0)),"Service inconnu",D108&amp;""),""))))</f>
        <v/>
      </c>
      <c r="F108" s="58" t="n"/>
      <c r="G108" s="58" t="n"/>
      <c r="H108" s="59" t="n"/>
      <c r="I108" s="57" t="str">
        <f>IF(H108="","",IFERROR(INDEX(art_des,MATCH(H108,art_ref,0))&amp;"","Article inconnu"))</f>
        <v/>
      </c>
      <c r="J108" s="60" t="str">
        <f>IF(H108="","",IFERROR(INDEX(art_unit,MATCH(H108,art_ref,0))&amp;"",""))</f>
        <v/>
      </c>
      <c r="K108" s="59" t="n"/>
      <c r="L108" s="59" t="n"/>
      <c r="M108" s="61" t="str">
        <f>IF(OR(B108="",NOT(ISNUMBER(K108)),NOT(ISNUMBER(L108))),"",IF(OR(K108&lt;=0,L108&lt;=0),"",ROUND(L108-K108,6)))</f>
        <v/>
      </c>
      <c r="N108" s="58" t="n"/>
      <c r="O108" s="62" t="n"/>
      <c r="P108" s="63" t="str">
        <f>IF(OR(B108="",NOT(ISNUMBER(L108))),"",IF(L108&lt;=0,"",IFERROR(ROUND(L108*N(INDEX(art_w,MATCH(H108,art_ref,0))),3),"")))</f>
        <v/>
      </c>
      <c r="Q108" s="59" t="n"/>
      <c r="R108" s="54" t="n"/>
      <c r="S108" s="59" t="n"/>
      <c r="T108" s="59" t="n"/>
      <c r="U108" s="64" t="str">
        <f>IF(OR(B108="",H108=""),"",IFERROR(IF(A108="BL",IF(N(INDEX(art_price,MATCH(H108,art_ref,0)))=0,"",N(INDEX(art_price,MATCH(H108,art_ref,0)))),IF(N(INDEX(art_cost,MATCH(H108,art_ref,0)))=0,"",N(INDEX(art_cost,MATCH(H108,art_ref,0))))),""))</f>
        <v/>
      </c>
      <c r="V108" s="64" t="str">
        <f>IF(OR(U108="",NOT(ISNUMBER(L108))),"",IF(L108&lt;=0,"",ROUND(L108*U108,2)))</f>
        <v/>
      </c>
      <c r="W108" s="60" t="str">
        <f>IF(AND(B108&lt;&gt;"",A108&lt;&gt;"BS",F108&lt;&gt;"",H108&lt;&gt;"",ISNUMBER(K108),ISNUMBER(L108)),IF(AND(K108&gt;0,L108&gt;0,K108-L108&gt;0,COUNTIFS(A109:A$2005,A108,F109:F$2005,F108,H109:H$2005,H108,AA109:AA$2005,"&gt;0")=0),ROUND(K108-L108,6),""),"")</f>
        <v/>
      </c>
      <c r="X108" s="60" t="str">
        <f>IF(AND(A108="",C108="",D108="",H108="",L108=""),"",IF(A108="","Type manquant",IF(AND(A108&lt;&gt;"BL",A108&lt;&gt;"BR",A108&lt;&gt;"BS"),"Type inconnu (BL, BR ou BS)",IF(AG108=0,"Date manquante ou invalide",IF(D108="",IF(A108="BL","Client manquant",IF(A108="BR","Fournisseur manquant","Service manquant")),IF(IF(A108="BL",ISNA(MATCH(D108,cl_code,0)),IF(A108="BR",ISNA(MATCH(D108,fo_code,0)),ISNA(MATCH(D108,p_services,0)))),IF(A108="BL","Client inconnu",IF(A108="BR","Fournisseur inconnu","Service inconnu")),IF(H108="","Article manquant",IF(ISNA(MATCH(H108,art_ref,0)),"Article inconnu",IF(OR(NOT(ISNUMBER(L108)),N(L108)&lt;=0),"Quantité invalide",IF(AND(K108&lt;&gt;"",OR(NOT(ISNUMBER(K108)),N(K108)&lt;=0)),"Qté commandée invalide",IF(AG108&lt;SUMPRODUCT(MAX((A$6:A107=A108)*AG$6:AG107)),"Date antérieure au bon précédent",IF(AND(A108&lt;&gt;"BR",ISNUMBER(M108),N(M108)&gt;0),IF(A108="BL","Livré plus que commandé","Sorti plus que demandé"),"OK"))))))))))))</f>
        <v/>
      </c>
      <c r="Y108" s="57" t="str">
        <f>IF(AND(OR(A108="BL",A108="BR",A108="BS"),AG108&gt;0,D108&lt;&gt;""),A108&amp;"|"&amp;AG108&amp;"|"&amp;D108&amp;"|"&amp;F108,"")</f>
        <v/>
      </c>
      <c r="Z108" s="57" t="str">
        <f>IF(Y108="","",IF(COUNTIF(Y$6:Y107,Y108)=0,1,0))</f>
        <v/>
      </c>
      <c r="AA108" s="57" t="str">
        <f>IF(Y108="","",IF(Z108=1,COUNTIFS(A$6:A108,A108,Z$6:Z108,1),INDEX(AA$6:AA107,MATCH(Y108,Y$6:Y107,0))))</f>
        <v/>
      </c>
      <c r="AB108" s="57" t="str">
        <f>IF(B108="","",COUNTIF(B$6:B108,B108))</f>
        <v/>
      </c>
      <c r="AC108" s="57" t="str">
        <f>IF(B108="","",B108&amp;"#"&amp;AB108)</f>
        <v/>
      </c>
      <c r="AD108" s="57" t="str">
        <f>IF(Z108=1,A108&amp;AA108,"")</f>
        <v/>
      </c>
      <c r="AE108" s="57" t="str">
        <f>IF(B108="","",YEAR(C108))</f>
        <v/>
      </c>
      <c r="AF108" s="57" t="str">
        <f>IF(B108="","",MONTH(C108))</f>
        <v/>
      </c>
      <c r="AG108" s="57">
        <f>IF(ISNUMBER(C108),C108,0)</f>
        <v>0.0</v>
      </c>
      <c r="AH108" s="57" t="str">
        <f>IF(N(W108)&gt;0,COUNTIF(W$6:W108,"&gt;0"),"")</f>
        <v/>
      </c>
      <c r="AI108" s="57" t="str">
        <f>IF(Z108=1,COUNTIF(Z$6:Z108,1),"")</f>
        <v/>
      </c>
    </row>
    <row r="109">
      <c r="A109" s="54" t="n"/>
      <c r="B109" s="55" t="str">
        <f>IF(AA109="","",A109&amp;"-"&amp;RIGHT("000"&amp;AA109,4))</f>
        <v/>
      </c>
      <c r="C109" s="56" t="n"/>
      <c r="D109" s="54" t="n"/>
      <c r="E109" s="57" t="str">
        <f>IF(D109="","",IF(A109="BL",IFERROR(INDEX(cl_name,MATCH(D109,cl_code,0))&amp;"","Client inconnu"),IF(A109="BR",IFERROR(INDEX(fo_name,MATCH(D109,fo_code,0))&amp;"","Fournisseur inconnu"),IF(A109="BS",IF(ISNA(MATCH(D109,p_services,0)),"Service inconnu",D109&amp;""),""))))</f>
        <v/>
      </c>
      <c r="F109" s="58" t="n"/>
      <c r="G109" s="58" t="n"/>
      <c r="H109" s="59" t="n"/>
      <c r="I109" s="57" t="str">
        <f>IF(H109="","",IFERROR(INDEX(art_des,MATCH(H109,art_ref,0))&amp;"","Article inconnu"))</f>
        <v/>
      </c>
      <c r="J109" s="60" t="str">
        <f>IF(H109="","",IFERROR(INDEX(art_unit,MATCH(H109,art_ref,0))&amp;"",""))</f>
        <v/>
      </c>
      <c r="K109" s="59" t="n"/>
      <c r="L109" s="59" t="n"/>
      <c r="M109" s="61" t="str">
        <f>IF(OR(B109="",NOT(ISNUMBER(K109)),NOT(ISNUMBER(L109))),"",IF(OR(K109&lt;=0,L109&lt;=0),"",ROUND(L109-K109,6)))</f>
        <v/>
      </c>
      <c r="N109" s="58" t="n"/>
      <c r="O109" s="62" t="n"/>
      <c r="P109" s="63" t="str">
        <f>IF(OR(B109="",NOT(ISNUMBER(L109))),"",IF(L109&lt;=0,"",IFERROR(ROUND(L109*N(INDEX(art_w,MATCH(H109,art_ref,0))),3),"")))</f>
        <v/>
      </c>
      <c r="Q109" s="59" t="n"/>
      <c r="R109" s="54" t="n"/>
      <c r="S109" s="59" t="n"/>
      <c r="T109" s="59" t="n"/>
      <c r="U109" s="64" t="str">
        <f>IF(OR(B109="",H109=""),"",IFERROR(IF(A109="BL",IF(N(INDEX(art_price,MATCH(H109,art_ref,0)))=0,"",N(INDEX(art_price,MATCH(H109,art_ref,0)))),IF(N(INDEX(art_cost,MATCH(H109,art_ref,0)))=0,"",N(INDEX(art_cost,MATCH(H109,art_ref,0))))),""))</f>
        <v/>
      </c>
      <c r="V109" s="64" t="str">
        <f>IF(OR(U109="",NOT(ISNUMBER(L109))),"",IF(L109&lt;=0,"",ROUND(L109*U109,2)))</f>
        <v/>
      </c>
      <c r="W109" s="60" t="str">
        <f>IF(AND(B109&lt;&gt;"",A109&lt;&gt;"BS",F109&lt;&gt;"",H109&lt;&gt;"",ISNUMBER(K109),ISNUMBER(L109)),IF(AND(K109&gt;0,L109&gt;0,K109-L109&gt;0,COUNTIFS(A110:A$2005,A109,F110:F$2005,F109,H110:H$2005,H109,AA110:AA$2005,"&gt;0")=0),ROUND(K109-L109,6),""),"")</f>
        <v/>
      </c>
      <c r="X109" s="60" t="str">
        <f>IF(AND(A109="",C109="",D109="",H109="",L109=""),"",IF(A109="","Type manquant",IF(AND(A109&lt;&gt;"BL",A109&lt;&gt;"BR",A109&lt;&gt;"BS"),"Type inconnu (BL, BR ou BS)",IF(AG109=0,"Date manquante ou invalide",IF(D109="",IF(A109="BL","Client manquant",IF(A109="BR","Fournisseur manquant","Service manquant")),IF(IF(A109="BL",ISNA(MATCH(D109,cl_code,0)),IF(A109="BR",ISNA(MATCH(D109,fo_code,0)),ISNA(MATCH(D109,p_services,0)))),IF(A109="BL","Client inconnu",IF(A109="BR","Fournisseur inconnu","Service inconnu")),IF(H109="","Article manquant",IF(ISNA(MATCH(H109,art_ref,0)),"Article inconnu",IF(OR(NOT(ISNUMBER(L109)),N(L109)&lt;=0),"Quantité invalide",IF(AND(K109&lt;&gt;"",OR(NOT(ISNUMBER(K109)),N(K109)&lt;=0)),"Qté commandée invalide",IF(AG109&lt;SUMPRODUCT(MAX((A$6:A108=A109)*AG$6:AG108)),"Date antérieure au bon précédent",IF(AND(A109&lt;&gt;"BR",ISNUMBER(M109),N(M109)&gt;0),IF(A109="BL","Livré plus que commandé","Sorti plus que demandé"),"OK"))))))))))))</f>
        <v/>
      </c>
      <c r="Y109" s="57" t="str">
        <f>IF(AND(OR(A109="BL",A109="BR",A109="BS"),AG109&gt;0,D109&lt;&gt;""),A109&amp;"|"&amp;AG109&amp;"|"&amp;D109&amp;"|"&amp;F109,"")</f>
        <v/>
      </c>
      <c r="Z109" s="57" t="str">
        <f>IF(Y109="","",IF(COUNTIF(Y$6:Y108,Y109)=0,1,0))</f>
        <v/>
      </c>
      <c r="AA109" s="57" t="str">
        <f>IF(Y109="","",IF(Z109=1,COUNTIFS(A$6:A109,A109,Z$6:Z109,1),INDEX(AA$6:AA108,MATCH(Y109,Y$6:Y108,0))))</f>
        <v/>
      </c>
      <c r="AB109" s="57" t="str">
        <f>IF(B109="","",COUNTIF(B$6:B109,B109))</f>
        <v/>
      </c>
      <c r="AC109" s="57" t="str">
        <f>IF(B109="","",B109&amp;"#"&amp;AB109)</f>
        <v/>
      </c>
      <c r="AD109" s="57" t="str">
        <f>IF(Z109=1,A109&amp;AA109,"")</f>
        <v/>
      </c>
      <c r="AE109" s="57" t="str">
        <f>IF(B109="","",YEAR(C109))</f>
        <v/>
      </c>
      <c r="AF109" s="57" t="str">
        <f>IF(B109="","",MONTH(C109))</f>
        <v/>
      </c>
      <c r="AG109" s="57">
        <f>IF(ISNUMBER(C109),C109,0)</f>
        <v>0.0</v>
      </c>
      <c r="AH109" s="57" t="str">
        <f>IF(N(W109)&gt;0,COUNTIF(W$6:W109,"&gt;0"),"")</f>
        <v/>
      </c>
      <c r="AI109" s="57" t="str">
        <f>IF(Z109=1,COUNTIF(Z$6:Z109,1),"")</f>
        <v/>
      </c>
    </row>
    <row r="110">
      <c r="A110" s="54" t="n"/>
      <c r="B110" s="55" t="str">
        <f>IF(AA110="","",A110&amp;"-"&amp;RIGHT("000"&amp;AA110,4))</f>
        <v/>
      </c>
      <c r="C110" s="56" t="n"/>
      <c r="D110" s="54" t="n"/>
      <c r="E110" s="57" t="str">
        <f>IF(D110="","",IF(A110="BL",IFERROR(INDEX(cl_name,MATCH(D110,cl_code,0))&amp;"","Client inconnu"),IF(A110="BR",IFERROR(INDEX(fo_name,MATCH(D110,fo_code,0))&amp;"","Fournisseur inconnu"),IF(A110="BS",IF(ISNA(MATCH(D110,p_services,0)),"Service inconnu",D110&amp;""),""))))</f>
        <v/>
      </c>
      <c r="F110" s="58" t="n"/>
      <c r="G110" s="58" t="n"/>
      <c r="H110" s="59" t="n"/>
      <c r="I110" s="57" t="str">
        <f>IF(H110="","",IFERROR(INDEX(art_des,MATCH(H110,art_ref,0))&amp;"","Article inconnu"))</f>
        <v/>
      </c>
      <c r="J110" s="60" t="str">
        <f>IF(H110="","",IFERROR(INDEX(art_unit,MATCH(H110,art_ref,0))&amp;"",""))</f>
        <v/>
      </c>
      <c r="K110" s="59" t="n"/>
      <c r="L110" s="59" t="n"/>
      <c r="M110" s="61" t="str">
        <f>IF(OR(B110="",NOT(ISNUMBER(K110)),NOT(ISNUMBER(L110))),"",IF(OR(K110&lt;=0,L110&lt;=0),"",ROUND(L110-K110,6)))</f>
        <v/>
      </c>
      <c r="N110" s="58" t="n"/>
      <c r="O110" s="62" t="n"/>
      <c r="P110" s="63" t="str">
        <f>IF(OR(B110="",NOT(ISNUMBER(L110))),"",IF(L110&lt;=0,"",IFERROR(ROUND(L110*N(INDEX(art_w,MATCH(H110,art_ref,0))),3),"")))</f>
        <v/>
      </c>
      <c r="Q110" s="59" t="n"/>
      <c r="R110" s="54" t="n"/>
      <c r="S110" s="59" t="n"/>
      <c r="T110" s="59" t="n"/>
      <c r="U110" s="64" t="str">
        <f>IF(OR(B110="",H110=""),"",IFERROR(IF(A110="BL",IF(N(INDEX(art_price,MATCH(H110,art_ref,0)))=0,"",N(INDEX(art_price,MATCH(H110,art_ref,0)))),IF(N(INDEX(art_cost,MATCH(H110,art_ref,0)))=0,"",N(INDEX(art_cost,MATCH(H110,art_ref,0))))),""))</f>
        <v/>
      </c>
      <c r="V110" s="64" t="str">
        <f>IF(OR(U110="",NOT(ISNUMBER(L110))),"",IF(L110&lt;=0,"",ROUND(L110*U110,2)))</f>
        <v/>
      </c>
      <c r="W110" s="60" t="str">
        <f>IF(AND(B110&lt;&gt;"",A110&lt;&gt;"BS",F110&lt;&gt;"",H110&lt;&gt;"",ISNUMBER(K110),ISNUMBER(L110)),IF(AND(K110&gt;0,L110&gt;0,K110-L110&gt;0,COUNTIFS(A111:A$2005,A110,F111:F$2005,F110,H111:H$2005,H110,AA111:AA$2005,"&gt;0")=0),ROUND(K110-L110,6),""),"")</f>
        <v/>
      </c>
      <c r="X110" s="60" t="str">
        <f>IF(AND(A110="",C110="",D110="",H110="",L110=""),"",IF(A110="","Type manquant",IF(AND(A110&lt;&gt;"BL",A110&lt;&gt;"BR",A110&lt;&gt;"BS"),"Type inconnu (BL, BR ou BS)",IF(AG110=0,"Date manquante ou invalide",IF(D110="",IF(A110="BL","Client manquant",IF(A110="BR","Fournisseur manquant","Service manquant")),IF(IF(A110="BL",ISNA(MATCH(D110,cl_code,0)),IF(A110="BR",ISNA(MATCH(D110,fo_code,0)),ISNA(MATCH(D110,p_services,0)))),IF(A110="BL","Client inconnu",IF(A110="BR","Fournisseur inconnu","Service inconnu")),IF(H110="","Article manquant",IF(ISNA(MATCH(H110,art_ref,0)),"Article inconnu",IF(OR(NOT(ISNUMBER(L110)),N(L110)&lt;=0),"Quantité invalide",IF(AND(K110&lt;&gt;"",OR(NOT(ISNUMBER(K110)),N(K110)&lt;=0)),"Qté commandée invalide",IF(AG110&lt;SUMPRODUCT(MAX((A$6:A109=A110)*AG$6:AG109)),"Date antérieure au bon précédent",IF(AND(A110&lt;&gt;"BR",ISNUMBER(M110),N(M110)&gt;0),IF(A110="BL","Livré plus que commandé","Sorti plus que demandé"),"OK"))))))))))))</f>
        <v/>
      </c>
      <c r="Y110" s="57" t="str">
        <f>IF(AND(OR(A110="BL",A110="BR",A110="BS"),AG110&gt;0,D110&lt;&gt;""),A110&amp;"|"&amp;AG110&amp;"|"&amp;D110&amp;"|"&amp;F110,"")</f>
        <v/>
      </c>
      <c r="Z110" s="57" t="str">
        <f>IF(Y110="","",IF(COUNTIF(Y$6:Y109,Y110)=0,1,0))</f>
        <v/>
      </c>
      <c r="AA110" s="57" t="str">
        <f>IF(Y110="","",IF(Z110=1,COUNTIFS(A$6:A110,A110,Z$6:Z110,1),INDEX(AA$6:AA109,MATCH(Y110,Y$6:Y109,0))))</f>
        <v/>
      </c>
      <c r="AB110" s="57" t="str">
        <f>IF(B110="","",COUNTIF(B$6:B110,B110))</f>
        <v/>
      </c>
      <c r="AC110" s="57" t="str">
        <f>IF(B110="","",B110&amp;"#"&amp;AB110)</f>
        <v/>
      </c>
      <c r="AD110" s="57" t="str">
        <f>IF(Z110=1,A110&amp;AA110,"")</f>
        <v/>
      </c>
      <c r="AE110" s="57" t="str">
        <f>IF(B110="","",YEAR(C110))</f>
        <v/>
      </c>
      <c r="AF110" s="57" t="str">
        <f>IF(B110="","",MONTH(C110))</f>
        <v/>
      </c>
      <c r="AG110" s="57">
        <f>IF(ISNUMBER(C110),C110,0)</f>
        <v>0.0</v>
      </c>
      <c r="AH110" s="57" t="str">
        <f>IF(N(W110)&gt;0,COUNTIF(W$6:W110,"&gt;0"),"")</f>
        <v/>
      </c>
      <c r="AI110" s="57" t="str">
        <f>IF(Z110=1,COUNTIF(Z$6:Z110,1),"")</f>
        <v/>
      </c>
    </row>
    <row r="111">
      <c r="A111" s="54" t="n"/>
      <c r="B111" s="55" t="str">
        <f>IF(AA111="","",A111&amp;"-"&amp;RIGHT("000"&amp;AA111,4))</f>
        <v/>
      </c>
      <c r="C111" s="56" t="n"/>
      <c r="D111" s="54" t="n"/>
      <c r="E111" s="57" t="str">
        <f>IF(D111="","",IF(A111="BL",IFERROR(INDEX(cl_name,MATCH(D111,cl_code,0))&amp;"","Client inconnu"),IF(A111="BR",IFERROR(INDEX(fo_name,MATCH(D111,fo_code,0))&amp;"","Fournisseur inconnu"),IF(A111="BS",IF(ISNA(MATCH(D111,p_services,0)),"Service inconnu",D111&amp;""),""))))</f>
        <v/>
      </c>
      <c r="F111" s="58" t="n"/>
      <c r="G111" s="58" t="n"/>
      <c r="H111" s="59" t="n"/>
      <c r="I111" s="57" t="str">
        <f>IF(H111="","",IFERROR(INDEX(art_des,MATCH(H111,art_ref,0))&amp;"","Article inconnu"))</f>
        <v/>
      </c>
      <c r="J111" s="60" t="str">
        <f>IF(H111="","",IFERROR(INDEX(art_unit,MATCH(H111,art_ref,0))&amp;"",""))</f>
        <v/>
      </c>
      <c r="K111" s="59" t="n"/>
      <c r="L111" s="59" t="n"/>
      <c r="M111" s="61" t="str">
        <f>IF(OR(B111="",NOT(ISNUMBER(K111)),NOT(ISNUMBER(L111))),"",IF(OR(K111&lt;=0,L111&lt;=0),"",ROUND(L111-K111,6)))</f>
        <v/>
      </c>
      <c r="N111" s="58" t="n"/>
      <c r="O111" s="62" t="n"/>
      <c r="P111" s="63" t="str">
        <f>IF(OR(B111="",NOT(ISNUMBER(L111))),"",IF(L111&lt;=0,"",IFERROR(ROUND(L111*N(INDEX(art_w,MATCH(H111,art_ref,0))),3),"")))</f>
        <v/>
      </c>
      <c r="Q111" s="59" t="n"/>
      <c r="R111" s="54" t="n"/>
      <c r="S111" s="59" t="n"/>
      <c r="T111" s="59" t="n"/>
      <c r="U111" s="64" t="str">
        <f>IF(OR(B111="",H111=""),"",IFERROR(IF(A111="BL",IF(N(INDEX(art_price,MATCH(H111,art_ref,0)))=0,"",N(INDEX(art_price,MATCH(H111,art_ref,0)))),IF(N(INDEX(art_cost,MATCH(H111,art_ref,0)))=0,"",N(INDEX(art_cost,MATCH(H111,art_ref,0))))),""))</f>
        <v/>
      </c>
      <c r="V111" s="64" t="str">
        <f>IF(OR(U111="",NOT(ISNUMBER(L111))),"",IF(L111&lt;=0,"",ROUND(L111*U111,2)))</f>
        <v/>
      </c>
      <c r="W111" s="60" t="str">
        <f>IF(AND(B111&lt;&gt;"",A111&lt;&gt;"BS",F111&lt;&gt;"",H111&lt;&gt;"",ISNUMBER(K111),ISNUMBER(L111)),IF(AND(K111&gt;0,L111&gt;0,K111-L111&gt;0,COUNTIFS(A112:A$2005,A111,F112:F$2005,F111,H112:H$2005,H111,AA112:AA$2005,"&gt;0")=0),ROUND(K111-L111,6),""),"")</f>
        <v/>
      </c>
      <c r="X111" s="60" t="str">
        <f>IF(AND(A111="",C111="",D111="",H111="",L111=""),"",IF(A111="","Type manquant",IF(AND(A111&lt;&gt;"BL",A111&lt;&gt;"BR",A111&lt;&gt;"BS"),"Type inconnu (BL, BR ou BS)",IF(AG111=0,"Date manquante ou invalide",IF(D111="",IF(A111="BL","Client manquant",IF(A111="BR","Fournisseur manquant","Service manquant")),IF(IF(A111="BL",ISNA(MATCH(D111,cl_code,0)),IF(A111="BR",ISNA(MATCH(D111,fo_code,0)),ISNA(MATCH(D111,p_services,0)))),IF(A111="BL","Client inconnu",IF(A111="BR","Fournisseur inconnu","Service inconnu")),IF(H111="","Article manquant",IF(ISNA(MATCH(H111,art_ref,0)),"Article inconnu",IF(OR(NOT(ISNUMBER(L111)),N(L111)&lt;=0),"Quantité invalide",IF(AND(K111&lt;&gt;"",OR(NOT(ISNUMBER(K111)),N(K111)&lt;=0)),"Qté commandée invalide",IF(AG111&lt;SUMPRODUCT(MAX((A$6:A110=A111)*AG$6:AG110)),"Date antérieure au bon précédent",IF(AND(A111&lt;&gt;"BR",ISNUMBER(M111),N(M111)&gt;0),IF(A111="BL","Livré plus que commandé","Sorti plus que demandé"),"OK"))))))))))))</f>
        <v/>
      </c>
      <c r="Y111" s="57" t="str">
        <f>IF(AND(OR(A111="BL",A111="BR",A111="BS"),AG111&gt;0,D111&lt;&gt;""),A111&amp;"|"&amp;AG111&amp;"|"&amp;D111&amp;"|"&amp;F111,"")</f>
        <v/>
      </c>
      <c r="Z111" s="57" t="str">
        <f>IF(Y111="","",IF(COUNTIF(Y$6:Y110,Y111)=0,1,0))</f>
        <v/>
      </c>
      <c r="AA111" s="57" t="str">
        <f>IF(Y111="","",IF(Z111=1,COUNTIFS(A$6:A111,A111,Z$6:Z111,1),INDEX(AA$6:AA110,MATCH(Y111,Y$6:Y110,0))))</f>
        <v/>
      </c>
      <c r="AB111" s="57" t="str">
        <f>IF(B111="","",COUNTIF(B$6:B111,B111))</f>
        <v/>
      </c>
      <c r="AC111" s="57" t="str">
        <f>IF(B111="","",B111&amp;"#"&amp;AB111)</f>
        <v/>
      </c>
      <c r="AD111" s="57" t="str">
        <f>IF(Z111=1,A111&amp;AA111,"")</f>
        <v/>
      </c>
      <c r="AE111" s="57" t="str">
        <f>IF(B111="","",YEAR(C111))</f>
        <v/>
      </c>
      <c r="AF111" s="57" t="str">
        <f>IF(B111="","",MONTH(C111))</f>
        <v/>
      </c>
      <c r="AG111" s="57">
        <f>IF(ISNUMBER(C111),C111,0)</f>
        <v>0.0</v>
      </c>
      <c r="AH111" s="57" t="str">
        <f>IF(N(W111)&gt;0,COUNTIF(W$6:W111,"&gt;0"),"")</f>
        <v/>
      </c>
      <c r="AI111" s="57" t="str">
        <f>IF(Z111=1,COUNTIF(Z$6:Z111,1),"")</f>
        <v/>
      </c>
    </row>
    <row r="112">
      <c r="A112" s="54" t="n"/>
      <c r="B112" s="55" t="str">
        <f>IF(AA112="","",A112&amp;"-"&amp;RIGHT("000"&amp;AA112,4))</f>
        <v/>
      </c>
      <c r="C112" s="56" t="n"/>
      <c r="D112" s="54" t="n"/>
      <c r="E112" s="57" t="str">
        <f>IF(D112="","",IF(A112="BL",IFERROR(INDEX(cl_name,MATCH(D112,cl_code,0))&amp;"","Client inconnu"),IF(A112="BR",IFERROR(INDEX(fo_name,MATCH(D112,fo_code,0))&amp;"","Fournisseur inconnu"),IF(A112="BS",IF(ISNA(MATCH(D112,p_services,0)),"Service inconnu",D112&amp;""),""))))</f>
        <v/>
      </c>
      <c r="F112" s="58" t="n"/>
      <c r="G112" s="58" t="n"/>
      <c r="H112" s="59" t="n"/>
      <c r="I112" s="57" t="str">
        <f>IF(H112="","",IFERROR(INDEX(art_des,MATCH(H112,art_ref,0))&amp;"","Article inconnu"))</f>
        <v/>
      </c>
      <c r="J112" s="60" t="str">
        <f>IF(H112="","",IFERROR(INDEX(art_unit,MATCH(H112,art_ref,0))&amp;"",""))</f>
        <v/>
      </c>
      <c r="K112" s="59" t="n"/>
      <c r="L112" s="59" t="n"/>
      <c r="M112" s="61" t="str">
        <f>IF(OR(B112="",NOT(ISNUMBER(K112)),NOT(ISNUMBER(L112))),"",IF(OR(K112&lt;=0,L112&lt;=0),"",ROUND(L112-K112,6)))</f>
        <v/>
      </c>
      <c r="N112" s="58" t="n"/>
      <c r="O112" s="62" t="n"/>
      <c r="P112" s="63" t="str">
        <f>IF(OR(B112="",NOT(ISNUMBER(L112))),"",IF(L112&lt;=0,"",IFERROR(ROUND(L112*N(INDEX(art_w,MATCH(H112,art_ref,0))),3),"")))</f>
        <v/>
      </c>
      <c r="Q112" s="59" t="n"/>
      <c r="R112" s="54" t="n"/>
      <c r="S112" s="59" t="n"/>
      <c r="T112" s="59" t="n"/>
      <c r="U112" s="64" t="str">
        <f>IF(OR(B112="",H112=""),"",IFERROR(IF(A112="BL",IF(N(INDEX(art_price,MATCH(H112,art_ref,0)))=0,"",N(INDEX(art_price,MATCH(H112,art_ref,0)))),IF(N(INDEX(art_cost,MATCH(H112,art_ref,0)))=0,"",N(INDEX(art_cost,MATCH(H112,art_ref,0))))),""))</f>
        <v/>
      </c>
      <c r="V112" s="64" t="str">
        <f>IF(OR(U112="",NOT(ISNUMBER(L112))),"",IF(L112&lt;=0,"",ROUND(L112*U112,2)))</f>
        <v/>
      </c>
      <c r="W112" s="60" t="str">
        <f>IF(AND(B112&lt;&gt;"",A112&lt;&gt;"BS",F112&lt;&gt;"",H112&lt;&gt;"",ISNUMBER(K112),ISNUMBER(L112)),IF(AND(K112&gt;0,L112&gt;0,K112-L112&gt;0,COUNTIFS(A113:A$2005,A112,F113:F$2005,F112,H113:H$2005,H112,AA113:AA$2005,"&gt;0")=0),ROUND(K112-L112,6),""),"")</f>
        <v/>
      </c>
      <c r="X112" s="60" t="str">
        <f>IF(AND(A112="",C112="",D112="",H112="",L112=""),"",IF(A112="","Type manquant",IF(AND(A112&lt;&gt;"BL",A112&lt;&gt;"BR",A112&lt;&gt;"BS"),"Type inconnu (BL, BR ou BS)",IF(AG112=0,"Date manquante ou invalide",IF(D112="",IF(A112="BL","Client manquant",IF(A112="BR","Fournisseur manquant","Service manquant")),IF(IF(A112="BL",ISNA(MATCH(D112,cl_code,0)),IF(A112="BR",ISNA(MATCH(D112,fo_code,0)),ISNA(MATCH(D112,p_services,0)))),IF(A112="BL","Client inconnu",IF(A112="BR","Fournisseur inconnu","Service inconnu")),IF(H112="","Article manquant",IF(ISNA(MATCH(H112,art_ref,0)),"Article inconnu",IF(OR(NOT(ISNUMBER(L112)),N(L112)&lt;=0),"Quantité invalide",IF(AND(K112&lt;&gt;"",OR(NOT(ISNUMBER(K112)),N(K112)&lt;=0)),"Qté commandée invalide",IF(AG112&lt;SUMPRODUCT(MAX((A$6:A111=A112)*AG$6:AG111)),"Date antérieure au bon précédent",IF(AND(A112&lt;&gt;"BR",ISNUMBER(M112),N(M112)&gt;0),IF(A112="BL","Livré plus que commandé","Sorti plus que demandé"),"OK"))))))))))))</f>
        <v/>
      </c>
      <c r="Y112" s="57" t="str">
        <f>IF(AND(OR(A112="BL",A112="BR",A112="BS"),AG112&gt;0,D112&lt;&gt;""),A112&amp;"|"&amp;AG112&amp;"|"&amp;D112&amp;"|"&amp;F112,"")</f>
        <v/>
      </c>
      <c r="Z112" s="57" t="str">
        <f>IF(Y112="","",IF(COUNTIF(Y$6:Y111,Y112)=0,1,0))</f>
        <v/>
      </c>
      <c r="AA112" s="57" t="str">
        <f>IF(Y112="","",IF(Z112=1,COUNTIFS(A$6:A112,A112,Z$6:Z112,1),INDEX(AA$6:AA111,MATCH(Y112,Y$6:Y111,0))))</f>
        <v/>
      </c>
      <c r="AB112" s="57" t="str">
        <f>IF(B112="","",COUNTIF(B$6:B112,B112))</f>
        <v/>
      </c>
      <c r="AC112" s="57" t="str">
        <f>IF(B112="","",B112&amp;"#"&amp;AB112)</f>
        <v/>
      </c>
      <c r="AD112" s="57" t="str">
        <f>IF(Z112=1,A112&amp;AA112,"")</f>
        <v/>
      </c>
      <c r="AE112" s="57" t="str">
        <f>IF(B112="","",YEAR(C112))</f>
        <v/>
      </c>
      <c r="AF112" s="57" t="str">
        <f>IF(B112="","",MONTH(C112))</f>
        <v/>
      </c>
      <c r="AG112" s="57">
        <f>IF(ISNUMBER(C112),C112,0)</f>
        <v>0.0</v>
      </c>
      <c r="AH112" s="57" t="str">
        <f>IF(N(W112)&gt;0,COUNTIF(W$6:W112,"&gt;0"),"")</f>
        <v/>
      </c>
      <c r="AI112" s="57" t="str">
        <f>IF(Z112=1,COUNTIF(Z$6:Z112,1),"")</f>
        <v/>
      </c>
    </row>
    <row r="113">
      <c r="A113" s="54" t="n"/>
      <c r="B113" s="55" t="str">
        <f>IF(AA113="","",A113&amp;"-"&amp;RIGHT("000"&amp;AA113,4))</f>
        <v/>
      </c>
      <c r="C113" s="56" t="n"/>
      <c r="D113" s="54" t="n"/>
      <c r="E113" s="57" t="str">
        <f>IF(D113="","",IF(A113="BL",IFERROR(INDEX(cl_name,MATCH(D113,cl_code,0))&amp;"","Client inconnu"),IF(A113="BR",IFERROR(INDEX(fo_name,MATCH(D113,fo_code,0))&amp;"","Fournisseur inconnu"),IF(A113="BS",IF(ISNA(MATCH(D113,p_services,0)),"Service inconnu",D113&amp;""),""))))</f>
        <v/>
      </c>
      <c r="F113" s="58" t="n"/>
      <c r="G113" s="58" t="n"/>
      <c r="H113" s="59" t="n"/>
      <c r="I113" s="57" t="str">
        <f>IF(H113="","",IFERROR(INDEX(art_des,MATCH(H113,art_ref,0))&amp;"","Article inconnu"))</f>
        <v/>
      </c>
      <c r="J113" s="60" t="str">
        <f>IF(H113="","",IFERROR(INDEX(art_unit,MATCH(H113,art_ref,0))&amp;"",""))</f>
        <v/>
      </c>
      <c r="K113" s="59" t="n"/>
      <c r="L113" s="59" t="n"/>
      <c r="M113" s="61" t="str">
        <f>IF(OR(B113="",NOT(ISNUMBER(K113)),NOT(ISNUMBER(L113))),"",IF(OR(K113&lt;=0,L113&lt;=0),"",ROUND(L113-K113,6)))</f>
        <v/>
      </c>
      <c r="N113" s="58" t="n"/>
      <c r="O113" s="62" t="n"/>
      <c r="P113" s="63" t="str">
        <f>IF(OR(B113="",NOT(ISNUMBER(L113))),"",IF(L113&lt;=0,"",IFERROR(ROUND(L113*N(INDEX(art_w,MATCH(H113,art_ref,0))),3),"")))</f>
        <v/>
      </c>
      <c r="Q113" s="59" t="n"/>
      <c r="R113" s="54" t="n"/>
      <c r="S113" s="59" t="n"/>
      <c r="T113" s="59" t="n"/>
      <c r="U113" s="64" t="str">
        <f>IF(OR(B113="",H113=""),"",IFERROR(IF(A113="BL",IF(N(INDEX(art_price,MATCH(H113,art_ref,0)))=0,"",N(INDEX(art_price,MATCH(H113,art_ref,0)))),IF(N(INDEX(art_cost,MATCH(H113,art_ref,0)))=0,"",N(INDEX(art_cost,MATCH(H113,art_ref,0))))),""))</f>
        <v/>
      </c>
      <c r="V113" s="64" t="str">
        <f>IF(OR(U113="",NOT(ISNUMBER(L113))),"",IF(L113&lt;=0,"",ROUND(L113*U113,2)))</f>
        <v/>
      </c>
      <c r="W113" s="60" t="str">
        <f>IF(AND(B113&lt;&gt;"",A113&lt;&gt;"BS",F113&lt;&gt;"",H113&lt;&gt;"",ISNUMBER(K113),ISNUMBER(L113)),IF(AND(K113&gt;0,L113&gt;0,K113-L113&gt;0,COUNTIFS(A114:A$2005,A113,F114:F$2005,F113,H114:H$2005,H113,AA114:AA$2005,"&gt;0")=0),ROUND(K113-L113,6),""),"")</f>
        <v/>
      </c>
      <c r="X113" s="60" t="str">
        <f>IF(AND(A113="",C113="",D113="",H113="",L113=""),"",IF(A113="","Type manquant",IF(AND(A113&lt;&gt;"BL",A113&lt;&gt;"BR",A113&lt;&gt;"BS"),"Type inconnu (BL, BR ou BS)",IF(AG113=0,"Date manquante ou invalide",IF(D113="",IF(A113="BL","Client manquant",IF(A113="BR","Fournisseur manquant","Service manquant")),IF(IF(A113="BL",ISNA(MATCH(D113,cl_code,0)),IF(A113="BR",ISNA(MATCH(D113,fo_code,0)),ISNA(MATCH(D113,p_services,0)))),IF(A113="BL","Client inconnu",IF(A113="BR","Fournisseur inconnu","Service inconnu")),IF(H113="","Article manquant",IF(ISNA(MATCH(H113,art_ref,0)),"Article inconnu",IF(OR(NOT(ISNUMBER(L113)),N(L113)&lt;=0),"Quantité invalide",IF(AND(K113&lt;&gt;"",OR(NOT(ISNUMBER(K113)),N(K113)&lt;=0)),"Qté commandée invalide",IF(AG113&lt;SUMPRODUCT(MAX((A$6:A112=A113)*AG$6:AG112)),"Date antérieure au bon précédent",IF(AND(A113&lt;&gt;"BR",ISNUMBER(M113),N(M113)&gt;0),IF(A113="BL","Livré plus que commandé","Sorti plus que demandé"),"OK"))))))))))))</f>
        <v/>
      </c>
      <c r="Y113" s="57" t="str">
        <f>IF(AND(OR(A113="BL",A113="BR",A113="BS"),AG113&gt;0,D113&lt;&gt;""),A113&amp;"|"&amp;AG113&amp;"|"&amp;D113&amp;"|"&amp;F113,"")</f>
        <v/>
      </c>
      <c r="Z113" s="57" t="str">
        <f>IF(Y113="","",IF(COUNTIF(Y$6:Y112,Y113)=0,1,0))</f>
        <v/>
      </c>
      <c r="AA113" s="57" t="str">
        <f>IF(Y113="","",IF(Z113=1,COUNTIFS(A$6:A113,A113,Z$6:Z113,1),INDEX(AA$6:AA112,MATCH(Y113,Y$6:Y112,0))))</f>
        <v/>
      </c>
      <c r="AB113" s="57" t="str">
        <f>IF(B113="","",COUNTIF(B$6:B113,B113))</f>
        <v/>
      </c>
      <c r="AC113" s="57" t="str">
        <f>IF(B113="","",B113&amp;"#"&amp;AB113)</f>
        <v/>
      </c>
      <c r="AD113" s="57" t="str">
        <f>IF(Z113=1,A113&amp;AA113,"")</f>
        <v/>
      </c>
      <c r="AE113" s="57" t="str">
        <f>IF(B113="","",YEAR(C113))</f>
        <v/>
      </c>
      <c r="AF113" s="57" t="str">
        <f>IF(B113="","",MONTH(C113))</f>
        <v/>
      </c>
      <c r="AG113" s="57">
        <f>IF(ISNUMBER(C113),C113,0)</f>
        <v>0.0</v>
      </c>
      <c r="AH113" s="57" t="str">
        <f>IF(N(W113)&gt;0,COUNTIF(W$6:W113,"&gt;0"),"")</f>
        <v/>
      </c>
      <c r="AI113" s="57" t="str">
        <f>IF(Z113=1,COUNTIF(Z$6:Z113,1),"")</f>
        <v/>
      </c>
    </row>
    <row r="114">
      <c r="A114" s="54" t="n"/>
      <c r="B114" s="55" t="str">
        <f>IF(AA114="","",A114&amp;"-"&amp;RIGHT("000"&amp;AA114,4))</f>
        <v/>
      </c>
      <c r="C114" s="56" t="n"/>
      <c r="D114" s="54" t="n"/>
      <c r="E114" s="57" t="str">
        <f>IF(D114="","",IF(A114="BL",IFERROR(INDEX(cl_name,MATCH(D114,cl_code,0))&amp;"","Client inconnu"),IF(A114="BR",IFERROR(INDEX(fo_name,MATCH(D114,fo_code,0))&amp;"","Fournisseur inconnu"),IF(A114="BS",IF(ISNA(MATCH(D114,p_services,0)),"Service inconnu",D114&amp;""),""))))</f>
        <v/>
      </c>
      <c r="F114" s="58" t="n"/>
      <c r="G114" s="58" t="n"/>
      <c r="H114" s="59" t="n"/>
      <c r="I114" s="57" t="str">
        <f>IF(H114="","",IFERROR(INDEX(art_des,MATCH(H114,art_ref,0))&amp;"","Article inconnu"))</f>
        <v/>
      </c>
      <c r="J114" s="60" t="str">
        <f>IF(H114="","",IFERROR(INDEX(art_unit,MATCH(H114,art_ref,0))&amp;"",""))</f>
        <v/>
      </c>
      <c r="K114" s="59" t="n"/>
      <c r="L114" s="59" t="n"/>
      <c r="M114" s="61" t="str">
        <f>IF(OR(B114="",NOT(ISNUMBER(K114)),NOT(ISNUMBER(L114))),"",IF(OR(K114&lt;=0,L114&lt;=0),"",ROUND(L114-K114,6)))</f>
        <v/>
      </c>
      <c r="N114" s="58" t="n"/>
      <c r="O114" s="62" t="n"/>
      <c r="P114" s="63" t="str">
        <f>IF(OR(B114="",NOT(ISNUMBER(L114))),"",IF(L114&lt;=0,"",IFERROR(ROUND(L114*N(INDEX(art_w,MATCH(H114,art_ref,0))),3),"")))</f>
        <v/>
      </c>
      <c r="Q114" s="59" t="n"/>
      <c r="R114" s="54" t="n"/>
      <c r="S114" s="59" t="n"/>
      <c r="T114" s="59" t="n"/>
      <c r="U114" s="64" t="str">
        <f>IF(OR(B114="",H114=""),"",IFERROR(IF(A114="BL",IF(N(INDEX(art_price,MATCH(H114,art_ref,0)))=0,"",N(INDEX(art_price,MATCH(H114,art_ref,0)))),IF(N(INDEX(art_cost,MATCH(H114,art_ref,0)))=0,"",N(INDEX(art_cost,MATCH(H114,art_ref,0))))),""))</f>
        <v/>
      </c>
      <c r="V114" s="64" t="str">
        <f>IF(OR(U114="",NOT(ISNUMBER(L114))),"",IF(L114&lt;=0,"",ROUND(L114*U114,2)))</f>
        <v/>
      </c>
      <c r="W114" s="60" t="str">
        <f>IF(AND(B114&lt;&gt;"",A114&lt;&gt;"BS",F114&lt;&gt;"",H114&lt;&gt;"",ISNUMBER(K114),ISNUMBER(L114)),IF(AND(K114&gt;0,L114&gt;0,K114-L114&gt;0,COUNTIFS(A115:A$2005,A114,F115:F$2005,F114,H115:H$2005,H114,AA115:AA$2005,"&gt;0")=0),ROUND(K114-L114,6),""),"")</f>
        <v/>
      </c>
      <c r="X114" s="60" t="str">
        <f>IF(AND(A114="",C114="",D114="",H114="",L114=""),"",IF(A114="","Type manquant",IF(AND(A114&lt;&gt;"BL",A114&lt;&gt;"BR",A114&lt;&gt;"BS"),"Type inconnu (BL, BR ou BS)",IF(AG114=0,"Date manquante ou invalide",IF(D114="",IF(A114="BL","Client manquant",IF(A114="BR","Fournisseur manquant","Service manquant")),IF(IF(A114="BL",ISNA(MATCH(D114,cl_code,0)),IF(A114="BR",ISNA(MATCH(D114,fo_code,0)),ISNA(MATCH(D114,p_services,0)))),IF(A114="BL","Client inconnu",IF(A114="BR","Fournisseur inconnu","Service inconnu")),IF(H114="","Article manquant",IF(ISNA(MATCH(H114,art_ref,0)),"Article inconnu",IF(OR(NOT(ISNUMBER(L114)),N(L114)&lt;=0),"Quantité invalide",IF(AND(K114&lt;&gt;"",OR(NOT(ISNUMBER(K114)),N(K114)&lt;=0)),"Qté commandée invalide",IF(AG114&lt;SUMPRODUCT(MAX((A$6:A113=A114)*AG$6:AG113)),"Date antérieure au bon précédent",IF(AND(A114&lt;&gt;"BR",ISNUMBER(M114),N(M114)&gt;0),IF(A114="BL","Livré plus que commandé","Sorti plus que demandé"),"OK"))))))))))))</f>
        <v/>
      </c>
      <c r="Y114" s="57" t="str">
        <f>IF(AND(OR(A114="BL",A114="BR",A114="BS"),AG114&gt;0,D114&lt;&gt;""),A114&amp;"|"&amp;AG114&amp;"|"&amp;D114&amp;"|"&amp;F114,"")</f>
        <v/>
      </c>
      <c r="Z114" s="57" t="str">
        <f>IF(Y114="","",IF(COUNTIF(Y$6:Y113,Y114)=0,1,0))</f>
        <v/>
      </c>
      <c r="AA114" s="57" t="str">
        <f>IF(Y114="","",IF(Z114=1,COUNTIFS(A$6:A114,A114,Z$6:Z114,1),INDEX(AA$6:AA113,MATCH(Y114,Y$6:Y113,0))))</f>
        <v/>
      </c>
      <c r="AB114" s="57" t="str">
        <f>IF(B114="","",COUNTIF(B$6:B114,B114))</f>
        <v/>
      </c>
      <c r="AC114" s="57" t="str">
        <f>IF(B114="","",B114&amp;"#"&amp;AB114)</f>
        <v/>
      </c>
      <c r="AD114" s="57" t="str">
        <f>IF(Z114=1,A114&amp;AA114,"")</f>
        <v/>
      </c>
      <c r="AE114" s="57" t="str">
        <f>IF(B114="","",YEAR(C114))</f>
        <v/>
      </c>
      <c r="AF114" s="57" t="str">
        <f>IF(B114="","",MONTH(C114))</f>
        <v/>
      </c>
      <c r="AG114" s="57">
        <f>IF(ISNUMBER(C114),C114,0)</f>
        <v>0.0</v>
      </c>
      <c r="AH114" s="57" t="str">
        <f>IF(N(W114)&gt;0,COUNTIF(W$6:W114,"&gt;0"),"")</f>
        <v/>
      </c>
      <c r="AI114" s="57" t="str">
        <f>IF(Z114=1,COUNTIF(Z$6:Z114,1),"")</f>
        <v/>
      </c>
    </row>
    <row r="115">
      <c r="A115" s="54" t="n"/>
      <c r="B115" s="55" t="str">
        <f>IF(AA115="","",A115&amp;"-"&amp;RIGHT("000"&amp;AA115,4))</f>
        <v/>
      </c>
      <c r="C115" s="56" t="n"/>
      <c r="D115" s="54" t="n"/>
      <c r="E115" s="57" t="str">
        <f>IF(D115="","",IF(A115="BL",IFERROR(INDEX(cl_name,MATCH(D115,cl_code,0))&amp;"","Client inconnu"),IF(A115="BR",IFERROR(INDEX(fo_name,MATCH(D115,fo_code,0))&amp;"","Fournisseur inconnu"),IF(A115="BS",IF(ISNA(MATCH(D115,p_services,0)),"Service inconnu",D115&amp;""),""))))</f>
        <v/>
      </c>
      <c r="F115" s="58" t="n"/>
      <c r="G115" s="58" t="n"/>
      <c r="H115" s="59" t="n"/>
      <c r="I115" s="57" t="str">
        <f>IF(H115="","",IFERROR(INDEX(art_des,MATCH(H115,art_ref,0))&amp;"","Article inconnu"))</f>
        <v/>
      </c>
      <c r="J115" s="60" t="str">
        <f>IF(H115="","",IFERROR(INDEX(art_unit,MATCH(H115,art_ref,0))&amp;"",""))</f>
        <v/>
      </c>
      <c r="K115" s="59" t="n"/>
      <c r="L115" s="59" t="n"/>
      <c r="M115" s="61" t="str">
        <f>IF(OR(B115="",NOT(ISNUMBER(K115)),NOT(ISNUMBER(L115))),"",IF(OR(K115&lt;=0,L115&lt;=0),"",ROUND(L115-K115,6)))</f>
        <v/>
      </c>
      <c r="N115" s="58" t="n"/>
      <c r="O115" s="62" t="n"/>
      <c r="P115" s="63" t="str">
        <f>IF(OR(B115="",NOT(ISNUMBER(L115))),"",IF(L115&lt;=0,"",IFERROR(ROUND(L115*N(INDEX(art_w,MATCH(H115,art_ref,0))),3),"")))</f>
        <v/>
      </c>
      <c r="Q115" s="59" t="n"/>
      <c r="R115" s="54" t="n"/>
      <c r="S115" s="59" t="n"/>
      <c r="T115" s="59" t="n"/>
      <c r="U115" s="64" t="str">
        <f>IF(OR(B115="",H115=""),"",IFERROR(IF(A115="BL",IF(N(INDEX(art_price,MATCH(H115,art_ref,0)))=0,"",N(INDEX(art_price,MATCH(H115,art_ref,0)))),IF(N(INDEX(art_cost,MATCH(H115,art_ref,0)))=0,"",N(INDEX(art_cost,MATCH(H115,art_ref,0))))),""))</f>
        <v/>
      </c>
      <c r="V115" s="64" t="str">
        <f>IF(OR(U115="",NOT(ISNUMBER(L115))),"",IF(L115&lt;=0,"",ROUND(L115*U115,2)))</f>
        <v/>
      </c>
      <c r="W115" s="60" t="str">
        <f>IF(AND(B115&lt;&gt;"",A115&lt;&gt;"BS",F115&lt;&gt;"",H115&lt;&gt;"",ISNUMBER(K115),ISNUMBER(L115)),IF(AND(K115&gt;0,L115&gt;0,K115-L115&gt;0,COUNTIFS(A116:A$2005,A115,F116:F$2005,F115,H116:H$2005,H115,AA116:AA$2005,"&gt;0")=0),ROUND(K115-L115,6),""),"")</f>
        <v/>
      </c>
      <c r="X115" s="60" t="str">
        <f>IF(AND(A115="",C115="",D115="",H115="",L115=""),"",IF(A115="","Type manquant",IF(AND(A115&lt;&gt;"BL",A115&lt;&gt;"BR",A115&lt;&gt;"BS"),"Type inconnu (BL, BR ou BS)",IF(AG115=0,"Date manquante ou invalide",IF(D115="",IF(A115="BL","Client manquant",IF(A115="BR","Fournisseur manquant","Service manquant")),IF(IF(A115="BL",ISNA(MATCH(D115,cl_code,0)),IF(A115="BR",ISNA(MATCH(D115,fo_code,0)),ISNA(MATCH(D115,p_services,0)))),IF(A115="BL","Client inconnu",IF(A115="BR","Fournisseur inconnu","Service inconnu")),IF(H115="","Article manquant",IF(ISNA(MATCH(H115,art_ref,0)),"Article inconnu",IF(OR(NOT(ISNUMBER(L115)),N(L115)&lt;=0),"Quantité invalide",IF(AND(K115&lt;&gt;"",OR(NOT(ISNUMBER(K115)),N(K115)&lt;=0)),"Qté commandée invalide",IF(AG115&lt;SUMPRODUCT(MAX((A$6:A114=A115)*AG$6:AG114)),"Date antérieure au bon précédent",IF(AND(A115&lt;&gt;"BR",ISNUMBER(M115),N(M115)&gt;0),IF(A115="BL","Livré plus que commandé","Sorti plus que demandé"),"OK"))))))))))))</f>
        <v/>
      </c>
      <c r="Y115" s="57" t="str">
        <f>IF(AND(OR(A115="BL",A115="BR",A115="BS"),AG115&gt;0,D115&lt;&gt;""),A115&amp;"|"&amp;AG115&amp;"|"&amp;D115&amp;"|"&amp;F115,"")</f>
        <v/>
      </c>
      <c r="Z115" s="57" t="str">
        <f>IF(Y115="","",IF(COUNTIF(Y$6:Y114,Y115)=0,1,0))</f>
        <v/>
      </c>
      <c r="AA115" s="57" t="str">
        <f>IF(Y115="","",IF(Z115=1,COUNTIFS(A$6:A115,A115,Z$6:Z115,1),INDEX(AA$6:AA114,MATCH(Y115,Y$6:Y114,0))))</f>
        <v/>
      </c>
      <c r="AB115" s="57" t="str">
        <f>IF(B115="","",COUNTIF(B$6:B115,B115))</f>
        <v/>
      </c>
      <c r="AC115" s="57" t="str">
        <f>IF(B115="","",B115&amp;"#"&amp;AB115)</f>
        <v/>
      </c>
      <c r="AD115" s="57" t="str">
        <f>IF(Z115=1,A115&amp;AA115,"")</f>
        <v/>
      </c>
      <c r="AE115" s="57" t="str">
        <f>IF(B115="","",YEAR(C115))</f>
        <v/>
      </c>
      <c r="AF115" s="57" t="str">
        <f>IF(B115="","",MONTH(C115))</f>
        <v/>
      </c>
      <c r="AG115" s="57">
        <f>IF(ISNUMBER(C115),C115,0)</f>
        <v>0.0</v>
      </c>
      <c r="AH115" s="57" t="str">
        <f>IF(N(W115)&gt;0,COUNTIF(W$6:W115,"&gt;0"),"")</f>
        <v/>
      </c>
      <c r="AI115" s="57" t="str">
        <f>IF(Z115=1,COUNTIF(Z$6:Z115,1),"")</f>
        <v/>
      </c>
    </row>
    <row r="116">
      <c r="A116" s="54" t="n"/>
      <c r="B116" s="55" t="str">
        <f>IF(AA116="","",A116&amp;"-"&amp;RIGHT("000"&amp;AA116,4))</f>
        <v/>
      </c>
      <c r="C116" s="56" t="n"/>
      <c r="D116" s="54" t="n"/>
      <c r="E116" s="57" t="str">
        <f>IF(D116="","",IF(A116="BL",IFERROR(INDEX(cl_name,MATCH(D116,cl_code,0))&amp;"","Client inconnu"),IF(A116="BR",IFERROR(INDEX(fo_name,MATCH(D116,fo_code,0))&amp;"","Fournisseur inconnu"),IF(A116="BS",IF(ISNA(MATCH(D116,p_services,0)),"Service inconnu",D116&amp;""),""))))</f>
        <v/>
      </c>
      <c r="F116" s="58" t="n"/>
      <c r="G116" s="58" t="n"/>
      <c r="H116" s="59" t="n"/>
      <c r="I116" s="57" t="str">
        <f>IF(H116="","",IFERROR(INDEX(art_des,MATCH(H116,art_ref,0))&amp;"","Article inconnu"))</f>
        <v/>
      </c>
      <c r="J116" s="60" t="str">
        <f>IF(H116="","",IFERROR(INDEX(art_unit,MATCH(H116,art_ref,0))&amp;"",""))</f>
        <v/>
      </c>
      <c r="K116" s="59" t="n"/>
      <c r="L116" s="59" t="n"/>
      <c r="M116" s="61" t="str">
        <f>IF(OR(B116="",NOT(ISNUMBER(K116)),NOT(ISNUMBER(L116))),"",IF(OR(K116&lt;=0,L116&lt;=0),"",ROUND(L116-K116,6)))</f>
        <v/>
      </c>
      <c r="N116" s="58" t="n"/>
      <c r="O116" s="62" t="n"/>
      <c r="P116" s="63" t="str">
        <f>IF(OR(B116="",NOT(ISNUMBER(L116))),"",IF(L116&lt;=0,"",IFERROR(ROUND(L116*N(INDEX(art_w,MATCH(H116,art_ref,0))),3),"")))</f>
        <v/>
      </c>
      <c r="Q116" s="59" t="n"/>
      <c r="R116" s="54" t="n"/>
      <c r="S116" s="59" t="n"/>
      <c r="T116" s="59" t="n"/>
      <c r="U116" s="64" t="str">
        <f>IF(OR(B116="",H116=""),"",IFERROR(IF(A116="BL",IF(N(INDEX(art_price,MATCH(H116,art_ref,0)))=0,"",N(INDEX(art_price,MATCH(H116,art_ref,0)))),IF(N(INDEX(art_cost,MATCH(H116,art_ref,0)))=0,"",N(INDEX(art_cost,MATCH(H116,art_ref,0))))),""))</f>
        <v/>
      </c>
      <c r="V116" s="64" t="str">
        <f>IF(OR(U116="",NOT(ISNUMBER(L116))),"",IF(L116&lt;=0,"",ROUND(L116*U116,2)))</f>
        <v/>
      </c>
      <c r="W116" s="60" t="str">
        <f>IF(AND(B116&lt;&gt;"",A116&lt;&gt;"BS",F116&lt;&gt;"",H116&lt;&gt;"",ISNUMBER(K116),ISNUMBER(L116)),IF(AND(K116&gt;0,L116&gt;0,K116-L116&gt;0,COUNTIFS(A117:A$2005,A116,F117:F$2005,F116,H117:H$2005,H116,AA117:AA$2005,"&gt;0")=0),ROUND(K116-L116,6),""),"")</f>
        <v/>
      </c>
      <c r="X116" s="60" t="str">
        <f>IF(AND(A116="",C116="",D116="",H116="",L116=""),"",IF(A116="","Type manquant",IF(AND(A116&lt;&gt;"BL",A116&lt;&gt;"BR",A116&lt;&gt;"BS"),"Type inconnu (BL, BR ou BS)",IF(AG116=0,"Date manquante ou invalide",IF(D116="",IF(A116="BL","Client manquant",IF(A116="BR","Fournisseur manquant","Service manquant")),IF(IF(A116="BL",ISNA(MATCH(D116,cl_code,0)),IF(A116="BR",ISNA(MATCH(D116,fo_code,0)),ISNA(MATCH(D116,p_services,0)))),IF(A116="BL","Client inconnu",IF(A116="BR","Fournisseur inconnu","Service inconnu")),IF(H116="","Article manquant",IF(ISNA(MATCH(H116,art_ref,0)),"Article inconnu",IF(OR(NOT(ISNUMBER(L116)),N(L116)&lt;=0),"Quantité invalide",IF(AND(K116&lt;&gt;"",OR(NOT(ISNUMBER(K116)),N(K116)&lt;=0)),"Qté commandée invalide",IF(AG116&lt;SUMPRODUCT(MAX((A$6:A115=A116)*AG$6:AG115)),"Date antérieure au bon précédent",IF(AND(A116&lt;&gt;"BR",ISNUMBER(M116),N(M116)&gt;0),IF(A116="BL","Livré plus que commandé","Sorti plus que demandé"),"OK"))))))))))))</f>
        <v/>
      </c>
      <c r="Y116" s="57" t="str">
        <f>IF(AND(OR(A116="BL",A116="BR",A116="BS"),AG116&gt;0,D116&lt;&gt;""),A116&amp;"|"&amp;AG116&amp;"|"&amp;D116&amp;"|"&amp;F116,"")</f>
        <v/>
      </c>
      <c r="Z116" s="57" t="str">
        <f>IF(Y116="","",IF(COUNTIF(Y$6:Y115,Y116)=0,1,0))</f>
        <v/>
      </c>
      <c r="AA116" s="57" t="str">
        <f>IF(Y116="","",IF(Z116=1,COUNTIFS(A$6:A116,A116,Z$6:Z116,1),INDEX(AA$6:AA115,MATCH(Y116,Y$6:Y115,0))))</f>
        <v/>
      </c>
      <c r="AB116" s="57" t="str">
        <f>IF(B116="","",COUNTIF(B$6:B116,B116))</f>
        <v/>
      </c>
      <c r="AC116" s="57" t="str">
        <f>IF(B116="","",B116&amp;"#"&amp;AB116)</f>
        <v/>
      </c>
      <c r="AD116" s="57" t="str">
        <f>IF(Z116=1,A116&amp;AA116,"")</f>
        <v/>
      </c>
      <c r="AE116" s="57" t="str">
        <f>IF(B116="","",YEAR(C116))</f>
        <v/>
      </c>
      <c r="AF116" s="57" t="str">
        <f>IF(B116="","",MONTH(C116))</f>
        <v/>
      </c>
      <c r="AG116" s="57">
        <f>IF(ISNUMBER(C116),C116,0)</f>
        <v>0.0</v>
      </c>
      <c r="AH116" s="57" t="str">
        <f>IF(N(W116)&gt;0,COUNTIF(W$6:W116,"&gt;0"),"")</f>
        <v/>
      </c>
      <c r="AI116" s="57" t="str">
        <f>IF(Z116=1,COUNTIF(Z$6:Z116,1),"")</f>
        <v/>
      </c>
    </row>
    <row r="117">
      <c r="A117" s="54" t="n"/>
      <c r="B117" s="55" t="str">
        <f>IF(AA117="","",A117&amp;"-"&amp;RIGHT("000"&amp;AA117,4))</f>
        <v/>
      </c>
      <c r="C117" s="56" t="n"/>
      <c r="D117" s="54" t="n"/>
      <c r="E117" s="57" t="str">
        <f>IF(D117="","",IF(A117="BL",IFERROR(INDEX(cl_name,MATCH(D117,cl_code,0))&amp;"","Client inconnu"),IF(A117="BR",IFERROR(INDEX(fo_name,MATCH(D117,fo_code,0))&amp;"","Fournisseur inconnu"),IF(A117="BS",IF(ISNA(MATCH(D117,p_services,0)),"Service inconnu",D117&amp;""),""))))</f>
        <v/>
      </c>
      <c r="F117" s="58" t="n"/>
      <c r="G117" s="58" t="n"/>
      <c r="H117" s="59" t="n"/>
      <c r="I117" s="57" t="str">
        <f>IF(H117="","",IFERROR(INDEX(art_des,MATCH(H117,art_ref,0))&amp;"","Article inconnu"))</f>
        <v/>
      </c>
      <c r="J117" s="60" t="str">
        <f>IF(H117="","",IFERROR(INDEX(art_unit,MATCH(H117,art_ref,0))&amp;"",""))</f>
        <v/>
      </c>
      <c r="K117" s="59" t="n"/>
      <c r="L117" s="59" t="n"/>
      <c r="M117" s="61" t="str">
        <f>IF(OR(B117="",NOT(ISNUMBER(K117)),NOT(ISNUMBER(L117))),"",IF(OR(K117&lt;=0,L117&lt;=0),"",ROUND(L117-K117,6)))</f>
        <v/>
      </c>
      <c r="N117" s="58" t="n"/>
      <c r="O117" s="62" t="n"/>
      <c r="P117" s="63" t="str">
        <f>IF(OR(B117="",NOT(ISNUMBER(L117))),"",IF(L117&lt;=0,"",IFERROR(ROUND(L117*N(INDEX(art_w,MATCH(H117,art_ref,0))),3),"")))</f>
        <v/>
      </c>
      <c r="Q117" s="59" t="n"/>
      <c r="R117" s="54" t="n"/>
      <c r="S117" s="59" t="n"/>
      <c r="T117" s="59" t="n"/>
      <c r="U117" s="64" t="str">
        <f>IF(OR(B117="",H117=""),"",IFERROR(IF(A117="BL",IF(N(INDEX(art_price,MATCH(H117,art_ref,0)))=0,"",N(INDEX(art_price,MATCH(H117,art_ref,0)))),IF(N(INDEX(art_cost,MATCH(H117,art_ref,0)))=0,"",N(INDEX(art_cost,MATCH(H117,art_ref,0))))),""))</f>
        <v/>
      </c>
      <c r="V117" s="64" t="str">
        <f>IF(OR(U117="",NOT(ISNUMBER(L117))),"",IF(L117&lt;=0,"",ROUND(L117*U117,2)))</f>
        <v/>
      </c>
      <c r="W117" s="60" t="str">
        <f>IF(AND(B117&lt;&gt;"",A117&lt;&gt;"BS",F117&lt;&gt;"",H117&lt;&gt;"",ISNUMBER(K117),ISNUMBER(L117)),IF(AND(K117&gt;0,L117&gt;0,K117-L117&gt;0,COUNTIFS(A118:A$2005,A117,F118:F$2005,F117,H118:H$2005,H117,AA118:AA$2005,"&gt;0")=0),ROUND(K117-L117,6),""),"")</f>
        <v/>
      </c>
      <c r="X117" s="60" t="str">
        <f>IF(AND(A117="",C117="",D117="",H117="",L117=""),"",IF(A117="","Type manquant",IF(AND(A117&lt;&gt;"BL",A117&lt;&gt;"BR",A117&lt;&gt;"BS"),"Type inconnu (BL, BR ou BS)",IF(AG117=0,"Date manquante ou invalide",IF(D117="",IF(A117="BL","Client manquant",IF(A117="BR","Fournisseur manquant","Service manquant")),IF(IF(A117="BL",ISNA(MATCH(D117,cl_code,0)),IF(A117="BR",ISNA(MATCH(D117,fo_code,0)),ISNA(MATCH(D117,p_services,0)))),IF(A117="BL","Client inconnu",IF(A117="BR","Fournisseur inconnu","Service inconnu")),IF(H117="","Article manquant",IF(ISNA(MATCH(H117,art_ref,0)),"Article inconnu",IF(OR(NOT(ISNUMBER(L117)),N(L117)&lt;=0),"Quantité invalide",IF(AND(K117&lt;&gt;"",OR(NOT(ISNUMBER(K117)),N(K117)&lt;=0)),"Qté commandée invalide",IF(AG117&lt;SUMPRODUCT(MAX((A$6:A116=A117)*AG$6:AG116)),"Date antérieure au bon précédent",IF(AND(A117&lt;&gt;"BR",ISNUMBER(M117),N(M117)&gt;0),IF(A117="BL","Livré plus que commandé","Sorti plus que demandé"),"OK"))))))))))))</f>
        <v/>
      </c>
      <c r="Y117" s="57" t="str">
        <f>IF(AND(OR(A117="BL",A117="BR",A117="BS"),AG117&gt;0,D117&lt;&gt;""),A117&amp;"|"&amp;AG117&amp;"|"&amp;D117&amp;"|"&amp;F117,"")</f>
        <v/>
      </c>
      <c r="Z117" s="57" t="str">
        <f>IF(Y117="","",IF(COUNTIF(Y$6:Y116,Y117)=0,1,0))</f>
        <v/>
      </c>
      <c r="AA117" s="57" t="str">
        <f>IF(Y117="","",IF(Z117=1,COUNTIFS(A$6:A117,A117,Z$6:Z117,1),INDEX(AA$6:AA116,MATCH(Y117,Y$6:Y116,0))))</f>
        <v/>
      </c>
      <c r="AB117" s="57" t="str">
        <f>IF(B117="","",COUNTIF(B$6:B117,B117))</f>
        <v/>
      </c>
      <c r="AC117" s="57" t="str">
        <f>IF(B117="","",B117&amp;"#"&amp;AB117)</f>
        <v/>
      </c>
      <c r="AD117" s="57" t="str">
        <f>IF(Z117=1,A117&amp;AA117,"")</f>
        <v/>
      </c>
      <c r="AE117" s="57" t="str">
        <f>IF(B117="","",YEAR(C117))</f>
        <v/>
      </c>
      <c r="AF117" s="57" t="str">
        <f>IF(B117="","",MONTH(C117))</f>
        <v/>
      </c>
      <c r="AG117" s="57">
        <f>IF(ISNUMBER(C117),C117,0)</f>
        <v>0.0</v>
      </c>
      <c r="AH117" s="57" t="str">
        <f>IF(N(W117)&gt;0,COUNTIF(W$6:W117,"&gt;0"),"")</f>
        <v/>
      </c>
      <c r="AI117" s="57" t="str">
        <f>IF(Z117=1,COUNTIF(Z$6:Z117,1),"")</f>
        <v/>
      </c>
    </row>
    <row r="118">
      <c r="A118" s="54" t="n"/>
      <c r="B118" s="55" t="str">
        <f>IF(AA118="","",A118&amp;"-"&amp;RIGHT("000"&amp;AA118,4))</f>
        <v/>
      </c>
      <c r="C118" s="56" t="n"/>
      <c r="D118" s="54" t="n"/>
      <c r="E118" s="57" t="str">
        <f>IF(D118="","",IF(A118="BL",IFERROR(INDEX(cl_name,MATCH(D118,cl_code,0))&amp;"","Client inconnu"),IF(A118="BR",IFERROR(INDEX(fo_name,MATCH(D118,fo_code,0))&amp;"","Fournisseur inconnu"),IF(A118="BS",IF(ISNA(MATCH(D118,p_services,0)),"Service inconnu",D118&amp;""),""))))</f>
        <v/>
      </c>
      <c r="F118" s="58" t="n"/>
      <c r="G118" s="58" t="n"/>
      <c r="H118" s="59" t="n"/>
      <c r="I118" s="57" t="str">
        <f>IF(H118="","",IFERROR(INDEX(art_des,MATCH(H118,art_ref,0))&amp;"","Article inconnu"))</f>
        <v/>
      </c>
      <c r="J118" s="60" t="str">
        <f>IF(H118="","",IFERROR(INDEX(art_unit,MATCH(H118,art_ref,0))&amp;"",""))</f>
        <v/>
      </c>
      <c r="K118" s="59" t="n"/>
      <c r="L118" s="59" t="n"/>
      <c r="M118" s="61" t="str">
        <f>IF(OR(B118="",NOT(ISNUMBER(K118)),NOT(ISNUMBER(L118))),"",IF(OR(K118&lt;=0,L118&lt;=0),"",ROUND(L118-K118,6)))</f>
        <v/>
      </c>
      <c r="N118" s="58" t="n"/>
      <c r="O118" s="62" t="n"/>
      <c r="P118" s="63" t="str">
        <f>IF(OR(B118="",NOT(ISNUMBER(L118))),"",IF(L118&lt;=0,"",IFERROR(ROUND(L118*N(INDEX(art_w,MATCH(H118,art_ref,0))),3),"")))</f>
        <v/>
      </c>
      <c r="Q118" s="59" t="n"/>
      <c r="R118" s="54" t="n"/>
      <c r="S118" s="59" t="n"/>
      <c r="T118" s="59" t="n"/>
      <c r="U118" s="64" t="str">
        <f>IF(OR(B118="",H118=""),"",IFERROR(IF(A118="BL",IF(N(INDEX(art_price,MATCH(H118,art_ref,0)))=0,"",N(INDEX(art_price,MATCH(H118,art_ref,0)))),IF(N(INDEX(art_cost,MATCH(H118,art_ref,0)))=0,"",N(INDEX(art_cost,MATCH(H118,art_ref,0))))),""))</f>
        <v/>
      </c>
      <c r="V118" s="64" t="str">
        <f>IF(OR(U118="",NOT(ISNUMBER(L118))),"",IF(L118&lt;=0,"",ROUND(L118*U118,2)))</f>
        <v/>
      </c>
      <c r="W118" s="60" t="str">
        <f>IF(AND(B118&lt;&gt;"",A118&lt;&gt;"BS",F118&lt;&gt;"",H118&lt;&gt;"",ISNUMBER(K118),ISNUMBER(L118)),IF(AND(K118&gt;0,L118&gt;0,K118-L118&gt;0,COUNTIFS(A119:A$2005,A118,F119:F$2005,F118,H119:H$2005,H118,AA119:AA$2005,"&gt;0")=0),ROUND(K118-L118,6),""),"")</f>
        <v/>
      </c>
      <c r="X118" s="60" t="str">
        <f>IF(AND(A118="",C118="",D118="",H118="",L118=""),"",IF(A118="","Type manquant",IF(AND(A118&lt;&gt;"BL",A118&lt;&gt;"BR",A118&lt;&gt;"BS"),"Type inconnu (BL, BR ou BS)",IF(AG118=0,"Date manquante ou invalide",IF(D118="",IF(A118="BL","Client manquant",IF(A118="BR","Fournisseur manquant","Service manquant")),IF(IF(A118="BL",ISNA(MATCH(D118,cl_code,0)),IF(A118="BR",ISNA(MATCH(D118,fo_code,0)),ISNA(MATCH(D118,p_services,0)))),IF(A118="BL","Client inconnu",IF(A118="BR","Fournisseur inconnu","Service inconnu")),IF(H118="","Article manquant",IF(ISNA(MATCH(H118,art_ref,0)),"Article inconnu",IF(OR(NOT(ISNUMBER(L118)),N(L118)&lt;=0),"Quantité invalide",IF(AND(K118&lt;&gt;"",OR(NOT(ISNUMBER(K118)),N(K118)&lt;=0)),"Qté commandée invalide",IF(AG118&lt;SUMPRODUCT(MAX((A$6:A117=A118)*AG$6:AG117)),"Date antérieure au bon précédent",IF(AND(A118&lt;&gt;"BR",ISNUMBER(M118),N(M118)&gt;0),IF(A118="BL","Livré plus que commandé","Sorti plus que demandé"),"OK"))))))))))))</f>
        <v/>
      </c>
      <c r="Y118" s="57" t="str">
        <f>IF(AND(OR(A118="BL",A118="BR",A118="BS"),AG118&gt;0,D118&lt;&gt;""),A118&amp;"|"&amp;AG118&amp;"|"&amp;D118&amp;"|"&amp;F118,"")</f>
        <v/>
      </c>
      <c r="Z118" s="57" t="str">
        <f>IF(Y118="","",IF(COUNTIF(Y$6:Y117,Y118)=0,1,0))</f>
        <v/>
      </c>
      <c r="AA118" s="57" t="str">
        <f>IF(Y118="","",IF(Z118=1,COUNTIFS(A$6:A118,A118,Z$6:Z118,1),INDEX(AA$6:AA117,MATCH(Y118,Y$6:Y117,0))))</f>
        <v/>
      </c>
      <c r="AB118" s="57" t="str">
        <f>IF(B118="","",COUNTIF(B$6:B118,B118))</f>
        <v/>
      </c>
      <c r="AC118" s="57" t="str">
        <f>IF(B118="","",B118&amp;"#"&amp;AB118)</f>
        <v/>
      </c>
      <c r="AD118" s="57" t="str">
        <f>IF(Z118=1,A118&amp;AA118,"")</f>
        <v/>
      </c>
      <c r="AE118" s="57" t="str">
        <f>IF(B118="","",YEAR(C118))</f>
        <v/>
      </c>
      <c r="AF118" s="57" t="str">
        <f>IF(B118="","",MONTH(C118))</f>
        <v/>
      </c>
      <c r="AG118" s="57">
        <f>IF(ISNUMBER(C118),C118,0)</f>
        <v>0.0</v>
      </c>
      <c r="AH118" s="57" t="str">
        <f>IF(N(W118)&gt;0,COUNTIF(W$6:W118,"&gt;0"),"")</f>
        <v/>
      </c>
      <c r="AI118" s="57" t="str">
        <f>IF(Z118=1,COUNTIF(Z$6:Z118,1),"")</f>
        <v/>
      </c>
    </row>
    <row r="119">
      <c r="A119" s="54" t="n"/>
      <c r="B119" s="55" t="str">
        <f>IF(AA119="","",A119&amp;"-"&amp;RIGHT("000"&amp;AA119,4))</f>
        <v/>
      </c>
      <c r="C119" s="56" t="n"/>
      <c r="D119" s="54" t="n"/>
      <c r="E119" s="57" t="str">
        <f>IF(D119="","",IF(A119="BL",IFERROR(INDEX(cl_name,MATCH(D119,cl_code,0))&amp;"","Client inconnu"),IF(A119="BR",IFERROR(INDEX(fo_name,MATCH(D119,fo_code,0))&amp;"","Fournisseur inconnu"),IF(A119="BS",IF(ISNA(MATCH(D119,p_services,0)),"Service inconnu",D119&amp;""),""))))</f>
        <v/>
      </c>
      <c r="F119" s="58" t="n"/>
      <c r="G119" s="58" t="n"/>
      <c r="H119" s="59" t="n"/>
      <c r="I119" s="57" t="str">
        <f>IF(H119="","",IFERROR(INDEX(art_des,MATCH(H119,art_ref,0))&amp;"","Article inconnu"))</f>
        <v/>
      </c>
      <c r="J119" s="60" t="str">
        <f>IF(H119="","",IFERROR(INDEX(art_unit,MATCH(H119,art_ref,0))&amp;"",""))</f>
        <v/>
      </c>
      <c r="K119" s="59" t="n"/>
      <c r="L119" s="59" t="n"/>
      <c r="M119" s="61" t="str">
        <f>IF(OR(B119="",NOT(ISNUMBER(K119)),NOT(ISNUMBER(L119))),"",IF(OR(K119&lt;=0,L119&lt;=0),"",ROUND(L119-K119,6)))</f>
        <v/>
      </c>
      <c r="N119" s="58" t="n"/>
      <c r="O119" s="62" t="n"/>
      <c r="P119" s="63" t="str">
        <f>IF(OR(B119="",NOT(ISNUMBER(L119))),"",IF(L119&lt;=0,"",IFERROR(ROUND(L119*N(INDEX(art_w,MATCH(H119,art_ref,0))),3),"")))</f>
        <v/>
      </c>
      <c r="Q119" s="59" t="n"/>
      <c r="R119" s="54" t="n"/>
      <c r="S119" s="59" t="n"/>
      <c r="T119" s="59" t="n"/>
      <c r="U119" s="64" t="str">
        <f>IF(OR(B119="",H119=""),"",IFERROR(IF(A119="BL",IF(N(INDEX(art_price,MATCH(H119,art_ref,0)))=0,"",N(INDEX(art_price,MATCH(H119,art_ref,0)))),IF(N(INDEX(art_cost,MATCH(H119,art_ref,0)))=0,"",N(INDEX(art_cost,MATCH(H119,art_ref,0))))),""))</f>
        <v/>
      </c>
      <c r="V119" s="64" t="str">
        <f>IF(OR(U119="",NOT(ISNUMBER(L119))),"",IF(L119&lt;=0,"",ROUND(L119*U119,2)))</f>
        <v/>
      </c>
      <c r="W119" s="60" t="str">
        <f>IF(AND(B119&lt;&gt;"",A119&lt;&gt;"BS",F119&lt;&gt;"",H119&lt;&gt;"",ISNUMBER(K119),ISNUMBER(L119)),IF(AND(K119&gt;0,L119&gt;0,K119-L119&gt;0,COUNTIFS(A120:A$2005,A119,F120:F$2005,F119,H120:H$2005,H119,AA120:AA$2005,"&gt;0")=0),ROUND(K119-L119,6),""),"")</f>
        <v/>
      </c>
      <c r="X119" s="60" t="str">
        <f>IF(AND(A119="",C119="",D119="",H119="",L119=""),"",IF(A119="","Type manquant",IF(AND(A119&lt;&gt;"BL",A119&lt;&gt;"BR",A119&lt;&gt;"BS"),"Type inconnu (BL, BR ou BS)",IF(AG119=0,"Date manquante ou invalide",IF(D119="",IF(A119="BL","Client manquant",IF(A119="BR","Fournisseur manquant","Service manquant")),IF(IF(A119="BL",ISNA(MATCH(D119,cl_code,0)),IF(A119="BR",ISNA(MATCH(D119,fo_code,0)),ISNA(MATCH(D119,p_services,0)))),IF(A119="BL","Client inconnu",IF(A119="BR","Fournisseur inconnu","Service inconnu")),IF(H119="","Article manquant",IF(ISNA(MATCH(H119,art_ref,0)),"Article inconnu",IF(OR(NOT(ISNUMBER(L119)),N(L119)&lt;=0),"Quantité invalide",IF(AND(K119&lt;&gt;"",OR(NOT(ISNUMBER(K119)),N(K119)&lt;=0)),"Qté commandée invalide",IF(AG119&lt;SUMPRODUCT(MAX((A$6:A118=A119)*AG$6:AG118)),"Date antérieure au bon précédent",IF(AND(A119&lt;&gt;"BR",ISNUMBER(M119),N(M119)&gt;0),IF(A119="BL","Livré plus que commandé","Sorti plus que demandé"),"OK"))))))))))))</f>
        <v/>
      </c>
      <c r="Y119" s="57" t="str">
        <f>IF(AND(OR(A119="BL",A119="BR",A119="BS"),AG119&gt;0,D119&lt;&gt;""),A119&amp;"|"&amp;AG119&amp;"|"&amp;D119&amp;"|"&amp;F119,"")</f>
        <v/>
      </c>
      <c r="Z119" s="57" t="str">
        <f>IF(Y119="","",IF(COUNTIF(Y$6:Y118,Y119)=0,1,0))</f>
        <v/>
      </c>
      <c r="AA119" s="57" t="str">
        <f>IF(Y119="","",IF(Z119=1,COUNTIFS(A$6:A119,A119,Z$6:Z119,1),INDEX(AA$6:AA118,MATCH(Y119,Y$6:Y118,0))))</f>
        <v/>
      </c>
      <c r="AB119" s="57" t="str">
        <f>IF(B119="","",COUNTIF(B$6:B119,B119))</f>
        <v/>
      </c>
      <c r="AC119" s="57" t="str">
        <f>IF(B119="","",B119&amp;"#"&amp;AB119)</f>
        <v/>
      </c>
      <c r="AD119" s="57" t="str">
        <f>IF(Z119=1,A119&amp;AA119,"")</f>
        <v/>
      </c>
      <c r="AE119" s="57" t="str">
        <f>IF(B119="","",YEAR(C119))</f>
        <v/>
      </c>
      <c r="AF119" s="57" t="str">
        <f>IF(B119="","",MONTH(C119))</f>
        <v/>
      </c>
      <c r="AG119" s="57">
        <f>IF(ISNUMBER(C119),C119,0)</f>
        <v>0.0</v>
      </c>
      <c r="AH119" s="57" t="str">
        <f>IF(N(W119)&gt;0,COUNTIF(W$6:W119,"&gt;0"),"")</f>
        <v/>
      </c>
      <c r="AI119" s="57" t="str">
        <f>IF(Z119=1,COUNTIF(Z$6:Z119,1),"")</f>
        <v/>
      </c>
    </row>
    <row r="120">
      <c r="A120" s="54" t="n"/>
      <c r="B120" s="55" t="str">
        <f>IF(AA120="","",A120&amp;"-"&amp;RIGHT("000"&amp;AA120,4))</f>
        <v/>
      </c>
      <c r="C120" s="56" t="n"/>
      <c r="D120" s="54" t="n"/>
      <c r="E120" s="57" t="str">
        <f>IF(D120="","",IF(A120="BL",IFERROR(INDEX(cl_name,MATCH(D120,cl_code,0))&amp;"","Client inconnu"),IF(A120="BR",IFERROR(INDEX(fo_name,MATCH(D120,fo_code,0))&amp;"","Fournisseur inconnu"),IF(A120="BS",IF(ISNA(MATCH(D120,p_services,0)),"Service inconnu",D120&amp;""),""))))</f>
        <v/>
      </c>
      <c r="F120" s="58" t="n"/>
      <c r="G120" s="58" t="n"/>
      <c r="H120" s="59" t="n"/>
      <c r="I120" s="57" t="str">
        <f>IF(H120="","",IFERROR(INDEX(art_des,MATCH(H120,art_ref,0))&amp;"","Article inconnu"))</f>
        <v/>
      </c>
      <c r="J120" s="60" t="str">
        <f>IF(H120="","",IFERROR(INDEX(art_unit,MATCH(H120,art_ref,0))&amp;"",""))</f>
        <v/>
      </c>
      <c r="K120" s="59" t="n"/>
      <c r="L120" s="59" t="n"/>
      <c r="M120" s="61" t="str">
        <f>IF(OR(B120="",NOT(ISNUMBER(K120)),NOT(ISNUMBER(L120))),"",IF(OR(K120&lt;=0,L120&lt;=0),"",ROUND(L120-K120,6)))</f>
        <v/>
      </c>
      <c r="N120" s="58" t="n"/>
      <c r="O120" s="62" t="n"/>
      <c r="P120" s="63" t="str">
        <f>IF(OR(B120="",NOT(ISNUMBER(L120))),"",IF(L120&lt;=0,"",IFERROR(ROUND(L120*N(INDEX(art_w,MATCH(H120,art_ref,0))),3),"")))</f>
        <v/>
      </c>
      <c r="Q120" s="59" t="n"/>
      <c r="R120" s="54" t="n"/>
      <c r="S120" s="59" t="n"/>
      <c r="T120" s="59" t="n"/>
      <c r="U120" s="64" t="str">
        <f>IF(OR(B120="",H120=""),"",IFERROR(IF(A120="BL",IF(N(INDEX(art_price,MATCH(H120,art_ref,0)))=0,"",N(INDEX(art_price,MATCH(H120,art_ref,0)))),IF(N(INDEX(art_cost,MATCH(H120,art_ref,0)))=0,"",N(INDEX(art_cost,MATCH(H120,art_ref,0))))),""))</f>
        <v/>
      </c>
      <c r="V120" s="64" t="str">
        <f>IF(OR(U120="",NOT(ISNUMBER(L120))),"",IF(L120&lt;=0,"",ROUND(L120*U120,2)))</f>
        <v/>
      </c>
      <c r="W120" s="60" t="str">
        <f>IF(AND(B120&lt;&gt;"",A120&lt;&gt;"BS",F120&lt;&gt;"",H120&lt;&gt;"",ISNUMBER(K120),ISNUMBER(L120)),IF(AND(K120&gt;0,L120&gt;0,K120-L120&gt;0,COUNTIFS(A121:A$2005,A120,F121:F$2005,F120,H121:H$2005,H120,AA121:AA$2005,"&gt;0")=0),ROUND(K120-L120,6),""),"")</f>
        <v/>
      </c>
      <c r="X120" s="60" t="str">
        <f>IF(AND(A120="",C120="",D120="",H120="",L120=""),"",IF(A120="","Type manquant",IF(AND(A120&lt;&gt;"BL",A120&lt;&gt;"BR",A120&lt;&gt;"BS"),"Type inconnu (BL, BR ou BS)",IF(AG120=0,"Date manquante ou invalide",IF(D120="",IF(A120="BL","Client manquant",IF(A120="BR","Fournisseur manquant","Service manquant")),IF(IF(A120="BL",ISNA(MATCH(D120,cl_code,0)),IF(A120="BR",ISNA(MATCH(D120,fo_code,0)),ISNA(MATCH(D120,p_services,0)))),IF(A120="BL","Client inconnu",IF(A120="BR","Fournisseur inconnu","Service inconnu")),IF(H120="","Article manquant",IF(ISNA(MATCH(H120,art_ref,0)),"Article inconnu",IF(OR(NOT(ISNUMBER(L120)),N(L120)&lt;=0),"Quantité invalide",IF(AND(K120&lt;&gt;"",OR(NOT(ISNUMBER(K120)),N(K120)&lt;=0)),"Qté commandée invalide",IF(AG120&lt;SUMPRODUCT(MAX((A$6:A119=A120)*AG$6:AG119)),"Date antérieure au bon précédent",IF(AND(A120&lt;&gt;"BR",ISNUMBER(M120),N(M120)&gt;0),IF(A120="BL","Livré plus que commandé","Sorti plus que demandé"),"OK"))))))))))))</f>
        <v/>
      </c>
      <c r="Y120" s="57" t="str">
        <f>IF(AND(OR(A120="BL",A120="BR",A120="BS"),AG120&gt;0,D120&lt;&gt;""),A120&amp;"|"&amp;AG120&amp;"|"&amp;D120&amp;"|"&amp;F120,"")</f>
        <v/>
      </c>
      <c r="Z120" s="57" t="str">
        <f>IF(Y120="","",IF(COUNTIF(Y$6:Y119,Y120)=0,1,0))</f>
        <v/>
      </c>
      <c r="AA120" s="57" t="str">
        <f>IF(Y120="","",IF(Z120=1,COUNTIFS(A$6:A120,A120,Z$6:Z120,1),INDEX(AA$6:AA119,MATCH(Y120,Y$6:Y119,0))))</f>
        <v/>
      </c>
      <c r="AB120" s="57" t="str">
        <f>IF(B120="","",COUNTIF(B$6:B120,B120))</f>
        <v/>
      </c>
      <c r="AC120" s="57" t="str">
        <f>IF(B120="","",B120&amp;"#"&amp;AB120)</f>
        <v/>
      </c>
      <c r="AD120" s="57" t="str">
        <f>IF(Z120=1,A120&amp;AA120,"")</f>
        <v/>
      </c>
      <c r="AE120" s="57" t="str">
        <f>IF(B120="","",YEAR(C120))</f>
        <v/>
      </c>
      <c r="AF120" s="57" t="str">
        <f>IF(B120="","",MONTH(C120))</f>
        <v/>
      </c>
      <c r="AG120" s="57">
        <f>IF(ISNUMBER(C120),C120,0)</f>
        <v>0.0</v>
      </c>
      <c r="AH120" s="57" t="str">
        <f>IF(N(W120)&gt;0,COUNTIF(W$6:W120,"&gt;0"),"")</f>
        <v/>
      </c>
      <c r="AI120" s="57" t="str">
        <f>IF(Z120=1,COUNTIF(Z$6:Z120,1),"")</f>
        <v/>
      </c>
    </row>
    <row r="121">
      <c r="A121" s="54" t="n"/>
      <c r="B121" s="55" t="str">
        <f>IF(AA121="","",A121&amp;"-"&amp;RIGHT("000"&amp;AA121,4))</f>
        <v/>
      </c>
      <c r="C121" s="56" t="n"/>
      <c r="D121" s="54" t="n"/>
      <c r="E121" s="57" t="str">
        <f>IF(D121="","",IF(A121="BL",IFERROR(INDEX(cl_name,MATCH(D121,cl_code,0))&amp;"","Client inconnu"),IF(A121="BR",IFERROR(INDEX(fo_name,MATCH(D121,fo_code,0))&amp;"","Fournisseur inconnu"),IF(A121="BS",IF(ISNA(MATCH(D121,p_services,0)),"Service inconnu",D121&amp;""),""))))</f>
        <v/>
      </c>
      <c r="F121" s="58" t="n"/>
      <c r="G121" s="58" t="n"/>
      <c r="H121" s="59" t="n"/>
      <c r="I121" s="57" t="str">
        <f>IF(H121="","",IFERROR(INDEX(art_des,MATCH(H121,art_ref,0))&amp;"","Article inconnu"))</f>
        <v/>
      </c>
      <c r="J121" s="60" t="str">
        <f>IF(H121="","",IFERROR(INDEX(art_unit,MATCH(H121,art_ref,0))&amp;"",""))</f>
        <v/>
      </c>
      <c r="K121" s="59" t="n"/>
      <c r="L121" s="59" t="n"/>
      <c r="M121" s="61" t="str">
        <f>IF(OR(B121="",NOT(ISNUMBER(K121)),NOT(ISNUMBER(L121))),"",IF(OR(K121&lt;=0,L121&lt;=0),"",ROUND(L121-K121,6)))</f>
        <v/>
      </c>
      <c r="N121" s="58" t="n"/>
      <c r="O121" s="62" t="n"/>
      <c r="P121" s="63" t="str">
        <f>IF(OR(B121="",NOT(ISNUMBER(L121))),"",IF(L121&lt;=0,"",IFERROR(ROUND(L121*N(INDEX(art_w,MATCH(H121,art_ref,0))),3),"")))</f>
        <v/>
      </c>
      <c r="Q121" s="59" t="n"/>
      <c r="R121" s="54" t="n"/>
      <c r="S121" s="59" t="n"/>
      <c r="T121" s="59" t="n"/>
      <c r="U121" s="64" t="str">
        <f>IF(OR(B121="",H121=""),"",IFERROR(IF(A121="BL",IF(N(INDEX(art_price,MATCH(H121,art_ref,0)))=0,"",N(INDEX(art_price,MATCH(H121,art_ref,0)))),IF(N(INDEX(art_cost,MATCH(H121,art_ref,0)))=0,"",N(INDEX(art_cost,MATCH(H121,art_ref,0))))),""))</f>
        <v/>
      </c>
      <c r="V121" s="64" t="str">
        <f>IF(OR(U121="",NOT(ISNUMBER(L121))),"",IF(L121&lt;=0,"",ROUND(L121*U121,2)))</f>
        <v/>
      </c>
      <c r="W121" s="60" t="str">
        <f>IF(AND(B121&lt;&gt;"",A121&lt;&gt;"BS",F121&lt;&gt;"",H121&lt;&gt;"",ISNUMBER(K121),ISNUMBER(L121)),IF(AND(K121&gt;0,L121&gt;0,K121-L121&gt;0,COUNTIFS(A122:A$2005,A121,F122:F$2005,F121,H122:H$2005,H121,AA122:AA$2005,"&gt;0")=0),ROUND(K121-L121,6),""),"")</f>
        <v/>
      </c>
      <c r="X121" s="60" t="str">
        <f>IF(AND(A121="",C121="",D121="",H121="",L121=""),"",IF(A121="","Type manquant",IF(AND(A121&lt;&gt;"BL",A121&lt;&gt;"BR",A121&lt;&gt;"BS"),"Type inconnu (BL, BR ou BS)",IF(AG121=0,"Date manquante ou invalide",IF(D121="",IF(A121="BL","Client manquant",IF(A121="BR","Fournisseur manquant","Service manquant")),IF(IF(A121="BL",ISNA(MATCH(D121,cl_code,0)),IF(A121="BR",ISNA(MATCH(D121,fo_code,0)),ISNA(MATCH(D121,p_services,0)))),IF(A121="BL","Client inconnu",IF(A121="BR","Fournisseur inconnu","Service inconnu")),IF(H121="","Article manquant",IF(ISNA(MATCH(H121,art_ref,0)),"Article inconnu",IF(OR(NOT(ISNUMBER(L121)),N(L121)&lt;=0),"Quantité invalide",IF(AND(K121&lt;&gt;"",OR(NOT(ISNUMBER(K121)),N(K121)&lt;=0)),"Qté commandée invalide",IF(AG121&lt;SUMPRODUCT(MAX((A$6:A120=A121)*AG$6:AG120)),"Date antérieure au bon précédent",IF(AND(A121&lt;&gt;"BR",ISNUMBER(M121),N(M121)&gt;0),IF(A121="BL","Livré plus que commandé","Sorti plus que demandé"),"OK"))))))))))))</f>
        <v/>
      </c>
      <c r="Y121" s="57" t="str">
        <f>IF(AND(OR(A121="BL",A121="BR",A121="BS"),AG121&gt;0,D121&lt;&gt;""),A121&amp;"|"&amp;AG121&amp;"|"&amp;D121&amp;"|"&amp;F121,"")</f>
        <v/>
      </c>
      <c r="Z121" s="57" t="str">
        <f>IF(Y121="","",IF(COUNTIF(Y$6:Y120,Y121)=0,1,0))</f>
        <v/>
      </c>
      <c r="AA121" s="57" t="str">
        <f>IF(Y121="","",IF(Z121=1,COUNTIFS(A$6:A121,A121,Z$6:Z121,1),INDEX(AA$6:AA120,MATCH(Y121,Y$6:Y120,0))))</f>
        <v/>
      </c>
      <c r="AB121" s="57" t="str">
        <f>IF(B121="","",COUNTIF(B$6:B121,B121))</f>
        <v/>
      </c>
      <c r="AC121" s="57" t="str">
        <f>IF(B121="","",B121&amp;"#"&amp;AB121)</f>
        <v/>
      </c>
      <c r="AD121" s="57" t="str">
        <f>IF(Z121=1,A121&amp;AA121,"")</f>
        <v/>
      </c>
      <c r="AE121" s="57" t="str">
        <f>IF(B121="","",YEAR(C121))</f>
        <v/>
      </c>
      <c r="AF121" s="57" t="str">
        <f>IF(B121="","",MONTH(C121))</f>
        <v/>
      </c>
      <c r="AG121" s="57">
        <f>IF(ISNUMBER(C121),C121,0)</f>
        <v>0.0</v>
      </c>
      <c r="AH121" s="57" t="str">
        <f>IF(N(W121)&gt;0,COUNTIF(W$6:W121,"&gt;0"),"")</f>
        <v/>
      </c>
      <c r="AI121" s="57" t="str">
        <f>IF(Z121=1,COUNTIF(Z$6:Z121,1),"")</f>
        <v/>
      </c>
    </row>
    <row r="122">
      <c r="A122" s="54" t="n"/>
      <c r="B122" s="55" t="str">
        <f>IF(AA122="","",A122&amp;"-"&amp;RIGHT("000"&amp;AA122,4))</f>
        <v/>
      </c>
      <c r="C122" s="56" t="n"/>
      <c r="D122" s="54" t="n"/>
      <c r="E122" s="57" t="str">
        <f>IF(D122="","",IF(A122="BL",IFERROR(INDEX(cl_name,MATCH(D122,cl_code,0))&amp;"","Client inconnu"),IF(A122="BR",IFERROR(INDEX(fo_name,MATCH(D122,fo_code,0))&amp;"","Fournisseur inconnu"),IF(A122="BS",IF(ISNA(MATCH(D122,p_services,0)),"Service inconnu",D122&amp;""),""))))</f>
        <v/>
      </c>
      <c r="F122" s="58" t="n"/>
      <c r="G122" s="58" t="n"/>
      <c r="H122" s="59" t="n"/>
      <c r="I122" s="57" t="str">
        <f>IF(H122="","",IFERROR(INDEX(art_des,MATCH(H122,art_ref,0))&amp;"","Article inconnu"))</f>
        <v/>
      </c>
      <c r="J122" s="60" t="str">
        <f>IF(H122="","",IFERROR(INDEX(art_unit,MATCH(H122,art_ref,0))&amp;"",""))</f>
        <v/>
      </c>
      <c r="K122" s="59" t="n"/>
      <c r="L122" s="59" t="n"/>
      <c r="M122" s="61" t="str">
        <f>IF(OR(B122="",NOT(ISNUMBER(K122)),NOT(ISNUMBER(L122))),"",IF(OR(K122&lt;=0,L122&lt;=0),"",ROUND(L122-K122,6)))</f>
        <v/>
      </c>
      <c r="N122" s="58" t="n"/>
      <c r="O122" s="62" t="n"/>
      <c r="P122" s="63" t="str">
        <f>IF(OR(B122="",NOT(ISNUMBER(L122))),"",IF(L122&lt;=0,"",IFERROR(ROUND(L122*N(INDEX(art_w,MATCH(H122,art_ref,0))),3),"")))</f>
        <v/>
      </c>
      <c r="Q122" s="59" t="n"/>
      <c r="R122" s="54" t="n"/>
      <c r="S122" s="59" t="n"/>
      <c r="T122" s="59" t="n"/>
      <c r="U122" s="64" t="str">
        <f>IF(OR(B122="",H122=""),"",IFERROR(IF(A122="BL",IF(N(INDEX(art_price,MATCH(H122,art_ref,0)))=0,"",N(INDEX(art_price,MATCH(H122,art_ref,0)))),IF(N(INDEX(art_cost,MATCH(H122,art_ref,0)))=0,"",N(INDEX(art_cost,MATCH(H122,art_ref,0))))),""))</f>
        <v/>
      </c>
      <c r="V122" s="64" t="str">
        <f>IF(OR(U122="",NOT(ISNUMBER(L122))),"",IF(L122&lt;=0,"",ROUND(L122*U122,2)))</f>
        <v/>
      </c>
      <c r="W122" s="60" t="str">
        <f>IF(AND(B122&lt;&gt;"",A122&lt;&gt;"BS",F122&lt;&gt;"",H122&lt;&gt;"",ISNUMBER(K122),ISNUMBER(L122)),IF(AND(K122&gt;0,L122&gt;0,K122-L122&gt;0,COUNTIFS(A123:A$2005,A122,F123:F$2005,F122,H123:H$2005,H122,AA123:AA$2005,"&gt;0")=0),ROUND(K122-L122,6),""),"")</f>
        <v/>
      </c>
      <c r="X122" s="60" t="str">
        <f>IF(AND(A122="",C122="",D122="",H122="",L122=""),"",IF(A122="","Type manquant",IF(AND(A122&lt;&gt;"BL",A122&lt;&gt;"BR",A122&lt;&gt;"BS"),"Type inconnu (BL, BR ou BS)",IF(AG122=0,"Date manquante ou invalide",IF(D122="",IF(A122="BL","Client manquant",IF(A122="BR","Fournisseur manquant","Service manquant")),IF(IF(A122="BL",ISNA(MATCH(D122,cl_code,0)),IF(A122="BR",ISNA(MATCH(D122,fo_code,0)),ISNA(MATCH(D122,p_services,0)))),IF(A122="BL","Client inconnu",IF(A122="BR","Fournisseur inconnu","Service inconnu")),IF(H122="","Article manquant",IF(ISNA(MATCH(H122,art_ref,0)),"Article inconnu",IF(OR(NOT(ISNUMBER(L122)),N(L122)&lt;=0),"Quantité invalide",IF(AND(K122&lt;&gt;"",OR(NOT(ISNUMBER(K122)),N(K122)&lt;=0)),"Qté commandée invalide",IF(AG122&lt;SUMPRODUCT(MAX((A$6:A121=A122)*AG$6:AG121)),"Date antérieure au bon précédent",IF(AND(A122&lt;&gt;"BR",ISNUMBER(M122),N(M122)&gt;0),IF(A122="BL","Livré plus que commandé","Sorti plus que demandé"),"OK"))))))))))))</f>
        <v/>
      </c>
      <c r="Y122" s="57" t="str">
        <f>IF(AND(OR(A122="BL",A122="BR",A122="BS"),AG122&gt;0,D122&lt;&gt;""),A122&amp;"|"&amp;AG122&amp;"|"&amp;D122&amp;"|"&amp;F122,"")</f>
        <v/>
      </c>
      <c r="Z122" s="57" t="str">
        <f>IF(Y122="","",IF(COUNTIF(Y$6:Y121,Y122)=0,1,0))</f>
        <v/>
      </c>
      <c r="AA122" s="57" t="str">
        <f>IF(Y122="","",IF(Z122=1,COUNTIFS(A$6:A122,A122,Z$6:Z122,1),INDEX(AA$6:AA121,MATCH(Y122,Y$6:Y121,0))))</f>
        <v/>
      </c>
      <c r="AB122" s="57" t="str">
        <f>IF(B122="","",COUNTIF(B$6:B122,B122))</f>
        <v/>
      </c>
      <c r="AC122" s="57" t="str">
        <f>IF(B122="","",B122&amp;"#"&amp;AB122)</f>
        <v/>
      </c>
      <c r="AD122" s="57" t="str">
        <f>IF(Z122=1,A122&amp;AA122,"")</f>
        <v/>
      </c>
      <c r="AE122" s="57" t="str">
        <f>IF(B122="","",YEAR(C122))</f>
        <v/>
      </c>
      <c r="AF122" s="57" t="str">
        <f>IF(B122="","",MONTH(C122))</f>
        <v/>
      </c>
      <c r="AG122" s="57">
        <f>IF(ISNUMBER(C122),C122,0)</f>
        <v>0.0</v>
      </c>
      <c r="AH122" s="57" t="str">
        <f>IF(N(W122)&gt;0,COUNTIF(W$6:W122,"&gt;0"),"")</f>
        <v/>
      </c>
      <c r="AI122" s="57" t="str">
        <f>IF(Z122=1,COUNTIF(Z$6:Z122,1),"")</f>
        <v/>
      </c>
    </row>
    <row r="123">
      <c r="A123" s="54" t="n"/>
      <c r="B123" s="55" t="str">
        <f>IF(AA123="","",A123&amp;"-"&amp;RIGHT("000"&amp;AA123,4))</f>
        <v/>
      </c>
      <c r="C123" s="56" t="n"/>
      <c r="D123" s="54" t="n"/>
      <c r="E123" s="57" t="str">
        <f>IF(D123="","",IF(A123="BL",IFERROR(INDEX(cl_name,MATCH(D123,cl_code,0))&amp;"","Client inconnu"),IF(A123="BR",IFERROR(INDEX(fo_name,MATCH(D123,fo_code,0))&amp;"","Fournisseur inconnu"),IF(A123="BS",IF(ISNA(MATCH(D123,p_services,0)),"Service inconnu",D123&amp;""),""))))</f>
        <v/>
      </c>
      <c r="F123" s="58" t="n"/>
      <c r="G123" s="58" t="n"/>
      <c r="H123" s="59" t="n"/>
      <c r="I123" s="57" t="str">
        <f>IF(H123="","",IFERROR(INDEX(art_des,MATCH(H123,art_ref,0))&amp;"","Article inconnu"))</f>
        <v/>
      </c>
      <c r="J123" s="60" t="str">
        <f>IF(H123="","",IFERROR(INDEX(art_unit,MATCH(H123,art_ref,0))&amp;"",""))</f>
        <v/>
      </c>
      <c r="K123" s="59" t="n"/>
      <c r="L123" s="59" t="n"/>
      <c r="M123" s="61" t="str">
        <f>IF(OR(B123="",NOT(ISNUMBER(K123)),NOT(ISNUMBER(L123))),"",IF(OR(K123&lt;=0,L123&lt;=0),"",ROUND(L123-K123,6)))</f>
        <v/>
      </c>
      <c r="N123" s="58" t="n"/>
      <c r="O123" s="62" t="n"/>
      <c r="P123" s="63" t="str">
        <f>IF(OR(B123="",NOT(ISNUMBER(L123))),"",IF(L123&lt;=0,"",IFERROR(ROUND(L123*N(INDEX(art_w,MATCH(H123,art_ref,0))),3),"")))</f>
        <v/>
      </c>
      <c r="Q123" s="59" t="n"/>
      <c r="R123" s="54" t="n"/>
      <c r="S123" s="59" t="n"/>
      <c r="T123" s="59" t="n"/>
      <c r="U123" s="64" t="str">
        <f>IF(OR(B123="",H123=""),"",IFERROR(IF(A123="BL",IF(N(INDEX(art_price,MATCH(H123,art_ref,0)))=0,"",N(INDEX(art_price,MATCH(H123,art_ref,0)))),IF(N(INDEX(art_cost,MATCH(H123,art_ref,0)))=0,"",N(INDEX(art_cost,MATCH(H123,art_ref,0))))),""))</f>
        <v/>
      </c>
      <c r="V123" s="64" t="str">
        <f>IF(OR(U123="",NOT(ISNUMBER(L123))),"",IF(L123&lt;=0,"",ROUND(L123*U123,2)))</f>
        <v/>
      </c>
      <c r="W123" s="60" t="str">
        <f>IF(AND(B123&lt;&gt;"",A123&lt;&gt;"BS",F123&lt;&gt;"",H123&lt;&gt;"",ISNUMBER(K123),ISNUMBER(L123)),IF(AND(K123&gt;0,L123&gt;0,K123-L123&gt;0,COUNTIFS(A124:A$2005,A123,F124:F$2005,F123,H124:H$2005,H123,AA124:AA$2005,"&gt;0")=0),ROUND(K123-L123,6),""),"")</f>
        <v/>
      </c>
      <c r="X123" s="60" t="str">
        <f>IF(AND(A123="",C123="",D123="",H123="",L123=""),"",IF(A123="","Type manquant",IF(AND(A123&lt;&gt;"BL",A123&lt;&gt;"BR",A123&lt;&gt;"BS"),"Type inconnu (BL, BR ou BS)",IF(AG123=0,"Date manquante ou invalide",IF(D123="",IF(A123="BL","Client manquant",IF(A123="BR","Fournisseur manquant","Service manquant")),IF(IF(A123="BL",ISNA(MATCH(D123,cl_code,0)),IF(A123="BR",ISNA(MATCH(D123,fo_code,0)),ISNA(MATCH(D123,p_services,0)))),IF(A123="BL","Client inconnu",IF(A123="BR","Fournisseur inconnu","Service inconnu")),IF(H123="","Article manquant",IF(ISNA(MATCH(H123,art_ref,0)),"Article inconnu",IF(OR(NOT(ISNUMBER(L123)),N(L123)&lt;=0),"Quantité invalide",IF(AND(K123&lt;&gt;"",OR(NOT(ISNUMBER(K123)),N(K123)&lt;=0)),"Qté commandée invalide",IF(AG123&lt;SUMPRODUCT(MAX((A$6:A122=A123)*AG$6:AG122)),"Date antérieure au bon précédent",IF(AND(A123&lt;&gt;"BR",ISNUMBER(M123),N(M123)&gt;0),IF(A123="BL","Livré plus que commandé","Sorti plus que demandé"),"OK"))))))))))))</f>
        <v/>
      </c>
      <c r="Y123" s="57" t="str">
        <f>IF(AND(OR(A123="BL",A123="BR",A123="BS"),AG123&gt;0,D123&lt;&gt;""),A123&amp;"|"&amp;AG123&amp;"|"&amp;D123&amp;"|"&amp;F123,"")</f>
        <v/>
      </c>
      <c r="Z123" s="57" t="str">
        <f>IF(Y123="","",IF(COUNTIF(Y$6:Y122,Y123)=0,1,0))</f>
        <v/>
      </c>
      <c r="AA123" s="57" t="str">
        <f>IF(Y123="","",IF(Z123=1,COUNTIFS(A$6:A123,A123,Z$6:Z123,1),INDEX(AA$6:AA122,MATCH(Y123,Y$6:Y122,0))))</f>
        <v/>
      </c>
      <c r="AB123" s="57" t="str">
        <f>IF(B123="","",COUNTIF(B$6:B123,B123))</f>
        <v/>
      </c>
      <c r="AC123" s="57" t="str">
        <f>IF(B123="","",B123&amp;"#"&amp;AB123)</f>
        <v/>
      </c>
      <c r="AD123" s="57" t="str">
        <f>IF(Z123=1,A123&amp;AA123,"")</f>
        <v/>
      </c>
      <c r="AE123" s="57" t="str">
        <f>IF(B123="","",YEAR(C123))</f>
        <v/>
      </c>
      <c r="AF123" s="57" t="str">
        <f>IF(B123="","",MONTH(C123))</f>
        <v/>
      </c>
      <c r="AG123" s="57">
        <f>IF(ISNUMBER(C123),C123,0)</f>
        <v>0.0</v>
      </c>
      <c r="AH123" s="57" t="str">
        <f>IF(N(W123)&gt;0,COUNTIF(W$6:W123,"&gt;0"),"")</f>
        <v/>
      </c>
      <c r="AI123" s="57" t="str">
        <f>IF(Z123=1,COUNTIF(Z$6:Z123,1),"")</f>
        <v/>
      </c>
    </row>
    <row r="124">
      <c r="A124" s="54" t="n"/>
      <c r="B124" s="55" t="str">
        <f>IF(AA124="","",A124&amp;"-"&amp;RIGHT("000"&amp;AA124,4))</f>
        <v/>
      </c>
      <c r="C124" s="56" t="n"/>
      <c r="D124" s="54" t="n"/>
      <c r="E124" s="57" t="str">
        <f>IF(D124="","",IF(A124="BL",IFERROR(INDEX(cl_name,MATCH(D124,cl_code,0))&amp;"","Client inconnu"),IF(A124="BR",IFERROR(INDEX(fo_name,MATCH(D124,fo_code,0))&amp;"","Fournisseur inconnu"),IF(A124="BS",IF(ISNA(MATCH(D124,p_services,0)),"Service inconnu",D124&amp;""),""))))</f>
        <v/>
      </c>
      <c r="F124" s="58" t="n"/>
      <c r="G124" s="58" t="n"/>
      <c r="H124" s="59" t="n"/>
      <c r="I124" s="57" t="str">
        <f>IF(H124="","",IFERROR(INDEX(art_des,MATCH(H124,art_ref,0))&amp;"","Article inconnu"))</f>
        <v/>
      </c>
      <c r="J124" s="60" t="str">
        <f>IF(H124="","",IFERROR(INDEX(art_unit,MATCH(H124,art_ref,0))&amp;"",""))</f>
        <v/>
      </c>
      <c r="K124" s="59" t="n"/>
      <c r="L124" s="59" t="n"/>
      <c r="M124" s="61" t="str">
        <f>IF(OR(B124="",NOT(ISNUMBER(K124)),NOT(ISNUMBER(L124))),"",IF(OR(K124&lt;=0,L124&lt;=0),"",ROUND(L124-K124,6)))</f>
        <v/>
      </c>
      <c r="N124" s="58" t="n"/>
      <c r="O124" s="62" t="n"/>
      <c r="P124" s="63" t="str">
        <f>IF(OR(B124="",NOT(ISNUMBER(L124))),"",IF(L124&lt;=0,"",IFERROR(ROUND(L124*N(INDEX(art_w,MATCH(H124,art_ref,0))),3),"")))</f>
        <v/>
      </c>
      <c r="Q124" s="59" t="n"/>
      <c r="R124" s="54" t="n"/>
      <c r="S124" s="59" t="n"/>
      <c r="T124" s="59" t="n"/>
      <c r="U124" s="64" t="str">
        <f>IF(OR(B124="",H124=""),"",IFERROR(IF(A124="BL",IF(N(INDEX(art_price,MATCH(H124,art_ref,0)))=0,"",N(INDEX(art_price,MATCH(H124,art_ref,0)))),IF(N(INDEX(art_cost,MATCH(H124,art_ref,0)))=0,"",N(INDEX(art_cost,MATCH(H124,art_ref,0))))),""))</f>
        <v/>
      </c>
      <c r="V124" s="64" t="str">
        <f>IF(OR(U124="",NOT(ISNUMBER(L124))),"",IF(L124&lt;=0,"",ROUND(L124*U124,2)))</f>
        <v/>
      </c>
      <c r="W124" s="60" t="str">
        <f>IF(AND(B124&lt;&gt;"",A124&lt;&gt;"BS",F124&lt;&gt;"",H124&lt;&gt;"",ISNUMBER(K124),ISNUMBER(L124)),IF(AND(K124&gt;0,L124&gt;0,K124-L124&gt;0,COUNTIFS(A125:A$2005,A124,F125:F$2005,F124,H125:H$2005,H124,AA125:AA$2005,"&gt;0")=0),ROUND(K124-L124,6),""),"")</f>
        <v/>
      </c>
      <c r="X124" s="60" t="str">
        <f>IF(AND(A124="",C124="",D124="",H124="",L124=""),"",IF(A124="","Type manquant",IF(AND(A124&lt;&gt;"BL",A124&lt;&gt;"BR",A124&lt;&gt;"BS"),"Type inconnu (BL, BR ou BS)",IF(AG124=0,"Date manquante ou invalide",IF(D124="",IF(A124="BL","Client manquant",IF(A124="BR","Fournisseur manquant","Service manquant")),IF(IF(A124="BL",ISNA(MATCH(D124,cl_code,0)),IF(A124="BR",ISNA(MATCH(D124,fo_code,0)),ISNA(MATCH(D124,p_services,0)))),IF(A124="BL","Client inconnu",IF(A124="BR","Fournisseur inconnu","Service inconnu")),IF(H124="","Article manquant",IF(ISNA(MATCH(H124,art_ref,0)),"Article inconnu",IF(OR(NOT(ISNUMBER(L124)),N(L124)&lt;=0),"Quantité invalide",IF(AND(K124&lt;&gt;"",OR(NOT(ISNUMBER(K124)),N(K124)&lt;=0)),"Qté commandée invalide",IF(AG124&lt;SUMPRODUCT(MAX((A$6:A123=A124)*AG$6:AG123)),"Date antérieure au bon précédent",IF(AND(A124&lt;&gt;"BR",ISNUMBER(M124),N(M124)&gt;0),IF(A124="BL","Livré plus que commandé","Sorti plus que demandé"),"OK"))))))))))))</f>
        <v/>
      </c>
      <c r="Y124" s="57" t="str">
        <f>IF(AND(OR(A124="BL",A124="BR",A124="BS"),AG124&gt;0,D124&lt;&gt;""),A124&amp;"|"&amp;AG124&amp;"|"&amp;D124&amp;"|"&amp;F124,"")</f>
        <v/>
      </c>
      <c r="Z124" s="57" t="str">
        <f>IF(Y124="","",IF(COUNTIF(Y$6:Y123,Y124)=0,1,0))</f>
        <v/>
      </c>
      <c r="AA124" s="57" t="str">
        <f>IF(Y124="","",IF(Z124=1,COUNTIFS(A$6:A124,A124,Z$6:Z124,1),INDEX(AA$6:AA123,MATCH(Y124,Y$6:Y123,0))))</f>
        <v/>
      </c>
      <c r="AB124" s="57" t="str">
        <f>IF(B124="","",COUNTIF(B$6:B124,B124))</f>
        <v/>
      </c>
      <c r="AC124" s="57" t="str">
        <f>IF(B124="","",B124&amp;"#"&amp;AB124)</f>
        <v/>
      </c>
      <c r="AD124" s="57" t="str">
        <f>IF(Z124=1,A124&amp;AA124,"")</f>
        <v/>
      </c>
      <c r="AE124" s="57" t="str">
        <f>IF(B124="","",YEAR(C124))</f>
        <v/>
      </c>
      <c r="AF124" s="57" t="str">
        <f>IF(B124="","",MONTH(C124))</f>
        <v/>
      </c>
      <c r="AG124" s="57">
        <f>IF(ISNUMBER(C124),C124,0)</f>
        <v>0.0</v>
      </c>
      <c r="AH124" s="57" t="str">
        <f>IF(N(W124)&gt;0,COUNTIF(W$6:W124,"&gt;0"),"")</f>
        <v/>
      </c>
      <c r="AI124" s="57" t="str">
        <f>IF(Z124=1,COUNTIF(Z$6:Z124,1),"")</f>
        <v/>
      </c>
    </row>
    <row r="125">
      <c r="A125" s="54" t="n"/>
      <c r="B125" s="55" t="str">
        <f>IF(AA125="","",A125&amp;"-"&amp;RIGHT("000"&amp;AA125,4))</f>
        <v/>
      </c>
      <c r="C125" s="56" t="n"/>
      <c r="D125" s="54" t="n"/>
      <c r="E125" s="57" t="str">
        <f>IF(D125="","",IF(A125="BL",IFERROR(INDEX(cl_name,MATCH(D125,cl_code,0))&amp;"","Client inconnu"),IF(A125="BR",IFERROR(INDEX(fo_name,MATCH(D125,fo_code,0))&amp;"","Fournisseur inconnu"),IF(A125="BS",IF(ISNA(MATCH(D125,p_services,0)),"Service inconnu",D125&amp;""),""))))</f>
        <v/>
      </c>
      <c r="F125" s="58" t="n"/>
      <c r="G125" s="58" t="n"/>
      <c r="H125" s="59" t="n"/>
      <c r="I125" s="57" t="str">
        <f>IF(H125="","",IFERROR(INDEX(art_des,MATCH(H125,art_ref,0))&amp;"","Article inconnu"))</f>
        <v/>
      </c>
      <c r="J125" s="60" t="str">
        <f>IF(H125="","",IFERROR(INDEX(art_unit,MATCH(H125,art_ref,0))&amp;"",""))</f>
        <v/>
      </c>
      <c r="K125" s="59" t="n"/>
      <c r="L125" s="59" t="n"/>
      <c r="M125" s="61" t="str">
        <f>IF(OR(B125="",NOT(ISNUMBER(K125)),NOT(ISNUMBER(L125))),"",IF(OR(K125&lt;=0,L125&lt;=0),"",ROUND(L125-K125,6)))</f>
        <v/>
      </c>
      <c r="N125" s="58" t="n"/>
      <c r="O125" s="62" t="n"/>
      <c r="P125" s="63" t="str">
        <f>IF(OR(B125="",NOT(ISNUMBER(L125))),"",IF(L125&lt;=0,"",IFERROR(ROUND(L125*N(INDEX(art_w,MATCH(H125,art_ref,0))),3),"")))</f>
        <v/>
      </c>
      <c r="Q125" s="59" t="n"/>
      <c r="R125" s="54" t="n"/>
      <c r="S125" s="59" t="n"/>
      <c r="T125" s="59" t="n"/>
      <c r="U125" s="64" t="str">
        <f>IF(OR(B125="",H125=""),"",IFERROR(IF(A125="BL",IF(N(INDEX(art_price,MATCH(H125,art_ref,0)))=0,"",N(INDEX(art_price,MATCH(H125,art_ref,0)))),IF(N(INDEX(art_cost,MATCH(H125,art_ref,0)))=0,"",N(INDEX(art_cost,MATCH(H125,art_ref,0))))),""))</f>
        <v/>
      </c>
      <c r="V125" s="64" t="str">
        <f>IF(OR(U125="",NOT(ISNUMBER(L125))),"",IF(L125&lt;=0,"",ROUND(L125*U125,2)))</f>
        <v/>
      </c>
      <c r="W125" s="60" t="str">
        <f>IF(AND(B125&lt;&gt;"",A125&lt;&gt;"BS",F125&lt;&gt;"",H125&lt;&gt;"",ISNUMBER(K125),ISNUMBER(L125)),IF(AND(K125&gt;0,L125&gt;0,K125-L125&gt;0,COUNTIFS(A126:A$2005,A125,F126:F$2005,F125,H126:H$2005,H125,AA126:AA$2005,"&gt;0")=0),ROUND(K125-L125,6),""),"")</f>
        <v/>
      </c>
      <c r="X125" s="60" t="str">
        <f>IF(AND(A125="",C125="",D125="",H125="",L125=""),"",IF(A125="","Type manquant",IF(AND(A125&lt;&gt;"BL",A125&lt;&gt;"BR",A125&lt;&gt;"BS"),"Type inconnu (BL, BR ou BS)",IF(AG125=0,"Date manquante ou invalide",IF(D125="",IF(A125="BL","Client manquant",IF(A125="BR","Fournisseur manquant","Service manquant")),IF(IF(A125="BL",ISNA(MATCH(D125,cl_code,0)),IF(A125="BR",ISNA(MATCH(D125,fo_code,0)),ISNA(MATCH(D125,p_services,0)))),IF(A125="BL","Client inconnu",IF(A125="BR","Fournisseur inconnu","Service inconnu")),IF(H125="","Article manquant",IF(ISNA(MATCH(H125,art_ref,0)),"Article inconnu",IF(OR(NOT(ISNUMBER(L125)),N(L125)&lt;=0),"Quantité invalide",IF(AND(K125&lt;&gt;"",OR(NOT(ISNUMBER(K125)),N(K125)&lt;=0)),"Qté commandée invalide",IF(AG125&lt;SUMPRODUCT(MAX((A$6:A124=A125)*AG$6:AG124)),"Date antérieure au bon précédent",IF(AND(A125&lt;&gt;"BR",ISNUMBER(M125),N(M125)&gt;0),IF(A125="BL","Livré plus que commandé","Sorti plus que demandé"),"OK"))))))))))))</f>
        <v/>
      </c>
      <c r="Y125" s="57" t="str">
        <f>IF(AND(OR(A125="BL",A125="BR",A125="BS"),AG125&gt;0,D125&lt;&gt;""),A125&amp;"|"&amp;AG125&amp;"|"&amp;D125&amp;"|"&amp;F125,"")</f>
        <v/>
      </c>
      <c r="Z125" s="57" t="str">
        <f>IF(Y125="","",IF(COUNTIF(Y$6:Y124,Y125)=0,1,0))</f>
        <v/>
      </c>
      <c r="AA125" s="57" t="str">
        <f>IF(Y125="","",IF(Z125=1,COUNTIFS(A$6:A125,A125,Z$6:Z125,1),INDEX(AA$6:AA124,MATCH(Y125,Y$6:Y124,0))))</f>
        <v/>
      </c>
      <c r="AB125" s="57" t="str">
        <f>IF(B125="","",COUNTIF(B$6:B125,B125))</f>
        <v/>
      </c>
      <c r="AC125" s="57" t="str">
        <f>IF(B125="","",B125&amp;"#"&amp;AB125)</f>
        <v/>
      </c>
      <c r="AD125" s="57" t="str">
        <f>IF(Z125=1,A125&amp;AA125,"")</f>
        <v/>
      </c>
      <c r="AE125" s="57" t="str">
        <f>IF(B125="","",YEAR(C125))</f>
        <v/>
      </c>
      <c r="AF125" s="57" t="str">
        <f>IF(B125="","",MONTH(C125))</f>
        <v/>
      </c>
      <c r="AG125" s="57">
        <f>IF(ISNUMBER(C125),C125,0)</f>
        <v>0.0</v>
      </c>
      <c r="AH125" s="57" t="str">
        <f>IF(N(W125)&gt;0,COUNTIF(W$6:W125,"&gt;0"),"")</f>
        <v/>
      </c>
      <c r="AI125" s="57" t="str">
        <f>IF(Z125=1,COUNTIF(Z$6:Z125,1),"")</f>
        <v/>
      </c>
    </row>
    <row r="126">
      <c r="A126" s="54" t="n"/>
      <c r="B126" s="55" t="str">
        <f>IF(AA126="","",A126&amp;"-"&amp;RIGHT("000"&amp;AA126,4))</f>
        <v/>
      </c>
      <c r="C126" s="56" t="n"/>
      <c r="D126" s="54" t="n"/>
      <c r="E126" s="57" t="str">
        <f>IF(D126="","",IF(A126="BL",IFERROR(INDEX(cl_name,MATCH(D126,cl_code,0))&amp;"","Client inconnu"),IF(A126="BR",IFERROR(INDEX(fo_name,MATCH(D126,fo_code,0))&amp;"","Fournisseur inconnu"),IF(A126="BS",IF(ISNA(MATCH(D126,p_services,0)),"Service inconnu",D126&amp;""),""))))</f>
        <v/>
      </c>
      <c r="F126" s="58" t="n"/>
      <c r="G126" s="58" t="n"/>
      <c r="H126" s="59" t="n"/>
      <c r="I126" s="57" t="str">
        <f>IF(H126="","",IFERROR(INDEX(art_des,MATCH(H126,art_ref,0))&amp;"","Article inconnu"))</f>
        <v/>
      </c>
      <c r="J126" s="60" t="str">
        <f>IF(H126="","",IFERROR(INDEX(art_unit,MATCH(H126,art_ref,0))&amp;"",""))</f>
        <v/>
      </c>
      <c r="K126" s="59" t="n"/>
      <c r="L126" s="59" t="n"/>
      <c r="M126" s="61" t="str">
        <f>IF(OR(B126="",NOT(ISNUMBER(K126)),NOT(ISNUMBER(L126))),"",IF(OR(K126&lt;=0,L126&lt;=0),"",ROUND(L126-K126,6)))</f>
        <v/>
      </c>
      <c r="N126" s="58" t="n"/>
      <c r="O126" s="62" t="n"/>
      <c r="P126" s="63" t="str">
        <f>IF(OR(B126="",NOT(ISNUMBER(L126))),"",IF(L126&lt;=0,"",IFERROR(ROUND(L126*N(INDEX(art_w,MATCH(H126,art_ref,0))),3),"")))</f>
        <v/>
      </c>
      <c r="Q126" s="59" t="n"/>
      <c r="R126" s="54" t="n"/>
      <c r="S126" s="59" t="n"/>
      <c r="T126" s="59" t="n"/>
      <c r="U126" s="64" t="str">
        <f>IF(OR(B126="",H126=""),"",IFERROR(IF(A126="BL",IF(N(INDEX(art_price,MATCH(H126,art_ref,0)))=0,"",N(INDEX(art_price,MATCH(H126,art_ref,0)))),IF(N(INDEX(art_cost,MATCH(H126,art_ref,0)))=0,"",N(INDEX(art_cost,MATCH(H126,art_ref,0))))),""))</f>
        <v/>
      </c>
      <c r="V126" s="64" t="str">
        <f>IF(OR(U126="",NOT(ISNUMBER(L126))),"",IF(L126&lt;=0,"",ROUND(L126*U126,2)))</f>
        <v/>
      </c>
      <c r="W126" s="60" t="str">
        <f>IF(AND(B126&lt;&gt;"",A126&lt;&gt;"BS",F126&lt;&gt;"",H126&lt;&gt;"",ISNUMBER(K126),ISNUMBER(L126)),IF(AND(K126&gt;0,L126&gt;0,K126-L126&gt;0,COUNTIFS(A127:A$2005,A126,F127:F$2005,F126,H127:H$2005,H126,AA127:AA$2005,"&gt;0")=0),ROUND(K126-L126,6),""),"")</f>
        <v/>
      </c>
      <c r="X126" s="60" t="str">
        <f>IF(AND(A126="",C126="",D126="",H126="",L126=""),"",IF(A126="","Type manquant",IF(AND(A126&lt;&gt;"BL",A126&lt;&gt;"BR",A126&lt;&gt;"BS"),"Type inconnu (BL, BR ou BS)",IF(AG126=0,"Date manquante ou invalide",IF(D126="",IF(A126="BL","Client manquant",IF(A126="BR","Fournisseur manquant","Service manquant")),IF(IF(A126="BL",ISNA(MATCH(D126,cl_code,0)),IF(A126="BR",ISNA(MATCH(D126,fo_code,0)),ISNA(MATCH(D126,p_services,0)))),IF(A126="BL","Client inconnu",IF(A126="BR","Fournisseur inconnu","Service inconnu")),IF(H126="","Article manquant",IF(ISNA(MATCH(H126,art_ref,0)),"Article inconnu",IF(OR(NOT(ISNUMBER(L126)),N(L126)&lt;=0),"Quantité invalide",IF(AND(K126&lt;&gt;"",OR(NOT(ISNUMBER(K126)),N(K126)&lt;=0)),"Qté commandée invalide",IF(AG126&lt;SUMPRODUCT(MAX((A$6:A125=A126)*AG$6:AG125)),"Date antérieure au bon précédent",IF(AND(A126&lt;&gt;"BR",ISNUMBER(M126),N(M126)&gt;0),IF(A126="BL","Livré plus que commandé","Sorti plus que demandé"),"OK"))))))))))))</f>
        <v/>
      </c>
      <c r="Y126" s="57" t="str">
        <f>IF(AND(OR(A126="BL",A126="BR",A126="BS"),AG126&gt;0,D126&lt;&gt;""),A126&amp;"|"&amp;AG126&amp;"|"&amp;D126&amp;"|"&amp;F126,"")</f>
        <v/>
      </c>
      <c r="Z126" s="57" t="str">
        <f>IF(Y126="","",IF(COUNTIF(Y$6:Y125,Y126)=0,1,0))</f>
        <v/>
      </c>
      <c r="AA126" s="57" t="str">
        <f>IF(Y126="","",IF(Z126=1,COUNTIFS(A$6:A126,A126,Z$6:Z126,1),INDEX(AA$6:AA125,MATCH(Y126,Y$6:Y125,0))))</f>
        <v/>
      </c>
      <c r="AB126" s="57" t="str">
        <f>IF(B126="","",COUNTIF(B$6:B126,B126))</f>
        <v/>
      </c>
      <c r="AC126" s="57" t="str">
        <f>IF(B126="","",B126&amp;"#"&amp;AB126)</f>
        <v/>
      </c>
      <c r="AD126" s="57" t="str">
        <f>IF(Z126=1,A126&amp;AA126,"")</f>
        <v/>
      </c>
      <c r="AE126" s="57" t="str">
        <f>IF(B126="","",YEAR(C126))</f>
        <v/>
      </c>
      <c r="AF126" s="57" t="str">
        <f>IF(B126="","",MONTH(C126))</f>
        <v/>
      </c>
      <c r="AG126" s="57">
        <f>IF(ISNUMBER(C126),C126,0)</f>
        <v>0.0</v>
      </c>
      <c r="AH126" s="57" t="str">
        <f>IF(N(W126)&gt;0,COUNTIF(W$6:W126,"&gt;0"),"")</f>
        <v/>
      </c>
      <c r="AI126" s="57" t="str">
        <f>IF(Z126=1,COUNTIF(Z$6:Z126,1),"")</f>
        <v/>
      </c>
    </row>
    <row r="127">
      <c r="A127" s="54" t="n"/>
      <c r="B127" s="55" t="str">
        <f>IF(AA127="","",A127&amp;"-"&amp;RIGHT("000"&amp;AA127,4))</f>
        <v/>
      </c>
      <c r="C127" s="56" t="n"/>
      <c r="D127" s="54" t="n"/>
      <c r="E127" s="57" t="str">
        <f>IF(D127="","",IF(A127="BL",IFERROR(INDEX(cl_name,MATCH(D127,cl_code,0))&amp;"","Client inconnu"),IF(A127="BR",IFERROR(INDEX(fo_name,MATCH(D127,fo_code,0))&amp;"","Fournisseur inconnu"),IF(A127="BS",IF(ISNA(MATCH(D127,p_services,0)),"Service inconnu",D127&amp;""),""))))</f>
        <v/>
      </c>
      <c r="F127" s="58" t="n"/>
      <c r="G127" s="58" t="n"/>
      <c r="H127" s="59" t="n"/>
      <c r="I127" s="57" t="str">
        <f>IF(H127="","",IFERROR(INDEX(art_des,MATCH(H127,art_ref,0))&amp;"","Article inconnu"))</f>
        <v/>
      </c>
      <c r="J127" s="60" t="str">
        <f>IF(H127="","",IFERROR(INDEX(art_unit,MATCH(H127,art_ref,0))&amp;"",""))</f>
        <v/>
      </c>
      <c r="K127" s="59" t="n"/>
      <c r="L127" s="59" t="n"/>
      <c r="M127" s="61" t="str">
        <f>IF(OR(B127="",NOT(ISNUMBER(K127)),NOT(ISNUMBER(L127))),"",IF(OR(K127&lt;=0,L127&lt;=0),"",ROUND(L127-K127,6)))</f>
        <v/>
      </c>
      <c r="N127" s="58" t="n"/>
      <c r="O127" s="62" t="n"/>
      <c r="P127" s="63" t="str">
        <f>IF(OR(B127="",NOT(ISNUMBER(L127))),"",IF(L127&lt;=0,"",IFERROR(ROUND(L127*N(INDEX(art_w,MATCH(H127,art_ref,0))),3),"")))</f>
        <v/>
      </c>
      <c r="Q127" s="59" t="n"/>
      <c r="R127" s="54" t="n"/>
      <c r="S127" s="59" t="n"/>
      <c r="T127" s="59" t="n"/>
      <c r="U127" s="64" t="str">
        <f>IF(OR(B127="",H127=""),"",IFERROR(IF(A127="BL",IF(N(INDEX(art_price,MATCH(H127,art_ref,0)))=0,"",N(INDEX(art_price,MATCH(H127,art_ref,0)))),IF(N(INDEX(art_cost,MATCH(H127,art_ref,0)))=0,"",N(INDEX(art_cost,MATCH(H127,art_ref,0))))),""))</f>
        <v/>
      </c>
      <c r="V127" s="64" t="str">
        <f>IF(OR(U127="",NOT(ISNUMBER(L127))),"",IF(L127&lt;=0,"",ROUND(L127*U127,2)))</f>
        <v/>
      </c>
      <c r="W127" s="60" t="str">
        <f>IF(AND(B127&lt;&gt;"",A127&lt;&gt;"BS",F127&lt;&gt;"",H127&lt;&gt;"",ISNUMBER(K127),ISNUMBER(L127)),IF(AND(K127&gt;0,L127&gt;0,K127-L127&gt;0,COUNTIFS(A128:A$2005,A127,F128:F$2005,F127,H128:H$2005,H127,AA128:AA$2005,"&gt;0")=0),ROUND(K127-L127,6),""),"")</f>
        <v/>
      </c>
      <c r="X127" s="60" t="str">
        <f>IF(AND(A127="",C127="",D127="",H127="",L127=""),"",IF(A127="","Type manquant",IF(AND(A127&lt;&gt;"BL",A127&lt;&gt;"BR",A127&lt;&gt;"BS"),"Type inconnu (BL, BR ou BS)",IF(AG127=0,"Date manquante ou invalide",IF(D127="",IF(A127="BL","Client manquant",IF(A127="BR","Fournisseur manquant","Service manquant")),IF(IF(A127="BL",ISNA(MATCH(D127,cl_code,0)),IF(A127="BR",ISNA(MATCH(D127,fo_code,0)),ISNA(MATCH(D127,p_services,0)))),IF(A127="BL","Client inconnu",IF(A127="BR","Fournisseur inconnu","Service inconnu")),IF(H127="","Article manquant",IF(ISNA(MATCH(H127,art_ref,0)),"Article inconnu",IF(OR(NOT(ISNUMBER(L127)),N(L127)&lt;=0),"Quantité invalide",IF(AND(K127&lt;&gt;"",OR(NOT(ISNUMBER(K127)),N(K127)&lt;=0)),"Qté commandée invalide",IF(AG127&lt;SUMPRODUCT(MAX((A$6:A126=A127)*AG$6:AG126)),"Date antérieure au bon précédent",IF(AND(A127&lt;&gt;"BR",ISNUMBER(M127),N(M127)&gt;0),IF(A127="BL","Livré plus que commandé","Sorti plus que demandé"),"OK"))))))))))))</f>
        <v/>
      </c>
      <c r="Y127" s="57" t="str">
        <f>IF(AND(OR(A127="BL",A127="BR",A127="BS"),AG127&gt;0,D127&lt;&gt;""),A127&amp;"|"&amp;AG127&amp;"|"&amp;D127&amp;"|"&amp;F127,"")</f>
        <v/>
      </c>
      <c r="Z127" s="57" t="str">
        <f>IF(Y127="","",IF(COUNTIF(Y$6:Y126,Y127)=0,1,0))</f>
        <v/>
      </c>
      <c r="AA127" s="57" t="str">
        <f>IF(Y127="","",IF(Z127=1,COUNTIFS(A$6:A127,A127,Z$6:Z127,1),INDEX(AA$6:AA126,MATCH(Y127,Y$6:Y126,0))))</f>
        <v/>
      </c>
      <c r="AB127" s="57" t="str">
        <f>IF(B127="","",COUNTIF(B$6:B127,B127))</f>
        <v/>
      </c>
      <c r="AC127" s="57" t="str">
        <f>IF(B127="","",B127&amp;"#"&amp;AB127)</f>
        <v/>
      </c>
      <c r="AD127" s="57" t="str">
        <f>IF(Z127=1,A127&amp;AA127,"")</f>
        <v/>
      </c>
      <c r="AE127" s="57" t="str">
        <f>IF(B127="","",YEAR(C127))</f>
        <v/>
      </c>
      <c r="AF127" s="57" t="str">
        <f>IF(B127="","",MONTH(C127))</f>
        <v/>
      </c>
      <c r="AG127" s="57">
        <f>IF(ISNUMBER(C127),C127,0)</f>
        <v>0.0</v>
      </c>
      <c r="AH127" s="57" t="str">
        <f>IF(N(W127)&gt;0,COUNTIF(W$6:W127,"&gt;0"),"")</f>
        <v/>
      </c>
      <c r="AI127" s="57" t="str">
        <f>IF(Z127=1,COUNTIF(Z$6:Z127,1),"")</f>
        <v/>
      </c>
    </row>
    <row r="128">
      <c r="A128" s="54" t="n"/>
      <c r="B128" s="55" t="str">
        <f>IF(AA128="","",A128&amp;"-"&amp;RIGHT("000"&amp;AA128,4))</f>
        <v/>
      </c>
      <c r="C128" s="56" t="n"/>
      <c r="D128" s="54" t="n"/>
      <c r="E128" s="57" t="str">
        <f>IF(D128="","",IF(A128="BL",IFERROR(INDEX(cl_name,MATCH(D128,cl_code,0))&amp;"","Client inconnu"),IF(A128="BR",IFERROR(INDEX(fo_name,MATCH(D128,fo_code,0))&amp;"","Fournisseur inconnu"),IF(A128="BS",IF(ISNA(MATCH(D128,p_services,0)),"Service inconnu",D128&amp;""),""))))</f>
        <v/>
      </c>
      <c r="F128" s="58" t="n"/>
      <c r="G128" s="58" t="n"/>
      <c r="H128" s="59" t="n"/>
      <c r="I128" s="57" t="str">
        <f>IF(H128="","",IFERROR(INDEX(art_des,MATCH(H128,art_ref,0))&amp;"","Article inconnu"))</f>
        <v/>
      </c>
      <c r="J128" s="60" t="str">
        <f>IF(H128="","",IFERROR(INDEX(art_unit,MATCH(H128,art_ref,0))&amp;"",""))</f>
        <v/>
      </c>
      <c r="K128" s="59" t="n"/>
      <c r="L128" s="59" t="n"/>
      <c r="M128" s="61" t="str">
        <f>IF(OR(B128="",NOT(ISNUMBER(K128)),NOT(ISNUMBER(L128))),"",IF(OR(K128&lt;=0,L128&lt;=0),"",ROUND(L128-K128,6)))</f>
        <v/>
      </c>
      <c r="N128" s="58" t="n"/>
      <c r="O128" s="62" t="n"/>
      <c r="P128" s="63" t="str">
        <f>IF(OR(B128="",NOT(ISNUMBER(L128))),"",IF(L128&lt;=0,"",IFERROR(ROUND(L128*N(INDEX(art_w,MATCH(H128,art_ref,0))),3),"")))</f>
        <v/>
      </c>
      <c r="Q128" s="59" t="n"/>
      <c r="R128" s="54" t="n"/>
      <c r="S128" s="59" t="n"/>
      <c r="T128" s="59" t="n"/>
      <c r="U128" s="64" t="str">
        <f>IF(OR(B128="",H128=""),"",IFERROR(IF(A128="BL",IF(N(INDEX(art_price,MATCH(H128,art_ref,0)))=0,"",N(INDEX(art_price,MATCH(H128,art_ref,0)))),IF(N(INDEX(art_cost,MATCH(H128,art_ref,0)))=0,"",N(INDEX(art_cost,MATCH(H128,art_ref,0))))),""))</f>
        <v/>
      </c>
      <c r="V128" s="64" t="str">
        <f>IF(OR(U128="",NOT(ISNUMBER(L128))),"",IF(L128&lt;=0,"",ROUND(L128*U128,2)))</f>
        <v/>
      </c>
      <c r="W128" s="60" t="str">
        <f>IF(AND(B128&lt;&gt;"",A128&lt;&gt;"BS",F128&lt;&gt;"",H128&lt;&gt;"",ISNUMBER(K128),ISNUMBER(L128)),IF(AND(K128&gt;0,L128&gt;0,K128-L128&gt;0,COUNTIFS(A129:A$2005,A128,F129:F$2005,F128,H129:H$2005,H128,AA129:AA$2005,"&gt;0")=0),ROUND(K128-L128,6),""),"")</f>
        <v/>
      </c>
      <c r="X128" s="60" t="str">
        <f>IF(AND(A128="",C128="",D128="",H128="",L128=""),"",IF(A128="","Type manquant",IF(AND(A128&lt;&gt;"BL",A128&lt;&gt;"BR",A128&lt;&gt;"BS"),"Type inconnu (BL, BR ou BS)",IF(AG128=0,"Date manquante ou invalide",IF(D128="",IF(A128="BL","Client manquant",IF(A128="BR","Fournisseur manquant","Service manquant")),IF(IF(A128="BL",ISNA(MATCH(D128,cl_code,0)),IF(A128="BR",ISNA(MATCH(D128,fo_code,0)),ISNA(MATCH(D128,p_services,0)))),IF(A128="BL","Client inconnu",IF(A128="BR","Fournisseur inconnu","Service inconnu")),IF(H128="","Article manquant",IF(ISNA(MATCH(H128,art_ref,0)),"Article inconnu",IF(OR(NOT(ISNUMBER(L128)),N(L128)&lt;=0),"Quantité invalide",IF(AND(K128&lt;&gt;"",OR(NOT(ISNUMBER(K128)),N(K128)&lt;=0)),"Qté commandée invalide",IF(AG128&lt;SUMPRODUCT(MAX((A$6:A127=A128)*AG$6:AG127)),"Date antérieure au bon précédent",IF(AND(A128&lt;&gt;"BR",ISNUMBER(M128),N(M128)&gt;0),IF(A128="BL","Livré plus que commandé","Sorti plus que demandé"),"OK"))))))))))))</f>
        <v/>
      </c>
      <c r="Y128" s="57" t="str">
        <f>IF(AND(OR(A128="BL",A128="BR",A128="BS"),AG128&gt;0,D128&lt;&gt;""),A128&amp;"|"&amp;AG128&amp;"|"&amp;D128&amp;"|"&amp;F128,"")</f>
        <v/>
      </c>
      <c r="Z128" s="57" t="str">
        <f>IF(Y128="","",IF(COUNTIF(Y$6:Y127,Y128)=0,1,0))</f>
        <v/>
      </c>
      <c r="AA128" s="57" t="str">
        <f>IF(Y128="","",IF(Z128=1,COUNTIFS(A$6:A128,A128,Z$6:Z128,1),INDEX(AA$6:AA127,MATCH(Y128,Y$6:Y127,0))))</f>
        <v/>
      </c>
      <c r="AB128" s="57" t="str">
        <f>IF(B128="","",COUNTIF(B$6:B128,B128))</f>
        <v/>
      </c>
      <c r="AC128" s="57" t="str">
        <f>IF(B128="","",B128&amp;"#"&amp;AB128)</f>
        <v/>
      </c>
      <c r="AD128" s="57" t="str">
        <f>IF(Z128=1,A128&amp;AA128,"")</f>
        <v/>
      </c>
      <c r="AE128" s="57" t="str">
        <f>IF(B128="","",YEAR(C128))</f>
        <v/>
      </c>
      <c r="AF128" s="57" t="str">
        <f>IF(B128="","",MONTH(C128))</f>
        <v/>
      </c>
      <c r="AG128" s="57">
        <f>IF(ISNUMBER(C128),C128,0)</f>
        <v>0.0</v>
      </c>
      <c r="AH128" s="57" t="str">
        <f>IF(N(W128)&gt;0,COUNTIF(W$6:W128,"&gt;0"),"")</f>
        <v/>
      </c>
      <c r="AI128" s="57" t="str">
        <f>IF(Z128=1,COUNTIF(Z$6:Z128,1),"")</f>
        <v/>
      </c>
    </row>
    <row r="129">
      <c r="A129" s="54" t="n"/>
      <c r="B129" s="55" t="str">
        <f>IF(AA129="","",A129&amp;"-"&amp;RIGHT("000"&amp;AA129,4))</f>
        <v/>
      </c>
      <c r="C129" s="56" t="n"/>
      <c r="D129" s="54" t="n"/>
      <c r="E129" s="57" t="str">
        <f>IF(D129="","",IF(A129="BL",IFERROR(INDEX(cl_name,MATCH(D129,cl_code,0))&amp;"","Client inconnu"),IF(A129="BR",IFERROR(INDEX(fo_name,MATCH(D129,fo_code,0))&amp;"","Fournisseur inconnu"),IF(A129="BS",IF(ISNA(MATCH(D129,p_services,0)),"Service inconnu",D129&amp;""),""))))</f>
        <v/>
      </c>
      <c r="F129" s="58" t="n"/>
      <c r="G129" s="58" t="n"/>
      <c r="H129" s="59" t="n"/>
      <c r="I129" s="57" t="str">
        <f>IF(H129="","",IFERROR(INDEX(art_des,MATCH(H129,art_ref,0))&amp;"","Article inconnu"))</f>
        <v/>
      </c>
      <c r="J129" s="60" t="str">
        <f>IF(H129="","",IFERROR(INDEX(art_unit,MATCH(H129,art_ref,0))&amp;"",""))</f>
        <v/>
      </c>
      <c r="K129" s="59" t="n"/>
      <c r="L129" s="59" t="n"/>
      <c r="M129" s="61" t="str">
        <f>IF(OR(B129="",NOT(ISNUMBER(K129)),NOT(ISNUMBER(L129))),"",IF(OR(K129&lt;=0,L129&lt;=0),"",ROUND(L129-K129,6)))</f>
        <v/>
      </c>
      <c r="N129" s="58" t="n"/>
      <c r="O129" s="62" t="n"/>
      <c r="P129" s="63" t="str">
        <f>IF(OR(B129="",NOT(ISNUMBER(L129))),"",IF(L129&lt;=0,"",IFERROR(ROUND(L129*N(INDEX(art_w,MATCH(H129,art_ref,0))),3),"")))</f>
        <v/>
      </c>
      <c r="Q129" s="59" t="n"/>
      <c r="R129" s="54" t="n"/>
      <c r="S129" s="59" t="n"/>
      <c r="T129" s="59" t="n"/>
      <c r="U129" s="64" t="str">
        <f>IF(OR(B129="",H129=""),"",IFERROR(IF(A129="BL",IF(N(INDEX(art_price,MATCH(H129,art_ref,0)))=0,"",N(INDEX(art_price,MATCH(H129,art_ref,0)))),IF(N(INDEX(art_cost,MATCH(H129,art_ref,0)))=0,"",N(INDEX(art_cost,MATCH(H129,art_ref,0))))),""))</f>
        <v/>
      </c>
      <c r="V129" s="64" t="str">
        <f>IF(OR(U129="",NOT(ISNUMBER(L129))),"",IF(L129&lt;=0,"",ROUND(L129*U129,2)))</f>
        <v/>
      </c>
      <c r="W129" s="60" t="str">
        <f>IF(AND(B129&lt;&gt;"",A129&lt;&gt;"BS",F129&lt;&gt;"",H129&lt;&gt;"",ISNUMBER(K129),ISNUMBER(L129)),IF(AND(K129&gt;0,L129&gt;0,K129-L129&gt;0,COUNTIFS(A130:A$2005,A129,F130:F$2005,F129,H130:H$2005,H129,AA130:AA$2005,"&gt;0")=0),ROUND(K129-L129,6),""),"")</f>
        <v/>
      </c>
      <c r="X129" s="60" t="str">
        <f>IF(AND(A129="",C129="",D129="",H129="",L129=""),"",IF(A129="","Type manquant",IF(AND(A129&lt;&gt;"BL",A129&lt;&gt;"BR",A129&lt;&gt;"BS"),"Type inconnu (BL, BR ou BS)",IF(AG129=0,"Date manquante ou invalide",IF(D129="",IF(A129="BL","Client manquant",IF(A129="BR","Fournisseur manquant","Service manquant")),IF(IF(A129="BL",ISNA(MATCH(D129,cl_code,0)),IF(A129="BR",ISNA(MATCH(D129,fo_code,0)),ISNA(MATCH(D129,p_services,0)))),IF(A129="BL","Client inconnu",IF(A129="BR","Fournisseur inconnu","Service inconnu")),IF(H129="","Article manquant",IF(ISNA(MATCH(H129,art_ref,0)),"Article inconnu",IF(OR(NOT(ISNUMBER(L129)),N(L129)&lt;=0),"Quantité invalide",IF(AND(K129&lt;&gt;"",OR(NOT(ISNUMBER(K129)),N(K129)&lt;=0)),"Qté commandée invalide",IF(AG129&lt;SUMPRODUCT(MAX((A$6:A128=A129)*AG$6:AG128)),"Date antérieure au bon précédent",IF(AND(A129&lt;&gt;"BR",ISNUMBER(M129),N(M129)&gt;0),IF(A129="BL","Livré plus que commandé","Sorti plus que demandé"),"OK"))))))))))))</f>
        <v/>
      </c>
      <c r="Y129" s="57" t="str">
        <f>IF(AND(OR(A129="BL",A129="BR",A129="BS"),AG129&gt;0,D129&lt;&gt;""),A129&amp;"|"&amp;AG129&amp;"|"&amp;D129&amp;"|"&amp;F129,"")</f>
        <v/>
      </c>
      <c r="Z129" s="57" t="str">
        <f>IF(Y129="","",IF(COUNTIF(Y$6:Y128,Y129)=0,1,0))</f>
        <v/>
      </c>
      <c r="AA129" s="57" t="str">
        <f>IF(Y129="","",IF(Z129=1,COUNTIFS(A$6:A129,A129,Z$6:Z129,1),INDEX(AA$6:AA128,MATCH(Y129,Y$6:Y128,0))))</f>
        <v/>
      </c>
      <c r="AB129" s="57" t="str">
        <f>IF(B129="","",COUNTIF(B$6:B129,B129))</f>
        <v/>
      </c>
      <c r="AC129" s="57" t="str">
        <f>IF(B129="","",B129&amp;"#"&amp;AB129)</f>
        <v/>
      </c>
      <c r="AD129" s="57" t="str">
        <f>IF(Z129=1,A129&amp;AA129,"")</f>
        <v/>
      </c>
      <c r="AE129" s="57" t="str">
        <f>IF(B129="","",YEAR(C129))</f>
        <v/>
      </c>
      <c r="AF129" s="57" t="str">
        <f>IF(B129="","",MONTH(C129))</f>
        <v/>
      </c>
      <c r="AG129" s="57">
        <f>IF(ISNUMBER(C129),C129,0)</f>
        <v>0.0</v>
      </c>
      <c r="AH129" s="57" t="str">
        <f>IF(N(W129)&gt;0,COUNTIF(W$6:W129,"&gt;0"),"")</f>
        <v/>
      </c>
      <c r="AI129" s="57" t="str">
        <f>IF(Z129=1,COUNTIF(Z$6:Z129,1),"")</f>
        <v/>
      </c>
    </row>
    <row r="130">
      <c r="A130" s="54" t="n"/>
      <c r="B130" s="55" t="str">
        <f>IF(AA130="","",A130&amp;"-"&amp;RIGHT("000"&amp;AA130,4))</f>
        <v/>
      </c>
      <c r="C130" s="56" t="n"/>
      <c r="D130" s="54" t="n"/>
      <c r="E130" s="57" t="str">
        <f>IF(D130="","",IF(A130="BL",IFERROR(INDEX(cl_name,MATCH(D130,cl_code,0))&amp;"","Client inconnu"),IF(A130="BR",IFERROR(INDEX(fo_name,MATCH(D130,fo_code,0))&amp;"","Fournisseur inconnu"),IF(A130="BS",IF(ISNA(MATCH(D130,p_services,0)),"Service inconnu",D130&amp;""),""))))</f>
        <v/>
      </c>
      <c r="F130" s="58" t="n"/>
      <c r="G130" s="58" t="n"/>
      <c r="H130" s="59" t="n"/>
      <c r="I130" s="57" t="str">
        <f>IF(H130="","",IFERROR(INDEX(art_des,MATCH(H130,art_ref,0))&amp;"","Article inconnu"))</f>
        <v/>
      </c>
      <c r="J130" s="60" t="str">
        <f>IF(H130="","",IFERROR(INDEX(art_unit,MATCH(H130,art_ref,0))&amp;"",""))</f>
        <v/>
      </c>
      <c r="K130" s="59" t="n"/>
      <c r="L130" s="59" t="n"/>
      <c r="M130" s="61" t="str">
        <f>IF(OR(B130="",NOT(ISNUMBER(K130)),NOT(ISNUMBER(L130))),"",IF(OR(K130&lt;=0,L130&lt;=0),"",ROUND(L130-K130,6)))</f>
        <v/>
      </c>
      <c r="N130" s="58" t="n"/>
      <c r="O130" s="62" t="n"/>
      <c r="P130" s="63" t="str">
        <f>IF(OR(B130="",NOT(ISNUMBER(L130))),"",IF(L130&lt;=0,"",IFERROR(ROUND(L130*N(INDEX(art_w,MATCH(H130,art_ref,0))),3),"")))</f>
        <v/>
      </c>
      <c r="Q130" s="59" t="n"/>
      <c r="R130" s="54" t="n"/>
      <c r="S130" s="59" t="n"/>
      <c r="T130" s="59" t="n"/>
      <c r="U130" s="64" t="str">
        <f>IF(OR(B130="",H130=""),"",IFERROR(IF(A130="BL",IF(N(INDEX(art_price,MATCH(H130,art_ref,0)))=0,"",N(INDEX(art_price,MATCH(H130,art_ref,0)))),IF(N(INDEX(art_cost,MATCH(H130,art_ref,0)))=0,"",N(INDEX(art_cost,MATCH(H130,art_ref,0))))),""))</f>
        <v/>
      </c>
      <c r="V130" s="64" t="str">
        <f>IF(OR(U130="",NOT(ISNUMBER(L130))),"",IF(L130&lt;=0,"",ROUND(L130*U130,2)))</f>
        <v/>
      </c>
      <c r="W130" s="60" t="str">
        <f>IF(AND(B130&lt;&gt;"",A130&lt;&gt;"BS",F130&lt;&gt;"",H130&lt;&gt;"",ISNUMBER(K130),ISNUMBER(L130)),IF(AND(K130&gt;0,L130&gt;0,K130-L130&gt;0,COUNTIFS(A131:A$2005,A130,F131:F$2005,F130,H131:H$2005,H130,AA131:AA$2005,"&gt;0")=0),ROUND(K130-L130,6),""),"")</f>
        <v/>
      </c>
      <c r="X130" s="60" t="str">
        <f>IF(AND(A130="",C130="",D130="",H130="",L130=""),"",IF(A130="","Type manquant",IF(AND(A130&lt;&gt;"BL",A130&lt;&gt;"BR",A130&lt;&gt;"BS"),"Type inconnu (BL, BR ou BS)",IF(AG130=0,"Date manquante ou invalide",IF(D130="",IF(A130="BL","Client manquant",IF(A130="BR","Fournisseur manquant","Service manquant")),IF(IF(A130="BL",ISNA(MATCH(D130,cl_code,0)),IF(A130="BR",ISNA(MATCH(D130,fo_code,0)),ISNA(MATCH(D130,p_services,0)))),IF(A130="BL","Client inconnu",IF(A130="BR","Fournisseur inconnu","Service inconnu")),IF(H130="","Article manquant",IF(ISNA(MATCH(H130,art_ref,0)),"Article inconnu",IF(OR(NOT(ISNUMBER(L130)),N(L130)&lt;=0),"Quantité invalide",IF(AND(K130&lt;&gt;"",OR(NOT(ISNUMBER(K130)),N(K130)&lt;=0)),"Qté commandée invalide",IF(AG130&lt;SUMPRODUCT(MAX((A$6:A129=A130)*AG$6:AG129)),"Date antérieure au bon précédent",IF(AND(A130&lt;&gt;"BR",ISNUMBER(M130),N(M130)&gt;0),IF(A130="BL","Livré plus que commandé","Sorti plus que demandé"),"OK"))))))))))))</f>
        <v/>
      </c>
      <c r="Y130" s="57" t="str">
        <f>IF(AND(OR(A130="BL",A130="BR",A130="BS"),AG130&gt;0,D130&lt;&gt;""),A130&amp;"|"&amp;AG130&amp;"|"&amp;D130&amp;"|"&amp;F130,"")</f>
        <v/>
      </c>
      <c r="Z130" s="57" t="str">
        <f>IF(Y130="","",IF(COUNTIF(Y$6:Y129,Y130)=0,1,0))</f>
        <v/>
      </c>
      <c r="AA130" s="57" t="str">
        <f>IF(Y130="","",IF(Z130=1,COUNTIFS(A$6:A130,A130,Z$6:Z130,1),INDEX(AA$6:AA129,MATCH(Y130,Y$6:Y129,0))))</f>
        <v/>
      </c>
      <c r="AB130" s="57" t="str">
        <f>IF(B130="","",COUNTIF(B$6:B130,B130))</f>
        <v/>
      </c>
      <c r="AC130" s="57" t="str">
        <f>IF(B130="","",B130&amp;"#"&amp;AB130)</f>
        <v/>
      </c>
      <c r="AD130" s="57" t="str">
        <f>IF(Z130=1,A130&amp;AA130,"")</f>
        <v/>
      </c>
      <c r="AE130" s="57" t="str">
        <f>IF(B130="","",YEAR(C130))</f>
        <v/>
      </c>
      <c r="AF130" s="57" t="str">
        <f>IF(B130="","",MONTH(C130))</f>
        <v/>
      </c>
      <c r="AG130" s="57">
        <f>IF(ISNUMBER(C130),C130,0)</f>
        <v>0.0</v>
      </c>
      <c r="AH130" s="57" t="str">
        <f>IF(N(W130)&gt;0,COUNTIF(W$6:W130,"&gt;0"),"")</f>
        <v/>
      </c>
      <c r="AI130" s="57" t="str">
        <f>IF(Z130=1,COUNTIF(Z$6:Z130,1),"")</f>
        <v/>
      </c>
    </row>
    <row r="131">
      <c r="A131" s="54" t="n"/>
      <c r="B131" s="55" t="str">
        <f>IF(AA131="","",A131&amp;"-"&amp;RIGHT("000"&amp;AA131,4))</f>
        <v/>
      </c>
      <c r="C131" s="56" t="n"/>
      <c r="D131" s="54" t="n"/>
      <c r="E131" s="57" t="str">
        <f>IF(D131="","",IF(A131="BL",IFERROR(INDEX(cl_name,MATCH(D131,cl_code,0))&amp;"","Client inconnu"),IF(A131="BR",IFERROR(INDEX(fo_name,MATCH(D131,fo_code,0))&amp;"","Fournisseur inconnu"),IF(A131="BS",IF(ISNA(MATCH(D131,p_services,0)),"Service inconnu",D131&amp;""),""))))</f>
        <v/>
      </c>
      <c r="F131" s="58" t="n"/>
      <c r="G131" s="58" t="n"/>
      <c r="H131" s="59" t="n"/>
      <c r="I131" s="57" t="str">
        <f>IF(H131="","",IFERROR(INDEX(art_des,MATCH(H131,art_ref,0))&amp;"","Article inconnu"))</f>
        <v/>
      </c>
      <c r="J131" s="60" t="str">
        <f>IF(H131="","",IFERROR(INDEX(art_unit,MATCH(H131,art_ref,0))&amp;"",""))</f>
        <v/>
      </c>
      <c r="K131" s="59" t="n"/>
      <c r="L131" s="59" t="n"/>
      <c r="M131" s="61" t="str">
        <f>IF(OR(B131="",NOT(ISNUMBER(K131)),NOT(ISNUMBER(L131))),"",IF(OR(K131&lt;=0,L131&lt;=0),"",ROUND(L131-K131,6)))</f>
        <v/>
      </c>
      <c r="N131" s="58" t="n"/>
      <c r="O131" s="62" t="n"/>
      <c r="P131" s="63" t="str">
        <f>IF(OR(B131="",NOT(ISNUMBER(L131))),"",IF(L131&lt;=0,"",IFERROR(ROUND(L131*N(INDEX(art_w,MATCH(H131,art_ref,0))),3),"")))</f>
        <v/>
      </c>
      <c r="Q131" s="59" t="n"/>
      <c r="R131" s="54" t="n"/>
      <c r="S131" s="59" t="n"/>
      <c r="T131" s="59" t="n"/>
      <c r="U131" s="64" t="str">
        <f>IF(OR(B131="",H131=""),"",IFERROR(IF(A131="BL",IF(N(INDEX(art_price,MATCH(H131,art_ref,0)))=0,"",N(INDEX(art_price,MATCH(H131,art_ref,0)))),IF(N(INDEX(art_cost,MATCH(H131,art_ref,0)))=0,"",N(INDEX(art_cost,MATCH(H131,art_ref,0))))),""))</f>
        <v/>
      </c>
      <c r="V131" s="64" t="str">
        <f>IF(OR(U131="",NOT(ISNUMBER(L131))),"",IF(L131&lt;=0,"",ROUND(L131*U131,2)))</f>
        <v/>
      </c>
      <c r="W131" s="60" t="str">
        <f>IF(AND(B131&lt;&gt;"",A131&lt;&gt;"BS",F131&lt;&gt;"",H131&lt;&gt;"",ISNUMBER(K131),ISNUMBER(L131)),IF(AND(K131&gt;0,L131&gt;0,K131-L131&gt;0,COUNTIFS(A132:A$2005,A131,F132:F$2005,F131,H132:H$2005,H131,AA132:AA$2005,"&gt;0")=0),ROUND(K131-L131,6),""),"")</f>
        <v/>
      </c>
      <c r="X131" s="60" t="str">
        <f>IF(AND(A131="",C131="",D131="",H131="",L131=""),"",IF(A131="","Type manquant",IF(AND(A131&lt;&gt;"BL",A131&lt;&gt;"BR",A131&lt;&gt;"BS"),"Type inconnu (BL, BR ou BS)",IF(AG131=0,"Date manquante ou invalide",IF(D131="",IF(A131="BL","Client manquant",IF(A131="BR","Fournisseur manquant","Service manquant")),IF(IF(A131="BL",ISNA(MATCH(D131,cl_code,0)),IF(A131="BR",ISNA(MATCH(D131,fo_code,0)),ISNA(MATCH(D131,p_services,0)))),IF(A131="BL","Client inconnu",IF(A131="BR","Fournisseur inconnu","Service inconnu")),IF(H131="","Article manquant",IF(ISNA(MATCH(H131,art_ref,0)),"Article inconnu",IF(OR(NOT(ISNUMBER(L131)),N(L131)&lt;=0),"Quantité invalide",IF(AND(K131&lt;&gt;"",OR(NOT(ISNUMBER(K131)),N(K131)&lt;=0)),"Qté commandée invalide",IF(AG131&lt;SUMPRODUCT(MAX((A$6:A130=A131)*AG$6:AG130)),"Date antérieure au bon précédent",IF(AND(A131&lt;&gt;"BR",ISNUMBER(M131),N(M131)&gt;0),IF(A131="BL","Livré plus que commandé","Sorti plus que demandé"),"OK"))))))))))))</f>
        <v/>
      </c>
      <c r="Y131" s="57" t="str">
        <f>IF(AND(OR(A131="BL",A131="BR",A131="BS"),AG131&gt;0,D131&lt;&gt;""),A131&amp;"|"&amp;AG131&amp;"|"&amp;D131&amp;"|"&amp;F131,"")</f>
        <v/>
      </c>
      <c r="Z131" s="57" t="str">
        <f>IF(Y131="","",IF(COUNTIF(Y$6:Y130,Y131)=0,1,0))</f>
        <v/>
      </c>
      <c r="AA131" s="57" t="str">
        <f>IF(Y131="","",IF(Z131=1,COUNTIFS(A$6:A131,A131,Z$6:Z131,1),INDEX(AA$6:AA130,MATCH(Y131,Y$6:Y130,0))))</f>
        <v/>
      </c>
      <c r="AB131" s="57" t="str">
        <f>IF(B131="","",COUNTIF(B$6:B131,B131))</f>
        <v/>
      </c>
      <c r="AC131" s="57" t="str">
        <f>IF(B131="","",B131&amp;"#"&amp;AB131)</f>
        <v/>
      </c>
      <c r="AD131" s="57" t="str">
        <f>IF(Z131=1,A131&amp;AA131,"")</f>
        <v/>
      </c>
      <c r="AE131" s="57" t="str">
        <f>IF(B131="","",YEAR(C131))</f>
        <v/>
      </c>
      <c r="AF131" s="57" t="str">
        <f>IF(B131="","",MONTH(C131))</f>
        <v/>
      </c>
      <c r="AG131" s="57">
        <f>IF(ISNUMBER(C131),C131,0)</f>
        <v>0.0</v>
      </c>
      <c r="AH131" s="57" t="str">
        <f>IF(N(W131)&gt;0,COUNTIF(W$6:W131,"&gt;0"),"")</f>
        <v/>
      </c>
      <c r="AI131" s="57" t="str">
        <f>IF(Z131=1,COUNTIF(Z$6:Z131,1),"")</f>
        <v/>
      </c>
    </row>
    <row r="132">
      <c r="A132" s="54" t="n"/>
      <c r="B132" s="55" t="str">
        <f>IF(AA132="","",A132&amp;"-"&amp;RIGHT("000"&amp;AA132,4))</f>
        <v/>
      </c>
      <c r="C132" s="56" t="n"/>
      <c r="D132" s="54" t="n"/>
      <c r="E132" s="57" t="str">
        <f>IF(D132="","",IF(A132="BL",IFERROR(INDEX(cl_name,MATCH(D132,cl_code,0))&amp;"","Client inconnu"),IF(A132="BR",IFERROR(INDEX(fo_name,MATCH(D132,fo_code,0))&amp;"","Fournisseur inconnu"),IF(A132="BS",IF(ISNA(MATCH(D132,p_services,0)),"Service inconnu",D132&amp;""),""))))</f>
        <v/>
      </c>
      <c r="F132" s="58" t="n"/>
      <c r="G132" s="58" t="n"/>
      <c r="H132" s="59" t="n"/>
      <c r="I132" s="57" t="str">
        <f>IF(H132="","",IFERROR(INDEX(art_des,MATCH(H132,art_ref,0))&amp;"","Article inconnu"))</f>
        <v/>
      </c>
      <c r="J132" s="60" t="str">
        <f>IF(H132="","",IFERROR(INDEX(art_unit,MATCH(H132,art_ref,0))&amp;"",""))</f>
        <v/>
      </c>
      <c r="K132" s="59" t="n"/>
      <c r="L132" s="59" t="n"/>
      <c r="M132" s="61" t="str">
        <f>IF(OR(B132="",NOT(ISNUMBER(K132)),NOT(ISNUMBER(L132))),"",IF(OR(K132&lt;=0,L132&lt;=0),"",ROUND(L132-K132,6)))</f>
        <v/>
      </c>
      <c r="N132" s="58" t="n"/>
      <c r="O132" s="62" t="n"/>
      <c r="P132" s="63" t="str">
        <f>IF(OR(B132="",NOT(ISNUMBER(L132))),"",IF(L132&lt;=0,"",IFERROR(ROUND(L132*N(INDEX(art_w,MATCH(H132,art_ref,0))),3),"")))</f>
        <v/>
      </c>
      <c r="Q132" s="59" t="n"/>
      <c r="R132" s="54" t="n"/>
      <c r="S132" s="59" t="n"/>
      <c r="T132" s="59" t="n"/>
      <c r="U132" s="64" t="str">
        <f>IF(OR(B132="",H132=""),"",IFERROR(IF(A132="BL",IF(N(INDEX(art_price,MATCH(H132,art_ref,0)))=0,"",N(INDEX(art_price,MATCH(H132,art_ref,0)))),IF(N(INDEX(art_cost,MATCH(H132,art_ref,0)))=0,"",N(INDEX(art_cost,MATCH(H132,art_ref,0))))),""))</f>
        <v/>
      </c>
      <c r="V132" s="64" t="str">
        <f>IF(OR(U132="",NOT(ISNUMBER(L132))),"",IF(L132&lt;=0,"",ROUND(L132*U132,2)))</f>
        <v/>
      </c>
      <c r="W132" s="60" t="str">
        <f>IF(AND(B132&lt;&gt;"",A132&lt;&gt;"BS",F132&lt;&gt;"",H132&lt;&gt;"",ISNUMBER(K132),ISNUMBER(L132)),IF(AND(K132&gt;0,L132&gt;0,K132-L132&gt;0,COUNTIFS(A133:A$2005,A132,F133:F$2005,F132,H133:H$2005,H132,AA133:AA$2005,"&gt;0")=0),ROUND(K132-L132,6),""),"")</f>
        <v/>
      </c>
      <c r="X132" s="60" t="str">
        <f>IF(AND(A132="",C132="",D132="",H132="",L132=""),"",IF(A132="","Type manquant",IF(AND(A132&lt;&gt;"BL",A132&lt;&gt;"BR",A132&lt;&gt;"BS"),"Type inconnu (BL, BR ou BS)",IF(AG132=0,"Date manquante ou invalide",IF(D132="",IF(A132="BL","Client manquant",IF(A132="BR","Fournisseur manquant","Service manquant")),IF(IF(A132="BL",ISNA(MATCH(D132,cl_code,0)),IF(A132="BR",ISNA(MATCH(D132,fo_code,0)),ISNA(MATCH(D132,p_services,0)))),IF(A132="BL","Client inconnu",IF(A132="BR","Fournisseur inconnu","Service inconnu")),IF(H132="","Article manquant",IF(ISNA(MATCH(H132,art_ref,0)),"Article inconnu",IF(OR(NOT(ISNUMBER(L132)),N(L132)&lt;=0),"Quantité invalide",IF(AND(K132&lt;&gt;"",OR(NOT(ISNUMBER(K132)),N(K132)&lt;=0)),"Qté commandée invalide",IF(AG132&lt;SUMPRODUCT(MAX((A$6:A131=A132)*AG$6:AG131)),"Date antérieure au bon précédent",IF(AND(A132&lt;&gt;"BR",ISNUMBER(M132),N(M132)&gt;0),IF(A132="BL","Livré plus que commandé","Sorti plus que demandé"),"OK"))))))))))))</f>
        <v/>
      </c>
      <c r="Y132" s="57" t="str">
        <f>IF(AND(OR(A132="BL",A132="BR",A132="BS"),AG132&gt;0,D132&lt;&gt;""),A132&amp;"|"&amp;AG132&amp;"|"&amp;D132&amp;"|"&amp;F132,"")</f>
        <v/>
      </c>
      <c r="Z132" s="57" t="str">
        <f>IF(Y132="","",IF(COUNTIF(Y$6:Y131,Y132)=0,1,0))</f>
        <v/>
      </c>
      <c r="AA132" s="57" t="str">
        <f>IF(Y132="","",IF(Z132=1,COUNTIFS(A$6:A132,A132,Z$6:Z132,1),INDEX(AA$6:AA131,MATCH(Y132,Y$6:Y131,0))))</f>
        <v/>
      </c>
      <c r="AB132" s="57" t="str">
        <f>IF(B132="","",COUNTIF(B$6:B132,B132))</f>
        <v/>
      </c>
      <c r="AC132" s="57" t="str">
        <f>IF(B132="","",B132&amp;"#"&amp;AB132)</f>
        <v/>
      </c>
      <c r="AD132" s="57" t="str">
        <f>IF(Z132=1,A132&amp;AA132,"")</f>
        <v/>
      </c>
      <c r="AE132" s="57" t="str">
        <f>IF(B132="","",YEAR(C132))</f>
        <v/>
      </c>
      <c r="AF132" s="57" t="str">
        <f>IF(B132="","",MONTH(C132))</f>
        <v/>
      </c>
      <c r="AG132" s="57">
        <f>IF(ISNUMBER(C132),C132,0)</f>
        <v>0.0</v>
      </c>
      <c r="AH132" s="57" t="str">
        <f>IF(N(W132)&gt;0,COUNTIF(W$6:W132,"&gt;0"),"")</f>
        <v/>
      </c>
      <c r="AI132" s="57" t="str">
        <f>IF(Z132=1,COUNTIF(Z$6:Z132,1),"")</f>
        <v/>
      </c>
    </row>
    <row r="133">
      <c r="A133" s="54" t="n"/>
      <c r="B133" s="55" t="str">
        <f>IF(AA133="","",A133&amp;"-"&amp;RIGHT("000"&amp;AA133,4))</f>
        <v/>
      </c>
      <c r="C133" s="56" t="n"/>
      <c r="D133" s="54" t="n"/>
      <c r="E133" s="57" t="str">
        <f>IF(D133="","",IF(A133="BL",IFERROR(INDEX(cl_name,MATCH(D133,cl_code,0))&amp;"","Client inconnu"),IF(A133="BR",IFERROR(INDEX(fo_name,MATCH(D133,fo_code,0))&amp;"","Fournisseur inconnu"),IF(A133="BS",IF(ISNA(MATCH(D133,p_services,0)),"Service inconnu",D133&amp;""),""))))</f>
        <v/>
      </c>
      <c r="F133" s="58" t="n"/>
      <c r="G133" s="58" t="n"/>
      <c r="H133" s="59" t="n"/>
      <c r="I133" s="57" t="str">
        <f>IF(H133="","",IFERROR(INDEX(art_des,MATCH(H133,art_ref,0))&amp;"","Article inconnu"))</f>
        <v/>
      </c>
      <c r="J133" s="60" t="str">
        <f>IF(H133="","",IFERROR(INDEX(art_unit,MATCH(H133,art_ref,0))&amp;"",""))</f>
        <v/>
      </c>
      <c r="K133" s="59" t="n"/>
      <c r="L133" s="59" t="n"/>
      <c r="M133" s="61" t="str">
        <f>IF(OR(B133="",NOT(ISNUMBER(K133)),NOT(ISNUMBER(L133))),"",IF(OR(K133&lt;=0,L133&lt;=0),"",ROUND(L133-K133,6)))</f>
        <v/>
      </c>
      <c r="N133" s="58" t="n"/>
      <c r="O133" s="62" t="n"/>
      <c r="P133" s="63" t="str">
        <f>IF(OR(B133="",NOT(ISNUMBER(L133))),"",IF(L133&lt;=0,"",IFERROR(ROUND(L133*N(INDEX(art_w,MATCH(H133,art_ref,0))),3),"")))</f>
        <v/>
      </c>
      <c r="Q133" s="59" t="n"/>
      <c r="R133" s="54" t="n"/>
      <c r="S133" s="59" t="n"/>
      <c r="T133" s="59" t="n"/>
      <c r="U133" s="64" t="str">
        <f>IF(OR(B133="",H133=""),"",IFERROR(IF(A133="BL",IF(N(INDEX(art_price,MATCH(H133,art_ref,0)))=0,"",N(INDEX(art_price,MATCH(H133,art_ref,0)))),IF(N(INDEX(art_cost,MATCH(H133,art_ref,0)))=0,"",N(INDEX(art_cost,MATCH(H133,art_ref,0))))),""))</f>
        <v/>
      </c>
      <c r="V133" s="64" t="str">
        <f>IF(OR(U133="",NOT(ISNUMBER(L133))),"",IF(L133&lt;=0,"",ROUND(L133*U133,2)))</f>
        <v/>
      </c>
      <c r="W133" s="60" t="str">
        <f>IF(AND(B133&lt;&gt;"",A133&lt;&gt;"BS",F133&lt;&gt;"",H133&lt;&gt;"",ISNUMBER(K133),ISNUMBER(L133)),IF(AND(K133&gt;0,L133&gt;0,K133-L133&gt;0,COUNTIFS(A134:A$2005,A133,F134:F$2005,F133,H134:H$2005,H133,AA134:AA$2005,"&gt;0")=0),ROUND(K133-L133,6),""),"")</f>
        <v/>
      </c>
      <c r="X133" s="60" t="str">
        <f>IF(AND(A133="",C133="",D133="",H133="",L133=""),"",IF(A133="","Type manquant",IF(AND(A133&lt;&gt;"BL",A133&lt;&gt;"BR",A133&lt;&gt;"BS"),"Type inconnu (BL, BR ou BS)",IF(AG133=0,"Date manquante ou invalide",IF(D133="",IF(A133="BL","Client manquant",IF(A133="BR","Fournisseur manquant","Service manquant")),IF(IF(A133="BL",ISNA(MATCH(D133,cl_code,0)),IF(A133="BR",ISNA(MATCH(D133,fo_code,0)),ISNA(MATCH(D133,p_services,0)))),IF(A133="BL","Client inconnu",IF(A133="BR","Fournisseur inconnu","Service inconnu")),IF(H133="","Article manquant",IF(ISNA(MATCH(H133,art_ref,0)),"Article inconnu",IF(OR(NOT(ISNUMBER(L133)),N(L133)&lt;=0),"Quantité invalide",IF(AND(K133&lt;&gt;"",OR(NOT(ISNUMBER(K133)),N(K133)&lt;=0)),"Qté commandée invalide",IF(AG133&lt;SUMPRODUCT(MAX((A$6:A132=A133)*AG$6:AG132)),"Date antérieure au bon précédent",IF(AND(A133&lt;&gt;"BR",ISNUMBER(M133),N(M133)&gt;0),IF(A133="BL","Livré plus que commandé","Sorti plus que demandé"),"OK"))))))))))))</f>
        <v/>
      </c>
      <c r="Y133" s="57" t="str">
        <f>IF(AND(OR(A133="BL",A133="BR",A133="BS"),AG133&gt;0,D133&lt;&gt;""),A133&amp;"|"&amp;AG133&amp;"|"&amp;D133&amp;"|"&amp;F133,"")</f>
        <v/>
      </c>
      <c r="Z133" s="57" t="str">
        <f>IF(Y133="","",IF(COUNTIF(Y$6:Y132,Y133)=0,1,0))</f>
        <v/>
      </c>
      <c r="AA133" s="57" t="str">
        <f>IF(Y133="","",IF(Z133=1,COUNTIFS(A$6:A133,A133,Z$6:Z133,1),INDEX(AA$6:AA132,MATCH(Y133,Y$6:Y132,0))))</f>
        <v/>
      </c>
      <c r="AB133" s="57" t="str">
        <f>IF(B133="","",COUNTIF(B$6:B133,B133))</f>
        <v/>
      </c>
      <c r="AC133" s="57" t="str">
        <f>IF(B133="","",B133&amp;"#"&amp;AB133)</f>
        <v/>
      </c>
      <c r="AD133" s="57" t="str">
        <f>IF(Z133=1,A133&amp;AA133,"")</f>
        <v/>
      </c>
      <c r="AE133" s="57" t="str">
        <f>IF(B133="","",YEAR(C133))</f>
        <v/>
      </c>
      <c r="AF133" s="57" t="str">
        <f>IF(B133="","",MONTH(C133))</f>
        <v/>
      </c>
      <c r="AG133" s="57">
        <f>IF(ISNUMBER(C133),C133,0)</f>
        <v>0.0</v>
      </c>
      <c r="AH133" s="57" t="str">
        <f>IF(N(W133)&gt;0,COUNTIF(W$6:W133,"&gt;0"),"")</f>
        <v/>
      </c>
      <c r="AI133" s="57" t="str">
        <f>IF(Z133=1,COUNTIF(Z$6:Z133,1),"")</f>
        <v/>
      </c>
    </row>
    <row r="134">
      <c r="A134" s="54" t="n"/>
      <c r="B134" s="55" t="str">
        <f>IF(AA134="","",A134&amp;"-"&amp;RIGHT("000"&amp;AA134,4))</f>
        <v/>
      </c>
      <c r="C134" s="56" t="n"/>
      <c r="D134" s="54" t="n"/>
      <c r="E134" s="57" t="str">
        <f>IF(D134="","",IF(A134="BL",IFERROR(INDEX(cl_name,MATCH(D134,cl_code,0))&amp;"","Client inconnu"),IF(A134="BR",IFERROR(INDEX(fo_name,MATCH(D134,fo_code,0))&amp;"","Fournisseur inconnu"),IF(A134="BS",IF(ISNA(MATCH(D134,p_services,0)),"Service inconnu",D134&amp;""),""))))</f>
        <v/>
      </c>
      <c r="F134" s="58" t="n"/>
      <c r="G134" s="58" t="n"/>
      <c r="H134" s="59" t="n"/>
      <c r="I134" s="57" t="str">
        <f>IF(H134="","",IFERROR(INDEX(art_des,MATCH(H134,art_ref,0))&amp;"","Article inconnu"))</f>
        <v/>
      </c>
      <c r="J134" s="60" t="str">
        <f>IF(H134="","",IFERROR(INDEX(art_unit,MATCH(H134,art_ref,0))&amp;"",""))</f>
        <v/>
      </c>
      <c r="K134" s="59" t="n"/>
      <c r="L134" s="59" t="n"/>
      <c r="M134" s="61" t="str">
        <f>IF(OR(B134="",NOT(ISNUMBER(K134)),NOT(ISNUMBER(L134))),"",IF(OR(K134&lt;=0,L134&lt;=0),"",ROUND(L134-K134,6)))</f>
        <v/>
      </c>
      <c r="N134" s="58" t="n"/>
      <c r="O134" s="62" t="n"/>
      <c r="P134" s="63" t="str">
        <f>IF(OR(B134="",NOT(ISNUMBER(L134))),"",IF(L134&lt;=0,"",IFERROR(ROUND(L134*N(INDEX(art_w,MATCH(H134,art_ref,0))),3),"")))</f>
        <v/>
      </c>
      <c r="Q134" s="59" t="n"/>
      <c r="R134" s="54" t="n"/>
      <c r="S134" s="59" t="n"/>
      <c r="T134" s="59" t="n"/>
      <c r="U134" s="64" t="str">
        <f>IF(OR(B134="",H134=""),"",IFERROR(IF(A134="BL",IF(N(INDEX(art_price,MATCH(H134,art_ref,0)))=0,"",N(INDEX(art_price,MATCH(H134,art_ref,0)))),IF(N(INDEX(art_cost,MATCH(H134,art_ref,0)))=0,"",N(INDEX(art_cost,MATCH(H134,art_ref,0))))),""))</f>
        <v/>
      </c>
      <c r="V134" s="64" t="str">
        <f>IF(OR(U134="",NOT(ISNUMBER(L134))),"",IF(L134&lt;=0,"",ROUND(L134*U134,2)))</f>
        <v/>
      </c>
      <c r="W134" s="60" t="str">
        <f>IF(AND(B134&lt;&gt;"",A134&lt;&gt;"BS",F134&lt;&gt;"",H134&lt;&gt;"",ISNUMBER(K134),ISNUMBER(L134)),IF(AND(K134&gt;0,L134&gt;0,K134-L134&gt;0,COUNTIFS(A135:A$2005,A134,F135:F$2005,F134,H135:H$2005,H134,AA135:AA$2005,"&gt;0")=0),ROUND(K134-L134,6),""),"")</f>
        <v/>
      </c>
      <c r="X134" s="60" t="str">
        <f>IF(AND(A134="",C134="",D134="",H134="",L134=""),"",IF(A134="","Type manquant",IF(AND(A134&lt;&gt;"BL",A134&lt;&gt;"BR",A134&lt;&gt;"BS"),"Type inconnu (BL, BR ou BS)",IF(AG134=0,"Date manquante ou invalide",IF(D134="",IF(A134="BL","Client manquant",IF(A134="BR","Fournisseur manquant","Service manquant")),IF(IF(A134="BL",ISNA(MATCH(D134,cl_code,0)),IF(A134="BR",ISNA(MATCH(D134,fo_code,0)),ISNA(MATCH(D134,p_services,0)))),IF(A134="BL","Client inconnu",IF(A134="BR","Fournisseur inconnu","Service inconnu")),IF(H134="","Article manquant",IF(ISNA(MATCH(H134,art_ref,0)),"Article inconnu",IF(OR(NOT(ISNUMBER(L134)),N(L134)&lt;=0),"Quantité invalide",IF(AND(K134&lt;&gt;"",OR(NOT(ISNUMBER(K134)),N(K134)&lt;=0)),"Qté commandée invalide",IF(AG134&lt;SUMPRODUCT(MAX((A$6:A133=A134)*AG$6:AG133)),"Date antérieure au bon précédent",IF(AND(A134&lt;&gt;"BR",ISNUMBER(M134),N(M134)&gt;0),IF(A134="BL","Livré plus que commandé","Sorti plus que demandé"),"OK"))))))))))))</f>
        <v/>
      </c>
      <c r="Y134" s="57" t="str">
        <f>IF(AND(OR(A134="BL",A134="BR",A134="BS"),AG134&gt;0,D134&lt;&gt;""),A134&amp;"|"&amp;AG134&amp;"|"&amp;D134&amp;"|"&amp;F134,"")</f>
        <v/>
      </c>
      <c r="Z134" s="57" t="str">
        <f>IF(Y134="","",IF(COUNTIF(Y$6:Y133,Y134)=0,1,0))</f>
        <v/>
      </c>
      <c r="AA134" s="57" t="str">
        <f>IF(Y134="","",IF(Z134=1,COUNTIFS(A$6:A134,A134,Z$6:Z134,1),INDEX(AA$6:AA133,MATCH(Y134,Y$6:Y133,0))))</f>
        <v/>
      </c>
      <c r="AB134" s="57" t="str">
        <f>IF(B134="","",COUNTIF(B$6:B134,B134))</f>
        <v/>
      </c>
      <c r="AC134" s="57" t="str">
        <f>IF(B134="","",B134&amp;"#"&amp;AB134)</f>
        <v/>
      </c>
      <c r="AD134" s="57" t="str">
        <f>IF(Z134=1,A134&amp;AA134,"")</f>
        <v/>
      </c>
      <c r="AE134" s="57" t="str">
        <f>IF(B134="","",YEAR(C134))</f>
        <v/>
      </c>
      <c r="AF134" s="57" t="str">
        <f>IF(B134="","",MONTH(C134))</f>
        <v/>
      </c>
      <c r="AG134" s="57">
        <f>IF(ISNUMBER(C134),C134,0)</f>
        <v>0.0</v>
      </c>
      <c r="AH134" s="57" t="str">
        <f>IF(N(W134)&gt;0,COUNTIF(W$6:W134,"&gt;0"),"")</f>
        <v/>
      </c>
      <c r="AI134" s="57" t="str">
        <f>IF(Z134=1,COUNTIF(Z$6:Z134,1),"")</f>
        <v/>
      </c>
    </row>
    <row r="135">
      <c r="A135" s="54" t="n"/>
      <c r="B135" s="55" t="str">
        <f>IF(AA135="","",A135&amp;"-"&amp;RIGHT("000"&amp;AA135,4))</f>
        <v/>
      </c>
      <c r="C135" s="56" t="n"/>
      <c r="D135" s="54" t="n"/>
      <c r="E135" s="57" t="str">
        <f>IF(D135="","",IF(A135="BL",IFERROR(INDEX(cl_name,MATCH(D135,cl_code,0))&amp;"","Client inconnu"),IF(A135="BR",IFERROR(INDEX(fo_name,MATCH(D135,fo_code,0))&amp;"","Fournisseur inconnu"),IF(A135="BS",IF(ISNA(MATCH(D135,p_services,0)),"Service inconnu",D135&amp;""),""))))</f>
        <v/>
      </c>
      <c r="F135" s="58" t="n"/>
      <c r="G135" s="58" t="n"/>
      <c r="H135" s="59" t="n"/>
      <c r="I135" s="57" t="str">
        <f>IF(H135="","",IFERROR(INDEX(art_des,MATCH(H135,art_ref,0))&amp;"","Article inconnu"))</f>
        <v/>
      </c>
      <c r="J135" s="60" t="str">
        <f>IF(H135="","",IFERROR(INDEX(art_unit,MATCH(H135,art_ref,0))&amp;"",""))</f>
        <v/>
      </c>
      <c r="K135" s="59" t="n"/>
      <c r="L135" s="59" t="n"/>
      <c r="M135" s="61" t="str">
        <f>IF(OR(B135="",NOT(ISNUMBER(K135)),NOT(ISNUMBER(L135))),"",IF(OR(K135&lt;=0,L135&lt;=0),"",ROUND(L135-K135,6)))</f>
        <v/>
      </c>
      <c r="N135" s="58" t="n"/>
      <c r="O135" s="62" t="n"/>
      <c r="P135" s="63" t="str">
        <f>IF(OR(B135="",NOT(ISNUMBER(L135))),"",IF(L135&lt;=0,"",IFERROR(ROUND(L135*N(INDEX(art_w,MATCH(H135,art_ref,0))),3),"")))</f>
        <v/>
      </c>
      <c r="Q135" s="59" t="n"/>
      <c r="R135" s="54" t="n"/>
      <c r="S135" s="59" t="n"/>
      <c r="T135" s="59" t="n"/>
      <c r="U135" s="64" t="str">
        <f>IF(OR(B135="",H135=""),"",IFERROR(IF(A135="BL",IF(N(INDEX(art_price,MATCH(H135,art_ref,0)))=0,"",N(INDEX(art_price,MATCH(H135,art_ref,0)))),IF(N(INDEX(art_cost,MATCH(H135,art_ref,0)))=0,"",N(INDEX(art_cost,MATCH(H135,art_ref,0))))),""))</f>
        <v/>
      </c>
      <c r="V135" s="64" t="str">
        <f>IF(OR(U135="",NOT(ISNUMBER(L135))),"",IF(L135&lt;=0,"",ROUND(L135*U135,2)))</f>
        <v/>
      </c>
      <c r="W135" s="60" t="str">
        <f>IF(AND(B135&lt;&gt;"",A135&lt;&gt;"BS",F135&lt;&gt;"",H135&lt;&gt;"",ISNUMBER(K135),ISNUMBER(L135)),IF(AND(K135&gt;0,L135&gt;0,K135-L135&gt;0,COUNTIFS(A136:A$2005,A135,F136:F$2005,F135,H136:H$2005,H135,AA136:AA$2005,"&gt;0")=0),ROUND(K135-L135,6),""),"")</f>
        <v/>
      </c>
      <c r="X135" s="60" t="str">
        <f>IF(AND(A135="",C135="",D135="",H135="",L135=""),"",IF(A135="","Type manquant",IF(AND(A135&lt;&gt;"BL",A135&lt;&gt;"BR",A135&lt;&gt;"BS"),"Type inconnu (BL, BR ou BS)",IF(AG135=0,"Date manquante ou invalide",IF(D135="",IF(A135="BL","Client manquant",IF(A135="BR","Fournisseur manquant","Service manquant")),IF(IF(A135="BL",ISNA(MATCH(D135,cl_code,0)),IF(A135="BR",ISNA(MATCH(D135,fo_code,0)),ISNA(MATCH(D135,p_services,0)))),IF(A135="BL","Client inconnu",IF(A135="BR","Fournisseur inconnu","Service inconnu")),IF(H135="","Article manquant",IF(ISNA(MATCH(H135,art_ref,0)),"Article inconnu",IF(OR(NOT(ISNUMBER(L135)),N(L135)&lt;=0),"Quantité invalide",IF(AND(K135&lt;&gt;"",OR(NOT(ISNUMBER(K135)),N(K135)&lt;=0)),"Qté commandée invalide",IF(AG135&lt;SUMPRODUCT(MAX((A$6:A134=A135)*AG$6:AG134)),"Date antérieure au bon précédent",IF(AND(A135&lt;&gt;"BR",ISNUMBER(M135),N(M135)&gt;0),IF(A135="BL","Livré plus que commandé","Sorti plus que demandé"),"OK"))))))))))))</f>
        <v/>
      </c>
      <c r="Y135" s="57" t="str">
        <f>IF(AND(OR(A135="BL",A135="BR",A135="BS"),AG135&gt;0,D135&lt;&gt;""),A135&amp;"|"&amp;AG135&amp;"|"&amp;D135&amp;"|"&amp;F135,"")</f>
        <v/>
      </c>
      <c r="Z135" s="57" t="str">
        <f>IF(Y135="","",IF(COUNTIF(Y$6:Y134,Y135)=0,1,0))</f>
        <v/>
      </c>
      <c r="AA135" s="57" t="str">
        <f>IF(Y135="","",IF(Z135=1,COUNTIFS(A$6:A135,A135,Z$6:Z135,1),INDEX(AA$6:AA134,MATCH(Y135,Y$6:Y134,0))))</f>
        <v/>
      </c>
      <c r="AB135" s="57" t="str">
        <f>IF(B135="","",COUNTIF(B$6:B135,B135))</f>
        <v/>
      </c>
      <c r="AC135" s="57" t="str">
        <f>IF(B135="","",B135&amp;"#"&amp;AB135)</f>
        <v/>
      </c>
      <c r="AD135" s="57" t="str">
        <f>IF(Z135=1,A135&amp;AA135,"")</f>
        <v/>
      </c>
      <c r="AE135" s="57" t="str">
        <f>IF(B135="","",YEAR(C135))</f>
        <v/>
      </c>
      <c r="AF135" s="57" t="str">
        <f>IF(B135="","",MONTH(C135))</f>
        <v/>
      </c>
      <c r="AG135" s="57">
        <f>IF(ISNUMBER(C135),C135,0)</f>
        <v>0.0</v>
      </c>
      <c r="AH135" s="57" t="str">
        <f>IF(N(W135)&gt;0,COUNTIF(W$6:W135,"&gt;0"),"")</f>
        <v/>
      </c>
      <c r="AI135" s="57" t="str">
        <f>IF(Z135=1,COUNTIF(Z$6:Z135,1),"")</f>
        <v/>
      </c>
    </row>
    <row r="136">
      <c r="A136" s="54" t="n"/>
      <c r="B136" s="55" t="str">
        <f>IF(AA136="","",A136&amp;"-"&amp;RIGHT("000"&amp;AA136,4))</f>
        <v/>
      </c>
      <c r="C136" s="56" t="n"/>
      <c r="D136" s="54" t="n"/>
      <c r="E136" s="57" t="str">
        <f>IF(D136="","",IF(A136="BL",IFERROR(INDEX(cl_name,MATCH(D136,cl_code,0))&amp;"","Client inconnu"),IF(A136="BR",IFERROR(INDEX(fo_name,MATCH(D136,fo_code,0))&amp;"","Fournisseur inconnu"),IF(A136="BS",IF(ISNA(MATCH(D136,p_services,0)),"Service inconnu",D136&amp;""),""))))</f>
        <v/>
      </c>
      <c r="F136" s="58" t="n"/>
      <c r="G136" s="58" t="n"/>
      <c r="H136" s="59" t="n"/>
      <c r="I136" s="57" t="str">
        <f>IF(H136="","",IFERROR(INDEX(art_des,MATCH(H136,art_ref,0))&amp;"","Article inconnu"))</f>
        <v/>
      </c>
      <c r="J136" s="60" t="str">
        <f>IF(H136="","",IFERROR(INDEX(art_unit,MATCH(H136,art_ref,0))&amp;"",""))</f>
        <v/>
      </c>
      <c r="K136" s="59" t="n"/>
      <c r="L136" s="59" t="n"/>
      <c r="M136" s="61" t="str">
        <f>IF(OR(B136="",NOT(ISNUMBER(K136)),NOT(ISNUMBER(L136))),"",IF(OR(K136&lt;=0,L136&lt;=0),"",ROUND(L136-K136,6)))</f>
        <v/>
      </c>
      <c r="N136" s="58" t="n"/>
      <c r="O136" s="62" t="n"/>
      <c r="P136" s="63" t="str">
        <f>IF(OR(B136="",NOT(ISNUMBER(L136))),"",IF(L136&lt;=0,"",IFERROR(ROUND(L136*N(INDEX(art_w,MATCH(H136,art_ref,0))),3),"")))</f>
        <v/>
      </c>
      <c r="Q136" s="59" t="n"/>
      <c r="R136" s="54" t="n"/>
      <c r="S136" s="59" t="n"/>
      <c r="T136" s="59" t="n"/>
      <c r="U136" s="64" t="str">
        <f>IF(OR(B136="",H136=""),"",IFERROR(IF(A136="BL",IF(N(INDEX(art_price,MATCH(H136,art_ref,0)))=0,"",N(INDEX(art_price,MATCH(H136,art_ref,0)))),IF(N(INDEX(art_cost,MATCH(H136,art_ref,0)))=0,"",N(INDEX(art_cost,MATCH(H136,art_ref,0))))),""))</f>
        <v/>
      </c>
      <c r="V136" s="64" t="str">
        <f>IF(OR(U136="",NOT(ISNUMBER(L136))),"",IF(L136&lt;=0,"",ROUND(L136*U136,2)))</f>
        <v/>
      </c>
      <c r="W136" s="60" t="str">
        <f>IF(AND(B136&lt;&gt;"",A136&lt;&gt;"BS",F136&lt;&gt;"",H136&lt;&gt;"",ISNUMBER(K136),ISNUMBER(L136)),IF(AND(K136&gt;0,L136&gt;0,K136-L136&gt;0,COUNTIFS(A137:A$2005,A136,F137:F$2005,F136,H137:H$2005,H136,AA137:AA$2005,"&gt;0")=0),ROUND(K136-L136,6),""),"")</f>
        <v/>
      </c>
      <c r="X136" s="60" t="str">
        <f>IF(AND(A136="",C136="",D136="",H136="",L136=""),"",IF(A136="","Type manquant",IF(AND(A136&lt;&gt;"BL",A136&lt;&gt;"BR",A136&lt;&gt;"BS"),"Type inconnu (BL, BR ou BS)",IF(AG136=0,"Date manquante ou invalide",IF(D136="",IF(A136="BL","Client manquant",IF(A136="BR","Fournisseur manquant","Service manquant")),IF(IF(A136="BL",ISNA(MATCH(D136,cl_code,0)),IF(A136="BR",ISNA(MATCH(D136,fo_code,0)),ISNA(MATCH(D136,p_services,0)))),IF(A136="BL","Client inconnu",IF(A136="BR","Fournisseur inconnu","Service inconnu")),IF(H136="","Article manquant",IF(ISNA(MATCH(H136,art_ref,0)),"Article inconnu",IF(OR(NOT(ISNUMBER(L136)),N(L136)&lt;=0),"Quantité invalide",IF(AND(K136&lt;&gt;"",OR(NOT(ISNUMBER(K136)),N(K136)&lt;=0)),"Qté commandée invalide",IF(AG136&lt;SUMPRODUCT(MAX((A$6:A135=A136)*AG$6:AG135)),"Date antérieure au bon précédent",IF(AND(A136&lt;&gt;"BR",ISNUMBER(M136),N(M136)&gt;0),IF(A136="BL","Livré plus que commandé","Sorti plus que demandé"),"OK"))))))))))))</f>
        <v/>
      </c>
      <c r="Y136" s="57" t="str">
        <f>IF(AND(OR(A136="BL",A136="BR",A136="BS"),AG136&gt;0,D136&lt;&gt;""),A136&amp;"|"&amp;AG136&amp;"|"&amp;D136&amp;"|"&amp;F136,"")</f>
        <v/>
      </c>
      <c r="Z136" s="57" t="str">
        <f>IF(Y136="","",IF(COUNTIF(Y$6:Y135,Y136)=0,1,0))</f>
        <v/>
      </c>
      <c r="AA136" s="57" t="str">
        <f>IF(Y136="","",IF(Z136=1,COUNTIFS(A$6:A136,A136,Z$6:Z136,1),INDEX(AA$6:AA135,MATCH(Y136,Y$6:Y135,0))))</f>
        <v/>
      </c>
      <c r="AB136" s="57" t="str">
        <f>IF(B136="","",COUNTIF(B$6:B136,B136))</f>
        <v/>
      </c>
      <c r="AC136" s="57" t="str">
        <f>IF(B136="","",B136&amp;"#"&amp;AB136)</f>
        <v/>
      </c>
      <c r="AD136" s="57" t="str">
        <f>IF(Z136=1,A136&amp;AA136,"")</f>
        <v/>
      </c>
      <c r="AE136" s="57" t="str">
        <f>IF(B136="","",YEAR(C136))</f>
        <v/>
      </c>
      <c r="AF136" s="57" t="str">
        <f>IF(B136="","",MONTH(C136))</f>
        <v/>
      </c>
      <c r="AG136" s="57">
        <f>IF(ISNUMBER(C136),C136,0)</f>
        <v>0.0</v>
      </c>
      <c r="AH136" s="57" t="str">
        <f>IF(N(W136)&gt;0,COUNTIF(W$6:W136,"&gt;0"),"")</f>
        <v/>
      </c>
      <c r="AI136" s="57" t="str">
        <f>IF(Z136=1,COUNTIF(Z$6:Z136,1),"")</f>
        <v/>
      </c>
    </row>
    <row r="137">
      <c r="A137" s="54" t="n"/>
      <c r="B137" s="55" t="str">
        <f>IF(AA137="","",A137&amp;"-"&amp;RIGHT("000"&amp;AA137,4))</f>
        <v/>
      </c>
      <c r="C137" s="56" t="n"/>
      <c r="D137" s="54" t="n"/>
      <c r="E137" s="57" t="str">
        <f>IF(D137="","",IF(A137="BL",IFERROR(INDEX(cl_name,MATCH(D137,cl_code,0))&amp;"","Client inconnu"),IF(A137="BR",IFERROR(INDEX(fo_name,MATCH(D137,fo_code,0))&amp;"","Fournisseur inconnu"),IF(A137="BS",IF(ISNA(MATCH(D137,p_services,0)),"Service inconnu",D137&amp;""),""))))</f>
        <v/>
      </c>
      <c r="F137" s="58" t="n"/>
      <c r="G137" s="58" t="n"/>
      <c r="H137" s="59" t="n"/>
      <c r="I137" s="57" t="str">
        <f>IF(H137="","",IFERROR(INDEX(art_des,MATCH(H137,art_ref,0))&amp;"","Article inconnu"))</f>
        <v/>
      </c>
      <c r="J137" s="60" t="str">
        <f>IF(H137="","",IFERROR(INDEX(art_unit,MATCH(H137,art_ref,0))&amp;"",""))</f>
        <v/>
      </c>
      <c r="K137" s="59" t="n"/>
      <c r="L137" s="59" t="n"/>
      <c r="M137" s="61" t="str">
        <f>IF(OR(B137="",NOT(ISNUMBER(K137)),NOT(ISNUMBER(L137))),"",IF(OR(K137&lt;=0,L137&lt;=0),"",ROUND(L137-K137,6)))</f>
        <v/>
      </c>
      <c r="N137" s="58" t="n"/>
      <c r="O137" s="62" t="n"/>
      <c r="P137" s="63" t="str">
        <f>IF(OR(B137="",NOT(ISNUMBER(L137))),"",IF(L137&lt;=0,"",IFERROR(ROUND(L137*N(INDEX(art_w,MATCH(H137,art_ref,0))),3),"")))</f>
        <v/>
      </c>
      <c r="Q137" s="59" t="n"/>
      <c r="R137" s="54" t="n"/>
      <c r="S137" s="59" t="n"/>
      <c r="T137" s="59" t="n"/>
      <c r="U137" s="64" t="str">
        <f>IF(OR(B137="",H137=""),"",IFERROR(IF(A137="BL",IF(N(INDEX(art_price,MATCH(H137,art_ref,0)))=0,"",N(INDEX(art_price,MATCH(H137,art_ref,0)))),IF(N(INDEX(art_cost,MATCH(H137,art_ref,0)))=0,"",N(INDEX(art_cost,MATCH(H137,art_ref,0))))),""))</f>
        <v/>
      </c>
      <c r="V137" s="64" t="str">
        <f>IF(OR(U137="",NOT(ISNUMBER(L137))),"",IF(L137&lt;=0,"",ROUND(L137*U137,2)))</f>
        <v/>
      </c>
      <c r="W137" s="60" t="str">
        <f>IF(AND(B137&lt;&gt;"",A137&lt;&gt;"BS",F137&lt;&gt;"",H137&lt;&gt;"",ISNUMBER(K137),ISNUMBER(L137)),IF(AND(K137&gt;0,L137&gt;0,K137-L137&gt;0,COUNTIFS(A138:A$2005,A137,F138:F$2005,F137,H138:H$2005,H137,AA138:AA$2005,"&gt;0")=0),ROUND(K137-L137,6),""),"")</f>
        <v/>
      </c>
      <c r="X137" s="60" t="str">
        <f>IF(AND(A137="",C137="",D137="",H137="",L137=""),"",IF(A137="","Type manquant",IF(AND(A137&lt;&gt;"BL",A137&lt;&gt;"BR",A137&lt;&gt;"BS"),"Type inconnu (BL, BR ou BS)",IF(AG137=0,"Date manquante ou invalide",IF(D137="",IF(A137="BL","Client manquant",IF(A137="BR","Fournisseur manquant","Service manquant")),IF(IF(A137="BL",ISNA(MATCH(D137,cl_code,0)),IF(A137="BR",ISNA(MATCH(D137,fo_code,0)),ISNA(MATCH(D137,p_services,0)))),IF(A137="BL","Client inconnu",IF(A137="BR","Fournisseur inconnu","Service inconnu")),IF(H137="","Article manquant",IF(ISNA(MATCH(H137,art_ref,0)),"Article inconnu",IF(OR(NOT(ISNUMBER(L137)),N(L137)&lt;=0),"Quantité invalide",IF(AND(K137&lt;&gt;"",OR(NOT(ISNUMBER(K137)),N(K137)&lt;=0)),"Qté commandée invalide",IF(AG137&lt;SUMPRODUCT(MAX((A$6:A136=A137)*AG$6:AG136)),"Date antérieure au bon précédent",IF(AND(A137&lt;&gt;"BR",ISNUMBER(M137),N(M137)&gt;0),IF(A137="BL","Livré plus que commandé","Sorti plus que demandé"),"OK"))))))))))))</f>
        <v/>
      </c>
      <c r="Y137" s="57" t="str">
        <f>IF(AND(OR(A137="BL",A137="BR",A137="BS"),AG137&gt;0,D137&lt;&gt;""),A137&amp;"|"&amp;AG137&amp;"|"&amp;D137&amp;"|"&amp;F137,"")</f>
        <v/>
      </c>
      <c r="Z137" s="57" t="str">
        <f>IF(Y137="","",IF(COUNTIF(Y$6:Y136,Y137)=0,1,0))</f>
        <v/>
      </c>
      <c r="AA137" s="57" t="str">
        <f>IF(Y137="","",IF(Z137=1,COUNTIFS(A$6:A137,A137,Z$6:Z137,1),INDEX(AA$6:AA136,MATCH(Y137,Y$6:Y136,0))))</f>
        <v/>
      </c>
      <c r="AB137" s="57" t="str">
        <f>IF(B137="","",COUNTIF(B$6:B137,B137))</f>
        <v/>
      </c>
      <c r="AC137" s="57" t="str">
        <f>IF(B137="","",B137&amp;"#"&amp;AB137)</f>
        <v/>
      </c>
      <c r="AD137" s="57" t="str">
        <f>IF(Z137=1,A137&amp;AA137,"")</f>
        <v/>
      </c>
      <c r="AE137" s="57" t="str">
        <f>IF(B137="","",YEAR(C137))</f>
        <v/>
      </c>
      <c r="AF137" s="57" t="str">
        <f>IF(B137="","",MONTH(C137))</f>
        <v/>
      </c>
      <c r="AG137" s="57">
        <f>IF(ISNUMBER(C137),C137,0)</f>
        <v>0.0</v>
      </c>
      <c r="AH137" s="57" t="str">
        <f>IF(N(W137)&gt;0,COUNTIF(W$6:W137,"&gt;0"),"")</f>
        <v/>
      </c>
      <c r="AI137" s="57" t="str">
        <f>IF(Z137=1,COUNTIF(Z$6:Z137,1),"")</f>
        <v/>
      </c>
    </row>
    <row r="138">
      <c r="A138" s="54" t="n"/>
      <c r="B138" s="55" t="str">
        <f>IF(AA138="","",A138&amp;"-"&amp;RIGHT("000"&amp;AA138,4))</f>
        <v/>
      </c>
      <c r="C138" s="56" t="n"/>
      <c r="D138" s="54" t="n"/>
      <c r="E138" s="57" t="str">
        <f>IF(D138="","",IF(A138="BL",IFERROR(INDEX(cl_name,MATCH(D138,cl_code,0))&amp;"","Client inconnu"),IF(A138="BR",IFERROR(INDEX(fo_name,MATCH(D138,fo_code,0))&amp;"","Fournisseur inconnu"),IF(A138="BS",IF(ISNA(MATCH(D138,p_services,0)),"Service inconnu",D138&amp;""),""))))</f>
        <v/>
      </c>
      <c r="F138" s="58" t="n"/>
      <c r="G138" s="58" t="n"/>
      <c r="H138" s="59" t="n"/>
      <c r="I138" s="57" t="str">
        <f>IF(H138="","",IFERROR(INDEX(art_des,MATCH(H138,art_ref,0))&amp;"","Article inconnu"))</f>
        <v/>
      </c>
      <c r="J138" s="60" t="str">
        <f>IF(H138="","",IFERROR(INDEX(art_unit,MATCH(H138,art_ref,0))&amp;"",""))</f>
        <v/>
      </c>
      <c r="K138" s="59" t="n"/>
      <c r="L138" s="59" t="n"/>
      <c r="M138" s="61" t="str">
        <f>IF(OR(B138="",NOT(ISNUMBER(K138)),NOT(ISNUMBER(L138))),"",IF(OR(K138&lt;=0,L138&lt;=0),"",ROUND(L138-K138,6)))</f>
        <v/>
      </c>
      <c r="N138" s="58" t="n"/>
      <c r="O138" s="62" t="n"/>
      <c r="P138" s="63" t="str">
        <f>IF(OR(B138="",NOT(ISNUMBER(L138))),"",IF(L138&lt;=0,"",IFERROR(ROUND(L138*N(INDEX(art_w,MATCH(H138,art_ref,0))),3),"")))</f>
        <v/>
      </c>
      <c r="Q138" s="59" t="n"/>
      <c r="R138" s="54" t="n"/>
      <c r="S138" s="59" t="n"/>
      <c r="T138" s="59" t="n"/>
      <c r="U138" s="64" t="str">
        <f>IF(OR(B138="",H138=""),"",IFERROR(IF(A138="BL",IF(N(INDEX(art_price,MATCH(H138,art_ref,0)))=0,"",N(INDEX(art_price,MATCH(H138,art_ref,0)))),IF(N(INDEX(art_cost,MATCH(H138,art_ref,0)))=0,"",N(INDEX(art_cost,MATCH(H138,art_ref,0))))),""))</f>
        <v/>
      </c>
      <c r="V138" s="64" t="str">
        <f>IF(OR(U138="",NOT(ISNUMBER(L138))),"",IF(L138&lt;=0,"",ROUND(L138*U138,2)))</f>
        <v/>
      </c>
      <c r="W138" s="60" t="str">
        <f>IF(AND(B138&lt;&gt;"",A138&lt;&gt;"BS",F138&lt;&gt;"",H138&lt;&gt;"",ISNUMBER(K138),ISNUMBER(L138)),IF(AND(K138&gt;0,L138&gt;0,K138-L138&gt;0,COUNTIFS(A139:A$2005,A138,F139:F$2005,F138,H139:H$2005,H138,AA139:AA$2005,"&gt;0")=0),ROUND(K138-L138,6),""),"")</f>
        <v/>
      </c>
      <c r="X138" s="60" t="str">
        <f>IF(AND(A138="",C138="",D138="",H138="",L138=""),"",IF(A138="","Type manquant",IF(AND(A138&lt;&gt;"BL",A138&lt;&gt;"BR",A138&lt;&gt;"BS"),"Type inconnu (BL, BR ou BS)",IF(AG138=0,"Date manquante ou invalide",IF(D138="",IF(A138="BL","Client manquant",IF(A138="BR","Fournisseur manquant","Service manquant")),IF(IF(A138="BL",ISNA(MATCH(D138,cl_code,0)),IF(A138="BR",ISNA(MATCH(D138,fo_code,0)),ISNA(MATCH(D138,p_services,0)))),IF(A138="BL","Client inconnu",IF(A138="BR","Fournisseur inconnu","Service inconnu")),IF(H138="","Article manquant",IF(ISNA(MATCH(H138,art_ref,0)),"Article inconnu",IF(OR(NOT(ISNUMBER(L138)),N(L138)&lt;=0),"Quantité invalide",IF(AND(K138&lt;&gt;"",OR(NOT(ISNUMBER(K138)),N(K138)&lt;=0)),"Qté commandée invalide",IF(AG138&lt;SUMPRODUCT(MAX((A$6:A137=A138)*AG$6:AG137)),"Date antérieure au bon précédent",IF(AND(A138&lt;&gt;"BR",ISNUMBER(M138),N(M138)&gt;0),IF(A138="BL","Livré plus que commandé","Sorti plus que demandé"),"OK"))))))))))))</f>
        <v/>
      </c>
      <c r="Y138" s="57" t="str">
        <f>IF(AND(OR(A138="BL",A138="BR",A138="BS"),AG138&gt;0,D138&lt;&gt;""),A138&amp;"|"&amp;AG138&amp;"|"&amp;D138&amp;"|"&amp;F138,"")</f>
        <v/>
      </c>
      <c r="Z138" s="57" t="str">
        <f>IF(Y138="","",IF(COUNTIF(Y$6:Y137,Y138)=0,1,0))</f>
        <v/>
      </c>
      <c r="AA138" s="57" t="str">
        <f>IF(Y138="","",IF(Z138=1,COUNTIFS(A$6:A138,A138,Z$6:Z138,1),INDEX(AA$6:AA137,MATCH(Y138,Y$6:Y137,0))))</f>
        <v/>
      </c>
      <c r="AB138" s="57" t="str">
        <f>IF(B138="","",COUNTIF(B$6:B138,B138))</f>
        <v/>
      </c>
      <c r="AC138" s="57" t="str">
        <f>IF(B138="","",B138&amp;"#"&amp;AB138)</f>
        <v/>
      </c>
      <c r="AD138" s="57" t="str">
        <f>IF(Z138=1,A138&amp;AA138,"")</f>
        <v/>
      </c>
      <c r="AE138" s="57" t="str">
        <f>IF(B138="","",YEAR(C138))</f>
        <v/>
      </c>
      <c r="AF138" s="57" t="str">
        <f>IF(B138="","",MONTH(C138))</f>
        <v/>
      </c>
      <c r="AG138" s="57">
        <f>IF(ISNUMBER(C138),C138,0)</f>
        <v>0.0</v>
      </c>
      <c r="AH138" s="57" t="str">
        <f>IF(N(W138)&gt;0,COUNTIF(W$6:W138,"&gt;0"),"")</f>
        <v/>
      </c>
      <c r="AI138" s="57" t="str">
        <f>IF(Z138=1,COUNTIF(Z$6:Z138,1),"")</f>
        <v/>
      </c>
    </row>
    <row r="139">
      <c r="A139" s="54" t="n"/>
      <c r="B139" s="55" t="str">
        <f>IF(AA139="","",A139&amp;"-"&amp;RIGHT("000"&amp;AA139,4))</f>
        <v/>
      </c>
      <c r="C139" s="56" t="n"/>
      <c r="D139" s="54" t="n"/>
      <c r="E139" s="57" t="str">
        <f>IF(D139="","",IF(A139="BL",IFERROR(INDEX(cl_name,MATCH(D139,cl_code,0))&amp;"","Client inconnu"),IF(A139="BR",IFERROR(INDEX(fo_name,MATCH(D139,fo_code,0))&amp;"","Fournisseur inconnu"),IF(A139="BS",IF(ISNA(MATCH(D139,p_services,0)),"Service inconnu",D139&amp;""),""))))</f>
        <v/>
      </c>
      <c r="F139" s="58" t="n"/>
      <c r="G139" s="58" t="n"/>
      <c r="H139" s="59" t="n"/>
      <c r="I139" s="57" t="str">
        <f>IF(H139="","",IFERROR(INDEX(art_des,MATCH(H139,art_ref,0))&amp;"","Article inconnu"))</f>
        <v/>
      </c>
      <c r="J139" s="60" t="str">
        <f>IF(H139="","",IFERROR(INDEX(art_unit,MATCH(H139,art_ref,0))&amp;"",""))</f>
        <v/>
      </c>
      <c r="K139" s="59" t="n"/>
      <c r="L139" s="59" t="n"/>
      <c r="M139" s="61" t="str">
        <f>IF(OR(B139="",NOT(ISNUMBER(K139)),NOT(ISNUMBER(L139))),"",IF(OR(K139&lt;=0,L139&lt;=0),"",ROUND(L139-K139,6)))</f>
        <v/>
      </c>
      <c r="N139" s="58" t="n"/>
      <c r="O139" s="62" t="n"/>
      <c r="P139" s="63" t="str">
        <f>IF(OR(B139="",NOT(ISNUMBER(L139))),"",IF(L139&lt;=0,"",IFERROR(ROUND(L139*N(INDEX(art_w,MATCH(H139,art_ref,0))),3),"")))</f>
        <v/>
      </c>
      <c r="Q139" s="59" t="n"/>
      <c r="R139" s="54" t="n"/>
      <c r="S139" s="59" t="n"/>
      <c r="T139" s="59" t="n"/>
      <c r="U139" s="64" t="str">
        <f>IF(OR(B139="",H139=""),"",IFERROR(IF(A139="BL",IF(N(INDEX(art_price,MATCH(H139,art_ref,0)))=0,"",N(INDEX(art_price,MATCH(H139,art_ref,0)))),IF(N(INDEX(art_cost,MATCH(H139,art_ref,0)))=0,"",N(INDEX(art_cost,MATCH(H139,art_ref,0))))),""))</f>
        <v/>
      </c>
      <c r="V139" s="64" t="str">
        <f>IF(OR(U139="",NOT(ISNUMBER(L139))),"",IF(L139&lt;=0,"",ROUND(L139*U139,2)))</f>
        <v/>
      </c>
      <c r="W139" s="60" t="str">
        <f>IF(AND(B139&lt;&gt;"",A139&lt;&gt;"BS",F139&lt;&gt;"",H139&lt;&gt;"",ISNUMBER(K139),ISNUMBER(L139)),IF(AND(K139&gt;0,L139&gt;0,K139-L139&gt;0,COUNTIFS(A140:A$2005,A139,F140:F$2005,F139,H140:H$2005,H139,AA140:AA$2005,"&gt;0")=0),ROUND(K139-L139,6),""),"")</f>
        <v/>
      </c>
      <c r="X139" s="60" t="str">
        <f>IF(AND(A139="",C139="",D139="",H139="",L139=""),"",IF(A139="","Type manquant",IF(AND(A139&lt;&gt;"BL",A139&lt;&gt;"BR",A139&lt;&gt;"BS"),"Type inconnu (BL, BR ou BS)",IF(AG139=0,"Date manquante ou invalide",IF(D139="",IF(A139="BL","Client manquant",IF(A139="BR","Fournisseur manquant","Service manquant")),IF(IF(A139="BL",ISNA(MATCH(D139,cl_code,0)),IF(A139="BR",ISNA(MATCH(D139,fo_code,0)),ISNA(MATCH(D139,p_services,0)))),IF(A139="BL","Client inconnu",IF(A139="BR","Fournisseur inconnu","Service inconnu")),IF(H139="","Article manquant",IF(ISNA(MATCH(H139,art_ref,0)),"Article inconnu",IF(OR(NOT(ISNUMBER(L139)),N(L139)&lt;=0),"Quantité invalide",IF(AND(K139&lt;&gt;"",OR(NOT(ISNUMBER(K139)),N(K139)&lt;=0)),"Qté commandée invalide",IF(AG139&lt;SUMPRODUCT(MAX((A$6:A138=A139)*AG$6:AG138)),"Date antérieure au bon précédent",IF(AND(A139&lt;&gt;"BR",ISNUMBER(M139),N(M139)&gt;0),IF(A139="BL","Livré plus que commandé","Sorti plus que demandé"),"OK"))))))))))))</f>
        <v/>
      </c>
      <c r="Y139" s="57" t="str">
        <f>IF(AND(OR(A139="BL",A139="BR",A139="BS"),AG139&gt;0,D139&lt;&gt;""),A139&amp;"|"&amp;AG139&amp;"|"&amp;D139&amp;"|"&amp;F139,"")</f>
        <v/>
      </c>
      <c r="Z139" s="57" t="str">
        <f>IF(Y139="","",IF(COUNTIF(Y$6:Y138,Y139)=0,1,0))</f>
        <v/>
      </c>
      <c r="AA139" s="57" t="str">
        <f>IF(Y139="","",IF(Z139=1,COUNTIFS(A$6:A139,A139,Z$6:Z139,1),INDEX(AA$6:AA138,MATCH(Y139,Y$6:Y138,0))))</f>
        <v/>
      </c>
      <c r="AB139" s="57" t="str">
        <f>IF(B139="","",COUNTIF(B$6:B139,B139))</f>
        <v/>
      </c>
      <c r="AC139" s="57" t="str">
        <f>IF(B139="","",B139&amp;"#"&amp;AB139)</f>
        <v/>
      </c>
      <c r="AD139" s="57" t="str">
        <f>IF(Z139=1,A139&amp;AA139,"")</f>
        <v/>
      </c>
      <c r="AE139" s="57" t="str">
        <f>IF(B139="","",YEAR(C139))</f>
        <v/>
      </c>
      <c r="AF139" s="57" t="str">
        <f>IF(B139="","",MONTH(C139))</f>
        <v/>
      </c>
      <c r="AG139" s="57">
        <f>IF(ISNUMBER(C139),C139,0)</f>
        <v>0.0</v>
      </c>
      <c r="AH139" s="57" t="str">
        <f>IF(N(W139)&gt;0,COUNTIF(W$6:W139,"&gt;0"),"")</f>
        <v/>
      </c>
      <c r="AI139" s="57" t="str">
        <f>IF(Z139=1,COUNTIF(Z$6:Z139,1),"")</f>
        <v/>
      </c>
    </row>
    <row r="140">
      <c r="A140" s="54" t="n"/>
      <c r="B140" s="55" t="str">
        <f>IF(AA140="","",A140&amp;"-"&amp;RIGHT("000"&amp;AA140,4))</f>
        <v/>
      </c>
      <c r="C140" s="56" t="n"/>
      <c r="D140" s="54" t="n"/>
      <c r="E140" s="57" t="str">
        <f>IF(D140="","",IF(A140="BL",IFERROR(INDEX(cl_name,MATCH(D140,cl_code,0))&amp;"","Client inconnu"),IF(A140="BR",IFERROR(INDEX(fo_name,MATCH(D140,fo_code,0))&amp;"","Fournisseur inconnu"),IF(A140="BS",IF(ISNA(MATCH(D140,p_services,0)),"Service inconnu",D140&amp;""),""))))</f>
        <v/>
      </c>
      <c r="F140" s="58" t="n"/>
      <c r="G140" s="58" t="n"/>
      <c r="H140" s="59" t="n"/>
      <c r="I140" s="57" t="str">
        <f>IF(H140="","",IFERROR(INDEX(art_des,MATCH(H140,art_ref,0))&amp;"","Article inconnu"))</f>
        <v/>
      </c>
      <c r="J140" s="60" t="str">
        <f>IF(H140="","",IFERROR(INDEX(art_unit,MATCH(H140,art_ref,0))&amp;"",""))</f>
        <v/>
      </c>
      <c r="K140" s="59" t="n"/>
      <c r="L140" s="59" t="n"/>
      <c r="M140" s="61" t="str">
        <f>IF(OR(B140="",NOT(ISNUMBER(K140)),NOT(ISNUMBER(L140))),"",IF(OR(K140&lt;=0,L140&lt;=0),"",ROUND(L140-K140,6)))</f>
        <v/>
      </c>
      <c r="N140" s="58" t="n"/>
      <c r="O140" s="62" t="n"/>
      <c r="P140" s="63" t="str">
        <f>IF(OR(B140="",NOT(ISNUMBER(L140))),"",IF(L140&lt;=0,"",IFERROR(ROUND(L140*N(INDEX(art_w,MATCH(H140,art_ref,0))),3),"")))</f>
        <v/>
      </c>
      <c r="Q140" s="59" t="n"/>
      <c r="R140" s="54" t="n"/>
      <c r="S140" s="59" t="n"/>
      <c r="T140" s="59" t="n"/>
      <c r="U140" s="64" t="str">
        <f>IF(OR(B140="",H140=""),"",IFERROR(IF(A140="BL",IF(N(INDEX(art_price,MATCH(H140,art_ref,0)))=0,"",N(INDEX(art_price,MATCH(H140,art_ref,0)))),IF(N(INDEX(art_cost,MATCH(H140,art_ref,0)))=0,"",N(INDEX(art_cost,MATCH(H140,art_ref,0))))),""))</f>
        <v/>
      </c>
      <c r="V140" s="64" t="str">
        <f>IF(OR(U140="",NOT(ISNUMBER(L140))),"",IF(L140&lt;=0,"",ROUND(L140*U140,2)))</f>
        <v/>
      </c>
      <c r="W140" s="60" t="str">
        <f>IF(AND(B140&lt;&gt;"",A140&lt;&gt;"BS",F140&lt;&gt;"",H140&lt;&gt;"",ISNUMBER(K140),ISNUMBER(L140)),IF(AND(K140&gt;0,L140&gt;0,K140-L140&gt;0,COUNTIFS(A141:A$2005,A140,F141:F$2005,F140,H141:H$2005,H140,AA141:AA$2005,"&gt;0")=0),ROUND(K140-L140,6),""),"")</f>
        <v/>
      </c>
      <c r="X140" s="60" t="str">
        <f>IF(AND(A140="",C140="",D140="",H140="",L140=""),"",IF(A140="","Type manquant",IF(AND(A140&lt;&gt;"BL",A140&lt;&gt;"BR",A140&lt;&gt;"BS"),"Type inconnu (BL, BR ou BS)",IF(AG140=0,"Date manquante ou invalide",IF(D140="",IF(A140="BL","Client manquant",IF(A140="BR","Fournisseur manquant","Service manquant")),IF(IF(A140="BL",ISNA(MATCH(D140,cl_code,0)),IF(A140="BR",ISNA(MATCH(D140,fo_code,0)),ISNA(MATCH(D140,p_services,0)))),IF(A140="BL","Client inconnu",IF(A140="BR","Fournisseur inconnu","Service inconnu")),IF(H140="","Article manquant",IF(ISNA(MATCH(H140,art_ref,0)),"Article inconnu",IF(OR(NOT(ISNUMBER(L140)),N(L140)&lt;=0),"Quantité invalide",IF(AND(K140&lt;&gt;"",OR(NOT(ISNUMBER(K140)),N(K140)&lt;=0)),"Qté commandée invalide",IF(AG140&lt;SUMPRODUCT(MAX((A$6:A139=A140)*AG$6:AG139)),"Date antérieure au bon précédent",IF(AND(A140&lt;&gt;"BR",ISNUMBER(M140),N(M140)&gt;0),IF(A140="BL","Livré plus que commandé","Sorti plus que demandé"),"OK"))))))))))))</f>
        <v/>
      </c>
      <c r="Y140" s="57" t="str">
        <f>IF(AND(OR(A140="BL",A140="BR",A140="BS"),AG140&gt;0,D140&lt;&gt;""),A140&amp;"|"&amp;AG140&amp;"|"&amp;D140&amp;"|"&amp;F140,"")</f>
        <v/>
      </c>
      <c r="Z140" s="57" t="str">
        <f>IF(Y140="","",IF(COUNTIF(Y$6:Y139,Y140)=0,1,0))</f>
        <v/>
      </c>
      <c r="AA140" s="57" t="str">
        <f>IF(Y140="","",IF(Z140=1,COUNTIFS(A$6:A140,A140,Z$6:Z140,1),INDEX(AA$6:AA139,MATCH(Y140,Y$6:Y139,0))))</f>
        <v/>
      </c>
      <c r="AB140" s="57" t="str">
        <f>IF(B140="","",COUNTIF(B$6:B140,B140))</f>
        <v/>
      </c>
      <c r="AC140" s="57" t="str">
        <f>IF(B140="","",B140&amp;"#"&amp;AB140)</f>
        <v/>
      </c>
      <c r="AD140" s="57" t="str">
        <f>IF(Z140=1,A140&amp;AA140,"")</f>
        <v/>
      </c>
      <c r="AE140" s="57" t="str">
        <f>IF(B140="","",YEAR(C140))</f>
        <v/>
      </c>
      <c r="AF140" s="57" t="str">
        <f>IF(B140="","",MONTH(C140))</f>
        <v/>
      </c>
      <c r="AG140" s="57">
        <f>IF(ISNUMBER(C140),C140,0)</f>
        <v>0.0</v>
      </c>
      <c r="AH140" s="57" t="str">
        <f>IF(N(W140)&gt;0,COUNTIF(W$6:W140,"&gt;0"),"")</f>
        <v/>
      </c>
      <c r="AI140" s="57" t="str">
        <f>IF(Z140=1,COUNTIF(Z$6:Z140,1),"")</f>
        <v/>
      </c>
    </row>
    <row r="141">
      <c r="A141" s="54" t="n"/>
      <c r="B141" s="55" t="str">
        <f>IF(AA141="","",A141&amp;"-"&amp;RIGHT("000"&amp;AA141,4))</f>
        <v/>
      </c>
      <c r="C141" s="56" t="n"/>
      <c r="D141" s="54" t="n"/>
      <c r="E141" s="57" t="str">
        <f>IF(D141="","",IF(A141="BL",IFERROR(INDEX(cl_name,MATCH(D141,cl_code,0))&amp;"","Client inconnu"),IF(A141="BR",IFERROR(INDEX(fo_name,MATCH(D141,fo_code,0))&amp;"","Fournisseur inconnu"),IF(A141="BS",IF(ISNA(MATCH(D141,p_services,0)),"Service inconnu",D141&amp;""),""))))</f>
        <v/>
      </c>
      <c r="F141" s="58" t="n"/>
      <c r="G141" s="58" t="n"/>
      <c r="H141" s="59" t="n"/>
      <c r="I141" s="57" t="str">
        <f>IF(H141="","",IFERROR(INDEX(art_des,MATCH(H141,art_ref,0))&amp;"","Article inconnu"))</f>
        <v/>
      </c>
      <c r="J141" s="60" t="str">
        <f>IF(H141="","",IFERROR(INDEX(art_unit,MATCH(H141,art_ref,0))&amp;"",""))</f>
        <v/>
      </c>
      <c r="K141" s="59" t="n"/>
      <c r="L141" s="59" t="n"/>
      <c r="M141" s="61" t="str">
        <f>IF(OR(B141="",NOT(ISNUMBER(K141)),NOT(ISNUMBER(L141))),"",IF(OR(K141&lt;=0,L141&lt;=0),"",ROUND(L141-K141,6)))</f>
        <v/>
      </c>
      <c r="N141" s="58" t="n"/>
      <c r="O141" s="62" t="n"/>
      <c r="P141" s="63" t="str">
        <f>IF(OR(B141="",NOT(ISNUMBER(L141))),"",IF(L141&lt;=0,"",IFERROR(ROUND(L141*N(INDEX(art_w,MATCH(H141,art_ref,0))),3),"")))</f>
        <v/>
      </c>
      <c r="Q141" s="59" t="n"/>
      <c r="R141" s="54" t="n"/>
      <c r="S141" s="59" t="n"/>
      <c r="T141" s="59" t="n"/>
      <c r="U141" s="64" t="str">
        <f>IF(OR(B141="",H141=""),"",IFERROR(IF(A141="BL",IF(N(INDEX(art_price,MATCH(H141,art_ref,0)))=0,"",N(INDEX(art_price,MATCH(H141,art_ref,0)))),IF(N(INDEX(art_cost,MATCH(H141,art_ref,0)))=0,"",N(INDEX(art_cost,MATCH(H141,art_ref,0))))),""))</f>
        <v/>
      </c>
      <c r="V141" s="64" t="str">
        <f>IF(OR(U141="",NOT(ISNUMBER(L141))),"",IF(L141&lt;=0,"",ROUND(L141*U141,2)))</f>
        <v/>
      </c>
      <c r="W141" s="60" t="str">
        <f>IF(AND(B141&lt;&gt;"",A141&lt;&gt;"BS",F141&lt;&gt;"",H141&lt;&gt;"",ISNUMBER(K141),ISNUMBER(L141)),IF(AND(K141&gt;0,L141&gt;0,K141-L141&gt;0,COUNTIFS(A142:A$2005,A141,F142:F$2005,F141,H142:H$2005,H141,AA142:AA$2005,"&gt;0")=0),ROUND(K141-L141,6),""),"")</f>
        <v/>
      </c>
      <c r="X141" s="60" t="str">
        <f>IF(AND(A141="",C141="",D141="",H141="",L141=""),"",IF(A141="","Type manquant",IF(AND(A141&lt;&gt;"BL",A141&lt;&gt;"BR",A141&lt;&gt;"BS"),"Type inconnu (BL, BR ou BS)",IF(AG141=0,"Date manquante ou invalide",IF(D141="",IF(A141="BL","Client manquant",IF(A141="BR","Fournisseur manquant","Service manquant")),IF(IF(A141="BL",ISNA(MATCH(D141,cl_code,0)),IF(A141="BR",ISNA(MATCH(D141,fo_code,0)),ISNA(MATCH(D141,p_services,0)))),IF(A141="BL","Client inconnu",IF(A141="BR","Fournisseur inconnu","Service inconnu")),IF(H141="","Article manquant",IF(ISNA(MATCH(H141,art_ref,0)),"Article inconnu",IF(OR(NOT(ISNUMBER(L141)),N(L141)&lt;=0),"Quantité invalide",IF(AND(K141&lt;&gt;"",OR(NOT(ISNUMBER(K141)),N(K141)&lt;=0)),"Qté commandée invalide",IF(AG141&lt;SUMPRODUCT(MAX((A$6:A140=A141)*AG$6:AG140)),"Date antérieure au bon précédent",IF(AND(A141&lt;&gt;"BR",ISNUMBER(M141),N(M141)&gt;0),IF(A141="BL","Livré plus que commandé","Sorti plus que demandé"),"OK"))))))))))))</f>
        <v/>
      </c>
      <c r="Y141" s="57" t="str">
        <f>IF(AND(OR(A141="BL",A141="BR",A141="BS"),AG141&gt;0,D141&lt;&gt;""),A141&amp;"|"&amp;AG141&amp;"|"&amp;D141&amp;"|"&amp;F141,"")</f>
        <v/>
      </c>
      <c r="Z141" s="57" t="str">
        <f>IF(Y141="","",IF(COUNTIF(Y$6:Y140,Y141)=0,1,0))</f>
        <v/>
      </c>
      <c r="AA141" s="57" t="str">
        <f>IF(Y141="","",IF(Z141=1,COUNTIFS(A$6:A141,A141,Z$6:Z141,1),INDEX(AA$6:AA140,MATCH(Y141,Y$6:Y140,0))))</f>
        <v/>
      </c>
      <c r="AB141" s="57" t="str">
        <f>IF(B141="","",COUNTIF(B$6:B141,B141))</f>
        <v/>
      </c>
      <c r="AC141" s="57" t="str">
        <f>IF(B141="","",B141&amp;"#"&amp;AB141)</f>
        <v/>
      </c>
      <c r="AD141" s="57" t="str">
        <f>IF(Z141=1,A141&amp;AA141,"")</f>
        <v/>
      </c>
      <c r="AE141" s="57" t="str">
        <f>IF(B141="","",YEAR(C141))</f>
        <v/>
      </c>
      <c r="AF141" s="57" t="str">
        <f>IF(B141="","",MONTH(C141))</f>
        <v/>
      </c>
      <c r="AG141" s="57">
        <f>IF(ISNUMBER(C141),C141,0)</f>
        <v>0.0</v>
      </c>
      <c r="AH141" s="57" t="str">
        <f>IF(N(W141)&gt;0,COUNTIF(W$6:W141,"&gt;0"),"")</f>
        <v/>
      </c>
      <c r="AI141" s="57" t="str">
        <f>IF(Z141=1,COUNTIF(Z$6:Z141,1),"")</f>
        <v/>
      </c>
    </row>
    <row r="142">
      <c r="A142" s="54" t="n"/>
      <c r="B142" s="55" t="str">
        <f>IF(AA142="","",A142&amp;"-"&amp;RIGHT("000"&amp;AA142,4))</f>
        <v/>
      </c>
      <c r="C142" s="56" t="n"/>
      <c r="D142" s="54" t="n"/>
      <c r="E142" s="57" t="str">
        <f>IF(D142="","",IF(A142="BL",IFERROR(INDEX(cl_name,MATCH(D142,cl_code,0))&amp;"","Client inconnu"),IF(A142="BR",IFERROR(INDEX(fo_name,MATCH(D142,fo_code,0))&amp;"","Fournisseur inconnu"),IF(A142="BS",IF(ISNA(MATCH(D142,p_services,0)),"Service inconnu",D142&amp;""),""))))</f>
        <v/>
      </c>
      <c r="F142" s="58" t="n"/>
      <c r="G142" s="58" t="n"/>
      <c r="H142" s="59" t="n"/>
      <c r="I142" s="57" t="str">
        <f>IF(H142="","",IFERROR(INDEX(art_des,MATCH(H142,art_ref,0))&amp;"","Article inconnu"))</f>
        <v/>
      </c>
      <c r="J142" s="60" t="str">
        <f>IF(H142="","",IFERROR(INDEX(art_unit,MATCH(H142,art_ref,0))&amp;"",""))</f>
        <v/>
      </c>
      <c r="K142" s="59" t="n"/>
      <c r="L142" s="59" t="n"/>
      <c r="M142" s="61" t="str">
        <f>IF(OR(B142="",NOT(ISNUMBER(K142)),NOT(ISNUMBER(L142))),"",IF(OR(K142&lt;=0,L142&lt;=0),"",ROUND(L142-K142,6)))</f>
        <v/>
      </c>
      <c r="N142" s="58" t="n"/>
      <c r="O142" s="62" t="n"/>
      <c r="P142" s="63" t="str">
        <f>IF(OR(B142="",NOT(ISNUMBER(L142))),"",IF(L142&lt;=0,"",IFERROR(ROUND(L142*N(INDEX(art_w,MATCH(H142,art_ref,0))),3),"")))</f>
        <v/>
      </c>
      <c r="Q142" s="59" t="n"/>
      <c r="R142" s="54" t="n"/>
      <c r="S142" s="59" t="n"/>
      <c r="T142" s="59" t="n"/>
      <c r="U142" s="64" t="str">
        <f>IF(OR(B142="",H142=""),"",IFERROR(IF(A142="BL",IF(N(INDEX(art_price,MATCH(H142,art_ref,0)))=0,"",N(INDEX(art_price,MATCH(H142,art_ref,0)))),IF(N(INDEX(art_cost,MATCH(H142,art_ref,0)))=0,"",N(INDEX(art_cost,MATCH(H142,art_ref,0))))),""))</f>
        <v/>
      </c>
      <c r="V142" s="64" t="str">
        <f>IF(OR(U142="",NOT(ISNUMBER(L142))),"",IF(L142&lt;=0,"",ROUND(L142*U142,2)))</f>
        <v/>
      </c>
      <c r="W142" s="60" t="str">
        <f>IF(AND(B142&lt;&gt;"",A142&lt;&gt;"BS",F142&lt;&gt;"",H142&lt;&gt;"",ISNUMBER(K142),ISNUMBER(L142)),IF(AND(K142&gt;0,L142&gt;0,K142-L142&gt;0,COUNTIFS(A143:A$2005,A142,F143:F$2005,F142,H143:H$2005,H142,AA143:AA$2005,"&gt;0")=0),ROUND(K142-L142,6),""),"")</f>
        <v/>
      </c>
      <c r="X142" s="60" t="str">
        <f>IF(AND(A142="",C142="",D142="",H142="",L142=""),"",IF(A142="","Type manquant",IF(AND(A142&lt;&gt;"BL",A142&lt;&gt;"BR",A142&lt;&gt;"BS"),"Type inconnu (BL, BR ou BS)",IF(AG142=0,"Date manquante ou invalide",IF(D142="",IF(A142="BL","Client manquant",IF(A142="BR","Fournisseur manquant","Service manquant")),IF(IF(A142="BL",ISNA(MATCH(D142,cl_code,0)),IF(A142="BR",ISNA(MATCH(D142,fo_code,0)),ISNA(MATCH(D142,p_services,0)))),IF(A142="BL","Client inconnu",IF(A142="BR","Fournisseur inconnu","Service inconnu")),IF(H142="","Article manquant",IF(ISNA(MATCH(H142,art_ref,0)),"Article inconnu",IF(OR(NOT(ISNUMBER(L142)),N(L142)&lt;=0),"Quantité invalide",IF(AND(K142&lt;&gt;"",OR(NOT(ISNUMBER(K142)),N(K142)&lt;=0)),"Qté commandée invalide",IF(AG142&lt;SUMPRODUCT(MAX((A$6:A141=A142)*AG$6:AG141)),"Date antérieure au bon précédent",IF(AND(A142&lt;&gt;"BR",ISNUMBER(M142),N(M142)&gt;0),IF(A142="BL","Livré plus que commandé","Sorti plus que demandé"),"OK"))))))))))))</f>
        <v/>
      </c>
      <c r="Y142" s="57" t="str">
        <f>IF(AND(OR(A142="BL",A142="BR",A142="BS"),AG142&gt;0,D142&lt;&gt;""),A142&amp;"|"&amp;AG142&amp;"|"&amp;D142&amp;"|"&amp;F142,"")</f>
        <v/>
      </c>
      <c r="Z142" s="57" t="str">
        <f>IF(Y142="","",IF(COUNTIF(Y$6:Y141,Y142)=0,1,0))</f>
        <v/>
      </c>
      <c r="AA142" s="57" t="str">
        <f>IF(Y142="","",IF(Z142=1,COUNTIFS(A$6:A142,A142,Z$6:Z142,1),INDEX(AA$6:AA141,MATCH(Y142,Y$6:Y141,0))))</f>
        <v/>
      </c>
      <c r="AB142" s="57" t="str">
        <f>IF(B142="","",COUNTIF(B$6:B142,B142))</f>
        <v/>
      </c>
      <c r="AC142" s="57" t="str">
        <f>IF(B142="","",B142&amp;"#"&amp;AB142)</f>
        <v/>
      </c>
      <c r="AD142" s="57" t="str">
        <f>IF(Z142=1,A142&amp;AA142,"")</f>
        <v/>
      </c>
      <c r="AE142" s="57" t="str">
        <f>IF(B142="","",YEAR(C142))</f>
        <v/>
      </c>
      <c r="AF142" s="57" t="str">
        <f>IF(B142="","",MONTH(C142))</f>
        <v/>
      </c>
      <c r="AG142" s="57">
        <f>IF(ISNUMBER(C142),C142,0)</f>
        <v>0.0</v>
      </c>
      <c r="AH142" s="57" t="str">
        <f>IF(N(W142)&gt;0,COUNTIF(W$6:W142,"&gt;0"),"")</f>
        <v/>
      </c>
      <c r="AI142" s="57" t="str">
        <f>IF(Z142=1,COUNTIF(Z$6:Z142,1),"")</f>
        <v/>
      </c>
    </row>
    <row r="143">
      <c r="A143" s="54" t="n"/>
      <c r="B143" s="55" t="str">
        <f>IF(AA143="","",A143&amp;"-"&amp;RIGHT("000"&amp;AA143,4))</f>
        <v/>
      </c>
      <c r="C143" s="56" t="n"/>
      <c r="D143" s="54" t="n"/>
      <c r="E143" s="57" t="str">
        <f>IF(D143="","",IF(A143="BL",IFERROR(INDEX(cl_name,MATCH(D143,cl_code,0))&amp;"","Client inconnu"),IF(A143="BR",IFERROR(INDEX(fo_name,MATCH(D143,fo_code,0))&amp;"","Fournisseur inconnu"),IF(A143="BS",IF(ISNA(MATCH(D143,p_services,0)),"Service inconnu",D143&amp;""),""))))</f>
        <v/>
      </c>
      <c r="F143" s="58" t="n"/>
      <c r="G143" s="58" t="n"/>
      <c r="H143" s="59" t="n"/>
      <c r="I143" s="57" t="str">
        <f>IF(H143="","",IFERROR(INDEX(art_des,MATCH(H143,art_ref,0))&amp;"","Article inconnu"))</f>
        <v/>
      </c>
      <c r="J143" s="60" t="str">
        <f>IF(H143="","",IFERROR(INDEX(art_unit,MATCH(H143,art_ref,0))&amp;"",""))</f>
        <v/>
      </c>
      <c r="K143" s="59" t="n"/>
      <c r="L143" s="59" t="n"/>
      <c r="M143" s="61" t="str">
        <f>IF(OR(B143="",NOT(ISNUMBER(K143)),NOT(ISNUMBER(L143))),"",IF(OR(K143&lt;=0,L143&lt;=0),"",ROUND(L143-K143,6)))</f>
        <v/>
      </c>
      <c r="N143" s="58" t="n"/>
      <c r="O143" s="62" t="n"/>
      <c r="P143" s="63" t="str">
        <f>IF(OR(B143="",NOT(ISNUMBER(L143))),"",IF(L143&lt;=0,"",IFERROR(ROUND(L143*N(INDEX(art_w,MATCH(H143,art_ref,0))),3),"")))</f>
        <v/>
      </c>
      <c r="Q143" s="59" t="n"/>
      <c r="R143" s="54" t="n"/>
      <c r="S143" s="59" t="n"/>
      <c r="T143" s="59" t="n"/>
      <c r="U143" s="64" t="str">
        <f>IF(OR(B143="",H143=""),"",IFERROR(IF(A143="BL",IF(N(INDEX(art_price,MATCH(H143,art_ref,0)))=0,"",N(INDEX(art_price,MATCH(H143,art_ref,0)))),IF(N(INDEX(art_cost,MATCH(H143,art_ref,0)))=0,"",N(INDEX(art_cost,MATCH(H143,art_ref,0))))),""))</f>
        <v/>
      </c>
      <c r="V143" s="64" t="str">
        <f>IF(OR(U143="",NOT(ISNUMBER(L143))),"",IF(L143&lt;=0,"",ROUND(L143*U143,2)))</f>
        <v/>
      </c>
      <c r="W143" s="60" t="str">
        <f>IF(AND(B143&lt;&gt;"",A143&lt;&gt;"BS",F143&lt;&gt;"",H143&lt;&gt;"",ISNUMBER(K143),ISNUMBER(L143)),IF(AND(K143&gt;0,L143&gt;0,K143-L143&gt;0,COUNTIFS(A144:A$2005,A143,F144:F$2005,F143,H144:H$2005,H143,AA144:AA$2005,"&gt;0")=0),ROUND(K143-L143,6),""),"")</f>
        <v/>
      </c>
      <c r="X143" s="60" t="str">
        <f>IF(AND(A143="",C143="",D143="",H143="",L143=""),"",IF(A143="","Type manquant",IF(AND(A143&lt;&gt;"BL",A143&lt;&gt;"BR",A143&lt;&gt;"BS"),"Type inconnu (BL, BR ou BS)",IF(AG143=0,"Date manquante ou invalide",IF(D143="",IF(A143="BL","Client manquant",IF(A143="BR","Fournisseur manquant","Service manquant")),IF(IF(A143="BL",ISNA(MATCH(D143,cl_code,0)),IF(A143="BR",ISNA(MATCH(D143,fo_code,0)),ISNA(MATCH(D143,p_services,0)))),IF(A143="BL","Client inconnu",IF(A143="BR","Fournisseur inconnu","Service inconnu")),IF(H143="","Article manquant",IF(ISNA(MATCH(H143,art_ref,0)),"Article inconnu",IF(OR(NOT(ISNUMBER(L143)),N(L143)&lt;=0),"Quantité invalide",IF(AND(K143&lt;&gt;"",OR(NOT(ISNUMBER(K143)),N(K143)&lt;=0)),"Qté commandée invalide",IF(AG143&lt;SUMPRODUCT(MAX((A$6:A142=A143)*AG$6:AG142)),"Date antérieure au bon précédent",IF(AND(A143&lt;&gt;"BR",ISNUMBER(M143),N(M143)&gt;0),IF(A143="BL","Livré plus que commandé","Sorti plus que demandé"),"OK"))))))))))))</f>
        <v/>
      </c>
      <c r="Y143" s="57" t="str">
        <f>IF(AND(OR(A143="BL",A143="BR",A143="BS"),AG143&gt;0,D143&lt;&gt;""),A143&amp;"|"&amp;AG143&amp;"|"&amp;D143&amp;"|"&amp;F143,"")</f>
        <v/>
      </c>
      <c r="Z143" s="57" t="str">
        <f>IF(Y143="","",IF(COUNTIF(Y$6:Y142,Y143)=0,1,0))</f>
        <v/>
      </c>
      <c r="AA143" s="57" t="str">
        <f>IF(Y143="","",IF(Z143=1,COUNTIFS(A$6:A143,A143,Z$6:Z143,1),INDEX(AA$6:AA142,MATCH(Y143,Y$6:Y142,0))))</f>
        <v/>
      </c>
      <c r="AB143" s="57" t="str">
        <f>IF(B143="","",COUNTIF(B$6:B143,B143))</f>
        <v/>
      </c>
      <c r="AC143" s="57" t="str">
        <f>IF(B143="","",B143&amp;"#"&amp;AB143)</f>
        <v/>
      </c>
      <c r="AD143" s="57" t="str">
        <f>IF(Z143=1,A143&amp;AA143,"")</f>
        <v/>
      </c>
      <c r="AE143" s="57" t="str">
        <f>IF(B143="","",YEAR(C143))</f>
        <v/>
      </c>
      <c r="AF143" s="57" t="str">
        <f>IF(B143="","",MONTH(C143))</f>
        <v/>
      </c>
      <c r="AG143" s="57">
        <f>IF(ISNUMBER(C143),C143,0)</f>
        <v>0.0</v>
      </c>
      <c r="AH143" s="57" t="str">
        <f>IF(N(W143)&gt;0,COUNTIF(W$6:W143,"&gt;0"),"")</f>
        <v/>
      </c>
      <c r="AI143" s="57" t="str">
        <f>IF(Z143=1,COUNTIF(Z$6:Z143,1),"")</f>
        <v/>
      </c>
    </row>
    <row r="144">
      <c r="A144" s="54" t="n"/>
      <c r="B144" s="55" t="str">
        <f>IF(AA144="","",A144&amp;"-"&amp;RIGHT("000"&amp;AA144,4))</f>
        <v/>
      </c>
      <c r="C144" s="56" t="n"/>
      <c r="D144" s="54" t="n"/>
      <c r="E144" s="57" t="str">
        <f>IF(D144="","",IF(A144="BL",IFERROR(INDEX(cl_name,MATCH(D144,cl_code,0))&amp;"","Client inconnu"),IF(A144="BR",IFERROR(INDEX(fo_name,MATCH(D144,fo_code,0))&amp;"","Fournisseur inconnu"),IF(A144="BS",IF(ISNA(MATCH(D144,p_services,0)),"Service inconnu",D144&amp;""),""))))</f>
        <v/>
      </c>
      <c r="F144" s="58" t="n"/>
      <c r="G144" s="58" t="n"/>
      <c r="H144" s="59" t="n"/>
      <c r="I144" s="57" t="str">
        <f>IF(H144="","",IFERROR(INDEX(art_des,MATCH(H144,art_ref,0))&amp;"","Article inconnu"))</f>
        <v/>
      </c>
      <c r="J144" s="60" t="str">
        <f>IF(H144="","",IFERROR(INDEX(art_unit,MATCH(H144,art_ref,0))&amp;"",""))</f>
        <v/>
      </c>
      <c r="K144" s="59" t="n"/>
      <c r="L144" s="59" t="n"/>
      <c r="M144" s="61" t="str">
        <f>IF(OR(B144="",NOT(ISNUMBER(K144)),NOT(ISNUMBER(L144))),"",IF(OR(K144&lt;=0,L144&lt;=0),"",ROUND(L144-K144,6)))</f>
        <v/>
      </c>
      <c r="N144" s="58" t="n"/>
      <c r="O144" s="62" t="n"/>
      <c r="P144" s="63" t="str">
        <f>IF(OR(B144="",NOT(ISNUMBER(L144))),"",IF(L144&lt;=0,"",IFERROR(ROUND(L144*N(INDEX(art_w,MATCH(H144,art_ref,0))),3),"")))</f>
        <v/>
      </c>
      <c r="Q144" s="59" t="n"/>
      <c r="R144" s="54" t="n"/>
      <c r="S144" s="59" t="n"/>
      <c r="T144" s="59" t="n"/>
      <c r="U144" s="64" t="str">
        <f>IF(OR(B144="",H144=""),"",IFERROR(IF(A144="BL",IF(N(INDEX(art_price,MATCH(H144,art_ref,0)))=0,"",N(INDEX(art_price,MATCH(H144,art_ref,0)))),IF(N(INDEX(art_cost,MATCH(H144,art_ref,0)))=0,"",N(INDEX(art_cost,MATCH(H144,art_ref,0))))),""))</f>
        <v/>
      </c>
      <c r="V144" s="64" t="str">
        <f>IF(OR(U144="",NOT(ISNUMBER(L144))),"",IF(L144&lt;=0,"",ROUND(L144*U144,2)))</f>
        <v/>
      </c>
      <c r="W144" s="60" t="str">
        <f>IF(AND(B144&lt;&gt;"",A144&lt;&gt;"BS",F144&lt;&gt;"",H144&lt;&gt;"",ISNUMBER(K144),ISNUMBER(L144)),IF(AND(K144&gt;0,L144&gt;0,K144-L144&gt;0,COUNTIFS(A145:A$2005,A144,F145:F$2005,F144,H145:H$2005,H144,AA145:AA$2005,"&gt;0")=0),ROUND(K144-L144,6),""),"")</f>
        <v/>
      </c>
      <c r="X144" s="60" t="str">
        <f>IF(AND(A144="",C144="",D144="",H144="",L144=""),"",IF(A144="","Type manquant",IF(AND(A144&lt;&gt;"BL",A144&lt;&gt;"BR",A144&lt;&gt;"BS"),"Type inconnu (BL, BR ou BS)",IF(AG144=0,"Date manquante ou invalide",IF(D144="",IF(A144="BL","Client manquant",IF(A144="BR","Fournisseur manquant","Service manquant")),IF(IF(A144="BL",ISNA(MATCH(D144,cl_code,0)),IF(A144="BR",ISNA(MATCH(D144,fo_code,0)),ISNA(MATCH(D144,p_services,0)))),IF(A144="BL","Client inconnu",IF(A144="BR","Fournisseur inconnu","Service inconnu")),IF(H144="","Article manquant",IF(ISNA(MATCH(H144,art_ref,0)),"Article inconnu",IF(OR(NOT(ISNUMBER(L144)),N(L144)&lt;=0),"Quantité invalide",IF(AND(K144&lt;&gt;"",OR(NOT(ISNUMBER(K144)),N(K144)&lt;=0)),"Qté commandée invalide",IF(AG144&lt;SUMPRODUCT(MAX((A$6:A143=A144)*AG$6:AG143)),"Date antérieure au bon précédent",IF(AND(A144&lt;&gt;"BR",ISNUMBER(M144),N(M144)&gt;0),IF(A144="BL","Livré plus que commandé","Sorti plus que demandé"),"OK"))))))))))))</f>
        <v/>
      </c>
      <c r="Y144" s="57" t="str">
        <f>IF(AND(OR(A144="BL",A144="BR",A144="BS"),AG144&gt;0,D144&lt;&gt;""),A144&amp;"|"&amp;AG144&amp;"|"&amp;D144&amp;"|"&amp;F144,"")</f>
        <v/>
      </c>
      <c r="Z144" s="57" t="str">
        <f>IF(Y144="","",IF(COUNTIF(Y$6:Y143,Y144)=0,1,0))</f>
        <v/>
      </c>
      <c r="AA144" s="57" t="str">
        <f>IF(Y144="","",IF(Z144=1,COUNTIFS(A$6:A144,A144,Z$6:Z144,1),INDEX(AA$6:AA143,MATCH(Y144,Y$6:Y143,0))))</f>
        <v/>
      </c>
      <c r="AB144" s="57" t="str">
        <f>IF(B144="","",COUNTIF(B$6:B144,B144))</f>
        <v/>
      </c>
      <c r="AC144" s="57" t="str">
        <f>IF(B144="","",B144&amp;"#"&amp;AB144)</f>
        <v/>
      </c>
      <c r="AD144" s="57" t="str">
        <f>IF(Z144=1,A144&amp;AA144,"")</f>
        <v/>
      </c>
      <c r="AE144" s="57" t="str">
        <f>IF(B144="","",YEAR(C144))</f>
        <v/>
      </c>
      <c r="AF144" s="57" t="str">
        <f>IF(B144="","",MONTH(C144))</f>
        <v/>
      </c>
      <c r="AG144" s="57">
        <f>IF(ISNUMBER(C144),C144,0)</f>
        <v>0.0</v>
      </c>
      <c r="AH144" s="57" t="str">
        <f>IF(N(W144)&gt;0,COUNTIF(W$6:W144,"&gt;0"),"")</f>
        <v/>
      </c>
      <c r="AI144" s="57" t="str">
        <f>IF(Z144=1,COUNTIF(Z$6:Z144,1),"")</f>
        <v/>
      </c>
    </row>
    <row r="145">
      <c r="A145" s="54" t="n"/>
      <c r="B145" s="55" t="str">
        <f>IF(AA145="","",A145&amp;"-"&amp;RIGHT("000"&amp;AA145,4))</f>
        <v/>
      </c>
      <c r="C145" s="56" t="n"/>
      <c r="D145" s="54" t="n"/>
      <c r="E145" s="57" t="str">
        <f>IF(D145="","",IF(A145="BL",IFERROR(INDEX(cl_name,MATCH(D145,cl_code,0))&amp;"","Client inconnu"),IF(A145="BR",IFERROR(INDEX(fo_name,MATCH(D145,fo_code,0))&amp;"","Fournisseur inconnu"),IF(A145="BS",IF(ISNA(MATCH(D145,p_services,0)),"Service inconnu",D145&amp;""),""))))</f>
        <v/>
      </c>
      <c r="F145" s="58" t="n"/>
      <c r="G145" s="58" t="n"/>
      <c r="H145" s="59" t="n"/>
      <c r="I145" s="57" t="str">
        <f>IF(H145="","",IFERROR(INDEX(art_des,MATCH(H145,art_ref,0))&amp;"","Article inconnu"))</f>
        <v/>
      </c>
      <c r="J145" s="60" t="str">
        <f>IF(H145="","",IFERROR(INDEX(art_unit,MATCH(H145,art_ref,0))&amp;"",""))</f>
        <v/>
      </c>
      <c r="K145" s="59" t="n"/>
      <c r="L145" s="59" t="n"/>
      <c r="M145" s="61" t="str">
        <f>IF(OR(B145="",NOT(ISNUMBER(K145)),NOT(ISNUMBER(L145))),"",IF(OR(K145&lt;=0,L145&lt;=0),"",ROUND(L145-K145,6)))</f>
        <v/>
      </c>
      <c r="N145" s="58" t="n"/>
      <c r="O145" s="62" t="n"/>
      <c r="P145" s="63" t="str">
        <f>IF(OR(B145="",NOT(ISNUMBER(L145))),"",IF(L145&lt;=0,"",IFERROR(ROUND(L145*N(INDEX(art_w,MATCH(H145,art_ref,0))),3),"")))</f>
        <v/>
      </c>
      <c r="Q145" s="59" t="n"/>
      <c r="R145" s="54" t="n"/>
      <c r="S145" s="59" t="n"/>
      <c r="T145" s="59" t="n"/>
      <c r="U145" s="64" t="str">
        <f>IF(OR(B145="",H145=""),"",IFERROR(IF(A145="BL",IF(N(INDEX(art_price,MATCH(H145,art_ref,0)))=0,"",N(INDEX(art_price,MATCH(H145,art_ref,0)))),IF(N(INDEX(art_cost,MATCH(H145,art_ref,0)))=0,"",N(INDEX(art_cost,MATCH(H145,art_ref,0))))),""))</f>
        <v/>
      </c>
      <c r="V145" s="64" t="str">
        <f>IF(OR(U145="",NOT(ISNUMBER(L145))),"",IF(L145&lt;=0,"",ROUND(L145*U145,2)))</f>
        <v/>
      </c>
      <c r="W145" s="60" t="str">
        <f>IF(AND(B145&lt;&gt;"",A145&lt;&gt;"BS",F145&lt;&gt;"",H145&lt;&gt;"",ISNUMBER(K145),ISNUMBER(L145)),IF(AND(K145&gt;0,L145&gt;0,K145-L145&gt;0,COUNTIFS(A146:A$2005,A145,F146:F$2005,F145,H146:H$2005,H145,AA146:AA$2005,"&gt;0")=0),ROUND(K145-L145,6),""),"")</f>
        <v/>
      </c>
      <c r="X145" s="60" t="str">
        <f>IF(AND(A145="",C145="",D145="",H145="",L145=""),"",IF(A145="","Type manquant",IF(AND(A145&lt;&gt;"BL",A145&lt;&gt;"BR",A145&lt;&gt;"BS"),"Type inconnu (BL, BR ou BS)",IF(AG145=0,"Date manquante ou invalide",IF(D145="",IF(A145="BL","Client manquant",IF(A145="BR","Fournisseur manquant","Service manquant")),IF(IF(A145="BL",ISNA(MATCH(D145,cl_code,0)),IF(A145="BR",ISNA(MATCH(D145,fo_code,0)),ISNA(MATCH(D145,p_services,0)))),IF(A145="BL","Client inconnu",IF(A145="BR","Fournisseur inconnu","Service inconnu")),IF(H145="","Article manquant",IF(ISNA(MATCH(H145,art_ref,0)),"Article inconnu",IF(OR(NOT(ISNUMBER(L145)),N(L145)&lt;=0),"Quantité invalide",IF(AND(K145&lt;&gt;"",OR(NOT(ISNUMBER(K145)),N(K145)&lt;=0)),"Qté commandée invalide",IF(AG145&lt;SUMPRODUCT(MAX((A$6:A144=A145)*AG$6:AG144)),"Date antérieure au bon précédent",IF(AND(A145&lt;&gt;"BR",ISNUMBER(M145),N(M145)&gt;0),IF(A145="BL","Livré plus que commandé","Sorti plus que demandé"),"OK"))))))))))))</f>
        <v/>
      </c>
      <c r="Y145" s="57" t="str">
        <f>IF(AND(OR(A145="BL",A145="BR",A145="BS"),AG145&gt;0,D145&lt;&gt;""),A145&amp;"|"&amp;AG145&amp;"|"&amp;D145&amp;"|"&amp;F145,"")</f>
        <v/>
      </c>
      <c r="Z145" s="57" t="str">
        <f>IF(Y145="","",IF(COUNTIF(Y$6:Y144,Y145)=0,1,0))</f>
        <v/>
      </c>
      <c r="AA145" s="57" t="str">
        <f>IF(Y145="","",IF(Z145=1,COUNTIFS(A$6:A145,A145,Z$6:Z145,1),INDEX(AA$6:AA144,MATCH(Y145,Y$6:Y144,0))))</f>
        <v/>
      </c>
      <c r="AB145" s="57" t="str">
        <f>IF(B145="","",COUNTIF(B$6:B145,B145))</f>
        <v/>
      </c>
      <c r="AC145" s="57" t="str">
        <f>IF(B145="","",B145&amp;"#"&amp;AB145)</f>
        <v/>
      </c>
      <c r="AD145" s="57" t="str">
        <f>IF(Z145=1,A145&amp;AA145,"")</f>
        <v/>
      </c>
      <c r="AE145" s="57" t="str">
        <f>IF(B145="","",YEAR(C145))</f>
        <v/>
      </c>
      <c r="AF145" s="57" t="str">
        <f>IF(B145="","",MONTH(C145))</f>
        <v/>
      </c>
      <c r="AG145" s="57">
        <f>IF(ISNUMBER(C145),C145,0)</f>
        <v>0.0</v>
      </c>
      <c r="AH145" s="57" t="str">
        <f>IF(N(W145)&gt;0,COUNTIF(W$6:W145,"&gt;0"),"")</f>
        <v/>
      </c>
      <c r="AI145" s="57" t="str">
        <f>IF(Z145=1,COUNTIF(Z$6:Z145,1),"")</f>
        <v/>
      </c>
    </row>
    <row r="146">
      <c r="A146" s="54" t="n"/>
      <c r="B146" s="55" t="str">
        <f>IF(AA146="","",A146&amp;"-"&amp;RIGHT("000"&amp;AA146,4))</f>
        <v/>
      </c>
      <c r="C146" s="56" t="n"/>
      <c r="D146" s="54" t="n"/>
      <c r="E146" s="57" t="str">
        <f>IF(D146="","",IF(A146="BL",IFERROR(INDEX(cl_name,MATCH(D146,cl_code,0))&amp;"","Client inconnu"),IF(A146="BR",IFERROR(INDEX(fo_name,MATCH(D146,fo_code,0))&amp;"","Fournisseur inconnu"),IF(A146="BS",IF(ISNA(MATCH(D146,p_services,0)),"Service inconnu",D146&amp;""),""))))</f>
        <v/>
      </c>
      <c r="F146" s="58" t="n"/>
      <c r="G146" s="58" t="n"/>
      <c r="H146" s="59" t="n"/>
      <c r="I146" s="57" t="str">
        <f>IF(H146="","",IFERROR(INDEX(art_des,MATCH(H146,art_ref,0))&amp;"","Article inconnu"))</f>
        <v/>
      </c>
      <c r="J146" s="60" t="str">
        <f>IF(H146="","",IFERROR(INDEX(art_unit,MATCH(H146,art_ref,0))&amp;"",""))</f>
        <v/>
      </c>
      <c r="K146" s="59" t="n"/>
      <c r="L146" s="59" t="n"/>
      <c r="M146" s="61" t="str">
        <f>IF(OR(B146="",NOT(ISNUMBER(K146)),NOT(ISNUMBER(L146))),"",IF(OR(K146&lt;=0,L146&lt;=0),"",ROUND(L146-K146,6)))</f>
        <v/>
      </c>
      <c r="N146" s="58" t="n"/>
      <c r="O146" s="62" t="n"/>
      <c r="P146" s="63" t="str">
        <f>IF(OR(B146="",NOT(ISNUMBER(L146))),"",IF(L146&lt;=0,"",IFERROR(ROUND(L146*N(INDEX(art_w,MATCH(H146,art_ref,0))),3),"")))</f>
        <v/>
      </c>
      <c r="Q146" s="59" t="n"/>
      <c r="R146" s="54" t="n"/>
      <c r="S146" s="59" t="n"/>
      <c r="T146" s="59" t="n"/>
      <c r="U146" s="64" t="str">
        <f>IF(OR(B146="",H146=""),"",IFERROR(IF(A146="BL",IF(N(INDEX(art_price,MATCH(H146,art_ref,0)))=0,"",N(INDEX(art_price,MATCH(H146,art_ref,0)))),IF(N(INDEX(art_cost,MATCH(H146,art_ref,0)))=0,"",N(INDEX(art_cost,MATCH(H146,art_ref,0))))),""))</f>
        <v/>
      </c>
      <c r="V146" s="64" t="str">
        <f>IF(OR(U146="",NOT(ISNUMBER(L146))),"",IF(L146&lt;=0,"",ROUND(L146*U146,2)))</f>
        <v/>
      </c>
      <c r="W146" s="60" t="str">
        <f>IF(AND(B146&lt;&gt;"",A146&lt;&gt;"BS",F146&lt;&gt;"",H146&lt;&gt;"",ISNUMBER(K146),ISNUMBER(L146)),IF(AND(K146&gt;0,L146&gt;0,K146-L146&gt;0,COUNTIFS(A147:A$2005,A146,F147:F$2005,F146,H147:H$2005,H146,AA147:AA$2005,"&gt;0")=0),ROUND(K146-L146,6),""),"")</f>
        <v/>
      </c>
      <c r="X146" s="60" t="str">
        <f>IF(AND(A146="",C146="",D146="",H146="",L146=""),"",IF(A146="","Type manquant",IF(AND(A146&lt;&gt;"BL",A146&lt;&gt;"BR",A146&lt;&gt;"BS"),"Type inconnu (BL, BR ou BS)",IF(AG146=0,"Date manquante ou invalide",IF(D146="",IF(A146="BL","Client manquant",IF(A146="BR","Fournisseur manquant","Service manquant")),IF(IF(A146="BL",ISNA(MATCH(D146,cl_code,0)),IF(A146="BR",ISNA(MATCH(D146,fo_code,0)),ISNA(MATCH(D146,p_services,0)))),IF(A146="BL","Client inconnu",IF(A146="BR","Fournisseur inconnu","Service inconnu")),IF(H146="","Article manquant",IF(ISNA(MATCH(H146,art_ref,0)),"Article inconnu",IF(OR(NOT(ISNUMBER(L146)),N(L146)&lt;=0),"Quantité invalide",IF(AND(K146&lt;&gt;"",OR(NOT(ISNUMBER(K146)),N(K146)&lt;=0)),"Qté commandée invalide",IF(AG146&lt;SUMPRODUCT(MAX((A$6:A145=A146)*AG$6:AG145)),"Date antérieure au bon précédent",IF(AND(A146&lt;&gt;"BR",ISNUMBER(M146),N(M146)&gt;0),IF(A146="BL","Livré plus que commandé","Sorti plus que demandé"),"OK"))))))))))))</f>
        <v/>
      </c>
      <c r="Y146" s="57" t="str">
        <f>IF(AND(OR(A146="BL",A146="BR",A146="BS"),AG146&gt;0,D146&lt;&gt;""),A146&amp;"|"&amp;AG146&amp;"|"&amp;D146&amp;"|"&amp;F146,"")</f>
        <v/>
      </c>
      <c r="Z146" s="57" t="str">
        <f>IF(Y146="","",IF(COUNTIF(Y$6:Y145,Y146)=0,1,0))</f>
        <v/>
      </c>
      <c r="AA146" s="57" t="str">
        <f>IF(Y146="","",IF(Z146=1,COUNTIFS(A$6:A146,A146,Z$6:Z146,1),INDEX(AA$6:AA145,MATCH(Y146,Y$6:Y145,0))))</f>
        <v/>
      </c>
      <c r="AB146" s="57" t="str">
        <f>IF(B146="","",COUNTIF(B$6:B146,B146))</f>
        <v/>
      </c>
      <c r="AC146" s="57" t="str">
        <f>IF(B146="","",B146&amp;"#"&amp;AB146)</f>
        <v/>
      </c>
      <c r="AD146" s="57" t="str">
        <f>IF(Z146=1,A146&amp;AA146,"")</f>
        <v/>
      </c>
      <c r="AE146" s="57" t="str">
        <f>IF(B146="","",YEAR(C146))</f>
        <v/>
      </c>
      <c r="AF146" s="57" t="str">
        <f>IF(B146="","",MONTH(C146))</f>
        <v/>
      </c>
      <c r="AG146" s="57">
        <f>IF(ISNUMBER(C146),C146,0)</f>
        <v>0.0</v>
      </c>
      <c r="AH146" s="57" t="str">
        <f>IF(N(W146)&gt;0,COUNTIF(W$6:W146,"&gt;0"),"")</f>
        <v/>
      </c>
      <c r="AI146" s="57" t="str">
        <f>IF(Z146=1,COUNTIF(Z$6:Z146,1),"")</f>
        <v/>
      </c>
    </row>
    <row r="147">
      <c r="A147" s="54" t="n"/>
      <c r="B147" s="55" t="str">
        <f>IF(AA147="","",A147&amp;"-"&amp;RIGHT("000"&amp;AA147,4))</f>
        <v/>
      </c>
      <c r="C147" s="56" t="n"/>
      <c r="D147" s="54" t="n"/>
      <c r="E147" s="57" t="str">
        <f>IF(D147="","",IF(A147="BL",IFERROR(INDEX(cl_name,MATCH(D147,cl_code,0))&amp;"","Client inconnu"),IF(A147="BR",IFERROR(INDEX(fo_name,MATCH(D147,fo_code,0))&amp;"","Fournisseur inconnu"),IF(A147="BS",IF(ISNA(MATCH(D147,p_services,0)),"Service inconnu",D147&amp;""),""))))</f>
        <v/>
      </c>
      <c r="F147" s="58" t="n"/>
      <c r="G147" s="58" t="n"/>
      <c r="H147" s="59" t="n"/>
      <c r="I147" s="57" t="str">
        <f>IF(H147="","",IFERROR(INDEX(art_des,MATCH(H147,art_ref,0))&amp;"","Article inconnu"))</f>
        <v/>
      </c>
      <c r="J147" s="60" t="str">
        <f>IF(H147="","",IFERROR(INDEX(art_unit,MATCH(H147,art_ref,0))&amp;"",""))</f>
        <v/>
      </c>
      <c r="K147" s="59" t="n"/>
      <c r="L147" s="59" t="n"/>
      <c r="M147" s="61" t="str">
        <f>IF(OR(B147="",NOT(ISNUMBER(K147)),NOT(ISNUMBER(L147))),"",IF(OR(K147&lt;=0,L147&lt;=0),"",ROUND(L147-K147,6)))</f>
        <v/>
      </c>
      <c r="N147" s="58" t="n"/>
      <c r="O147" s="62" t="n"/>
      <c r="P147" s="63" t="str">
        <f>IF(OR(B147="",NOT(ISNUMBER(L147))),"",IF(L147&lt;=0,"",IFERROR(ROUND(L147*N(INDEX(art_w,MATCH(H147,art_ref,0))),3),"")))</f>
        <v/>
      </c>
      <c r="Q147" s="59" t="n"/>
      <c r="R147" s="54" t="n"/>
      <c r="S147" s="59" t="n"/>
      <c r="T147" s="59" t="n"/>
      <c r="U147" s="64" t="str">
        <f>IF(OR(B147="",H147=""),"",IFERROR(IF(A147="BL",IF(N(INDEX(art_price,MATCH(H147,art_ref,0)))=0,"",N(INDEX(art_price,MATCH(H147,art_ref,0)))),IF(N(INDEX(art_cost,MATCH(H147,art_ref,0)))=0,"",N(INDEX(art_cost,MATCH(H147,art_ref,0))))),""))</f>
        <v/>
      </c>
      <c r="V147" s="64" t="str">
        <f>IF(OR(U147="",NOT(ISNUMBER(L147))),"",IF(L147&lt;=0,"",ROUND(L147*U147,2)))</f>
        <v/>
      </c>
      <c r="W147" s="60" t="str">
        <f>IF(AND(B147&lt;&gt;"",A147&lt;&gt;"BS",F147&lt;&gt;"",H147&lt;&gt;"",ISNUMBER(K147),ISNUMBER(L147)),IF(AND(K147&gt;0,L147&gt;0,K147-L147&gt;0,COUNTIFS(A148:A$2005,A147,F148:F$2005,F147,H148:H$2005,H147,AA148:AA$2005,"&gt;0")=0),ROUND(K147-L147,6),""),"")</f>
        <v/>
      </c>
      <c r="X147" s="60" t="str">
        <f>IF(AND(A147="",C147="",D147="",H147="",L147=""),"",IF(A147="","Type manquant",IF(AND(A147&lt;&gt;"BL",A147&lt;&gt;"BR",A147&lt;&gt;"BS"),"Type inconnu (BL, BR ou BS)",IF(AG147=0,"Date manquante ou invalide",IF(D147="",IF(A147="BL","Client manquant",IF(A147="BR","Fournisseur manquant","Service manquant")),IF(IF(A147="BL",ISNA(MATCH(D147,cl_code,0)),IF(A147="BR",ISNA(MATCH(D147,fo_code,0)),ISNA(MATCH(D147,p_services,0)))),IF(A147="BL","Client inconnu",IF(A147="BR","Fournisseur inconnu","Service inconnu")),IF(H147="","Article manquant",IF(ISNA(MATCH(H147,art_ref,0)),"Article inconnu",IF(OR(NOT(ISNUMBER(L147)),N(L147)&lt;=0),"Quantité invalide",IF(AND(K147&lt;&gt;"",OR(NOT(ISNUMBER(K147)),N(K147)&lt;=0)),"Qté commandée invalide",IF(AG147&lt;SUMPRODUCT(MAX((A$6:A146=A147)*AG$6:AG146)),"Date antérieure au bon précédent",IF(AND(A147&lt;&gt;"BR",ISNUMBER(M147),N(M147)&gt;0),IF(A147="BL","Livré plus que commandé","Sorti plus que demandé"),"OK"))))))))))))</f>
        <v/>
      </c>
      <c r="Y147" s="57" t="str">
        <f>IF(AND(OR(A147="BL",A147="BR",A147="BS"),AG147&gt;0,D147&lt;&gt;""),A147&amp;"|"&amp;AG147&amp;"|"&amp;D147&amp;"|"&amp;F147,"")</f>
        <v/>
      </c>
      <c r="Z147" s="57" t="str">
        <f>IF(Y147="","",IF(COUNTIF(Y$6:Y146,Y147)=0,1,0))</f>
        <v/>
      </c>
      <c r="AA147" s="57" t="str">
        <f>IF(Y147="","",IF(Z147=1,COUNTIFS(A$6:A147,A147,Z$6:Z147,1),INDEX(AA$6:AA146,MATCH(Y147,Y$6:Y146,0))))</f>
        <v/>
      </c>
      <c r="AB147" s="57" t="str">
        <f>IF(B147="","",COUNTIF(B$6:B147,B147))</f>
        <v/>
      </c>
      <c r="AC147" s="57" t="str">
        <f>IF(B147="","",B147&amp;"#"&amp;AB147)</f>
        <v/>
      </c>
      <c r="AD147" s="57" t="str">
        <f>IF(Z147=1,A147&amp;AA147,"")</f>
        <v/>
      </c>
      <c r="AE147" s="57" t="str">
        <f>IF(B147="","",YEAR(C147))</f>
        <v/>
      </c>
      <c r="AF147" s="57" t="str">
        <f>IF(B147="","",MONTH(C147))</f>
        <v/>
      </c>
      <c r="AG147" s="57">
        <f>IF(ISNUMBER(C147),C147,0)</f>
        <v>0.0</v>
      </c>
      <c r="AH147" s="57" t="str">
        <f>IF(N(W147)&gt;0,COUNTIF(W$6:W147,"&gt;0"),"")</f>
        <v/>
      </c>
      <c r="AI147" s="57" t="str">
        <f>IF(Z147=1,COUNTIF(Z$6:Z147,1),"")</f>
        <v/>
      </c>
    </row>
    <row r="148">
      <c r="A148" s="54" t="n"/>
      <c r="B148" s="55" t="str">
        <f>IF(AA148="","",A148&amp;"-"&amp;RIGHT("000"&amp;AA148,4))</f>
        <v/>
      </c>
      <c r="C148" s="56" t="n"/>
      <c r="D148" s="54" t="n"/>
      <c r="E148" s="57" t="str">
        <f>IF(D148="","",IF(A148="BL",IFERROR(INDEX(cl_name,MATCH(D148,cl_code,0))&amp;"","Client inconnu"),IF(A148="BR",IFERROR(INDEX(fo_name,MATCH(D148,fo_code,0))&amp;"","Fournisseur inconnu"),IF(A148="BS",IF(ISNA(MATCH(D148,p_services,0)),"Service inconnu",D148&amp;""),""))))</f>
        <v/>
      </c>
      <c r="F148" s="58" t="n"/>
      <c r="G148" s="58" t="n"/>
      <c r="H148" s="59" t="n"/>
      <c r="I148" s="57" t="str">
        <f>IF(H148="","",IFERROR(INDEX(art_des,MATCH(H148,art_ref,0))&amp;"","Article inconnu"))</f>
        <v/>
      </c>
      <c r="J148" s="60" t="str">
        <f>IF(H148="","",IFERROR(INDEX(art_unit,MATCH(H148,art_ref,0))&amp;"",""))</f>
        <v/>
      </c>
      <c r="K148" s="59" t="n"/>
      <c r="L148" s="59" t="n"/>
      <c r="M148" s="61" t="str">
        <f>IF(OR(B148="",NOT(ISNUMBER(K148)),NOT(ISNUMBER(L148))),"",IF(OR(K148&lt;=0,L148&lt;=0),"",ROUND(L148-K148,6)))</f>
        <v/>
      </c>
      <c r="N148" s="58" t="n"/>
      <c r="O148" s="62" t="n"/>
      <c r="P148" s="63" t="str">
        <f>IF(OR(B148="",NOT(ISNUMBER(L148))),"",IF(L148&lt;=0,"",IFERROR(ROUND(L148*N(INDEX(art_w,MATCH(H148,art_ref,0))),3),"")))</f>
        <v/>
      </c>
      <c r="Q148" s="59" t="n"/>
      <c r="R148" s="54" t="n"/>
      <c r="S148" s="59" t="n"/>
      <c r="T148" s="59" t="n"/>
      <c r="U148" s="64" t="str">
        <f>IF(OR(B148="",H148=""),"",IFERROR(IF(A148="BL",IF(N(INDEX(art_price,MATCH(H148,art_ref,0)))=0,"",N(INDEX(art_price,MATCH(H148,art_ref,0)))),IF(N(INDEX(art_cost,MATCH(H148,art_ref,0)))=0,"",N(INDEX(art_cost,MATCH(H148,art_ref,0))))),""))</f>
        <v/>
      </c>
      <c r="V148" s="64" t="str">
        <f>IF(OR(U148="",NOT(ISNUMBER(L148))),"",IF(L148&lt;=0,"",ROUND(L148*U148,2)))</f>
        <v/>
      </c>
      <c r="W148" s="60" t="str">
        <f>IF(AND(B148&lt;&gt;"",A148&lt;&gt;"BS",F148&lt;&gt;"",H148&lt;&gt;"",ISNUMBER(K148),ISNUMBER(L148)),IF(AND(K148&gt;0,L148&gt;0,K148-L148&gt;0,COUNTIFS(A149:A$2005,A148,F149:F$2005,F148,H149:H$2005,H148,AA149:AA$2005,"&gt;0")=0),ROUND(K148-L148,6),""),"")</f>
        <v/>
      </c>
      <c r="X148" s="60" t="str">
        <f>IF(AND(A148="",C148="",D148="",H148="",L148=""),"",IF(A148="","Type manquant",IF(AND(A148&lt;&gt;"BL",A148&lt;&gt;"BR",A148&lt;&gt;"BS"),"Type inconnu (BL, BR ou BS)",IF(AG148=0,"Date manquante ou invalide",IF(D148="",IF(A148="BL","Client manquant",IF(A148="BR","Fournisseur manquant","Service manquant")),IF(IF(A148="BL",ISNA(MATCH(D148,cl_code,0)),IF(A148="BR",ISNA(MATCH(D148,fo_code,0)),ISNA(MATCH(D148,p_services,0)))),IF(A148="BL","Client inconnu",IF(A148="BR","Fournisseur inconnu","Service inconnu")),IF(H148="","Article manquant",IF(ISNA(MATCH(H148,art_ref,0)),"Article inconnu",IF(OR(NOT(ISNUMBER(L148)),N(L148)&lt;=0),"Quantité invalide",IF(AND(K148&lt;&gt;"",OR(NOT(ISNUMBER(K148)),N(K148)&lt;=0)),"Qté commandée invalide",IF(AG148&lt;SUMPRODUCT(MAX((A$6:A147=A148)*AG$6:AG147)),"Date antérieure au bon précédent",IF(AND(A148&lt;&gt;"BR",ISNUMBER(M148),N(M148)&gt;0),IF(A148="BL","Livré plus que commandé","Sorti plus que demandé"),"OK"))))))))))))</f>
        <v/>
      </c>
      <c r="Y148" s="57" t="str">
        <f>IF(AND(OR(A148="BL",A148="BR",A148="BS"),AG148&gt;0,D148&lt;&gt;""),A148&amp;"|"&amp;AG148&amp;"|"&amp;D148&amp;"|"&amp;F148,"")</f>
        <v/>
      </c>
      <c r="Z148" s="57" t="str">
        <f>IF(Y148="","",IF(COUNTIF(Y$6:Y147,Y148)=0,1,0))</f>
        <v/>
      </c>
      <c r="AA148" s="57" t="str">
        <f>IF(Y148="","",IF(Z148=1,COUNTIFS(A$6:A148,A148,Z$6:Z148,1),INDEX(AA$6:AA147,MATCH(Y148,Y$6:Y147,0))))</f>
        <v/>
      </c>
      <c r="AB148" s="57" t="str">
        <f>IF(B148="","",COUNTIF(B$6:B148,B148))</f>
        <v/>
      </c>
      <c r="AC148" s="57" t="str">
        <f>IF(B148="","",B148&amp;"#"&amp;AB148)</f>
        <v/>
      </c>
      <c r="AD148" s="57" t="str">
        <f>IF(Z148=1,A148&amp;AA148,"")</f>
        <v/>
      </c>
      <c r="AE148" s="57" t="str">
        <f>IF(B148="","",YEAR(C148))</f>
        <v/>
      </c>
      <c r="AF148" s="57" t="str">
        <f>IF(B148="","",MONTH(C148))</f>
        <v/>
      </c>
      <c r="AG148" s="57">
        <f>IF(ISNUMBER(C148),C148,0)</f>
        <v>0.0</v>
      </c>
      <c r="AH148" s="57" t="str">
        <f>IF(N(W148)&gt;0,COUNTIF(W$6:W148,"&gt;0"),"")</f>
        <v/>
      </c>
      <c r="AI148" s="57" t="str">
        <f>IF(Z148=1,COUNTIF(Z$6:Z148,1),"")</f>
        <v/>
      </c>
    </row>
    <row r="149">
      <c r="A149" s="54" t="n"/>
      <c r="B149" s="55" t="str">
        <f>IF(AA149="","",A149&amp;"-"&amp;RIGHT("000"&amp;AA149,4))</f>
        <v/>
      </c>
      <c r="C149" s="56" t="n"/>
      <c r="D149" s="54" t="n"/>
      <c r="E149" s="57" t="str">
        <f>IF(D149="","",IF(A149="BL",IFERROR(INDEX(cl_name,MATCH(D149,cl_code,0))&amp;"","Client inconnu"),IF(A149="BR",IFERROR(INDEX(fo_name,MATCH(D149,fo_code,0))&amp;"","Fournisseur inconnu"),IF(A149="BS",IF(ISNA(MATCH(D149,p_services,0)),"Service inconnu",D149&amp;""),""))))</f>
        <v/>
      </c>
      <c r="F149" s="58" t="n"/>
      <c r="G149" s="58" t="n"/>
      <c r="H149" s="59" t="n"/>
      <c r="I149" s="57" t="str">
        <f>IF(H149="","",IFERROR(INDEX(art_des,MATCH(H149,art_ref,0))&amp;"","Article inconnu"))</f>
        <v/>
      </c>
      <c r="J149" s="60" t="str">
        <f>IF(H149="","",IFERROR(INDEX(art_unit,MATCH(H149,art_ref,0))&amp;"",""))</f>
        <v/>
      </c>
      <c r="K149" s="59" t="n"/>
      <c r="L149" s="59" t="n"/>
      <c r="M149" s="61" t="str">
        <f>IF(OR(B149="",NOT(ISNUMBER(K149)),NOT(ISNUMBER(L149))),"",IF(OR(K149&lt;=0,L149&lt;=0),"",ROUND(L149-K149,6)))</f>
        <v/>
      </c>
      <c r="N149" s="58" t="n"/>
      <c r="O149" s="62" t="n"/>
      <c r="P149" s="63" t="str">
        <f>IF(OR(B149="",NOT(ISNUMBER(L149))),"",IF(L149&lt;=0,"",IFERROR(ROUND(L149*N(INDEX(art_w,MATCH(H149,art_ref,0))),3),"")))</f>
        <v/>
      </c>
      <c r="Q149" s="59" t="n"/>
      <c r="R149" s="54" t="n"/>
      <c r="S149" s="59" t="n"/>
      <c r="T149" s="59" t="n"/>
      <c r="U149" s="64" t="str">
        <f>IF(OR(B149="",H149=""),"",IFERROR(IF(A149="BL",IF(N(INDEX(art_price,MATCH(H149,art_ref,0)))=0,"",N(INDEX(art_price,MATCH(H149,art_ref,0)))),IF(N(INDEX(art_cost,MATCH(H149,art_ref,0)))=0,"",N(INDEX(art_cost,MATCH(H149,art_ref,0))))),""))</f>
        <v/>
      </c>
      <c r="V149" s="64" t="str">
        <f>IF(OR(U149="",NOT(ISNUMBER(L149))),"",IF(L149&lt;=0,"",ROUND(L149*U149,2)))</f>
        <v/>
      </c>
      <c r="W149" s="60" t="str">
        <f>IF(AND(B149&lt;&gt;"",A149&lt;&gt;"BS",F149&lt;&gt;"",H149&lt;&gt;"",ISNUMBER(K149),ISNUMBER(L149)),IF(AND(K149&gt;0,L149&gt;0,K149-L149&gt;0,COUNTIFS(A150:A$2005,A149,F150:F$2005,F149,H150:H$2005,H149,AA150:AA$2005,"&gt;0")=0),ROUND(K149-L149,6),""),"")</f>
        <v/>
      </c>
      <c r="X149" s="60" t="str">
        <f>IF(AND(A149="",C149="",D149="",H149="",L149=""),"",IF(A149="","Type manquant",IF(AND(A149&lt;&gt;"BL",A149&lt;&gt;"BR",A149&lt;&gt;"BS"),"Type inconnu (BL, BR ou BS)",IF(AG149=0,"Date manquante ou invalide",IF(D149="",IF(A149="BL","Client manquant",IF(A149="BR","Fournisseur manquant","Service manquant")),IF(IF(A149="BL",ISNA(MATCH(D149,cl_code,0)),IF(A149="BR",ISNA(MATCH(D149,fo_code,0)),ISNA(MATCH(D149,p_services,0)))),IF(A149="BL","Client inconnu",IF(A149="BR","Fournisseur inconnu","Service inconnu")),IF(H149="","Article manquant",IF(ISNA(MATCH(H149,art_ref,0)),"Article inconnu",IF(OR(NOT(ISNUMBER(L149)),N(L149)&lt;=0),"Quantité invalide",IF(AND(K149&lt;&gt;"",OR(NOT(ISNUMBER(K149)),N(K149)&lt;=0)),"Qté commandée invalide",IF(AG149&lt;SUMPRODUCT(MAX((A$6:A148=A149)*AG$6:AG148)),"Date antérieure au bon précédent",IF(AND(A149&lt;&gt;"BR",ISNUMBER(M149),N(M149)&gt;0),IF(A149="BL","Livré plus que commandé","Sorti plus que demandé"),"OK"))))))))))))</f>
        <v/>
      </c>
      <c r="Y149" s="57" t="str">
        <f>IF(AND(OR(A149="BL",A149="BR",A149="BS"),AG149&gt;0,D149&lt;&gt;""),A149&amp;"|"&amp;AG149&amp;"|"&amp;D149&amp;"|"&amp;F149,"")</f>
        <v/>
      </c>
      <c r="Z149" s="57" t="str">
        <f>IF(Y149="","",IF(COUNTIF(Y$6:Y148,Y149)=0,1,0))</f>
        <v/>
      </c>
      <c r="AA149" s="57" t="str">
        <f>IF(Y149="","",IF(Z149=1,COUNTIFS(A$6:A149,A149,Z$6:Z149,1),INDEX(AA$6:AA148,MATCH(Y149,Y$6:Y148,0))))</f>
        <v/>
      </c>
      <c r="AB149" s="57" t="str">
        <f>IF(B149="","",COUNTIF(B$6:B149,B149))</f>
        <v/>
      </c>
      <c r="AC149" s="57" t="str">
        <f>IF(B149="","",B149&amp;"#"&amp;AB149)</f>
        <v/>
      </c>
      <c r="AD149" s="57" t="str">
        <f>IF(Z149=1,A149&amp;AA149,"")</f>
        <v/>
      </c>
      <c r="AE149" s="57" t="str">
        <f>IF(B149="","",YEAR(C149))</f>
        <v/>
      </c>
      <c r="AF149" s="57" t="str">
        <f>IF(B149="","",MONTH(C149))</f>
        <v/>
      </c>
      <c r="AG149" s="57">
        <f>IF(ISNUMBER(C149),C149,0)</f>
        <v>0.0</v>
      </c>
      <c r="AH149" s="57" t="str">
        <f>IF(N(W149)&gt;0,COUNTIF(W$6:W149,"&gt;0"),"")</f>
        <v/>
      </c>
      <c r="AI149" s="57" t="str">
        <f>IF(Z149=1,COUNTIF(Z$6:Z149,1),"")</f>
        <v/>
      </c>
    </row>
    <row r="150">
      <c r="A150" s="54" t="n"/>
      <c r="B150" s="55" t="str">
        <f>IF(AA150="","",A150&amp;"-"&amp;RIGHT("000"&amp;AA150,4))</f>
        <v/>
      </c>
      <c r="C150" s="56" t="n"/>
      <c r="D150" s="54" t="n"/>
      <c r="E150" s="57" t="str">
        <f>IF(D150="","",IF(A150="BL",IFERROR(INDEX(cl_name,MATCH(D150,cl_code,0))&amp;"","Client inconnu"),IF(A150="BR",IFERROR(INDEX(fo_name,MATCH(D150,fo_code,0))&amp;"","Fournisseur inconnu"),IF(A150="BS",IF(ISNA(MATCH(D150,p_services,0)),"Service inconnu",D150&amp;""),""))))</f>
        <v/>
      </c>
      <c r="F150" s="58" t="n"/>
      <c r="G150" s="58" t="n"/>
      <c r="H150" s="59" t="n"/>
      <c r="I150" s="57" t="str">
        <f>IF(H150="","",IFERROR(INDEX(art_des,MATCH(H150,art_ref,0))&amp;"","Article inconnu"))</f>
        <v/>
      </c>
      <c r="J150" s="60" t="str">
        <f>IF(H150="","",IFERROR(INDEX(art_unit,MATCH(H150,art_ref,0))&amp;"",""))</f>
        <v/>
      </c>
      <c r="K150" s="59" t="n"/>
      <c r="L150" s="59" t="n"/>
      <c r="M150" s="61" t="str">
        <f>IF(OR(B150="",NOT(ISNUMBER(K150)),NOT(ISNUMBER(L150))),"",IF(OR(K150&lt;=0,L150&lt;=0),"",ROUND(L150-K150,6)))</f>
        <v/>
      </c>
      <c r="N150" s="58" t="n"/>
      <c r="O150" s="62" t="n"/>
      <c r="P150" s="63" t="str">
        <f>IF(OR(B150="",NOT(ISNUMBER(L150))),"",IF(L150&lt;=0,"",IFERROR(ROUND(L150*N(INDEX(art_w,MATCH(H150,art_ref,0))),3),"")))</f>
        <v/>
      </c>
      <c r="Q150" s="59" t="n"/>
      <c r="R150" s="54" t="n"/>
      <c r="S150" s="59" t="n"/>
      <c r="T150" s="59" t="n"/>
      <c r="U150" s="64" t="str">
        <f>IF(OR(B150="",H150=""),"",IFERROR(IF(A150="BL",IF(N(INDEX(art_price,MATCH(H150,art_ref,0)))=0,"",N(INDEX(art_price,MATCH(H150,art_ref,0)))),IF(N(INDEX(art_cost,MATCH(H150,art_ref,0)))=0,"",N(INDEX(art_cost,MATCH(H150,art_ref,0))))),""))</f>
        <v/>
      </c>
      <c r="V150" s="64" t="str">
        <f>IF(OR(U150="",NOT(ISNUMBER(L150))),"",IF(L150&lt;=0,"",ROUND(L150*U150,2)))</f>
        <v/>
      </c>
      <c r="W150" s="60" t="str">
        <f>IF(AND(B150&lt;&gt;"",A150&lt;&gt;"BS",F150&lt;&gt;"",H150&lt;&gt;"",ISNUMBER(K150),ISNUMBER(L150)),IF(AND(K150&gt;0,L150&gt;0,K150-L150&gt;0,COUNTIFS(A151:A$2005,A150,F151:F$2005,F150,H151:H$2005,H150,AA151:AA$2005,"&gt;0")=0),ROUND(K150-L150,6),""),"")</f>
        <v/>
      </c>
      <c r="X150" s="60" t="str">
        <f>IF(AND(A150="",C150="",D150="",H150="",L150=""),"",IF(A150="","Type manquant",IF(AND(A150&lt;&gt;"BL",A150&lt;&gt;"BR",A150&lt;&gt;"BS"),"Type inconnu (BL, BR ou BS)",IF(AG150=0,"Date manquante ou invalide",IF(D150="",IF(A150="BL","Client manquant",IF(A150="BR","Fournisseur manquant","Service manquant")),IF(IF(A150="BL",ISNA(MATCH(D150,cl_code,0)),IF(A150="BR",ISNA(MATCH(D150,fo_code,0)),ISNA(MATCH(D150,p_services,0)))),IF(A150="BL","Client inconnu",IF(A150="BR","Fournisseur inconnu","Service inconnu")),IF(H150="","Article manquant",IF(ISNA(MATCH(H150,art_ref,0)),"Article inconnu",IF(OR(NOT(ISNUMBER(L150)),N(L150)&lt;=0),"Quantité invalide",IF(AND(K150&lt;&gt;"",OR(NOT(ISNUMBER(K150)),N(K150)&lt;=0)),"Qté commandée invalide",IF(AG150&lt;SUMPRODUCT(MAX((A$6:A149=A150)*AG$6:AG149)),"Date antérieure au bon précédent",IF(AND(A150&lt;&gt;"BR",ISNUMBER(M150),N(M150)&gt;0),IF(A150="BL","Livré plus que commandé","Sorti plus que demandé"),"OK"))))))))))))</f>
        <v/>
      </c>
      <c r="Y150" s="57" t="str">
        <f>IF(AND(OR(A150="BL",A150="BR",A150="BS"),AG150&gt;0,D150&lt;&gt;""),A150&amp;"|"&amp;AG150&amp;"|"&amp;D150&amp;"|"&amp;F150,"")</f>
        <v/>
      </c>
      <c r="Z150" s="57" t="str">
        <f>IF(Y150="","",IF(COUNTIF(Y$6:Y149,Y150)=0,1,0))</f>
        <v/>
      </c>
      <c r="AA150" s="57" t="str">
        <f>IF(Y150="","",IF(Z150=1,COUNTIFS(A$6:A150,A150,Z$6:Z150,1),INDEX(AA$6:AA149,MATCH(Y150,Y$6:Y149,0))))</f>
        <v/>
      </c>
      <c r="AB150" s="57" t="str">
        <f>IF(B150="","",COUNTIF(B$6:B150,B150))</f>
        <v/>
      </c>
      <c r="AC150" s="57" t="str">
        <f>IF(B150="","",B150&amp;"#"&amp;AB150)</f>
        <v/>
      </c>
      <c r="AD150" s="57" t="str">
        <f>IF(Z150=1,A150&amp;AA150,"")</f>
        <v/>
      </c>
      <c r="AE150" s="57" t="str">
        <f>IF(B150="","",YEAR(C150))</f>
        <v/>
      </c>
      <c r="AF150" s="57" t="str">
        <f>IF(B150="","",MONTH(C150))</f>
        <v/>
      </c>
      <c r="AG150" s="57">
        <f>IF(ISNUMBER(C150),C150,0)</f>
        <v>0.0</v>
      </c>
      <c r="AH150" s="57" t="str">
        <f>IF(N(W150)&gt;0,COUNTIF(W$6:W150,"&gt;0"),"")</f>
        <v/>
      </c>
      <c r="AI150" s="57" t="str">
        <f>IF(Z150=1,COUNTIF(Z$6:Z150,1),"")</f>
        <v/>
      </c>
    </row>
    <row r="151">
      <c r="A151" s="54" t="n"/>
      <c r="B151" s="55" t="str">
        <f>IF(AA151="","",A151&amp;"-"&amp;RIGHT("000"&amp;AA151,4))</f>
        <v/>
      </c>
      <c r="C151" s="56" t="n"/>
      <c r="D151" s="54" t="n"/>
      <c r="E151" s="57" t="str">
        <f>IF(D151="","",IF(A151="BL",IFERROR(INDEX(cl_name,MATCH(D151,cl_code,0))&amp;"","Client inconnu"),IF(A151="BR",IFERROR(INDEX(fo_name,MATCH(D151,fo_code,0))&amp;"","Fournisseur inconnu"),IF(A151="BS",IF(ISNA(MATCH(D151,p_services,0)),"Service inconnu",D151&amp;""),""))))</f>
        <v/>
      </c>
      <c r="F151" s="58" t="n"/>
      <c r="G151" s="58" t="n"/>
      <c r="H151" s="59" t="n"/>
      <c r="I151" s="57" t="str">
        <f>IF(H151="","",IFERROR(INDEX(art_des,MATCH(H151,art_ref,0))&amp;"","Article inconnu"))</f>
        <v/>
      </c>
      <c r="J151" s="60" t="str">
        <f>IF(H151="","",IFERROR(INDEX(art_unit,MATCH(H151,art_ref,0))&amp;"",""))</f>
        <v/>
      </c>
      <c r="K151" s="59" t="n"/>
      <c r="L151" s="59" t="n"/>
      <c r="M151" s="61" t="str">
        <f>IF(OR(B151="",NOT(ISNUMBER(K151)),NOT(ISNUMBER(L151))),"",IF(OR(K151&lt;=0,L151&lt;=0),"",ROUND(L151-K151,6)))</f>
        <v/>
      </c>
      <c r="N151" s="58" t="n"/>
      <c r="O151" s="62" t="n"/>
      <c r="P151" s="63" t="str">
        <f>IF(OR(B151="",NOT(ISNUMBER(L151))),"",IF(L151&lt;=0,"",IFERROR(ROUND(L151*N(INDEX(art_w,MATCH(H151,art_ref,0))),3),"")))</f>
        <v/>
      </c>
      <c r="Q151" s="59" t="n"/>
      <c r="R151" s="54" t="n"/>
      <c r="S151" s="59" t="n"/>
      <c r="T151" s="59" t="n"/>
      <c r="U151" s="64" t="str">
        <f>IF(OR(B151="",H151=""),"",IFERROR(IF(A151="BL",IF(N(INDEX(art_price,MATCH(H151,art_ref,0)))=0,"",N(INDEX(art_price,MATCH(H151,art_ref,0)))),IF(N(INDEX(art_cost,MATCH(H151,art_ref,0)))=0,"",N(INDEX(art_cost,MATCH(H151,art_ref,0))))),""))</f>
        <v/>
      </c>
      <c r="V151" s="64" t="str">
        <f>IF(OR(U151="",NOT(ISNUMBER(L151))),"",IF(L151&lt;=0,"",ROUND(L151*U151,2)))</f>
        <v/>
      </c>
      <c r="W151" s="60" t="str">
        <f>IF(AND(B151&lt;&gt;"",A151&lt;&gt;"BS",F151&lt;&gt;"",H151&lt;&gt;"",ISNUMBER(K151),ISNUMBER(L151)),IF(AND(K151&gt;0,L151&gt;0,K151-L151&gt;0,COUNTIFS(A152:A$2005,A151,F152:F$2005,F151,H152:H$2005,H151,AA152:AA$2005,"&gt;0")=0),ROUND(K151-L151,6),""),"")</f>
        <v/>
      </c>
      <c r="X151" s="60" t="str">
        <f>IF(AND(A151="",C151="",D151="",H151="",L151=""),"",IF(A151="","Type manquant",IF(AND(A151&lt;&gt;"BL",A151&lt;&gt;"BR",A151&lt;&gt;"BS"),"Type inconnu (BL, BR ou BS)",IF(AG151=0,"Date manquante ou invalide",IF(D151="",IF(A151="BL","Client manquant",IF(A151="BR","Fournisseur manquant","Service manquant")),IF(IF(A151="BL",ISNA(MATCH(D151,cl_code,0)),IF(A151="BR",ISNA(MATCH(D151,fo_code,0)),ISNA(MATCH(D151,p_services,0)))),IF(A151="BL","Client inconnu",IF(A151="BR","Fournisseur inconnu","Service inconnu")),IF(H151="","Article manquant",IF(ISNA(MATCH(H151,art_ref,0)),"Article inconnu",IF(OR(NOT(ISNUMBER(L151)),N(L151)&lt;=0),"Quantité invalide",IF(AND(K151&lt;&gt;"",OR(NOT(ISNUMBER(K151)),N(K151)&lt;=0)),"Qté commandée invalide",IF(AG151&lt;SUMPRODUCT(MAX((A$6:A150=A151)*AG$6:AG150)),"Date antérieure au bon précédent",IF(AND(A151&lt;&gt;"BR",ISNUMBER(M151),N(M151)&gt;0),IF(A151="BL","Livré plus que commandé","Sorti plus que demandé"),"OK"))))))))))))</f>
        <v/>
      </c>
      <c r="Y151" s="57" t="str">
        <f>IF(AND(OR(A151="BL",A151="BR",A151="BS"),AG151&gt;0,D151&lt;&gt;""),A151&amp;"|"&amp;AG151&amp;"|"&amp;D151&amp;"|"&amp;F151,"")</f>
        <v/>
      </c>
      <c r="Z151" s="57" t="str">
        <f>IF(Y151="","",IF(COUNTIF(Y$6:Y150,Y151)=0,1,0))</f>
        <v/>
      </c>
      <c r="AA151" s="57" t="str">
        <f>IF(Y151="","",IF(Z151=1,COUNTIFS(A$6:A151,A151,Z$6:Z151,1),INDEX(AA$6:AA150,MATCH(Y151,Y$6:Y150,0))))</f>
        <v/>
      </c>
      <c r="AB151" s="57" t="str">
        <f>IF(B151="","",COUNTIF(B$6:B151,B151))</f>
        <v/>
      </c>
      <c r="AC151" s="57" t="str">
        <f>IF(B151="","",B151&amp;"#"&amp;AB151)</f>
        <v/>
      </c>
      <c r="AD151" s="57" t="str">
        <f>IF(Z151=1,A151&amp;AA151,"")</f>
        <v/>
      </c>
      <c r="AE151" s="57" t="str">
        <f>IF(B151="","",YEAR(C151))</f>
        <v/>
      </c>
      <c r="AF151" s="57" t="str">
        <f>IF(B151="","",MONTH(C151))</f>
        <v/>
      </c>
      <c r="AG151" s="57">
        <f>IF(ISNUMBER(C151),C151,0)</f>
        <v>0.0</v>
      </c>
      <c r="AH151" s="57" t="str">
        <f>IF(N(W151)&gt;0,COUNTIF(W$6:W151,"&gt;0"),"")</f>
        <v/>
      </c>
      <c r="AI151" s="57" t="str">
        <f>IF(Z151=1,COUNTIF(Z$6:Z151,1),"")</f>
        <v/>
      </c>
    </row>
    <row r="152">
      <c r="A152" s="54" t="n"/>
      <c r="B152" s="55" t="str">
        <f>IF(AA152="","",A152&amp;"-"&amp;RIGHT("000"&amp;AA152,4))</f>
        <v/>
      </c>
      <c r="C152" s="56" t="n"/>
      <c r="D152" s="54" t="n"/>
      <c r="E152" s="57" t="str">
        <f>IF(D152="","",IF(A152="BL",IFERROR(INDEX(cl_name,MATCH(D152,cl_code,0))&amp;"","Client inconnu"),IF(A152="BR",IFERROR(INDEX(fo_name,MATCH(D152,fo_code,0))&amp;"","Fournisseur inconnu"),IF(A152="BS",IF(ISNA(MATCH(D152,p_services,0)),"Service inconnu",D152&amp;""),""))))</f>
        <v/>
      </c>
      <c r="F152" s="58" t="n"/>
      <c r="G152" s="58" t="n"/>
      <c r="H152" s="59" t="n"/>
      <c r="I152" s="57" t="str">
        <f>IF(H152="","",IFERROR(INDEX(art_des,MATCH(H152,art_ref,0))&amp;"","Article inconnu"))</f>
        <v/>
      </c>
      <c r="J152" s="60" t="str">
        <f>IF(H152="","",IFERROR(INDEX(art_unit,MATCH(H152,art_ref,0))&amp;"",""))</f>
        <v/>
      </c>
      <c r="K152" s="59" t="n"/>
      <c r="L152" s="59" t="n"/>
      <c r="M152" s="61" t="str">
        <f>IF(OR(B152="",NOT(ISNUMBER(K152)),NOT(ISNUMBER(L152))),"",IF(OR(K152&lt;=0,L152&lt;=0),"",ROUND(L152-K152,6)))</f>
        <v/>
      </c>
      <c r="N152" s="58" t="n"/>
      <c r="O152" s="62" t="n"/>
      <c r="P152" s="63" t="str">
        <f>IF(OR(B152="",NOT(ISNUMBER(L152))),"",IF(L152&lt;=0,"",IFERROR(ROUND(L152*N(INDEX(art_w,MATCH(H152,art_ref,0))),3),"")))</f>
        <v/>
      </c>
      <c r="Q152" s="59" t="n"/>
      <c r="R152" s="54" t="n"/>
      <c r="S152" s="59" t="n"/>
      <c r="T152" s="59" t="n"/>
      <c r="U152" s="64" t="str">
        <f>IF(OR(B152="",H152=""),"",IFERROR(IF(A152="BL",IF(N(INDEX(art_price,MATCH(H152,art_ref,0)))=0,"",N(INDEX(art_price,MATCH(H152,art_ref,0)))),IF(N(INDEX(art_cost,MATCH(H152,art_ref,0)))=0,"",N(INDEX(art_cost,MATCH(H152,art_ref,0))))),""))</f>
        <v/>
      </c>
      <c r="V152" s="64" t="str">
        <f>IF(OR(U152="",NOT(ISNUMBER(L152))),"",IF(L152&lt;=0,"",ROUND(L152*U152,2)))</f>
        <v/>
      </c>
      <c r="W152" s="60" t="str">
        <f>IF(AND(B152&lt;&gt;"",A152&lt;&gt;"BS",F152&lt;&gt;"",H152&lt;&gt;"",ISNUMBER(K152),ISNUMBER(L152)),IF(AND(K152&gt;0,L152&gt;0,K152-L152&gt;0,COUNTIFS(A153:A$2005,A152,F153:F$2005,F152,H153:H$2005,H152,AA153:AA$2005,"&gt;0")=0),ROUND(K152-L152,6),""),"")</f>
        <v/>
      </c>
      <c r="X152" s="60" t="str">
        <f>IF(AND(A152="",C152="",D152="",H152="",L152=""),"",IF(A152="","Type manquant",IF(AND(A152&lt;&gt;"BL",A152&lt;&gt;"BR",A152&lt;&gt;"BS"),"Type inconnu (BL, BR ou BS)",IF(AG152=0,"Date manquante ou invalide",IF(D152="",IF(A152="BL","Client manquant",IF(A152="BR","Fournisseur manquant","Service manquant")),IF(IF(A152="BL",ISNA(MATCH(D152,cl_code,0)),IF(A152="BR",ISNA(MATCH(D152,fo_code,0)),ISNA(MATCH(D152,p_services,0)))),IF(A152="BL","Client inconnu",IF(A152="BR","Fournisseur inconnu","Service inconnu")),IF(H152="","Article manquant",IF(ISNA(MATCH(H152,art_ref,0)),"Article inconnu",IF(OR(NOT(ISNUMBER(L152)),N(L152)&lt;=0),"Quantité invalide",IF(AND(K152&lt;&gt;"",OR(NOT(ISNUMBER(K152)),N(K152)&lt;=0)),"Qté commandée invalide",IF(AG152&lt;SUMPRODUCT(MAX((A$6:A151=A152)*AG$6:AG151)),"Date antérieure au bon précédent",IF(AND(A152&lt;&gt;"BR",ISNUMBER(M152),N(M152)&gt;0),IF(A152="BL","Livré plus que commandé","Sorti plus que demandé"),"OK"))))))))))))</f>
        <v/>
      </c>
      <c r="Y152" s="57" t="str">
        <f>IF(AND(OR(A152="BL",A152="BR",A152="BS"),AG152&gt;0,D152&lt;&gt;""),A152&amp;"|"&amp;AG152&amp;"|"&amp;D152&amp;"|"&amp;F152,"")</f>
        <v/>
      </c>
      <c r="Z152" s="57" t="str">
        <f>IF(Y152="","",IF(COUNTIF(Y$6:Y151,Y152)=0,1,0))</f>
        <v/>
      </c>
      <c r="AA152" s="57" t="str">
        <f>IF(Y152="","",IF(Z152=1,COUNTIFS(A$6:A152,A152,Z$6:Z152,1),INDEX(AA$6:AA151,MATCH(Y152,Y$6:Y151,0))))</f>
        <v/>
      </c>
      <c r="AB152" s="57" t="str">
        <f>IF(B152="","",COUNTIF(B$6:B152,B152))</f>
        <v/>
      </c>
      <c r="AC152" s="57" t="str">
        <f>IF(B152="","",B152&amp;"#"&amp;AB152)</f>
        <v/>
      </c>
      <c r="AD152" s="57" t="str">
        <f>IF(Z152=1,A152&amp;AA152,"")</f>
        <v/>
      </c>
      <c r="AE152" s="57" t="str">
        <f>IF(B152="","",YEAR(C152))</f>
        <v/>
      </c>
      <c r="AF152" s="57" t="str">
        <f>IF(B152="","",MONTH(C152))</f>
        <v/>
      </c>
      <c r="AG152" s="57">
        <f>IF(ISNUMBER(C152),C152,0)</f>
        <v>0.0</v>
      </c>
      <c r="AH152" s="57" t="str">
        <f>IF(N(W152)&gt;0,COUNTIF(W$6:W152,"&gt;0"),"")</f>
        <v/>
      </c>
      <c r="AI152" s="57" t="str">
        <f>IF(Z152=1,COUNTIF(Z$6:Z152,1),"")</f>
        <v/>
      </c>
    </row>
    <row r="153">
      <c r="A153" s="54" t="n"/>
      <c r="B153" s="55" t="str">
        <f>IF(AA153="","",A153&amp;"-"&amp;RIGHT("000"&amp;AA153,4))</f>
        <v/>
      </c>
      <c r="C153" s="56" t="n"/>
      <c r="D153" s="54" t="n"/>
      <c r="E153" s="57" t="str">
        <f>IF(D153="","",IF(A153="BL",IFERROR(INDEX(cl_name,MATCH(D153,cl_code,0))&amp;"","Client inconnu"),IF(A153="BR",IFERROR(INDEX(fo_name,MATCH(D153,fo_code,0))&amp;"","Fournisseur inconnu"),IF(A153="BS",IF(ISNA(MATCH(D153,p_services,0)),"Service inconnu",D153&amp;""),""))))</f>
        <v/>
      </c>
      <c r="F153" s="58" t="n"/>
      <c r="G153" s="58" t="n"/>
      <c r="H153" s="59" t="n"/>
      <c r="I153" s="57" t="str">
        <f>IF(H153="","",IFERROR(INDEX(art_des,MATCH(H153,art_ref,0))&amp;"","Article inconnu"))</f>
        <v/>
      </c>
      <c r="J153" s="60" t="str">
        <f>IF(H153="","",IFERROR(INDEX(art_unit,MATCH(H153,art_ref,0))&amp;"",""))</f>
        <v/>
      </c>
      <c r="K153" s="59" t="n"/>
      <c r="L153" s="59" t="n"/>
      <c r="M153" s="61" t="str">
        <f>IF(OR(B153="",NOT(ISNUMBER(K153)),NOT(ISNUMBER(L153))),"",IF(OR(K153&lt;=0,L153&lt;=0),"",ROUND(L153-K153,6)))</f>
        <v/>
      </c>
      <c r="N153" s="58" t="n"/>
      <c r="O153" s="62" t="n"/>
      <c r="P153" s="63" t="str">
        <f>IF(OR(B153="",NOT(ISNUMBER(L153))),"",IF(L153&lt;=0,"",IFERROR(ROUND(L153*N(INDEX(art_w,MATCH(H153,art_ref,0))),3),"")))</f>
        <v/>
      </c>
      <c r="Q153" s="59" t="n"/>
      <c r="R153" s="54" t="n"/>
      <c r="S153" s="59" t="n"/>
      <c r="T153" s="59" t="n"/>
      <c r="U153" s="64" t="str">
        <f>IF(OR(B153="",H153=""),"",IFERROR(IF(A153="BL",IF(N(INDEX(art_price,MATCH(H153,art_ref,0)))=0,"",N(INDEX(art_price,MATCH(H153,art_ref,0)))),IF(N(INDEX(art_cost,MATCH(H153,art_ref,0)))=0,"",N(INDEX(art_cost,MATCH(H153,art_ref,0))))),""))</f>
        <v/>
      </c>
      <c r="V153" s="64" t="str">
        <f>IF(OR(U153="",NOT(ISNUMBER(L153))),"",IF(L153&lt;=0,"",ROUND(L153*U153,2)))</f>
        <v/>
      </c>
      <c r="W153" s="60" t="str">
        <f>IF(AND(B153&lt;&gt;"",A153&lt;&gt;"BS",F153&lt;&gt;"",H153&lt;&gt;"",ISNUMBER(K153),ISNUMBER(L153)),IF(AND(K153&gt;0,L153&gt;0,K153-L153&gt;0,COUNTIFS(A154:A$2005,A153,F154:F$2005,F153,H154:H$2005,H153,AA154:AA$2005,"&gt;0")=0),ROUND(K153-L153,6),""),"")</f>
        <v/>
      </c>
      <c r="X153" s="60" t="str">
        <f>IF(AND(A153="",C153="",D153="",H153="",L153=""),"",IF(A153="","Type manquant",IF(AND(A153&lt;&gt;"BL",A153&lt;&gt;"BR",A153&lt;&gt;"BS"),"Type inconnu (BL, BR ou BS)",IF(AG153=0,"Date manquante ou invalide",IF(D153="",IF(A153="BL","Client manquant",IF(A153="BR","Fournisseur manquant","Service manquant")),IF(IF(A153="BL",ISNA(MATCH(D153,cl_code,0)),IF(A153="BR",ISNA(MATCH(D153,fo_code,0)),ISNA(MATCH(D153,p_services,0)))),IF(A153="BL","Client inconnu",IF(A153="BR","Fournisseur inconnu","Service inconnu")),IF(H153="","Article manquant",IF(ISNA(MATCH(H153,art_ref,0)),"Article inconnu",IF(OR(NOT(ISNUMBER(L153)),N(L153)&lt;=0),"Quantité invalide",IF(AND(K153&lt;&gt;"",OR(NOT(ISNUMBER(K153)),N(K153)&lt;=0)),"Qté commandée invalide",IF(AG153&lt;SUMPRODUCT(MAX((A$6:A152=A153)*AG$6:AG152)),"Date antérieure au bon précédent",IF(AND(A153&lt;&gt;"BR",ISNUMBER(M153),N(M153)&gt;0),IF(A153="BL","Livré plus que commandé","Sorti plus que demandé"),"OK"))))))))))))</f>
        <v/>
      </c>
      <c r="Y153" s="57" t="str">
        <f>IF(AND(OR(A153="BL",A153="BR",A153="BS"),AG153&gt;0,D153&lt;&gt;""),A153&amp;"|"&amp;AG153&amp;"|"&amp;D153&amp;"|"&amp;F153,"")</f>
        <v/>
      </c>
      <c r="Z153" s="57" t="str">
        <f>IF(Y153="","",IF(COUNTIF(Y$6:Y152,Y153)=0,1,0))</f>
        <v/>
      </c>
      <c r="AA153" s="57" t="str">
        <f>IF(Y153="","",IF(Z153=1,COUNTIFS(A$6:A153,A153,Z$6:Z153,1),INDEX(AA$6:AA152,MATCH(Y153,Y$6:Y152,0))))</f>
        <v/>
      </c>
      <c r="AB153" s="57" t="str">
        <f>IF(B153="","",COUNTIF(B$6:B153,B153))</f>
        <v/>
      </c>
      <c r="AC153" s="57" t="str">
        <f>IF(B153="","",B153&amp;"#"&amp;AB153)</f>
        <v/>
      </c>
      <c r="AD153" s="57" t="str">
        <f>IF(Z153=1,A153&amp;AA153,"")</f>
        <v/>
      </c>
      <c r="AE153" s="57" t="str">
        <f>IF(B153="","",YEAR(C153))</f>
        <v/>
      </c>
      <c r="AF153" s="57" t="str">
        <f>IF(B153="","",MONTH(C153))</f>
        <v/>
      </c>
      <c r="AG153" s="57">
        <f>IF(ISNUMBER(C153),C153,0)</f>
        <v>0.0</v>
      </c>
      <c r="AH153" s="57" t="str">
        <f>IF(N(W153)&gt;0,COUNTIF(W$6:W153,"&gt;0"),"")</f>
        <v/>
      </c>
      <c r="AI153" s="57" t="str">
        <f>IF(Z153=1,COUNTIF(Z$6:Z153,1),"")</f>
        <v/>
      </c>
    </row>
    <row r="154">
      <c r="A154" s="54" t="n"/>
      <c r="B154" s="55" t="str">
        <f>IF(AA154="","",A154&amp;"-"&amp;RIGHT("000"&amp;AA154,4))</f>
        <v/>
      </c>
      <c r="C154" s="56" t="n"/>
      <c r="D154" s="54" t="n"/>
      <c r="E154" s="57" t="str">
        <f>IF(D154="","",IF(A154="BL",IFERROR(INDEX(cl_name,MATCH(D154,cl_code,0))&amp;"","Client inconnu"),IF(A154="BR",IFERROR(INDEX(fo_name,MATCH(D154,fo_code,0))&amp;"","Fournisseur inconnu"),IF(A154="BS",IF(ISNA(MATCH(D154,p_services,0)),"Service inconnu",D154&amp;""),""))))</f>
        <v/>
      </c>
      <c r="F154" s="58" t="n"/>
      <c r="G154" s="58" t="n"/>
      <c r="H154" s="59" t="n"/>
      <c r="I154" s="57" t="str">
        <f>IF(H154="","",IFERROR(INDEX(art_des,MATCH(H154,art_ref,0))&amp;"","Article inconnu"))</f>
        <v/>
      </c>
      <c r="J154" s="60" t="str">
        <f>IF(H154="","",IFERROR(INDEX(art_unit,MATCH(H154,art_ref,0))&amp;"",""))</f>
        <v/>
      </c>
      <c r="K154" s="59" t="n"/>
      <c r="L154" s="59" t="n"/>
      <c r="M154" s="61" t="str">
        <f>IF(OR(B154="",NOT(ISNUMBER(K154)),NOT(ISNUMBER(L154))),"",IF(OR(K154&lt;=0,L154&lt;=0),"",ROUND(L154-K154,6)))</f>
        <v/>
      </c>
      <c r="N154" s="58" t="n"/>
      <c r="O154" s="62" t="n"/>
      <c r="P154" s="63" t="str">
        <f>IF(OR(B154="",NOT(ISNUMBER(L154))),"",IF(L154&lt;=0,"",IFERROR(ROUND(L154*N(INDEX(art_w,MATCH(H154,art_ref,0))),3),"")))</f>
        <v/>
      </c>
      <c r="Q154" s="59" t="n"/>
      <c r="R154" s="54" t="n"/>
      <c r="S154" s="59" t="n"/>
      <c r="T154" s="59" t="n"/>
      <c r="U154" s="64" t="str">
        <f>IF(OR(B154="",H154=""),"",IFERROR(IF(A154="BL",IF(N(INDEX(art_price,MATCH(H154,art_ref,0)))=0,"",N(INDEX(art_price,MATCH(H154,art_ref,0)))),IF(N(INDEX(art_cost,MATCH(H154,art_ref,0)))=0,"",N(INDEX(art_cost,MATCH(H154,art_ref,0))))),""))</f>
        <v/>
      </c>
      <c r="V154" s="64" t="str">
        <f>IF(OR(U154="",NOT(ISNUMBER(L154))),"",IF(L154&lt;=0,"",ROUND(L154*U154,2)))</f>
        <v/>
      </c>
      <c r="W154" s="60" t="str">
        <f>IF(AND(B154&lt;&gt;"",A154&lt;&gt;"BS",F154&lt;&gt;"",H154&lt;&gt;"",ISNUMBER(K154),ISNUMBER(L154)),IF(AND(K154&gt;0,L154&gt;0,K154-L154&gt;0,COUNTIFS(A155:A$2005,A154,F155:F$2005,F154,H155:H$2005,H154,AA155:AA$2005,"&gt;0")=0),ROUND(K154-L154,6),""),"")</f>
        <v/>
      </c>
      <c r="X154" s="60" t="str">
        <f>IF(AND(A154="",C154="",D154="",H154="",L154=""),"",IF(A154="","Type manquant",IF(AND(A154&lt;&gt;"BL",A154&lt;&gt;"BR",A154&lt;&gt;"BS"),"Type inconnu (BL, BR ou BS)",IF(AG154=0,"Date manquante ou invalide",IF(D154="",IF(A154="BL","Client manquant",IF(A154="BR","Fournisseur manquant","Service manquant")),IF(IF(A154="BL",ISNA(MATCH(D154,cl_code,0)),IF(A154="BR",ISNA(MATCH(D154,fo_code,0)),ISNA(MATCH(D154,p_services,0)))),IF(A154="BL","Client inconnu",IF(A154="BR","Fournisseur inconnu","Service inconnu")),IF(H154="","Article manquant",IF(ISNA(MATCH(H154,art_ref,0)),"Article inconnu",IF(OR(NOT(ISNUMBER(L154)),N(L154)&lt;=0),"Quantité invalide",IF(AND(K154&lt;&gt;"",OR(NOT(ISNUMBER(K154)),N(K154)&lt;=0)),"Qté commandée invalide",IF(AG154&lt;SUMPRODUCT(MAX((A$6:A153=A154)*AG$6:AG153)),"Date antérieure au bon précédent",IF(AND(A154&lt;&gt;"BR",ISNUMBER(M154),N(M154)&gt;0),IF(A154="BL","Livré plus que commandé","Sorti plus que demandé"),"OK"))))))))))))</f>
        <v/>
      </c>
      <c r="Y154" s="57" t="str">
        <f>IF(AND(OR(A154="BL",A154="BR",A154="BS"),AG154&gt;0,D154&lt;&gt;""),A154&amp;"|"&amp;AG154&amp;"|"&amp;D154&amp;"|"&amp;F154,"")</f>
        <v/>
      </c>
      <c r="Z154" s="57" t="str">
        <f>IF(Y154="","",IF(COUNTIF(Y$6:Y153,Y154)=0,1,0))</f>
        <v/>
      </c>
      <c r="AA154" s="57" t="str">
        <f>IF(Y154="","",IF(Z154=1,COUNTIFS(A$6:A154,A154,Z$6:Z154,1),INDEX(AA$6:AA153,MATCH(Y154,Y$6:Y153,0))))</f>
        <v/>
      </c>
      <c r="AB154" s="57" t="str">
        <f>IF(B154="","",COUNTIF(B$6:B154,B154))</f>
        <v/>
      </c>
      <c r="AC154" s="57" t="str">
        <f>IF(B154="","",B154&amp;"#"&amp;AB154)</f>
        <v/>
      </c>
      <c r="AD154" s="57" t="str">
        <f>IF(Z154=1,A154&amp;AA154,"")</f>
        <v/>
      </c>
      <c r="AE154" s="57" t="str">
        <f>IF(B154="","",YEAR(C154))</f>
        <v/>
      </c>
      <c r="AF154" s="57" t="str">
        <f>IF(B154="","",MONTH(C154))</f>
        <v/>
      </c>
      <c r="AG154" s="57">
        <f>IF(ISNUMBER(C154),C154,0)</f>
        <v>0.0</v>
      </c>
      <c r="AH154" s="57" t="str">
        <f>IF(N(W154)&gt;0,COUNTIF(W$6:W154,"&gt;0"),"")</f>
        <v/>
      </c>
      <c r="AI154" s="57" t="str">
        <f>IF(Z154=1,COUNTIF(Z$6:Z154,1),"")</f>
        <v/>
      </c>
    </row>
    <row r="155">
      <c r="A155" s="54" t="n"/>
      <c r="B155" s="55" t="str">
        <f>IF(AA155="","",A155&amp;"-"&amp;RIGHT("000"&amp;AA155,4))</f>
        <v/>
      </c>
      <c r="C155" s="56" t="n"/>
      <c r="D155" s="54" t="n"/>
      <c r="E155" s="57" t="str">
        <f>IF(D155="","",IF(A155="BL",IFERROR(INDEX(cl_name,MATCH(D155,cl_code,0))&amp;"","Client inconnu"),IF(A155="BR",IFERROR(INDEX(fo_name,MATCH(D155,fo_code,0))&amp;"","Fournisseur inconnu"),IF(A155="BS",IF(ISNA(MATCH(D155,p_services,0)),"Service inconnu",D155&amp;""),""))))</f>
        <v/>
      </c>
      <c r="F155" s="58" t="n"/>
      <c r="G155" s="58" t="n"/>
      <c r="H155" s="59" t="n"/>
      <c r="I155" s="57" t="str">
        <f>IF(H155="","",IFERROR(INDEX(art_des,MATCH(H155,art_ref,0))&amp;"","Article inconnu"))</f>
        <v/>
      </c>
      <c r="J155" s="60" t="str">
        <f>IF(H155="","",IFERROR(INDEX(art_unit,MATCH(H155,art_ref,0))&amp;"",""))</f>
        <v/>
      </c>
      <c r="K155" s="59" t="n"/>
      <c r="L155" s="59" t="n"/>
      <c r="M155" s="61" t="str">
        <f>IF(OR(B155="",NOT(ISNUMBER(K155)),NOT(ISNUMBER(L155))),"",IF(OR(K155&lt;=0,L155&lt;=0),"",ROUND(L155-K155,6)))</f>
        <v/>
      </c>
      <c r="N155" s="58" t="n"/>
      <c r="O155" s="62" t="n"/>
      <c r="P155" s="63" t="str">
        <f>IF(OR(B155="",NOT(ISNUMBER(L155))),"",IF(L155&lt;=0,"",IFERROR(ROUND(L155*N(INDEX(art_w,MATCH(H155,art_ref,0))),3),"")))</f>
        <v/>
      </c>
      <c r="Q155" s="59" t="n"/>
      <c r="R155" s="54" t="n"/>
      <c r="S155" s="59" t="n"/>
      <c r="T155" s="59" t="n"/>
      <c r="U155" s="64" t="str">
        <f>IF(OR(B155="",H155=""),"",IFERROR(IF(A155="BL",IF(N(INDEX(art_price,MATCH(H155,art_ref,0)))=0,"",N(INDEX(art_price,MATCH(H155,art_ref,0)))),IF(N(INDEX(art_cost,MATCH(H155,art_ref,0)))=0,"",N(INDEX(art_cost,MATCH(H155,art_ref,0))))),""))</f>
        <v/>
      </c>
      <c r="V155" s="64" t="str">
        <f>IF(OR(U155="",NOT(ISNUMBER(L155))),"",IF(L155&lt;=0,"",ROUND(L155*U155,2)))</f>
        <v/>
      </c>
      <c r="W155" s="60" t="str">
        <f>IF(AND(B155&lt;&gt;"",A155&lt;&gt;"BS",F155&lt;&gt;"",H155&lt;&gt;"",ISNUMBER(K155),ISNUMBER(L155)),IF(AND(K155&gt;0,L155&gt;0,K155-L155&gt;0,COUNTIFS(A156:A$2005,A155,F156:F$2005,F155,H156:H$2005,H155,AA156:AA$2005,"&gt;0")=0),ROUND(K155-L155,6),""),"")</f>
        <v/>
      </c>
      <c r="X155" s="60" t="str">
        <f>IF(AND(A155="",C155="",D155="",H155="",L155=""),"",IF(A155="","Type manquant",IF(AND(A155&lt;&gt;"BL",A155&lt;&gt;"BR",A155&lt;&gt;"BS"),"Type inconnu (BL, BR ou BS)",IF(AG155=0,"Date manquante ou invalide",IF(D155="",IF(A155="BL","Client manquant",IF(A155="BR","Fournisseur manquant","Service manquant")),IF(IF(A155="BL",ISNA(MATCH(D155,cl_code,0)),IF(A155="BR",ISNA(MATCH(D155,fo_code,0)),ISNA(MATCH(D155,p_services,0)))),IF(A155="BL","Client inconnu",IF(A155="BR","Fournisseur inconnu","Service inconnu")),IF(H155="","Article manquant",IF(ISNA(MATCH(H155,art_ref,0)),"Article inconnu",IF(OR(NOT(ISNUMBER(L155)),N(L155)&lt;=0),"Quantité invalide",IF(AND(K155&lt;&gt;"",OR(NOT(ISNUMBER(K155)),N(K155)&lt;=0)),"Qté commandée invalide",IF(AG155&lt;SUMPRODUCT(MAX((A$6:A154=A155)*AG$6:AG154)),"Date antérieure au bon précédent",IF(AND(A155&lt;&gt;"BR",ISNUMBER(M155),N(M155)&gt;0),IF(A155="BL","Livré plus que commandé","Sorti plus que demandé"),"OK"))))))))))))</f>
        <v/>
      </c>
      <c r="Y155" s="57" t="str">
        <f>IF(AND(OR(A155="BL",A155="BR",A155="BS"),AG155&gt;0,D155&lt;&gt;""),A155&amp;"|"&amp;AG155&amp;"|"&amp;D155&amp;"|"&amp;F155,"")</f>
        <v/>
      </c>
      <c r="Z155" s="57" t="str">
        <f>IF(Y155="","",IF(COUNTIF(Y$6:Y154,Y155)=0,1,0))</f>
        <v/>
      </c>
      <c r="AA155" s="57" t="str">
        <f>IF(Y155="","",IF(Z155=1,COUNTIFS(A$6:A155,A155,Z$6:Z155,1),INDEX(AA$6:AA154,MATCH(Y155,Y$6:Y154,0))))</f>
        <v/>
      </c>
      <c r="AB155" s="57" t="str">
        <f>IF(B155="","",COUNTIF(B$6:B155,B155))</f>
        <v/>
      </c>
      <c r="AC155" s="57" t="str">
        <f>IF(B155="","",B155&amp;"#"&amp;AB155)</f>
        <v/>
      </c>
      <c r="AD155" s="57" t="str">
        <f>IF(Z155=1,A155&amp;AA155,"")</f>
        <v/>
      </c>
      <c r="AE155" s="57" t="str">
        <f>IF(B155="","",YEAR(C155))</f>
        <v/>
      </c>
      <c r="AF155" s="57" t="str">
        <f>IF(B155="","",MONTH(C155))</f>
        <v/>
      </c>
      <c r="AG155" s="57">
        <f>IF(ISNUMBER(C155),C155,0)</f>
        <v>0.0</v>
      </c>
      <c r="AH155" s="57" t="str">
        <f>IF(N(W155)&gt;0,COUNTIF(W$6:W155,"&gt;0"),"")</f>
        <v/>
      </c>
      <c r="AI155" s="57" t="str">
        <f>IF(Z155=1,COUNTIF(Z$6:Z155,1),"")</f>
        <v/>
      </c>
    </row>
    <row r="156">
      <c r="A156" s="54" t="n"/>
      <c r="B156" s="55" t="str">
        <f>IF(AA156="","",A156&amp;"-"&amp;RIGHT("000"&amp;AA156,4))</f>
        <v/>
      </c>
      <c r="C156" s="56" t="n"/>
      <c r="D156" s="54" t="n"/>
      <c r="E156" s="57" t="str">
        <f>IF(D156="","",IF(A156="BL",IFERROR(INDEX(cl_name,MATCH(D156,cl_code,0))&amp;"","Client inconnu"),IF(A156="BR",IFERROR(INDEX(fo_name,MATCH(D156,fo_code,0))&amp;"","Fournisseur inconnu"),IF(A156="BS",IF(ISNA(MATCH(D156,p_services,0)),"Service inconnu",D156&amp;""),""))))</f>
        <v/>
      </c>
      <c r="F156" s="58" t="n"/>
      <c r="G156" s="58" t="n"/>
      <c r="H156" s="59" t="n"/>
      <c r="I156" s="57" t="str">
        <f>IF(H156="","",IFERROR(INDEX(art_des,MATCH(H156,art_ref,0))&amp;"","Article inconnu"))</f>
        <v/>
      </c>
      <c r="J156" s="60" t="str">
        <f>IF(H156="","",IFERROR(INDEX(art_unit,MATCH(H156,art_ref,0))&amp;"",""))</f>
        <v/>
      </c>
      <c r="K156" s="59" t="n"/>
      <c r="L156" s="59" t="n"/>
      <c r="M156" s="61" t="str">
        <f>IF(OR(B156="",NOT(ISNUMBER(K156)),NOT(ISNUMBER(L156))),"",IF(OR(K156&lt;=0,L156&lt;=0),"",ROUND(L156-K156,6)))</f>
        <v/>
      </c>
      <c r="N156" s="58" t="n"/>
      <c r="O156" s="62" t="n"/>
      <c r="P156" s="63" t="str">
        <f>IF(OR(B156="",NOT(ISNUMBER(L156))),"",IF(L156&lt;=0,"",IFERROR(ROUND(L156*N(INDEX(art_w,MATCH(H156,art_ref,0))),3),"")))</f>
        <v/>
      </c>
      <c r="Q156" s="59" t="n"/>
      <c r="R156" s="54" t="n"/>
      <c r="S156" s="59" t="n"/>
      <c r="T156" s="59" t="n"/>
      <c r="U156" s="64" t="str">
        <f>IF(OR(B156="",H156=""),"",IFERROR(IF(A156="BL",IF(N(INDEX(art_price,MATCH(H156,art_ref,0)))=0,"",N(INDEX(art_price,MATCH(H156,art_ref,0)))),IF(N(INDEX(art_cost,MATCH(H156,art_ref,0)))=0,"",N(INDEX(art_cost,MATCH(H156,art_ref,0))))),""))</f>
        <v/>
      </c>
      <c r="V156" s="64" t="str">
        <f>IF(OR(U156="",NOT(ISNUMBER(L156))),"",IF(L156&lt;=0,"",ROUND(L156*U156,2)))</f>
        <v/>
      </c>
      <c r="W156" s="60" t="str">
        <f>IF(AND(B156&lt;&gt;"",A156&lt;&gt;"BS",F156&lt;&gt;"",H156&lt;&gt;"",ISNUMBER(K156),ISNUMBER(L156)),IF(AND(K156&gt;0,L156&gt;0,K156-L156&gt;0,COUNTIFS(A157:A$2005,A156,F157:F$2005,F156,H157:H$2005,H156,AA157:AA$2005,"&gt;0")=0),ROUND(K156-L156,6),""),"")</f>
        <v/>
      </c>
      <c r="X156" s="60" t="str">
        <f>IF(AND(A156="",C156="",D156="",H156="",L156=""),"",IF(A156="","Type manquant",IF(AND(A156&lt;&gt;"BL",A156&lt;&gt;"BR",A156&lt;&gt;"BS"),"Type inconnu (BL, BR ou BS)",IF(AG156=0,"Date manquante ou invalide",IF(D156="",IF(A156="BL","Client manquant",IF(A156="BR","Fournisseur manquant","Service manquant")),IF(IF(A156="BL",ISNA(MATCH(D156,cl_code,0)),IF(A156="BR",ISNA(MATCH(D156,fo_code,0)),ISNA(MATCH(D156,p_services,0)))),IF(A156="BL","Client inconnu",IF(A156="BR","Fournisseur inconnu","Service inconnu")),IF(H156="","Article manquant",IF(ISNA(MATCH(H156,art_ref,0)),"Article inconnu",IF(OR(NOT(ISNUMBER(L156)),N(L156)&lt;=0),"Quantité invalide",IF(AND(K156&lt;&gt;"",OR(NOT(ISNUMBER(K156)),N(K156)&lt;=0)),"Qté commandée invalide",IF(AG156&lt;SUMPRODUCT(MAX((A$6:A155=A156)*AG$6:AG155)),"Date antérieure au bon précédent",IF(AND(A156&lt;&gt;"BR",ISNUMBER(M156),N(M156)&gt;0),IF(A156="BL","Livré plus que commandé","Sorti plus que demandé"),"OK"))))))))))))</f>
        <v/>
      </c>
      <c r="Y156" s="57" t="str">
        <f>IF(AND(OR(A156="BL",A156="BR",A156="BS"),AG156&gt;0,D156&lt;&gt;""),A156&amp;"|"&amp;AG156&amp;"|"&amp;D156&amp;"|"&amp;F156,"")</f>
        <v/>
      </c>
      <c r="Z156" s="57" t="str">
        <f>IF(Y156="","",IF(COUNTIF(Y$6:Y155,Y156)=0,1,0))</f>
        <v/>
      </c>
      <c r="AA156" s="57" t="str">
        <f>IF(Y156="","",IF(Z156=1,COUNTIFS(A$6:A156,A156,Z$6:Z156,1),INDEX(AA$6:AA155,MATCH(Y156,Y$6:Y155,0))))</f>
        <v/>
      </c>
      <c r="AB156" s="57" t="str">
        <f>IF(B156="","",COUNTIF(B$6:B156,B156))</f>
        <v/>
      </c>
      <c r="AC156" s="57" t="str">
        <f>IF(B156="","",B156&amp;"#"&amp;AB156)</f>
        <v/>
      </c>
      <c r="AD156" s="57" t="str">
        <f>IF(Z156=1,A156&amp;AA156,"")</f>
        <v/>
      </c>
      <c r="AE156" s="57" t="str">
        <f>IF(B156="","",YEAR(C156))</f>
        <v/>
      </c>
      <c r="AF156" s="57" t="str">
        <f>IF(B156="","",MONTH(C156))</f>
        <v/>
      </c>
      <c r="AG156" s="57">
        <f>IF(ISNUMBER(C156),C156,0)</f>
        <v>0.0</v>
      </c>
      <c r="AH156" s="57" t="str">
        <f>IF(N(W156)&gt;0,COUNTIF(W$6:W156,"&gt;0"),"")</f>
        <v/>
      </c>
      <c r="AI156" s="57" t="str">
        <f>IF(Z156=1,COUNTIF(Z$6:Z156,1),"")</f>
        <v/>
      </c>
    </row>
    <row r="157">
      <c r="A157" s="54" t="n"/>
      <c r="B157" s="55" t="str">
        <f>IF(AA157="","",A157&amp;"-"&amp;RIGHT("000"&amp;AA157,4))</f>
        <v/>
      </c>
      <c r="C157" s="56" t="n"/>
      <c r="D157" s="54" t="n"/>
      <c r="E157" s="57" t="str">
        <f>IF(D157="","",IF(A157="BL",IFERROR(INDEX(cl_name,MATCH(D157,cl_code,0))&amp;"","Client inconnu"),IF(A157="BR",IFERROR(INDEX(fo_name,MATCH(D157,fo_code,0))&amp;"","Fournisseur inconnu"),IF(A157="BS",IF(ISNA(MATCH(D157,p_services,0)),"Service inconnu",D157&amp;""),""))))</f>
        <v/>
      </c>
      <c r="F157" s="58" t="n"/>
      <c r="G157" s="58" t="n"/>
      <c r="H157" s="59" t="n"/>
      <c r="I157" s="57" t="str">
        <f>IF(H157="","",IFERROR(INDEX(art_des,MATCH(H157,art_ref,0))&amp;"","Article inconnu"))</f>
        <v/>
      </c>
      <c r="J157" s="60" t="str">
        <f>IF(H157="","",IFERROR(INDEX(art_unit,MATCH(H157,art_ref,0))&amp;"",""))</f>
        <v/>
      </c>
      <c r="K157" s="59" t="n"/>
      <c r="L157" s="59" t="n"/>
      <c r="M157" s="61" t="str">
        <f>IF(OR(B157="",NOT(ISNUMBER(K157)),NOT(ISNUMBER(L157))),"",IF(OR(K157&lt;=0,L157&lt;=0),"",ROUND(L157-K157,6)))</f>
        <v/>
      </c>
      <c r="N157" s="58" t="n"/>
      <c r="O157" s="62" t="n"/>
      <c r="P157" s="63" t="str">
        <f>IF(OR(B157="",NOT(ISNUMBER(L157))),"",IF(L157&lt;=0,"",IFERROR(ROUND(L157*N(INDEX(art_w,MATCH(H157,art_ref,0))),3),"")))</f>
        <v/>
      </c>
      <c r="Q157" s="59" t="n"/>
      <c r="R157" s="54" t="n"/>
      <c r="S157" s="59" t="n"/>
      <c r="T157" s="59" t="n"/>
      <c r="U157" s="64" t="str">
        <f>IF(OR(B157="",H157=""),"",IFERROR(IF(A157="BL",IF(N(INDEX(art_price,MATCH(H157,art_ref,0)))=0,"",N(INDEX(art_price,MATCH(H157,art_ref,0)))),IF(N(INDEX(art_cost,MATCH(H157,art_ref,0)))=0,"",N(INDEX(art_cost,MATCH(H157,art_ref,0))))),""))</f>
        <v/>
      </c>
      <c r="V157" s="64" t="str">
        <f>IF(OR(U157="",NOT(ISNUMBER(L157))),"",IF(L157&lt;=0,"",ROUND(L157*U157,2)))</f>
        <v/>
      </c>
      <c r="W157" s="60" t="str">
        <f>IF(AND(B157&lt;&gt;"",A157&lt;&gt;"BS",F157&lt;&gt;"",H157&lt;&gt;"",ISNUMBER(K157),ISNUMBER(L157)),IF(AND(K157&gt;0,L157&gt;0,K157-L157&gt;0,COUNTIFS(A158:A$2005,A157,F158:F$2005,F157,H158:H$2005,H157,AA158:AA$2005,"&gt;0")=0),ROUND(K157-L157,6),""),"")</f>
        <v/>
      </c>
      <c r="X157" s="60" t="str">
        <f>IF(AND(A157="",C157="",D157="",H157="",L157=""),"",IF(A157="","Type manquant",IF(AND(A157&lt;&gt;"BL",A157&lt;&gt;"BR",A157&lt;&gt;"BS"),"Type inconnu (BL, BR ou BS)",IF(AG157=0,"Date manquante ou invalide",IF(D157="",IF(A157="BL","Client manquant",IF(A157="BR","Fournisseur manquant","Service manquant")),IF(IF(A157="BL",ISNA(MATCH(D157,cl_code,0)),IF(A157="BR",ISNA(MATCH(D157,fo_code,0)),ISNA(MATCH(D157,p_services,0)))),IF(A157="BL","Client inconnu",IF(A157="BR","Fournisseur inconnu","Service inconnu")),IF(H157="","Article manquant",IF(ISNA(MATCH(H157,art_ref,0)),"Article inconnu",IF(OR(NOT(ISNUMBER(L157)),N(L157)&lt;=0),"Quantité invalide",IF(AND(K157&lt;&gt;"",OR(NOT(ISNUMBER(K157)),N(K157)&lt;=0)),"Qté commandée invalide",IF(AG157&lt;SUMPRODUCT(MAX((A$6:A156=A157)*AG$6:AG156)),"Date antérieure au bon précédent",IF(AND(A157&lt;&gt;"BR",ISNUMBER(M157),N(M157)&gt;0),IF(A157="BL","Livré plus que commandé","Sorti plus que demandé"),"OK"))))))))))))</f>
        <v/>
      </c>
      <c r="Y157" s="57" t="str">
        <f>IF(AND(OR(A157="BL",A157="BR",A157="BS"),AG157&gt;0,D157&lt;&gt;""),A157&amp;"|"&amp;AG157&amp;"|"&amp;D157&amp;"|"&amp;F157,"")</f>
        <v/>
      </c>
      <c r="Z157" s="57" t="str">
        <f>IF(Y157="","",IF(COUNTIF(Y$6:Y156,Y157)=0,1,0))</f>
        <v/>
      </c>
      <c r="AA157" s="57" t="str">
        <f>IF(Y157="","",IF(Z157=1,COUNTIFS(A$6:A157,A157,Z$6:Z157,1),INDEX(AA$6:AA156,MATCH(Y157,Y$6:Y156,0))))</f>
        <v/>
      </c>
      <c r="AB157" s="57" t="str">
        <f>IF(B157="","",COUNTIF(B$6:B157,B157))</f>
        <v/>
      </c>
      <c r="AC157" s="57" t="str">
        <f>IF(B157="","",B157&amp;"#"&amp;AB157)</f>
        <v/>
      </c>
      <c r="AD157" s="57" t="str">
        <f>IF(Z157=1,A157&amp;AA157,"")</f>
        <v/>
      </c>
      <c r="AE157" s="57" t="str">
        <f>IF(B157="","",YEAR(C157))</f>
        <v/>
      </c>
      <c r="AF157" s="57" t="str">
        <f>IF(B157="","",MONTH(C157))</f>
        <v/>
      </c>
      <c r="AG157" s="57">
        <f>IF(ISNUMBER(C157),C157,0)</f>
        <v>0.0</v>
      </c>
      <c r="AH157" s="57" t="str">
        <f>IF(N(W157)&gt;0,COUNTIF(W$6:W157,"&gt;0"),"")</f>
        <v/>
      </c>
      <c r="AI157" s="57" t="str">
        <f>IF(Z157=1,COUNTIF(Z$6:Z157,1),"")</f>
        <v/>
      </c>
    </row>
    <row r="158">
      <c r="A158" s="54" t="n"/>
      <c r="B158" s="55" t="str">
        <f>IF(AA158="","",A158&amp;"-"&amp;RIGHT("000"&amp;AA158,4))</f>
        <v/>
      </c>
      <c r="C158" s="56" t="n"/>
      <c r="D158" s="54" t="n"/>
      <c r="E158" s="57" t="str">
        <f>IF(D158="","",IF(A158="BL",IFERROR(INDEX(cl_name,MATCH(D158,cl_code,0))&amp;"","Client inconnu"),IF(A158="BR",IFERROR(INDEX(fo_name,MATCH(D158,fo_code,0))&amp;"","Fournisseur inconnu"),IF(A158="BS",IF(ISNA(MATCH(D158,p_services,0)),"Service inconnu",D158&amp;""),""))))</f>
        <v/>
      </c>
      <c r="F158" s="58" t="n"/>
      <c r="G158" s="58" t="n"/>
      <c r="H158" s="59" t="n"/>
      <c r="I158" s="57" t="str">
        <f>IF(H158="","",IFERROR(INDEX(art_des,MATCH(H158,art_ref,0))&amp;"","Article inconnu"))</f>
        <v/>
      </c>
      <c r="J158" s="60" t="str">
        <f>IF(H158="","",IFERROR(INDEX(art_unit,MATCH(H158,art_ref,0))&amp;"",""))</f>
        <v/>
      </c>
      <c r="K158" s="59" t="n"/>
      <c r="L158" s="59" t="n"/>
      <c r="M158" s="61" t="str">
        <f>IF(OR(B158="",NOT(ISNUMBER(K158)),NOT(ISNUMBER(L158))),"",IF(OR(K158&lt;=0,L158&lt;=0),"",ROUND(L158-K158,6)))</f>
        <v/>
      </c>
      <c r="N158" s="58" t="n"/>
      <c r="O158" s="62" t="n"/>
      <c r="P158" s="63" t="str">
        <f>IF(OR(B158="",NOT(ISNUMBER(L158))),"",IF(L158&lt;=0,"",IFERROR(ROUND(L158*N(INDEX(art_w,MATCH(H158,art_ref,0))),3),"")))</f>
        <v/>
      </c>
      <c r="Q158" s="59" t="n"/>
      <c r="R158" s="54" t="n"/>
      <c r="S158" s="59" t="n"/>
      <c r="T158" s="59" t="n"/>
      <c r="U158" s="64" t="str">
        <f>IF(OR(B158="",H158=""),"",IFERROR(IF(A158="BL",IF(N(INDEX(art_price,MATCH(H158,art_ref,0)))=0,"",N(INDEX(art_price,MATCH(H158,art_ref,0)))),IF(N(INDEX(art_cost,MATCH(H158,art_ref,0)))=0,"",N(INDEX(art_cost,MATCH(H158,art_ref,0))))),""))</f>
        <v/>
      </c>
      <c r="V158" s="64" t="str">
        <f>IF(OR(U158="",NOT(ISNUMBER(L158))),"",IF(L158&lt;=0,"",ROUND(L158*U158,2)))</f>
        <v/>
      </c>
      <c r="W158" s="60" t="str">
        <f>IF(AND(B158&lt;&gt;"",A158&lt;&gt;"BS",F158&lt;&gt;"",H158&lt;&gt;"",ISNUMBER(K158),ISNUMBER(L158)),IF(AND(K158&gt;0,L158&gt;0,K158-L158&gt;0,COUNTIFS(A159:A$2005,A158,F159:F$2005,F158,H159:H$2005,H158,AA159:AA$2005,"&gt;0")=0),ROUND(K158-L158,6),""),"")</f>
        <v/>
      </c>
      <c r="X158" s="60" t="str">
        <f>IF(AND(A158="",C158="",D158="",H158="",L158=""),"",IF(A158="","Type manquant",IF(AND(A158&lt;&gt;"BL",A158&lt;&gt;"BR",A158&lt;&gt;"BS"),"Type inconnu (BL, BR ou BS)",IF(AG158=0,"Date manquante ou invalide",IF(D158="",IF(A158="BL","Client manquant",IF(A158="BR","Fournisseur manquant","Service manquant")),IF(IF(A158="BL",ISNA(MATCH(D158,cl_code,0)),IF(A158="BR",ISNA(MATCH(D158,fo_code,0)),ISNA(MATCH(D158,p_services,0)))),IF(A158="BL","Client inconnu",IF(A158="BR","Fournisseur inconnu","Service inconnu")),IF(H158="","Article manquant",IF(ISNA(MATCH(H158,art_ref,0)),"Article inconnu",IF(OR(NOT(ISNUMBER(L158)),N(L158)&lt;=0),"Quantité invalide",IF(AND(K158&lt;&gt;"",OR(NOT(ISNUMBER(K158)),N(K158)&lt;=0)),"Qté commandée invalide",IF(AG158&lt;SUMPRODUCT(MAX((A$6:A157=A158)*AG$6:AG157)),"Date antérieure au bon précédent",IF(AND(A158&lt;&gt;"BR",ISNUMBER(M158),N(M158)&gt;0),IF(A158="BL","Livré plus que commandé","Sorti plus que demandé"),"OK"))))))))))))</f>
        <v/>
      </c>
      <c r="Y158" s="57" t="str">
        <f>IF(AND(OR(A158="BL",A158="BR",A158="BS"),AG158&gt;0,D158&lt;&gt;""),A158&amp;"|"&amp;AG158&amp;"|"&amp;D158&amp;"|"&amp;F158,"")</f>
        <v/>
      </c>
      <c r="Z158" s="57" t="str">
        <f>IF(Y158="","",IF(COUNTIF(Y$6:Y157,Y158)=0,1,0))</f>
        <v/>
      </c>
      <c r="AA158" s="57" t="str">
        <f>IF(Y158="","",IF(Z158=1,COUNTIFS(A$6:A158,A158,Z$6:Z158,1),INDEX(AA$6:AA157,MATCH(Y158,Y$6:Y157,0))))</f>
        <v/>
      </c>
      <c r="AB158" s="57" t="str">
        <f>IF(B158="","",COUNTIF(B$6:B158,B158))</f>
        <v/>
      </c>
      <c r="AC158" s="57" t="str">
        <f>IF(B158="","",B158&amp;"#"&amp;AB158)</f>
        <v/>
      </c>
      <c r="AD158" s="57" t="str">
        <f>IF(Z158=1,A158&amp;AA158,"")</f>
        <v/>
      </c>
      <c r="AE158" s="57" t="str">
        <f>IF(B158="","",YEAR(C158))</f>
        <v/>
      </c>
      <c r="AF158" s="57" t="str">
        <f>IF(B158="","",MONTH(C158))</f>
        <v/>
      </c>
      <c r="AG158" s="57">
        <f>IF(ISNUMBER(C158),C158,0)</f>
        <v>0.0</v>
      </c>
      <c r="AH158" s="57" t="str">
        <f>IF(N(W158)&gt;0,COUNTIF(W$6:W158,"&gt;0"),"")</f>
        <v/>
      </c>
      <c r="AI158" s="57" t="str">
        <f>IF(Z158=1,COUNTIF(Z$6:Z158,1),"")</f>
        <v/>
      </c>
    </row>
    <row r="159">
      <c r="A159" s="54" t="n"/>
      <c r="B159" s="55" t="str">
        <f>IF(AA159="","",A159&amp;"-"&amp;RIGHT("000"&amp;AA159,4))</f>
        <v/>
      </c>
      <c r="C159" s="56" t="n"/>
      <c r="D159" s="54" t="n"/>
      <c r="E159" s="57" t="str">
        <f>IF(D159="","",IF(A159="BL",IFERROR(INDEX(cl_name,MATCH(D159,cl_code,0))&amp;"","Client inconnu"),IF(A159="BR",IFERROR(INDEX(fo_name,MATCH(D159,fo_code,0))&amp;"","Fournisseur inconnu"),IF(A159="BS",IF(ISNA(MATCH(D159,p_services,0)),"Service inconnu",D159&amp;""),""))))</f>
        <v/>
      </c>
      <c r="F159" s="58" t="n"/>
      <c r="G159" s="58" t="n"/>
      <c r="H159" s="59" t="n"/>
      <c r="I159" s="57" t="str">
        <f>IF(H159="","",IFERROR(INDEX(art_des,MATCH(H159,art_ref,0))&amp;"","Article inconnu"))</f>
        <v/>
      </c>
      <c r="J159" s="60" t="str">
        <f>IF(H159="","",IFERROR(INDEX(art_unit,MATCH(H159,art_ref,0))&amp;"",""))</f>
        <v/>
      </c>
      <c r="K159" s="59" t="n"/>
      <c r="L159" s="59" t="n"/>
      <c r="M159" s="61" t="str">
        <f>IF(OR(B159="",NOT(ISNUMBER(K159)),NOT(ISNUMBER(L159))),"",IF(OR(K159&lt;=0,L159&lt;=0),"",ROUND(L159-K159,6)))</f>
        <v/>
      </c>
      <c r="N159" s="58" t="n"/>
      <c r="O159" s="62" t="n"/>
      <c r="P159" s="63" t="str">
        <f>IF(OR(B159="",NOT(ISNUMBER(L159))),"",IF(L159&lt;=0,"",IFERROR(ROUND(L159*N(INDEX(art_w,MATCH(H159,art_ref,0))),3),"")))</f>
        <v/>
      </c>
      <c r="Q159" s="59" t="n"/>
      <c r="R159" s="54" t="n"/>
      <c r="S159" s="59" t="n"/>
      <c r="T159" s="59" t="n"/>
      <c r="U159" s="64" t="str">
        <f>IF(OR(B159="",H159=""),"",IFERROR(IF(A159="BL",IF(N(INDEX(art_price,MATCH(H159,art_ref,0)))=0,"",N(INDEX(art_price,MATCH(H159,art_ref,0)))),IF(N(INDEX(art_cost,MATCH(H159,art_ref,0)))=0,"",N(INDEX(art_cost,MATCH(H159,art_ref,0))))),""))</f>
        <v/>
      </c>
      <c r="V159" s="64" t="str">
        <f>IF(OR(U159="",NOT(ISNUMBER(L159))),"",IF(L159&lt;=0,"",ROUND(L159*U159,2)))</f>
        <v/>
      </c>
      <c r="W159" s="60" t="str">
        <f>IF(AND(B159&lt;&gt;"",A159&lt;&gt;"BS",F159&lt;&gt;"",H159&lt;&gt;"",ISNUMBER(K159),ISNUMBER(L159)),IF(AND(K159&gt;0,L159&gt;0,K159-L159&gt;0,COUNTIFS(A160:A$2005,A159,F160:F$2005,F159,H160:H$2005,H159,AA160:AA$2005,"&gt;0")=0),ROUND(K159-L159,6),""),"")</f>
        <v/>
      </c>
      <c r="X159" s="60" t="str">
        <f>IF(AND(A159="",C159="",D159="",H159="",L159=""),"",IF(A159="","Type manquant",IF(AND(A159&lt;&gt;"BL",A159&lt;&gt;"BR",A159&lt;&gt;"BS"),"Type inconnu (BL, BR ou BS)",IF(AG159=0,"Date manquante ou invalide",IF(D159="",IF(A159="BL","Client manquant",IF(A159="BR","Fournisseur manquant","Service manquant")),IF(IF(A159="BL",ISNA(MATCH(D159,cl_code,0)),IF(A159="BR",ISNA(MATCH(D159,fo_code,0)),ISNA(MATCH(D159,p_services,0)))),IF(A159="BL","Client inconnu",IF(A159="BR","Fournisseur inconnu","Service inconnu")),IF(H159="","Article manquant",IF(ISNA(MATCH(H159,art_ref,0)),"Article inconnu",IF(OR(NOT(ISNUMBER(L159)),N(L159)&lt;=0),"Quantité invalide",IF(AND(K159&lt;&gt;"",OR(NOT(ISNUMBER(K159)),N(K159)&lt;=0)),"Qté commandée invalide",IF(AG159&lt;SUMPRODUCT(MAX((A$6:A158=A159)*AG$6:AG158)),"Date antérieure au bon précédent",IF(AND(A159&lt;&gt;"BR",ISNUMBER(M159),N(M159)&gt;0),IF(A159="BL","Livré plus que commandé","Sorti plus que demandé"),"OK"))))))))))))</f>
        <v/>
      </c>
      <c r="Y159" s="57" t="str">
        <f>IF(AND(OR(A159="BL",A159="BR",A159="BS"),AG159&gt;0,D159&lt;&gt;""),A159&amp;"|"&amp;AG159&amp;"|"&amp;D159&amp;"|"&amp;F159,"")</f>
        <v/>
      </c>
      <c r="Z159" s="57" t="str">
        <f>IF(Y159="","",IF(COUNTIF(Y$6:Y158,Y159)=0,1,0))</f>
        <v/>
      </c>
      <c r="AA159" s="57" t="str">
        <f>IF(Y159="","",IF(Z159=1,COUNTIFS(A$6:A159,A159,Z$6:Z159,1),INDEX(AA$6:AA158,MATCH(Y159,Y$6:Y158,0))))</f>
        <v/>
      </c>
      <c r="AB159" s="57" t="str">
        <f>IF(B159="","",COUNTIF(B$6:B159,B159))</f>
        <v/>
      </c>
      <c r="AC159" s="57" t="str">
        <f>IF(B159="","",B159&amp;"#"&amp;AB159)</f>
        <v/>
      </c>
      <c r="AD159" s="57" t="str">
        <f>IF(Z159=1,A159&amp;AA159,"")</f>
        <v/>
      </c>
      <c r="AE159" s="57" t="str">
        <f>IF(B159="","",YEAR(C159))</f>
        <v/>
      </c>
      <c r="AF159" s="57" t="str">
        <f>IF(B159="","",MONTH(C159))</f>
        <v/>
      </c>
      <c r="AG159" s="57">
        <f>IF(ISNUMBER(C159),C159,0)</f>
        <v>0.0</v>
      </c>
      <c r="AH159" s="57" t="str">
        <f>IF(N(W159)&gt;0,COUNTIF(W$6:W159,"&gt;0"),"")</f>
        <v/>
      </c>
      <c r="AI159" s="57" t="str">
        <f>IF(Z159=1,COUNTIF(Z$6:Z159,1),"")</f>
        <v/>
      </c>
    </row>
    <row r="160">
      <c r="A160" s="54" t="n"/>
      <c r="B160" s="55" t="str">
        <f>IF(AA160="","",A160&amp;"-"&amp;RIGHT("000"&amp;AA160,4))</f>
        <v/>
      </c>
      <c r="C160" s="56" t="n"/>
      <c r="D160" s="54" t="n"/>
      <c r="E160" s="57" t="str">
        <f>IF(D160="","",IF(A160="BL",IFERROR(INDEX(cl_name,MATCH(D160,cl_code,0))&amp;"","Client inconnu"),IF(A160="BR",IFERROR(INDEX(fo_name,MATCH(D160,fo_code,0))&amp;"","Fournisseur inconnu"),IF(A160="BS",IF(ISNA(MATCH(D160,p_services,0)),"Service inconnu",D160&amp;""),""))))</f>
        <v/>
      </c>
      <c r="F160" s="58" t="n"/>
      <c r="G160" s="58" t="n"/>
      <c r="H160" s="59" t="n"/>
      <c r="I160" s="57" t="str">
        <f>IF(H160="","",IFERROR(INDEX(art_des,MATCH(H160,art_ref,0))&amp;"","Article inconnu"))</f>
        <v/>
      </c>
      <c r="J160" s="60" t="str">
        <f>IF(H160="","",IFERROR(INDEX(art_unit,MATCH(H160,art_ref,0))&amp;"",""))</f>
        <v/>
      </c>
      <c r="K160" s="59" t="n"/>
      <c r="L160" s="59" t="n"/>
      <c r="M160" s="61" t="str">
        <f>IF(OR(B160="",NOT(ISNUMBER(K160)),NOT(ISNUMBER(L160))),"",IF(OR(K160&lt;=0,L160&lt;=0),"",ROUND(L160-K160,6)))</f>
        <v/>
      </c>
      <c r="N160" s="58" t="n"/>
      <c r="O160" s="62" t="n"/>
      <c r="P160" s="63" t="str">
        <f>IF(OR(B160="",NOT(ISNUMBER(L160))),"",IF(L160&lt;=0,"",IFERROR(ROUND(L160*N(INDEX(art_w,MATCH(H160,art_ref,0))),3),"")))</f>
        <v/>
      </c>
      <c r="Q160" s="59" t="n"/>
      <c r="R160" s="54" t="n"/>
      <c r="S160" s="59" t="n"/>
      <c r="T160" s="59" t="n"/>
      <c r="U160" s="64" t="str">
        <f>IF(OR(B160="",H160=""),"",IFERROR(IF(A160="BL",IF(N(INDEX(art_price,MATCH(H160,art_ref,0)))=0,"",N(INDEX(art_price,MATCH(H160,art_ref,0)))),IF(N(INDEX(art_cost,MATCH(H160,art_ref,0)))=0,"",N(INDEX(art_cost,MATCH(H160,art_ref,0))))),""))</f>
        <v/>
      </c>
      <c r="V160" s="64" t="str">
        <f>IF(OR(U160="",NOT(ISNUMBER(L160))),"",IF(L160&lt;=0,"",ROUND(L160*U160,2)))</f>
        <v/>
      </c>
      <c r="W160" s="60" t="str">
        <f>IF(AND(B160&lt;&gt;"",A160&lt;&gt;"BS",F160&lt;&gt;"",H160&lt;&gt;"",ISNUMBER(K160),ISNUMBER(L160)),IF(AND(K160&gt;0,L160&gt;0,K160-L160&gt;0,COUNTIFS(A161:A$2005,A160,F161:F$2005,F160,H161:H$2005,H160,AA161:AA$2005,"&gt;0")=0),ROUND(K160-L160,6),""),"")</f>
        <v/>
      </c>
      <c r="X160" s="60" t="str">
        <f>IF(AND(A160="",C160="",D160="",H160="",L160=""),"",IF(A160="","Type manquant",IF(AND(A160&lt;&gt;"BL",A160&lt;&gt;"BR",A160&lt;&gt;"BS"),"Type inconnu (BL, BR ou BS)",IF(AG160=0,"Date manquante ou invalide",IF(D160="",IF(A160="BL","Client manquant",IF(A160="BR","Fournisseur manquant","Service manquant")),IF(IF(A160="BL",ISNA(MATCH(D160,cl_code,0)),IF(A160="BR",ISNA(MATCH(D160,fo_code,0)),ISNA(MATCH(D160,p_services,0)))),IF(A160="BL","Client inconnu",IF(A160="BR","Fournisseur inconnu","Service inconnu")),IF(H160="","Article manquant",IF(ISNA(MATCH(H160,art_ref,0)),"Article inconnu",IF(OR(NOT(ISNUMBER(L160)),N(L160)&lt;=0),"Quantité invalide",IF(AND(K160&lt;&gt;"",OR(NOT(ISNUMBER(K160)),N(K160)&lt;=0)),"Qté commandée invalide",IF(AG160&lt;SUMPRODUCT(MAX((A$6:A159=A160)*AG$6:AG159)),"Date antérieure au bon précédent",IF(AND(A160&lt;&gt;"BR",ISNUMBER(M160),N(M160)&gt;0),IF(A160="BL","Livré plus que commandé","Sorti plus que demandé"),"OK"))))))))))))</f>
        <v/>
      </c>
      <c r="Y160" s="57" t="str">
        <f>IF(AND(OR(A160="BL",A160="BR",A160="BS"),AG160&gt;0,D160&lt;&gt;""),A160&amp;"|"&amp;AG160&amp;"|"&amp;D160&amp;"|"&amp;F160,"")</f>
        <v/>
      </c>
      <c r="Z160" s="57" t="str">
        <f>IF(Y160="","",IF(COUNTIF(Y$6:Y159,Y160)=0,1,0))</f>
        <v/>
      </c>
      <c r="AA160" s="57" t="str">
        <f>IF(Y160="","",IF(Z160=1,COUNTIFS(A$6:A160,A160,Z$6:Z160,1),INDEX(AA$6:AA159,MATCH(Y160,Y$6:Y159,0))))</f>
        <v/>
      </c>
      <c r="AB160" s="57" t="str">
        <f>IF(B160="","",COUNTIF(B$6:B160,B160))</f>
        <v/>
      </c>
      <c r="AC160" s="57" t="str">
        <f>IF(B160="","",B160&amp;"#"&amp;AB160)</f>
        <v/>
      </c>
      <c r="AD160" s="57" t="str">
        <f>IF(Z160=1,A160&amp;AA160,"")</f>
        <v/>
      </c>
      <c r="AE160" s="57" t="str">
        <f>IF(B160="","",YEAR(C160))</f>
        <v/>
      </c>
      <c r="AF160" s="57" t="str">
        <f>IF(B160="","",MONTH(C160))</f>
        <v/>
      </c>
      <c r="AG160" s="57">
        <f>IF(ISNUMBER(C160),C160,0)</f>
        <v>0.0</v>
      </c>
      <c r="AH160" s="57" t="str">
        <f>IF(N(W160)&gt;0,COUNTIF(W$6:W160,"&gt;0"),"")</f>
        <v/>
      </c>
      <c r="AI160" s="57" t="str">
        <f>IF(Z160=1,COUNTIF(Z$6:Z160,1),"")</f>
        <v/>
      </c>
    </row>
    <row r="161">
      <c r="A161" s="54" t="n"/>
      <c r="B161" s="55" t="str">
        <f>IF(AA161="","",A161&amp;"-"&amp;RIGHT("000"&amp;AA161,4))</f>
        <v/>
      </c>
      <c r="C161" s="56" t="n"/>
      <c r="D161" s="54" t="n"/>
      <c r="E161" s="57" t="str">
        <f>IF(D161="","",IF(A161="BL",IFERROR(INDEX(cl_name,MATCH(D161,cl_code,0))&amp;"","Client inconnu"),IF(A161="BR",IFERROR(INDEX(fo_name,MATCH(D161,fo_code,0))&amp;"","Fournisseur inconnu"),IF(A161="BS",IF(ISNA(MATCH(D161,p_services,0)),"Service inconnu",D161&amp;""),""))))</f>
        <v/>
      </c>
      <c r="F161" s="58" t="n"/>
      <c r="G161" s="58" t="n"/>
      <c r="H161" s="59" t="n"/>
      <c r="I161" s="57" t="str">
        <f>IF(H161="","",IFERROR(INDEX(art_des,MATCH(H161,art_ref,0))&amp;"","Article inconnu"))</f>
        <v/>
      </c>
      <c r="J161" s="60" t="str">
        <f>IF(H161="","",IFERROR(INDEX(art_unit,MATCH(H161,art_ref,0))&amp;"",""))</f>
        <v/>
      </c>
      <c r="K161" s="59" t="n"/>
      <c r="L161" s="59" t="n"/>
      <c r="M161" s="61" t="str">
        <f>IF(OR(B161="",NOT(ISNUMBER(K161)),NOT(ISNUMBER(L161))),"",IF(OR(K161&lt;=0,L161&lt;=0),"",ROUND(L161-K161,6)))</f>
        <v/>
      </c>
      <c r="N161" s="58" t="n"/>
      <c r="O161" s="62" t="n"/>
      <c r="P161" s="63" t="str">
        <f>IF(OR(B161="",NOT(ISNUMBER(L161))),"",IF(L161&lt;=0,"",IFERROR(ROUND(L161*N(INDEX(art_w,MATCH(H161,art_ref,0))),3),"")))</f>
        <v/>
      </c>
      <c r="Q161" s="59" t="n"/>
      <c r="R161" s="54" t="n"/>
      <c r="S161" s="59" t="n"/>
      <c r="T161" s="59" t="n"/>
      <c r="U161" s="64" t="str">
        <f>IF(OR(B161="",H161=""),"",IFERROR(IF(A161="BL",IF(N(INDEX(art_price,MATCH(H161,art_ref,0)))=0,"",N(INDEX(art_price,MATCH(H161,art_ref,0)))),IF(N(INDEX(art_cost,MATCH(H161,art_ref,0)))=0,"",N(INDEX(art_cost,MATCH(H161,art_ref,0))))),""))</f>
        <v/>
      </c>
      <c r="V161" s="64" t="str">
        <f>IF(OR(U161="",NOT(ISNUMBER(L161))),"",IF(L161&lt;=0,"",ROUND(L161*U161,2)))</f>
        <v/>
      </c>
      <c r="W161" s="60" t="str">
        <f>IF(AND(B161&lt;&gt;"",A161&lt;&gt;"BS",F161&lt;&gt;"",H161&lt;&gt;"",ISNUMBER(K161),ISNUMBER(L161)),IF(AND(K161&gt;0,L161&gt;0,K161-L161&gt;0,COUNTIFS(A162:A$2005,A161,F162:F$2005,F161,H162:H$2005,H161,AA162:AA$2005,"&gt;0")=0),ROUND(K161-L161,6),""),"")</f>
        <v/>
      </c>
      <c r="X161" s="60" t="str">
        <f>IF(AND(A161="",C161="",D161="",H161="",L161=""),"",IF(A161="","Type manquant",IF(AND(A161&lt;&gt;"BL",A161&lt;&gt;"BR",A161&lt;&gt;"BS"),"Type inconnu (BL, BR ou BS)",IF(AG161=0,"Date manquante ou invalide",IF(D161="",IF(A161="BL","Client manquant",IF(A161="BR","Fournisseur manquant","Service manquant")),IF(IF(A161="BL",ISNA(MATCH(D161,cl_code,0)),IF(A161="BR",ISNA(MATCH(D161,fo_code,0)),ISNA(MATCH(D161,p_services,0)))),IF(A161="BL","Client inconnu",IF(A161="BR","Fournisseur inconnu","Service inconnu")),IF(H161="","Article manquant",IF(ISNA(MATCH(H161,art_ref,0)),"Article inconnu",IF(OR(NOT(ISNUMBER(L161)),N(L161)&lt;=0),"Quantité invalide",IF(AND(K161&lt;&gt;"",OR(NOT(ISNUMBER(K161)),N(K161)&lt;=0)),"Qté commandée invalide",IF(AG161&lt;SUMPRODUCT(MAX((A$6:A160=A161)*AG$6:AG160)),"Date antérieure au bon précédent",IF(AND(A161&lt;&gt;"BR",ISNUMBER(M161),N(M161)&gt;0),IF(A161="BL","Livré plus que commandé","Sorti plus que demandé"),"OK"))))))))))))</f>
        <v/>
      </c>
      <c r="Y161" s="57" t="str">
        <f>IF(AND(OR(A161="BL",A161="BR",A161="BS"),AG161&gt;0,D161&lt;&gt;""),A161&amp;"|"&amp;AG161&amp;"|"&amp;D161&amp;"|"&amp;F161,"")</f>
        <v/>
      </c>
      <c r="Z161" s="57" t="str">
        <f>IF(Y161="","",IF(COUNTIF(Y$6:Y160,Y161)=0,1,0))</f>
        <v/>
      </c>
      <c r="AA161" s="57" t="str">
        <f>IF(Y161="","",IF(Z161=1,COUNTIFS(A$6:A161,A161,Z$6:Z161,1),INDEX(AA$6:AA160,MATCH(Y161,Y$6:Y160,0))))</f>
        <v/>
      </c>
      <c r="AB161" s="57" t="str">
        <f>IF(B161="","",COUNTIF(B$6:B161,B161))</f>
        <v/>
      </c>
      <c r="AC161" s="57" t="str">
        <f>IF(B161="","",B161&amp;"#"&amp;AB161)</f>
        <v/>
      </c>
      <c r="AD161" s="57" t="str">
        <f>IF(Z161=1,A161&amp;AA161,"")</f>
        <v/>
      </c>
      <c r="AE161" s="57" t="str">
        <f>IF(B161="","",YEAR(C161))</f>
        <v/>
      </c>
      <c r="AF161" s="57" t="str">
        <f>IF(B161="","",MONTH(C161))</f>
        <v/>
      </c>
      <c r="AG161" s="57">
        <f>IF(ISNUMBER(C161),C161,0)</f>
        <v>0.0</v>
      </c>
      <c r="AH161" s="57" t="str">
        <f>IF(N(W161)&gt;0,COUNTIF(W$6:W161,"&gt;0"),"")</f>
        <v/>
      </c>
      <c r="AI161" s="57" t="str">
        <f>IF(Z161=1,COUNTIF(Z$6:Z161,1),"")</f>
        <v/>
      </c>
    </row>
    <row r="162">
      <c r="A162" s="54" t="n"/>
      <c r="B162" s="55" t="str">
        <f>IF(AA162="","",A162&amp;"-"&amp;RIGHT("000"&amp;AA162,4))</f>
        <v/>
      </c>
      <c r="C162" s="56" t="n"/>
      <c r="D162" s="54" t="n"/>
      <c r="E162" s="57" t="str">
        <f>IF(D162="","",IF(A162="BL",IFERROR(INDEX(cl_name,MATCH(D162,cl_code,0))&amp;"","Client inconnu"),IF(A162="BR",IFERROR(INDEX(fo_name,MATCH(D162,fo_code,0))&amp;"","Fournisseur inconnu"),IF(A162="BS",IF(ISNA(MATCH(D162,p_services,0)),"Service inconnu",D162&amp;""),""))))</f>
        <v/>
      </c>
      <c r="F162" s="58" t="n"/>
      <c r="G162" s="58" t="n"/>
      <c r="H162" s="59" t="n"/>
      <c r="I162" s="57" t="str">
        <f>IF(H162="","",IFERROR(INDEX(art_des,MATCH(H162,art_ref,0))&amp;"","Article inconnu"))</f>
        <v/>
      </c>
      <c r="J162" s="60" t="str">
        <f>IF(H162="","",IFERROR(INDEX(art_unit,MATCH(H162,art_ref,0))&amp;"",""))</f>
        <v/>
      </c>
      <c r="K162" s="59" t="n"/>
      <c r="L162" s="59" t="n"/>
      <c r="M162" s="61" t="str">
        <f>IF(OR(B162="",NOT(ISNUMBER(K162)),NOT(ISNUMBER(L162))),"",IF(OR(K162&lt;=0,L162&lt;=0),"",ROUND(L162-K162,6)))</f>
        <v/>
      </c>
      <c r="N162" s="58" t="n"/>
      <c r="O162" s="62" t="n"/>
      <c r="P162" s="63" t="str">
        <f>IF(OR(B162="",NOT(ISNUMBER(L162))),"",IF(L162&lt;=0,"",IFERROR(ROUND(L162*N(INDEX(art_w,MATCH(H162,art_ref,0))),3),"")))</f>
        <v/>
      </c>
      <c r="Q162" s="59" t="n"/>
      <c r="R162" s="54" t="n"/>
      <c r="S162" s="59" t="n"/>
      <c r="T162" s="59" t="n"/>
      <c r="U162" s="64" t="str">
        <f>IF(OR(B162="",H162=""),"",IFERROR(IF(A162="BL",IF(N(INDEX(art_price,MATCH(H162,art_ref,0)))=0,"",N(INDEX(art_price,MATCH(H162,art_ref,0)))),IF(N(INDEX(art_cost,MATCH(H162,art_ref,0)))=0,"",N(INDEX(art_cost,MATCH(H162,art_ref,0))))),""))</f>
        <v/>
      </c>
      <c r="V162" s="64" t="str">
        <f>IF(OR(U162="",NOT(ISNUMBER(L162))),"",IF(L162&lt;=0,"",ROUND(L162*U162,2)))</f>
        <v/>
      </c>
      <c r="W162" s="60" t="str">
        <f>IF(AND(B162&lt;&gt;"",A162&lt;&gt;"BS",F162&lt;&gt;"",H162&lt;&gt;"",ISNUMBER(K162),ISNUMBER(L162)),IF(AND(K162&gt;0,L162&gt;0,K162-L162&gt;0,COUNTIFS(A163:A$2005,A162,F163:F$2005,F162,H163:H$2005,H162,AA163:AA$2005,"&gt;0")=0),ROUND(K162-L162,6),""),"")</f>
        <v/>
      </c>
      <c r="X162" s="60" t="str">
        <f>IF(AND(A162="",C162="",D162="",H162="",L162=""),"",IF(A162="","Type manquant",IF(AND(A162&lt;&gt;"BL",A162&lt;&gt;"BR",A162&lt;&gt;"BS"),"Type inconnu (BL, BR ou BS)",IF(AG162=0,"Date manquante ou invalide",IF(D162="",IF(A162="BL","Client manquant",IF(A162="BR","Fournisseur manquant","Service manquant")),IF(IF(A162="BL",ISNA(MATCH(D162,cl_code,0)),IF(A162="BR",ISNA(MATCH(D162,fo_code,0)),ISNA(MATCH(D162,p_services,0)))),IF(A162="BL","Client inconnu",IF(A162="BR","Fournisseur inconnu","Service inconnu")),IF(H162="","Article manquant",IF(ISNA(MATCH(H162,art_ref,0)),"Article inconnu",IF(OR(NOT(ISNUMBER(L162)),N(L162)&lt;=0),"Quantité invalide",IF(AND(K162&lt;&gt;"",OR(NOT(ISNUMBER(K162)),N(K162)&lt;=0)),"Qté commandée invalide",IF(AG162&lt;SUMPRODUCT(MAX((A$6:A161=A162)*AG$6:AG161)),"Date antérieure au bon précédent",IF(AND(A162&lt;&gt;"BR",ISNUMBER(M162),N(M162)&gt;0),IF(A162="BL","Livré plus que commandé","Sorti plus que demandé"),"OK"))))))))))))</f>
        <v/>
      </c>
      <c r="Y162" s="57" t="str">
        <f>IF(AND(OR(A162="BL",A162="BR",A162="BS"),AG162&gt;0,D162&lt;&gt;""),A162&amp;"|"&amp;AG162&amp;"|"&amp;D162&amp;"|"&amp;F162,"")</f>
        <v/>
      </c>
      <c r="Z162" s="57" t="str">
        <f>IF(Y162="","",IF(COUNTIF(Y$6:Y161,Y162)=0,1,0))</f>
        <v/>
      </c>
      <c r="AA162" s="57" t="str">
        <f>IF(Y162="","",IF(Z162=1,COUNTIFS(A$6:A162,A162,Z$6:Z162,1),INDEX(AA$6:AA161,MATCH(Y162,Y$6:Y161,0))))</f>
        <v/>
      </c>
      <c r="AB162" s="57" t="str">
        <f>IF(B162="","",COUNTIF(B$6:B162,B162))</f>
        <v/>
      </c>
      <c r="AC162" s="57" t="str">
        <f>IF(B162="","",B162&amp;"#"&amp;AB162)</f>
        <v/>
      </c>
      <c r="AD162" s="57" t="str">
        <f>IF(Z162=1,A162&amp;AA162,"")</f>
        <v/>
      </c>
      <c r="AE162" s="57" t="str">
        <f>IF(B162="","",YEAR(C162))</f>
        <v/>
      </c>
      <c r="AF162" s="57" t="str">
        <f>IF(B162="","",MONTH(C162))</f>
        <v/>
      </c>
      <c r="AG162" s="57">
        <f>IF(ISNUMBER(C162),C162,0)</f>
        <v>0.0</v>
      </c>
      <c r="AH162" s="57" t="str">
        <f>IF(N(W162)&gt;0,COUNTIF(W$6:W162,"&gt;0"),"")</f>
        <v/>
      </c>
      <c r="AI162" s="57" t="str">
        <f>IF(Z162=1,COUNTIF(Z$6:Z162,1),"")</f>
        <v/>
      </c>
    </row>
    <row r="163">
      <c r="A163" s="54" t="n"/>
      <c r="B163" s="55" t="str">
        <f>IF(AA163="","",A163&amp;"-"&amp;RIGHT("000"&amp;AA163,4))</f>
        <v/>
      </c>
      <c r="C163" s="56" t="n"/>
      <c r="D163" s="54" t="n"/>
      <c r="E163" s="57" t="str">
        <f>IF(D163="","",IF(A163="BL",IFERROR(INDEX(cl_name,MATCH(D163,cl_code,0))&amp;"","Client inconnu"),IF(A163="BR",IFERROR(INDEX(fo_name,MATCH(D163,fo_code,0))&amp;"","Fournisseur inconnu"),IF(A163="BS",IF(ISNA(MATCH(D163,p_services,0)),"Service inconnu",D163&amp;""),""))))</f>
        <v/>
      </c>
      <c r="F163" s="58" t="n"/>
      <c r="G163" s="58" t="n"/>
      <c r="H163" s="59" t="n"/>
      <c r="I163" s="57" t="str">
        <f>IF(H163="","",IFERROR(INDEX(art_des,MATCH(H163,art_ref,0))&amp;"","Article inconnu"))</f>
        <v/>
      </c>
      <c r="J163" s="60" t="str">
        <f>IF(H163="","",IFERROR(INDEX(art_unit,MATCH(H163,art_ref,0))&amp;"",""))</f>
        <v/>
      </c>
      <c r="K163" s="59" t="n"/>
      <c r="L163" s="59" t="n"/>
      <c r="M163" s="61" t="str">
        <f>IF(OR(B163="",NOT(ISNUMBER(K163)),NOT(ISNUMBER(L163))),"",IF(OR(K163&lt;=0,L163&lt;=0),"",ROUND(L163-K163,6)))</f>
        <v/>
      </c>
      <c r="N163" s="58" t="n"/>
      <c r="O163" s="62" t="n"/>
      <c r="P163" s="63" t="str">
        <f>IF(OR(B163="",NOT(ISNUMBER(L163))),"",IF(L163&lt;=0,"",IFERROR(ROUND(L163*N(INDEX(art_w,MATCH(H163,art_ref,0))),3),"")))</f>
        <v/>
      </c>
      <c r="Q163" s="59" t="n"/>
      <c r="R163" s="54" t="n"/>
      <c r="S163" s="59" t="n"/>
      <c r="T163" s="59" t="n"/>
      <c r="U163" s="64" t="str">
        <f>IF(OR(B163="",H163=""),"",IFERROR(IF(A163="BL",IF(N(INDEX(art_price,MATCH(H163,art_ref,0)))=0,"",N(INDEX(art_price,MATCH(H163,art_ref,0)))),IF(N(INDEX(art_cost,MATCH(H163,art_ref,0)))=0,"",N(INDEX(art_cost,MATCH(H163,art_ref,0))))),""))</f>
        <v/>
      </c>
      <c r="V163" s="64" t="str">
        <f>IF(OR(U163="",NOT(ISNUMBER(L163))),"",IF(L163&lt;=0,"",ROUND(L163*U163,2)))</f>
        <v/>
      </c>
      <c r="W163" s="60" t="str">
        <f>IF(AND(B163&lt;&gt;"",A163&lt;&gt;"BS",F163&lt;&gt;"",H163&lt;&gt;"",ISNUMBER(K163),ISNUMBER(L163)),IF(AND(K163&gt;0,L163&gt;0,K163-L163&gt;0,COUNTIFS(A164:A$2005,A163,F164:F$2005,F163,H164:H$2005,H163,AA164:AA$2005,"&gt;0")=0),ROUND(K163-L163,6),""),"")</f>
        <v/>
      </c>
      <c r="X163" s="60" t="str">
        <f>IF(AND(A163="",C163="",D163="",H163="",L163=""),"",IF(A163="","Type manquant",IF(AND(A163&lt;&gt;"BL",A163&lt;&gt;"BR",A163&lt;&gt;"BS"),"Type inconnu (BL, BR ou BS)",IF(AG163=0,"Date manquante ou invalide",IF(D163="",IF(A163="BL","Client manquant",IF(A163="BR","Fournisseur manquant","Service manquant")),IF(IF(A163="BL",ISNA(MATCH(D163,cl_code,0)),IF(A163="BR",ISNA(MATCH(D163,fo_code,0)),ISNA(MATCH(D163,p_services,0)))),IF(A163="BL","Client inconnu",IF(A163="BR","Fournisseur inconnu","Service inconnu")),IF(H163="","Article manquant",IF(ISNA(MATCH(H163,art_ref,0)),"Article inconnu",IF(OR(NOT(ISNUMBER(L163)),N(L163)&lt;=0),"Quantité invalide",IF(AND(K163&lt;&gt;"",OR(NOT(ISNUMBER(K163)),N(K163)&lt;=0)),"Qté commandée invalide",IF(AG163&lt;SUMPRODUCT(MAX((A$6:A162=A163)*AG$6:AG162)),"Date antérieure au bon précédent",IF(AND(A163&lt;&gt;"BR",ISNUMBER(M163),N(M163)&gt;0),IF(A163="BL","Livré plus que commandé","Sorti plus que demandé"),"OK"))))))))))))</f>
        <v/>
      </c>
      <c r="Y163" s="57" t="str">
        <f>IF(AND(OR(A163="BL",A163="BR",A163="BS"),AG163&gt;0,D163&lt;&gt;""),A163&amp;"|"&amp;AG163&amp;"|"&amp;D163&amp;"|"&amp;F163,"")</f>
        <v/>
      </c>
      <c r="Z163" s="57" t="str">
        <f>IF(Y163="","",IF(COUNTIF(Y$6:Y162,Y163)=0,1,0))</f>
        <v/>
      </c>
      <c r="AA163" s="57" t="str">
        <f>IF(Y163="","",IF(Z163=1,COUNTIFS(A$6:A163,A163,Z$6:Z163,1),INDEX(AA$6:AA162,MATCH(Y163,Y$6:Y162,0))))</f>
        <v/>
      </c>
      <c r="AB163" s="57" t="str">
        <f>IF(B163="","",COUNTIF(B$6:B163,B163))</f>
        <v/>
      </c>
      <c r="AC163" s="57" t="str">
        <f>IF(B163="","",B163&amp;"#"&amp;AB163)</f>
        <v/>
      </c>
      <c r="AD163" s="57" t="str">
        <f>IF(Z163=1,A163&amp;AA163,"")</f>
        <v/>
      </c>
      <c r="AE163" s="57" t="str">
        <f>IF(B163="","",YEAR(C163))</f>
        <v/>
      </c>
      <c r="AF163" s="57" t="str">
        <f>IF(B163="","",MONTH(C163))</f>
        <v/>
      </c>
      <c r="AG163" s="57">
        <f>IF(ISNUMBER(C163),C163,0)</f>
        <v>0.0</v>
      </c>
      <c r="AH163" s="57" t="str">
        <f>IF(N(W163)&gt;0,COUNTIF(W$6:W163,"&gt;0"),"")</f>
        <v/>
      </c>
      <c r="AI163" s="57" t="str">
        <f>IF(Z163=1,COUNTIF(Z$6:Z163,1),"")</f>
        <v/>
      </c>
    </row>
    <row r="164">
      <c r="A164" s="54" t="n"/>
      <c r="B164" s="55" t="str">
        <f>IF(AA164="","",A164&amp;"-"&amp;RIGHT("000"&amp;AA164,4))</f>
        <v/>
      </c>
      <c r="C164" s="56" t="n"/>
      <c r="D164" s="54" t="n"/>
      <c r="E164" s="57" t="str">
        <f>IF(D164="","",IF(A164="BL",IFERROR(INDEX(cl_name,MATCH(D164,cl_code,0))&amp;"","Client inconnu"),IF(A164="BR",IFERROR(INDEX(fo_name,MATCH(D164,fo_code,0))&amp;"","Fournisseur inconnu"),IF(A164="BS",IF(ISNA(MATCH(D164,p_services,0)),"Service inconnu",D164&amp;""),""))))</f>
        <v/>
      </c>
      <c r="F164" s="58" t="n"/>
      <c r="G164" s="58" t="n"/>
      <c r="H164" s="59" t="n"/>
      <c r="I164" s="57" t="str">
        <f>IF(H164="","",IFERROR(INDEX(art_des,MATCH(H164,art_ref,0))&amp;"","Article inconnu"))</f>
        <v/>
      </c>
      <c r="J164" s="60" t="str">
        <f>IF(H164="","",IFERROR(INDEX(art_unit,MATCH(H164,art_ref,0))&amp;"",""))</f>
        <v/>
      </c>
      <c r="K164" s="59" t="n"/>
      <c r="L164" s="59" t="n"/>
      <c r="M164" s="61" t="str">
        <f>IF(OR(B164="",NOT(ISNUMBER(K164)),NOT(ISNUMBER(L164))),"",IF(OR(K164&lt;=0,L164&lt;=0),"",ROUND(L164-K164,6)))</f>
        <v/>
      </c>
      <c r="N164" s="58" t="n"/>
      <c r="O164" s="62" t="n"/>
      <c r="P164" s="63" t="str">
        <f>IF(OR(B164="",NOT(ISNUMBER(L164))),"",IF(L164&lt;=0,"",IFERROR(ROUND(L164*N(INDEX(art_w,MATCH(H164,art_ref,0))),3),"")))</f>
        <v/>
      </c>
      <c r="Q164" s="59" t="n"/>
      <c r="R164" s="54" t="n"/>
      <c r="S164" s="59" t="n"/>
      <c r="T164" s="59" t="n"/>
      <c r="U164" s="64" t="str">
        <f>IF(OR(B164="",H164=""),"",IFERROR(IF(A164="BL",IF(N(INDEX(art_price,MATCH(H164,art_ref,0)))=0,"",N(INDEX(art_price,MATCH(H164,art_ref,0)))),IF(N(INDEX(art_cost,MATCH(H164,art_ref,0)))=0,"",N(INDEX(art_cost,MATCH(H164,art_ref,0))))),""))</f>
        <v/>
      </c>
      <c r="V164" s="64" t="str">
        <f>IF(OR(U164="",NOT(ISNUMBER(L164))),"",IF(L164&lt;=0,"",ROUND(L164*U164,2)))</f>
        <v/>
      </c>
      <c r="W164" s="60" t="str">
        <f>IF(AND(B164&lt;&gt;"",A164&lt;&gt;"BS",F164&lt;&gt;"",H164&lt;&gt;"",ISNUMBER(K164),ISNUMBER(L164)),IF(AND(K164&gt;0,L164&gt;0,K164-L164&gt;0,COUNTIFS(A165:A$2005,A164,F165:F$2005,F164,H165:H$2005,H164,AA165:AA$2005,"&gt;0")=0),ROUND(K164-L164,6),""),"")</f>
        <v/>
      </c>
      <c r="X164" s="60" t="str">
        <f>IF(AND(A164="",C164="",D164="",H164="",L164=""),"",IF(A164="","Type manquant",IF(AND(A164&lt;&gt;"BL",A164&lt;&gt;"BR",A164&lt;&gt;"BS"),"Type inconnu (BL, BR ou BS)",IF(AG164=0,"Date manquante ou invalide",IF(D164="",IF(A164="BL","Client manquant",IF(A164="BR","Fournisseur manquant","Service manquant")),IF(IF(A164="BL",ISNA(MATCH(D164,cl_code,0)),IF(A164="BR",ISNA(MATCH(D164,fo_code,0)),ISNA(MATCH(D164,p_services,0)))),IF(A164="BL","Client inconnu",IF(A164="BR","Fournisseur inconnu","Service inconnu")),IF(H164="","Article manquant",IF(ISNA(MATCH(H164,art_ref,0)),"Article inconnu",IF(OR(NOT(ISNUMBER(L164)),N(L164)&lt;=0),"Quantité invalide",IF(AND(K164&lt;&gt;"",OR(NOT(ISNUMBER(K164)),N(K164)&lt;=0)),"Qté commandée invalide",IF(AG164&lt;SUMPRODUCT(MAX((A$6:A163=A164)*AG$6:AG163)),"Date antérieure au bon précédent",IF(AND(A164&lt;&gt;"BR",ISNUMBER(M164),N(M164)&gt;0),IF(A164="BL","Livré plus que commandé","Sorti plus que demandé"),"OK"))))))))))))</f>
        <v/>
      </c>
      <c r="Y164" s="57" t="str">
        <f>IF(AND(OR(A164="BL",A164="BR",A164="BS"),AG164&gt;0,D164&lt;&gt;""),A164&amp;"|"&amp;AG164&amp;"|"&amp;D164&amp;"|"&amp;F164,"")</f>
        <v/>
      </c>
      <c r="Z164" s="57" t="str">
        <f>IF(Y164="","",IF(COUNTIF(Y$6:Y163,Y164)=0,1,0))</f>
        <v/>
      </c>
      <c r="AA164" s="57" t="str">
        <f>IF(Y164="","",IF(Z164=1,COUNTIFS(A$6:A164,A164,Z$6:Z164,1),INDEX(AA$6:AA163,MATCH(Y164,Y$6:Y163,0))))</f>
        <v/>
      </c>
      <c r="AB164" s="57" t="str">
        <f>IF(B164="","",COUNTIF(B$6:B164,B164))</f>
        <v/>
      </c>
      <c r="AC164" s="57" t="str">
        <f>IF(B164="","",B164&amp;"#"&amp;AB164)</f>
        <v/>
      </c>
      <c r="AD164" s="57" t="str">
        <f>IF(Z164=1,A164&amp;AA164,"")</f>
        <v/>
      </c>
      <c r="AE164" s="57" t="str">
        <f>IF(B164="","",YEAR(C164))</f>
        <v/>
      </c>
      <c r="AF164" s="57" t="str">
        <f>IF(B164="","",MONTH(C164))</f>
        <v/>
      </c>
      <c r="AG164" s="57">
        <f>IF(ISNUMBER(C164),C164,0)</f>
        <v>0.0</v>
      </c>
      <c r="AH164" s="57" t="str">
        <f>IF(N(W164)&gt;0,COUNTIF(W$6:W164,"&gt;0"),"")</f>
        <v/>
      </c>
      <c r="AI164" s="57" t="str">
        <f>IF(Z164=1,COUNTIF(Z$6:Z164,1),"")</f>
        <v/>
      </c>
    </row>
    <row r="165">
      <c r="A165" s="54" t="n"/>
      <c r="B165" s="55" t="str">
        <f>IF(AA165="","",A165&amp;"-"&amp;RIGHT("000"&amp;AA165,4))</f>
        <v/>
      </c>
      <c r="C165" s="56" t="n"/>
      <c r="D165" s="54" t="n"/>
      <c r="E165" s="57" t="str">
        <f>IF(D165="","",IF(A165="BL",IFERROR(INDEX(cl_name,MATCH(D165,cl_code,0))&amp;"","Client inconnu"),IF(A165="BR",IFERROR(INDEX(fo_name,MATCH(D165,fo_code,0))&amp;"","Fournisseur inconnu"),IF(A165="BS",IF(ISNA(MATCH(D165,p_services,0)),"Service inconnu",D165&amp;""),""))))</f>
        <v/>
      </c>
      <c r="F165" s="58" t="n"/>
      <c r="G165" s="58" t="n"/>
      <c r="H165" s="59" t="n"/>
      <c r="I165" s="57" t="str">
        <f>IF(H165="","",IFERROR(INDEX(art_des,MATCH(H165,art_ref,0))&amp;"","Article inconnu"))</f>
        <v/>
      </c>
      <c r="J165" s="60" t="str">
        <f>IF(H165="","",IFERROR(INDEX(art_unit,MATCH(H165,art_ref,0))&amp;"",""))</f>
        <v/>
      </c>
      <c r="K165" s="59" t="n"/>
      <c r="L165" s="59" t="n"/>
      <c r="M165" s="61" t="str">
        <f>IF(OR(B165="",NOT(ISNUMBER(K165)),NOT(ISNUMBER(L165))),"",IF(OR(K165&lt;=0,L165&lt;=0),"",ROUND(L165-K165,6)))</f>
        <v/>
      </c>
      <c r="N165" s="58" t="n"/>
      <c r="O165" s="62" t="n"/>
      <c r="P165" s="63" t="str">
        <f>IF(OR(B165="",NOT(ISNUMBER(L165))),"",IF(L165&lt;=0,"",IFERROR(ROUND(L165*N(INDEX(art_w,MATCH(H165,art_ref,0))),3),"")))</f>
        <v/>
      </c>
      <c r="Q165" s="59" t="n"/>
      <c r="R165" s="54" t="n"/>
      <c r="S165" s="59" t="n"/>
      <c r="T165" s="59" t="n"/>
      <c r="U165" s="64" t="str">
        <f>IF(OR(B165="",H165=""),"",IFERROR(IF(A165="BL",IF(N(INDEX(art_price,MATCH(H165,art_ref,0)))=0,"",N(INDEX(art_price,MATCH(H165,art_ref,0)))),IF(N(INDEX(art_cost,MATCH(H165,art_ref,0)))=0,"",N(INDEX(art_cost,MATCH(H165,art_ref,0))))),""))</f>
        <v/>
      </c>
      <c r="V165" s="64" t="str">
        <f>IF(OR(U165="",NOT(ISNUMBER(L165))),"",IF(L165&lt;=0,"",ROUND(L165*U165,2)))</f>
        <v/>
      </c>
      <c r="W165" s="60" t="str">
        <f>IF(AND(B165&lt;&gt;"",A165&lt;&gt;"BS",F165&lt;&gt;"",H165&lt;&gt;"",ISNUMBER(K165),ISNUMBER(L165)),IF(AND(K165&gt;0,L165&gt;0,K165-L165&gt;0,COUNTIFS(A166:A$2005,A165,F166:F$2005,F165,H166:H$2005,H165,AA166:AA$2005,"&gt;0")=0),ROUND(K165-L165,6),""),"")</f>
        <v/>
      </c>
      <c r="X165" s="60" t="str">
        <f>IF(AND(A165="",C165="",D165="",H165="",L165=""),"",IF(A165="","Type manquant",IF(AND(A165&lt;&gt;"BL",A165&lt;&gt;"BR",A165&lt;&gt;"BS"),"Type inconnu (BL, BR ou BS)",IF(AG165=0,"Date manquante ou invalide",IF(D165="",IF(A165="BL","Client manquant",IF(A165="BR","Fournisseur manquant","Service manquant")),IF(IF(A165="BL",ISNA(MATCH(D165,cl_code,0)),IF(A165="BR",ISNA(MATCH(D165,fo_code,0)),ISNA(MATCH(D165,p_services,0)))),IF(A165="BL","Client inconnu",IF(A165="BR","Fournisseur inconnu","Service inconnu")),IF(H165="","Article manquant",IF(ISNA(MATCH(H165,art_ref,0)),"Article inconnu",IF(OR(NOT(ISNUMBER(L165)),N(L165)&lt;=0),"Quantité invalide",IF(AND(K165&lt;&gt;"",OR(NOT(ISNUMBER(K165)),N(K165)&lt;=0)),"Qté commandée invalide",IF(AG165&lt;SUMPRODUCT(MAX((A$6:A164=A165)*AG$6:AG164)),"Date antérieure au bon précédent",IF(AND(A165&lt;&gt;"BR",ISNUMBER(M165),N(M165)&gt;0),IF(A165="BL","Livré plus que commandé","Sorti plus que demandé"),"OK"))))))))))))</f>
        <v/>
      </c>
      <c r="Y165" s="57" t="str">
        <f>IF(AND(OR(A165="BL",A165="BR",A165="BS"),AG165&gt;0,D165&lt;&gt;""),A165&amp;"|"&amp;AG165&amp;"|"&amp;D165&amp;"|"&amp;F165,"")</f>
        <v/>
      </c>
      <c r="Z165" s="57" t="str">
        <f>IF(Y165="","",IF(COUNTIF(Y$6:Y164,Y165)=0,1,0))</f>
        <v/>
      </c>
      <c r="AA165" s="57" t="str">
        <f>IF(Y165="","",IF(Z165=1,COUNTIFS(A$6:A165,A165,Z$6:Z165,1),INDEX(AA$6:AA164,MATCH(Y165,Y$6:Y164,0))))</f>
        <v/>
      </c>
      <c r="AB165" s="57" t="str">
        <f>IF(B165="","",COUNTIF(B$6:B165,B165))</f>
        <v/>
      </c>
      <c r="AC165" s="57" t="str">
        <f>IF(B165="","",B165&amp;"#"&amp;AB165)</f>
        <v/>
      </c>
      <c r="AD165" s="57" t="str">
        <f>IF(Z165=1,A165&amp;AA165,"")</f>
        <v/>
      </c>
      <c r="AE165" s="57" t="str">
        <f>IF(B165="","",YEAR(C165))</f>
        <v/>
      </c>
      <c r="AF165" s="57" t="str">
        <f>IF(B165="","",MONTH(C165))</f>
        <v/>
      </c>
      <c r="AG165" s="57">
        <f>IF(ISNUMBER(C165),C165,0)</f>
        <v>0.0</v>
      </c>
      <c r="AH165" s="57" t="str">
        <f>IF(N(W165)&gt;0,COUNTIF(W$6:W165,"&gt;0"),"")</f>
        <v/>
      </c>
      <c r="AI165" s="57" t="str">
        <f>IF(Z165=1,COUNTIF(Z$6:Z165,1),"")</f>
        <v/>
      </c>
    </row>
    <row r="166">
      <c r="A166" s="54" t="n"/>
      <c r="B166" s="55" t="str">
        <f>IF(AA166="","",A166&amp;"-"&amp;RIGHT("000"&amp;AA166,4))</f>
        <v/>
      </c>
      <c r="C166" s="56" t="n"/>
      <c r="D166" s="54" t="n"/>
      <c r="E166" s="57" t="str">
        <f>IF(D166="","",IF(A166="BL",IFERROR(INDEX(cl_name,MATCH(D166,cl_code,0))&amp;"","Client inconnu"),IF(A166="BR",IFERROR(INDEX(fo_name,MATCH(D166,fo_code,0))&amp;"","Fournisseur inconnu"),IF(A166="BS",IF(ISNA(MATCH(D166,p_services,0)),"Service inconnu",D166&amp;""),""))))</f>
        <v/>
      </c>
      <c r="F166" s="58" t="n"/>
      <c r="G166" s="58" t="n"/>
      <c r="H166" s="59" t="n"/>
      <c r="I166" s="57" t="str">
        <f>IF(H166="","",IFERROR(INDEX(art_des,MATCH(H166,art_ref,0))&amp;"","Article inconnu"))</f>
        <v/>
      </c>
      <c r="J166" s="60" t="str">
        <f>IF(H166="","",IFERROR(INDEX(art_unit,MATCH(H166,art_ref,0))&amp;"",""))</f>
        <v/>
      </c>
      <c r="K166" s="59" t="n"/>
      <c r="L166" s="59" t="n"/>
      <c r="M166" s="61" t="str">
        <f>IF(OR(B166="",NOT(ISNUMBER(K166)),NOT(ISNUMBER(L166))),"",IF(OR(K166&lt;=0,L166&lt;=0),"",ROUND(L166-K166,6)))</f>
        <v/>
      </c>
      <c r="N166" s="58" t="n"/>
      <c r="O166" s="62" t="n"/>
      <c r="P166" s="63" t="str">
        <f>IF(OR(B166="",NOT(ISNUMBER(L166))),"",IF(L166&lt;=0,"",IFERROR(ROUND(L166*N(INDEX(art_w,MATCH(H166,art_ref,0))),3),"")))</f>
        <v/>
      </c>
      <c r="Q166" s="59" t="n"/>
      <c r="R166" s="54" t="n"/>
      <c r="S166" s="59" t="n"/>
      <c r="T166" s="59" t="n"/>
      <c r="U166" s="64" t="str">
        <f>IF(OR(B166="",H166=""),"",IFERROR(IF(A166="BL",IF(N(INDEX(art_price,MATCH(H166,art_ref,0)))=0,"",N(INDEX(art_price,MATCH(H166,art_ref,0)))),IF(N(INDEX(art_cost,MATCH(H166,art_ref,0)))=0,"",N(INDEX(art_cost,MATCH(H166,art_ref,0))))),""))</f>
        <v/>
      </c>
      <c r="V166" s="64" t="str">
        <f>IF(OR(U166="",NOT(ISNUMBER(L166))),"",IF(L166&lt;=0,"",ROUND(L166*U166,2)))</f>
        <v/>
      </c>
      <c r="W166" s="60" t="str">
        <f>IF(AND(B166&lt;&gt;"",A166&lt;&gt;"BS",F166&lt;&gt;"",H166&lt;&gt;"",ISNUMBER(K166),ISNUMBER(L166)),IF(AND(K166&gt;0,L166&gt;0,K166-L166&gt;0,COUNTIFS(A167:A$2005,A166,F167:F$2005,F166,H167:H$2005,H166,AA167:AA$2005,"&gt;0")=0),ROUND(K166-L166,6),""),"")</f>
        <v/>
      </c>
      <c r="X166" s="60" t="str">
        <f>IF(AND(A166="",C166="",D166="",H166="",L166=""),"",IF(A166="","Type manquant",IF(AND(A166&lt;&gt;"BL",A166&lt;&gt;"BR",A166&lt;&gt;"BS"),"Type inconnu (BL, BR ou BS)",IF(AG166=0,"Date manquante ou invalide",IF(D166="",IF(A166="BL","Client manquant",IF(A166="BR","Fournisseur manquant","Service manquant")),IF(IF(A166="BL",ISNA(MATCH(D166,cl_code,0)),IF(A166="BR",ISNA(MATCH(D166,fo_code,0)),ISNA(MATCH(D166,p_services,0)))),IF(A166="BL","Client inconnu",IF(A166="BR","Fournisseur inconnu","Service inconnu")),IF(H166="","Article manquant",IF(ISNA(MATCH(H166,art_ref,0)),"Article inconnu",IF(OR(NOT(ISNUMBER(L166)),N(L166)&lt;=0),"Quantité invalide",IF(AND(K166&lt;&gt;"",OR(NOT(ISNUMBER(K166)),N(K166)&lt;=0)),"Qté commandée invalide",IF(AG166&lt;SUMPRODUCT(MAX((A$6:A165=A166)*AG$6:AG165)),"Date antérieure au bon précédent",IF(AND(A166&lt;&gt;"BR",ISNUMBER(M166),N(M166)&gt;0),IF(A166="BL","Livré plus que commandé","Sorti plus que demandé"),"OK"))))))))))))</f>
        <v/>
      </c>
      <c r="Y166" s="57" t="str">
        <f>IF(AND(OR(A166="BL",A166="BR",A166="BS"),AG166&gt;0,D166&lt;&gt;""),A166&amp;"|"&amp;AG166&amp;"|"&amp;D166&amp;"|"&amp;F166,"")</f>
        <v/>
      </c>
      <c r="Z166" s="57" t="str">
        <f>IF(Y166="","",IF(COUNTIF(Y$6:Y165,Y166)=0,1,0))</f>
        <v/>
      </c>
      <c r="AA166" s="57" t="str">
        <f>IF(Y166="","",IF(Z166=1,COUNTIFS(A$6:A166,A166,Z$6:Z166,1),INDEX(AA$6:AA165,MATCH(Y166,Y$6:Y165,0))))</f>
        <v/>
      </c>
      <c r="AB166" s="57" t="str">
        <f>IF(B166="","",COUNTIF(B$6:B166,B166))</f>
        <v/>
      </c>
      <c r="AC166" s="57" t="str">
        <f>IF(B166="","",B166&amp;"#"&amp;AB166)</f>
        <v/>
      </c>
      <c r="AD166" s="57" t="str">
        <f>IF(Z166=1,A166&amp;AA166,"")</f>
        <v/>
      </c>
      <c r="AE166" s="57" t="str">
        <f>IF(B166="","",YEAR(C166))</f>
        <v/>
      </c>
      <c r="AF166" s="57" t="str">
        <f>IF(B166="","",MONTH(C166))</f>
        <v/>
      </c>
      <c r="AG166" s="57">
        <f>IF(ISNUMBER(C166),C166,0)</f>
        <v>0.0</v>
      </c>
      <c r="AH166" s="57" t="str">
        <f>IF(N(W166)&gt;0,COUNTIF(W$6:W166,"&gt;0"),"")</f>
        <v/>
      </c>
      <c r="AI166" s="57" t="str">
        <f>IF(Z166=1,COUNTIF(Z$6:Z166,1),"")</f>
        <v/>
      </c>
    </row>
    <row r="167">
      <c r="A167" s="54" t="n"/>
      <c r="B167" s="55" t="str">
        <f>IF(AA167="","",A167&amp;"-"&amp;RIGHT("000"&amp;AA167,4))</f>
        <v/>
      </c>
      <c r="C167" s="56" t="n"/>
      <c r="D167" s="54" t="n"/>
      <c r="E167" s="57" t="str">
        <f>IF(D167="","",IF(A167="BL",IFERROR(INDEX(cl_name,MATCH(D167,cl_code,0))&amp;"","Client inconnu"),IF(A167="BR",IFERROR(INDEX(fo_name,MATCH(D167,fo_code,0))&amp;"","Fournisseur inconnu"),IF(A167="BS",IF(ISNA(MATCH(D167,p_services,0)),"Service inconnu",D167&amp;""),""))))</f>
        <v/>
      </c>
      <c r="F167" s="58" t="n"/>
      <c r="G167" s="58" t="n"/>
      <c r="H167" s="59" t="n"/>
      <c r="I167" s="57" t="str">
        <f>IF(H167="","",IFERROR(INDEX(art_des,MATCH(H167,art_ref,0))&amp;"","Article inconnu"))</f>
        <v/>
      </c>
      <c r="J167" s="60" t="str">
        <f>IF(H167="","",IFERROR(INDEX(art_unit,MATCH(H167,art_ref,0))&amp;"",""))</f>
        <v/>
      </c>
      <c r="K167" s="59" t="n"/>
      <c r="L167" s="59" t="n"/>
      <c r="M167" s="61" t="str">
        <f>IF(OR(B167="",NOT(ISNUMBER(K167)),NOT(ISNUMBER(L167))),"",IF(OR(K167&lt;=0,L167&lt;=0),"",ROUND(L167-K167,6)))</f>
        <v/>
      </c>
      <c r="N167" s="58" t="n"/>
      <c r="O167" s="62" t="n"/>
      <c r="P167" s="63" t="str">
        <f>IF(OR(B167="",NOT(ISNUMBER(L167))),"",IF(L167&lt;=0,"",IFERROR(ROUND(L167*N(INDEX(art_w,MATCH(H167,art_ref,0))),3),"")))</f>
        <v/>
      </c>
      <c r="Q167" s="59" t="n"/>
      <c r="R167" s="54" t="n"/>
      <c r="S167" s="59" t="n"/>
      <c r="T167" s="59" t="n"/>
      <c r="U167" s="64" t="str">
        <f>IF(OR(B167="",H167=""),"",IFERROR(IF(A167="BL",IF(N(INDEX(art_price,MATCH(H167,art_ref,0)))=0,"",N(INDEX(art_price,MATCH(H167,art_ref,0)))),IF(N(INDEX(art_cost,MATCH(H167,art_ref,0)))=0,"",N(INDEX(art_cost,MATCH(H167,art_ref,0))))),""))</f>
        <v/>
      </c>
      <c r="V167" s="64" t="str">
        <f>IF(OR(U167="",NOT(ISNUMBER(L167))),"",IF(L167&lt;=0,"",ROUND(L167*U167,2)))</f>
        <v/>
      </c>
      <c r="W167" s="60" t="str">
        <f>IF(AND(B167&lt;&gt;"",A167&lt;&gt;"BS",F167&lt;&gt;"",H167&lt;&gt;"",ISNUMBER(K167),ISNUMBER(L167)),IF(AND(K167&gt;0,L167&gt;0,K167-L167&gt;0,COUNTIFS(A168:A$2005,A167,F168:F$2005,F167,H168:H$2005,H167,AA168:AA$2005,"&gt;0")=0),ROUND(K167-L167,6),""),"")</f>
        <v/>
      </c>
      <c r="X167" s="60" t="str">
        <f>IF(AND(A167="",C167="",D167="",H167="",L167=""),"",IF(A167="","Type manquant",IF(AND(A167&lt;&gt;"BL",A167&lt;&gt;"BR",A167&lt;&gt;"BS"),"Type inconnu (BL, BR ou BS)",IF(AG167=0,"Date manquante ou invalide",IF(D167="",IF(A167="BL","Client manquant",IF(A167="BR","Fournisseur manquant","Service manquant")),IF(IF(A167="BL",ISNA(MATCH(D167,cl_code,0)),IF(A167="BR",ISNA(MATCH(D167,fo_code,0)),ISNA(MATCH(D167,p_services,0)))),IF(A167="BL","Client inconnu",IF(A167="BR","Fournisseur inconnu","Service inconnu")),IF(H167="","Article manquant",IF(ISNA(MATCH(H167,art_ref,0)),"Article inconnu",IF(OR(NOT(ISNUMBER(L167)),N(L167)&lt;=0),"Quantité invalide",IF(AND(K167&lt;&gt;"",OR(NOT(ISNUMBER(K167)),N(K167)&lt;=0)),"Qté commandée invalide",IF(AG167&lt;SUMPRODUCT(MAX((A$6:A166=A167)*AG$6:AG166)),"Date antérieure au bon précédent",IF(AND(A167&lt;&gt;"BR",ISNUMBER(M167),N(M167)&gt;0),IF(A167="BL","Livré plus que commandé","Sorti plus que demandé"),"OK"))))))))))))</f>
        <v/>
      </c>
      <c r="Y167" s="57" t="str">
        <f>IF(AND(OR(A167="BL",A167="BR",A167="BS"),AG167&gt;0,D167&lt;&gt;""),A167&amp;"|"&amp;AG167&amp;"|"&amp;D167&amp;"|"&amp;F167,"")</f>
        <v/>
      </c>
      <c r="Z167" s="57" t="str">
        <f>IF(Y167="","",IF(COUNTIF(Y$6:Y166,Y167)=0,1,0))</f>
        <v/>
      </c>
      <c r="AA167" s="57" t="str">
        <f>IF(Y167="","",IF(Z167=1,COUNTIFS(A$6:A167,A167,Z$6:Z167,1),INDEX(AA$6:AA166,MATCH(Y167,Y$6:Y166,0))))</f>
        <v/>
      </c>
      <c r="AB167" s="57" t="str">
        <f>IF(B167="","",COUNTIF(B$6:B167,B167))</f>
        <v/>
      </c>
      <c r="AC167" s="57" t="str">
        <f>IF(B167="","",B167&amp;"#"&amp;AB167)</f>
        <v/>
      </c>
      <c r="AD167" s="57" t="str">
        <f>IF(Z167=1,A167&amp;AA167,"")</f>
        <v/>
      </c>
      <c r="AE167" s="57" t="str">
        <f>IF(B167="","",YEAR(C167))</f>
        <v/>
      </c>
      <c r="AF167" s="57" t="str">
        <f>IF(B167="","",MONTH(C167))</f>
        <v/>
      </c>
      <c r="AG167" s="57">
        <f>IF(ISNUMBER(C167),C167,0)</f>
        <v>0.0</v>
      </c>
      <c r="AH167" s="57" t="str">
        <f>IF(N(W167)&gt;0,COUNTIF(W$6:W167,"&gt;0"),"")</f>
        <v/>
      </c>
      <c r="AI167" s="57" t="str">
        <f>IF(Z167=1,COUNTIF(Z$6:Z167,1),"")</f>
        <v/>
      </c>
    </row>
    <row r="168">
      <c r="A168" s="54" t="n"/>
      <c r="B168" s="55" t="str">
        <f>IF(AA168="","",A168&amp;"-"&amp;RIGHT("000"&amp;AA168,4))</f>
        <v/>
      </c>
      <c r="C168" s="56" t="n"/>
      <c r="D168" s="54" t="n"/>
      <c r="E168" s="57" t="str">
        <f>IF(D168="","",IF(A168="BL",IFERROR(INDEX(cl_name,MATCH(D168,cl_code,0))&amp;"","Client inconnu"),IF(A168="BR",IFERROR(INDEX(fo_name,MATCH(D168,fo_code,0))&amp;"","Fournisseur inconnu"),IF(A168="BS",IF(ISNA(MATCH(D168,p_services,0)),"Service inconnu",D168&amp;""),""))))</f>
        <v/>
      </c>
      <c r="F168" s="58" t="n"/>
      <c r="G168" s="58" t="n"/>
      <c r="H168" s="59" t="n"/>
      <c r="I168" s="57" t="str">
        <f>IF(H168="","",IFERROR(INDEX(art_des,MATCH(H168,art_ref,0))&amp;"","Article inconnu"))</f>
        <v/>
      </c>
      <c r="J168" s="60" t="str">
        <f>IF(H168="","",IFERROR(INDEX(art_unit,MATCH(H168,art_ref,0))&amp;"",""))</f>
        <v/>
      </c>
      <c r="K168" s="59" t="n"/>
      <c r="L168" s="59" t="n"/>
      <c r="M168" s="61" t="str">
        <f>IF(OR(B168="",NOT(ISNUMBER(K168)),NOT(ISNUMBER(L168))),"",IF(OR(K168&lt;=0,L168&lt;=0),"",ROUND(L168-K168,6)))</f>
        <v/>
      </c>
      <c r="N168" s="58" t="n"/>
      <c r="O168" s="62" t="n"/>
      <c r="P168" s="63" t="str">
        <f>IF(OR(B168="",NOT(ISNUMBER(L168))),"",IF(L168&lt;=0,"",IFERROR(ROUND(L168*N(INDEX(art_w,MATCH(H168,art_ref,0))),3),"")))</f>
        <v/>
      </c>
      <c r="Q168" s="59" t="n"/>
      <c r="R168" s="54" t="n"/>
      <c r="S168" s="59" t="n"/>
      <c r="T168" s="59" t="n"/>
      <c r="U168" s="64" t="str">
        <f>IF(OR(B168="",H168=""),"",IFERROR(IF(A168="BL",IF(N(INDEX(art_price,MATCH(H168,art_ref,0)))=0,"",N(INDEX(art_price,MATCH(H168,art_ref,0)))),IF(N(INDEX(art_cost,MATCH(H168,art_ref,0)))=0,"",N(INDEX(art_cost,MATCH(H168,art_ref,0))))),""))</f>
        <v/>
      </c>
      <c r="V168" s="64" t="str">
        <f>IF(OR(U168="",NOT(ISNUMBER(L168))),"",IF(L168&lt;=0,"",ROUND(L168*U168,2)))</f>
        <v/>
      </c>
      <c r="W168" s="60" t="str">
        <f>IF(AND(B168&lt;&gt;"",A168&lt;&gt;"BS",F168&lt;&gt;"",H168&lt;&gt;"",ISNUMBER(K168),ISNUMBER(L168)),IF(AND(K168&gt;0,L168&gt;0,K168-L168&gt;0,COUNTIFS(A169:A$2005,A168,F169:F$2005,F168,H169:H$2005,H168,AA169:AA$2005,"&gt;0")=0),ROUND(K168-L168,6),""),"")</f>
        <v/>
      </c>
      <c r="X168" s="60" t="str">
        <f>IF(AND(A168="",C168="",D168="",H168="",L168=""),"",IF(A168="","Type manquant",IF(AND(A168&lt;&gt;"BL",A168&lt;&gt;"BR",A168&lt;&gt;"BS"),"Type inconnu (BL, BR ou BS)",IF(AG168=0,"Date manquante ou invalide",IF(D168="",IF(A168="BL","Client manquant",IF(A168="BR","Fournisseur manquant","Service manquant")),IF(IF(A168="BL",ISNA(MATCH(D168,cl_code,0)),IF(A168="BR",ISNA(MATCH(D168,fo_code,0)),ISNA(MATCH(D168,p_services,0)))),IF(A168="BL","Client inconnu",IF(A168="BR","Fournisseur inconnu","Service inconnu")),IF(H168="","Article manquant",IF(ISNA(MATCH(H168,art_ref,0)),"Article inconnu",IF(OR(NOT(ISNUMBER(L168)),N(L168)&lt;=0),"Quantité invalide",IF(AND(K168&lt;&gt;"",OR(NOT(ISNUMBER(K168)),N(K168)&lt;=0)),"Qté commandée invalide",IF(AG168&lt;SUMPRODUCT(MAX((A$6:A167=A168)*AG$6:AG167)),"Date antérieure au bon précédent",IF(AND(A168&lt;&gt;"BR",ISNUMBER(M168),N(M168)&gt;0),IF(A168="BL","Livré plus que commandé","Sorti plus que demandé"),"OK"))))))))))))</f>
        <v/>
      </c>
      <c r="Y168" s="57" t="str">
        <f>IF(AND(OR(A168="BL",A168="BR",A168="BS"),AG168&gt;0,D168&lt;&gt;""),A168&amp;"|"&amp;AG168&amp;"|"&amp;D168&amp;"|"&amp;F168,"")</f>
        <v/>
      </c>
      <c r="Z168" s="57" t="str">
        <f>IF(Y168="","",IF(COUNTIF(Y$6:Y167,Y168)=0,1,0))</f>
        <v/>
      </c>
      <c r="AA168" s="57" t="str">
        <f>IF(Y168="","",IF(Z168=1,COUNTIFS(A$6:A168,A168,Z$6:Z168,1),INDEX(AA$6:AA167,MATCH(Y168,Y$6:Y167,0))))</f>
        <v/>
      </c>
      <c r="AB168" s="57" t="str">
        <f>IF(B168="","",COUNTIF(B$6:B168,B168))</f>
        <v/>
      </c>
      <c r="AC168" s="57" t="str">
        <f>IF(B168="","",B168&amp;"#"&amp;AB168)</f>
        <v/>
      </c>
      <c r="AD168" s="57" t="str">
        <f>IF(Z168=1,A168&amp;AA168,"")</f>
        <v/>
      </c>
      <c r="AE168" s="57" t="str">
        <f>IF(B168="","",YEAR(C168))</f>
        <v/>
      </c>
      <c r="AF168" s="57" t="str">
        <f>IF(B168="","",MONTH(C168))</f>
        <v/>
      </c>
      <c r="AG168" s="57">
        <f>IF(ISNUMBER(C168),C168,0)</f>
        <v>0.0</v>
      </c>
      <c r="AH168" s="57" t="str">
        <f>IF(N(W168)&gt;0,COUNTIF(W$6:W168,"&gt;0"),"")</f>
        <v/>
      </c>
      <c r="AI168" s="57" t="str">
        <f>IF(Z168=1,COUNTIF(Z$6:Z168,1),"")</f>
        <v/>
      </c>
    </row>
    <row r="169">
      <c r="A169" s="54" t="n"/>
      <c r="B169" s="55" t="str">
        <f>IF(AA169="","",A169&amp;"-"&amp;RIGHT("000"&amp;AA169,4))</f>
        <v/>
      </c>
      <c r="C169" s="56" t="n"/>
      <c r="D169" s="54" t="n"/>
      <c r="E169" s="57" t="str">
        <f>IF(D169="","",IF(A169="BL",IFERROR(INDEX(cl_name,MATCH(D169,cl_code,0))&amp;"","Client inconnu"),IF(A169="BR",IFERROR(INDEX(fo_name,MATCH(D169,fo_code,0))&amp;"","Fournisseur inconnu"),IF(A169="BS",IF(ISNA(MATCH(D169,p_services,0)),"Service inconnu",D169&amp;""),""))))</f>
        <v/>
      </c>
      <c r="F169" s="58" t="n"/>
      <c r="G169" s="58" t="n"/>
      <c r="H169" s="59" t="n"/>
      <c r="I169" s="57" t="str">
        <f>IF(H169="","",IFERROR(INDEX(art_des,MATCH(H169,art_ref,0))&amp;"","Article inconnu"))</f>
        <v/>
      </c>
      <c r="J169" s="60" t="str">
        <f>IF(H169="","",IFERROR(INDEX(art_unit,MATCH(H169,art_ref,0))&amp;"",""))</f>
        <v/>
      </c>
      <c r="K169" s="59" t="n"/>
      <c r="L169" s="59" t="n"/>
      <c r="M169" s="61" t="str">
        <f>IF(OR(B169="",NOT(ISNUMBER(K169)),NOT(ISNUMBER(L169))),"",IF(OR(K169&lt;=0,L169&lt;=0),"",ROUND(L169-K169,6)))</f>
        <v/>
      </c>
      <c r="N169" s="58" t="n"/>
      <c r="O169" s="62" t="n"/>
      <c r="P169" s="63" t="str">
        <f>IF(OR(B169="",NOT(ISNUMBER(L169))),"",IF(L169&lt;=0,"",IFERROR(ROUND(L169*N(INDEX(art_w,MATCH(H169,art_ref,0))),3),"")))</f>
        <v/>
      </c>
      <c r="Q169" s="59" t="n"/>
      <c r="R169" s="54" t="n"/>
      <c r="S169" s="59" t="n"/>
      <c r="T169" s="59" t="n"/>
      <c r="U169" s="64" t="str">
        <f>IF(OR(B169="",H169=""),"",IFERROR(IF(A169="BL",IF(N(INDEX(art_price,MATCH(H169,art_ref,0)))=0,"",N(INDEX(art_price,MATCH(H169,art_ref,0)))),IF(N(INDEX(art_cost,MATCH(H169,art_ref,0)))=0,"",N(INDEX(art_cost,MATCH(H169,art_ref,0))))),""))</f>
        <v/>
      </c>
      <c r="V169" s="64" t="str">
        <f>IF(OR(U169="",NOT(ISNUMBER(L169))),"",IF(L169&lt;=0,"",ROUND(L169*U169,2)))</f>
        <v/>
      </c>
      <c r="W169" s="60" t="str">
        <f>IF(AND(B169&lt;&gt;"",A169&lt;&gt;"BS",F169&lt;&gt;"",H169&lt;&gt;"",ISNUMBER(K169),ISNUMBER(L169)),IF(AND(K169&gt;0,L169&gt;0,K169-L169&gt;0,COUNTIFS(A170:A$2005,A169,F170:F$2005,F169,H170:H$2005,H169,AA170:AA$2005,"&gt;0")=0),ROUND(K169-L169,6),""),"")</f>
        <v/>
      </c>
      <c r="X169" s="60" t="str">
        <f>IF(AND(A169="",C169="",D169="",H169="",L169=""),"",IF(A169="","Type manquant",IF(AND(A169&lt;&gt;"BL",A169&lt;&gt;"BR",A169&lt;&gt;"BS"),"Type inconnu (BL, BR ou BS)",IF(AG169=0,"Date manquante ou invalide",IF(D169="",IF(A169="BL","Client manquant",IF(A169="BR","Fournisseur manquant","Service manquant")),IF(IF(A169="BL",ISNA(MATCH(D169,cl_code,0)),IF(A169="BR",ISNA(MATCH(D169,fo_code,0)),ISNA(MATCH(D169,p_services,0)))),IF(A169="BL","Client inconnu",IF(A169="BR","Fournisseur inconnu","Service inconnu")),IF(H169="","Article manquant",IF(ISNA(MATCH(H169,art_ref,0)),"Article inconnu",IF(OR(NOT(ISNUMBER(L169)),N(L169)&lt;=0),"Quantité invalide",IF(AND(K169&lt;&gt;"",OR(NOT(ISNUMBER(K169)),N(K169)&lt;=0)),"Qté commandée invalide",IF(AG169&lt;SUMPRODUCT(MAX((A$6:A168=A169)*AG$6:AG168)),"Date antérieure au bon précédent",IF(AND(A169&lt;&gt;"BR",ISNUMBER(M169),N(M169)&gt;0),IF(A169="BL","Livré plus que commandé","Sorti plus que demandé"),"OK"))))))))))))</f>
        <v/>
      </c>
      <c r="Y169" s="57" t="str">
        <f>IF(AND(OR(A169="BL",A169="BR",A169="BS"),AG169&gt;0,D169&lt;&gt;""),A169&amp;"|"&amp;AG169&amp;"|"&amp;D169&amp;"|"&amp;F169,"")</f>
        <v/>
      </c>
      <c r="Z169" s="57" t="str">
        <f>IF(Y169="","",IF(COUNTIF(Y$6:Y168,Y169)=0,1,0))</f>
        <v/>
      </c>
      <c r="AA169" s="57" t="str">
        <f>IF(Y169="","",IF(Z169=1,COUNTIFS(A$6:A169,A169,Z$6:Z169,1),INDEX(AA$6:AA168,MATCH(Y169,Y$6:Y168,0))))</f>
        <v/>
      </c>
      <c r="AB169" s="57" t="str">
        <f>IF(B169="","",COUNTIF(B$6:B169,B169))</f>
        <v/>
      </c>
      <c r="AC169" s="57" t="str">
        <f>IF(B169="","",B169&amp;"#"&amp;AB169)</f>
        <v/>
      </c>
      <c r="AD169" s="57" t="str">
        <f>IF(Z169=1,A169&amp;AA169,"")</f>
        <v/>
      </c>
      <c r="AE169" s="57" t="str">
        <f>IF(B169="","",YEAR(C169))</f>
        <v/>
      </c>
      <c r="AF169" s="57" t="str">
        <f>IF(B169="","",MONTH(C169))</f>
        <v/>
      </c>
      <c r="AG169" s="57">
        <f>IF(ISNUMBER(C169),C169,0)</f>
        <v>0.0</v>
      </c>
      <c r="AH169" s="57" t="str">
        <f>IF(N(W169)&gt;0,COUNTIF(W$6:W169,"&gt;0"),"")</f>
        <v/>
      </c>
      <c r="AI169" s="57" t="str">
        <f>IF(Z169=1,COUNTIF(Z$6:Z169,1),"")</f>
        <v/>
      </c>
    </row>
    <row r="170">
      <c r="A170" s="54" t="n"/>
      <c r="B170" s="55" t="str">
        <f>IF(AA170="","",A170&amp;"-"&amp;RIGHT("000"&amp;AA170,4))</f>
        <v/>
      </c>
      <c r="C170" s="56" t="n"/>
      <c r="D170" s="54" t="n"/>
      <c r="E170" s="57" t="str">
        <f>IF(D170="","",IF(A170="BL",IFERROR(INDEX(cl_name,MATCH(D170,cl_code,0))&amp;"","Client inconnu"),IF(A170="BR",IFERROR(INDEX(fo_name,MATCH(D170,fo_code,0))&amp;"","Fournisseur inconnu"),IF(A170="BS",IF(ISNA(MATCH(D170,p_services,0)),"Service inconnu",D170&amp;""),""))))</f>
        <v/>
      </c>
      <c r="F170" s="58" t="n"/>
      <c r="G170" s="58" t="n"/>
      <c r="H170" s="59" t="n"/>
      <c r="I170" s="57" t="str">
        <f>IF(H170="","",IFERROR(INDEX(art_des,MATCH(H170,art_ref,0))&amp;"","Article inconnu"))</f>
        <v/>
      </c>
      <c r="J170" s="60" t="str">
        <f>IF(H170="","",IFERROR(INDEX(art_unit,MATCH(H170,art_ref,0))&amp;"",""))</f>
        <v/>
      </c>
      <c r="K170" s="59" t="n"/>
      <c r="L170" s="59" t="n"/>
      <c r="M170" s="61" t="str">
        <f>IF(OR(B170="",NOT(ISNUMBER(K170)),NOT(ISNUMBER(L170))),"",IF(OR(K170&lt;=0,L170&lt;=0),"",ROUND(L170-K170,6)))</f>
        <v/>
      </c>
      <c r="N170" s="58" t="n"/>
      <c r="O170" s="62" t="n"/>
      <c r="P170" s="63" t="str">
        <f>IF(OR(B170="",NOT(ISNUMBER(L170))),"",IF(L170&lt;=0,"",IFERROR(ROUND(L170*N(INDEX(art_w,MATCH(H170,art_ref,0))),3),"")))</f>
        <v/>
      </c>
      <c r="Q170" s="59" t="n"/>
      <c r="R170" s="54" t="n"/>
      <c r="S170" s="59" t="n"/>
      <c r="T170" s="59" t="n"/>
      <c r="U170" s="64" t="str">
        <f>IF(OR(B170="",H170=""),"",IFERROR(IF(A170="BL",IF(N(INDEX(art_price,MATCH(H170,art_ref,0)))=0,"",N(INDEX(art_price,MATCH(H170,art_ref,0)))),IF(N(INDEX(art_cost,MATCH(H170,art_ref,0)))=0,"",N(INDEX(art_cost,MATCH(H170,art_ref,0))))),""))</f>
        <v/>
      </c>
      <c r="V170" s="64" t="str">
        <f>IF(OR(U170="",NOT(ISNUMBER(L170))),"",IF(L170&lt;=0,"",ROUND(L170*U170,2)))</f>
        <v/>
      </c>
      <c r="W170" s="60" t="str">
        <f>IF(AND(B170&lt;&gt;"",A170&lt;&gt;"BS",F170&lt;&gt;"",H170&lt;&gt;"",ISNUMBER(K170),ISNUMBER(L170)),IF(AND(K170&gt;0,L170&gt;0,K170-L170&gt;0,COUNTIFS(A171:A$2005,A170,F171:F$2005,F170,H171:H$2005,H170,AA171:AA$2005,"&gt;0")=0),ROUND(K170-L170,6),""),"")</f>
        <v/>
      </c>
      <c r="X170" s="60" t="str">
        <f>IF(AND(A170="",C170="",D170="",H170="",L170=""),"",IF(A170="","Type manquant",IF(AND(A170&lt;&gt;"BL",A170&lt;&gt;"BR",A170&lt;&gt;"BS"),"Type inconnu (BL, BR ou BS)",IF(AG170=0,"Date manquante ou invalide",IF(D170="",IF(A170="BL","Client manquant",IF(A170="BR","Fournisseur manquant","Service manquant")),IF(IF(A170="BL",ISNA(MATCH(D170,cl_code,0)),IF(A170="BR",ISNA(MATCH(D170,fo_code,0)),ISNA(MATCH(D170,p_services,0)))),IF(A170="BL","Client inconnu",IF(A170="BR","Fournisseur inconnu","Service inconnu")),IF(H170="","Article manquant",IF(ISNA(MATCH(H170,art_ref,0)),"Article inconnu",IF(OR(NOT(ISNUMBER(L170)),N(L170)&lt;=0),"Quantité invalide",IF(AND(K170&lt;&gt;"",OR(NOT(ISNUMBER(K170)),N(K170)&lt;=0)),"Qté commandée invalide",IF(AG170&lt;SUMPRODUCT(MAX((A$6:A169=A170)*AG$6:AG169)),"Date antérieure au bon précédent",IF(AND(A170&lt;&gt;"BR",ISNUMBER(M170),N(M170)&gt;0),IF(A170="BL","Livré plus que commandé","Sorti plus que demandé"),"OK"))))))))))))</f>
        <v/>
      </c>
      <c r="Y170" s="57" t="str">
        <f>IF(AND(OR(A170="BL",A170="BR",A170="BS"),AG170&gt;0,D170&lt;&gt;""),A170&amp;"|"&amp;AG170&amp;"|"&amp;D170&amp;"|"&amp;F170,"")</f>
        <v/>
      </c>
      <c r="Z170" s="57" t="str">
        <f>IF(Y170="","",IF(COUNTIF(Y$6:Y169,Y170)=0,1,0))</f>
        <v/>
      </c>
      <c r="AA170" s="57" t="str">
        <f>IF(Y170="","",IF(Z170=1,COUNTIFS(A$6:A170,A170,Z$6:Z170,1),INDEX(AA$6:AA169,MATCH(Y170,Y$6:Y169,0))))</f>
        <v/>
      </c>
      <c r="AB170" s="57" t="str">
        <f>IF(B170="","",COUNTIF(B$6:B170,B170))</f>
        <v/>
      </c>
      <c r="AC170" s="57" t="str">
        <f>IF(B170="","",B170&amp;"#"&amp;AB170)</f>
        <v/>
      </c>
      <c r="AD170" s="57" t="str">
        <f>IF(Z170=1,A170&amp;AA170,"")</f>
        <v/>
      </c>
      <c r="AE170" s="57" t="str">
        <f>IF(B170="","",YEAR(C170))</f>
        <v/>
      </c>
      <c r="AF170" s="57" t="str">
        <f>IF(B170="","",MONTH(C170))</f>
        <v/>
      </c>
      <c r="AG170" s="57">
        <f>IF(ISNUMBER(C170),C170,0)</f>
        <v>0.0</v>
      </c>
      <c r="AH170" s="57" t="str">
        <f>IF(N(W170)&gt;0,COUNTIF(W$6:W170,"&gt;0"),"")</f>
        <v/>
      </c>
      <c r="AI170" s="57" t="str">
        <f>IF(Z170=1,COUNTIF(Z$6:Z170,1),"")</f>
        <v/>
      </c>
    </row>
    <row r="171">
      <c r="A171" s="54" t="n"/>
      <c r="B171" s="55" t="str">
        <f>IF(AA171="","",A171&amp;"-"&amp;RIGHT("000"&amp;AA171,4))</f>
        <v/>
      </c>
      <c r="C171" s="56" t="n"/>
      <c r="D171" s="54" t="n"/>
      <c r="E171" s="57" t="str">
        <f>IF(D171="","",IF(A171="BL",IFERROR(INDEX(cl_name,MATCH(D171,cl_code,0))&amp;"","Client inconnu"),IF(A171="BR",IFERROR(INDEX(fo_name,MATCH(D171,fo_code,0))&amp;"","Fournisseur inconnu"),IF(A171="BS",IF(ISNA(MATCH(D171,p_services,0)),"Service inconnu",D171&amp;""),""))))</f>
        <v/>
      </c>
      <c r="F171" s="58" t="n"/>
      <c r="G171" s="58" t="n"/>
      <c r="H171" s="59" t="n"/>
      <c r="I171" s="57" t="str">
        <f>IF(H171="","",IFERROR(INDEX(art_des,MATCH(H171,art_ref,0))&amp;"","Article inconnu"))</f>
        <v/>
      </c>
      <c r="J171" s="60" t="str">
        <f>IF(H171="","",IFERROR(INDEX(art_unit,MATCH(H171,art_ref,0))&amp;"",""))</f>
        <v/>
      </c>
      <c r="K171" s="59" t="n"/>
      <c r="L171" s="59" t="n"/>
      <c r="M171" s="61" t="str">
        <f>IF(OR(B171="",NOT(ISNUMBER(K171)),NOT(ISNUMBER(L171))),"",IF(OR(K171&lt;=0,L171&lt;=0),"",ROUND(L171-K171,6)))</f>
        <v/>
      </c>
      <c r="N171" s="58" t="n"/>
      <c r="O171" s="62" t="n"/>
      <c r="P171" s="63" t="str">
        <f>IF(OR(B171="",NOT(ISNUMBER(L171))),"",IF(L171&lt;=0,"",IFERROR(ROUND(L171*N(INDEX(art_w,MATCH(H171,art_ref,0))),3),"")))</f>
        <v/>
      </c>
      <c r="Q171" s="59" t="n"/>
      <c r="R171" s="54" t="n"/>
      <c r="S171" s="59" t="n"/>
      <c r="T171" s="59" t="n"/>
      <c r="U171" s="64" t="str">
        <f>IF(OR(B171="",H171=""),"",IFERROR(IF(A171="BL",IF(N(INDEX(art_price,MATCH(H171,art_ref,0)))=0,"",N(INDEX(art_price,MATCH(H171,art_ref,0)))),IF(N(INDEX(art_cost,MATCH(H171,art_ref,0)))=0,"",N(INDEX(art_cost,MATCH(H171,art_ref,0))))),""))</f>
        <v/>
      </c>
      <c r="V171" s="64" t="str">
        <f>IF(OR(U171="",NOT(ISNUMBER(L171))),"",IF(L171&lt;=0,"",ROUND(L171*U171,2)))</f>
        <v/>
      </c>
      <c r="W171" s="60" t="str">
        <f>IF(AND(B171&lt;&gt;"",A171&lt;&gt;"BS",F171&lt;&gt;"",H171&lt;&gt;"",ISNUMBER(K171),ISNUMBER(L171)),IF(AND(K171&gt;0,L171&gt;0,K171-L171&gt;0,COUNTIFS(A172:A$2005,A171,F172:F$2005,F171,H172:H$2005,H171,AA172:AA$2005,"&gt;0")=0),ROUND(K171-L171,6),""),"")</f>
        <v/>
      </c>
      <c r="X171" s="60" t="str">
        <f>IF(AND(A171="",C171="",D171="",H171="",L171=""),"",IF(A171="","Type manquant",IF(AND(A171&lt;&gt;"BL",A171&lt;&gt;"BR",A171&lt;&gt;"BS"),"Type inconnu (BL, BR ou BS)",IF(AG171=0,"Date manquante ou invalide",IF(D171="",IF(A171="BL","Client manquant",IF(A171="BR","Fournisseur manquant","Service manquant")),IF(IF(A171="BL",ISNA(MATCH(D171,cl_code,0)),IF(A171="BR",ISNA(MATCH(D171,fo_code,0)),ISNA(MATCH(D171,p_services,0)))),IF(A171="BL","Client inconnu",IF(A171="BR","Fournisseur inconnu","Service inconnu")),IF(H171="","Article manquant",IF(ISNA(MATCH(H171,art_ref,0)),"Article inconnu",IF(OR(NOT(ISNUMBER(L171)),N(L171)&lt;=0),"Quantité invalide",IF(AND(K171&lt;&gt;"",OR(NOT(ISNUMBER(K171)),N(K171)&lt;=0)),"Qté commandée invalide",IF(AG171&lt;SUMPRODUCT(MAX((A$6:A170=A171)*AG$6:AG170)),"Date antérieure au bon précédent",IF(AND(A171&lt;&gt;"BR",ISNUMBER(M171),N(M171)&gt;0),IF(A171="BL","Livré plus que commandé","Sorti plus que demandé"),"OK"))))))))))))</f>
        <v/>
      </c>
      <c r="Y171" s="57" t="str">
        <f>IF(AND(OR(A171="BL",A171="BR",A171="BS"),AG171&gt;0,D171&lt;&gt;""),A171&amp;"|"&amp;AG171&amp;"|"&amp;D171&amp;"|"&amp;F171,"")</f>
        <v/>
      </c>
      <c r="Z171" s="57" t="str">
        <f>IF(Y171="","",IF(COUNTIF(Y$6:Y170,Y171)=0,1,0))</f>
        <v/>
      </c>
      <c r="AA171" s="57" t="str">
        <f>IF(Y171="","",IF(Z171=1,COUNTIFS(A$6:A171,A171,Z$6:Z171,1),INDEX(AA$6:AA170,MATCH(Y171,Y$6:Y170,0))))</f>
        <v/>
      </c>
      <c r="AB171" s="57" t="str">
        <f>IF(B171="","",COUNTIF(B$6:B171,B171))</f>
        <v/>
      </c>
      <c r="AC171" s="57" t="str">
        <f>IF(B171="","",B171&amp;"#"&amp;AB171)</f>
        <v/>
      </c>
      <c r="AD171" s="57" t="str">
        <f>IF(Z171=1,A171&amp;AA171,"")</f>
        <v/>
      </c>
      <c r="AE171" s="57" t="str">
        <f>IF(B171="","",YEAR(C171))</f>
        <v/>
      </c>
      <c r="AF171" s="57" t="str">
        <f>IF(B171="","",MONTH(C171))</f>
        <v/>
      </c>
      <c r="AG171" s="57">
        <f>IF(ISNUMBER(C171),C171,0)</f>
        <v>0.0</v>
      </c>
      <c r="AH171" s="57" t="str">
        <f>IF(N(W171)&gt;0,COUNTIF(W$6:W171,"&gt;0"),"")</f>
        <v/>
      </c>
      <c r="AI171" s="57" t="str">
        <f>IF(Z171=1,COUNTIF(Z$6:Z171,1),"")</f>
        <v/>
      </c>
    </row>
    <row r="172">
      <c r="A172" s="54" t="n"/>
      <c r="B172" s="55" t="str">
        <f>IF(AA172="","",A172&amp;"-"&amp;RIGHT("000"&amp;AA172,4))</f>
        <v/>
      </c>
      <c r="C172" s="56" t="n"/>
      <c r="D172" s="54" t="n"/>
      <c r="E172" s="57" t="str">
        <f>IF(D172="","",IF(A172="BL",IFERROR(INDEX(cl_name,MATCH(D172,cl_code,0))&amp;"","Client inconnu"),IF(A172="BR",IFERROR(INDEX(fo_name,MATCH(D172,fo_code,0))&amp;"","Fournisseur inconnu"),IF(A172="BS",IF(ISNA(MATCH(D172,p_services,0)),"Service inconnu",D172&amp;""),""))))</f>
        <v/>
      </c>
      <c r="F172" s="58" t="n"/>
      <c r="G172" s="58" t="n"/>
      <c r="H172" s="59" t="n"/>
      <c r="I172" s="57" t="str">
        <f>IF(H172="","",IFERROR(INDEX(art_des,MATCH(H172,art_ref,0))&amp;"","Article inconnu"))</f>
        <v/>
      </c>
      <c r="J172" s="60" t="str">
        <f>IF(H172="","",IFERROR(INDEX(art_unit,MATCH(H172,art_ref,0))&amp;"",""))</f>
        <v/>
      </c>
      <c r="K172" s="59" t="n"/>
      <c r="L172" s="59" t="n"/>
      <c r="M172" s="61" t="str">
        <f>IF(OR(B172="",NOT(ISNUMBER(K172)),NOT(ISNUMBER(L172))),"",IF(OR(K172&lt;=0,L172&lt;=0),"",ROUND(L172-K172,6)))</f>
        <v/>
      </c>
      <c r="N172" s="58" t="n"/>
      <c r="O172" s="62" t="n"/>
      <c r="P172" s="63" t="str">
        <f>IF(OR(B172="",NOT(ISNUMBER(L172))),"",IF(L172&lt;=0,"",IFERROR(ROUND(L172*N(INDEX(art_w,MATCH(H172,art_ref,0))),3),"")))</f>
        <v/>
      </c>
      <c r="Q172" s="59" t="n"/>
      <c r="R172" s="54" t="n"/>
      <c r="S172" s="59" t="n"/>
      <c r="T172" s="59" t="n"/>
      <c r="U172" s="64" t="str">
        <f>IF(OR(B172="",H172=""),"",IFERROR(IF(A172="BL",IF(N(INDEX(art_price,MATCH(H172,art_ref,0)))=0,"",N(INDEX(art_price,MATCH(H172,art_ref,0)))),IF(N(INDEX(art_cost,MATCH(H172,art_ref,0)))=0,"",N(INDEX(art_cost,MATCH(H172,art_ref,0))))),""))</f>
        <v/>
      </c>
      <c r="V172" s="64" t="str">
        <f>IF(OR(U172="",NOT(ISNUMBER(L172))),"",IF(L172&lt;=0,"",ROUND(L172*U172,2)))</f>
        <v/>
      </c>
      <c r="W172" s="60" t="str">
        <f>IF(AND(B172&lt;&gt;"",A172&lt;&gt;"BS",F172&lt;&gt;"",H172&lt;&gt;"",ISNUMBER(K172),ISNUMBER(L172)),IF(AND(K172&gt;0,L172&gt;0,K172-L172&gt;0,COUNTIFS(A173:A$2005,A172,F173:F$2005,F172,H173:H$2005,H172,AA173:AA$2005,"&gt;0")=0),ROUND(K172-L172,6),""),"")</f>
        <v/>
      </c>
      <c r="X172" s="60" t="str">
        <f>IF(AND(A172="",C172="",D172="",H172="",L172=""),"",IF(A172="","Type manquant",IF(AND(A172&lt;&gt;"BL",A172&lt;&gt;"BR",A172&lt;&gt;"BS"),"Type inconnu (BL, BR ou BS)",IF(AG172=0,"Date manquante ou invalide",IF(D172="",IF(A172="BL","Client manquant",IF(A172="BR","Fournisseur manquant","Service manquant")),IF(IF(A172="BL",ISNA(MATCH(D172,cl_code,0)),IF(A172="BR",ISNA(MATCH(D172,fo_code,0)),ISNA(MATCH(D172,p_services,0)))),IF(A172="BL","Client inconnu",IF(A172="BR","Fournisseur inconnu","Service inconnu")),IF(H172="","Article manquant",IF(ISNA(MATCH(H172,art_ref,0)),"Article inconnu",IF(OR(NOT(ISNUMBER(L172)),N(L172)&lt;=0),"Quantité invalide",IF(AND(K172&lt;&gt;"",OR(NOT(ISNUMBER(K172)),N(K172)&lt;=0)),"Qté commandée invalide",IF(AG172&lt;SUMPRODUCT(MAX((A$6:A171=A172)*AG$6:AG171)),"Date antérieure au bon précédent",IF(AND(A172&lt;&gt;"BR",ISNUMBER(M172),N(M172)&gt;0),IF(A172="BL","Livré plus que commandé","Sorti plus que demandé"),"OK"))))))))))))</f>
        <v/>
      </c>
      <c r="Y172" s="57" t="str">
        <f>IF(AND(OR(A172="BL",A172="BR",A172="BS"),AG172&gt;0,D172&lt;&gt;""),A172&amp;"|"&amp;AG172&amp;"|"&amp;D172&amp;"|"&amp;F172,"")</f>
        <v/>
      </c>
      <c r="Z172" s="57" t="str">
        <f>IF(Y172="","",IF(COUNTIF(Y$6:Y171,Y172)=0,1,0))</f>
        <v/>
      </c>
      <c r="AA172" s="57" t="str">
        <f>IF(Y172="","",IF(Z172=1,COUNTIFS(A$6:A172,A172,Z$6:Z172,1),INDEX(AA$6:AA171,MATCH(Y172,Y$6:Y171,0))))</f>
        <v/>
      </c>
      <c r="AB172" s="57" t="str">
        <f>IF(B172="","",COUNTIF(B$6:B172,B172))</f>
        <v/>
      </c>
      <c r="AC172" s="57" t="str">
        <f>IF(B172="","",B172&amp;"#"&amp;AB172)</f>
        <v/>
      </c>
      <c r="AD172" s="57" t="str">
        <f>IF(Z172=1,A172&amp;AA172,"")</f>
        <v/>
      </c>
      <c r="AE172" s="57" t="str">
        <f>IF(B172="","",YEAR(C172))</f>
        <v/>
      </c>
      <c r="AF172" s="57" t="str">
        <f>IF(B172="","",MONTH(C172))</f>
        <v/>
      </c>
      <c r="AG172" s="57">
        <f>IF(ISNUMBER(C172),C172,0)</f>
        <v>0.0</v>
      </c>
      <c r="AH172" s="57" t="str">
        <f>IF(N(W172)&gt;0,COUNTIF(W$6:W172,"&gt;0"),"")</f>
        <v/>
      </c>
      <c r="AI172" s="57" t="str">
        <f>IF(Z172=1,COUNTIF(Z$6:Z172,1),"")</f>
        <v/>
      </c>
    </row>
    <row r="173">
      <c r="A173" s="54" t="n"/>
      <c r="B173" s="55" t="str">
        <f>IF(AA173="","",A173&amp;"-"&amp;RIGHT("000"&amp;AA173,4))</f>
        <v/>
      </c>
      <c r="C173" s="56" t="n"/>
      <c r="D173" s="54" t="n"/>
      <c r="E173" s="57" t="str">
        <f>IF(D173="","",IF(A173="BL",IFERROR(INDEX(cl_name,MATCH(D173,cl_code,0))&amp;"","Client inconnu"),IF(A173="BR",IFERROR(INDEX(fo_name,MATCH(D173,fo_code,0))&amp;"","Fournisseur inconnu"),IF(A173="BS",IF(ISNA(MATCH(D173,p_services,0)),"Service inconnu",D173&amp;""),""))))</f>
        <v/>
      </c>
      <c r="F173" s="58" t="n"/>
      <c r="G173" s="58" t="n"/>
      <c r="H173" s="59" t="n"/>
      <c r="I173" s="57" t="str">
        <f>IF(H173="","",IFERROR(INDEX(art_des,MATCH(H173,art_ref,0))&amp;"","Article inconnu"))</f>
        <v/>
      </c>
      <c r="J173" s="60" t="str">
        <f>IF(H173="","",IFERROR(INDEX(art_unit,MATCH(H173,art_ref,0))&amp;"",""))</f>
        <v/>
      </c>
      <c r="K173" s="59" t="n"/>
      <c r="L173" s="59" t="n"/>
      <c r="M173" s="61" t="str">
        <f>IF(OR(B173="",NOT(ISNUMBER(K173)),NOT(ISNUMBER(L173))),"",IF(OR(K173&lt;=0,L173&lt;=0),"",ROUND(L173-K173,6)))</f>
        <v/>
      </c>
      <c r="N173" s="58" t="n"/>
      <c r="O173" s="62" t="n"/>
      <c r="P173" s="63" t="str">
        <f>IF(OR(B173="",NOT(ISNUMBER(L173))),"",IF(L173&lt;=0,"",IFERROR(ROUND(L173*N(INDEX(art_w,MATCH(H173,art_ref,0))),3),"")))</f>
        <v/>
      </c>
      <c r="Q173" s="59" t="n"/>
      <c r="R173" s="54" t="n"/>
      <c r="S173" s="59" t="n"/>
      <c r="T173" s="59" t="n"/>
      <c r="U173" s="64" t="str">
        <f>IF(OR(B173="",H173=""),"",IFERROR(IF(A173="BL",IF(N(INDEX(art_price,MATCH(H173,art_ref,0)))=0,"",N(INDEX(art_price,MATCH(H173,art_ref,0)))),IF(N(INDEX(art_cost,MATCH(H173,art_ref,0)))=0,"",N(INDEX(art_cost,MATCH(H173,art_ref,0))))),""))</f>
        <v/>
      </c>
      <c r="V173" s="64" t="str">
        <f>IF(OR(U173="",NOT(ISNUMBER(L173))),"",IF(L173&lt;=0,"",ROUND(L173*U173,2)))</f>
        <v/>
      </c>
      <c r="W173" s="60" t="str">
        <f>IF(AND(B173&lt;&gt;"",A173&lt;&gt;"BS",F173&lt;&gt;"",H173&lt;&gt;"",ISNUMBER(K173),ISNUMBER(L173)),IF(AND(K173&gt;0,L173&gt;0,K173-L173&gt;0,COUNTIFS(A174:A$2005,A173,F174:F$2005,F173,H174:H$2005,H173,AA174:AA$2005,"&gt;0")=0),ROUND(K173-L173,6),""),"")</f>
        <v/>
      </c>
      <c r="X173" s="60" t="str">
        <f>IF(AND(A173="",C173="",D173="",H173="",L173=""),"",IF(A173="","Type manquant",IF(AND(A173&lt;&gt;"BL",A173&lt;&gt;"BR",A173&lt;&gt;"BS"),"Type inconnu (BL, BR ou BS)",IF(AG173=0,"Date manquante ou invalide",IF(D173="",IF(A173="BL","Client manquant",IF(A173="BR","Fournisseur manquant","Service manquant")),IF(IF(A173="BL",ISNA(MATCH(D173,cl_code,0)),IF(A173="BR",ISNA(MATCH(D173,fo_code,0)),ISNA(MATCH(D173,p_services,0)))),IF(A173="BL","Client inconnu",IF(A173="BR","Fournisseur inconnu","Service inconnu")),IF(H173="","Article manquant",IF(ISNA(MATCH(H173,art_ref,0)),"Article inconnu",IF(OR(NOT(ISNUMBER(L173)),N(L173)&lt;=0),"Quantité invalide",IF(AND(K173&lt;&gt;"",OR(NOT(ISNUMBER(K173)),N(K173)&lt;=0)),"Qté commandée invalide",IF(AG173&lt;SUMPRODUCT(MAX((A$6:A172=A173)*AG$6:AG172)),"Date antérieure au bon précédent",IF(AND(A173&lt;&gt;"BR",ISNUMBER(M173),N(M173)&gt;0),IF(A173="BL","Livré plus que commandé","Sorti plus que demandé"),"OK"))))))))))))</f>
        <v/>
      </c>
      <c r="Y173" s="57" t="str">
        <f>IF(AND(OR(A173="BL",A173="BR",A173="BS"),AG173&gt;0,D173&lt;&gt;""),A173&amp;"|"&amp;AG173&amp;"|"&amp;D173&amp;"|"&amp;F173,"")</f>
        <v/>
      </c>
      <c r="Z173" s="57" t="str">
        <f>IF(Y173="","",IF(COUNTIF(Y$6:Y172,Y173)=0,1,0))</f>
        <v/>
      </c>
      <c r="AA173" s="57" t="str">
        <f>IF(Y173="","",IF(Z173=1,COUNTIFS(A$6:A173,A173,Z$6:Z173,1),INDEX(AA$6:AA172,MATCH(Y173,Y$6:Y172,0))))</f>
        <v/>
      </c>
      <c r="AB173" s="57" t="str">
        <f>IF(B173="","",COUNTIF(B$6:B173,B173))</f>
        <v/>
      </c>
      <c r="AC173" s="57" t="str">
        <f>IF(B173="","",B173&amp;"#"&amp;AB173)</f>
        <v/>
      </c>
      <c r="AD173" s="57" t="str">
        <f>IF(Z173=1,A173&amp;AA173,"")</f>
        <v/>
      </c>
      <c r="AE173" s="57" t="str">
        <f>IF(B173="","",YEAR(C173))</f>
        <v/>
      </c>
      <c r="AF173" s="57" t="str">
        <f>IF(B173="","",MONTH(C173))</f>
        <v/>
      </c>
      <c r="AG173" s="57">
        <f>IF(ISNUMBER(C173),C173,0)</f>
        <v>0.0</v>
      </c>
      <c r="AH173" s="57" t="str">
        <f>IF(N(W173)&gt;0,COUNTIF(W$6:W173,"&gt;0"),"")</f>
        <v/>
      </c>
      <c r="AI173" s="57" t="str">
        <f>IF(Z173=1,COUNTIF(Z$6:Z173,1),"")</f>
        <v/>
      </c>
    </row>
    <row r="174">
      <c r="A174" s="54" t="n"/>
      <c r="B174" s="55" t="str">
        <f>IF(AA174="","",A174&amp;"-"&amp;RIGHT("000"&amp;AA174,4))</f>
        <v/>
      </c>
      <c r="C174" s="56" t="n"/>
      <c r="D174" s="54" t="n"/>
      <c r="E174" s="57" t="str">
        <f>IF(D174="","",IF(A174="BL",IFERROR(INDEX(cl_name,MATCH(D174,cl_code,0))&amp;"","Client inconnu"),IF(A174="BR",IFERROR(INDEX(fo_name,MATCH(D174,fo_code,0))&amp;"","Fournisseur inconnu"),IF(A174="BS",IF(ISNA(MATCH(D174,p_services,0)),"Service inconnu",D174&amp;""),""))))</f>
        <v/>
      </c>
      <c r="F174" s="58" t="n"/>
      <c r="G174" s="58" t="n"/>
      <c r="H174" s="59" t="n"/>
      <c r="I174" s="57" t="str">
        <f>IF(H174="","",IFERROR(INDEX(art_des,MATCH(H174,art_ref,0))&amp;"","Article inconnu"))</f>
        <v/>
      </c>
      <c r="J174" s="60" t="str">
        <f>IF(H174="","",IFERROR(INDEX(art_unit,MATCH(H174,art_ref,0))&amp;"",""))</f>
        <v/>
      </c>
      <c r="K174" s="59" t="n"/>
      <c r="L174" s="59" t="n"/>
      <c r="M174" s="61" t="str">
        <f>IF(OR(B174="",NOT(ISNUMBER(K174)),NOT(ISNUMBER(L174))),"",IF(OR(K174&lt;=0,L174&lt;=0),"",ROUND(L174-K174,6)))</f>
        <v/>
      </c>
      <c r="N174" s="58" t="n"/>
      <c r="O174" s="62" t="n"/>
      <c r="P174" s="63" t="str">
        <f>IF(OR(B174="",NOT(ISNUMBER(L174))),"",IF(L174&lt;=0,"",IFERROR(ROUND(L174*N(INDEX(art_w,MATCH(H174,art_ref,0))),3),"")))</f>
        <v/>
      </c>
      <c r="Q174" s="59" t="n"/>
      <c r="R174" s="54" t="n"/>
      <c r="S174" s="59" t="n"/>
      <c r="T174" s="59" t="n"/>
      <c r="U174" s="64" t="str">
        <f>IF(OR(B174="",H174=""),"",IFERROR(IF(A174="BL",IF(N(INDEX(art_price,MATCH(H174,art_ref,0)))=0,"",N(INDEX(art_price,MATCH(H174,art_ref,0)))),IF(N(INDEX(art_cost,MATCH(H174,art_ref,0)))=0,"",N(INDEX(art_cost,MATCH(H174,art_ref,0))))),""))</f>
        <v/>
      </c>
      <c r="V174" s="64" t="str">
        <f>IF(OR(U174="",NOT(ISNUMBER(L174))),"",IF(L174&lt;=0,"",ROUND(L174*U174,2)))</f>
        <v/>
      </c>
      <c r="W174" s="60" t="str">
        <f>IF(AND(B174&lt;&gt;"",A174&lt;&gt;"BS",F174&lt;&gt;"",H174&lt;&gt;"",ISNUMBER(K174),ISNUMBER(L174)),IF(AND(K174&gt;0,L174&gt;0,K174-L174&gt;0,COUNTIFS(A175:A$2005,A174,F175:F$2005,F174,H175:H$2005,H174,AA175:AA$2005,"&gt;0")=0),ROUND(K174-L174,6),""),"")</f>
        <v/>
      </c>
      <c r="X174" s="60" t="str">
        <f>IF(AND(A174="",C174="",D174="",H174="",L174=""),"",IF(A174="","Type manquant",IF(AND(A174&lt;&gt;"BL",A174&lt;&gt;"BR",A174&lt;&gt;"BS"),"Type inconnu (BL, BR ou BS)",IF(AG174=0,"Date manquante ou invalide",IF(D174="",IF(A174="BL","Client manquant",IF(A174="BR","Fournisseur manquant","Service manquant")),IF(IF(A174="BL",ISNA(MATCH(D174,cl_code,0)),IF(A174="BR",ISNA(MATCH(D174,fo_code,0)),ISNA(MATCH(D174,p_services,0)))),IF(A174="BL","Client inconnu",IF(A174="BR","Fournisseur inconnu","Service inconnu")),IF(H174="","Article manquant",IF(ISNA(MATCH(H174,art_ref,0)),"Article inconnu",IF(OR(NOT(ISNUMBER(L174)),N(L174)&lt;=0),"Quantité invalide",IF(AND(K174&lt;&gt;"",OR(NOT(ISNUMBER(K174)),N(K174)&lt;=0)),"Qté commandée invalide",IF(AG174&lt;SUMPRODUCT(MAX((A$6:A173=A174)*AG$6:AG173)),"Date antérieure au bon précédent",IF(AND(A174&lt;&gt;"BR",ISNUMBER(M174),N(M174)&gt;0),IF(A174="BL","Livré plus que commandé","Sorti plus que demandé"),"OK"))))))))))))</f>
        <v/>
      </c>
      <c r="Y174" s="57" t="str">
        <f>IF(AND(OR(A174="BL",A174="BR",A174="BS"),AG174&gt;0,D174&lt;&gt;""),A174&amp;"|"&amp;AG174&amp;"|"&amp;D174&amp;"|"&amp;F174,"")</f>
        <v/>
      </c>
      <c r="Z174" s="57" t="str">
        <f>IF(Y174="","",IF(COUNTIF(Y$6:Y173,Y174)=0,1,0))</f>
        <v/>
      </c>
      <c r="AA174" s="57" t="str">
        <f>IF(Y174="","",IF(Z174=1,COUNTIFS(A$6:A174,A174,Z$6:Z174,1),INDEX(AA$6:AA173,MATCH(Y174,Y$6:Y173,0))))</f>
        <v/>
      </c>
      <c r="AB174" s="57" t="str">
        <f>IF(B174="","",COUNTIF(B$6:B174,B174))</f>
        <v/>
      </c>
      <c r="AC174" s="57" t="str">
        <f>IF(B174="","",B174&amp;"#"&amp;AB174)</f>
        <v/>
      </c>
      <c r="AD174" s="57" t="str">
        <f>IF(Z174=1,A174&amp;AA174,"")</f>
        <v/>
      </c>
      <c r="AE174" s="57" t="str">
        <f>IF(B174="","",YEAR(C174))</f>
        <v/>
      </c>
      <c r="AF174" s="57" t="str">
        <f>IF(B174="","",MONTH(C174))</f>
        <v/>
      </c>
      <c r="AG174" s="57">
        <f>IF(ISNUMBER(C174),C174,0)</f>
        <v>0.0</v>
      </c>
      <c r="AH174" s="57" t="str">
        <f>IF(N(W174)&gt;0,COUNTIF(W$6:W174,"&gt;0"),"")</f>
        <v/>
      </c>
      <c r="AI174" s="57" t="str">
        <f>IF(Z174=1,COUNTIF(Z$6:Z174,1),"")</f>
        <v/>
      </c>
    </row>
    <row r="175">
      <c r="A175" s="54" t="n"/>
      <c r="B175" s="55" t="str">
        <f>IF(AA175="","",A175&amp;"-"&amp;RIGHT("000"&amp;AA175,4))</f>
        <v/>
      </c>
      <c r="C175" s="56" t="n"/>
      <c r="D175" s="54" t="n"/>
      <c r="E175" s="57" t="str">
        <f>IF(D175="","",IF(A175="BL",IFERROR(INDEX(cl_name,MATCH(D175,cl_code,0))&amp;"","Client inconnu"),IF(A175="BR",IFERROR(INDEX(fo_name,MATCH(D175,fo_code,0))&amp;"","Fournisseur inconnu"),IF(A175="BS",IF(ISNA(MATCH(D175,p_services,0)),"Service inconnu",D175&amp;""),""))))</f>
        <v/>
      </c>
      <c r="F175" s="58" t="n"/>
      <c r="G175" s="58" t="n"/>
      <c r="H175" s="59" t="n"/>
      <c r="I175" s="57" t="str">
        <f>IF(H175="","",IFERROR(INDEX(art_des,MATCH(H175,art_ref,0))&amp;"","Article inconnu"))</f>
        <v/>
      </c>
      <c r="J175" s="60" t="str">
        <f>IF(H175="","",IFERROR(INDEX(art_unit,MATCH(H175,art_ref,0))&amp;"",""))</f>
        <v/>
      </c>
      <c r="K175" s="59" t="n"/>
      <c r="L175" s="59" t="n"/>
      <c r="M175" s="61" t="str">
        <f>IF(OR(B175="",NOT(ISNUMBER(K175)),NOT(ISNUMBER(L175))),"",IF(OR(K175&lt;=0,L175&lt;=0),"",ROUND(L175-K175,6)))</f>
        <v/>
      </c>
      <c r="N175" s="58" t="n"/>
      <c r="O175" s="62" t="n"/>
      <c r="P175" s="63" t="str">
        <f>IF(OR(B175="",NOT(ISNUMBER(L175))),"",IF(L175&lt;=0,"",IFERROR(ROUND(L175*N(INDEX(art_w,MATCH(H175,art_ref,0))),3),"")))</f>
        <v/>
      </c>
      <c r="Q175" s="59" t="n"/>
      <c r="R175" s="54" t="n"/>
      <c r="S175" s="59" t="n"/>
      <c r="T175" s="59" t="n"/>
      <c r="U175" s="64" t="str">
        <f>IF(OR(B175="",H175=""),"",IFERROR(IF(A175="BL",IF(N(INDEX(art_price,MATCH(H175,art_ref,0)))=0,"",N(INDEX(art_price,MATCH(H175,art_ref,0)))),IF(N(INDEX(art_cost,MATCH(H175,art_ref,0)))=0,"",N(INDEX(art_cost,MATCH(H175,art_ref,0))))),""))</f>
        <v/>
      </c>
      <c r="V175" s="64" t="str">
        <f>IF(OR(U175="",NOT(ISNUMBER(L175))),"",IF(L175&lt;=0,"",ROUND(L175*U175,2)))</f>
        <v/>
      </c>
      <c r="W175" s="60" t="str">
        <f>IF(AND(B175&lt;&gt;"",A175&lt;&gt;"BS",F175&lt;&gt;"",H175&lt;&gt;"",ISNUMBER(K175),ISNUMBER(L175)),IF(AND(K175&gt;0,L175&gt;0,K175-L175&gt;0,COUNTIFS(A176:A$2005,A175,F176:F$2005,F175,H176:H$2005,H175,AA176:AA$2005,"&gt;0")=0),ROUND(K175-L175,6),""),"")</f>
        <v/>
      </c>
      <c r="X175" s="60" t="str">
        <f>IF(AND(A175="",C175="",D175="",H175="",L175=""),"",IF(A175="","Type manquant",IF(AND(A175&lt;&gt;"BL",A175&lt;&gt;"BR",A175&lt;&gt;"BS"),"Type inconnu (BL, BR ou BS)",IF(AG175=0,"Date manquante ou invalide",IF(D175="",IF(A175="BL","Client manquant",IF(A175="BR","Fournisseur manquant","Service manquant")),IF(IF(A175="BL",ISNA(MATCH(D175,cl_code,0)),IF(A175="BR",ISNA(MATCH(D175,fo_code,0)),ISNA(MATCH(D175,p_services,0)))),IF(A175="BL","Client inconnu",IF(A175="BR","Fournisseur inconnu","Service inconnu")),IF(H175="","Article manquant",IF(ISNA(MATCH(H175,art_ref,0)),"Article inconnu",IF(OR(NOT(ISNUMBER(L175)),N(L175)&lt;=0),"Quantité invalide",IF(AND(K175&lt;&gt;"",OR(NOT(ISNUMBER(K175)),N(K175)&lt;=0)),"Qté commandée invalide",IF(AG175&lt;SUMPRODUCT(MAX((A$6:A174=A175)*AG$6:AG174)),"Date antérieure au bon précédent",IF(AND(A175&lt;&gt;"BR",ISNUMBER(M175),N(M175)&gt;0),IF(A175="BL","Livré plus que commandé","Sorti plus que demandé"),"OK"))))))))))))</f>
        <v/>
      </c>
      <c r="Y175" s="57" t="str">
        <f>IF(AND(OR(A175="BL",A175="BR",A175="BS"),AG175&gt;0,D175&lt;&gt;""),A175&amp;"|"&amp;AG175&amp;"|"&amp;D175&amp;"|"&amp;F175,"")</f>
        <v/>
      </c>
      <c r="Z175" s="57" t="str">
        <f>IF(Y175="","",IF(COUNTIF(Y$6:Y174,Y175)=0,1,0))</f>
        <v/>
      </c>
      <c r="AA175" s="57" t="str">
        <f>IF(Y175="","",IF(Z175=1,COUNTIFS(A$6:A175,A175,Z$6:Z175,1),INDEX(AA$6:AA174,MATCH(Y175,Y$6:Y174,0))))</f>
        <v/>
      </c>
      <c r="AB175" s="57" t="str">
        <f>IF(B175="","",COUNTIF(B$6:B175,B175))</f>
        <v/>
      </c>
      <c r="AC175" s="57" t="str">
        <f>IF(B175="","",B175&amp;"#"&amp;AB175)</f>
        <v/>
      </c>
      <c r="AD175" s="57" t="str">
        <f>IF(Z175=1,A175&amp;AA175,"")</f>
        <v/>
      </c>
      <c r="AE175" s="57" t="str">
        <f>IF(B175="","",YEAR(C175))</f>
        <v/>
      </c>
      <c r="AF175" s="57" t="str">
        <f>IF(B175="","",MONTH(C175))</f>
        <v/>
      </c>
      <c r="AG175" s="57">
        <f>IF(ISNUMBER(C175),C175,0)</f>
        <v>0.0</v>
      </c>
      <c r="AH175" s="57" t="str">
        <f>IF(N(W175)&gt;0,COUNTIF(W$6:W175,"&gt;0"),"")</f>
        <v/>
      </c>
      <c r="AI175" s="57" t="str">
        <f>IF(Z175=1,COUNTIF(Z$6:Z175,1),"")</f>
        <v/>
      </c>
    </row>
    <row r="176">
      <c r="A176" s="54" t="n"/>
      <c r="B176" s="55" t="str">
        <f>IF(AA176="","",A176&amp;"-"&amp;RIGHT("000"&amp;AA176,4))</f>
        <v/>
      </c>
      <c r="C176" s="56" t="n"/>
      <c r="D176" s="54" t="n"/>
      <c r="E176" s="57" t="str">
        <f>IF(D176="","",IF(A176="BL",IFERROR(INDEX(cl_name,MATCH(D176,cl_code,0))&amp;"","Client inconnu"),IF(A176="BR",IFERROR(INDEX(fo_name,MATCH(D176,fo_code,0))&amp;"","Fournisseur inconnu"),IF(A176="BS",IF(ISNA(MATCH(D176,p_services,0)),"Service inconnu",D176&amp;""),""))))</f>
        <v/>
      </c>
      <c r="F176" s="58" t="n"/>
      <c r="G176" s="58" t="n"/>
      <c r="H176" s="59" t="n"/>
      <c r="I176" s="57" t="str">
        <f>IF(H176="","",IFERROR(INDEX(art_des,MATCH(H176,art_ref,0))&amp;"","Article inconnu"))</f>
        <v/>
      </c>
      <c r="J176" s="60" t="str">
        <f>IF(H176="","",IFERROR(INDEX(art_unit,MATCH(H176,art_ref,0))&amp;"",""))</f>
        <v/>
      </c>
      <c r="K176" s="59" t="n"/>
      <c r="L176" s="59" t="n"/>
      <c r="M176" s="61" t="str">
        <f>IF(OR(B176="",NOT(ISNUMBER(K176)),NOT(ISNUMBER(L176))),"",IF(OR(K176&lt;=0,L176&lt;=0),"",ROUND(L176-K176,6)))</f>
        <v/>
      </c>
      <c r="N176" s="58" t="n"/>
      <c r="O176" s="62" t="n"/>
      <c r="P176" s="63" t="str">
        <f>IF(OR(B176="",NOT(ISNUMBER(L176))),"",IF(L176&lt;=0,"",IFERROR(ROUND(L176*N(INDEX(art_w,MATCH(H176,art_ref,0))),3),"")))</f>
        <v/>
      </c>
      <c r="Q176" s="59" t="n"/>
      <c r="R176" s="54" t="n"/>
      <c r="S176" s="59" t="n"/>
      <c r="T176" s="59" t="n"/>
      <c r="U176" s="64" t="str">
        <f>IF(OR(B176="",H176=""),"",IFERROR(IF(A176="BL",IF(N(INDEX(art_price,MATCH(H176,art_ref,0)))=0,"",N(INDEX(art_price,MATCH(H176,art_ref,0)))),IF(N(INDEX(art_cost,MATCH(H176,art_ref,0)))=0,"",N(INDEX(art_cost,MATCH(H176,art_ref,0))))),""))</f>
        <v/>
      </c>
      <c r="V176" s="64" t="str">
        <f>IF(OR(U176="",NOT(ISNUMBER(L176))),"",IF(L176&lt;=0,"",ROUND(L176*U176,2)))</f>
        <v/>
      </c>
      <c r="W176" s="60" t="str">
        <f>IF(AND(B176&lt;&gt;"",A176&lt;&gt;"BS",F176&lt;&gt;"",H176&lt;&gt;"",ISNUMBER(K176),ISNUMBER(L176)),IF(AND(K176&gt;0,L176&gt;0,K176-L176&gt;0,COUNTIFS(A177:A$2005,A176,F177:F$2005,F176,H177:H$2005,H176,AA177:AA$2005,"&gt;0")=0),ROUND(K176-L176,6),""),"")</f>
        <v/>
      </c>
      <c r="X176" s="60" t="str">
        <f>IF(AND(A176="",C176="",D176="",H176="",L176=""),"",IF(A176="","Type manquant",IF(AND(A176&lt;&gt;"BL",A176&lt;&gt;"BR",A176&lt;&gt;"BS"),"Type inconnu (BL, BR ou BS)",IF(AG176=0,"Date manquante ou invalide",IF(D176="",IF(A176="BL","Client manquant",IF(A176="BR","Fournisseur manquant","Service manquant")),IF(IF(A176="BL",ISNA(MATCH(D176,cl_code,0)),IF(A176="BR",ISNA(MATCH(D176,fo_code,0)),ISNA(MATCH(D176,p_services,0)))),IF(A176="BL","Client inconnu",IF(A176="BR","Fournisseur inconnu","Service inconnu")),IF(H176="","Article manquant",IF(ISNA(MATCH(H176,art_ref,0)),"Article inconnu",IF(OR(NOT(ISNUMBER(L176)),N(L176)&lt;=0),"Quantité invalide",IF(AND(K176&lt;&gt;"",OR(NOT(ISNUMBER(K176)),N(K176)&lt;=0)),"Qté commandée invalide",IF(AG176&lt;SUMPRODUCT(MAX((A$6:A175=A176)*AG$6:AG175)),"Date antérieure au bon précédent",IF(AND(A176&lt;&gt;"BR",ISNUMBER(M176),N(M176)&gt;0),IF(A176="BL","Livré plus que commandé","Sorti plus que demandé"),"OK"))))))))))))</f>
        <v/>
      </c>
      <c r="Y176" s="57" t="str">
        <f>IF(AND(OR(A176="BL",A176="BR",A176="BS"),AG176&gt;0,D176&lt;&gt;""),A176&amp;"|"&amp;AG176&amp;"|"&amp;D176&amp;"|"&amp;F176,"")</f>
        <v/>
      </c>
      <c r="Z176" s="57" t="str">
        <f>IF(Y176="","",IF(COUNTIF(Y$6:Y175,Y176)=0,1,0))</f>
        <v/>
      </c>
      <c r="AA176" s="57" t="str">
        <f>IF(Y176="","",IF(Z176=1,COUNTIFS(A$6:A176,A176,Z$6:Z176,1),INDEX(AA$6:AA175,MATCH(Y176,Y$6:Y175,0))))</f>
        <v/>
      </c>
      <c r="AB176" s="57" t="str">
        <f>IF(B176="","",COUNTIF(B$6:B176,B176))</f>
        <v/>
      </c>
      <c r="AC176" s="57" t="str">
        <f>IF(B176="","",B176&amp;"#"&amp;AB176)</f>
        <v/>
      </c>
      <c r="AD176" s="57" t="str">
        <f>IF(Z176=1,A176&amp;AA176,"")</f>
        <v/>
      </c>
      <c r="AE176" s="57" t="str">
        <f>IF(B176="","",YEAR(C176))</f>
        <v/>
      </c>
      <c r="AF176" s="57" t="str">
        <f>IF(B176="","",MONTH(C176))</f>
        <v/>
      </c>
      <c r="AG176" s="57">
        <f>IF(ISNUMBER(C176),C176,0)</f>
        <v>0.0</v>
      </c>
      <c r="AH176" s="57" t="str">
        <f>IF(N(W176)&gt;0,COUNTIF(W$6:W176,"&gt;0"),"")</f>
        <v/>
      </c>
      <c r="AI176" s="57" t="str">
        <f>IF(Z176=1,COUNTIF(Z$6:Z176,1),"")</f>
        <v/>
      </c>
    </row>
    <row r="177">
      <c r="A177" s="54" t="n"/>
      <c r="B177" s="55" t="str">
        <f>IF(AA177="","",A177&amp;"-"&amp;RIGHT("000"&amp;AA177,4))</f>
        <v/>
      </c>
      <c r="C177" s="56" t="n"/>
      <c r="D177" s="54" t="n"/>
      <c r="E177" s="57" t="str">
        <f>IF(D177="","",IF(A177="BL",IFERROR(INDEX(cl_name,MATCH(D177,cl_code,0))&amp;"","Client inconnu"),IF(A177="BR",IFERROR(INDEX(fo_name,MATCH(D177,fo_code,0))&amp;"","Fournisseur inconnu"),IF(A177="BS",IF(ISNA(MATCH(D177,p_services,0)),"Service inconnu",D177&amp;""),""))))</f>
        <v/>
      </c>
      <c r="F177" s="58" t="n"/>
      <c r="G177" s="58" t="n"/>
      <c r="H177" s="59" t="n"/>
      <c r="I177" s="57" t="str">
        <f>IF(H177="","",IFERROR(INDEX(art_des,MATCH(H177,art_ref,0))&amp;"","Article inconnu"))</f>
        <v/>
      </c>
      <c r="J177" s="60" t="str">
        <f>IF(H177="","",IFERROR(INDEX(art_unit,MATCH(H177,art_ref,0))&amp;"",""))</f>
        <v/>
      </c>
      <c r="K177" s="59" t="n"/>
      <c r="L177" s="59" t="n"/>
      <c r="M177" s="61" t="str">
        <f>IF(OR(B177="",NOT(ISNUMBER(K177)),NOT(ISNUMBER(L177))),"",IF(OR(K177&lt;=0,L177&lt;=0),"",ROUND(L177-K177,6)))</f>
        <v/>
      </c>
      <c r="N177" s="58" t="n"/>
      <c r="O177" s="62" t="n"/>
      <c r="P177" s="63" t="str">
        <f>IF(OR(B177="",NOT(ISNUMBER(L177))),"",IF(L177&lt;=0,"",IFERROR(ROUND(L177*N(INDEX(art_w,MATCH(H177,art_ref,0))),3),"")))</f>
        <v/>
      </c>
      <c r="Q177" s="59" t="n"/>
      <c r="R177" s="54" t="n"/>
      <c r="S177" s="59" t="n"/>
      <c r="T177" s="59" t="n"/>
      <c r="U177" s="64" t="str">
        <f>IF(OR(B177="",H177=""),"",IFERROR(IF(A177="BL",IF(N(INDEX(art_price,MATCH(H177,art_ref,0)))=0,"",N(INDEX(art_price,MATCH(H177,art_ref,0)))),IF(N(INDEX(art_cost,MATCH(H177,art_ref,0)))=0,"",N(INDEX(art_cost,MATCH(H177,art_ref,0))))),""))</f>
        <v/>
      </c>
      <c r="V177" s="64" t="str">
        <f>IF(OR(U177="",NOT(ISNUMBER(L177))),"",IF(L177&lt;=0,"",ROUND(L177*U177,2)))</f>
        <v/>
      </c>
      <c r="W177" s="60" t="str">
        <f>IF(AND(B177&lt;&gt;"",A177&lt;&gt;"BS",F177&lt;&gt;"",H177&lt;&gt;"",ISNUMBER(K177),ISNUMBER(L177)),IF(AND(K177&gt;0,L177&gt;0,K177-L177&gt;0,COUNTIFS(A178:A$2005,A177,F178:F$2005,F177,H178:H$2005,H177,AA178:AA$2005,"&gt;0")=0),ROUND(K177-L177,6),""),"")</f>
        <v/>
      </c>
      <c r="X177" s="60" t="str">
        <f>IF(AND(A177="",C177="",D177="",H177="",L177=""),"",IF(A177="","Type manquant",IF(AND(A177&lt;&gt;"BL",A177&lt;&gt;"BR",A177&lt;&gt;"BS"),"Type inconnu (BL, BR ou BS)",IF(AG177=0,"Date manquante ou invalide",IF(D177="",IF(A177="BL","Client manquant",IF(A177="BR","Fournisseur manquant","Service manquant")),IF(IF(A177="BL",ISNA(MATCH(D177,cl_code,0)),IF(A177="BR",ISNA(MATCH(D177,fo_code,0)),ISNA(MATCH(D177,p_services,0)))),IF(A177="BL","Client inconnu",IF(A177="BR","Fournisseur inconnu","Service inconnu")),IF(H177="","Article manquant",IF(ISNA(MATCH(H177,art_ref,0)),"Article inconnu",IF(OR(NOT(ISNUMBER(L177)),N(L177)&lt;=0),"Quantité invalide",IF(AND(K177&lt;&gt;"",OR(NOT(ISNUMBER(K177)),N(K177)&lt;=0)),"Qté commandée invalide",IF(AG177&lt;SUMPRODUCT(MAX((A$6:A176=A177)*AG$6:AG176)),"Date antérieure au bon précédent",IF(AND(A177&lt;&gt;"BR",ISNUMBER(M177),N(M177)&gt;0),IF(A177="BL","Livré plus que commandé","Sorti plus que demandé"),"OK"))))))))))))</f>
        <v/>
      </c>
      <c r="Y177" s="57" t="str">
        <f>IF(AND(OR(A177="BL",A177="BR",A177="BS"),AG177&gt;0,D177&lt;&gt;""),A177&amp;"|"&amp;AG177&amp;"|"&amp;D177&amp;"|"&amp;F177,"")</f>
        <v/>
      </c>
      <c r="Z177" s="57" t="str">
        <f>IF(Y177="","",IF(COUNTIF(Y$6:Y176,Y177)=0,1,0))</f>
        <v/>
      </c>
      <c r="AA177" s="57" t="str">
        <f>IF(Y177="","",IF(Z177=1,COUNTIFS(A$6:A177,A177,Z$6:Z177,1),INDEX(AA$6:AA176,MATCH(Y177,Y$6:Y176,0))))</f>
        <v/>
      </c>
      <c r="AB177" s="57" t="str">
        <f>IF(B177="","",COUNTIF(B$6:B177,B177))</f>
        <v/>
      </c>
      <c r="AC177" s="57" t="str">
        <f>IF(B177="","",B177&amp;"#"&amp;AB177)</f>
        <v/>
      </c>
      <c r="AD177" s="57" t="str">
        <f>IF(Z177=1,A177&amp;AA177,"")</f>
        <v/>
      </c>
      <c r="AE177" s="57" t="str">
        <f>IF(B177="","",YEAR(C177))</f>
        <v/>
      </c>
      <c r="AF177" s="57" t="str">
        <f>IF(B177="","",MONTH(C177))</f>
        <v/>
      </c>
      <c r="AG177" s="57">
        <f>IF(ISNUMBER(C177),C177,0)</f>
        <v>0.0</v>
      </c>
      <c r="AH177" s="57" t="str">
        <f>IF(N(W177)&gt;0,COUNTIF(W$6:W177,"&gt;0"),"")</f>
        <v/>
      </c>
      <c r="AI177" s="57" t="str">
        <f>IF(Z177=1,COUNTIF(Z$6:Z177,1),"")</f>
        <v/>
      </c>
    </row>
    <row r="178">
      <c r="A178" s="54" t="n"/>
      <c r="B178" s="55" t="str">
        <f>IF(AA178="","",A178&amp;"-"&amp;RIGHT("000"&amp;AA178,4))</f>
        <v/>
      </c>
      <c r="C178" s="56" t="n"/>
      <c r="D178" s="54" t="n"/>
      <c r="E178" s="57" t="str">
        <f>IF(D178="","",IF(A178="BL",IFERROR(INDEX(cl_name,MATCH(D178,cl_code,0))&amp;"","Client inconnu"),IF(A178="BR",IFERROR(INDEX(fo_name,MATCH(D178,fo_code,0))&amp;"","Fournisseur inconnu"),IF(A178="BS",IF(ISNA(MATCH(D178,p_services,0)),"Service inconnu",D178&amp;""),""))))</f>
        <v/>
      </c>
      <c r="F178" s="58" t="n"/>
      <c r="G178" s="58" t="n"/>
      <c r="H178" s="59" t="n"/>
      <c r="I178" s="57" t="str">
        <f>IF(H178="","",IFERROR(INDEX(art_des,MATCH(H178,art_ref,0))&amp;"","Article inconnu"))</f>
        <v/>
      </c>
      <c r="J178" s="60" t="str">
        <f>IF(H178="","",IFERROR(INDEX(art_unit,MATCH(H178,art_ref,0))&amp;"",""))</f>
        <v/>
      </c>
      <c r="K178" s="59" t="n"/>
      <c r="L178" s="59" t="n"/>
      <c r="M178" s="61" t="str">
        <f>IF(OR(B178="",NOT(ISNUMBER(K178)),NOT(ISNUMBER(L178))),"",IF(OR(K178&lt;=0,L178&lt;=0),"",ROUND(L178-K178,6)))</f>
        <v/>
      </c>
      <c r="N178" s="58" t="n"/>
      <c r="O178" s="62" t="n"/>
      <c r="P178" s="63" t="str">
        <f>IF(OR(B178="",NOT(ISNUMBER(L178))),"",IF(L178&lt;=0,"",IFERROR(ROUND(L178*N(INDEX(art_w,MATCH(H178,art_ref,0))),3),"")))</f>
        <v/>
      </c>
      <c r="Q178" s="59" t="n"/>
      <c r="R178" s="54" t="n"/>
      <c r="S178" s="59" t="n"/>
      <c r="T178" s="59" t="n"/>
      <c r="U178" s="64" t="str">
        <f>IF(OR(B178="",H178=""),"",IFERROR(IF(A178="BL",IF(N(INDEX(art_price,MATCH(H178,art_ref,0)))=0,"",N(INDEX(art_price,MATCH(H178,art_ref,0)))),IF(N(INDEX(art_cost,MATCH(H178,art_ref,0)))=0,"",N(INDEX(art_cost,MATCH(H178,art_ref,0))))),""))</f>
        <v/>
      </c>
      <c r="V178" s="64" t="str">
        <f>IF(OR(U178="",NOT(ISNUMBER(L178))),"",IF(L178&lt;=0,"",ROUND(L178*U178,2)))</f>
        <v/>
      </c>
      <c r="W178" s="60" t="str">
        <f>IF(AND(B178&lt;&gt;"",A178&lt;&gt;"BS",F178&lt;&gt;"",H178&lt;&gt;"",ISNUMBER(K178),ISNUMBER(L178)),IF(AND(K178&gt;0,L178&gt;0,K178-L178&gt;0,COUNTIFS(A179:A$2005,A178,F179:F$2005,F178,H179:H$2005,H178,AA179:AA$2005,"&gt;0")=0),ROUND(K178-L178,6),""),"")</f>
        <v/>
      </c>
      <c r="X178" s="60" t="str">
        <f>IF(AND(A178="",C178="",D178="",H178="",L178=""),"",IF(A178="","Type manquant",IF(AND(A178&lt;&gt;"BL",A178&lt;&gt;"BR",A178&lt;&gt;"BS"),"Type inconnu (BL, BR ou BS)",IF(AG178=0,"Date manquante ou invalide",IF(D178="",IF(A178="BL","Client manquant",IF(A178="BR","Fournisseur manquant","Service manquant")),IF(IF(A178="BL",ISNA(MATCH(D178,cl_code,0)),IF(A178="BR",ISNA(MATCH(D178,fo_code,0)),ISNA(MATCH(D178,p_services,0)))),IF(A178="BL","Client inconnu",IF(A178="BR","Fournisseur inconnu","Service inconnu")),IF(H178="","Article manquant",IF(ISNA(MATCH(H178,art_ref,0)),"Article inconnu",IF(OR(NOT(ISNUMBER(L178)),N(L178)&lt;=0),"Quantité invalide",IF(AND(K178&lt;&gt;"",OR(NOT(ISNUMBER(K178)),N(K178)&lt;=0)),"Qté commandée invalide",IF(AG178&lt;SUMPRODUCT(MAX((A$6:A177=A178)*AG$6:AG177)),"Date antérieure au bon précédent",IF(AND(A178&lt;&gt;"BR",ISNUMBER(M178),N(M178)&gt;0),IF(A178="BL","Livré plus que commandé","Sorti plus que demandé"),"OK"))))))))))))</f>
        <v/>
      </c>
      <c r="Y178" s="57" t="str">
        <f>IF(AND(OR(A178="BL",A178="BR",A178="BS"),AG178&gt;0,D178&lt;&gt;""),A178&amp;"|"&amp;AG178&amp;"|"&amp;D178&amp;"|"&amp;F178,"")</f>
        <v/>
      </c>
      <c r="Z178" s="57" t="str">
        <f>IF(Y178="","",IF(COUNTIF(Y$6:Y177,Y178)=0,1,0))</f>
        <v/>
      </c>
      <c r="AA178" s="57" t="str">
        <f>IF(Y178="","",IF(Z178=1,COUNTIFS(A$6:A178,A178,Z$6:Z178,1),INDEX(AA$6:AA177,MATCH(Y178,Y$6:Y177,0))))</f>
        <v/>
      </c>
      <c r="AB178" s="57" t="str">
        <f>IF(B178="","",COUNTIF(B$6:B178,B178))</f>
        <v/>
      </c>
      <c r="AC178" s="57" t="str">
        <f>IF(B178="","",B178&amp;"#"&amp;AB178)</f>
        <v/>
      </c>
      <c r="AD178" s="57" t="str">
        <f>IF(Z178=1,A178&amp;AA178,"")</f>
        <v/>
      </c>
      <c r="AE178" s="57" t="str">
        <f>IF(B178="","",YEAR(C178))</f>
        <v/>
      </c>
      <c r="AF178" s="57" t="str">
        <f>IF(B178="","",MONTH(C178))</f>
        <v/>
      </c>
      <c r="AG178" s="57">
        <f>IF(ISNUMBER(C178),C178,0)</f>
        <v>0.0</v>
      </c>
      <c r="AH178" s="57" t="str">
        <f>IF(N(W178)&gt;0,COUNTIF(W$6:W178,"&gt;0"),"")</f>
        <v/>
      </c>
      <c r="AI178" s="57" t="str">
        <f>IF(Z178=1,COUNTIF(Z$6:Z178,1),"")</f>
        <v/>
      </c>
    </row>
    <row r="179">
      <c r="A179" s="54" t="n"/>
      <c r="B179" s="55" t="str">
        <f>IF(AA179="","",A179&amp;"-"&amp;RIGHT("000"&amp;AA179,4))</f>
        <v/>
      </c>
      <c r="C179" s="56" t="n"/>
      <c r="D179" s="54" t="n"/>
      <c r="E179" s="57" t="str">
        <f>IF(D179="","",IF(A179="BL",IFERROR(INDEX(cl_name,MATCH(D179,cl_code,0))&amp;"","Client inconnu"),IF(A179="BR",IFERROR(INDEX(fo_name,MATCH(D179,fo_code,0))&amp;"","Fournisseur inconnu"),IF(A179="BS",IF(ISNA(MATCH(D179,p_services,0)),"Service inconnu",D179&amp;""),""))))</f>
        <v/>
      </c>
      <c r="F179" s="58" t="n"/>
      <c r="G179" s="58" t="n"/>
      <c r="H179" s="59" t="n"/>
      <c r="I179" s="57" t="str">
        <f>IF(H179="","",IFERROR(INDEX(art_des,MATCH(H179,art_ref,0))&amp;"","Article inconnu"))</f>
        <v/>
      </c>
      <c r="J179" s="60" t="str">
        <f>IF(H179="","",IFERROR(INDEX(art_unit,MATCH(H179,art_ref,0))&amp;"",""))</f>
        <v/>
      </c>
      <c r="K179" s="59" t="n"/>
      <c r="L179" s="59" t="n"/>
      <c r="M179" s="61" t="str">
        <f>IF(OR(B179="",NOT(ISNUMBER(K179)),NOT(ISNUMBER(L179))),"",IF(OR(K179&lt;=0,L179&lt;=0),"",ROUND(L179-K179,6)))</f>
        <v/>
      </c>
      <c r="N179" s="58" t="n"/>
      <c r="O179" s="62" t="n"/>
      <c r="P179" s="63" t="str">
        <f>IF(OR(B179="",NOT(ISNUMBER(L179))),"",IF(L179&lt;=0,"",IFERROR(ROUND(L179*N(INDEX(art_w,MATCH(H179,art_ref,0))),3),"")))</f>
        <v/>
      </c>
      <c r="Q179" s="59" t="n"/>
      <c r="R179" s="54" t="n"/>
      <c r="S179" s="59" t="n"/>
      <c r="T179" s="59" t="n"/>
      <c r="U179" s="64" t="str">
        <f>IF(OR(B179="",H179=""),"",IFERROR(IF(A179="BL",IF(N(INDEX(art_price,MATCH(H179,art_ref,0)))=0,"",N(INDEX(art_price,MATCH(H179,art_ref,0)))),IF(N(INDEX(art_cost,MATCH(H179,art_ref,0)))=0,"",N(INDEX(art_cost,MATCH(H179,art_ref,0))))),""))</f>
        <v/>
      </c>
      <c r="V179" s="64" t="str">
        <f>IF(OR(U179="",NOT(ISNUMBER(L179))),"",IF(L179&lt;=0,"",ROUND(L179*U179,2)))</f>
        <v/>
      </c>
      <c r="W179" s="60" t="str">
        <f>IF(AND(B179&lt;&gt;"",A179&lt;&gt;"BS",F179&lt;&gt;"",H179&lt;&gt;"",ISNUMBER(K179),ISNUMBER(L179)),IF(AND(K179&gt;0,L179&gt;0,K179-L179&gt;0,COUNTIFS(A180:A$2005,A179,F180:F$2005,F179,H180:H$2005,H179,AA180:AA$2005,"&gt;0")=0),ROUND(K179-L179,6),""),"")</f>
        <v/>
      </c>
      <c r="X179" s="60" t="str">
        <f>IF(AND(A179="",C179="",D179="",H179="",L179=""),"",IF(A179="","Type manquant",IF(AND(A179&lt;&gt;"BL",A179&lt;&gt;"BR",A179&lt;&gt;"BS"),"Type inconnu (BL, BR ou BS)",IF(AG179=0,"Date manquante ou invalide",IF(D179="",IF(A179="BL","Client manquant",IF(A179="BR","Fournisseur manquant","Service manquant")),IF(IF(A179="BL",ISNA(MATCH(D179,cl_code,0)),IF(A179="BR",ISNA(MATCH(D179,fo_code,0)),ISNA(MATCH(D179,p_services,0)))),IF(A179="BL","Client inconnu",IF(A179="BR","Fournisseur inconnu","Service inconnu")),IF(H179="","Article manquant",IF(ISNA(MATCH(H179,art_ref,0)),"Article inconnu",IF(OR(NOT(ISNUMBER(L179)),N(L179)&lt;=0),"Quantité invalide",IF(AND(K179&lt;&gt;"",OR(NOT(ISNUMBER(K179)),N(K179)&lt;=0)),"Qté commandée invalide",IF(AG179&lt;SUMPRODUCT(MAX((A$6:A178=A179)*AG$6:AG178)),"Date antérieure au bon précédent",IF(AND(A179&lt;&gt;"BR",ISNUMBER(M179),N(M179)&gt;0),IF(A179="BL","Livré plus que commandé","Sorti plus que demandé"),"OK"))))))))))))</f>
        <v/>
      </c>
      <c r="Y179" s="57" t="str">
        <f>IF(AND(OR(A179="BL",A179="BR",A179="BS"),AG179&gt;0,D179&lt;&gt;""),A179&amp;"|"&amp;AG179&amp;"|"&amp;D179&amp;"|"&amp;F179,"")</f>
        <v/>
      </c>
      <c r="Z179" s="57" t="str">
        <f>IF(Y179="","",IF(COUNTIF(Y$6:Y178,Y179)=0,1,0))</f>
        <v/>
      </c>
      <c r="AA179" s="57" t="str">
        <f>IF(Y179="","",IF(Z179=1,COUNTIFS(A$6:A179,A179,Z$6:Z179,1),INDEX(AA$6:AA178,MATCH(Y179,Y$6:Y178,0))))</f>
        <v/>
      </c>
      <c r="AB179" s="57" t="str">
        <f>IF(B179="","",COUNTIF(B$6:B179,B179))</f>
        <v/>
      </c>
      <c r="AC179" s="57" t="str">
        <f>IF(B179="","",B179&amp;"#"&amp;AB179)</f>
        <v/>
      </c>
      <c r="AD179" s="57" t="str">
        <f>IF(Z179=1,A179&amp;AA179,"")</f>
        <v/>
      </c>
      <c r="AE179" s="57" t="str">
        <f>IF(B179="","",YEAR(C179))</f>
        <v/>
      </c>
      <c r="AF179" s="57" t="str">
        <f>IF(B179="","",MONTH(C179))</f>
        <v/>
      </c>
      <c r="AG179" s="57">
        <f>IF(ISNUMBER(C179),C179,0)</f>
        <v>0.0</v>
      </c>
      <c r="AH179" s="57" t="str">
        <f>IF(N(W179)&gt;0,COUNTIF(W$6:W179,"&gt;0"),"")</f>
        <v/>
      </c>
      <c r="AI179" s="57" t="str">
        <f>IF(Z179=1,COUNTIF(Z$6:Z179,1),"")</f>
        <v/>
      </c>
    </row>
    <row r="180">
      <c r="A180" s="54" t="n"/>
      <c r="B180" s="55" t="str">
        <f>IF(AA180="","",A180&amp;"-"&amp;RIGHT("000"&amp;AA180,4))</f>
        <v/>
      </c>
      <c r="C180" s="56" t="n"/>
      <c r="D180" s="54" t="n"/>
      <c r="E180" s="57" t="str">
        <f>IF(D180="","",IF(A180="BL",IFERROR(INDEX(cl_name,MATCH(D180,cl_code,0))&amp;"","Client inconnu"),IF(A180="BR",IFERROR(INDEX(fo_name,MATCH(D180,fo_code,0))&amp;"","Fournisseur inconnu"),IF(A180="BS",IF(ISNA(MATCH(D180,p_services,0)),"Service inconnu",D180&amp;""),""))))</f>
        <v/>
      </c>
      <c r="F180" s="58" t="n"/>
      <c r="G180" s="58" t="n"/>
      <c r="H180" s="59" t="n"/>
      <c r="I180" s="57" t="str">
        <f>IF(H180="","",IFERROR(INDEX(art_des,MATCH(H180,art_ref,0))&amp;"","Article inconnu"))</f>
        <v/>
      </c>
      <c r="J180" s="60" t="str">
        <f>IF(H180="","",IFERROR(INDEX(art_unit,MATCH(H180,art_ref,0))&amp;"",""))</f>
        <v/>
      </c>
      <c r="K180" s="59" t="n"/>
      <c r="L180" s="59" t="n"/>
      <c r="M180" s="61" t="str">
        <f>IF(OR(B180="",NOT(ISNUMBER(K180)),NOT(ISNUMBER(L180))),"",IF(OR(K180&lt;=0,L180&lt;=0),"",ROUND(L180-K180,6)))</f>
        <v/>
      </c>
      <c r="N180" s="58" t="n"/>
      <c r="O180" s="62" t="n"/>
      <c r="P180" s="63" t="str">
        <f>IF(OR(B180="",NOT(ISNUMBER(L180))),"",IF(L180&lt;=0,"",IFERROR(ROUND(L180*N(INDEX(art_w,MATCH(H180,art_ref,0))),3),"")))</f>
        <v/>
      </c>
      <c r="Q180" s="59" t="n"/>
      <c r="R180" s="54" t="n"/>
      <c r="S180" s="59" t="n"/>
      <c r="T180" s="59" t="n"/>
      <c r="U180" s="64" t="str">
        <f>IF(OR(B180="",H180=""),"",IFERROR(IF(A180="BL",IF(N(INDEX(art_price,MATCH(H180,art_ref,0)))=0,"",N(INDEX(art_price,MATCH(H180,art_ref,0)))),IF(N(INDEX(art_cost,MATCH(H180,art_ref,0)))=0,"",N(INDEX(art_cost,MATCH(H180,art_ref,0))))),""))</f>
        <v/>
      </c>
      <c r="V180" s="64" t="str">
        <f>IF(OR(U180="",NOT(ISNUMBER(L180))),"",IF(L180&lt;=0,"",ROUND(L180*U180,2)))</f>
        <v/>
      </c>
      <c r="W180" s="60" t="str">
        <f>IF(AND(B180&lt;&gt;"",A180&lt;&gt;"BS",F180&lt;&gt;"",H180&lt;&gt;"",ISNUMBER(K180),ISNUMBER(L180)),IF(AND(K180&gt;0,L180&gt;0,K180-L180&gt;0,COUNTIFS(A181:A$2005,A180,F181:F$2005,F180,H181:H$2005,H180,AA181:AA$2005,"&gt;0")=0),ROUND(K180-L180,6),""),"")</f>
        <v/>
      </c>
      <c r="X180" s="60" t="str">
        <f>IF(AND(A180="",C180="",D180="",H180="",L180=""),"",IF(A180="","Type manquant",IF(AND(A180&lt;&gt;"BL",A180&lt;&gt;"BR",A180&lt;&gt;"BS"),"Type inconnu (BL, BR ou BS)",IF(AG180=0,"Date manquante ou invalide",IF(D180="",IF(A180="BL","Client manquant",IF(A180="BR","Fournisseur manquant","Service manquant")),IF(IF(A180="BL",ISNA(MATCH(D180,cl_code,0)),IF(A180="BR",ISNA(MATCH(D180,fo_code,0)),ISNA(MATCH(D180,p_services,0)))),IF(A180="BL","Client inconnu",IF(A180="BR","Fournisseur inconnu","Service inconnu")),IF(H180="","Article manquant",IF(ISNA(MATCH(H180,art_ref,0)),"Article inconnu",IF(OR(NOT(ISNUMBER(L180)),N(L180)&lt;=0),"Quantité invalide",IF(AND(K180&lt;&gt;"",OR(NOT(ISNUMBER(K180)),N(K180)&lt;=0)),"Qté commandée invalide",IF(AG180&lt;SUMPRODUCT(MAX((A$6:A179=A180)*AG$6:AG179)),"Date antérieure au bon précédent",IF(AND(A180&lt;&gt;"BR",ISNUMBER(M180),N(M180)&gt;0),IF(A180="BL","Livré plus que commandé","Sorti plus que demandé"),"OK"))))))))))))</f>
        <v/>
      </c>
      <c r="Y180" s="57" t="str">
        <f>IF(AND(OR(A180="BL",A180="BR",A180="BS"),AG180&gt;0,D180&lt;&gt;""),A180&amp;"|"&amp;AG180&amp;"|"&amp;D180&amp;"|"&amp;F180,"")</f>
        <v/>
      </c>
      <c r="Z180" s="57" t="str">
        <f>IF(Y180="","",IF(COUNTIF(Y$6:Y179,Y180)=0,1,0))</f>
        <v/>
      </c>
      <c r="AA180" s="57" t="str">
        <f>IF(Y180="","",IF(Z180=1,COUNTIFS(A$6:A180,A180,Z$6:Z180,1),INDEX(AA$6:AA179,MATCH(Y180,Y$6:Y179,0))))</f>
        <v/>
      </c>
      <c r="AB180" s="57" t="str">
        <f>IF(B180="","",COUNTIF(B$6:B180,B180))</f>
        <v/>
      </c>
      <c r="AC180" s="57" t="str">
        <f>IF(B180="","",B180&amp;"#"&amp;AB180)</f>
        <v/>
      </c>
      <c r="AD180" s="57" t="str">
        <f>IF(Z180=1,A180&amp;AA180,"")</f>
        <v/>
      </c>
      <c r="AE180" s="57" t="str">
        <f>IF(B180="","",YEAR(C180))</f>
        <v/>
      </c>
      <c r="AF180" s="57" t="str">
        <f>IF(B180="","",MONTH(C180))</f>
        <v/>
      </c>
      <c r="AG180" s="57">
        <f>IF(ISNUMBER(C180),C180,0)</f>
        <v>0.0</v>
      </c>
      <c r="AH180" s="57" t="str">
        <f>IF(N(W180)&gt;0,COUNTIF(W$6:W180,"&gt;0"),"")</f>
        <v/>
      </c>
      <c r="AI180" s="57" t="str">
        <f>IF(Z180=1,COUNTIF(Z$6:Z180,1),"")</f>
        <v/>
      </c>
    </row>
    <row r="181">
      <c r="A181" s="54" t="n"/>
      <c r="B181" s="55" t="str">
        <f>IF(AA181="","",A181&amp;"-"&amp;RIGHT("000"&amp;AA181,4))</f>
        <v/>
      </c>
      <c r="C181" s="56" t="n"/>
      <c r="D181" s="54" t="n"/>
      <c r="E181" s="57" t="str">
        <f>IF(D181="","",IF(A181="BL",IFERROR(INDEX(cl_name,MATCH(D181,cl_code,0))&amp;"","Client inconnu"),IF(A181="BR",IFERROR(INDEX(fo_name,MATCH(D181,fo_code,0))&amp;"","Fournisseur inconnu"),IF(A181="BS",IF(ISNA(MATCH(D181,p_services,0)),"Service inconnu",D181&amp;""),""))))</f>
        <v/>
      </c>
      <c r="F181" s="58" t="n"/>
      <c r="G181" s="58" t="n"/>
      <c r="H181" s="59" t="n"/>
      <c r="I181" s="57" t="str">
        <f>IF(H181="","",IFERROR(INDEX(art_des,MATCH(H181,art_ref,0))&amp;"","Article inconnu"))</f>
        <v/>
      </c>
      <c r="J181" s="60" t="str">
        <f>IF(H181="","",IFERROR(INDEX(art_unit,MATCH(H181,art_ref,0))&amp;"",""))</f>
        <v/>
      </c>
      <c r="K181" s="59" t="n"/>
      <c r="L181" s="59" t="n"/>
      <c r="M181" s="61" t="str">
        <f>IF(OR(B181="",NOT(ISNUMBER(K181)),NOT(ISNUMBER(L181))),"",IF(OR(K181&lt;=0,L181&lt;=0),"",ROUND(L181-K181,6)))</f>
        <v/>
      </c>
      <c r="N181" s="58" t="n"/>
      <c r="O181" s="62" t="n"/>
      <c r="P181" s="63" t="str">
        <f>IF(OR(B181="",NOT(ISNUMBER(L181))),"",IF(L181&lt;=0,"",IFERROR(ROUND(L181*N(INDEX(art_w,MATCH(H181,art_ref,0))),3),"")))</f>
        <v/>
      </c>
      <c r="Q181" s="59" t="n"/>
      <c r="R181" s="54" t="n"/>
      <c r="S181" s="59" t="n"/>
      <c r="T181" s="59" t="n"/>
      <c r="U181" s="64" t="str">
        <f>IF(OR(B181="",H181=""),"",IFERROR(IF(A181="BL",IF(N(INDEX(art_price,MATCH(H181,art_ref,0)))=0,"",N(INDEX(art_price,MATCH(H181,art_ref,0)))),IF(N(INDEX(art_cost,MATCH(H181,art_ref,0)))=0,"",N(INDEX(art_cost,MATCH(H181,art_ref,0))))),""))</f>
        <v/>
      </c>
      <c r="V181" s="64" t="str">
        <f>IF(OR(U181="",NOT(ISNUMBER(L181))),"",IF(L181&lt;=0,"",ROUND(L181*U181,2)))</f>
        <v/>
      </c>
      <c r="W181" s="60" t="str">
        <f>IF(AND(B181&lt;&gt;"",A181&lt;&gt;"BS",F181&lt;&gt;"",H181&lt;&gt;"",ISNUMBER(K181),ISNUMBER(L181)),IF(AND(K181&gt;0,L181&gt;0,K181-L181&gt;0,COUNTIFS(A182:A$2005,A181,F182:F$2005,F181,H182:H$2005,H181,AA182:AA$2005,"&gt;0")=0),ROUND(K181-L181,6),""),"")</f>
        <v/>
      </c>
      <c r="X181" s="60" t="str">
        <f>IF(AND(A181="",C181="",D181="",H181="",L181=""),"",IF(A181="","Type manquant",IF(AND(A181&lt;&gt;"BL",A181&lt;&gt;"BR",A181&lt;&gt;"BS"),"Type inconnu (BL, BR ou BS)",IF(AG181=0,"Date manquante ou invalide",IF(D181="",IF(A181="BL","Client manquant",IF(A181="BR","Fournisseur manquant","Service manquant")),IF(IF(A181="BL",ISNA(MATCH(D181,cl_code,0)),IF(A181="BR",ISNA(MATCH(D181,fo_code,0)),ISNA(MATCH(D181,p_services,0)))),IF(A181="BL","Client inconnu",IF(A181="BR","Fournisseur inconnu","Service inconnu")),IF(H181="","Article manquant",IF(ISNA(MATCH(H181,art_ref,0)),"Article inconnu",IF(OR(NOT(ISNUMBER(L181)),N(L181)&lt;=0),"Quantité invalide",IF(AND(K181&lt;&gt;"",OR(NOT(ISNUMBER(K181)),N(K181)&lt;=0)),"Qté commandée invalide",IF(AG181&lt;SUMPRODUCT(MAX((A$6:A180=A181)*AG$6:AG180)),"Date antérieure au bon précédent",IF(AND(A181&lt;&gt;"BR",ISNUMBER(M181),N(M181)&gt;0),IF(A181="BL","Livré plus que commandé","Sorti plus que demandé"),"OK"))))))))))))</f>
        <v/>
      </c>
      <c r="Y181" s="57" t="str">
        <f>IF(AND(OR(A181="BL",A181="BR",A181="BS"),AG181&gt;0,D181&lt;&gt;""),A181&amp;"|"&amp;AG181&amp;"|"&amp;D181&amp;"|"&amp;F181,"")</f>
        <v/>
      </c>
      <c r="Z181" s="57" t="str">
        <f>IF(Y181="","",IF(COUNTIF(Y$6:Y180,Y181)=0,1,0))</f>
        <v/>
      </c>
      <c r="AA181" s="57" t="str">
        <f>IF(Y181="","",IF(Z181=1,COUNTIFS(A$6:A181,A181,Z$6:Z181,1),INDEX(AA$6:AA180,MATCH(Y181,Y$6:Y180,0))))</f>
        <v/>
      </c>
      <c r="AB181" s="57" t="str">
        <f>IF(B181="","",COUNTIF(B$6:B181,B181))</f>
        <v/>
      </c>
      <c r="AC181" s="57" t="str">
        <f>IF(B181="","",B181&amp;"#"&amp;AB181)</f>
        <v/>
      </c>
      <c r="AD181" s="57" t="str">
        <f>IF(Z181=1,A181&amp;AA181,"")</f>
        <v/>
      </c>
      <c r="AE181" s="57" t="str">
        <f>IF(B181="","",YEAR(C181))</f>
        <v/>
      </c>
      <c r="AF181" s="57" t="str">
        <f>IF(B181="","",MONTH(C181))</f>
        <v/>
      </c>
      <c r="AG181" s="57">
        <f>IF(ISNUMBER(C181),C181,0)</f>
        <v>0.0</v>
      </c>
      <c r="AH181" s="57" t="str">
        <f>IF(N(W181)&gt;0,COUNTIF(W$6:W181,"&gt;0"),"")</f>
        <v/>
      </c>
      <c r="AI181" s="57" t="str">
        <f>IF(Z181=1,COUNTIF(Z$6:Z181,1),"")</f>
        <v/>
      </c>
    </row>
    <row r="182">
      <c r="A182" s="54" t="n"/>
      <c r="B182" s="55" t="str">
        <f>IF(AA182="","",A182&amp;"-"&amp;RIGHT("000"&amp;AA182,4))</f>
        <v/>
      </c>
      <c r="C182" s="56" t="n"/>
      <c r="D182" s="54" t="n"/>
      <c r="E182" s="57" t="str">
        <f>IF(D182="","",IF(A182="BL",IFERROR(INDEX(cl_name,MATCH(D182,cl_code,0))&amp;"","Client inconnu"),IF(A182="BR",IFERROR(INDEX(fo_name,MATCH(D182,fo_code,0))&amp;"","Fournisseur inconnu"),IF(A182="BS",IF(ISNA(MATCH(D182,p_services,0)),"Service inconnu",D182&amp;""),""))))</f>
        <v/>
      </c>
      <c r="F182" s="58" t="n"/>
      <c r="G182" s="58" t="n"/>
      <c r="H182" s="59" t="n"/>
      <c r="I182" s="57" t="str">
        <f>IF(H182="","",IFERROR(INDEX(art_des,MATCH(H182,art_ref,0))&amp;"","Article inconnu"))</f>
        <v/>
      </c>
      <c r="J182" s="60" t="str">
        <f>IF(H182="","",IFERROR(INDEX(art_unit,MATCH(H182,art_ref,0))&amp;"",""))</f>
        <v/>
      </c>
      <c r="K182" s="59" t="n"/>
      <c r="L182" s="59" t="n"/>
      <c r="M182" s="61" t="str">
        <f>IF(OR(B182="",NOT(ISNUMBER(K182)),NOT(ISNUMBER(L182))),"",IF(OR(K182&lt;=0,L182&lt;=0),"",ROUND(L182-K182,6)))</f>
        <v/>
      </c>
      <c r="N182" s="58" t="n"/>
      <c r="O182" s="62" t="n"/>
      <c r="P182" s="63" t="str">
        <f>IF(OR(B182="",NOT(ISNUMBER(L182))),"",IF(L182&lt;=0,"",IFERROR(ROUND(L182*N(INDEX(art_w,MATCH(H182,art_ref,0))),3),"")))</f>
        <v/>
      </c>
      <c r="Q182" s="59" t="n"/>
      <c r="R182" s="54" t="n"/>
      <c r="S182" s="59" t="n"/>
      <c r="T182" s="59" t="n"/>
      <c r="U182" s="64" t="str">
        <f>IF(OR(B182="",H182=""),"",IFERROR(IF(A182="BL",IF(N(INDEX(art_price,MATCH(H182,art_ref,0)))=0,"",N(INDEX(art_price,MATCH(H182,art_ref,0)))),IF(N(INDEX(art_cost,MATCH(H182,art_ref,0)))=0,"",N(INDEX(art_cost,MATCH(H182,art_ref,0))))),""))</f>
        <v/>
      </c>
      <c r="V182" s="64" t="str">
        <f>IF(OR(U182="",NOT(ISNUMBER(L182))),"",IF(L182&lt;=0,"",ROUND(L182*U182,2)))</f>
        <v/>
      </c>
      <c r="W182" s="60" t="str">
        <f>IF(AND(B182&lt;&gt;"",A182&lt;&gt;"BS",F182&lt;&gt;"",H182&lt;&gt;"",ISNUMBER(K182),ISNUMBER(L182)),IF(AND(K182&gt;0,L182&gt;0,K182-L182&gt;0,COUNTIFS(A183:A$2005,A182,F183:F$2005,F182,H183:H$2005,H182,AA183:AA$2005,"&gt;0")=0),ROUND(K182-L182,6),""),"")</f>
        <v/>
      </c>
      <c r="X182" s="60" t="str">
        <f>IF(AND(A182="",C182="",D182="",H182="",L182=""),"",IF(A182="","Type manquant",IF(AND(A182&lt;&gt;"BL",A182&lt;&gt;"BR",A182&lt;&gt;"BS"),"Type inconnu (BL, BR ou BS)",IF(AG182=0,"Date manquante ou invalide",IF(D182="",IF(A182="BL","Client manquant",IF(A182="BR","Fournisseur manquant","Service manquant")),IF(IF(A182="BL",ISNA(MATCH(D182,cl_code,0)),IF(A182="BR",ISNA(MATCH(D182,fo_code,0)),ISNA(MATCH(D182,p_services,0)))),IF(A182="BL","Client inconnu",IF(A182="BR","Fournisseur inconnu","Service inconnu")),IF(H182="","Article manquant",IF(ISNA(MATCH(H182,art_ref,0)),"Article inconnu",IF(OR(NOT(ISNUMBER(L182)),N(L182)&lt;=0),"Quantité invalide",IF(AND(K182&lt;&gt;"",OR(NOT(ISNUMBER(K182)),N(K182)&lt;=0)),"Qté commandée invalide",IF(AG182&lt;SUMPRODUCT(MAX((A$6:A181=A182)*AG$6:AG181)),"Date antérieure au bon précédent",IF(AND(A182&lt;&gt;"BR",ISNUMBER(M182),N(M182)&gt;0),IF(A182="BL","Livré plus que commandé","Sorti plus que demandé"),"OK"))))))))))))</f>
        <v/>
      </c>
      <c r="Y182" s="57" t="str">
        <f>IF(AND(OR(A182="BL",A182="BR",A182="BS"),AG182&gt;0,D182&lt;&gt;""),A182&amp;"|"&amp;AG182&amp;"|"&amp;D182&amp;"|"&amp;F182,"")</f>
        <v/>
      </c>
      <c r="Z182" s="57" t="str">
        <f>IF(Y182="","",IF(COUNTIF(Y$6:Y181,Y182)=0,1,0))</f>
        <v/>
      </c>
      <c r="AA182" s="57" t="str">
        <f>IF(Y182="","",IF(Z182=1,COUNTIFS(A$6:A182,A182,Z$6:Z182,1),INDEX(AA$6:AA181,MATCH(Y182,Y$6:Y181,0))))</f>
        <v/>
      </c>
      <c r="AB182" s="57" t="str">
        <f>IF(B182="","",COUNTIF(B$6:B182,B182))</f>
        <v/>
      </c>
      <c r="AC182" s="57" t="str">
        <f>IF(B182="","",B182&amp;"#"&amp;AB182)</f>
        <v/>
      </c>
      <c r="AD182" s="57" t="str">
        <f>IF(Z182=1,A182&amp;AA182,"")</f>
        <v/>
      </c>
      <c r="AE182" s="57" t="str">
        <f>IF(B182="","",YEAR(C182))</f>
        <v/>
      </c>
      <c r="AF182" s="57" t="str">
        <f>IF(B182="","",MONTH(C182))</f>
        <v/>
      </c>
      <c r="AG182" s="57">
        <f>IF(ISNUMBER(C182),C182,0)</f>
        <v>0.0</v>
      </c>
      <c r="AH182" s="57" t="str">
        <f>IF(N(W182)&gt;0,COUNTIF(W$6:W182,"&gt;0"),"")</f>
        <v/>
      </c>
      <c r="AI182" s="57" t="str">
        <f>IF(Z182=1,COUNTIF(Z$6:Z182,1),"")</f>
        <v/>
      </c>
    </row>
    <row r="183">
      <c r="A183" s="54" t="n"/>
      <c r="B183" s="55" t="str">
        <f>IF(AA183="","",A183&amp;"-"&amp;RIGHT("000"&amp;AA183,4))</f>
        <v/>
      </c>
      <c r="C183" s="56" t="n"/>
      <c r="D183" s="54" t="n"/>
      <c r="E183" s="57" t="str">
        <f>IF(D183="","",IF(A183="BL",IFERROR(INDEX(cl_name,MATCH(D183,cl_code,0))&amp;"","Client inconnu"),IF(A183="BR",IFERROR(INDEX(fo_name,MATCH(D183,fo_code,0))&amp;"","Fournisseur inconnu"),IF(A183="BS",IF(ISNA(MATCH(D183,p_services,0)),"Service inconnu",D183&amp;""),""))))</f>
        <v/>
      </c>
      <c r="F183" s="58" t="n"/>
      <c r="G183" s="58" t="n"/>
      <c r="H183" s="59" t="n"/>
      <c r="I183" s="57" t="str">
        <f>IF(H183="","",IFERROR(INDEX(art_des,MATCH(H183,art_ref,0))&amp;"","Article inconnu"))</f>
        <v/>
      </c>
      <c r="J183" s="60" t="str">
        <f>IF(H183="","",IFERROR(INDEX(art_unit,MATCH(H183,art_ref,0))&amp;"",""))</f>
        <v/>
      </c>
      <c r="K183" s="59" t="n"/>
      <c r="L183" s="59" t="n"/>
      <c r="M183" s="61" t="str">
        <f>IF(OR(B183="",NOT(ISNUMBER(K183)),NOT(ISNUMBER(L183))),"",IF(OR(K183&lt;=0,L183&lt;=0),"",ROUND(L183-K183,6)))</f>
        <v/>
      </c>
      <c r="N183" s="58" t="n"/>
      <c r="O183" s="62" t="n"/>
      <c r="P183" s="63" t="str">
        <f>IF(OR(B183="",NOT(ISNUMBER(L183))),"",IF(L183&lt;=0,"",IFERROR(ROUND(L183*N(INDEX(art_w,MATCH(H183,art_ref,0))),3),"")))</f>
        <v/>
      </c>
      <c r="Q183" s="59" t="n"/>
      <c r="R183" s="54" t="n"/>
      <c r="S183" s="59" t="n"/>
      <c r="T183" s="59" t="n"/>
      <c r="U183" s="64" t="str">
        <f>IF(OR(B183="",H183=""),"",IFERROR(IF(A183="BL",IF(N(INDEX(art_price,MATCH(H183,art_ref,0)))=0,"",N(INDEX(art_price,MATCH(H183,art_ref,0)))),IF(N(INDEX(art_cost,MATCH(H183,art_ref,0)))=0,"",N(INDEX(art_cost,MATCH(H183,art_ref,0))))),""))</f>
        <v/>
      </c>
      <c r="V183" s="64" t="str">
        <f>IF(OR(U183="",NOT(ISNUMBER(L183))),"",IF(L183&lt;=0,"",ROUND(L183*U183,2)))</f>
        <v/>
      </c>
      <c r="W183" s="60" t="str">
        <f>IF(AND(B183&lt;&gt;"",A183&lt;&gt;"BS",F183&lt;&gt;"",H183&lt;&gt;"",ISNUMBER(K183),ISNUMBER(L183)),IF(AND(K183&gt;0,L183&gt;0,K183-L183&gt;0,COUNTIFS(A184:A$2005,A183,F184:F$2005,F183,H184:H$2005,H183,AA184:AA$2005,"&gt;0")=0),ROUND(K183-L183,6),""),"")</f>
        <v/>
      </c>
      <c r="X183" s="60" t="str">
        <f>IF(AND(A183="",C183="",D183="",H183="",L183=""),"",IF(A183="","Type manquant",IF(AND(A183&lt;&gt;"BL",A183&lt;&gt;"BR",A183&lt;&gt;"BS"),"Type inconnu (BL, BR ou BS)",IF(AG183=0,"Date manquante ou invalide",IF(D183="",IF(A183="BL","Client manquant",IF(A183="BR","Fournisseur manquant","Service manquant")),IF(IF(A183="BL",ISNA(MATCH(D183,cl_code,0)),IF(A183="BR",ISNA(MATCH(D183,fo_code,0)),ISNA(MATCH(D183,p_services,0)))),IF(A183="BL","Client inconnu",IF(A183="BR","Fournisseur inconnu","Service inconnu")),IF(H183="","Article manquant",IF(ISNA(MATCH(H183,art_ref,0)),"Article inconnu",IF(OR(NOT(ISNUMBER(L183)),N(L183)&lt;=0),"Quantité invalide",IF(AND(K183&lt;&gt;"",OR(NOT(ISNUMBER(K183)),N(K183)&lt;=0)),"Qté commandée invalide",IF(AG183&lt;SUMPRODUCT(MAX((A$6:A182=A183)*AG$6:AG182)),"Date antérieure au bon précédent",IF(AND(A183&lt;&gt;"BR",ISNUMBER(M183),N(M183)&gt;0),IF(A183="BL","Livré plus que commandé","Sorti plus que demandé"),"OK"))))))))))))</f>
        <v/>
      </c>
      <c r="Y183" s="57" t="str">
        <f>IF(AND(OR(A183="BL",A183="BR",A183="BS"),AG183&gt;0,D183&lt;&gt;""),A183&amp;"|"&amp;AG183&amp;"|"&amp;D183&amp;"|"&amp;F183,"")</f>
        <v/>
      </c>
      <c r="Z183" s="57" t="str">
        <f>IF(Y183="","",IF(COUNTIF(Y$6:Y182,Y183)=0,1,0))</f>
        <v/>
      </c>
      <c r="AA183" s="57" t="str">
        <f>IF(Y183="","",IF(Z183=1,COUNTIFS(A$6:A183,A183,Z$6:Z183,1),INDEX(AA$6:AA182,MATCH(Y183,Y$6:Y182,0))))</f>
        <v/>
      </c>
      <c r="AB183" s="57" t="str">
        <f>IF(B183="","",COUNTIF(B$6:B183,B183))</f>
        <v/>
      </c>
      <c r="AC183" s="57" t="str">
        <f>IF(B183="","",B183&amp;"#"&amp;AB183)</f>
        <v/>
      </c>
      <c r="AD183" s="57" t="str">
        <f>IF(Z183=1,A183&amp;AA183,"")</f>
        <v/>
      </c>
      <c r="AE183" s="57" t="str">
        <f>IF(B183="","",YEAR(C183))</f>
        <v/>
      </c>
      <c r="AF183" s="57" t="str">
        <f>IF(B183="","",MONTH(C183))</f>
        <v/>
      </c>
      <c r="AG183" s="57">
        <f>IF(ISNUMBER(C183),C183,0)</f>
        <v>0.0</v>
      </c>
      <c r="AH183" s="57" t="str">
        <f>IF(N(W183)&gt;0,COUNTIF(W$6:W183,"&gt;0"),"")</f>
        <v/>
      </c>
      <c r="AI183" s="57" t="str">
        <f>IF(Z183=1,COUNTIF(Z$6:Z183,1),"")</f>
        <v/>
      </c>
    </row>
    <row r="184">
      <c r="A184" s="54" t="n"/>
      <c r="B184" s="55" t="str">
        <f>IF(AA184="","",A184&amp;"-"&amp;RIGHT("000"&amp;AA184,4))</f>
        <v/>
      </c>
      <c r="C184" s="56" t="n"/>
      <c r="D184" s="54" t="n"/>
      <c r="E184" s="57" t="str">
        <f>IF(D184="","",IF(A184="BL",IFERROR(INDEX(cl_name,MATCH(D184,cl_code,0))&amp;"","Client inconnu"),IF(A184="BR",IFERROR(INDEX(fo_name,MATCH(D184,fo_code,0))&amp;"","Fournisseur inconnu"),IF(A184="BS",IF(ISNA(MATCH(D184,p_services,0)),"Service inconnu",D184&amp;""),""))))</f>
        <v/>
      </c>
      <c r="F184" s="58" t="n"/>
      <c r="G184" s="58" t="n"/>
      <c r="H184" s="59" t="n"/>
      <c r="I184" s="57" t="str">
        <f>IF(H184="","",IFERROR(INDEX(art_des,MATCH(H184,art_ref,0))&amp;"","Article inconnu"))</f>
        <v/>
      </c>
      <c r="J184" s="60" t="str">
        <f>IF(H184="","",IFERROR(INDEX(art_unit,MATCH(H184,art_ref,0))&amp;"",""))</f>
        <v/>
      </c>
      <c r="K184" s="59" t="n"/>
      <c r="L184" s="59" t="n"/>
      <c r="M184" s="61" t="str">
        <f>IF(OR(B184="",NOT(ISNUMBER(K184)),NOT(ISNUMBER(L184))),"",IF(OR(K184&lt;=0,L184&lt;=0),"",ROUND(L184-K184,6)))</f>
        <v/>
      </c>
      <c r="N184" s="58" t="n"/>
      <c r="O184" s="62" t="n"/>
      <c r="P184" s="63" t="str">
        <f>IF(OR(B184="",NOT(ISNUMBER(L184))),"",IF(L184&lt;=0,"",IFERROR(ROUND(L184*N(INDEX(art_w,MATCH(H184,art_ref,0))),3),"")))</f>
        <v/>
      </c>
      <c r="Q184" s="59" t="n"/>
      <c r="R184" s="54" t="n"/>
      <c r="S184" s="59" t="n"/>
      <c r="T184" s="59" t="n"/>
      <c r="U184" s="64" t="str">
        <f>IF(OR(B184="",H184=""),"",IFERROR(IF(A184="BL",IF(N(INDEX(art_price,MATCH(H184,art_ref,0)))=0,"",N(INDEX(art_price,MATCH(H184,art_ref,0)))),IF(N(INDEX(art_cost,MATCH(H184,art_ref,0)))=0,"",N(INDEX(art_cost,MATCH(H184,art_ref,0))))),""))</f>
        <v/>
      </c>
      <c r="V184" s="64" t="str">
        <f>IF(OR(U184="",NOT(ISNUMBER(L184))),"",IF(L184&lt;=0,"",ROUND(L184*U184,2)))</f>
        <v/>
      </c>
      <c r="W184" s="60" t="str">
        <f>IF(AND(B184&lt;&gt;"",A184&lt;&gt;"BS",F184&lt;&gt;"",H184&lt;&gt;"",ISNUMBER(K184),ISNUMBER(L184)),IF(AND(K184&gt;0,L184&gt;0,K184-L184&gt;0,COUNTIFS(A185:A$2005,A184,F185:F$2005,F184,H185:H$2005,H184,AA185:AA$2005,"&gt;0")=0),ROUND(K184-L184,6),""),"")</f>
        <v/>
      </c>
      <c r="X184" s="60" t="str">
        <f>IF(AND(A184="",C184="",D184="",H184="",L184=""),"",IF(A184="","Type manquant",IF(AND(A184&lt;&gt;"BL",A184&lt;&gt;"BR",A184&lt;&gt;"BS"),"Type inconnu (BL, BR ou BS)",IF(AG184=0,"Date manquante ou invalide",IF(D184="",IF(A184="BL","Client manquant",IF(A184="BR","Fournisseur manquant","Service manquant")),IF(IF(A184="BL",ISNA(MATCH(D184,cl_code,0)),IF(A184="BR",ISNA(MATCH(D184,fo_code,0)),ISNA(MATCH(D184,p_services,0)))),IF(A184="BL","Client inconnu",IF(A184="BR","Fournisseur inconnu","Service inconnu")),IF(H184="","Article manquant",IF(ISNA(MATCH(H184,art_ref,0)),"Article inconnu",IF(OR(NOT(ISNUMBER(L184)),N(L184)&lt;=0),"Quantité invalide",IF(AND(K184&lt;&gt;"",OR(NOT(ISNUMBER(K184)),N(K184)&lt;=0)),"Qté commandée invalide",IF(AG184&lt;SUMPRODUCT(MAX((A$6:A183=A184)*AG$6:AG183)),"Date antérieure au bon précédent",IF(AND(A184&lt;&gt;"BR",ISNUMBER(M184),N(M184)&gt;0),IF(A184="BL","Livré plus que commandé","Sorti plus que demandé"),"OK"))))))))))))</f>
        <v/>
      </c>
      <c r="Y184" s="57" t="str">
        <f>IF(AND(OR(A184="BL",A184="BR",A184="BS"),AG184&gt;0,D184&lt;&gt;""),A184&amp;"|"&amp;AG184&amp;"|"&amp;D184&amp;"|"&amp;F184,"")</f>
        <v/>
      </c>
      <c r="Z184" s="57" t="str">
        <f>IF(Y184="","",IF(COUNTIF(Y$6:Y183,Y184)=0,1,0))</f>
        <v/>
      </c>
      <c r="AA184" s="57" t="str">
        <f>IF(Y184="","",IF(Z184=1,COUNTIFS(A$6:A184,A184,Z$6:Z184,1),INDEX(AA$6:AA183,MATCH(Y184,Y$6:Y183,0))))</f>
        <v/>
      </c>
      <c r="AB184" s="57" t="str">
        <f>IF(B184="","",COUNTIF(B$6:B184,B184))</f>
        <v/>
      </c>
      <c r="AC184" s="57" t="str">
        <f>IF(B184="","",B184&amp;"#"&amp;AB184)</f>
        <v/>
      </c>
      <c r="AD184" s="57" t="str">
        <f>IF(Z184=1,A184&amp;AA184,"")</f>
        <v/>
      </c>
      <c r="AE184" s="57" t="str">
        <f>IF(B184="","",YEAR(C184))</f>
        <v/>
      </c>
      <c r="AF184" s="57" t="str">
        <f>IF(B184="","",MONTH(C184))</f>
        <v/>
      </c>
      <c r="AG184" s="57">
        <f>IF(ISNUMBER(C184),C184,0)</f>
        <v>0.0</v>
      </c>
      <c r="AH184" s="57" t="str">
        <f>IF(N(W184)&gt;0,COUNTIF(W$6:W184,"&gt;0"),"")</f>
        <v/>
      </c>
      <c r="AI184" s="57" t="str">
        <f>IF(Z184=1,COUNTIF(Z$6:Z184,1),"")</f>
        <v/>
      </c>
    </row>
    <row r="185">
      <c r="A185" s="54" t="n"/>
      <c r="B185" s="55" t="str">
        <f>IF(AA185="","",A185&amp;"-"&amp;RIGHT("000"&amp;AA185,4))</f>
        <v/>
      </c>
      <c r="C185" s="56" t="n"/>
      <c r="D185" s="54" t="n"/>
      <c r="E185" s="57" t="str">
        <f>IF(D185="","",IF(A185="BL",IFERROR(INDEX(cl_name,MATCH(D185,cl_code,0))&amp;"","Client inconnu"),IF(A185="BR",IFERROR(INDEX(fo_name,MATCH(D185,fo_code,0))&amp;"","Fournisseur inconnu"),IF(A185="BS",IF(ISNA(MATCH(D185,p_services,0)),"Service inconnu",D185&amp;""),""))))</f>
        <v/>
      </c>
      <c r="F185" s="58" t="n"/>
      <c r="G185" s="58" t="n"/>
      <c r="H185" s="59" t="n"/>
      <c r="I185" s="57" t="str">
        <f>IF(H185="","",IFERROR(INDEX(art_des,MATCH(H185,art_ref,0))&amp;"","Article inconnu"))</f>
        <v/>
      </c>
      <c r="J185" s="60" t="str">
        <f>IF(H185="","",IFERROR(INDEX(art_unit,MATCH(H185,art_ref,0))&amp;"",""))</f>
        <v/>
      </c>
      <c r="K185" s="59" t="n"/>
      <c r="L185" s="59" t="n"/>
      <c r="M185" s="61" t="str">
        <f>IF(OR(B185="",NOT(ISNUMBER(K185)),NOT(ISNUMBER(L185))),"",IF(OR(K185&lt;=0,L185&lt;=0),"",ROUND(L185-K185,6)))</f>
        <v/>
      </c>
      <c r="N185" s="58" t="n"/>
      <c r="O185" s="62" t="n"/>
      <c r="P185" s="63" t="str">
        <f>IF(OR(B185="",NOT(ISNUMBER(L185))),"",IF(L185&lt;=0,"",IFERROR(ROUND(L185*N(INDEX(art_w,MATCH(H185,art_ref,0))),3),"")))</f>
        <v/>
      </c>
      <c r="Q185" s="59" t="n"/>
      <c r="R185" s="54" t="n"/>
      <c r="S185" s="59" t="n"/>
      <c r="T185" s="59" t="n"/>
      <c r="U185" s="64" t="str">
        <f>IF(OR(B185="",H185=""),"",IFERROR(IF(A185="BL",IF(N(INDEX(art_price,MATCH(H185,art_ref,0)))=0,"",N(INDEX(art_price,MATCH(H185,art_ref,0)))),IF(N(INDEX(art_cost,MATCH(H185,art_ref,0)))=0,"",N(INDEX(art_cost,MATCH(H185,art_ref,0))))),""))</f>
        <v/>
      </c>
      <c r="V185" s="64" t="str">
        <f>IF(OR(U185="",NOT(ISNUMBER(L185))),"",IF(L185&lt;=0,"",ROUND(L185*U185,2)))</f>
        <v/>
      </c>
      <c r="W185" s="60" t="str">
        <f>IF(AND(B185&lt;&gt;"",A185&lt;&gt;"BS",F185&lt;&gt;"",H185&lt;&gt;"",ISNUMBER(K185),ISNUMBER(L185)),IF(AND(K185&gt;0,L185&gt;0,K185-L185&gt;0,COUNTIFS(A186:A$2005,A185,F186:F$2005,F185,H186:H$2005,H185,AA186:AA$2005,"&gt;0")=0),ROUND(K185-L185,6),""),"")</f>
        <v/>
      </c>
      <c r="X185" s="60" t="str">
        <f>IF(AND(A185="",C185="",D185="",H185="",L185=""),"",IF(A185="","Type manquant",IF(AND(A185&lt;&gt;"BL",A185&lt;&gt;"BR",A185&lt;&gt;"BS"),"Type inconnu (BL, BR ou BS)",IF(AG185=0,"Date manquante ou invalide",IF(D185="",IF(A185="BL","Client manquant",IF(A185="BR","Fournisseur manquant","Service manquant")),IF(IF(A185="BL",ISNA(MATCH(D185,cl_code,0)),IF(A185="BR",ISNA(MATCH(D185,fo_code,0)),ISNA(MATCH(D185,p_services,0)))),IF(A185="BL","Client inconnu",IF(A185="BR","Fournisseur inconnu","Service inconnu")),IF(H185="","Article manquant",IF(ISNA(MATCH(H185,art_ref,0)),"Article inconnu",IF(OR(NOT(ISNUMBER(L185)),N(L185)&lt;=0),"Quantité invalide",IF(AND(K185&lt;&gt;"",OR(NOT(ISNUMBER(K185)),N(K185)&lt;=0)),"Qté commandée invalide",IF(AG185&lt;SUMPRODUCT(MAX((A$6:A184=A185)*AG$6:AG184)),"Date antérieure au bon précédent",IF(AND(A185&lt;&gt;"BR",ISNUMBER(M185),N(M185)&gt;0),IF(A185="BL","Livré plus que commandé","Sorti plus que demandé"),"OK"))))))))))))</f>
        <v/>
      </c>
      <c r="Y185" s="57" t="str">
        <f>IF(AND(OR(A185="BL",A185="BR",A185="BS"),AG185&gt;0,D185&lt;&gt;""),A185&amp;"|"&amp;AG185&amp;"|"&amp;D185&amp;"|"&amp;F185,"")</f>
        <v/>
      </c>
      <c r="Z185" s="57" t="str">
        <f>IF(Y185="","",IF(COUNTIF(Y$6:Y184,Y185)=0,1,0))</f>
        <v/>
      </c>
      <c r="AA185" s="57" t="str">
        <f>IF(Y185="","",IF(Z185=1,COUNTIFS(A$6:A185,A185,Z$6:Z185,1),INDEX(AA$6:AA184,MATCH(Y185,Y$6:Y184,0))))</f>
        <v/>
      </c>
      <c r="AB185" s="57" t="str">
        <f>IF(B185="","",COUNTIF(B$6:B185,B185))</f>
        <v/>
      </c>
      <c r="AC185" s="57" t="str">
        <f>IF(B185="","",B185&amp;"#"&amp;AB185)</f>
        <v/>
      </c>
      <c r="AD185" s="57" t="str">
        <f>IF(Z185=1,A185&amp;AA185,"")</f>
        <v/>
      </c>
      <c r="AE185" s="57" t="str">
        <f>IF(B185="","",YEAR(C185))</f>
        <v/>
      </c>
      <c r="AF185" s="57" t="str">
        <f>IF(B185="","",MONTH(C185))</f>
        <v/>
      </c>
      <c r="AG185" s="57">
        <f>IF(ISNUMBER(C185),C185,0)</f>
        <v>0.0</v>
      </c>
      <c r="AH185" s="57" t="str">
        <f>IF(N(W185)&gt;0,COUNTIF(W$6:W185,"&gt;0"),"")</f>
        <v/>
      </c>
      <c r="AI185" s="57" t="str">
        <f>IF(Z185=1,COUNTIF(Z$6:Z185,1),"")</f>
        <v/>
      </c>
    </row>
    <row r="186">
      <c r="A186" s="54" t="n"/>
      <c r="B186" s="55" t="str">
        <f>IF(AA186="","",A186&amp;"-"&amp;RIGHT("000"&amp;AA186,4))</f>
        <v/>
      </c>
      <c r="C186" s="56" t="n"/>
      <c r="D186" s="54" t="n"/>
      <c r="E186" s="57" t="str">
        <f>IF(D186="","",IF(A186="BL",IFERROR(INDEX(cl_name,MATCH(D186,cl_code,0))&amp;"","Client inconnu"),IF(A186="BR",IFERROR(INDEX(fo_name,MATCH(D186,fo_code,0))&amp;"","Fournisseur inconnu"),IF(A186="BS",IF(ISNA(MATCH(D186,p_services,0)),"Service inconnu",D186&amp;""),""))))</f>
        <v/>
      </c>
      <c r="F186" s="58" t="n"/>
      <c r="G186" s="58" t="n"/>
      <c r="H186" s="59" t="n"/>
      <c r="I186" s="57" t="str">
        <f>IF(H186="","",IFERROR(INDEX(art_des,MATCH(H186,art_ref,0))&amp;"","Article inconnu"))</f>
        <v/>
      </c>
      <c r="J186" s="60" t="str">
        <f>IF(H186="","",IFERROR(INDEX(art_unit,MATCH(H186,art_ref,0))&amp;"",""))</f>
        <v/>
      </c>
      <c r="K186" s="59" t="n"/>
      <c r="L186" s="59" t="n"/>
      <c r="M186" s="61" t="str">
        <f>IF(OR(B186="",NOT(ISNUMBER(K186)),NOT(ISNUMBER(L186))),"",IF(OR(K186&lt;=0,L186&lt;=0),"",ROUND(L186-K186,6)))</f>
        <v/>
      </c>
      <c r="N186" s="58" t="n"/>
      <c r="O186" s="62" t="n"/>
      <c r="P186" s="63" t="str">
        <f>IF(OR(B186="",NOT(ISNUMBER(L186))),"",IF(L186&lt;=0,"",IFERROR(ROUND(L186*N(INDEX(art_w,MATCH(H186,art_ref,0))),3),"")))</f>
        <v/>
      </c>
      <c r="Q186" s="59" t="n"/>
      <c r="R186" s="54" t="n"/>
      <c r="S186" s="59" t="n"/>
      <c r="T186" s="59" t="n"/>
      <c r="U186" s="64" t="str">
        <f>IF(OR(B186="",H186=""),"",IFERROR(IF(A186="BL",IF(N(INDEX(art_price,MATCH(H186,art_ref,0)))=0,"",N(INDEX(art_price,MATCH(H186,art_ref,0)))),IF(N(INDEX(art_cost,MATCH(H186,art_ref,0)))=0,"",N(INDEX(art_cost,MATCH(H186,art_ref,0))))),""))</f>
        <v/>
      </c>
      <c r="V186" s="64" t="str">
        <f>IF(OR(U186="",NOT(ISNUMBER(L186))),"",IF(L186&lt;=0,"",ROUND(L186*U186,2)))</f>
        <v/>
      </c>
      <c r="W186" s="60" t="str">
        <f>IF(AND(B186&lt;&gt;"",A186&lt;&gt;"BS",F186&lt;&gt;"",H186&lt;&gt;"",ISNUMBER(K186),ISNUMBER(L186)),IF(AND(K186&gt;0,L186&gt;0,K186-L186&gt;0,COUNTIFS(A187:A$2005,A186,F187:F$2005,F186,H187:H$2005,H186,AA187:AA$2005,"&gt;0")=0),ROUND(K186-L186,6),""),"")</f>
        <v/>
      </c>
      <c r="X186" s="60" t="str">
        <f>IF(AND(A186="",C186="",D186="",H186="",L186=""),"",IF(A186="","Type manquant",IF(AND(A186&lt;&gt;"BL",A186&lt;&gt;"BR",A186&lt;&gt;"BS"),"Type inconnu (BL, BR ou BS)",IF(AG186=0,"Date manquante ou invalide",IF(D186="",IF(A186="BL","Client manquant",IF(A186="BR","Fournisseur manquant","Service manquant")),IF(IF(A186="BL",ISNA(MATCH(D186,cl_code,0)),IF(A186="BR",ISNA(MATCH(D186,fo_code,0)),ISNA(MATCH(D186,p_services,0)))),IF(A186="BL","Client inconnu",IF(A186="BR","Fournisseur inconnu","Service inconnu")),IF(H186="","Article manquant",IF(ISNA(MATCH(H186,art_ref,0)),"Article inconnu",IF(OR(NOT(ISNUMBER(L186)),N(L186)&lt;=0),"Quantité invalide",IF(AND(K186&lt;&gt;"",OR(NOT(ISNUMBER(K186)),N(K186)&lt;=0)),"Qté commandée invalide",IF(AG186&lt;SUMPRODUCT(MAX((A$6:A185=A186)*AG$6:AG185)),"Date antérieure au bon précédent",IF(AND(A186&lt;&gt;"BR",ISNUMBER(M186),N(M186)&gt;0),IF(A186="BL","Livré plus que commandé","Sorti plus que demandé"),"OK"))))))))))))</f>
        <v/>
      </c>
      <c r="Y186" s="57" t="str">
        <f>IF(AND(OR(A186="BL",A186="BR",A186="BS"),AG186&gt;0,D186&lt;&gt;""),A186&amp;"|"&amp;AG186&amp;"|"&amp;D186&amp;"|"&amp;F186,"")</f>
        <v/>
      </c>
      <c r="Z186" s="57" t="str">
        <f>IF(Y186="","",IF(COUNTIF(Y$6:Y185,Y186)=0,1,0))</f>
        <v/>
      </c>
      <c r="AA186" s="57" t="str">
        <f>IF(Y186="","",IF(Z186=1,COUNTIFS(A$6:A186,A186,Z$6:Z186,1),INDEX(AA$6:AA185,MATCH(Y186,Y$6:Y185,0))))</f>
        <v/>
      </c>
      <c r="AB186" s="57" t="str">
        <f>IF(B186="","",COUNTIF(B$6:B186,B186))</f>
        <v/>
      </c>
      <c r="AC186" s="57" t="str">
        <f>IF(B186="","",B186&amp;"#"&amp;AB186)</f>
        <v/>
      </c>
      <c r="AD186" s="57" t="str">
        <f>IF(Z186=1,A186&amp;AA186,"")</f>
        <v/>
      </c>
      <c r="AE186" s="57" t="str">
        <f>IF(B186="","",YEAR(C186))</f>
        <v/>
      </c>
      <c r="AF186" s="57" t="str">
        <f>IF(B186="","",MONTH(C186))</f>
        <v/>
      </c>
      <c r="AG186" s="57">
        <f>IF(ISNUMBER(C186),C186,0)</f>
        <v>0.0</v>
      </c>
      <c r="AH186" s="57" t="str">
        <f>IF(N(W186)&gt;0,COUNTIF(W$6:W186,"&gt;0"),"")</f>
        <v/>
      </c>
      <c r="AI186" s="57" t="str">
        <f>IF(Z186=1,COUNTIF(Z$6:Z186,1),"")</f>
        <v/>
      </c>
    </row>
    <row r="187">
      <c r="A187" s="54" t="n"/>
      <c r="B187" s="55" t="str">
        <f>IF(AA187="","",A187&amp;"-"&amp;RIGHT("000"&amp;AA187,4))</f>
        <v/>
      </c>
      <c r="C187" s="56" t="n"/>
      <c r="D187" s="54" t="n"/>
      <c r="E187" s="57" t="str">
        <f>IF(D187="","",IF(A187="BL",IFERROR(INDEX(cl_name,MATCH(D187,cl_code,0))&amp;"","Client inconnu"),IF(A187="BR",IFERROR(INDEX(fo_name,MATCH(D187,fo_code,0))&amp;"","Fournisseur inconnu"),IF(A187="BS",IF(ISNA(MATCH(D187,p_services,0)),"Service inconnu",D187&amp;""),""))))</f>
        <v/>
      </c>
      <c r="F187" s="58" t="n"/>
      <c r="G187" s="58" t="n"/>
      <c r="H187" s="59" t="n"/>
      <c r="I187" s="57" t="str">
        <f>IF(H187="","",IFERROR(INDEX(art_des,MATCH(H187,art_ref,0))&amp;"","Article inconnu"))</f>
        <v/>
      </c>
      <c r="J187" s="60" t="str">
        <f>IF(H187="","",IFERROR(INDEX(art_unit,MATCH(H187,art_ref,0))&amp;"",""))</f>
        <v/>
      </c>
      <c r="K187" s="59" t="n"/>
      <c r="L187" s="59" t="n"/>
      <c r="M187" s="61" t="str">
        <f>IF(OR(B187="",NOT(ISNUMBER(K187)),NOT(ISNUMBER(L187))),"",IF(OR(K187&lt;=0,L187&lt;=0),"",ROUND(L187-K187,6)))</f>
        <v/>
      </c>
      <c r="N187" s="58" t="n"/>
      <c r="O187" s="62" t="n"/>
      <c r="P187" s="63" t="str">
        <f>IF(OR(B187="",NOT(ISNUMBER(L187))),"",IF(L187&lt;=0,"",IFERROR(ROUND(L187*N(INDEX(art_w,MATCH(H187,art_ref,0))),3),"")))</f>
        <v/>
      </c>
      <c r="Q187" s="59" t="n"/>
      <c r="R187" s="54" t="n"/>
      <c r="S187" s="59" t="n"/>
      <c r="T187" s="59" t="n"/>
      <c r="U187" s="64" t="str">
        <f>IF(OR(B187="",H187=""),"",IFERROR(IF(A187="BL",IF(N(INDEX(art_price,MATCH(H187,art_ref,0)))=0,"",N(INDEX(art_price,MATCH(H187,art_ref,0)))),IF(N(INDEX(art_cost,MATCH(H187,art_ref,0)))=0,"",N(INDEX(art_cost,MATCH(H187,art_ref,0))))),""))</f>
        <v/>
      </c>
      <c r="V187" s="64" t="str">
        <f>IF(OR(U187="",NOT(ISNUMBER(L187))),"",IF(L187&lt;=0,"",ROUND(L187*U187,2)))</f>
        <v/>
      </c>
      <c r="W187" s="60" t="str">
        <f>IF(AND(B187&lt;&gt;"",A187&lt;&gt;"BS",F187&lt;&gt;"",H187&lt;&gt;"",ISNUMBER(K187),ISNUMBER(L187)),IF(AND(K187&gt;0,L187&gt;0,K187-L187&gt;0,COUNTIFS(A188:A$2005,A187,F188:F$2005,F187,H188:H$2005,H187,AA188:AA$2005,"&gt;0")=0),ROUND(K187-L187,6),""),"")</f>
        <v/>
      </c>
      <c r="X187" s="60" t="str">
        <f>IF(AND(A187="",C187="",D187="",H187="",L187=""),"",IF(A187="","Type manquant",IF(AND(A187&lt;&gt;"BL",A187&lt;&gt;"BR",A187&lt;&gt;"BS"),"Type inconnu (BL, BR ou BS)",IF(AG187=0,"Date manquante ou invalide",IF(D187="",IF(A187="BL","Client manquant",IF(A187="BR","Fournisseur manquant","Service manquant")),IF(IF(A187="BL",ISNA(MATCH(D187,cl_code,0)),IF(A187="BR",ISNA(MATCH(D187,fo_code,0)),ISNA(MATCH(D187,p_services,0)))),IF(A187="BL","Client inconnu",IF(A187="BR","Fournisseur inconnu","Service inconnu")),IF(H187="","Article manquant",IF(ISNA(MATCH(H187,art_ref,0)),"Article inconnu",IF(OR(NOT(ISNUMBER(L187)),N(L187)&lt;=0),"Quantité invalide",IF(AND(K187&lt;&gt;"",OR(NOT(ISNUMBER(K187)),N(K187)&lt;=0)),"Qté commandée invalide",IF(AG187&lt;SUMPRODUCT(MAX((A$6:A186=A187)*AG$6:AG186)),"Date antérieure au bon précédent",IF(AND(A187&lt;&gt;"BR",ISNUMBER(M187),N(M187)&gt;0),IF(A187="BL","Livré plus que commandé","Sorti plus que demandé"),"OK"))))))))))))</f>
        <v/>
      </c>
      <c r="Y187" s="57" t="str">
        <f>IF(AND(OR(A187="BL",A187="BR",A187="BS"),AG187&gt;0,D187&lt;&gt;""),A187&amp;"|"&amp;AG187&amp;"|"&amp;D187&amp;"|"&amp;F187,"")</f>
        <v/>
      </c>
      <c r="Z187" s="57" t="str">
        <f>IF(Y187="","",IF(COUNTIF(Y$6:Y186,Y187)=0,1,0))</f>
        <v/>
      </c>
      <c r="AA187" s="57" t="str">
        <f>IF(Y187="","",IF(Z187=1,COUNTIFS(A$6:A187,A187,Z$6:Z187,1),INDEX(AA$6:AA186,MATCH(Y187,Y$6:Y186,0))))</f>
        <v/>
      </c>
      <c r="AB187" s="57" t="str">
        <f>IF(B187="","",COUNTIF(B$6:B187,B187))</f>
        <v/>
      </c>
      <c r="AC187" s="57" t="str">
        <f>IF(B187="","",B187&amp;"#"&amp;AB187)</f>
        <v/>
      </c>
      <c r="AD187" s="57" t="str">
        <f>IF(Z187=1,A187&amp;AA187,"")</f>
        <v/>
      </c>
      <c r="AE187" s="57" t="str">
        <f>IF(B187="","",YEAR(C187))</f>
        <v/>
      </c>
      <c r="AF187" s="57" t="str">
        <f>IF(B187="","",MONTH(C187))</f>
        <v/>
      </c>
      <c r="AG187" s="57">
        <f>IF(ISNUMBER(C187),C187,0)</f>
        <v>0.0</v>
      </c>
      <c r="AH187" s="57" t="str">
        <f>IF(N(W187)&gt;0,COUNTIF(W$6:W187,"&gt;0"),"")</f>
        <v/>
      </c>
      <c r="AI187" s="57" t="str">
        <f>IF(Z187=1,COUNTIF(Z$6:Z187,1),"")</f>
        <v/>
      </c>
    </row>
    <row r="188">
      <c r="A188" s="54" t="n"/>
      <c r="B188" s="55" t="str">
        <f>IF(AA188="","",A188&amp;"-"&amp;RIGHT("000"&amp;AA188,4))</f>
        <v/>
      </c>
      <c r="C188" s="56" t="n"/>
      <c r="D188" s="54" t="n"/>
      <c r="E188" s="57" t="str">
        <f>IF(D188="","",IF(A188="BL",IFERROR(INDEX(cl_name,MATCH(D188,cl_code,0))&amp;"","Client inconnu"),IF(A188="BR",IFERROR(INDEX(fo_name,MATCH(D188,fo_code,0))&amp;"","Fournisseur inconnu"),IF(A188="BS",IF(ISNA(MATCH(D188,p_services,0)),"Service inconnu",D188&amp;""),""))))</f>
        <v/>
      </c>
      <c r="F188" s="58" t="n"/>
      <c r="G188" s="58" t="n"/>
      <c r="H188" s="59" t="n"/>
      <c r="I188" s="57" t="str">
        <f>IF(H188="","",IFERROR(INDEX(art_des,MATCH(H188,art_ref,0))&amp;"","Article inconnu"))</f>
        <v/>
      </c>
      <c r="J188" s="60" t="str">
        <f>IF(H188="","",IFERROR(INDEX(art_unit,MATCH(H188,art_ref,0))&amp;"",""))</f>
        <v/>
      </c>
      <c r="K188" s="59" t="n"/>
      <c r="L188" s="59" t="n"/>
      <c r="M188" s="61" t="str">
        <f>IF(OR(B188="",NOT(ISNUMBER(K188)),NOT(ISNUMBER(L188))),"",IF(OR(K188&lt;=0,L188&lt;=0),"",ROUND(L188-K188,6)))</f>
        <v/>
      </c>
      <c r="N188" s="58" t="n"/>
      <c r="O188" s="62" t="n"/>
      <c r="P188" s="63" t="str">
        <f>IF(OR(B188="",NOT(ISNUMBER(L188))),"",IF(L188&lt;=0,"",IFERROR(ROUND(L188*N(INDEX(art_w,MATCH(H188,art_ref,0))),3),"")))</f>
        <v/>
      </c>
      <c r="Q188" s="59" t="n"/>
      <c r="R188" s="54" t="n"/>
      <c r="S188" s="59" t="n"/>
      <c r="T188" s="59" t="n"/>
      <c r="U188" s="64" t="str">
        <f>IF(OR(B188="",H188=""),"",IFERROR(IF(A188="BL",IF(N(INDEX(art_price,MATCH(H188,art_ref,0)))=0,"",N(INDEX(art_price,MATCH(H188,art_ref,0)))),IF(N(INDEX(art_cost,MATCH(H188,art_ref,0)))=0,"",N(INDEX(art_cost,MATCH(H188,art_ref,0))))),""))</f>
        <v/>
      </c>
      <c r="V188" s="64" t="str">
        <f>IF(OR(U188="",NOT(ISNUMBER(L188))),"",IF(L188&lt;=0,"",ROUND(L188*U188,2)))</f>
        <v/>
      </c>
      <c r="W188" s="60" t="str">
        <f>IF(AND(B188&lt;&gt;"",A188&lt;&gt;"BS",F188&lt;&gt;"",H188&lt;&gt;"",ISNUMBER(K188),ISNUMBER(L188)),IF(AND(K188&gt;0,L188&gt;0,K188-L188&gt;0,COUNTIFS(A189:A$2005,A188,F189:F$2005,F188,H189:H$2005,H188,AA189:AA$2005,"&gt;0")=0),ROUND(K188-L188,6),""),"")</f>
        <v/>
      </c>
      <c r="X188" s="60" t="str">
        <f>IF(AND(A188="",C188="",D188="",H188="",L188=""),"",IF(A188="","Type manquant",IF(AND(A188&lt;&gt;"BL",A188&lt;&gt;"BR",A188&lt;&gt;"BS"),"Type inconnu (BL, BR ou BS)",IF(AG188=0,"Date manquante ou invalide",IF(D188="",IF(A188="BL","Client manquant",IF(A188="BR","Fournisseur manquant","Service manquant")),IF(IF(A188="BL",ISNA(MATCH(D188,cl_code,0)),IF(A188="BR",ISNA(MATCH(D188,fo_code,0)),ISNA(MATCH(D188,p_services,0)))),IF(A188="BL","Client inconnu",IF(A188="BR","Fournisseur inconnu","Service inconnu")),IF(H188="","Article manquant",IF(ISNA(MATCH(H188,art_ref,0)),"Article inconnu",IF(OR(NOT(ISNUMBER(L188)),N(L188)&lt;=0),"Quantité invalide",IF(AND(K188&lt;&gt;"",OR(NOT(ISNUMBER(K188)),N(K188)&lt;=0)),"Qté commandée invalide",IF(AG188&lt;SUMPRODUCT(MAX((A$6:A187=A188)*AG$6:AG187)),"Date antérieure au bon précédent",IF(AND(A188&lt;&gt;"BR",ISNUMBER(M188),N(M188)&gt;0),IF(A188="BL","Livré plus que commandé","Sorti plus que demandé"),"OK"))))))))))))</f>
        <v/>
      </c>
      <c r="Y188" s="57" t="str">
        <f>IF(AND(OR(A188="BL",A188="BR",A188="BS"),AG188&gt;0,D188&lt;&gt;""),A188&amp;"|"&amp;AG188&amp;"|"&amp;D188&amp;"|"&amp;F188,"")</f>
        <v/>
      </c>
      <c r="Z188" s="57" t="str">
        <f>IF(Y188="","",IF(COUNTIF(Y$6:Y187,Y188)=0,1,0))</f>
        <v/>
      </c>
      <c r="AA188" s="57" t="str">
        <f>IF(Y188="","",IF(Z188=1,COUNTIFS(A$6:A188,A188,Z$6:Z188,1),INDEX(AA$6:AA187,MATCH(Y188,Y$6:Y187,0))))</f>
        <v/>
      </c>
      <c r="AB188" s="57" t="str">
        <f>IF(B188="","",COUNTIF(B$6:B188,B188))</f>
        <v/>
      </c>
      <c r="AC188" s="57" t="str">
        <f>IF(B188="","",B188&amp;"#"&amp;AB188)</f>
        <v/>
      </c>
      <c r="AD188" s="57" t="str">
        <f>IF(Z188=1,A188&amp;AA188,"")</f>
        <v/>
      </c>
      <c r="AE188" s="57" t="str">
        <f>IF(B188="","",YEAR(C188))</f>
        <v/>
      </c>
      <c r="AF188" s="57" t="str">
        <f>IF(B188="","",MONTH(C188))</f>
        <v/>
      </c>
      <c r="AG188" s="57">
        <f>IF(ISNUMBER(C188),C188,0)</f>
        <v>0.0</v>
      </c>
      <c r="AH188" s="57" t="str">
        <f>IF(N(W188)&gt;0,COUNTIF(W$6:W188,"&gt;0"),"")</f>
        <v/>
      </c>
      <c r="AI188" s="57" t="str">
        <f>IF(Z188=1,COUNTIF(Z$6:Z188,1),"")</f>
        <v/>
      </c>
    </row>
    <row r="189">
      <c r="A189" s="54" t="n"/>
      <c r="B189" s="55" t="str">
        <f>IF(AA189="","",A189&amp;"-"&amp;RIGHT("000"&amp;AA189,4))</f>
        <v/>
      </c>
      <c r="C189" s="56" t="n"/>
      <c r="D189" s="54" t="n"/>
      <c r="E189" s="57" t="str">
        <f>IF(D189="","",IF(A189="BL",IFERROR(INDEX(cl_name,MATCH(D189,cl_code,0))&amp;"","Client inconnu"),IF(A189="BR",IFERROR(INDEX(fo_name,MATCH(D189,fo_code,0))&amp;"","Fournisseur inconnu"),IF(A189="BS",IF(ISNA(MATCH(D189,p_services,0)),"Service inconnu",D189&amp;""),""))))</f>
        <v/>
      </c>
      <c r="F189" s="58" t="n"/>
      <c r="G189" s="58" t="n"/>
      <c r="H189" s="59" t="n"/>
      <c r="I189" s="57" t="str">
        <f>IF(H189="","",IFERROR(INDEX(art_des,MATCH(H189,art_ref,0))&amp;"","Article inconnu"))</f>
        <v/>
      </c>
      <c r="J189" s="60" t="str">
        <f>IF(H189="","",IFERROR(INDEX(art_unit,MATCH(H189,art_ref,0))&amp;"",""))</f>
        <v/>
      </c>
      <c r="K189" s="59" t="n"/>
      <c r="L189" s="59" t="n"/>
      <c r="M189" s="61" t="str">
        <f>IF(OR(B189="",NOT(ISNUMBER(K189)),NOT(ISNUMBER(L189))),"",IF(OR(K189&lt;=0,L189&lt;=0),"",ROUND(L189-K189,6)))</f>
        <v/>
      </c>
      <c r="N189" s="58" t="n"/>
      <c r="O189" s="62" t="n"/>
      <c r="P189" s="63" t="str">
        <f>IF(OR(B189="",NOT(ISNUMBER(L189))),"",IF(L189&lt;=0,"",IFERROR(ROUND(L189*N(INDEX(art_w,MATCH(H189,art_ref,0))),3),"")))</f>
        <v/>
      </c>
      <c r="Q189" s="59" t="n"/>
      <c r="R189" s="54" t="n"/>
      <c r="S189" s="59" t="n"/>
      <c r="T189" s="59" t="n"/>
      <c r="U189" s="64" t="str">
        <f>IF(OR(B189="",H189=""),"",IFERROR(IF(A189="BL",IF(N(INDEX(art_price,MATCH(H189,art_ref,0)))=0,"",N(INDEX(art_price,MATCH(H189,art_ref,0)))),IF(N(INDEX(art_cost,MATCH(H189,art_ref,0)))=0,"",N(INDEX(art_cost,MATCH(H189,art_ref,0))))),""))</f>
        <v/>
      </c>
      <c r="V189" s="64" t="str">
        <f>IF(OR(U189="",NOT(ISNUMBER(L189))),"",IF(L189&lt;=0,"",ROUND(L189*U189,2)))</f>
        <v/>
      </c>
      <c r="W189" s="60" t="str">
        <f>IF(AND(B189&lt;&gt;"",A189&lt;&gt;"BS",F189&lt;&gt;"",H189&lt;&gt;"",ISNUMBER(K189),ISNUMBER(L189)),IF(AND(K189&gt;0,L189&gt;0,K189-L189&gt;0,COUNTIFS(A190:A$2005,A189,F190:F$2005,F189,H190:H$2005,H189,AA190:AA$2005,"&gt;0")=0),ROUND(K189-L189,6),""),"")</f>
        <v/>
      </c>
      <c r="X189" s="60" t="str">
        <f>IF(AND(A189="",C189="",D189="",H189="",L189=""),"",IF(A189="","Type manquant",IF(AND(A189&lt;&gt;"BL",A189&lt;&gt;"BR",A189&lt;&gt;"BS"),"Type inconnu (BL, BR ou BS)",IF(AG189=0,"Date manquante ou invalide",IF(D189="",IF(A189="BL","Client manquant",IF(A189="BR","Fournisseur manquant","Service manquant")),IF(IF(A189="BL",ISNA(MATCH(D189,cl_code,0)),IF(A189="BR",ISNA(MATCH(D189,fo_code,0)),ISNA(MATCH(D189,p_services,0)))),IF(A189="BL","Client inconnu",IF(A189="BR","Fournisseur inconnu","Service inconnu")),IF(H189="","Article manquant",IF(ISNA(MATCH(H189,art_ref,0)),"Article inconnu",IF(OR(NOT(ISNUMBER(L189)),N(L189)&lt;=0),"Quantité invalide",IF(AND(K189&lt;&gt;"",OR(NOT(ISNUMBER(K189)),N(K189)&lt;=0)),"Qté commandée invalide",IF(AG189&lt;SUMPRODUCT(MAX((A$6:A188=A189)*AG$6:AG188)),"Date antérieure au bon précédent",IF(AND(A189&lt;&gt;"BR",ISNUMBER(M189),N(M189)&gt;0),IF(A189="BL","Livré plus que commandé","Sorti plus que demandé"),"OK"))))))))))))</f>
        <v/>
      </c>
      <c r="Y189" s="57" t="str">
        <f>IF(AND(OR(A189="BL",A189="BR",A189="BS"),AG189&gt;0,D189&lt;&gt;""),A189&amp;"|"&amp;AG189&amp;"|"&amp;D189&amp;"|"&amp;F189,"")</f>
        <v/>
      </c>
      <c r="Z189" s="57" t="str">
        <f>IF(Y189="","",IF(COUNTIF(Y$6:Y188,Y189)=0,1,0))</f>
        <v/>
      </c>
      <c r="AA189" s="57" t="str">
        <f>IF(Y189="","",IF(Z189=1,COUNTIFS(A$6:A189,A189,Z$6:Z189,1),INDEX(AA$6:AA188,MATCH(Y189,Y$6:Y188,0))))</f>
        <v/>
      </c>
      <c r="AB189" s="57" t="str">
        <f>IF(B189="","",COUNTIF(B$6:B189,B189))</f>
        <v/>
      </c>
      <c r="AC189" s="57" t="str">
        <f>IF(B189="","",B189&amp;"#"&amp;AB189)</f>
        <v/>
      </c>
      <c r="AD189" s="57" t="str">
        <f>IF(Z189=1,A189&amp;AA189,"")</f>
        <v/>
      </c>
      <c r="AE189" s="57" t="str">
        <f>IF(B189="","",YEAR(C189))</f>
        <v/>
      </c>
      <c r="AF189" s="57" t="str">
        <f>IF(B189="","",MONTH(C189))</f>
        <v/>
      </c>
      <c r="AG189" s="57">
        <f>IF(ISNUMBER(C189),C189,0)</f>
        <v>0.0</v>
      </c>
      <c r="AH189" s="57" t="str">
        <f>IF(N(W189)&gt;0,COUNTIF(W$6:W189,"&gt;0"),"")</f>
        <v/>
      </c>
      <c r="AI189" s="57" t="str">
        <f>IF(Z189=1,COUNTIF(Z$6:Z189,1),"")</f>
        <v/>
      </c>
    </row>
    <row r="190">
      <c r="A190" s="54" t="n"/>
      <c r="B190" s="55" t="str">
        <f>IF(AA190="","",A190&amp;"-"&amp;RIGHT("000"&amp;AA190,4))</f>
        <v/>
      </c>
      <c r="C190" s="56" t="n"/>
      <c r="D190" s="54" t="n"/>
      <c r="E190" s="57" t="str">
        <f>IF(D190="","",IF(A190="BL",IFERROR(INDEX(cl_name,MATCH(D190,cl_code,0))&amp;"","Client inconnu"),IF(A190="BR",IFERROR(INDEX(fo_name,MATCH(D190,fo_code,0))&amp;"","Fournisseur inconnu"),IF(A190="BS",IF(ISNA(MATCH(D190,p_services,0)),"Service inconnu",D190&amp;""),""))))</f>
        <v/>
      </c>
      <c r="F190" s="58" t="n"/>
      <c r="G190" s="58" t="n"/>
      <c r="H190" s="59" t="n"/>
      <c r="I190" s="57" t="str">
        <f>IF(H190="","",IFERROR(INDEX(art_des,MATCH(H190,art_ref,0))&amp;"","Article inconnu"))</f>
        <v/>
      </c>
      <c r="J190" s="60" t="str">
        <f>IF(H190="","",IFERROR(INDEX(art_unit,MATCH(H190,art_ref,0))&amp;"",""))</f>
        <v/>
      </c>
      <c r="K190" s="59" t="n"/>
      <c r="L190" s="59" t="n"/>
      <c r="M190" s="61" t="str">
        <f>IF(OR(B190="",NOT(ISNUMBER(K190)),NOT(ISNUMBER(L190))),"",IF(OR(K190&lt;=0,L190&lt;=0),"",ROUND(L190-K190,6)))</f>
        <v/>
      </c>
      <c r="N190" s="58" t="n"/>
      <c r="O190" s="62" t="n"/>
      <c r="P190" s="63" t="str">
        <f>IF(OR(B190="",NOT(ISNUMBER(L190))),"",IF(L190&lt;=0,"",IFERROR(ROUND(L190*N(INDEX(art_w,MATCH(H190,art_ref,0))),3),"")))</f>
        <v/>
      </c>
      <c r="Q190" s="59" t="n"/>
      <c r="R190" s="54" t="n"/>
      <c r="S190" s="59" t="n"/>
      <c r="T190" s="59" t="n"/>
      <c r="U190" s="64" t="str">
        <f>IF(OR(B190="",H190=""),"",IFERROR(IF(A190="BL",IF(N(INDEX(art_price,MATCH(H190,art_ref,0)))=0,"",N(INDEX(art_price,MATCH(H190,art_ref,0)))),IF(N(INDEX(art_cost,MATCH(H190,art_ref,0)))=0,"",N(INDEX(art_cost,MATCH(H190,art_ref,0))))),""))</f>
        <v/>
      </c>
      <c r="V190" s="64" t="str">
        <f>IF(OR(U190="",NOT(ISNUMBER(L190))),"",IF(L190&lt;=0,"",ROUND(L190*U190,2)))</f>
        <v/>
      </c>
      <c r="W190" s="60" t="str">
        <f>IF(AND(B190&lt;&gt;"",A190&lt;&gt;"BS",F190&lt;&gt;"",H190&lt;&gt;"",ISNUMBER(K190),ISNUMBER(L190)),IF(AND(K190&gt;0,L190&gt;0,K190-L190&gt;0,COUNTIFS(A191:A$2005,A190,F191:F$2005,F190,H191:H$2005,H190,AA191:AA$2005,"&gt;0")=0),ROUND(K190-L190,6),""),"")</f>
        <v/>
      </c>
      <c r="X190" s="60" t="str">
        <f>IF(AND(A190="",C190="",D190="",H190="",L190=""),"",IF(A190="","Type manquant",IF(AND(A190&lt;&gt;"BL",A190&lt;&gt;"BR",A190&lt;&gt;"BS"),"Type inconnu (BL, BR ou BS)",IF(AG190=0,"Date manquante ou invalide",IF(D190="",IF(A190="BL","Client manquant",IF(A190="BR","Fournisseur manquant","Service manquant")),IF(IF(A190="BL",ISNA(MATCH(D190,cl_code,0)),IF(A190="BR",ISNA(MATCH(D190,fo_code,0)),ISNA(MATCH(D190,p_services,0)))),IF(A190="BL","Client inconnu",IF(A190="BR","Fournisseur inconnu","Service inconnu")),IF(H190="","Article manquant",IF(ISNA(MATCH(H190,art_ref,0)),"Article inconnu",IF(OR(NOT(ISNUMBER(L190)),N(L190)&lt;=0),"Quantité invalide",IF(AND(K190&lt;&gt;"",OR(NOT(ISNUMBER(K190)),N(K190)&lt;=0)),"Qté commandée invalide",IF(AG190&lt;SUMPRODUCT(MAX((A$6:A189=A190)*AG$6:AG189)),"Date antérieure au bon précédent",IF(AND(A190&lt;&gt;"BR",ISNUMBER(M190),N(M190)&gt;0),IF(A190="BL","Livré plus que commandé","Sorti plus que demandé"),"OK"))))))))))))</f>
        <v/>
      </c>
      <c r="Y190" s="57" t="str">
        <f>IF(AND(OR(A190="BL",A190="BR",A190="BS"),AG190&gt;0,D190&lt;&gt;""),A190&amp;"|"&amp;AG190&amp;"|"&amp;D190&amp;"|"&amp;F190,"")</f>
        <v/>
      </c>
      <c r="Z190" s="57" t="str">
        <f>IF(Y190="","",IF(COUNTIF(Y$6:Y189,Y190)=0,1,0))</f>
        <v/>
      </c>
      <c r="AA190" s="57" t="str">
        <f>IF(Y190="","",IF(Z190=1,COUNTIFS(A$6:A190,A190,Z$6:Z190,1),INDEX(AA$6:AA189,MATCH(Y190,Y$6:Y189,0))))</f>
        <v/>
      </c>
      <c r="AB190" s="57" t="str">
        <f>IF(B190="","",COUNTIF(B$6:B190,B190))</f>
        <v/>
      </c>
      <c r="AC190" s="57" t="str">
        <f>IF(B190="","",B190&amp;"#"&amp;AB190)</f>
        <v/>
      </c>
      <c r="AD190" s="57" t="str">
        <f>IF(Z190=1,A190&amp;AA190,"")</f>
        <v/>
      </c>
      <c r="AE190" s="57" t="str">
        <f>IF(B190="","",YEAR(C190))</f>
        <v/>
      </c>
      <c r="AF190" s="57" t="str">
        <f>IF(B190="","",MONTH(C190))</f>
        <v/>
      </c>
      <c r="AG190" s="57">
        <f>IF(ISNUMBER(C190),C190,0)</f>
        <v>0.0</v>
      </c>
      <c r="AH190" s="57" t="str">
        <f>IF(N(W190)&gt;0,COUNTIF(W$6:W190,"&gt;0"),"")</f>
        <v/>
      </c>
      <c r="AI190" s="57" t="str">
        <f>IF(Z190=1,COUNTIF(Z$6:Z190,1),"")</f>
        <v/>
      </c>
    </row>
    <row r="191">
      <c r="A191" s="54" t="n"/>
      <c r="B191" s="55" t="str">
        <f>IF(AA191="","",A191&amp;"-"&amp;RIGHT("000"&amp;AA191,4))</f>
        <v/>
      </c>
      <c r="C191" s="56" t="n"/>
      <c r="D191" s="54" t="n"/>
      <c r="E191" s="57" t="str">
        <f>IF(D191="","",IF(A191="BL",IFERROR(INDEX(cl_name,MATCH(D191,cl_code,0))&amp;"","Client inconnu"),IF(A191="BR",IFERROR(INDEX(fo_name,MATCH(D191,fo_code,0))&amp;"","Fournisseur inconnu"),IF(A191="BS",IF(ISNA(MATCH(D191,p_services,0)),"Service inconnu",D191&amp;""),""))))</f>
        <v/>
      </c>
      <c r="F191" s="58" t="n"/>
      <c r="G191" s="58" t="n"/>
      <c r="H191" s="59" t="n"/>
      <c r="I191" s="57" t="str">
        <f>IF(H191="","",IFERROR(INDEX(art_des,MATCH(H191,art_ref,0))&amp;"","Article inconnu"))</f>
        <v/>
      </c>
      <c r="J191" s="60" t="str">
        <f>IF(H191="","",IFERROR(INDEX(art_unit,MATCH(H191,art_ref,0))&amp;"",""))</f>
        <v/>
      </c>
      <c r="K191" s="59" t="n"/>
      <c r="L191" s="59" t="n"/>
      <c r="M191" s="61" t="str">
        <f>IF(OR(B191="",NOT(ISNUMBER(K191)),NOT(ISNUMBER(L191))),"",IF(OR(K191&lt;=0,L191&lt;=0),"",ROUND(L191-K191,6)))</f>
        <v/>
      </c>
      <c r="N191" s="58" t="n"/>
      <c r="O191" s="62" t="n"/>
      <c r="P191" s="63" t="str">
        <f>IF(OR(B191="",NOT(ISNUMBER(L191))),"",IF(L191&lt;=0,"",IFERROR(ROUND(L191*N(INDEX(art_w,MATCH(H191,art_ref,0))),3),"")))</f>
        <v/>
      </c>
      <c r="Q191" s="59" t="n"/>
      <c r="R191" s="54" t="n"/>
      <c r="S191" s="59" t="n"/>
      <c r="T191" s="59" t="n"/>
      <c r="U191" s="64" t="str">
        <f>IF(OR(B191="",H191=""),"",IFERROR(IF(A191="BL",IF(N(INDEX(art_price,MATCH(H191,art_ref,0)))=0,"",N(INDEX(art_price,MATCH(H191,art_ref,0)))),IF(N(INDEX(art_cost,MATCH(H191,art_ref,0)))=0,"",N(INDEX(art_cost,MATCH(H191,art_ref,0))))),""))</f>
        <v/>
      </c>
      <c r="V191" s="64" t="str">
        <f>IF(OR(U191="",NOT(ISNUMBER(L191))),"",IF(L191&lt;=0,"",ROUND(L191*U191,2)))</f>
        <v/>
      </c>
      <c r="W191" s="60" t="str">
        <f>IF(AND(B191&lt;&gt;"",A191&lt;&gt;"BS",F191&lt;&gt;"",H191&lt;&gt;"",ISNUMBER(K191),ISNUMBER(L191)),IF(AND(K191&gt;0,L191&gt;0,K191-L191&gt;0,COUNTIFS(A192:A$2005,A191,F192:F$2005,F191,H192:H$2005,H191,AA192:AA$2005,"&gt;0")=0),ROUND(K191-L191,6),""),"")</f>
        <v/>
      </c>
      <c r="X191" s="60" t="str">
        <f>IF(AND(A191="",C191="",D191="",H191="",L191=""),"",IF(A191="","Type manquant",IF(AND(A191&lt;&gt;"BL",A191&lt;&gt;"BR",A191&lt;&gt;"BS"),"Type inconnu (BL, BR ou BS)",IF(AG191=0,"Date manquante ou invalide",IF(D191="",IF(A191="BL","Client manquant",IF(A191="BR","Fournisseur manquant","Service manquant")),IF(IF(A191="BL",ISNA(MATCH(D191,cl_code,0)),IF(A191="BR",ISNA(MATCH(D191,fo_code,0)),ISNA(MATCH(D191,p_services,0)))),IF(A191="BL","Client inconnu",IF(A191="BR","Fournisseur inconnu","Service inconnu")),IF(H191="","Article manquant",IF(ISNA(MATCH(H191,art_ref,0)),"Article inconnu",IF(OR(NOT(ISNUMBER(L191)),N(L191)&lt;=0),"Quantité invalide",IF(AND(K191&lt;&gt;"",OR(NOT(ISNUMBER(K191)),N(K191)&lt;=0)),"Qté commandée invalide",IF(AG191&lt;SUMPRODUCT(MAX((A$6:A190=A191)*AG$6:AG190)),"Date antérieure au bon précédent",IF(AND(A191&lt;&gt;"BR",ISNUMBER(M191),N(M191)&gt;0),IF(A191="BL","Livré plus que commandé","Sorti plus que demandé"),"OK"))))))))))))</f>
        <v/>
      </c>
      <c r="Y191" s="57" t="str">
        <f>IF(AND(OR(A191="BL",A191="BR",A191="BS"),AG191&gt;0,D191&lt;&gt;""),A191&amp;"|"&amp;AG191&amp;"|"&amp;D191&amp;"|"&amp;F191,"")</f>
        <v/>
      </c>
      <c r="Z191" s="57" t="str">
        <f>IF(Y191="","",IF(COUNTIF(Y$6:Y190,Y191)=0,1,0))</f>
        <v/>
      </c>
      <c r="AA191" s="57" t="str">
        <f>IF(Y191="","",IF(Z191=1,COUNTIFS(A$6:A191,A191,Z$6:Z191,1),INDEX(AA$6:AA190,MATCH(Y191,Y$6:Y190,0))))</f>
        <v/>
      </c>
      <c r="AB191" s="57" t="str">
        <f>IF(B191="","",COUNTIF(B$6:B191,B191))</f>
        <v/>
      </c>
      <c r="AC191" s="57" t="str">
        <f>IF(B191="","",B191&amp;"#"&amp;AB191)</f>
        <v/>
      </c>
      <c r="AD191" s="57" t="str">
        <f>IF(Z191=1,A191&amp;AA191,"")</f>
        <v/>
      </c>
      <c r="AE191" s="57" t="str">
        <f>IF(B191="","",YEAR(C191))</f>
        <v/>
      </c>
      <c r="AF191" s="57" t="str">
        <f>IF(B191="","",MONTH(C191))</f>
        <v/>
      </c>
      <c r="AG191" s="57">
        <f>IF(ISNUMBER(C191),C191,0)</f>
        <v>0.0</v>
      </c>
      <c r="AH191" s="57" t="str">
        <f>IF(N(W191)&gt;0,COUNTIF(W$6:W191,"&gt;0"),"")</f>
        <v/>
      </c>
      <c r="AI191" s="57" t="str">
        <f>IF(Z191=1,COUNTIF(Z$6:Z191,1),"")</f>
        <v/>
      </c>
    </row>
    <row r="192">
      <c r="A192" s="54" t="n"/>
      <c r="B192" s="55" t="str">
        <f>IF(AA192="","",A192&amp;"-"&amp;RIGHT("000"&amp;AA192,4))</f>
        <v/>
      </c>
      <c r="C192" s="56" t="n"/>
      <c r="D192" s="54" t="n"/>
      <c r="E192" s="57" t="str">
        <f>IF(D192="","",IF(A192="BL",IFERROR(INDEX(cl_name,MATCH(D192,cl_code,0))&amp;"","Client inconnu"),IF(A192="BR",IFERROR(INDEX(fo_name,MATCH(D192,fo_code,0))&amp;"","Fournisseur inconnu"),IF(A192="BS",IF(ISNA(MATCH(D192,p_services,0)),"Service inconnu",D192&amp;""),""))))</f>
        <v/>
      </c>
      <c r="F192" s="58" t="n"/>
      <c r="G192" s="58" t="n"/>
      <c r="H192" s="59" t="n"/>
      <c r="I192" s="57" t="str">
        <f>IF(H192="","",IFERROR(INDEX(art_des,MATCH(H192,art_ref,0))&amp;"","Article inconnu"))</f>
        <v/>
      </c>
      <c r="J192" s="60" t="str">
        <f>IF(H192="","",IFERROR(INDEX(art_unit,MATCH(H192,art_ref,0))&amp;"",""))</f>
        <v/>
      </c>
      <c r="K192" s="59" t="n"/>
      <c r="L192" s="59" t="n"/>
      <c r="M192" s="61" t="str">
        <f>IF(OR(B192="",NOT(ISNUMBER(K192)),NOT(ISNUMBER(L192))),"",IF(OR(K192&lt;=0,L192&lt;=0),"",ROUND(L192-K192,6)))</f>
        <v/>
      </c>
      <c r="N192" s="58" t="n"/>
      <c r="O192" s="62" t="n"/>
      <c r="P192" s="63" t="str">
        <f>IF(OR(B192="",NOT(ISNUMBER(L192))),"",IF(L192&lt;=0,"",IFERROR(ROUND(L192*N(INDEX(art_w,MATCH(H192,art_ref,0))),3),"")))</f>
        <v/>
      </c>
      <c r="Q192" s="59" t="n"/>
      <c r="R192" s="54" t="n"/>
      <c r="S192" s="59" t="n"/>
      <c r="T192" s="59" t="n"/>
      <c r="U192" s="64" t="str">
        <f>IF(OR(B192="",H192=""),"",IFERROR(IF(A192="BL",IF(N(INDEX(art_price,MATCH(H192,art_ref,0)))=0,"",N(INDEX(art_price,MATCH(H192,art_ref,0)))),IF(N(INDEX(art_cost,MATCH(H192,art_ref,0)))=0,"",N(INDEX(art_cost,MATCH(H192,art_ref,0))))),""))</f>
        <v/>
      </c>
      <c r="V192" s="64" t="str">
        <f>IF(OR(U192="",NOT(ISNUMBER(L192))),"",IF(L192&lt;=0,"",ROUND(L192*U192,2)))</f>
        <v/>
      </c>
      <c r="W192" s="60" t="str">
        <f>IF(AND(B192&lt;&gt;"",A192&lt;&gt;"BS",F192&lt;&gt;"",H192&lt;&gt;"",ISNUMBER(K192),ISNUMBER(L192)),IF(AND(K192&gt;0,L192&gt;0,K192-L192&gt;0,COUNTIFS(A193:A$2005,A192,F193:F$2005,F192,H193:H$2005,H192,AA193:AA$2005,"&gt;0")=0),ROUND(K192-L192,6),""),"")</f>
        <v/>
      </c>
      <c r="X192" s="60" t="str">
        <f>IF(AND(A192="",C192="",D192="",H192="",L192=""),"",IF(A192="","Type manquant",IF(AND(A192&lt;&gt;"BL",A192&lt;&gt;"BR",A192&lt;&gt;"BS"),"Type inconnu (BL, BR ou BS)",IF(AG192=0,"Date manquante ou invalide",IF(D192="",IF(A192="BL","Client manquant",IF(A192="BR","Fournisseur manquant","Service manquant")),IF(IF(A192="BL",ISNA(MATCH(D192,cl_code,0)),IF(A192="BR",ISNA(MATCH(D192,fo_code,0)),ISNA(MATCH(D192,p_services,0)))),IF(A192="BL","Client inconnu",IF(A192="BR","Fournisseur inconnu","Service inconnu")),IF(H192="","Article manquant",IF(ISNA(MATCH(H192,art_ref,0)),"Article inconnu",IF(OR(NOT(ISNUMBER(L192)),N(L192)&lt;=0),"Quantité invalide",IF(AND(K192&lt;&gt;"",OR(NOT(ISNUMBER(K192)),N(K192)&lt;=0)),"Qté commandée invalide",IF(AG192&lt;SUMPRODUCT(MAX((A$6:A191=A192)*AG$6:AG191)),"Date antérieure au bon précédent",IF(AND(A192&lt;&gt;"BR",ISNUMBER(M192),N(M192)&gt;0),IF(A192="BL","Livré plus que commandé","Sorti plus que demandé"),"OK"))))))))))))</f>
        <v/>
      </c>
      <c r="Y192" s="57" t="str">
        <f>IF(AND(OR(A192="BL",A192="BR",A192="BS"),AG192&gt;0,D192&lt;&gt;""),A192&amp;"|"&amp;AG192&amp;"|"&amp;D192&amp;"|"&amp;F192,"")</f>
        <v/>
      </c>
      <c r="Z192" s="57" t="str">
        <f>IF(Y192="","",IF(COUNTIF(Y$6:Y191,Y192)=0,1,0))</f>
        <v/>
      </c>
      <c r="AA192" s="57" t="str">
        <f>IF(Y192="","",IF(Z192=1,COUNTIFS(A$6:A192,A192,Z$6:Z192,1),INDEX(AA$6:AA191,MATCH(Y192,Y$6:Y191,0))))</f>
        <v/>
      </c>
      <c r="AB192" s="57" t="str">
        <f>IF(B192="","",COUNTIF(B$6:B192,B192))</f>
        <v/>
      </c>
      <c r="AC192" s="57" t="str">
        <f>IF(B192="","",B192&amp;"#"&amp;AB192)</f>
        <v/>
      </c>
      <c r="AD192" s="57" t="str">
        <f>IF(Z192=1,A192&amp;AA192,"")</f>
        <v/>
      </c>
      <c r="AE192" s="57" t="str">
        <f>IF(B192="","",YEAR(C192))</f>
        <v/>
      </c>
      <c r="AF192" s="57" t="str">
        <f>IF(B192="","",MONTH(C192))</f>
        <v/>
      </c>
      <c r="AG192" s="57">
        <f>IF(ISNUMBER(C192),C192,0)</f>
        <v>0.0</v>
      </c>
      <c r="AH192" s="57" t="str">
        <f>IF(N(W192)&gt;0,COUNTIF(W$6:W192,"&gt;0"),"")</f>
        <v/>
      </c>
      <c r="AI192" s="57" t="str">
        <f>IF(Z192=1,COUNTIF(Z$6:Z192,1),"")</f>
        <v/>
      </c>
    </row>
    <row r="193">
      <c r="A193" s="54" t="n"/>
      <c r="B193" s="55" t="str">
        <f>IF(AA193="","",A193&amp;"-"&amp;RIGHT("000"&amp;AA193,4))</f>
        <v/>
      </c>
      <c r="C193" s="56" t="n"/>
      <c r="D193" s="54" t="n"/>
      <c r="E193" s="57" t="str">
        <f>IF(D193="","",IF(A193="BL",IFERROR(INDEX(cl_name,MATCH(D193,cl_code,0))&amp;"","Client inconnu"),IF(A193="BR",IFERROR(INDEX(fo_name,MATCH(D193,fo_code,0))&amp;"","Fournisseur inconnu"),IF(A193="BS",IF(ISNA(MATCH(D193,p_services,0)),"Service inconnu",D193&amp;""),""))))</f>
        <v/>
      </c>
      <c r="F193" s="58" t="n"/>
      <c r="G193" s="58" t="n"/>
      <c r="H193" s="59" t="n"/>
      <c r="I193" s="57" t="str">
        <f>IF(H193="","",IFERROR(INDEX(art_des,MATCH(H193,art_ref,0))&amp;"","Article inconnu"))</f>
        <v/>
      </c>
      <c r="J193" s="60" t="str">
        <f>IF(H193="","",IFERROR(INDEX(art_unit,MATCH(H193,art_ref,0))&amp;"",""))</f>
        <v/>
      </c>
      <c r="K193" s="59" t="n"/>
      <c r="L193" s="59" t="n"/>
      <c r="M193" s="61" t="str">
        <f>IF(OR(B193="",NOT(ISNUMBER(K193)),NOT(ISNUMBER(L193))),"",IF(OR(K193&lt;=0,L193&lt;=0),"",ROUND(L193-K193,6)))</f>
        <v/>
      </c>
      <c r="N193" s="58" t="n"/>
      <c r="O193" s="62" t="n"/>
      <c r="P193" s="63" t="str">
        <f>IF(OR(B193="",NOT(ISNUMBER(L193))),"",IF(L193&lt;=0,"",IFERROR(ROUND(L193*N(INDEX(art_w,MATCH(H193,art_ref,0))),3),"")))</f>
        <v/>
      </c>
      <c r="Q193" s="59" t="n"/>
      <c r="R193" s="54" t="n"/>
      <c r="S193" s="59" t="n"/>
      <c r="T193" s="59" t="n"/>
      <c r="U193" s="64" t="str">
        <f>IF(OR(B193="",H193=""),"",IFERROR(IF(A193="BL",IF(N(INDEX(art_price,MATCH(H193,art_ref,0)))=0,"",N(INDEX(art_price,MATCH(H193,art_ref,0)))),IF(N(INDEX(art_cost,MATCH(H193,art_ref,0)))=0,"",N(INDEX(art_cost,MATCH(H193,art_ref,0))))),""))</f>
        <v/>
      </c>
      <c r="V193" s="64" t="str">
        <f>IF(OR(U193="",NOT(ISNUMBER(L193))),"",IF(L193&lt;=0,"",ROUND(L193*U193,2)))</f>
        <v/>
      </c>
      <c r="W193" s="60" t="str">
        <f>IF(AND(B193&lt;&gt;"",A193&lt;&gt;"BS",F193&lt;&gt;"",H193&lt;&gt;"",ISNUMBER(K193),ISNUMBER(L193)),IF(AND(K193&gt;0,L193&gt;0,K193-L193&gt;0,COUNTIFS(A194:A$2005,A193,F194:F$2005,F193,H194:H$2005,H193,AA194:AA$2005,"&gt;0")=0),ROUND(K193-L193,6),""),"")</f>
        <v/>
      </c>
      <c r="X193" s="60" t="str">
        <f>IF(AND(A193="",C193="",D193="",H193="",L193=""),"",IF(A193="","Type manquant",IF(AND(A193&lt;&gt;"BL",A193&lt;&gt;"BR",A193&lt;&gt;"BS"),"Type inconnu (BL, BR ou BS)",IF(AG193=0,"Date manquante ou invalide",IF(D193="",IF(A193="BL","Client manquant",IF(A193="BR","Fournisseur manquant","Service manquant")),IF(IF(A193="BL",ISNA(MATCH(D193,cl_code,0)),IF(A193="BR",ISNA(MATCH(D193,fo_code,0)),ISNA(MATCH(D193,p_services,0)))),IF(A193="BL","Client inconnu",IF(A193="BR","Fournisseur inconnu","Service inconnu")),IF(H193="","Article manquant",IF(ISNA(MATCH(H193,art_ref,0)),"Article inconnu",IF(OR(NOT(ISNUMBER(L193)),N(L193)&lt;=0),"Quantité invalide",IF(AND(K193&lt;&gt;"",OR(NOT(ISNUMBER(K193)),N(K193)&lt;=0)),"Qté commandée invalide",IF(AG193&lt;SUMPRODUCT(MAX((A$6:A192=A193)*AG$6:AG192)),"Date antérieure au bon précédent",IF(AND(A193&lt;&gt;"BR",ISNUMBER(M193),N(M193)&gt;0),IF(A193="BL","Livré plus que commandé","Sorti plus que demandé"),"OK"))))))))))))</f>
        <v/>
      </c>
      <c r="Y193" s="57" t="str">
        <f>IF(AND(OR(A193="BL",A193="BR",A193="BS"),AG193&gt;0,D193&lt;&gt;""),A193&amp;"|"&amp;AG193&amp;"|"&amp;D193&amp;"|"&amp;F193,"")</f>
        <v/>
      </c>
      <c r="Z193" s="57" t="str">
        <f>IF(Y193="","",IF(COUNTIF(Y$6:Y192,Y193)=0,1,0))</f>
        <v/>
      </c>
      <c r="AA193" s="57" t="str">
        <f>IF(Y193="","",IF(Z193=1,COUNTIFS(A$6:A193,A193,Z$6:Z193,1),INDEX(AA$6:AA192,MATCH(Y193,Y$6:Y192,0))))</f>
        <v/>
      </c>
      <c r="AB193" s="57" t="str">
        <f>IF(B193="","",COUNTIF(B$6:B193,B193))</f>
        <v/>
      </c>
      <c r="AC193" s="57" t="str">
        <f>IF(B193="","",B193&amp;"#"&amp;AB193)</f>
        <v/>
      </c>
      <c r="AD193" s="57" t="str">
        <f>IF(Z193=1,A193&amp;AA193,"")</f>
        <v/>
      </c>
      <c r="AE193" s="57" t="str">
        <f>IF(B193="","",YEAR(C193))</f>
        <v/>
      </c>
      <c r="AF193" s="57" t="str">
        <f>IF(B193="","",MONTH(C193))</f>
        <v/>
      </c>
      <c r="AG193" s="57">
        <f>IF(ISNUMBER(C193),C193,0)</f>
        <v>0.0</v>
      </c>
      <c r="AH193" s="57" t="str">
        <f>IF(N(W193)&gt;0,COUNTIF(W$6:W193,"&gt;0"),"")</f>
        <v/>
      </c>
      <c r="AI193" s="57" t="str">
        <f>IF(Z193=1,COUNTIF(Z$6:Z193,1),"")</f>
        <v/>
      </c>
    </row>
    <row r="194">
      <c r="A194" s="54" t="n"/>
      <c r="B194" s="55" t="str">
        <f>IF(AA194="","",A194&amp;"-"&amp;RIGHT("000"&amp;AA194,4))</f>
        <v/>
      </c>
      <c r="C194" s="56" t="n"/>
      <c r="D194" s="54" t="n"/>
      <c r="E194" s="57" t="str">
        <f>IF(D194="","",IF(A194="BL",IFERROR(INDEX(cl_name,MATCH(D194,cl_code,0))&amp;"","Client inconnu"),IF(A194="BR",IFERROR(INDEX(fo_name,MATCH(D194,fo_code,0))&amp;"","Fournisseur inconnu"),IF(A194="BS",IF(ISNA(MATCH(D194,p_services,0)),"Service inconnu",D194&amp;""),""))))</f>
        <v/>
      </c>
      <c r="F194" s="58" t="n"/>
      <c r="G194" s="58" t="n"/>
      <c r="H194" s="59" t="n"/>
      <c r="I194" s="57" t="str">
        <f>IF(H194="","",IFERROR(INDEX(art_des,MATCH(H194,art_ref,0))&amp;"","Article inconnu"))</f>
        <v/>
      </c>
      <c r="J194" s="60" t="str">
        <f>IF(H194="","",IFERROR(INDEX(art_unit,MATCH(H194,art_ref,0))&amp;"",""))</f>
        <v/>
      </c>
      <c r="K194" s="59" t="n"/>
      <c r="L194" s="59" t="n"/>
      <c r="M194" s="61" t="str">
        <f>IF(OR(B194="",NOT(ISNUMBER(K194)),NOT(ISNUMBER(L194))),"",IF(OR(K194&lt;=0,L194&lt;=0),"",ROUND(L194-K194,6)))</f>
        <v/>
      </c>
      <c r="N194" s="58" t="n"/>
      <c r="O194" s="62" t="n"/>
      <c r="P194" s="63" t="str">
        <f>IF(OR(B194="",NOT(ISNUMBER(L194))),"",IF(L194&lt;=0,"",IFERROR(ROUND(L194*N(INDEX(art_w,MATCH(H194,art_ref,0))),3),"")))</f>
        <v/>
      </c>
      <c r="Q194" s="59" t="n"/>
      <c r="R194" s="54" t="n"/>
      <c r="S194" s="59" t="n"/>
      <c r="T194" s="59" t="n"/>
      <c r="U194" s="64" t="str">
        <f>IF(OR(B194="",H194=""),"",IFERROR(IF(A194="BL",IF(N(INDEX(art_price,MATCH(H194,art_ref,0)))=0,"",N(INDEX(art_price,MATCH(H194,art_ref,0)))),IF(N(INDEX(art_cost,MATCH(H194,art_ref,0)))=0,"",N(INDEX(art_cost,MATCH(H194,art_ref,0))))),""))</f>
        <v/>
      </c>
      <c r="V194" s="64" t="str">
        <f>IF(OR(U194="",NOT(ISNUMBER(L194))),"",IF(L194&lt;=0,"",ROUND(L194*U194,2)))</f>
        <v/>
      </c>
      <c r="W194" s="60" t="str">
        <f>IF(AND(B194&lt;&gt;"",A194&lt;&gt;"BS",F194&lt;&gt;"",H194&lt;&gt;"",ISNUMBER(K194),ISNUMBER(L194)),IF(AND(K194&gt;0,L194&gt;0,K194-L194&gt;0,COUNTIFS(A195:A$2005,A194,F195:F$2005,F194,H195:H$2005,H194,AA195:AA$2005,"&gt;0")=0),ROUND(K194-L194,6),""),"")</f>
        <v/>
      </c>
      <c r="X194" s="60" t="str">
        <f>IF(AND(A194="",C194="",D194="",H194="",L194=""),"",IF(A194="","Type manquant",IF(AND(A194&lt;&gt;"BL",A194&lt;&gt;"BR",A194&lt;&gt;"BS"),"Type inconnu (BL, BR ou BS)",IF(AG194=0,"Date manquante ou invalide",IF(D194="",IF(A194="BL","Client manquant",IF(A194="BR","Fournisseur manquant","Service manquant")),IF(IF(A194="BL",ISNA(MATCH(D194,cl_code,0)),IF(A194="BR",ISNA(MATCH(D194,fo_code,0)),ISNA(MATCH(D194,p_services,0)))),IF(A194="BL","Client inconnu",IF(A194="BR","Fournisseur inconnu","Service inconnu")),IF(H194="","Article manquant",IF(ISNA(MATCH(H194,art_ref,0)),"Article inconnu",IF(OR(NOT(ISNUMBER(L194)),N(L194)&lt;=0),"Quantité invalide",IF(AND(K194&lt;&gt;"",OR(NOT(ISNUMBER(K194)),N(K194)&lt;=0)),"Qté commandée invalide",IF(AG194&lt;SUMPRODUCT(MAX((A$6:A193=A194)*AG$6:AG193)),"Date antérieure au bon précédent",IF(AND(A194&lt;&gt;"BR",ISNUMBER(M194),N(M194)&gt;0),IF(A194="BL","Livré plus que commandé","Sorti plus que demandé"),"OK"))))))))))))</f>
        <v/>
      </c>
      <c r="Y194" s="57" t="str">
        <f>IF(AND(OR(A194="BL",A194="BR",A194="BS"),AG194&gt;0,D194&lt;&gt;""),A194&amp;"|"&amp;AG194&amp;"|"&amp;D194&amp;"|"&amp;F194,"")</f>
        <v/>
      </c>
      <c r="Z194" s="57" t="str">
        <f>IF(Y194="","",IF(COUNTIF(Y$6:Y193,Y194)=0,1,0))</f>
        <v/>
      </c>
      <c r="AA194" s="57" t="str">
        <f>IF(Y194="","",IF(Z194=1,COUNTIFS(A$6:A194,A194,Z$6:Z194,1),INDEX(AA$6:AA193,MATCH(Y194,Y$6:Y193,0))))</f>
        <v/>
      </c>
      <c r="AB194" s="57" t="str">
        <f>IF(B194="","",COUNTIF(B$6:B194,B194))</f>
        <v/>
      </c>
      <c r="AC194" s="57" t="str">
        <f>IF(B194="","",B194&amp;"#"&amp;AB194)</f>
        <v/>
      </c>
      <c r="AD194" s="57" t="str">
        <f>IF(Z194=1,A194&amp;AA194,"")</f>
        <v/>
      </c>
      <c r="AE194" s="57" t="str">
        <f>IF(B194="","",YEAR(C194))</f>
        <v/>
      </c>
      <c r="AF194" s="57" t="str">
        <f>IF(B194="","",MONTH(C194))</f>
        <v/>
      </c>
      <c r="AG194" s="57">
        <f>IF(ISNUMBER(C194),C194,0)</f>
        <v>0.0</v>
      </c>
      <c r="AH194" s="57" t="str">
        <f>IF(N(W194)&gt;0,COUNTIF(W$6:W194,"&gt;0"),"")</f>
        <v/>
      </c>
      <c r="AI194" s="57" t="str">
        <f>IF(Z194=1,COUNTIF(Z$6:Z194,1),"")</f>
        <v/>
      </c>
    </row>
    <row r="195">
      <c r="A195" s="54" t="n"/>
      <c r="B195" s="55" t="str">
        <f>IF(AA195="","",A195&amp;"-"&amp;RIGHT("000"&amp;AA195,4))</f>
        <v/>
      </c>
      <c r="C195" s="56" t="n"/>
      <c r="D195" s="54" t="n"/>
      <c r="E195" s="57" t="str">
        <f>IF(D195="","",IF(A195="BL",IFERROR(INDEX(cl_name,MATCH(D195,cl_code,0))&amp;"","Client inconnu"),IF(A195="BR",IFERROR(INDEX(fo_name,MATCH(D195,fo_code,0))&amp;"","Fournisseur inconnu"),IF(A195="BS",IF(ISNA(MATCH(D195,p_services,0)),"Service inconnu",D195&amp;""),""))))</f>
        <v/>
      </c>
      <c r="F195" s="58" t="n"/>
      <c r="G195" s="58" t="n"/>
      <c r="H195" s="59" t="n"/>
      <c r="I195" s="57" t="str">
        <f>IF(H195="","",IFERROR(INDEX(art_des,MATCH(H195,art_ref,0))&amp;"","Article inconnu"))</f>
        <v/>
      </c>
      <c r="J195" s="60" t="str">
        <f>IF(H195="","",IFERROR(INDEX(art_unit,MATCH(H195,art_ref,0))&amp;"",""))</f>
        <v/>
      </c>
      <c r="K195" s="59" t="n"/>
      <c r="L195" s="59" t="n"/>
      <c r="M195" s="61" t="str">
        <f>IF(OR(B195="",NOT(ISNUMBER(K195)),NOT(ISNUMBER(L195))),"",IF(OR(K195&lt;=0,L195&lt;=0),"",ROUND(L195-K195,6)))</f>
        <v/>
      </c>
      <c r="N195" s="58" t="n"/>
      <c r="O195" s="62" t="n"/>
      <c r="P195" s="63" t="str">
        <f>IF(OR(B195="",NOT(ISNUMBER(L195))),"",IF(L195&lt;=0,"",IFERROR(ROUND(L195*N(INDEX(art_w,MATCH(H195,art_ref,0))),3),"")))</f>
        <v/>
      </c>
      <c r="Q195" s="59" t="n"/>
      <c r="R195" s="54" t="n"/>
      <c r="S195" s="59" t="n"/>
      <c r="T195" s="59" t="n"/>
      <c r="U195" s="64" t="str">
        <f>IF(OR(B195="",H195=""),"",IFERROR(IF(A195="BL",IF(N(INDEX(art_price,MATCH(H195,art_ref,0)))=0,"",N(INDEX(art_price,MATCH(H195,art_ref,0)))),IF(N(INDEX(art_cost,MATCH(H195,art_ref,0)))=0,"",N(INDEX(art_cost,MATCH(H195,art_ref,0))))),""))</f>
        <v/>
      </c>
      <c r="V195" s="64" t="str">
        <f>IF(OR(U195="",NOT(ISNUMBER(L195))),"",IF(L195&lt;=0,"",ROUND(L195*U195,2)))</f>
        <v/>
      </c>
      <c r="W195" s="60" t="str">
        <f>IF(AND(B195&lt;&gt;"",A195&lt;&gt;"BS",F195&lt;&gt;"",H195&lt;&gt;"",ISNUMBER(K195),ISNUMBER(L195)),IF(AND(K195&gt;0,L195&gt;0,K195-L195&gt;0,COUNTIFS(A196:A$2005,A195,F196:F$2005,F195,H196:H$2005,H195,AA196:AA$2005,"&gt;0")=0),ROUND(K195-L195,6),""),"")</f>
        <v/>
      </c>
      <c r="X195" s="60" t="str">
        <f>IF(AND(A195="",C195="",D195="",H195="",L195=""),"",IF(A195="","Type manquant",IF(AND(A195&lt;&gt;"BL",A195&lt;&gt;"BR",A195&lt;&gt;"BS"),"Type inconnu (BL, BR ou BS)",IF(AG195=0,"Date manquante ou invalide",IF(D195="",IF(A195="BL","Client manquant",IF(A195="BR","Fournisseur manquant","Service manquant")),IF(IF(A195="BL",ISNA(MATCH(D195,cl_code,0)),IF(A195="BR",ISNA(MATCH(D195,fo_code,0)),ISNA(MATCH(D195,p_services,0)))),IF(A195="BL","Client inconnu",IF(A195="BR","Fournisseur inconnu","Service inconnu")),IF(H195="","Article manquant",IF(ISNA(MATCH(H195,art_ref,0)),"Article inconnu",IF(OR(NOT(ISNUMBER(L195)),N(L195)&lt;=0),"Quantité invalide",IF(AND(K195&lt;&gt;"",OR(NOT(ISNUMBER(K195)),N(K195)&lt;=0)),"Qté commandée invalide",IF(AG195&lt;SUMPRODUCT(MAX((A$6:A194=A195)*AG$6:AG194)),"Date antérieure au bon précédent",IF(AND(A195&lt;&gt;"BR",ISNUMBER(M195),N(M195)&gt;0),IF(A195="BL","Livré plus que commandé","Sorti plus que demandé"),"OK"))))))))))))</f>
        <v/>
      </c>
      <c r="Y195" s="57" t="str">
        <f>IF(AND(OR(A195="BL",A195="BR",A195="BS"),AG195&gt;0,D195&lt;&gt;""),A195&amp;"|"&amp;AG195&amp;"|"&amp;D195&amp;"|"&amp;F195,"")</f>
        <v/>
      </c>
      <c r="Z195" s="57" t="str">
        <f>IF(Y195="","",IF(COUNTIF(Y$6:Y194,Y195)=0,1,0))</f>
        <v/>
      </c>
      <c r="AA195" s="57" t="str">
        <f>IF(Y195="","",IF(Z195=1,COUNTIFS(A$6:A195,A195,Z$6:Z195,1),INDEX(AA$6:AA194,MATCH(Y195,Y$6:Y194,0))))</f>
        <v/>
      </c>
      <c r="AB195" s="57" t="str">
        <f>IF(B195="","",COUNTIF(B$6:B195,B195))</f>
        <v/>
      </c>
      <c r="AC195" s="57" t="str">
        <f>IF(B195="","",B195&amp;"#"&amp;AB195)</f>
        <v/>
      </c>
      <c r="AD195" s="57" t="str">
        <f>IF(Z195=1,A195&amp;AA195,"")</f>
        <v/>
      </c>
      <c r="AE195" s="57" t="str">
        <f>IF(B195="","",YEAR(C195))</f>
        <v/>
      </c>
      <c r="AF195" s="57" t="str">
        <f>IF(B195="","",MONTH(C195))</f>
        <v/>
      </c>
      <c r="AG195" s="57">
        <f>IF(ISNUMBER(C195),C195,0)</f>
        <v>0.0</v>
      </c>
      <c r="AH195" s="57" t="str">
        <f>IF(N(W195)&gt;0,COUNTIF(W$6:W195,"&gt;0"),"")</f>
        <v/>
      </c>
      <c r="AI195" s="57" t="str">
        <f>IF(Z195=1,COUNTIF(Z$6:Z195,1),"")</f>
        <v/>
      </c>
    </row>
    <row r="196">
      <c r="A196" s="54" t="n"/>
      <c r="B196" s="55" t="str">
        <f>IF(AA196="","",A196&amp;"-"&amp;RIGHT("000"&amp;AA196,4))</f>
        <v/>
      </c>
      <c r="C196" s="56" t="n"/>
      <c r="D196" s="54" t="n"/>
      <c r="E196" s="57" t="str">
        <f>IF(D196="","",IF(A196="BL",IFERROR(INDEX(cl_name,MATCH(D196,cl_code,0))&amp;"","Client inconnu"),IF(A196="BR",IFERROR(INDEX(fo_name,MATCH(D196,fo_code,0))&amp;"","Fournisseur inconnu"),IF(A196="BS",IF(ISNA(MATCH(D196,p_services,0)),"Service inconnu",D196&amp;""),""))))</f>
        <v/>
      </c>
      <c r="F196" s="58" t="n"/>
      <c r="G196" s="58" t="n"/>
      <c r="H196" s="59" t="n"/>
      <c r="I196" s="57" t="str">
        <f>IF(H196="","",IFERROR(INDEX(art_des,MATCH(H196,art_ref,0))&amp;"","Article inconnu"))</f>
        <v/>
      </c>
      <c r="J196" s="60" t="str">
        <f>IF(H196="","",IFERROR(INDEX(art_unit,MATCH(H196,art_ref,0))&amp;"",""))</f>
        <v/>
      </c>
      <c r="K196" s="59" t="n"/>
      <c r="L196" s="59" t="n"/>
      <c r="M196" s="61" t="str">
        <f>IF(OR(B196="",NOT(ISNUMBER(K196)),NOT(ISNUMBER(L196))),"",IF(OR(K196&lt;=0,L196&lt;=0),"",ROUND(L196-K196,6)))</f>
        <v/>
      </c>
      <c r="N196" s="58" t="n"/>
      <c r="O196" s="62" t="n"/>
      <c r="P196" s="63" t="str">
        <f>IF(OR(B196="",NOT(ISNUMBER(L196))),"",IF(L196&lt;=0,"",IFERROR(ROUND(L196*N(INDEX(art_w,MATCH(H196,art_ref,0))),3),"")))</f>
        <v/>
      </c>
      <c r="Q196" s="59" t="n"/>
      <c r="R196" s="54" t="n"/>
      <c r="S196" s="59" t="n"/>
      <c r="T196" s="59" t="n"/>
      <c r="U196" s="64" t="str">
        <f>IF(OR(B196="",H196=""),"",IFERROR(IF(A196="BL",IF(N(INDEX(art_price,MATCH(H196,art_ref,0)))=0,"",N(INDEX(art_price,MATCH(H196,art_ref,0)))),IF(N(INDEX(art_cost,MATCH(H196,art_ref,0)))=0,"",N(INDEX(art_cost,MATCH(H196,art_ref,0))))),""))</f>
        <v/>
      </c>
      <c r="V196" s="64" t="str">
        <f>IF(OR(U196="",NOT(ISNUMBER(L196))),"",IF(L196&lt;=0,"",ROUND(L196*U196,2)))</f>
        <v/>
      </c>
      <c r="W196" s="60" t="str">
        <f>IF(AND(B196&lt;&gt;"",A196&lt;&gt;"BS",F196&lt;&gt;"",H196&lt;&gt;"",ISNUMBER(K196),ISNUMBER(L196)),IF(AND(K196&gt;0,L196&gt;0,K196-L196&gt;0,COUNTIFS(A197:A$2005,A196,F197:F$2005,F196,H197:H$2005,H196,AA197:AA$2005,"&gt;0")=0),ROUND(K196-L196,6),""),"")</f>
        <v/>
      </c>
      <c r="X196" s="60" t="str">
        <f>IF(AND(A196="",C196="",D196="",H196="",L196=""),"",IF(A196="","Type manquant",IF(AND(A196&lt;&gt;"BL",A196&lt;&gt;"BR",A196&lt;&gt;"BS"),"Type inconnu (BL, BR ou BS)",IF(AG196=0,"Date manquante ou invalide",IF(D196="",IF(A196="BL","Client manquant",IF(A196="BR","Fournisseur manquant","Service manquant")),IF(IF(A196="BL",ISNA(MATCH(D196,cl_code,0)),IF(A196="BR",ISNA(MATCH(D196,fo_code,0)),ISNA(MATCH(D196,p_services,0)))),IF(A196="BL","Client inconnu",IF(A196="BR","Fournisseur inconnu","Service inconnu")),IF(H196="","Article manquant",IF(ISNA(MATCH(H196,art_ref,0)),"Article inconnu",IF(OR(NOT(ISNUMBER(L196)),N(L196)&lt;=0),"Quantité invalide",IF(AND(K196&lt;&gt;"",OR(NOT(ISNUMBER(K196)),N(K196)&lt;=0)),"Qté commandée invalide",IF(AG196&lt;SUMPRODUCT(MAX((A$6:A195=A196)*AG$6:AG195)),"Date antérieure au bon précédent",IF(AND(A196&lt;&gt;"BR",ISNUMBER(M196),N(M196)&gt;0),IF(A196="BL","Livré plus que commandé","Sorti plus que demandé"),"OK"))))))))))))</f>
        <v/>
      </c>
      <c r="Y196" s="57" t="str">
        <f>IF(AND(OR(A196="BL",A196="BR",A196="BS"),AG196&gt;0,D196&lt;&gt;""),A196&amp;"|"&amp;AG196&amp;"|"&amp;D196&amp;"|"&amp;F196,"")</f>
        <v/>
      </c>
      <c r="Z196" s="57" t="str">
        <f>IF(Y196="","",IF(COUNTIF(Y$6:Y195,Y196)=0,1,0))</f>
        <v/>
      </c>
      <c r="AA196" s="57" t="str">
        <f>IF(Y196="","",IF(Z196=1,COUNTIFS(A$6:A196,A196,Z$6:Z196,1),INDEX(AA$6:AA195,MATCH(Y196,Y$6:Y195,0))))</f>
        <v/>
      </c>
      <c r="AB196" s="57" t="str">
        <f>IF(B196="","",COUNTIF(B$6:B196,B196))</f>
        <v/>
      </c>
      <c r="AC196" s="57" t="str">
        <f>IF(B196="","",B196&amp;"#"&amp;AB196)</f>
        <v/>
      </c>
      <c r="AD196" s="57" t="str">
        <f>IF(Z196=1,A196&amp;AA196,"")</f>
        <v/>
      </c>
      <c r="AE196" s="57" t="str">
        <f>IF(B196="","",YEAR(C196))</f>
        <v/>
      </c>
      <c r="AF196" s="57" t="str">
        <f>IF(B196="","",MONTH(C196))</f>
        <v/>
      </c>
      <c r="AG196" s="57">
        <f>IF(ISNUMBER(C196),C196,0)</f>
        <v>0.0</v>
      </c>
      <c r="AH196" s="57" t="str">
        <f>IF(N(W196)&gt;0,COUNTIF(W$6:W196,"&gt;0"),"")</f>
        <v/>
      </c>
      <c r="AI196" s="57" t="str">
        <f>IF(Z196=1,COUNTIF(Z$6:Z196,1),"")</f>
        <v/>
      </c>
    </row>
    <row r="197">
      <c r="A197" s="54" t="n"/>
      <c r="B197" s="55" t="str">
        <f>IF(AA197="","",A197&amp;"-"&amp;RIGHT("000"&amp;AA197,4))</f>
        <v/>
      </c>
      <c r="C197" s="56" t="n"/>
      <c r="D197" s="54" t="n"/>
      <c r="E197" s="57" t="str">
        <f>IF(D197="","",IF(A197="BL",IFERROR(INDEX(cl_name,MATCH(D197,cl_code,0))&amp;"","Client inconnu"),IF(A197="BR",IFERROR(INDEX(fo_name,MATCH(D197,fo_code,0))&amp;"","Fournisseur inconnu"),IF(A197="BS",IF(ISNA(MATCH(D197,p_services,0)),"Service inconnu",D197&amp;""),""))))</f>
        <v/>
      </c>
      <c r="F197" s="58" t="n"/>
      <c r="G197" s="58" t="n"/>
      <c r="H197" s="59" t="n"/>
      <c r="I197" s="57" t="str">
        <f>IF(H197="","",IFERROR(INDEX(art_des,MATCH(H197,art_ref,0))&amp;"","Article inconnu"))</f>
        <v/>
      </c>
      <c r="J197" s="60" t="str">
        <f>IF(H197="","",IFERROR(INDEX(art_unit,MATCH(H197,art_ref,0))&amp;"",""))</f>
        <v/>
      </c>
      <c r="K197" s="59" t="n"/>
      <c r="L197" s="59" t="n"/>
      <c r="M197" s="61" t="str">
        <f>IF(OR(B197="",NOT(ISNUMBER(K197)),NOT(ISNUMBER(L197))),"",IF(OR(K197&lt;=0,L197&lt;=0),"",ROUND(L197-K197,6)))</f>
        <v/>
      </c>
      <c r="N197" s="58" t="n"/>
      <c r="O197" s="62" t="n"/>
      <c r="P197" s="63" t="str">
        <f>IF(OR(B197="",NOT(ISNUMBER(L197))),"",IF(L197&lt;=0,"",IFERROR(ROUND(L197*N(INDEX(art_w,MATCH(H197,art_ref,0))),3),"")))</f>
        <v/>
      </c>
      <c r="Q197" s="59" t="n"/>
      <c r="R197" s="54" t="n"/>
      <c r="S197" s="59" t="n"/>
      <c r="T197" s="59" t="n"/>
      <c r="U197" s="64" t="str">
        <f>IF(OR(B197="",H197=""),"",IFERROR(IF(A197="BL",IF(N(INDEX(art_price,MATCH(H197,art_ref,0)))=0,"",N(INDEX(art_price,MATCH(H197,art_ref,0)))),IF(N(INDEX(art_cost,MATCH(H197,art_ref,0)))=0,"",N(INDEX(art_cost,MATCH(H197,art_ref,0))))),""))</f>
        <v/>
      </c>
      <c r="V197" s="64" t="str">
        <f>IF(OR(U197="",NOT(ISNUMBER(L197))),"",IF(L197&lt;=0,"",ROUND(L197*U197,2)))</f>
        <v/>
      </c>
      <c r="W197" s="60" t="str">
        <f>IF(AND(B197&lt;&gt;"",A197&lt;&gt;"BS",F197&lt;&gt;"",H197&lt;&gt;"",ISNUMBER(K197),ISNUMBER(L197)),IF(AND(K197&gt;0,L197&gt;0,K197-L197&gt;0,COUNTIFS(A198:A$2005,A197,F198:F$2005,F197,H198:H$2005,H197,AA198:AA$2005,"&gt;0")=0),ROUND(K197-L197,6),""),"")</f>
        <v/>
      </c>
      <c r="X197" s="60" t="str">
        <f>IF(AND(A197="",C197="",D197="",H197="",L197=""),"",IF(A197="","Type manquant",IF(AND(A197&lt;&gt;"BL",A197&lt;&gt;"BR",A197&lt;&gt;"BS"),"Type inconnu (BL, BR ou BS)",IF(AG197=0,"Date manquante ou invalide",IF(D197="",IF(A197="BL","Client manquant",IF(A197="BR","Fournisseur manquant","Service manquant")),IF(IF(A197="BL",ISNA(MATCH(D197,cl_code,0)),IF(A197="BR",ISNA(MATCH(D197,fo_code,0)),ISNA(MATCH(D197,p_services,0)))),IF(A197="BL","Client inconnu",IF(A197="BR","Fournisseur inconnu","Service inconnu")),IF(H197="","Article manquant",IF(ISNA(MATCH(H197,art_ref,0)),"Article inconnu",IF(OR(NOT(ISNUMBER(L197)),N(L197)&lt;=0),"Quantité invalide",IF(AND(K197&lt;&gt;"",OR(NOT(ISNUMBER(K197)),N(K197)&lt;=0)),"Qté commandée invalide",IF(AG197&lt;SUMPRODUCT(MAX((A$6:A196=A197)*AG$6:AG196)),"Date antérieure au bon précédent",IF(AND(A197&lt;&gt;"BR",ISNUMBER(M197),N(M197)&gt;0),IF(A197="BL","Livré plus que commandé","Sorti plus que demandé"),"OK"))))))))))))</f>
        <v/>
      </c>
      <c r="Y197" s="57" t="str">
        <f>IF(AND(OR(A197="BL",A197="BR",A197="BS"),AG197&gt;0,D197&lt;&gt;""),A197&amp;"|"&amp;AG197&amp;"|"&amp;D197&amp;"|"&amp;F197,"")</f>
        <v/>
      </c>
      <c r="Z197" s="57" t="str">
        <f>IF(Y197="","",IF(COUNTIF(Y$6:Y196,Y197)=0,1,0))</f>
        <v/>
      </c>
      <c r="AA197" s="57" t="str">
        <f>IF(Y197="","",IF(Z197=1,COUNTIFS(A$6:A197,A197,Z$6:Z197,1),INDEX(AA$6:AA196,MATCH(Y197,Y$6:Y196,0))))</f>
        <v/>
      </c>
      <c r="AB197" s="57" t="str">
        <f>IF(B197="","",COUNTIF(B$6:B197,B197))</f>
        <v/>
      </c>
      <c r="AC197" s="57" t="str">
        <f>IF(B197="","",B197&amp;"#"&amp;AB197)</f>
        <v/>
      </c>
      <c r="AD197" s="57" t="str">
        <f>IF(Z197=1,A197&amp;AA197,"")</f>
        <v/>
      </c>
      <c r="AE197" s="57" t="str">
        <f>IF(B197="","",YEAR(C197))</f>
        <v/>
      </c>
      <c r="AF197" s="57" t="str">
        <f>IF(B197="","",MONTH(C197))</f>
        <v/>
      </c>
      <c r="AG197" s="57">
        <f>IF(ISNUMBER(C197),C197,0)</f>
        <v>0.0</v>
      </c>
      <c r="AH197" s="57" t="str">
        <f>IF(N(W197)&gt;0,COUNTIF(W$6:W197,"&gt;0"),"")</f>
        <v/>
      </c>
      <c r="AI197" s="57" t="str">
        <f>IF(Z197=1,COUNTIF(Z$6:Z197,1),"")</f>
        <v/>
      </c>
    </row>
    <row r="198">
      <c r="A198" s="54" t="n"/>
      <c r="B198" s="55" t="str">
        <f>IF(AA198="","",A198&amp;"-"&amp;RIGHT("000"&amp;AA198,4))</f>
        <v/>
      </c>
      <c r="C198" s="56" t="n"/>
      <c r="D198" s="54" t="n"/>
      <c r="E198" s="57" t="str">
        <f>IF(D198="","",IF(A198="BL",IFERROR(INDEX(cl_name,MATCH(D198,cl_code,0))&amp;"","Client inconnu"),IF(A198="BR",IFERROR(INDEX(fo_name,MATCH(D198,fo_code,0))&amp;"","Fournisseur inconnu"),IF(A198="BS",IF(ISNA(MATCH(D198,p_services,0)),"Service inconnu",D198&amp;""),""))))</f>
        <v/>
      </c>
      <c r="F198" s="58" t="n"/>
      <c r="G198" s="58" t="n"/>
      <c r="H198" s="59" t="n"/>
      <c r="I198" s="57" t="str">
        <f>IF(H198="","",IFERROR(INDEX(art_des,MATCH(H198,art_ref,0))&amp;"","Article inconnu"))</f>
        <v/>
      </c>
      <c r="J198" s="60" t="str">
        <f>IF(H198="","",IFERROR(INDEX(art_unit,MATCH(H198,art_ref,0))&amp;"",""))</f>
        <v/>
      </c>
      <c r="K198" s="59" t="n"/>
      <c r="L198" s="59" t="n"/>
      <c r="M198" s="61" t="str">
        <f>IF(OR(B198="",NOT(ISNUMBER(K198)),NOT(ISNUMBER(L198))),"",IF(OR(K198&lt;=0,L198&lt;=0),"",ROUND(L198-K198,6)))</f>
        <v/>
      </c>
      <c r="N198" s="58" t="n"/>
      <c r="O198" s="62" t="n"/>
      <c r="P198" s="63" t="str">
        <f>IF(OR(B198="",NOT(ISNUMBER(L198))),"",IF(L198&lt;=0,"",IFERROR(ROUND(L198*N(INDEX(art_w,MATCH(H198,art_ref,0))),3),"")))</f>
        <v/>
      </c>
      <c r="Q198" s="59" t="n"/>
      <c r="R198" s="54" t="n"/>
      <c r="S198" s="59" t="n"/>
      <c r="T198" s="59" t="n"/>
      <c r="U198" s="64" t="str">
        <f>IF(OR(B198="",H198=""),"",IFERROR(IF(A198="BL",IF(N(INDEX(art_price,MATCH(H198,art_ref,0)))=0,"",N(INDEX(art_price,MATCH(H198,art_ref,0)))),IF(N(INDEX(art_cost,MATCH(H198,art_ref,0)))=0,"",N(INDEX(art_cost,MATCH(H198,art_ref,0))))),""))</f>
        <v/>
      </c>
      <c r="V198" s="64" t="str">
        <f>IF(OR(U198="",NOT(ISNUMBER(L198))),"",IF(L198&lt;=0,"",ROUND(L198*U198,2)))</f>
        <v/>
      </c>
      <c r="W198" s="60" t="str">
        <f>IF(AND(B198&lt;&gt;"",A198&lt;&gt;"BS",F198&lt;&gt;"",H198&lt;&gt;"",ISNUMBER(K198),ISNUMBER(L198)),IF(AND(K198&gt;0,L198&gt;0,K198-L198&gt;0,COUNTIFS(A199:A$2005,A198,F199:F$2005,F198,H199:H$2005,H198,AA199:AA$2005,"&gt;0")=0),ROUND(K198-L198,6),""),"")</f>
        <v/>
      </c>
      <c r="X198" s="60" t="str">
        <f>IF(AND(A198="",C198="",D198="",H198="",L198=""),"",IF(A198="","Type manquant",IF(AND(A198&lt;&gt;"BL",A198&lt;&gt;"BR",A198&lt;&gt;"BS"),"Type inconnu (BL, BR ou BS)",IF(AG198=0,"Date manquante ou invalide",IF(D198="",IF(A198="BL","Client manquant",IF(A198="BR","Fournisseur manquant","Service manquant")),IF(IF(A198="BL",ISNA(MATCH(D198,cl_code,0)),IF(A198="BR",ISNA(MATCH(D198,fo_code,0)),ISNA(MATCH(D198,p_services,0)))),IF(A198="BL","Client inconnu",IF(A198="BR","Fournisseur inconnu","Service inconnu")),IF(H198="","Article manquant",IF(ISNA(MATCH(H198,art_ref,0)),"Article inconnu",IF(OR(NOT(ISNUMBER(L198)),N(L198)&lt;=0),"Quantité invalide",IF(AND(K198&lt;&gt;"",OR(NOT(ISNUMBER(K198)),N(K198)&lt;=0)),"Qté commandée invalide",IF(AG198&lt;SUMPRODUCT(MAX((A$6:A197=A198)*AG$6:AG197)),"Date antérieure au bon précédent",IF(AND(A198&lt;&gt;"BR",ISNUMBER(M198),N(M198)&gt;0),IF(A198="BL","Livré plus que commandé","Sorti plus que demandé"),"OK"))))))))))))</f>
        <v/>
      </c>
      <c r="Y198" s="57" t="str">
        <f>IF(AND(OR(A198="BL",A198="BR",A198="BS"),AG198&gt;0,D198&lt;&gt;""),A198&amp;"|"&amp;AG198&amp;"|"&amp;D198&amp;"|"&amp;F198,"")</f>
        <v/>
      </c>
      <c r="Z198" s="57" t="str">
        <f>IF(Y198="","",IF(COUNTIF(Y$6:Y197,Y198)=0,1,0))</f>
        <v/>
      </c>
      <c r="AA198" s="57" t="str">
        <f>IF(Y198="","",IF(Z198=1,COUNTIFS(A$6:A198,A198,Z$6:Z198,1),INDEX(AA$6:AA197,MATCH(Y198,Y$6:Y197,0))))</f>
        <v/>
      </c>
      <c r="AB198" s="57" t="str">
        <f>IF(B198="","",COUNTIF(B$6:B198,B198))</f>
        <v/>
      </c>
      <c r="AC198" s="57" t="str">
        <f>IF(B198="","",B198&amp;"#"&amp;AB198)</f>
        <v/>
      </c>
      <c r="AD198" s="57" t="str">
        <f>IF(Z198=1,A198&amp;AA198,"")</f>
        <v/>
      </c>
      <c r="AE198" s="57" t="str">
        <f>IF(B198="","",YEAR(C198))</f>
        <v/>
      </c>
      <c r="AF198" s="57" t="str">
        <f>IF(B198="","",MONTH(C198))</f>
        <v/>
      </c>
      <c r="AG198" s="57">
        <f>IF(ISNUMBER(C198),C198,0)</f>
        <v>0.0</v>
      </c>
      <c r="AH198" s="57" t="str">
        <f>IF(N(W198)&gt;0,COUNTIF(W$6:W198,"&gt;0"),"")</f>
        <v/>
      </c>
      <c r="AI198" s="57" t="str">
        <f>IF(Z198=1,COUNTIF(Z$6:Z198,1),"")</f>
        <v/>
      </c>
    </row>
    <row r="199">
      <c r="A199" s="54" t="n"/>
      <c r="B199" s="55" t="str">
        <f>IF(AA199="","",A199&amp;"-"&amp;RIGHT("000"&amp;AA199,4))</f>
        <v/>
      </c>
      <c r="C199" s="56" t="n"/>
      <c r="D199" s="54" t="n"/>
      <c r="E199" s="57" t="str">
        <f>IF(D199="","",IF(A199="BL",IFERROR(INDEX(cl_name,MATCH(D199,cl_code,0))&amp;"","Client inconnu"),IF(A199="BR",IFERROR(INDEX(fo_name,MATCH(D199,fo_code,0))&amp;"","Fournisseur inconnu"),IF(A199="BS",IF(ISNA(MATCH(D199,p_services,0)),"Service inconnu",D199&amp;""),""))))</f>
        <v/>
      </c>
      <c r="F199" s="58" t="n"/>
      <c r="G199" s="58" t="n"/>
      <c r="H199" s="59" t="n"/>
      <c r="I199" s="57" t="str">
        <f>IF(H199="","",IFERROR(INDEX(art_des,MATCH(H199,art_ref,0))&amp;"","Article inconnu"))</f>
        <v/>
      </c>
      <c r="J199" s="60" t="str">
        <f>IF(H199="","",IFERROR(INDEX(art_unit,MATCH(H199,art_ref,0))&amp;"",""))</f>
        <v/>
      </c>
      <c r="K199" s="59" t="n"/>
      <c r="L199" s="59" t="n"/>
      <c r="M199" s="61" t="str">
        <f>IF(OR(B199="",NOT(ISNUMBER(K199)),NOT(ISNUMBER(L199))),"",IF(OR(K199&lt;=0,L199&lt;=0),"",ROUND(L199-K199,6)))</f>
        <v/>
      </c>
      <c r="N199" s="58" t="n"/>
      <c r="O199" s="62" t="n"/>
      <c r="P199" s="63" t="str">
        <f>IF(OR(B199="",NOT(ISNUMBER(L199))),"",IF(L199&lt;=0,"",IFERROR(ROUND(L199*N(INDEX(art_w,MATCH(H199,art_ref,0))),3),"")))</f>
        <v/>
      </c>
      <c r="Q199" s="59" t="n"/>
      <c r="R199" s="54" t="n"/>
      <c r="S199" s="59" t="n"/>
      <c r="T199" s="59" t="n"/>
      <c r="U199" s="64" t="str">
        <f>IF(OR(B199="",H199=""),"",IFERROR(IF(A199="BL",IF(N(INDEX(art_price,MATCH(H199,art_ref,0)))=0,"",N(INDEX(art_price,MATCH(H199,art_ref,0)))),IF(N(INDEX(art_cost,MATCH(H199,art_ref,0)))=0,"",N(INDEX(art_cost,MATCH(H199,art_ref,0))))),""))</f>
        <v/>
      </c>
      <c r="V199" s="64" t="str">
        <f>IF(OR(U199="",NOT(ISNUMBER(L199))),"",IF(L199&lt;=0,"",ROUND(L199*U199,2)))</f>
        <v/>
      </c>
      <c r="W199" s="60" t="str">
        <f>IF(AND(B199&lt;&gt;"",A199&lt;&gt;"BS",F199&lt;&gt;"",H199&lt;&gt;"",ISNUMBER(K199),ISNUMBER(L199)),IF(AND(K199&gt;0,L199&gt;0,K199-L199&gt;0,COUNTIFS(A200:A$2005,A199,F200:F$2005,F199,H200:H$2005,H199,AA200:AA$2005,"&gt;0")=0),ROUND(K199-L199,6),""),"")</f>
        <v/>
      </c>
      <c r="X199" s="60" t="str">
        <f>IF(AND(A199="",C199="",D199="",H199="",L199=""),"",IF(A199="","Type manquant",IF(AND(A199&lt;&gt;"BL",A199&lt;&gt;"BR",A199&lt;&gt;"BS"),"Type inconnu (BL, BR ou BS)",IF(AG199=0,"Date manquante ou invalide",IF(D199="",IF(A199="BL","Client manquant",IF(A199="BR","Fournisseur manquant","Service manquant")),IF(IF(A199="BL",ISNA(MATCH(D199,cl_code,0)),IF(A199="BR",ISNA(MATCH(D199,fo_code,0)),ISNA(MATCH(D199,p_services,0)))),IF(A199="BL","Client inconnu",IF(A199="BR","Fournisseur inconnu","Service inconnu")),IF(H199="","Article manquant",IF(ISNA(MATCH(H199,art_ref,0)),"Article inconnu",IF(OR(NOT(ISNUMBER(L199)),N(L199)&lt;=0),"Quantité invalide",IF(AND(K199&lt;&gt;"",OR(NOT(ISNUMBER(K199)),N(K199)&lt;=0)),"Qté commandée invalide",IF(AG199&lt;SUMPRODUCT(MAX((A$6:A198=A199)*AG$6:AG198)),"Date antérieure au bon précédent",IF(AND(A199&lt;&gt;"BR",ISNUMBER(M199),N(M199)&gt;0),IF(A199="BL","Livré plus que commandé","Sorti plus que demandé"),"OK"))))))))))))</f>
        <v/>
      </c>
      <c r="Y199" s="57" t="str">
        <f>IF(AND(OR(A199="BL",A199="BR",A199="BS"),AG199&gt;0,D199&lt;&gt;""),A199&amp;"|"&amp;AG199&amp;"|"&amp;D199&amp;"|"&amp;F199,"")</f>
        <v/>
      </c>
      <c r="Z199" s="57" t="str">
        <f>IF(Y199="","",IF(COUNTIF(Y$6:Y198,Y199)=0,1,0))</f>
        <v/>
      </c>
      <c r="AA199" s="57" t="str">
        <f>IF(Y199="","",IF(Z199=1,COUNTIFS(A$6:A199,A199,Z$6:Z199,1),INDEX(AA$6:AA198,MATCH(Y199,Y$6:Y198,0))))</f>
        <v/>
      </c>
      <c r="AB199" s="57" t="str">
        <f>IF(B199="","",COUNTIF(B$6:B199,B199))</f>
        <v/>
      </c>
      <c r="AC199" s="57" t="str">
        <f>IF(B199="","",B199&amp;"#"&amp;AB199)</f>
        <v/>
      </c>
      <c r="AD199" s="57" t="str">
        <f>IF(Z199=1,A199&amp;AA199,"")</f>
        <v/>
      </c>
      <c r="AE199" s="57" t="str">
        <f>IF(B199="","",YEAR(C199))</f>
        <v/>
      </c>
      <c r="AF199" s="57" t="str">
        <f>IF(B199="","",MONTH(C199))</f>
        <v/>
      </c>
      <c r="AG199" s="57">
        <f>IF(ISNUMBER(C199),C199,0)</f>
        <v>0.0</v>
      </c>
      <c r="AH199" s="57" t="str">
        <f>IF(N(W199)&gt;0,COUNTIF(W$6:W199,"&gt;0"),"")</f>
        <v/>
      </c>
      <c r="AI199" s="57" t="str">
        <f>IF(Z199=1,COUNTIF(Z$6:Z199,1),"")</f>
        <v/>
      </c>
    </row>
    <row r="200">
      <c r="A200" s="54" t="n"/>
      <c r="B200" s="55" t="str">
        <f>IF(AA200="","",A200&amp;"-"&amp;RIGHT("000"&amp;AA200,4))</f>
        <v/>
      </c>
      <c r="C200" s="56" t="n"/>
      <c r="D200" s="54" t="n"/>
      <c r="E200" s="57" t="str">
        <f>IF(D200="","",IF(A200="BL",IFERROR(INDEX(cl_name,MATCH(D200,cl_code,0))&amp;"","Client inconnu"),IF(A200="BR",IFERROR(INDEX(fo_name,MATCH(D200,fo_code,0))&amp;"","Fournisseur inconnu"),IF(A200="BS",IF(ISNA(MATCH(D200,p_services,0)),"Service inconnu",D200&amp;""),""))))</f>
        <v/>
      </c>
      <c r="F200" s="58" t="n"/>
      <c r="G200" s="58" t="n"/>
      <c r="H200" s="59" t="n"/>
      <c r="I200" s="57" t="str">
        <f>IF(H200="","",IFERROR(INDEX(art_des,MATCH(H200,art_ref,0))&amp;"","Article inconnu"))</f>
        <v/>
      </c>
      <c r="J200" s="60" t="str">
        <f>IF(H200="","",IFERROR(INDEX(art_unit,MATCH(H200,art_ref,0))&amp;"",""))</f>
        <v/>
      </c>
      <c r="K200" s="59" t="n"/>
      <c r="L200" s="59" t="n"/>
      <c r="M200" s="61" t="str">
        <f>IF(OR(B200="",NOT(ISNUMBER(K200)),NOT(ISNUMBER(L200))),"",IF(OR(K200&lt;=0,L200&lt;=0),"",ROUND(L200-K200,6)))</f>
        <v/>
      </c>
      <c r="N200" s="58" t="n"/>
      <c r="O200" s="62" t="n"/>
      <c r="P200" s="63" t="str">
        <f>IF(OR(B200="",NOT(ISNUMBER(L200))),"",IF(L200&lt;=0,"",IFERROR(ROUND(L200*N(INDEX(art_w,MATCH(H200,art_ref,0))),3),"")))</f>
        <v/>
      </c>
      <c r="Q200" s="59" t="n"/>
      <c r="R200" s="54" t="n"/>
      <c r="S200" s="59" t="n"/>
      <c r="T200" s="59" t="n"/>
      <c r="U200" s="64" t="str">
        <f>IF(OR(B200="",H200=""),"",IFERROR(IF(A200="BL",IF(N(INDEX(art_price,MATCH(H200,art_ref,0)))=0,"",N(INDEX(art_price,MATCH(H200,art_ref,0)))),IF(N(INDEX(art_cost,MATCH(H200,art_ref,0)))=0,"",N(INDEX(art_cost,MATCH(H200,art_ref,0))))),""))</f>
        <v/>
      </c>
      <c r="V200" s="64" t="str">
        <f>IF(OR(U200="",NOT(ISNUMBER(L200))),"",IF(L200&lt;=0,"",ROUND(L200*U200,2)))</f>
        <v/>
      </c>
      <c r="W200" s="60" t="str">
        <f>IF(AND(B200&lt;&gt;"",A200&lt;&gt;"BS",F200&lt;&gt;"",H200&lt;&gt;"",ISNUMBER(K200),ISNUMBER(L200)),IF(AND(K200&gt;0,L200&gt;0,K200-L200&gt;0,COUNTIFS(A201:A$2005,A200,F201:F$2005,F200,H201:H$2005,H200,AA201:AA$2005,"&gt;0")=0),ROUND(K200-L200,6),""),"")</f>
        <v/>
      </c>
      <c r="X200" s="60" t="str">
        <f>IF(AND(A200="",C200="",D200="",H200="",L200=""),"",IF(A200="","Type manquant",IF(AND(A200&lt;&gt;"BL",A200&lt;&gt;"BR",A200&lt;&gt;"BS"),"Type inconnu (BL, BR ou BS)",IF(AG200=0,"Date manquante ou invalide",IF(D200="",IF(A200="BL","Client manquant",IF(A200="BR","Fournisseur manquant","Service manquant")),IF(IF(A200="BL",ISNA(MATCH(D200,cl_code,0)),IF(A200="BR",ISNA(MATCH(D200,fo_code,0)),ISNA(MATCH(D200,p_services,0)))),IF(A200="BL","Client inconnu",IF(A200="BR","Fournisseur inconnu","Service inconnu")),IF(H200="","Article manquant",IF(ISNA(MATCH(H200,art_ref,0)),"Article inconnu",IF(OR(NOT(ISNUMBER(L200)),N(L200)&lt;=0),"Quantité invalide",IF(AND(K200&lt;&gt;"",OR(NOT(ISNUMBER(K200)),N(K200)&lt;=0)),"Qté commandée invalide",IF(AG200&lt;SUMPRODUCT(MAX((A$6:A199=A200)*AG$6:AG199)),"Date antérieure au bon précédent",IF(AND(A200&lt;&gt;"BR",ISNUMBER(M200),N(M200)&gt;0),IF(A200="BL","Livré plus que commandé","Sorti plus que demandé"),"OK"))))))))))))</f>
        <v/>
      </c>
      <c r="Y200" s="57" t="str">
        <f>IF(AND(OR(A200="BL",A200="BR",A200="BS"),AG200&gt;0,D200&lt;&gt;""),A200&amp;"|"&amp;AG200&amp;"|"&amp;D200&amp;"|"&amp;F200,"")</f>
        <v/>
      </c>
      <c r="Z200" s="57" t="str">
        <f>IF(Y200="","",IF(COUNTIF(Y$6:Y199,Y200)=0,1,0))</f>
        <v/>
      </c>
      <c r="AA200" s="57" t="str">
        <f>IF(Y200="","",IF(Z200=1,COUNTIFS(A$6:A200,A200,Z$6:Z200,1),INDEX(AA$6:AA199,MATCH(Y200,Y$6:Y199,0))))</f>
        <v/>
      </c>
      <c r="AB200" s="57" t="str">
        <f>IF(B200="","",COUNTIF(B$6:B200,B200))</f>
        <v/>
      </c>
      <c r="AC200" s="57" t="str">
        <f>IF(B200="","",B200&amp;"#"&amp;AB200)</f>
        <v/>
      </c>
      <c r="AD200" s="57" t="str">
        <f>IF(Z200=1,A200&amp;AA200,"")</f>
        <v/>
      </c>
      <c r="AE200" s="57" t="str">
        <f>IF(B200="","",YEAR(C200))</f>
        <v/>
      </c>
      <c r="AF200" s="57" t="str">
        <f>IF(B200="","",MONTH(C200))</f>
        <v/>
      </c>
      <c r="AG200" s="57">
        <f>IF(ISNUMBER(C200),C200,0)</f>
        <v>0.0</v>
      </c>
      <c r="AH200" s="57" t="str">
        <f>IF(N(W200)&gt;0,COUNTIF(W$6:W200,"&gt;0"),"")</f>
        <v/>
      </c>
      <c r="AI200" s="57" t="str">
        <f>IF(Z200=1,COUNTIF(Z$6:Z200,1),"")</f>
        <v/>
      </c>
    </row>
    <row r="201">
      <c r="A201" s="54" t="n"/>
      <c r="B201" s="55" t="str">
        <f>IF(AA201="","",A201&amp;"-"&amp;RIGHT("000"&amp;AA201,4))</f>
        <v/>
      </c>
      <c r="C201" s="56" t="n"/>
      <c r="D201" s="54" t="n"/>
      <c r="E201" s="57" t="str">
        <f>IF(D201="","",IF(A201="BL",IFERROR(INDEX(cl_name,MATCH(D201,cl_code,0))&amp;"","Client inconnu"),IF(A201="BR",IFERROR(INDEX(fo_name,MATCH(D201,fo_code,0))&amp;"","Fournisseur inconnu"),IF(A201="BS",IF(ISNA(MATCH(D201,p_services,0)),"Service inconnu",D201&amp;""),""))))</f>
        <v/>
      </c>
      <c r="F201" s="58" t="n"/>
      <c r="G201" s="58" t="n"/>
      <c r="H201" s="59" t="n"/>
      <c r="I201" s="57" t="str">
        <f>IF(H201="","",IFERROR(INDEX(art_des,MATCH(H201,art_ref,0))&amp;"","Article inconnu"))</f>
        <v/>
      </c>
      <c r="J201" s="60" t="str">
        <f>IF(H201="","",IFERROR(INDEX(art_unit,MATCH(H201,art_ref,0))&amp;"",""))</f>
        <v/>
      </c>
      <c r="K201" s="59" t="n"/>
      <c r="L201" s="59" t="n"/>
      <c r="M201" s="61" t="str">
        <f>IF(OR(B201="",NOT(ISNUMBER(K201)),NOT(ISNUMBER(L201))),"",IF(OR(K201&lt;=0,L201&lt;=0),"",ROUND(L201-K201,6)))</f>
        <v/>
      </c>
      <c r="N201" s="58" t="n"/>
      <c r="O201" s="62" t="n"/>
      <c r="P201" s="63" t="str">
        <f>IF(OR(B201="",NOT(ISNUMBER(L201))),"",IF(L201&lt;=0,"",IFERROR(ROUND(L201*N(INDEX(art_w,MATCH(H201,art_ref,0))),3),"")))</f>
        <v/>
      </c>
      <c r="Q201" s="59" t="n"/>
      <c r="R201" s="54" t="n"/>
      <c r="S201" s="59" t="n"/>
      <c r="T201" s="59" t="n"/>
      <c r="U201" s="64" t="str">
        <f>IF(OR(B201="",H201=""),"",IFERROR(IF(A201="BL",IF(N(INDEX(art_price,MATCH(H201,art_ref,0)))=0,"",N(INDEX(art_price,MATCH(H201,art_ref,0)))),IF(N(INDEX(art_cost,MATCH(H201,art_ref,0)))=0,"",N(INDEX(art_cost,MATCH(H201,art_ref,0))))),""))</f>
        <v/>
      </c>
      <c r="V201" s="64" t="str">
        <f>IF(OR(U201="",NOT(ISNUMBER(L201))),"",IF(L201&lt;=0,"",ROUND(L201*U201,2)))</f>
        <v/>
      </c>
      <c r="W201" s="60" t="str">
        <f>IF(AND(B201&lt;&gt;"",A201&lt;&gt;"BS",F201&lt;&gt;"",H201&lt;&gt;"",ISNUMBER(K201),ISNUMBER(L201)),IF(AND(K201&gt;0,L201&gt;0,K201-L201&gt;0,COUNTIFS(A202:A$2005,A201,F202:F$2005,F201,H202:H$2005,H201,AA202:AA$2005,"&gt;0")=0),ROUND(K201-L201,6),""),"")</f>
        <v/>
      </c>
      <c r="X201" s="60" t="str">
        <f>IF(AND(A201="",C201="",D201="",H201="",L201=""),"",IF(A201="","Type manquant",IF(AND(A201&lt;&gt;"BL",A201&lt;&gt;"BR",A201&lt;&gt;"BS"),"Type inconnu (BL, BR ou BS)",IF(AG201=0,"Date manquante ou invalide",IF(D201="",IF(A201="BL","Client manquant",IF(A201="BR","Fournisseur manquant","Service manquant")),IF(IF(A201="BL",ISNA(MATCH(D201,cl_code,0)),IF(A201="BR",ISNA(MATCH(D201,fo_code,0)),ISNA(MATCH(D201,p_services,0)))),IF(A201="BL","Client inconnu",IF(A201="BR","Fournisseur inconnu","Service inconnu")),IF(H201="","Article manquant",IF(ISNA(MATCH(H201,art_ref,0)),"Article inconnu",IF(OR(NOT(ISNUMBER(L201)),N(L201)&lt;=0),"Quantité invalide",IF(AND(K201&lt;&gt;"",OR(NOT(ISNUMBER(K201)),N(K201)&lt;=0)),"Qté commandée invalide",IF(AG201&lt;SUMPRODUCT(MAX((A$6:A200=A201)*AG$6:AG200)),"Date antérieure au bon précédent",IF(AND(A201&lt;&gt;"BR",ISNUMBER(M201),N(M201)&gt;0),IF(A201="BL","Livré plus que commandé","Sorti plus que demandé"),"OK"))))))))))))</f>
        <v/>
      </c>
      <c r="Y201" s="57" t="str">
        <f>IF(AND(OR(A201="BL",A201="BR",A201="BS"),AG201&gt;0,D201&lt;&gt;""),A201&amp;"|"&amp;AG201&amp;"|"&amp;D201&amp;"|"&amp;F201,"")</f>
        <v/>
      </c>
      <c r="Z201" s="57" t="str">
        <f>IF(Y201="","",IF(COUNTIF(Y$6:Y200,Y201)=0,1,0))</f>
        <v/>
      </c>
      <c r="AA201" s="57" t="str">
        <f>IF(Y201="","",IF(Z201=1,COUNTIFS(A$6:A201,A201,Z$6:Z201,1),INDEX(AA$6:AA200,MATCH(Y201,Y$6:Y200,0))))</f>
        <v/>
      </c>
      <c r="AB201" s="57" t="str">
        <f>IF(B201="","",COUNTIF(B$6:B201,B201))</f>
        <v/>
      </c>
      <c r="AC201" s="57" t="str">
        <f>IF(B201="","",B201&amp;"#"&amp;AB201)</f>
        <v/>
      </c>
      <c r="AD201" s="57" t="str">
        <f>IF(Z201=1,A201&amp;AA201,"")</f>
        <v/>
      </c>
      <c r="AE201" s="57" t="str">
        <f>IF(B201="","",YEAR(C201))</f>
        <v/>
      </c>
      <c r="AF201" s="57" t="str">
        <f>IF(B201="","",MONTH(C201))</f>
        <v/>
      </c>
      <c r="AG201" s="57">
        <f>IF(ISNUMBER(C201),C201,0)</f>
        <v>0.0</v>
      </c>
      <c r="AH201" s="57" t="str">
        <f>IF(N(W201)&gt;0,COUNTIF(W$6:W201,"&gt;0"),"")</f>
        <v/>
      </c>
      <c r="AI201" s="57" t="str">
        <f>IF(Z201=1,COUNTIF(Z$6:Z201,1),"")</f>
        <v/>
      </c>
    </row>
    <row r="202">
      <c r="A202" s="54" t="n"/>
      <c r="B202" s="55" t="str">
        <f>IF(AA202="","",A202&amp;"-"&amp;RIGHT("000"&amp;AA202,4))</f>
        <v/>
      </c>
      <c r="C202" s="56" t="n"/>
      <c r="D202" s="54" t="n"/>
      <c r="E202" s="57" t="str">
        <f>IF(D202="","",IF(A202="BL",IFERROR(INDEX(cl_name,MATCH(D202,cl_code,0))&amp;"","Client inconnu"),IF(A202="BR",IFERROR(INDEX(fo_name,MATCH(D202,fo_code,0))&amp;"","Fournisseur inconnu"),IF(A202="BS",IF(ISNA(MATCH(D202,p_services,0)),"Service inconnu",D202&amp;""),""))))</f>
        <v/>
      </c>
      <c r="F202" s="58" t="n"/>
      <c r="G202" s="58" t="n"/>
      <c r="H202" s="59" t="n"/>
      <c r="I202" s="57" t="str">
        <f>IF(H202="","",IFERROR(INDEX(art_des,MATCH(H202,art_ref,0))&amp;"","Article inconnu"))</f>
        <v/>
      </c>
      <c r="J202" s="60" t="str">
        <f>IF(H202="","",IFERROR(INDEX(art_unit,MATCH(H202,art_ref,0))&amp;"",""))</f>
        <v/>
      </c>
      <c r="K202" s="59" t="n"/>
      <c r="L202" s="59" t="n"/>
      <c r="M202" s="61" t="str">
        <f>IF(OR(B202="",NOT(ISNUMBER(K202)),NOT(ISNUMBER(L202))),"",IF(OR(K202&lt;=0,L202&lt;=0),"",ROUND(L202-K202,6)))</f>
        <v/>
      </c>
      <c r="N202" s="58" t="n"/>
      <c r="O202" s="62" t="n"/>
      <c r="P202" s="63" t="str">
        <f>IF(OR(B202="",NOT(ISNUMBER(L202))),"",IF(L202&lt;=0,"",IFERROR(ROUND(L202*N(INDEX(art_w,MATCH(H202,art_ref,0))),3),"")))</f>
        <v/>
      </c>
      <c r="Q202" s="59" t="n"/>
      <c r="R202" s="54" t="n"/>
      <c r="S202" s="59" t="n"/>
      <c r="T202" s="59" t="n"/>
      <c r="U202" s="64" t="str">
        <f>IF(OR(B202="",H202=""),"",IFERROR(IF(A202="BL",IF(N(INDEX(art_price,MATCH(H202,art_ref,0)))=0,"",N(INDEX(art_price,MATCH(H202,art_ref,0)))),IF(N(INDEX(art_cost,MATCH(H202,art_ref,0)))=0,"",N(INDEX(art_cost,MATCH(H202,art_ref,0))))),""))</f>
        <v/>
      </c>
      <c r="V202" s="64" t="str">
        <f>IF(OR(U202="",NOT(ISNUMBER(L202))),"",IF(L202&lt;=0,"",ROUND(L202*U202,2)))</f>
        <v/>
      </c>
      <c r="W202" s="60" t="str">
        <f>IF(AND(B202&lt;&gt;"",A202&lt;&gt;"BS",F202&lt;&gt;"",H202&lt;&gt;"",ISNUMBER(K202),ISNUMBER(L202)),IF(AND(K202&gt;0,L202&gt;0,K202-L202&gt;0,COUNTIFS(A203:A$2005,A202,F203:F$2005,F202,H203:H$2005,H202,AA203:AA$2005,"&gt;0")=0),ROUND(K202-L202,6),""),"")</f>
        <v/>
      </c>
      <c r="X202" s="60" t="str">
        <f>IF(AND(A202="",C202="",D202="",H202="",L202=""),"",IF(A202="","Type manquant",IF(AND(A202&lt;&gt;"BL",A202&lt;&gt;"BR",A202&lt;&gt;"BS"),"Type inconnu (BL, BR ou BS)",IF(AG202=0,"Date manquante ou invalide",IF(D202="",IF(A202="BL","Client manquant",IF(A202="BR","Fournisseur manquant","Service manquant")),IF(IF(A202="BL",ISNA(MATCH(D202,cl_code,0)),IF(A202="BR",ISNA(MATCH(D202,fo_code,0)),ISNA(MATCH(D202,p_services,0)))),IF(A202="BL","Client inconnu",IF(A202="BR","Fournisseur inconnu","Service inconnu")),IF(H202="","Article manquant",IF(ISNA(MATCH(H202,art_ref,0)),"Article inconnu",IF(OR(NOT(ISNUMBER(L202)),N(L202)&lt;=0),"Quantité invalide",IF(AND(K202&lt;&gt;"",OR(NOT(ISNUMBER(K202)),N(K202)&lt;=0)),"Qté commandée invalide",IF(AG202&lt;SUMPRODUCT(MAX((A$6:A201=A202)*AG$6:AG201)),"Date antérieure au bon précédent",IF(AND(A202&lt;&gt;"BR",ISNUMBER(M202),N(M202)&gt;0),IF(A202="BL","Livré plus que commandé","Sorti plus que demandé"),"OK"))))))))))))</f>
        <v/>
      </c>
      <c r="Y202" s="57" t="str">
        <f>IF(AND(OR(A202="BL",A202="BR",A202="BS"),AG202&gt;0,D202&lt;&gt;""),A202&amp;"|"&amp;AG202&amp;"|"&amp;D202&amp;"|"&amp;F202,"")</f>
        <v/>
      </c>
      <c r="Z202" s="57" t="str">
        <f>IF(Y202="","",IF(COUNTIF(Y$6:Y201,Y202)=0,1,0))</f>
        <v/>
      </c>
      <c r="AA202" s="57" t="str">
        <f>IF(Y202="","",IF(Z202=1,COUNTIFS(A$6:A202,A202,Z$6:Z202,1),INDEX(AA$6:AA201,MATCH(Y202,Y$6:Y201,0))))</f>
        <v/>
      </c>
      <c r="AB202" s="57" t="str">
        <f>IF(B202="","",COUNTIF(B$6:B202,B202))</f>
        <v/>
      </c>
      <c r="AC202" s="57" t="str">
        <f>IF(B202="","",B202&amp;"#"&amp;AB202)</f>
        <v/>
      </c>
      <c r="AD202" s="57" t="str">
        <f>IF(Z202=1,A202&amp;AA202,"")</f>
        <v/>
      </c>
      <c r="AE202" s="57" t="str">
        <f>IF(B202="","",YEAR(C202))</f>
        <v/>
      </c>
      <c r="AF202" s="57" t="str">
        <f>IF(B202="","",MONTH(C202))</f>
        <v/>
      </c>
      <c r="AG202" s="57">
        <f>IF(ISNUMBER(C202),C202,0)</f>
        <v>0.0</v>
      </c>
      <c r="AH202" s="57" t="str">
        <f>IF(N(W202)&gt;0,COUNTIF(W$6:W202,"&gt;0"),"")</f>
        <v/>
      </c>
      <c r="AI202" s="57" t="str">
        <f>IF(Z202=1,COUNTIF(Z$6:Z202,1),"")</f>
        <v/>
      </c>
    </row>
    <row r="203">
      <c r="A203" s="54" t="n"/>
      <c r="B203" s="55" t="str">
        <f>IF(AA203="","",A203&amp;"-"&amp;RIGHT("000"&amp;AA203,4))</f>
        <v/>
      </c>
      <c r="C203" s="56" t="n"/>
      <c r="D203" s="54" t="n"/>
      <c r="E203" s="57" t="str">
        <f>IF(D203="","",IF(A203="BL",IFERROR(INDEX(cl_name,MATCH(D203,cl_code,0))&amp;"","Client inconnu"),IF(A203="BR",IFERROR(INDEX(fo_name,MATCH(D203,fo_code,0))&amp;"","Fournisseur inconnu"),IF(A203="BS",IF(ISNA(MATCH(D203,p_services,0)),"Service inconnu",D203&amp;""),""))))</f>
        <v/>
      </c>
      <c r="F203" s="58" t="n"/>
      <c r="G203" s="58" t="n"/>
      <c r="H203" s="59" t="n"/>
      <c r="I203" s="57" t="str">
        <f>IF(H203="","",IFERROR(INDEX(art_des,MATCH(H203,art_ref,0))&amp;"","Article inconnu"))</f>
        <v/>
      </c>
      <c r="J203" s="60" t="str">
        <f>IF(H203="","",IFERROR(INDEX(art_unit,MATCH(H203,art_ref,0))&amp;"",""))</f>
        <v/>
      </c>
      <c r="K203" s="59" t="n"/>
      <c r="L203" s="59" t="n"/>
      <c r="M203" s="61" t="str">
        <f>IF(OR(B203="",NOT(ISNUMBER(K203)),NOT(ISNUMBER(L203))),"",IF(OR(K203&lt;=0,L203&lt;=0),"",ROUND(L203-K203,6)))</f>
        <v/>
      </c>
      <c r="N203" s="58" t="n"/>
      <c r="O203" s="62" t="n"/>
      <c r="P203" s="63" t="str">
        <f>IF(OR(B203="",NOT(ISNUMBER(L203))),"",IF(L203&lt;=0,"",IFERROR(ROUND(L203*N(INDEX(art_w,MATCH(H203,art_ref,0))),3),"")))</f>
        <v/>
      </c>
      <c r="Q203" s="59" t="n"/>
      <c r="R203" s="54" t="n"/>
      <c r="S203" s="59" t="n"/>
      <c r="T203" s="59" t="n"/>
      <c r="U203" s="64" t="str">
        <f>IF(OR(B203="",H203=""),"",IFERROR(IF(A203="BL",IF(N(INDEX(art_price,MATCH(H203,art_ref,0)))=0,"",N(INDEX(art_price,MATCH(H203,art_ref,0)))),IF(N(INDEX(art_cost,MATCH(H203,art_ref,0)))=0,"",N(INDEX(art_cost,MATCH(H203,art_ref,0))))),""))</f>
        <v/>
      </c>
      <c r="V203" s="64" t="str">
        <f>IF(OR(U203="",NOT(ISNUMBER(L203))),"",IF(L203&lt;=0,"",ROUND(L203*U203,2)))</f>
        <v/>
      </c>
      <c r="W203" s="60" t="str">
        <f>IF(AND(B203&lt;&gt;"",A203&lt;&gt;"BS",F203&lt;&gt;"",H203&lt;&gt;"",ISNUMBER(K203),ISNUMBER(L203)),IF(AND(K203&gt;0,L203&gt;0,K203-L203&gt;0,COUNTIFS(A204:A$2005,A203,F204:F$2005,F203,H204:H$2005,H203,AA204:AA$2005,"&gt;0")=0),ROUND(K203-L203,6),""),"")</f>
        <v/>
      </c>
      <c r="X203" s="60" t="str">
        <f>IF(AND(A203="",C203="",D203="",H203="",L203=""),"",IF(A203="","Type manquant",IF(AND(A203&lt;&gt;"BL",A203&lt;&gt;"BR",A203&lt;&gt;"BS"),"Type inconnu (BL, BR ou BS)",IF(AG203=0,"Date manquante ou invalide",IF(D203="",IF(A203="BL","Client manquant",IF(A203="BR","Fournisseur manquant","Service manquant")),IF(IF(A203="BL",ISNA(MATCH(D203,cl_code,0)),IF(A203="BR",ISNA(MATCH(D203,fo_code,0)),ISNA(MATCH(D203,p_services,0)))),IF(A203="BL","Client inconnu",IF(A203="BR","Fournisseur inconnu","Service inconnu")),IF(H203="","Article manquant",IF(ISNA(MATCH(H203,art_ref,0)),"Article inconnu",IF(OR(NOT(ISNUMBER(L203)),N(L203)&lt;=0),"Quantité invalide",IF(AND(K203&lt;&gt;"",OR(NOT(ISNUMBER(K203)),N(K203)&lt;=0)),"Qté commandée invalide",IF(AG203&lt;SUMPRODUCT(MAX((A$6:A202=A203)*AG$6:AG202)),"Date antérieure au bon précédent",IF(AND(A203&lt;&gt;"BR",ISNUMBER(M203),N(M203)&gt;0),IF(A203="BL","Livré plus que commandé","Sorti plus que demandé"),"OK"))))))))))))</f>
        <v/>
      </c>
      <c r="Y203" s="57" t="str">
        <f>IF(AND(OR(A203="BL",A203="BR",A203="BS"),AG203&gt;0,D203&lt;&gt;""),A203&amp;"|"&amp;AG203&amp;"|"&amp;D203&amp;"|"&amp;F203,"")</f>
        <v/>
      </c>
      <c r="Z203" s="57" t="str">
        <f>IF(Y203="","",IF(COUNTIF(Y$6:Y202,Y203)=0,1,0))</f>
        <v/>
      </c>
      <c r="AA203" s="57" t="str">
        <f>IF(Y203="","",IF(Z203=1,COUNTIFS(A$6:A203,A203,Z$6:Z203,1),INDEX(AA$6:AA202,MATCH(Y203,Y$6:Y202,0))))</f>
        <v/>
      </c>
      <c r="AB203" s="57" t="str">
        <f>IF(B203="","",COUNTIF(B$6:B203,B203))</f>
        <v/>
      </c>
      <c r="AC203" s="57" t="str">
        <f>IF(B203="","",B203&amp;"#"&amp;AB203)</f>
        <v/>
      </c>
      <c r="AD203" s="57" t="str">
        <f>IF(Z203=1,A203&amp;AA203,"")</f>
        <v/>
      </c>
      <c r="AE203" s="57" t="str">
        <f>IF(B203="","",YEAR(C203))</f>
        <v/>
      </c>
      <c r="AF203" s="57" t="str">
        <f>IF(B203="","",MONTH(C203))</f>
        <v/>
      </c>
      <c r="AG203" s="57">
        <f>IF(ISNUMBER(C203),C203,0)</f>
        <v>0.0</v>
      </c>
      <c r="AH203" s="57" t="str">
        <f>IF(N(W203)&gt;0,COUNTIF(W$6:W203,"&gt;0"),"")</f>
        <v/>
      </c>
      <c r="AI203" s="57" t="str">
        <f>IF(Z203=1,COUNTIF(Z$6:Z203,1),"")</f>
        <v/>
      </c>
    </row>
    <row r="204">
      <c r="A204" s="54" t="n"/>
      <c r="B204" s="55" t="str">
        <f>IF(AA204="","",A204&amp;"-"&amp;RIGHT("000"&amp;AA204,4))</f>
        <v/>
      </c>
      <c r="C204" s="56" t="n"/>
      <c r="D204" s="54" t="n"/>
      <c r="E204" s="57" t="str">
        <f>IF(D204="","",IF(A204="BL",IFERROR(INDEX(cl_name,MATCH(D204,cl_code,0))&amp;"","Client inconnu"),IF(A204="BR",IFERROR(INDEX(fo_name,MATCH(D204,fo_code,0))&amp;"","Fournisseur inconnu"),IF(A204="BS",IF(ISNA(MATCH(D204,p_services,0)),"Service inconnu",D204&amp;""),""))))</f>
        <v/>
      </c>
      <c r="F204" s="58" t="n"/>
      <c r="G204" s="58" t="n"/>
      <c r="H204" s="59" t="n"/>
      <c r="I204" s="57" t="str">
        <f>IF(H204="","",IFERROR(INDEX(art_des,MATCH(H204,art_ref,0))&amp;"","Article inconnu"))</f>
        <v/>
      </c>
      <c r="J204" s="60" t="str">
        <f>IF(H204="","",IFERROR(INDEX(art_unit,MATCH(H204,art_ref,0))&amp;"",""))</f>
        <v/>
      </c>
      <c r="K204" s="59" t="n"/>
      <c r="L204" s="59" t="n"/>
      <c r="M204" s="61" t="str">
        <f>IF(OR(B204="",NOT(ISNUMBER(K204)),NOT(ISNUMBER(L204))),"",IF(OR(K204&lt;=0,L204&lt;=0),"",ROUND(L204-K204,6)))</f>
        <v/>
      </c>
      <c r="N204" s="58" t="n"/>
      <c r="O204" s="62" t="n"/>
      <c r="P204" s="63" t="str">
        <f>IF(OR(B204="",NOT(ISNUMBER(L204))),"",IF(L204&lt;=0,"",IFERROR(ROUND(L204*N(INDEX(art_w,MATCH(H204,art_ref,0))),3),"")))</f>
        <v/>
      </c>
      <c r="Q204" s="59" t="n"/>
      <c r="R204" s="54" t="n"/>
      <c r="S204" s="59" t="n"/>
      <c r="T204" s="59" t="n"/>
      <c r="U204" s="64" t="str">
        <f>IF(OR(B204="",H204=""),"",IFERROR(IF(A204="BL",IF(N(INDEX(art_price,MATCH(H204,art_ref,0)))=0,"",N(INDEX(art_price,MATCH(H204,art_ref,0)))),IF(N(INDEX(art_cost,MATCH(H204,art_ref,0)))=0,"",N(INDEX(art_cost,MATCH(H204,art_ref,0))))),""))</f>
        <v/>
      </c>
      <c r="V204" s="64" t="str">
        <f>IF(OR(U204="",NOT(ISNUMBER(L204))),"",IF(L204&lt;=0,"",ROUND(L204*U204,2)))</f>
        <v/>
      </c>
      <c r="W204" s="60" t="str">
        <f>IF(AND(B204&lt;&gt;"",A204&lt;&gt;"BS",F204&lt;&gt;"",H204&lt;&gt;"",ISNUMBER(K204),ISNUMBER(L204)),IF(AND(K204&gt;0,L204&gt;0,K204-L204&gt;0,COUNTIFS(A205:A$2005,A204,F205:F$2005,F204,H205:H$2005,H204,AA205:AA$2005,"&gt;0")=0),ROUND(K204-L204,6),""),"")</f>
        <v/>
      </c>
      <c r="X204" s="60" t="str">
        <f>IF(AND(A204="",C204="",D204="",H204="",L204=""),"",IF(A204="","Type manquant",IF(AND(A204&lt;&gt;"BL",A204&lt;&gt;"BR",A204&lt;&gt;"BS"),"Type inconnu (BL, BR ou BS)",IF(AG204=0,"Date manquante ou invalide",IF(D204="",IF(A204="BL","Client manquant",IF(A204="BR","Fournisseur manquant","Service manquant")),IF(IF(A204="BL",ISNA(MATCH(D204,cl_code,0)),IF(A204="BR",ISNA(MATCH(D204,fo_code,0)),ISNA(MATCH(D204,p_services,0)))),IF(A204="BL","Client inconnu",IF(A204="BR","Fournisseur inconnu","Service inconnu")),IF(H204="","Article manquant",IF(ISNA(MATCH(H204,art_ref,0)),"Article inconnu",IF(OR(NOT(ISNUMBER(L204)),N(L204)&lt;=0),"Quantité invalide",IF(AND(K204&lt;&gt;"",OR(NOT(ISNUMBER(K204)),N(K204)&lt;=0)),"Qté commandée invalide",IF(AG204&lt;SUMPRODUCT(MAX((A$6:A203=A204)*AG$6:AG203)),"Date antérieure au bon précédent",IF(AND(A204&lt;&gt;"BR",ISNUMBER(M204),N(M204)&gt;0),IF(A204="BL","Livré plus que commandé","Sorti plus que demandé"),"OK"))))))))))))</f>
        <v/>
      </c>
      <c r="Y204" s="57" t="str">
        <f>IF(AND(OR(A204="BL",A204="BR",A204="BS"),AG204&gt;0,D204&lt;&gt;""),A204&amp;"|"&amp;AG204&amp;"|"&amp;D204&amp;"|"&amp;F204,"")</f>
        <v/>
      </c>
      <c r="Z204" s="57" t="str">
        <f>IF(Y204="","",IF(COUNTIF(Y$6:Y203,Y204)=0,1,0))</f>
        <v/>
      </c>
      <c r="AA204" s="57" t="str">
        <f>IF(Y204="","",IF(Z204=1,COUNTIFS(A$6:A204,A204,Z$6:Z204,1),INDEX(AA$6:AA203,MATCH(Y204,Y$6:Y203,0))))</f>
        <v/>
      </c>
      <c r="AB204" s="57" t="str">
        <f>IF(B204="","",COUNTIF(B$6:B204,B204))</f>
        <v/>
      </c>
      <c r="AC204" s="57" t="str">
        <f>IF(B204="","",B204&amp;"#"&amp;AB204)</f>
        <v/>
      </c>
      <c r="AD204" s="57" t="str">
        <f>IF(Z204=1,A204&amp;AA204,"")</f>
        <v/>
      </c>
      <c r="AE204" s="57" t="str">
        <f>IF(B204="","",YEAR(C204))</f>
        <v/>
      </c>
      <c r="AF204" s="57" t="str">
        <f>IF(B204="","",MONTH(C204))</f>
        <v/>
      </c>
      <c r="AG204" s="57">
        <f>IF(ISNUMBER(C204),C204,0)</f>
        <v>0.0</v>
      </c>
      <c r="AH204" s="57" t="str">
        <f>IF(N(W204)&gt;0,COUNTIF(W$6:W204,"&gt;0"),"")</f>
        <v/>
      </c>
      <c r="AI204" s="57" t="str">
        <f>IF(Z204=1,COUNTIF(Z$6:Z204,1),"")</f>
        <v/>
      </c>
    </row>
    <row r="205">
      <c r="A205" s="54" t="n"/>
      <c r="B205" s="55" t="str">
        <f>IF(AA205="","",A205&amp;"-"&amp;RIGHT("000"&amp;AA205,4))</f>
        <v/>
      </c>
      <c r="C205" s="56" t="n"/>
      <c r="D205" s="54" t="n"/>
      <c r="E205" s="57" t="str">
        <f>IF(D205="","",IF(A205="BL",IFERROR(INDEX(cl_name,MATCH(D205,cl_code,0))&amp;"","Client inconnu"),IF(A205="BR",IFERROR(INDEX(fo_name,MATCH(D205,fo_code,0))&amp;"","Fournisseur inconnu"),IF(A205="BS",IF(ISNA(MATCH(D205,p_services,0)),"Service inconnu",D205&amp;""),""))))</f>
        <v/>
      </c>
      <c r="F205" s="58" t="n"/>
      <c r="G205" s="58" t="n"/>
      <c r="H205" s="59" t="n"/>
      <c r="I205" s="57" t="str">
        <f>IF(H205="","",IFERROR(INDEX(art_des,MATCH(H205,art_ref,0))&amp;"","Article inconnu"))</f>
        <v/>
      </c>
      <c r="J205" s="60" t="str">
        <f>IF(H205="","",IFERROR(INDEX(art_unit,MATCH(H205,art_ref,0))&amp;"",""))</f>
        <v/>
      </c>
      <c r="K205" s="59" t="n"/>
      <c r="L205" s="59" t="n"/>
      <c r="M205" s="61" t="str">
        <f>IF(OR(B205="",NOT(ISNUMBER(K205)),NOT(ISNUMBER(L205))),"",IF(OR(K205&lt;=0,L205&lt;=0),"",ROUND(L205-K205,6)))</f>
        <v/>
      </c>
      <c r="N205" s="58" t="n"/>
      <c r="O205" s="62" t="n"/>
      <c r="P205" s="63" t="str">
        <f>IF(OR(B205="",NOT(ISNUMBER(L205))),"",IF(L205&lt;=0,"",IFERROR(ROUND(L205*N(INDEX(art_w,MATCH(H205,art_ref,0))),3),"")))</f>
        <v/>
      </c>
      <c r="Q205" s="59" t="n"/>
      <c r="R205" s="54" t="n"/>
      <c r="S205" s="59" t="n"/>
      <c r="T205" s="59" t="n"/>
      <c r="U205" s="64" t="str">
        <f>IF(OR(B205="",H205=""),"",IFERROR(IF(A205="BL",IF(N(INDEX(art_price,MATCH(H205,art_ref,0)))=0,"",N(INDEX(art_price,MATCH(H205,art_ref,0)))),IF(N(INDEX(art_cost,MATCH(H205,art_ref,0)))=0,"",N(INDEX(art_cost,MATCH(H205,art_ref,0))))),""))</f>
        <v/>
      </c>
      <c r="V205" s="64" t="str">
        <f>IF(OR(U205="",NOT(ISNUMBER(L205))),"",IF(L205&lt;=0,"",ROUND(L205*U205,2)))</f>
        <v/>
      </c>
      <c r="W205" s="60" t="str">
        <f>IF(AND(B205&lt;&gt;"",A205&lt;&gt;"BS",F205&lt;&gt;"",H205&lt;&gt;"",ISNUMBER(K205),ISNUMBER(L205)),IF(AND(K205&gt;0,L205&gt;0,K205-L205&gt;0,COUNTIFS(A206:A$2005,A205,F206:F$2005,F205,H206:H$2005,H205,AA206:AA$2005,"&gt;0")=0),ROUND(K205-L205,6),""),"")</f>
        <v/>
      </c>
      <c r="X205" s="60" t="str">
        <f>IF(AND(A205="",C205="",D205="",H205="",L205=""),"",IF(A205="","Type manquant",IF(AND(A205&lt;&gt;"BL",A205&lt;&gt;"BR",A205&lt;&gt;"BS"),"Type inconnu (BL, BR ou BS)",IF(AG205=0,"Date manquante ou invalide",IF(D205="",IF(A205="BL","Client manquant",IF(A205="BR","Fournisseur manquant","Service manquant")),IF(IF(A205="BL",ISNA(MATCH(D205,cl_code,0)),IF(A205="BR",ISNA(MATCH(D205,fo_code,0)),ISNA(MATCH(D205,p_services,0)))),IF(A205="BL","Client inconnu",IF(A205="BR","Fournisseur inconnu","Service inconnu")),IF(H205="","Article manquant",IF(ISNA(MATCH(H205,art_ref,0)),"Article inconnu",IF(OR(NOT(ISNUMBER(L205)),N(L205)&lt;=0),"Quantité invalide",IF(AND(K205&lt;&gt;"",OR(NOT(ISNUMBER(K205)),N(K205)&lt;=0)),"Qté commandée invalide",IF(AG205&lt;SUMPRODUCT(MAX((A$6:A204=A205)*AG$6:AG204)),"Date antérieure au bon précédent",IF(AND(A205&lt;&gt;"BR",ISNUMBER(M205),N(M205)&gt;0),IF(A205="BL","Livré plus que commandé","Sorti plus que demandé"),"OK"))))))))))))</f>
        <v/>
      </c>
      <c r="Y205" s="57" t="str">
        <f>IF(AND(OR(A205="BL",A205="BR",A205="BS"),AG205&gt;0,D205&lt;&gt;""),A205&amp;"|"&amp;AG205&amp;"|"&amp;D205&amp;"|"&amp;F205,"")</f>
        <v/>
      </c>
      <c r="Z205" s="57" t="str">
        <f>IF(Y205="","",IF(COUNTIF(Y$6:Y204,Y205)=0,1,0))</f>
        <v/>
      </c>
      <c r="AA205" s="57" t="str">
        <f>IF(Y205="","",IF(Z205=1,COUNTIFS(A$6:A205,A205,Z$6:Z205,1),INDEX(AA$6:AA204,MATCH(Y205,Y$6:Y204,0))))</f>
        <v/>
      </c>
      <c r="AB205" s="57" t="str">
        <f>IF(B205="","",COUNTIF(B$6:B205,B205))</f>
        <v/>
      </c>
      <c r="AC205" s="57" t="str">
        <f>IF(B205="","",B205&amp;"#"&amp;AB205)</f>
        <v/>
      </c>
      <c r="AD205" s="57" t="str">
        <f>IF(Z205=1,A205&amp;AA205,"")</f>
        <v/>
      </c>
      <c r="AE205" s="57" t="str">
        <f>IF(B205="","",YEAR(C205))</f>
        <v/>
      </c>
      <c r="AF205" s="57" t="str">
        <f>IF(B205="","",MONTH(C205))</f>
        <v/>
      </c>
      <c r="AG205" s="57">
        <f>IF(ISNUMBER(C205),C205,0)</f>
        <v>0.0</v>
      </c>
      <c r="AH205" s="57" t="str">
        <f>IF(N(W205)&gt;0,COUNTIF(W$6:W205,"&gt;0"),"")</f>
        <v/>
      </c>
      <c r="AI205" s="57" t="str">
        <f>IF(Z205=1,COUNTIF(Z$6:Z205,1),"")</f>
        <v/>
      </c>
    </row>
    <row r="206">
      <c r="A206" s="54" t="n"/>
      <c r="B206" s="55" t="str">
        <f>IF(AA206="","",A206&amp;"-"&amp;RIGHT("000"&amp;AA206,4))</f>
        <v/>
      </c>
      <c r="C206" s="56" t="n"/>
      <c r="D206" s="54" t="n"/>
      <c r="E206" s="57" t="str">
        <f>IF(D206="","",IF(A206="BL",IFERROR(INDEX(cl_name,MATCH(D206,cl_code,0))&amp;"","Client inconnu"),IF(A206="BR",IFERROR(INDEX(fo_name,MATCH(D206,fo_code,0))&amp;"","Fournisseur inconnu"),IF(A206="BS",IF(ISNA(MATCH(D206,p_services,0)),"Service inconnu",D206&amp;""),""))))</f>
        <v/>
      </c>
      <c r="F206" s="58" t="n"/>
      <c r="G206" s="58" t="n"/>
      <c r="H206" s="59" t="n"/>
      <c r="I206" s="57" t="str">
        <f>IF(H206="","",IFERROR(INDEX(art_des,MATCH(H206,art_ref,0))&amp;"","Article inconnu"))</f>
        <v/>
      </c>
      <c r="J206" s="60" t="str">
        <f>IF(H206="","",IFERROR(INDEX(art_unit,MATCH(H206,art_ref,0))&amp;"",""))</f>
        <v/>
      </c>
      <c r="K206" s="59" t="n"/>
      <c r="L206" s="59" t="n"/>
      <c r="M206" s="61" t="str">
        <f>IF(OR(B206="",NOT(ISNUMBER(K206)),NOT(ISNUMBER(L206))),"",IF(OR(K206&lt;=0,L206&lt;=0),"",ROUND(L206-K206,6)))</f>
        <v/>
      </c>
      <c r="N206" s="58" t="n"/>
      <c r="O206" s="62" t="n"/>
      <c r="P206" s="63" t="str">
        <f>IF(OR(B206="",NOT(ISNUMBER(L206))),"",IF(L206&lt;=0,"",IFERROR(ROUND(L206*N(INDEX(art_w,MATCH(H206,art_ref,0))),3),"")))</f>
        <v/>
      </c>
      <c r="Q206" s="59" t="n"/>
      <c r="R206" s="54" t="n"/>
      <c r="S206" s="59" t="n"/>
      <c r="T206" s="59" t="n"/>
      <c r="U206" s="64" t="str">
        <f>IF(OR(B206="",H206=""),"",IFERROR(IF(A206="BL",IF(N(INDEX(art_price,MATCH(H206,art_ref,0)))=0,"",N(INDEX(art_price,MATCH(H206,art_ref,0)))),IF(N(INDEX(art_cost,MATCH(H206,art_ref,0)))=0,"",N(INDEX(art_cost,MATCH(H206,art_ref,0))))),""))</f>
        <v/>
      </c>
      <c r="V206" s="64" t="str">
        <f>IF(OR(U206="",NOT(ISNUMBER(L206))),"",IF(L206&lt;=0,"",ROUND(L206*U206,2)))</f>
        <v/>
      </c>
      <c r="W206" s="60" t="str">
        <f>IF(AND(B206&lt;&gt;"",A206&lt;&gt;"BS",F206&lt;&gt;"",H206&lt;&gt;"",ISNUMBER(K206),ISNUMBER(L206)),IF(AND(K206&gt;0,L206&gt;0,K206-L206&gt;0,COUNTIFS(A207:A$2005,A206,F207:F$2005,F206,H207:H$2005,H206,AA207:AA$2005,"&gt;0")=0),ROUND(K206-L206,6),""),"")</f>
        <v/>
      </c>
      <c r="X206" s="60" t="str">
        <f>IF(AND(A206="",C206="",D206="",H206="",L206=""),"",IF(A206="","Type manquant",IF(AND(A206&lt;&gt;"BL",A206&lt;&gt;"BR",A206&lt;&gt;"BS"),"Type inconnu (BL, BR ou BS)",IF(AG206=0,"Date manquante ou invalide",IF(D206="",IF(A206="BL","Client manquant",IF(A206="BR","Fournisseur manquant","Service manquant")),IF(IF(A206="BL",ISNA(MATCH(D206,cl_code,0)),IF(A206="BR",ISNA(MATCH(D206,fo_code,0)),ISNA(MATCH(D206,p_services,0)))),IF(A206="BL","Client inconnu",IF(A206="BR","Fournisseur inconnu","Service inconnu")),IF(H206="","Article manquant",IF(ISNA(MATCH(H206,art_ref,0)),"Article inconnu",IF(OR(NOT(ISNUMBER(L206)),N(L206)&lt;=0),"Quantité invalide",IF(AND(K206&lt;&gt;"",OR(NOT(ISNUMBER(K206)),N(K206)&lt;=0)),"Qté commandée invalide",IF(AG206&lt;SUMPRODUCT(MAX((A$6:A205=A206)*AG$6:AG205)),"Date antérieure au bon précédent",IF(AND(A206&lt;&gt;"BR",ISNUMBER(M206),N(M206)&gt;0),IF(A206="BL","Livré plus que commandé","Sorti plus que demandé"),"OK"))))))))))))</f>
        <v/>
      </c>
      <c r="Y206" s="57" t="str">
        <f>IF(AND(OR(A206="BL",A206="BR",A206="BS"),AG206&gt;0,D206&lt;&gt;""),A206&amp;"|"&amp;AG206&amp;"|"&amp;D206&amp;"|"&amp;F206,"")</f>
        <v/>
      </c>
      <c r="Z206" s="57" t="str">
        <f>IF(Y206="","",IF(COUNTIF(Y$6:Y205,Y206)=0,1,0))</f>
        <v/>
      </c>
      <c r="AA206" s="57" t="str">
        <f>IF(Y206="","",IF(Z206=1,COUNTIFS(A$6:A206,A206,Z$6:Z206,1),INDEX(AA$6:AA205,MATCH(Y206,Y$6:Y205,0))))</f>
        <v/>
      </c>
      <c r="AB206" s="57" t="str">
        <f>IF(B206="","",COUNTIF(B$6:B206,B206))</f>
        <v/>
      </c>
      <c r="AC206" s="57" t="str">
        <f>IF(B206="","",B206&amp;"#"&amp;AB206)</f>
        <v/>
      </c>
      <c r="AD206" s="57" t="str">
        <f>IF(Z206=1,A206&amp;AA206,"")</f>
        <v/>
      </c>
      <c r="AE206" s="57" t="str">
        <f>IF(B206="","",YEAR(C206))</f>
        <v/>
      </c>
      <c r="AF206" s="57" t="str">
        <f>IF(B206="","",MONTH(C206))</f>
        <v/>
      </c>
      <c r="AG206" s="57">
        <f>IF(ISNUMBER(C206),C206,0)</f>
        <v>0.0</v>
      </c>
      <c r="AH206" s="57" t="str">
        <f>IF(N(W206)&gt;0,COUNTIF(W$6:W206,"&gt;0"),"")</f>
        <v/>
      </c>
      <c r="AI206" s="57" t="str">
        <f>IF(Z206=1,COUNTIF(Z$6:Z206,1),"")</f>
        <v/>
      </c>
    </row>
    <row r="207">
      <c r="A207" s="54" t="n"/>
      <c r="B207" s="55" t="str">
        <f>IF(AA207="","",A207&amp;"-"&amp;RIGHT("000"&amp;AA207,4))</f>
        <v/>
      </c>
      <c r="C207" s="56" t="n"/>
      <c r="D207" s="54" t="n"/>
      <c r="E207" s="57" t="str">
        <f>IF(D207="","",IF(A207="BL",IFERROR(INDEX(cl_name,MATCH(D207,cl_code,0))&amp;"","Client inconnu"),IF(A207="BR",IFERROR(INDEX(fo_name,MATCH(D207,fo_code,0))&amp;"","Fournisseur inconnu"),IF(A207="BS",IF(ISNA(MATCH(D207,p_services,0)),"Service inconnu",D207&amp;""),""))))</f>
        <v/>
      </c>
      <c r="F207" s="58" t="n"/>
      <c r="G207" s="58" t="n"/>
      <c r="H207" s="59" t="n"/>
      <c r="I207" s="57" t="str">
        <f>IF(H207="","",IFERROR(INDEX(art_des,MATCH(H207,art_ref,0))&amp;"","Article inconnu"))</f>
        <v/>
      </c>
      <c r="J207" s="60" t="str">
        <f>IF(H207="","",IFERROR(INDEX(art_unit,MATCH(H207,art_ref,0))&amp;"",""))</f>
        <v/>
      </c>
      <c r="K207" s="59" t="n"/>
      <c r="L207" s="59" t="n"/>
      <c r="M207" s="61" t="str">
        <f>IF(OR(B207="",NOT(ISNUMBER(K207)),NOT(ISNUMBER(L207))),"",IF(OR(K207&lt;=0,L207&lt;=0),"",ROUND(L207-K207,6)))</f>
        <v/>
      </c>
      <c r="N207" s="58" t="n"/>
      <c r="O207" s="62" t="n"/>
      <c r="P207" s="63" t="str">
        <f>IF(OR(B207="",NOT(ISNUMBER(L207))),"",IF(L207&lt;=0,"",IFERROR(ROUND(L207*N(INDEX(art_w,MATCH(H207,art_ref,0))),3),"")))</f>
        <v/>
      </c>
      <c r="Q207" s="59" t="n"/>
      <c r="R207" s="54" t="n"/>
      <c r="S207" s="59" t="n"/>
      <c r="T207" s="59" t="n"/>
      <c r="U207" s="64" t="str">
        <f>IF(OR(B207="",H207=""),"",IFERROR(IF(A207="BL",IF(N(INDEX(art_price,MATCH(H207,art_ref,0)))=0,"",N(INDEX(art_price,MATCH(H207,art_ref,0)))),IF(N(INDEX(art_cost,MATCH(H207,art_ref,0)))=0,"",N(INDEX(art_cost,MATCH(H207,art_ref,0))))),""))</f>
        <v/>
      </c>
      <c r="V207" s="64" t="str">
        <f>IF(OR(U207="",NOT(ISNUMBER(L207))),"",IF(L207&lt;=0,"",ROUND(L207*U207,2)))</f>
        <v/>
      </c>
      <c r="W207" s="60" t="str">
        <f>IF(AND(B207&lt;&gt;"",A207&lt;&gt;"BS",F207&lt;&gt;"",H207&lt;&gt;"",ISNUMBER(K207),ISNUMBER(L207)),IF(AND(K207&gt;0,L207&gt;0,K207-L207&gt;0,COUNTIFS(A208:A$2005,A207,F208:F$2005,F207,H208:H$2005,H207,AA208:AA$2005,"&gt;0")=0),ROUND(K207-L207,6),""),"")</f>
        <v/>
      </c>
      <c r="X207" s="60" t="str">
        <f>IF(AND(A207="",C207="",D207="",H207="",L207=""),"",IF(A207="","Type manquant",IF(AND(A207&lt;&gt;"BL",A207&lt;&gt;"BR",A207&lt;&gt;"BS"),"Type inconnu (BL, BR ou BS)",IF(AG207=0,"Date manquante ou invalide",IF(D207="",IF(A207="BL","Client manquant",IF(A207="BR","Fournisseur manquant","Service manquant")),IF(IF(A207="BL",ISNA(MATCH(D207,cl_code,0)),IF(A207="BR",ISNA(MATCH(D207,fo_code,0)),ISNA(MATCH(D207,p_services,0)))),IF(A207="BL","Client inconnu",IF(A207="BR","Fournisseur inconnu","Service inconnu")),IF(H207="","Article manquant",IF(ISNA(MATCH(H207,art_ref,0)),"Article inconnu",IF(OR(NOT(ISNUMBER(L207)),N(L207)&lt;=0),"Quantité invalide",IF(AND(K207&lt;&gt;"",OR(NOT(ISNUMBER(K207)),N(K207)&lt;=0)),"Qté commandée invalide",IF(AG207&lt;SUMPRODUCT(MAX((A$6:A206=A207)*AG$6:AG206)),"Date antérieure au bon précédent",IF(AND(A207&lt;&gt;"BR",ISNUMBER(M207),N(M207)&gt;0),IF(A207="BL","Livré plus que commandé","Sorti plus que demandé"),"OK"))))))))))))</f>
        <v/>
      </c>
      <c r="Y207" s="57" t="str">
        <f>IF(AND(OR(A207="BL",A207="BR",A207="BS"),AG207&gt;0,D207&lt;&gt;""),A207&amp;"|"&amp;AG207&amp;"|"&amp;D207&amp;"|"&amp;F207,"")</f>
        <v/>
      </c>
      <c r="Z207" s="57" t="str">
        <f>IF(Y207="","",IF(COUNTIF(Y$6:Y206,Y207)=0,1,0))</f>
        <v/>
      </c>
      <c r="AA207" s="57" t="str">
        <f>IF(Y207="","",IF(Z207=1,COUNTIFS(A$6:A207,A207,Z$6:Z207,1),INDEX(AA$6:AA206,MATCH(Y207,Y$6:Y206,0))))</f>
        <v/>
      </c>
      <c r="AB207" s="57" t="str">
        <f>IF(B207="","",COUNTIF(B$6:B207,B207))</f>
        <v/>
      </c>
      <c r="AC207" s="57" t="str">
        <f>IF(B207="","",B207&amp;"#"&amp;AB207)</f>
        <v/>
      </c>
      <c r="AD207" s="57" t="str">
        <f>IF(Z207=1,A207&amp;AA207,"")</f>
        <v/>
      </c>
      <c r="AE207" s="57" t="str">
        <f>IF(B207="","",YEAR(C207))</f>
        <v/>
      </c>
      <c r="AF207" s="57" t="str">
        <f>IF(B207="","",MONTH(C207))</f>
        <v/>
      </c>
      <c r="AG207" s="57">
        <f>IF(ISNUMBER(C207),C207,0)</f>
        <v>0.0</v>
      </c>
      <c r="AH207" s="57" t="str">
        <f>IF(N(W207)&gt;0,COUNTIF(W$6:W207,"&gt;0"),"")</f>
        <v/>
      </c>
      <c r="AI207" s="57" t="str">
        <f>IF(Z207=1,COUNTIF(Z$6:Z207,1),"")</f>
        <v/>
      </c>
    </row>
    <row r="208">
      <c r="A208" s="54" t="n"/>
      <c r="B208" s="55" t="str">
        <f>IF(AA208="","",A208&amp;"-"&amp;RIGHT("000"&amp;AA208,4))</f>
        <v/>
      </c>
      <c r="C208" s="56" t="n"/>
      <c r="D208" s="54" t="n"/>
      <c r="E208" s="57" t="str">
        <f>IF(D208="","",IF(A208="BL",IFERROR(INDEX(cl_name,MATCH(D208,cl_code,0))&amp;"","Client inconnu"),IF(A208="BR",IFERROR(INDEX(fo_name,MATCH(D208,fo_code,0))&amp;"","Fournisseur inconnu"),IF(A208="BS",IF(ISNA(MATCH(D208,p_services,0)),"Service inconnu",D208&amp;""),""))))</f>
        <v/>
      </c>
      <c r="F208" s="58" t="n"/>
      <c r="G208" s="58" t="n"/>
      <c r="H208" s="59" t="n"/>
      <c r="I208" s="57" t="str">
        <f>IF(H208="","",IFERROR(INDEX(art_des,MATCH(H208,art_ref,0))&amp;"","Article inconnu"))</f>
        <v/>
      </c>
      <c r="J208" s="60" t="str">
        <f>IF(H208="","",IFERROR(INDEX(art_unit,MATCH(H208,art_ref,0))&amp;"",""))</f>
        <v/>
      </c>
      <c r="K208" s="59" t="n"/>
      <c r="L208" s="59" t="n"/>
      <c r="M208" s="61" t="str">
        <f>IF(OR(B208="",NOT(ISNUMBER(K208)),NOT(ISNUMBER(L208))),"",IF(OR(K208&lt;=0,L208&lt;=0),"",ROUND(L208-K208,6)))</f>
        <v/>
      </c>
      <c r="N208" s="58" t="n"/>
      <c r="O208" s="62" t="n"/>
      <c r="P208" s="63" t="str">
        <f>IF(OR(B208="",NOT(ISNUMBER(L208))),"",IF(L208&lt;=0,"",IFERROR(ROUND(L208*N(INDEX(art_w,MATCH(H208,art_ref,0))),3),"")))</f>
        <v/>
      </c>
      <c r="Q208" s="59" t="n"/>
      <c r="R208" s="54" t="n"/>
      <c r="S208" s="59" t="n"/>
      <c r="T208" s="59" t="n"/>
      <c r="U208" s="64" t="str">
        <f>IF(OR(B208="",H208=""),"",IFERROR(IF(A208="BL",IF(N(INDEX(art_price,MATCH(H208,art_ref,0)))=0,"",N(INDEX(art_price,MATCH(H208,art_ref,0)))),IF(N(INDEX(art_cost,MATCH(H208,art_ref,0)))=0,"",N(INDEX(art_cost,MATCH(H208,art_ref,0))))),""))</f>
        <v/>
      </c>
      <c r="V208" s="64" t="str">
        <f>IF(OR(U208="",NOT(ISNUMBER(L208))),"",IF(L208&lt;=0,"",ROUND(L208*U208,2)))</f>
        <v/>
      </c>
      <c r="W208" s="60" t="str">
        <f>IF(AND(B208&lt;&gt;"",A208&lt;&gt;"BS",F208&lt;&gt;"",H208&lt;&gt;"",ISNUMBER(K208),ISNUMBER(L208)),IF(AND(K208&gt;0,L208&gt;0,K208-L208&gt;0,COUNTIFS(A209:A$2005,A208,F209:F$2005,F208,H209:H$2005,H208,AA209:AA$2005,"&gt;0")=0),ROUND(K208-L208,6),""),"")</f>
        <v/>
      </c>
      <c r="X208" s="60" t="str">
        <f>IF(AND(A208="",C208="",D208="",H208="",L208=""),"",IF(A208="","Type manquant",IF(AND(A208&lt;&gt;"BL",A208&lt;&gt;"BR",A208&lt;&gt;"BS"),"Type inconnu (BL, BR ou BS)",IF(AG208=0,"Date manquante ou invalide",IF(D208="",IF(A208="BL","Client manquant",IF(A208="BR","Fournisseur manquant","Service manquant")),IF(IF(A208="BL",ISNA(MATCH(D208,cl_code,0)),IF(A208="BR",ISNA(MATCH(D208,fo_code,0)),ISNA(MATCH(D208,p_services,0)))),IF(A208="BL","Client inconnu",IF(A208="BR","Fournisseur inconnu","Service inconnu")),IF(H208="","Article manquant",IF(ISNA(MATCH(H208,art_ref,0)),"Article inconnu",IF(OR(NOT(ISNUMBER(L208)),N(L208)&lt;=0),"Quantité invalide",IF(AND(K208&lt;&gt;"",OR(NOT(ISNUMBER(K208)),N(K208)&lt;=0)),"Qté commandée invalide",IF(AG208&lt;SUMPRODUCT(MAX((A$6:A207=A208)*AG$6:AG207)),"Date antérieure au bon précédent",IF(AND(A208&lt;&gt;"BR",ISNUMBER(M208),N(M208)&gt;0),IF(A208="BL","Livré plus que commandé","Sorti plus que demandé"),"OK"))))))))))))</f>
        <v/>
      </c>
      <c r="Y208" s="57" t="str">
        <f>IF(AND(OR(A208="BL",A208="BR",A208="BS"),AG208&gt;0,D208&lt;&gt;""),A208&amp;"|"&amp;AG208&amp;"|"&amp;D208&amp;"|"&amp;F208,"")</f>
        <v/>
      </c>
      <c r="Z208" s="57" t="str">
        <f>IF(Y208="","",IF(COUNTIF(Y$6:Y207,Y208)=0,1,0))</f>
        <v/>
      </c>
      <c r="AA208" s="57" t="str">
        <f>IF(Y208="","",IF(Z208=1,COUNTIFS(A$6:A208,A208,Z$6:Z208,1),INDEX(AA$6:AA207,MATCH(Y208,Y$6:Y207,0))))</f>
        <v/>
      </c>
      <c r="AB208" s="57" t="str">
        <f>IF(B208="","",COUNTIF(B$6:B208,B208))</f>
        <v/>
      </c>
      <c r="AC208" s="57" t="str">
        <f>IF(B208="","",B208&amp;"#"&amp;AB208)</f>
        <v/>
      </c>
      <c r="AD208" s="57" t="str">
        <f>IF(Z208=1,A208&amp;AA208,"")</f>
        <v/>
      </c>
      <c r="AE208" s="57" t="str">
        <f>IF(B208="","",YEAR(C208))</f>
        <v/>
      </c>
      <c r="AF208" s="57" t="str">
        <f>IF(B208="","",MONTH(C208))</f>
        <v/>
      </c>
      <c r="AG208" s="57">
        <f>IF(ISNUMBER(C208),C208,0)</f>
        <v>0.0</v>
      </c>
      <c r="AH208" s="57" t="str">
        <f>IF(N(W208)&gt;0,COUNTIF(W$6:W208,"&gt;0"),"")</f>
        <v/>
      </c>
      <c r="AI208" s="57" t="str">
        <f>IF(Z208=1,COUNTIF(Z$6:Z208,1),"")</f>
        <v/>
      </c>
    </row>
    <row r="209">
      <c r="A209" s="54" t="n"/>
      <c r="B209" s="55" t="str">
        <f>IF(AA209="","",A209&amp;"-"&amp;RIGHT("000"&amp;AA209,4))</f>
        <v/>
      </c>
      <c r="C209" s="56" t="n"/>
      <c r="D209" s="54" t="n"/>
      <c r="E209" s="57" t="str">
        <f>IF(D209="","",IF(A209="BL",IFERROR(INDEX(cl_name,MATCH(D209,cl_code,0))&amp;"","Client inconnu"),IF(A209="BR",IFERROR(INDEX(fo_name,MATCH(D209,fo_code,0))&amp;"","Fournisseur inconnu"),IF(A209="BS",IF(ISNA(MATCH(D209,p_services,0)),"Service inconnu",D209&amp;""),""))))</f>
        <v/>
      </c>
      <c r="F209" s="58" t="n"/>
      <c r="G209" s="58" t="n"/>
      <c r="H209" s="59" t="n"/>
      <c r="I209" s="57" t="str">
        <f>IF(H209="","",IFERROR(INDEX(art_des,MATCH(H209,art_ref,0))&amp;"","Article inconnu"))</f>
        <v/>
      </c>
      <c r="J209" s="60" t="str">
        <f>IF(H209="","",IFERROR(INDEX(art_unit,MATCH(H209,art_ref,0))&amp;"",""))</f>
        <v/>
      </c>
      <c r="K209" s="59" t="n"/>
      <c r="L209" s="59" t="n"/>
      <c r="M209" s="61" t="str">
        <f>IF(OR(B209="",NOT(ISNUMBER(K209)),NOT(ISNUMBER(L209))),"",IF(OR(K209&lt;=0,L209&lt;=0),"",ROUND(L209-K209,6)))</f>
        <v/>
      </c>
      <c r="N209" s="58" t="n"/>
      <c r="O209" s="62" t="n"/>
      <c r="P209" s="63" t="str">
        <f>IF(OR(B209="",NOT(ISNUMBER(L209))),"",IF(L209&lt;=0,"",IFERROR(ROUND(L209*N(INDEX(art_w,MATCH(H209,art_ref,0))),3),"")))</f>
        <v/>
      </c>
      <c r="Q209" s="59" t="n"/>
      <c r="R209" s="54" t="n"/>
      <c r="S209" s="59" t="n"/>
      <c r="T209" s="59" t="n"/>
      <c r="U209" s="64" t="str">
        <f>IF(OR(B209="",H209=""),"",IFERROR(IF(A209="BL",IF(N(INDEX(art_price,MATCH(H209,art_ref,0)))=0,"",N(INDEX(art_price,MATCH(H209,art_ref,0)))),IF(N(INDEX(art_cost,MATCH(H209,art_ref,0)))=0,"",N(INDEX(art_cost,MATCH(H209,art_ref,0))))),""))</f>
        <v/>
      </c>
      <c r="V209" s="64" t="str">
        <f>IF(OR(U209="",NOT(ISNUMBER(L209))),"",IF(L209&lt;=0,"",ROUND(L209*U209,2)))</f>
        <v/>
      </c>
      <c r="W209" s="60" t="str">
        <f>IF(AND(B209&lt;&gt;"",A209&lt;&gt;"BS",F209&lt;&gt;"",H209&lt;&gt;"",ISNUMBER(K209),ISNUMBER(L209)),IF(AND(K209&gt;0,L209&gt;0,K209-L209&gt;0,COUNTIFS(A210:A$2005,A209,F210:F$2005,F209,H210:H$2005,H209,AA210:AA$2005,"&gt;0")=0),ROUND(K209-L209,6),""),"")</f>
        <v/>
      </c>
      <c r="X209" s="60" t="str">
        <f>IF(AND(A209="",C209="",D209="",H209="",L209=""),"",IF(A209="","Type manquant",IF(AND(A209&lt;&gt;"BL",A209&lt;&gt;"BR",A209&lt;&gt;"BS"),"Type inconnu (BL, BR ou BS)",IF(AG209=0,"Date manquante ou invalide",IF(D209="",IF(A209="BL","Client manquant",IF(A209="BR","Fournisseur manquant","Service manquant")),IF(IF(A209="BL",ISNA(MATCH(D209,cl_code,0)),IF(A209="BR",ISNA(MATCH(D209,fo_code,0)),ISNA(MATCH(D209,p_services,0)))),IF(A209="BL","Client inconnu",IF(A209="BR","Fournisseur inconnu","Service inconnu")),IF(H209="","Article manquant",IF(ISNA(MATCH(H209,art_ref,0)),"Article inconnu",IF(OR(NOT(ISNUMBER(L209)),N(L209)&lt;=0),"Quantité invalide",IF(AND(K209&lt;&gt;"",OR(NOT(ISNUMBER(K209)),N(K209)&lt;=0)),"Qté commandée invalide",IF(AG209&lt;SUMPRODUCT(MAX((A$6:A208=A209)*AG$6:AG208)),"Date antérieure au bon précédent",IF(AND(A209&lt;&gt;"BR",ISNUMBER(M209),N(M209)&gt;0),IF(A209="BL","Livré plus que commandé","Sorti plus que demandé"),"OK"))))))))))))</f>
        <v/>
      </c>
      <c r="Y209" s="57" t="str">
        <f>IF(AND(OR(A209="BL",A209="BR",A209="BS"),AG209&gt;0,D209&lt;&gt;""),A209&amp;"|"&amp;AG209&amp;"|"&amp;D209&amp;"|"&amp;F209,"")</f>
        <v/>
      </c>
      <c r="Z209" s="57" t="str">
        <f>IF(Y209="","",IF(COUNTIF(Y$6:Y208,Y209)=0,1,0))</f>
        <v/>
      </c>
      <c r="AA209" s="57" t="str">
        <f>IF(Y209="","",IF(Z209=1,COUNTIFS(A$6:A209,A209,Z$6:Z209,1),INDEX(AA$6:AA208,MATCH(Y209,Y$6:Y208,0))))</f>
        <v/>
      </c>
      <c r="AB209" s="57" t="str">
        <f>IF(B209="","",COUNTIF(B$6:B209,B209))</f>
        <v/>
      </c>
      <c r="AC209" s="57" t="str">
        <f>IF(B209="","",B209&amp;"#"&amp;AB209)</f>
        <v/>
      </c>
      <c r="AD209" s="57" t="str">
        <f>IF(Z209=1,A209&amp;AA209,"")</f>
        <v/>
      </c>
      <c r="AE209" s="57" t="str">
        <f>IF(B209="","",YEAR(C209))</f>
        <v/>
      </c>
      <c r="AF209" s="57" t="str">
        <f>IF(B209="","",MONTH(C209))</f>
        <v/>
      </c>
      <c r="AG209" s="57">
        <f>IF(ISNUMBER(C209),C209,0)</f>
        <v>0.0</v>
      </c>
      <c r="AH209" s="57" t="str">
        <f>IF(N(W209)&gt;0,COUNTIF(W$6:W209,"&gt;0"),"")</f>
        <v/>
      </c>
      <c r="AI209" s="57" t="str">
        <f>IF(Z209=1,COUNTIF(Z$6:Z209,1),"")</f>
        <v/>
      </c>
    </row>
    <row r="210">
      <c r="A210" s="54" t="n"/>
      <c r="B210" s="55" t="str">
        <f>IF(AA210="","",A210&amp;"-"&amp;RIGHT("000"&amp;AA210,4))</f>
        <v/>
      </c>
      <c r="C210" s="56" t="n"/>
      <c r="D210" s="54" t="n"/>
      <c r="E210" s="57" t="str">
        <f>IF(D210="","",IF(A210="BL",IFERROR(INDEX(cl_name,MATCH(D210,cl_code,0))&amp;"","Client inconnu"),IF(A210="BR",IFERROR(INDEX(fo_name,MATCH(D210,fo_code,0))&amp;"","Fournisseur inconnu"),IF(A210="BS",IF(ISNA(MATCH(D210,p_services,0)),"Service inconnu",D210&amp;""),""))))</f>
        <v/>
      </c>
      <c r="F210" s="58" t="n"/>
      <c r="G210" s="58" t="n"/>
      <c r="H210" s="59" t="n"/>
      <c r="I210" s="57" t="str">
        <f>IF(H210="","",IFERROR(INDEX(art_des,MATCH(H210,art_ref,0))&amp;"","Article inconnu"))</f>
        <v/>
      </c>
      <c r="J210" s="60" t="str">
        <f>IF(H210="","",IFERROR(INDEX(art_unit,MATCH(H210,art_ref,0))&amp;"",""))</f>
        <v/>
      </c>
      <c r="K210" s="59" t="n"/>
      <c r="L210" s="59" t="n"/>
      <c r="M210" s="61" t="str">
        <f>IF(OR(B210="",NOT(ISNUMBER(K210)),NOT(ISNUMBER(L210))),"",IF(OR(K210&lt;=0,L210&lt;=0),"",ROUND(L210-K210,6)))</f>
        <v/>
      </c>
      <c r="N210" s="58" t="n"/>
      <c r="O210" s="62" t="n"/>
      <c r="P210" s="63" t="str">
        <f>IF(OR(B210="",NOT(ISNUMBER(L210))),"",IF(L210&lt;=0,"",IFERROR(ROUND(L210*N(INDEX(art_w,MATCH(H210,art_ref,0))),3),"")))</f>
        <v/>
      </c>
      <c r="Q210" s="59" t="n"/>
      <c r="R210" s="54" t="n"/>
      <c r="S210" s="59" t="n"/>
      <c r="T210" s="59" t="n"/>
      <c r="U210" s="64" t="str">
        <f>IF(OR(B210="",H210=""),"",IFERROR(IF(A210="BL",IF(N(INDEX(art_price,MATCH(H210,art_ref,0)))=0,"",N(INDEX(art_price,MATCH(H210,art_ref,0)))),IF(N(INDEX(art_cost,MATCH(H210,art_ref,0)))=0,"",N(INDEX(art_cost,MATCH(H210,art_ref,0))))),""))</f>
        <v/>
      </c>
      <c r="V210" s="64" t="str">
        <f>IF(OR(U210="",NOT(ISNUMBER(L210))),"",IF(L210&lt;=0,"",ROUND(L210*U210,2)))</f>
        <v/>
      </c>
      <c r="W210" s="60" t="str">
        <f>IF(AND(B210&lt;&gt;"",A210&lt;&gt;"BS",F210&lt;&gt;"",H210&lt;&gt;"",ISNUMBER(K210),ISNUMBER(L210)),IF(AND(K210&gt;0,L210&gt;0,K210-L210&gt;0,COUNTIFS(A211:A$2005,A210,F211:F$2005,F210,H211:H$2005,H210,AA211:AA$2005,"&gt;0")=0),ROUND(K210-L210,6),""),"")</f>
        <v/>
      </c>
      <c r="X210" s="60" t="str">
        <f>IF(AND(A210="",C210="",D210="",H210="",L210=""),"",IF(A210="","Type manquant",IF(AND(A210&lt;&gt;"BL",A210&lt;&gt;"BR",A210&lt;&gt;"BS"),"Type inconnu (BL, BR ou BS)",IF(AG210=0,"Date manquante ou invalide",IF(D210="",IF(A210="BL","Client manquant",IF(A210="BR","Fournisseur manquant","Service manquant")),IF(IF(A210="BL",ISNA(MATCH(D210,cl_code,0)),IF(A210="BR",ISNA(MATCH(D210,fo_code,0)),ISNA(MATCH(D210,p_services,0)))),IF(A210="BL","Client inconnu",IF(A210="BR","Fournisseur inconnu","Service inconnu")),IF(H210="","Article manquant",IF(ISNA(MATCH(H210,art_ref,0)),"Article inconnu",IF(OR(NOT(ISNUMBER(L210)),N(L210)&lt;=0),"Quantité invalide",IF(AND(K210&lt;&gt;"",OR(NOT(ISNUMBER(K210)),N(K210)&lt;=0)),"Qté commandée invalide",IF(AG210&lt;SUMPRODUCT(MAX((A$6:A209=A210)*AG$6:AG209)),"Date antérieure au bon précédent",IF(AND(A210&lt;&gt;"BR",ISNUMBER(M210),N(M210)&gt;0),IF(A210="BL","Livré plus que commandé","Sorti plus que demandé"),"OK"))))))))))))</f>
        <v/>
      </c>
      <c r="Y210" s="57" t="str">
        <f>IF(AND(OR(A210="BL",A210="BR",A210="BS"),AG210&gt;0,D210&lt;&gt;""),A210&amp;"|"&amp;AG210&amp;"|"&amp;D210&amp;"|"&amp;F210,"")</f>
        <v/>
      </c>
      <c r="Z210" s="57" t="str">
        <f>IF(Y210="","",IF(COUNTIF(Y$6:Y209,Y210)=0,1,0))</f>
        <v/>
      </c>
      <c r="AA210" s="57" t="str">
        <f>IF(Y210="","",IF(Z210=1,COUNTIFS(A$6:A210,A210,Z$6:Z210,1),INDEX(AA$6:AA209,MATCH(Y210,Y$6:Y209,0))))</f>
        <v/>
      </c>
      <c r="AB210" s="57" t="str">
        <f>IF(B210="","",COUNTIF(B$6:B210,B210))</f>
        <v/>
      </c>
      <c r="AC210" s="57" t="str">
        <f>IF(B210="","",B210&amp;"#"&amp;AB210)</f>
        <v/>
      </c>
      <c r="AD210" s="57" t="str">
        <f>IF(Z210=1,A210&amp;AA210,"")</f>
        <v/>
      </c>
      <c r="AE210" s="57" t="str">
        <f>IF(B210="","",YEAR(C210))</f>
        <v/>
      </c>
      <c r="AF210" s="57" t="str">
        <f>IF(B210="","",MONTH(C210))</f>
        <v/>
      </c>
      <c r="AG210" s="57">
        <f>IF(ISNUMBER(C210),C210,0)</f>
        <v>0.0</v>
      </c>
      <c r="AH210" s="57" t="str">
        <f>IF(N(W210)&gt;0,COUNTIF(W$6:W210,"&gt;0"),"")</f>
        <v/>
      </c>
      <c r="AI210" s="57" t="str">
        <f>IF(Z210=1,COUNTIF(Z$6:Z210,1),"")</f>
        <v/>
      </c>
    </row>
    <row r="211">
      <c r="A211" s="54" t="n"/>
      <c r="B211" s="55" t="str">
        <f>IF(AA211="","",A211&amp;"-"&amp;RIGHT("000"&amp;AA211,4))</f>
        <v/>
      </c>
      <c r="C211" s="56" t="n"/>
      <c r="D211" s="54" t="n"/>
      <c r="E211" s="57" t="str">
        <f>IF(D211="","",IF(A211="BL",IFERROR(INDEX(cl_name,MATCH(D211,cl_code,0))&amp;"","Client inconnu"),IF(A211="BR",IFERROR(INDEX(fo_name,MATCH(D211,fo_code,0))&amp;"","Fournisseur inconnu"),IF(A211="BS",IF(ISNA(MATCH(D211,p_services,0)),"Service inconnu",D211&amp;""),""))))</f>
        <v/>
      </c>
      <c r="F211" s="58" t="n"/>
      <c r="G211" s="58" t="n"/>
      <c r="H211" s="59" t="n"/>
      <c r="I211" s="57" t="str">
        <f>IF(H211="","",IFERROR(INDEX(art_des,MATCH(H211,art_ref,0))&amp;"","Article inconnu"))</f>
        <v/>
      </c>
      <c r="J211" s="60" t="str">
        <f>IF(H211="","",IFERROR(INDEX(art_unit,MATCH(H211,art_ref,0))&amp;"",""))</f>
        <v/>
      </c>
      <c r="K211" s="59" t="n"/>
      <c r="L211" s="59" t="n"/>
      <c r="M211" s="61" t="str">
        <f>IF(OR(B211="",NOT(ISNUMBER(K211)),NOT(ISNUMBER(L211))),"",IF(OR(K211&lt;=0,L211&lt;=0),"",ROUND(L211-K211,6)))</f>
        <v/>
      </c>
      <c r="N211" s="58" t="n"/>
      <c r="O211" s="62" t="n"/>
      <c r="P211" s="63" t="str">
        <f>IF(OR(B211="",NOT(ISNUMBER(L211))),"",IF(L211&lt;=0,"",IFERROR(ROUND(L211*N(INDEX(art_w,MATCH(H211,art_ref,0))),3),"")))</f>
        <v/>
      </c>
      <c r="Q211" s="59" t="n"/>
      <c r="R211" s="54" t="n"/>
      <c r="S211" s="59" t="n"/>
      <c r="T211" s="59" t="n"/>
      <c r="U211" s="64" t="str">
        <f>IF(OR(B211="",H211=""),"",IFERROR(IF(A211="BL",IF(N(INDEX(art_price,MATCH(H211,art_ref,0)))=0,"",N(INDEX(art_price,MATCH(H211,art_ref,0)))),IF(N(INDEX(art_cost,MATCH(H211,art_ref,0)))=0,"",N(INDEX(art_cost,MATCH(H211,art_ref,0))))),""))</f>
        <v/>
      </c>
      <c r="V211" s="64" t="str">
        <f>IF(OR(U211="",NOT(ISNUMBER(L211))),"",IF(L211&lt;=0,"",ROUND(L211*U211,2)))</f>
        <v/>
      </c>
      <c r="W211" s="60" t="str">
        <f>IF(AND(B211&lt;&gt;"",A211&lt;&gt;"BS",F211&lt;&gt;"",H211&lt;&gt;"",ISNUMBER(K211),ISNUMBER(L211)),IF(AND(K211&gt;0,L211&gt;0,K211-L211&gt;0,COUNTIFS(A212:A$2005,A211,F212:F$2005,F211,H212:H$2005,H211,AA212:AA$2005,"&gt;0")=0),ROUND(K211-L211,6),""),"")</f>
        <v/>
      </c>
      <c r="X211" s="60" t="str">
        <f>IF(AND(A211="",C211="",D211="",H211="",L211=""),"",IF(A211="","Type manquant",IF(AND(A211&lt;&gt;"BL",A211&lt;&gt;"BR",A211&lt;&gt;"BS"),"Type inconnu (BL, BR ou BS)",IF(AG211=0,"Date manquante ou invalide",IF(D211="",IF(A211="BL","Client manquant",IF(A211="BR","Fournisseur manquant","Service manquant")),IF(IF(A211="BL",ISNA(MATCH(D211,cl_code,0)),IF(A211="BR",ISNA(MATCH(D211,fo_code,0)),ISNA(MATCH(D211,p_services,0)))),IF(A211="BL","Client inconnu",IF(A211="BR","Fournisseur inconnu","Service inconnu")),IF(H211="","Article manquant",IF(ISNA(MATCH(H211,art_ref,0)),"Article inconnu",IF(OR(NOT(ISNUMBER(L211)),N(L211)&lt;=0),"Quantité invalide",IF(AND(K211&lt;&gt;"",OR(NOT(ISNUMBER(K211)),N(K211)&lt;=0)),"Qté commandée invalide",IF(AG211&lt;SUMPRODUCT(MAX((A$6:A210=A211)*AG$6:AG210)),"Date antérieure au bon précédent",IF(AND(A211&lt;&gt;"BR",ISNUMBER(M211),N(M211)&gt;0),IF(A211="BL","Livré plus que commandé","Sorti plus que demandé"),"OK"))))))))))))</f>
        <v/>
      </c>
      <c r="Y211" s="57" t="str">
        <f>IF(AND(OR(A211="BL",A211="BR",A211="BS"),AG211&gt;0,D211&lt;&gt;""),A211&amp;"|"&amp;AG211&amp;"|"&amp;D211&amp;"|"&amp;F211,"")</f>
        <v/>
      </c>
      <c r="Z211" s="57" t="str">
        <f>IF(Y211="","",IF(COUNTIF(Y$6:Y210,Y211)=0,1,0))</f>
        <v/>
      </c>
      <c r="AA211" s="57" t="str">
        <f>IF(Y211="","",IF(Z211=1,COUNTIFS(A$6:A211,A211,Z$6:Z211,1),INDEX(AA$6:AA210,MATCH(Y211,Y$6:Y210,0))))</f>
        <v/>
      </c>
      <c r="AB211" s="57" t="str">
        <f>IF(B211="","",COUNTIF(B$6:B211,B211))</f>
        <v/>
      </c>
      <c r="AC211" s="57" t="str">
        <f>IF(B211="","",B211&amp;"#"&amp;AB211)</f>
        <v/>
      </c>
      <c r="AD211" s="57" t="str">
        <f>IF(Z211=1,A211&amp;AA211,"")</f>
        <v/>
      </c>
      <c r="AE211" s="57" t="str">
        <f>IF(B211="","",YEAR(C211))</f>
        <v/>
      </c>
      <c r="AF211" s="57" t="str">
        <f>IF(B211="","",MONTH(C211))</f>
        <v/>
      </c>
      <c r="AG211" s="57">
        <f>IF(ISNUMBER(C211),C211,0)</f>
        <v>0.0</v>
      </c>
      <c r="AH211" s="57" t="str">
        <f>IF(N(W211)&gt;0,COUNTIF(W$6:W211,"&gt;0"),"")</f>
        <v/>
      </c>
      <c r="AI211" s="57" t="str">
        <f>IF(Z211=1,COUNTIF(Z$6:Z211,1),"")</f>
        <v/>
      </c>
    </row>
    <row r="212">
      <c r="A212" s="54" t="n"/>
      <c r="B212" s="55" t="str">
        <f>IF(AA212="","",A212&amp;"-"&amp;RIGHT("000"&amp;AA212,4))</f>
        <v/>
      </c>
      <c r="C212" s="56" t="n"/>
      <c r="D212" s="54" t="n"/>
      <c r="E212" s="57" t="str">
        <f>IF(D212="","",IF(A212="BL",IFERROR(INDEX(cl_name,MATCH(D212,cl_code,0))&amp;"","Client inconnu"),IF(A212="BR",IFERROR(INDEX(fo_name,MATCH(D212,fo_code,0))&amp;"","Fournisseur inconnu"),IF(A212="BS",IF(ISNA(MATCH(D212,p_services,0)),"Service inconnu",D212&amp;""),""))))</f>
        <v/>
      </c>
      <c r="F212" s="58" t="n"/>
      <c r="G212" s="58" t="n"/>
      <c r="H212" s="59" t="n"/>
      <c r="I212" s="57" t="str">
        <f>IF(H212="","",IFERROR(INDEX(art_des,MATCH(H212,art_ref,0))&amp;"","Article inconnu"))</f>
        <v/>
      </c>
      <c r="J212" s="60" t="str">
        <f>IF(H212="","",IFERROR(INDEX(art_unit,MATCH(H212,art_ref,0))&amp;"",""))</f>
        <v/>
      </c>
      <c r="K212" s="59" t="n"/>
      <c r="L212" s="59" t="n"/>
      <c r="M212" s="61" t="str">
        <f>IF(OR(B212="",NOT(ISNUMBER(K212)),NOT(ISNUMBER(L212))),"",IF(OR(K212&lt;=0,L212&lt;=0),"",ROUND(L212-K212,6)))</f>
        <v/>
      </c>
      <c r="N212" s="58" t="n"/>
      <c r="O212" s="62" t="n"/>
      <c r="P212" s="63" t="str">
        <f>IF(OR(B212="",NOT(ISNUMBER(L212))),"",IF(L212&lt;=0,"",IFERROR(ROUND(L212*N(INDEX(art_w,MATCH(H212,art_ref,0))),3),"")))</f>
        <v/>
      </c>
      <c r="Q212" s="59" t="n"/>
      <c r="R212" s="54" t="n"/>
      <c r="S212" s="59" t="n"/>
      <c r="T212" s="59" t="n"/>
      <c r="U212" s="64" t="str">
        <f>IF(OR(B212="",H212=""),"",IFERROR(IF(A212="BL",IF(N(INDEX(art_price,MATCH(H212,art_ref,0)))=0,"",N(INDEX(art_price,MATCH(H212,art_ref,0)))),IF(N(INDEX(art_cost,MATCH(H212,art_ref,0)))=0,"",N(INDEX(art_cost,MATCH(H212,art_ref,0))))),""))</f>
        <v/>
      </c>
      <c r="V212" s="64" t="str">
        <f>IF(OR(U212="",NOT(ISNUMBER(L212))),"",IF(L212&lt;=0,"",ROUND(L212*U212,2)))</f>
        <v/>
      </c>
      <c r="W212" s="60" t="str">
        <f>IF(AND(B212&lt;&gt;"",A212&lt;&gt;"BS",F212&lt;&gt;"",H212&lt;&gt;"",ISNUMBER(K212),ISNUMBER(L212)),IF(AND(K212&gt;0,L212&gt;0,K212-L212&gt;0,COUNTIFS(A213:A$2005,A212,F213:F$2005,F212,H213:H$2005,H212,AA213:AA$2005,"&gt;0")=0),ROUND(K212-L212,6),""),"")</f>
        <v/>
      </c>
      <c r="X212" s="60" t="str">
        <f>IF(AND(A212="",C212="",D212="",H212="",L212=""),"",IF(A212="","Type manquant",IF(AND(A212&lt;&gt;"BL",A212&lt;&gt;"BR",A212&lt;&gt;"BS"),"Type inconnu (BL, BR ou BS)",IF(AG212=0,"Date manquante ou invalide",IF(D212="",IF(A212="BL","Client manquant",IF(A212="BR","Fournisseur manquant","Service manquant")),IF(IF(A212="BL",ISNA(MATCH(D212,cl_code,0)),IF(A212="BR",ISNA(MATCH(D212,fo_code,0)),ISNA(MATCH(D212,p_services,0)))),IF(A212="BL","Client inconnu",IF(A212="BR","Fournisseur inconnu","Service inconnu")),IF(H212="","Article manquant",IF(ISNA(MATCH(H212,art_ref,0)),"Article inconnu",IF(OR(NOT(ISNUMBER(L212)),N(L212)&lt;=0),"Quantité invalide",IF(AND(K212&lt;&gt;"",OR(NOT(ISNUMBER(K212)),N(K212)&lt;=0)),"Qté commandée invalide",IF(AG212&lt;SUMPRODUCT(MAX((A$6:A211=A212)*AG$6:AG211)),"Date antérieure au bon précédent",IF(AND(A212&lt;&gt;"BR",ISNUMBER(M212),N(M212)&gt;0),IF(A212="BL","Livré plus que commandé","Sorti plus que demandé"),"OK"))))))))))))</f>
        <v/>
      </c>
      <c r="Y212" s="57" t="str">
        <f>IF(AND(OR(A212="BL",A212="BR",A212="BS"),AG212&gt;0,D212&lt;&gt;""),A212&amp;"|"&amp;AG212&amp;"|"&amp;D212&amp;"|"&amp;F212,"")</f>
        <v/>
      </c>
      <c r="Z212" s="57" t="str">
        <f>IF(Y212="","",IF(COUNTIF(Y$6:Y211,Y212)=0,1,0))</f>
        <v/>
      </c>
      <c r="AA212" s="57" t="str">
        <f>IF(Y212="","",IF(Z212=1,COUNTIFS(A$6:A212,A212,Z$6:Z212,1),INDEX(AA$6:AA211,MATCH(Y212,Y$6:Y211,0))))</f>
        <v/>
      </c>
      <c r="AB212" s="57" t="str">
        <f>IF(B212="","",COUNTIF(B$6:B212,B212))</f>
        <v/>
      </c>
      <c r="AC212" s="57" t="str">
        <f>IF(B212="","",B212&amp;"#"&amp;AB212)</f>
        <v/>
      </c>
      <c r="AD212" s="57" t="str">
        <f>IF(Z212=1,A212&amp;AA212,"")</f>
        <v/>
      </c>
      <c r="AE212" s="57" t="str">
        <f>IF(B212="","",YEAR(C212))</f>
        <v/>
      </c>
      <c r="AF212" s="57" t="str">
        <f>IF(B212="","",MONTH(C212))</f>
        <v/>
      </c>
      <c r="AG212" s="57">
        <f>IF(ISNUMBER(C212),C212,0)</f>
        <v>0.0</v>
      </c>
      <c r="AH212" s="57" t="str">
        <f>IF(N(W212)&gt;0,COUNTIF(W$6:W212,"&gt;0"),"")</f>
        <v/>
      </c>
      <c r="AI212" s="57" t="str">
        <f>IF(Z212=1,COUNTIF(Z$6:Z212,1),"")</f>
        <v/>
      </c>
    </row>
    <row r="213">
      <c r="A213" s="54" t="n"/>
      <c r="B213" s="55" t="str">
        <f>IF(AA213="","",A213&amp;"-"&amp;RIGHT("000"&amp;AA213,4))</f>
        <v/>
      </c>
      <c r="C213" s="56" t="n"/>
      <c r="D213" s="54" t="n"/>
      <c r="E213" s="57" t="str">
        <f>IF(D213="","",IF(A213="BL",IFERROR(INDEX(cl_name,MATCH(D213,cl_code,0))&amp;"","Client inconnu"),IF(A213="BR",IFERROR(INDEX(fo_name,MATCH(D213,fo_code,0))&amp;"","Fournisseur inconnu"),IF(A213="BS",IF(ISNA(MATCH(D213,p_services,0)),"Service inconnu",D213&amp;""),""))))</f>
        <v/>
      </c>
      <c r="F213" s="58" t="n"/>
      <c r="G213" s="58" t="n"/>
      <c r="H213" s="59" t="n"/>
      <c r="I213" s="57" t="str">
        <f>IF(H213="","",IFERROR(INDEX(art_des,MATCH(H213,art_ref,0))&amp;"","Article inconnu"))</f>
        <v/>
      </c>
      <c r="J213" s="60" t="str">
        <f>IF(H213="","",IFERROR(INDEX(art_unit,MATCH(H213,art_ref,0))&amp;"",""))</f>
        <v/>
      </c>
      <c r="K213" s="59" t="n"/>
      <c r="L213" s="59" t="n"/>
      <c r="M213" s="61" t="str">
        <f>IF(OR(B213="",NOT(ISNUMBER(K213)),NOT(ISNUMBER(L213))),"",IF(OR(K213&lt;=0,L213&lt;=0),"",ROUND(L213-K213,6)))</f>
        <v/>
      </c>
      <c r="N213" s="58" t="n"/>
      <c r="O213" s="62" t="n"/>
      <c r="P213" s="63" t="str">
        <f>IF(OR(B213="",NOT(ISNUMBER(L213))),"",IF(L213&lt;=0,"",IFERROR(ROUND(L213*N(INDEX(art_w,MATCH(H213,art_ref,0))),3),"")))</f>
        <v/>
      </c>
      <c r="Q213" s="59" t="n"/>
      <c r="R213" s="54" t="n"/>
      <c r="S213" s="59" t="n"/>
      <c r="T213" s="59" t="n"/>
      <c r="U213" s="64" t="str">
        <f>IF(OR(B213="",H213=""),"",IFERROR(IF(A213="BL",IF(N(INDEX(art_price,MATCH(H213,art_ref,0)))=0,"",N(INDEX(art_price,MATCH(H213,art_ref,0)))),IF(N(INDEX(art_cost,MATCH(H213,art_ref,0)))=0,"",N(INDEX(art_cost,MATCH(H213,art_ref,0))))),""))</f>
        <v/>
      </c>
      <c r="V213" s="64" t="str">
        <f>IF(OR(U213="",NOT(ISNUMBER(L213))),"",IF(L213&lt;=0,"",ROUND(L213*U213,2)))</f>
        <v/>
      </c>
      <c r="W213" s="60" t="str">
        <f>IF(AND(B213&lt;&gt;"",A213&lt;&gt;"BS",F213&lt;&gt;"",H213&lt;&gt;"",ISNUMBER(K213),ISNUMBER(L213)),IF(AND(K213&gt;0,L213&gt;0,K213-L213&gt;0,COUNTIFS(A214:A$2005,A213,F214:F$2005,F213,H214:H$2005,H213,AA214:AA$2005,"&gt;0")=0),ROUND(K213-L213,6),""),"")</f>
        <v/>
      </c>
      <c r="X213" s="60" t="str">
        <f>IF(AND(A213="",C213="",D213="",H213="",L213=""),"",IF(A213="","Type manquant",IF(AND(A213&lt;&gt;"BL",A213&lt;&gt;"BR",A213&lt;&gt;"BS"),"Type inconnu (BL, BR ou BS)",IF(AG213=0,"Date manquante ou invalide",IF(D213="",IF(A213="BL","Client manquant",IF(A213="BR","Fournisseur manquant","Service manquant")),IF(IF(A213="BL",ISNA(MATCH(D213,cl_code,0)),IF(A213="BR",ISNA(MATCH(D213,fo_code,0)),ISNA(MATCH(D213,p_services,0)))),IF(A213="BL","Client inconnu",IF(A213="BR","Fournisseur inconnu","Service inconnu")),IF(H213="","Article manquant",IF(ISNA(MATCH(H213,art_ref,0)),"Article inconnu",IF(OR(NOT(ISNUMBER(L213)),N(L213)&lt;=0),"Quantité invalide",IF(AND(K213&lt;&gt;"",OR(NOT(ISNUMBER(K213)),N(K213)&lt;=0)),"Qté commandée invalide",IF(AG213&lt;SUMPRODUCT(MAX((A$6:A212=A213)*AG$6:AG212)),"Date antérieure au bon précédent",IF(AND(A213&lt;&gt;"BR",ISNUMBER(M213),N(M213)&gt;0),IF(A213="BL","Livré plus que commandé","Sorti plus que demandé"),"OK"))))))))))))</f>
        <v/>
      </c>
      <c r="Y213" s="57" t="str">
        <f>IF(AND(OR(A213="BL",A213="BR",A213="BS"),AG213&gt;0,D213&lt;&gt;""),A213&amp;"|"&amp;AG213&amp;"|"&amp;D213&amp;"|"&amp;F213,"")</f>
        <v/>
      </c>
      <c r="Z213" s="57" t="str">
        <f>IF(Y213="","",IF(COUNTIF(Y$6:Y212,Y213)=0,1,0))</f>
        <v/>
      </c>
      <c r="AA213" s="57" t="str">
        <f>IF(Y213="","",IF(Z213=1,COUNTIFS(A$6:A213,A213,Z$6:Z213,1),INDEX(AA$6:AA212,MATCH(Y213,Y$6:Y212,0))))</f>
        <v/>
      </c>
      <c r="AB213" s="57" t="str">
        <f>IF(B213="","",COUNTIF(B$6:B213,B213))</f>
        <v/>
      </c>
      <c r="AC213" s="57" t="str">
        <f>IF(B213="","",B213&amp;"#"&amp;AB213)</f>
        <v/>
      </c>
      <c r="AD213" s="57" t="str">
        <f>IF(Z213=1,A213&amp;AA213,"")</f>
        <v/>
      </c>
      <c r="AE213" s="57" t="str">
        <f>IF(B213="","",YEAR(C213))</f>
        <v/>
      </c>
      <c r="AF213" s="57" t="str">
        <f>IF(B213="","",MONTH(C213))</f>
        <v/>
      </c>
      <c r="AG213" s="57">
        <f>IF(ISNUMBER(C213),C213,0)</f>
        <v>0.0</v>
      </c>
      <c r="AH213" s="57" t="str">
        <f>IF(N(W213)&gt;0,COUNTIF(W$6:W213,"&gt;0"),"")</f>
        <v/>
      </c>
      <c r="AI213" s="57" t="str">
        <f>IF(Z213=1,COUNTIF(Z$6:Z213,1),"")</f>
        <v/>
      </c>
    </row>
    <row r="214">
      <c r="A214" s="54" t="n"/>
      <c r="B214" s="55" t="str">
        <f>IF(AA214="","",A214&amp;"-"&amp;RIGHT("000"&amp;AA214,4))</f>
        <v/>
      </c>
      <c r="C214" s="56" t="n"/>
      <c r="D214" s="54" t="n"/>
      <c r="E214" s="57" t="str">
        <f>IF(D214="","",IF(A214="BL",IFERROR(INDEX(cl_name,MATCH(D214,cl_code,0))&amp;"","Client inconnu"),IF(A214="BR",IFERROR(INDEX(fo_name,MATCH(D214,fo_code,0))&amp;"","Fournisseur inconnu"),IF(A214="BS",IF(ISNA(MATCH(D214,p_services,0)),"Service inconnu",D214&amp;""),""))))</f>
        <v/>
      </c>
      <c r="F214" s="58" t="n"/>
      <c r="G214" s="58" t="n"/>
      <c r="H214" s="59" t="n"/>
      <c r="I214" s="57" t="str">
        <f>IF(H214="","",IFERROR(INDEX(art_des,MATCH(H214,art_ref,0))&amp;"","Article inconnu"))</f>
        <v/>
      </c>
      <c r="J214" s="60" t="str">
        <f>IF(H214="","",IFERROR(INDEX(art_unit,MATCH(H214,art_ref,0))&amp;"",""))</f>
        <v/>
      </c>
      <c r="K214" s="59" t="n"/>
      <c r="L214" s="59" t="n"/>
      <c r="M214" s="61" t="str">
        <f>IF(OR(B214="",NOT(ISNUMBER(K214)),NOT(ISNUMBER(L214))),"",IF(OR(K214&lt;=0,L214&lt;=0),"",ROUND(L214-K214,6)))</f>
        <v/>
      </c>
      <c r="N214" s="58" t="n"/>
      <c r="O214" s="62" t="n"/>
      <c r="P214" s="63" t="str">
        <f>IF(OR(B214="",NOT(ISNUMBER(L214))),"",IF(L214&lt;=0,"",IFERROR(ROUND(L214*N(INDEX(art_w,MATCH(H214,art_ref,0))),3),"")))</f>
        <v/>
      </c>
      <c r="Q214" s="59" t="n"/>
      <c r="R214" s="54" t="n"/>
      <c r="S214" s="59" t="n"/>
      <c r="T214" s="59" t="n"/>
      <c r="U214" s="64" t="str">
        <f>IF(OR(B214="",H214=""),"",IFERROR(IF(A214="BL",IF(N(INDEX(art_price,MATCH(H214,art_ref,0)))=0,"",N(INDEX(art_price,MATCH(H214,art_ref,0)))),IF(N(INDEX(art_cost,MATCH(H214,art_ref,0)))=0,"",N(INDEX(art_cost,MATCH(H214,art_ref,0))))),""))</f>
        <v/>
      </c>
      <c r="V214" s="64" t="str">
        <f>IF(OR(U214="",NOT(ISNUMBER(L214))),"",IF(L214&lt;=0,"",ROUND(L214*U214,2)))</f>
        <v/>
      </c>
      <c r="W214" s="60" t="str">
        <f>IF(AND(B214&lt;&gt;"",A214&lt;&gt;"BS",F214&lt;&gt;"",H214&lt;&gt;"",ISNUMBER(K214),ISNUMBER(L214)),IF(AND(K214&gt;0,L214&gt;0,K214-L214&gt;0,COUNTIFS(A215:A$2005,A214,F215:F$2005,F214,H215:H$2005,H214,AA215:AA$2005,"&gt;0")=0),ROUND(K214-L214,6),""),"")</f>
        <v/>
      </c>
      <c r="X214" s="60" t="str">
        <f>IF(AND(A214="",C214="",D214="",H214="",L214=""),"",IF(A214="","Type manquant",IF(AND(A214&lt;&gt;"BL",A214&lt;&gt;"BR",A214&lt;&gt;"BS"),"Type inconnu (BL, BR ou BS)",IF(AG214=0,"Date manquante ou invalide",IF(D214="",IF(A214="BL","Client manquant",IF(A214="BR","Fournisseur manquant","Service manquant")),IF(IF(A214="BL",ISNA(MATCH(D214,cl_code,0)),IF(A214="BR",ISNA(MATCH(D214,fo_code,0)),ISNA(MATCH(D214,p_services,0)))),IF(A214="BL","Client inconnu",IF(A214="BR","Fournisseur inconnu","Service inconnu")),IF(H214="","Article manquant",IF(ISNA(MATCH(H214,art_ref,0)),"Article inconnu",IF(OR(NOT(ISNUMBER(L214)),N(L214)&lt;=0),"Quantité invalide",IF(AND(K214&lt;&gt;"",OR(NOT(ISNUMBER(K214)),N(K214)&lt;=0)),"Qté commandée invalide",IF(AG214&lt;SUMPRODUCT(MAX((A$6:A213=A214)*AG$6:AG213)),"Date antérieure au bon précédent",IF(AND(A214&lt;&gt;"BR",ISNUMBER(M214),N(M214)&gt;0),IF(A214="BL","Livré plus que commandé","Sorti plus que demandé"),"OK"))))))))))))</f>
        <v/>
      </c>
      <c r="Y214" s="57" t="str">
        <f>IF(AND(OR(A214="BL",A214="BR",A214="BS"),AG214&gt;0,D214&lt;&gt;""),A214&amp;"|"&amp;AG214&amp;"|"&amp;D214&amp;"|"&amp;F214,"")</f>
        <v/>
      </c>
      <c r="Z214" s="57" t="str">
        <f>IF(Y214="","",IF(COUNTIF(Y$6:Y213,Y214)=0,1,0))</f>
        <v/>
      </c>
      <c r="AA214" s="57" t="str">
        <f>IF(Y214="","",IF(Z214=1,COUNTIFS(A$6:A214,A214,Z$6:Z214,1),INDEX(AA$6:AA213,MATCH(Y214,Y$6:Y213,0))))</f>
        <v/>
      </c>
      <c r="AB214" s="57" t="str">
        <f>IF(B214="","",COUNTIF(B$6:B214,B214))</f>
        <v/>
      </c>
      <c r="AC214" s="57" t="str">
        <f>IF(B214="","",B214&amp;"#"&amp;AB214)</f>
        <v/>
      </c>
      <c r="AD214" s="57" t="str">
        <f>IF(Z214=1,A214&amp;AA214,"")</f>
        <v/>
      </c>
      <c r="AE214" s="57" t="str">
        <f>IF(B214="","",YEAR(C214))</f>
        <v/>
      </c>
      <c r="AF214" s="57" t="str">
        <f>IF(B214="","",MONTH(C214))</f>
        <v/>
      </c>
      <c r="AG214" s="57">
        <f>IF(ISNUMBER(C214),C214,0)</f>
        <v>0.0</v>
      </c>
      <c r="AH214" s="57" t="str">
        <f>IF(N(W214)&gt;0,COUNTIF(W$6:W214,"&gt;0"),"")</f>
        <v/>
      </c>
      <c r="AI214" s="57" t="str">
        <f>IF(Z214=1,COUNTIF(Z$6:Z214,1),"")</f>
        <v/>
      </c>
    </row>
    <row r="215">
      <c r="A215" s="54" t="n"/>
      <c r="B215" s="55" t="str">
        <f>IF(AA215="","",A215&amp;"-"&amp;RIGHT("000"&amp;AA215,4))</f>
        <v/>
      </c>
      <c r="C215" s="56" t="n"/>
      <c r="D215" s="54" t="n"/>
      <c r="E215" s="57" t="str">
        <f>IF(D215="","",IF(A215="BL",IFERROR(INDEX(cl_name,MATCH(D215,cl_code,0))&amp;"","Client inconnu"),IF(A215="BR",IFERROR(INDEX(fo_name,MATCH(D215,fo_code,0))&amp;"","Fournisseur inconnu"),IF(A215="BS",IF(ISNA(MATCH(D215,p_services,0)),"Service inconnu",D215&amp;""),""))))</f>
        <v/>
      </c>
      <c r="F215" s="58" t="n"/>
      <c r="G215" s="58" t="n"/>
      <c r="H215" s="59" t="n"/>
      <c r="I215" s="57" t="str">
        <f>IF(H215="","",IFERROR(INDEX(art_des,MATCH(H215,art_ref,0))&amp;"","Article inconnu"))</f>
        <v/>
      </c>
      <c r="J215" s="60" t="str">
        <f>IF(H215="","",IFERROR(INDEX(art_unit,MATCH(H215,art_ref,0))&amp;"",""))</f>
        <v/>
      </c>
      <c r="K215" s="59" t="n"/>
      <c r="L215" s="59" t="n"/>
      <c r="M215" s="61" t="str">
        <f>IF(OR(B215="",NOT(ISNUMBER(K215)),NOT(ISNUMBER(L215))),"",IF(OR(K215&lt;=0,L215&lt;=0),"",ROUND(L215-K215,6)))</f>
        <v/>
      </c>
      <c r="N215" s="58" t="n"/>
      <c r="O215" s="62" t="n"/>
      <c r="P215" s="63" t="str">
        <f>IF(OR(B215="",NOT(ISNUMBER(L215))),"",IF(L215&lt;=0,"",IFERROR(ROUND(L215*N(INDEX(art_w,MATCH(H215,art_ref,0))),3),"")))</f>
        <v/>
      </c>
      <c r="Q215" s="59" t="n"/>
      <c r="R215" s="54" t="n"/>
      <c r="S215" s="59" t="n"/>
      <c r="T215" s="59" t="n"/>
      <c r="U215" s="64" t="str">
        <f>IF(OR(B215="",H215=""),"",IFERROR(IF(A215="BL",IF(N(INDEX(art_price,MATCH(H215,art_ref,0)))=0,"",N(INDEX(art_price,MATCH(H215,art_ref,0)))),IF(N(INDEX(art_cost,MATCH(H215,art_ref,0)))=0,"",N(INDEX(art_cost,MATCH(H215,art_ref,0))))),""))</f>
        <v/>
      </c>
      <c r="V215" s="64" t="str">
        <f>IF(OR(U215="",NOT(ISNUMBER(L215))),"",IF(L215&lt;=0,"",ROUND(L215*U215,2)))</f>
        <v/>
      </c>
      <c r="W215" s="60" t="str">
        <f>IF(AND(B215&lt;&gt;"",A215&lt;&gt;"BS",F215&lt;&gt;"",H215&lt;&gt;"",ISNUMBER(K215),ISNUMBER(L215)),IF(AND(K215&gt;0,L215&gt;0,K215-L215&gt;0,COUNTIFS(A216:A$2005,A215,F216:F$2005,F215,H216:H$2005,H215,AA216:AA$2005,"&gt;0")=0),ROUND(K215-L215,6),""),"")</f>
        <v/>
      </c>
      <c r="X215" s="60" t="str">
        <f>IF(AND(A215="",C215="",D215="",H215="",L215=""),"",IF(A215="","Type manquant",IF(AND(A215&lt;&gt;"BL",A215&lt;&gt;"BR",A215&lt;&gt;"BS"),"Type inconnu (BL, BR ou BS)",IF(AG215=0,"Date manquante ou invalide",IF(D215="",IF(A215="BL","Client manquant",IF(A215="BR","Fournisseur manquant","Service manquant")),IF(IF(A215="BL",ISNA(MATCH(D215,cl_code,0)),IF(A215="BR",ISNA(MATCH(D215,fo_code,0)),ISNA(MATCH(D215,p_services,0)))),IF(A215="BL","Client inconnu",IF(A215="BR","Fournisseur inconnu","Service inconnu")),IF(H215="","Article manquant",IF(ISNA(MATCH(H215,art_ref,0)),"Article inconnu",IF(OR(NOT(ISNUMBER(L215)),N(L215)&lt;=0),"Quantité invalide",IF(AND(K215&lt;&gt;"",OR(NOT(ISNUMBER(K215)),N(K215)&lt;=0)),"Qté commandée invalide",IF(AG215&lt;SUMPRODUCT(MAX((A$6:A214=A215)*AG$6:AG214)),"Date antérieure au bon précédent",IF(AND(A215&lt;&gt;"BR",ISNUMBER(M215),N(M215)&gt;0),IF(A215="BL","Livré plus que commandé","Sorti plus que demandé"),"OK"))))))))))))</f>
        <v/>
      </c>
      <c r="Y215" s="57" t="str">
        <f>IF(AND(OR(A215="BL",A215="BR",A215="BS"),AG215&gt;0,D215&lt;&gt;""),A215&amp;"|"&amp;AG215&amp;"|"&amp;D215&amp;"|"&amp;F215,"")</f>
        <v/>
      </c>
      <c r="Z215" s="57" t="str">
        <f>IF(Y215="","",IF(COUNTIF(Y$6:Y214,Y215)=0,1,0))</f>
        <v/>
      </c>
      <c r="AA215" s="57" t="str">
        <f>IF(Y215="","",IF(Z215=1,COUNTIFS(A$6:A215,A215,Z$6:Z215,1),INDEX(AA$6:AA214,MATCH(Y215,Y$6:Y214,0))))</f>
        <v/>
      </c>
      <c r="AB215" s="57" t="str">
        <f>IF(B215="","",COUNTIF(B$6:B215,B215))</f>
        <v/>
      </c>
      <c r="AC215" s="57" t="str">
        <f>IF(B215="","",B215&amp;"#"&amp;AB215)</f>
        <v/>
      </c>
      <c r="AD215" s="57" t="str">
        <f>IF(Z215=1,A215&amp;AA215,"")</f>
        <v/>
      </c>
      <c r="AE215" s="57" t="str">
        <f>IF(B215="","",YEAR(C215))</f>
        <v/>
      </c>
      <c r="AF215" s="57" t="str">
        <f>IF(B215="","",MONTH(C215))</f>
        <v/>
      </c>
      <c r="AG215" s="57">
        <f>IF(ISNUMBER(C215),C215,0)</f>
        <v>0.0</v>
      </c>
      <c r="AH215" s="57" t="str">
        <f>IF(N(W215)&gt;0,COUNTIF(W$6:W215,"&gt;0"),"")</f>
        <v/>
      </c>
      <c r="AI215" s="57" t="str">
        <f>IF(Z215=1,COUNTIF(Z$6:Z215,1),"")</f>
        <v/>
      </c>
    </row>
    <row r="216">
      <c r="A216" s="54" t="n"/>
      <c r="B216" s="55" t="str">
        <f>IF(AA216="","",A216&amp;"-"&amp;RIGHT("000"&amp;AA216,4))</f>
        <v/>
      </c>
      <c r="C216" s="56" t="n"/>
      <c r="D216" s="54" t="n"/>
      <c r="E216" s="57" t="str">
        <f>IF(D216="","",IF(A216="BL",IFERROR(INDEX(cl_name,MATCH(D216,cl_code,0))&amp;"","Client inconnu"),IF(A216="BR",IFERROR(INDEX(fo_name,MATCH(D216,fo_code,0))&amp;"","Fournisseur inconnu"),IF(A216="BS",IF(ISNA(MATCH(D216,p_services,0)),"Service inconnu",D216&amp;""),""))))</f>
        <v/>
      </c>
      <c r="F216" s="58" t="n"/>
      <c r="G216" s="58" t="n"/>
      <c r="H216" s="59" t="n"/>
      <c r="I216" s="57" t="str">
        <f>IF(H216="","",IFERROR(INDEX(art_des,MATCH(H216,art_ref,0))&amp;"","Article inconnu"))</f>
        <v/>
      </c>
      <c r="J216" s="60" t="str">
        <f>IF(H216="","",IFERROR(INDEX(art_unit,MATCH(H216,art_ref,0))&amp;"",""))</f>
        <v/>
      </c>
      <c r="K216" s="59" t="n"/>
      <c r="L216" s="59" t="n"/>
      <c r="M216" s="61" t="str">
        <f>IF(OR(B216="",NOT(ISNUMBER(K216)),NOT(ISNUMBER(L216))),"",IF(OR(K216&lt;=0,L216&lt;=0),"",ROUND(L216-K216,6)))</f>
        <v/>
      </c>
      <c r="N216" s="58" t="n"/>
      <c r="O216" s="62" t="n"/>
      <c r="P216" s="63" t="str">
        <f>IF(OR(B216="",NOT(ISNUMBER(L216))),"",IF(L216&lt;=0,"",IFERROR(ROUND(L216*N(INDEX(art_w,MATCH(H216,art_ref,0))),3),"")))</f>
        <v/>
      </c>
      <c r="Q216" s="59" t="n"/>
      <c r="R216" s="54" t="n"/>
      <c r="S216" s="59" t="n"/>
      <c r="T216" s="59" t="n"/>
      <c r="U216" s="64" t="str">
        <f>IF(OR(B216="",H216=""),"",IFERROR(IF(A216="BL",IF(N(INDEX(art_price,MATCH(H216,art_ref,0)))=0,"",N(INDEX(art_price,MATCH(H216,art_ref,0)))),IF(N(INDEX(art_cost,MATCH(H216,art_ref,0)))=0,"",N(INDEX(art_cost,MATCH(H216,art_ref,0))))),""))</f>
        <v/>
      </c>
      <c r="V216" s="64" t="str">
        <f>IF(OR(U216="",NOT(ISNUMBER(L216))),"",IF(L216&lt;=0,"",ROUND(L216*U216,2)))</f>
        <v/>
      </c>
      <c r="W216" s="60" t="str">
        <f>IF(AND(B216&lt;&gt;"",A216&lt;&gt;"BS",F216&lt;&gt;"",H216&lt;&gt;"",ISNUMBER(K216),ISNUMBER(L216)),IF(AND(K216&gt;0,L216&gt;0,K216-L216&gt;0,COUNTIFS(A217:A$2005,A216,F217:F$2005,F216,H217:H$2005,H216,AA217:AA$2005,"&gt;0")=0),ROUND(K216-L216,6),""),"")</f>
        <v/>
      </c>
      <c r="X216" s="60" t="str">
        <f>IF(AND(A216="",C216="",D216="",H216="",L216=""),"",IF(A216="","Type manquant",IF(AND(A216&lt;&gt;"BL",A216&lt;&gt;"BR",A216&lt;&gt;"BS"),"Type inconnu (BL, BR ou BS)",IF(AG216=0,"Date manquante ou invalide",IF(D216="",IF(A216="BL","Client manquant",IF(A216="BR","Fournisseur manquant","Service manquant")),IF(IF(A216="BL",ISNA(MATCH(D216,cl_code,0)),IF(A216="BR",ISNA(MATCH(D216,fo_code,0)),ISNA(MATCH(D216,p_services,0)))),IF(A216="BL","Client inconnu",IF(A216="BR","Fournisseur inconnu","Service inconnu")),IF(H216="","Article manquant",IF(ISNA(MATCH(H216,art_ref,0)),"Article inconnu",IF(OR(NOT(ISNUMBER(L216)),N(L216)&lt;=0),"Quantité invalide",IF(AND(K216&lt;&gt;"",OR(NOT(ISNUMBER(K216)),N(K216)&lt;=0)),"Qté commandée invalide",IF(AG216&lt;SUMPRODUCT(MAX((A$6:A215=A216)*AG$6:AG215)),"Date antérieure au bon précédent",IF(AND(A216&lt;&gt;"BR",ISNUMBER(M216),N(M216)&gt;0),IF(A216="BL","Livré plus que commandé","Sorti plus que demandé"),"OK"))))))))))))</f>
        <v/>
      </c>
      <c r="Y216" s="57" t="str">
        <f>IF(AND(OR(A216="BL",A216="BR",A216="BS"),AG216&gt;0,D216&lt;&gt;""),A216&amp;"|"&amp;AG216&amp;"|"&amp;D216&amp;"|"&amp;F216,"")</f>
        <v/>
      </c>
      <c r="Z216" s="57" t="str">
        <f>IF(Y216="","",IF(COUNTIF(Y$6:Y215,Y216)=0,1,0))</f>
        <v/>
      </c>
      <c r="AA216" s="57" t="str">
        <f>IF(Y216="","",IF(Z216=1,COUNTIFS(A$6:A216,A216,Z$6:Z216,1),INDEX(AA$6:AA215,MATCH(Y216,Y$6:Y215,0))))</f>
        <v/>
      </c>
      <c r="AB216" s="57" t="str">
        <f>IF(B216="","",COUNTIF(B$6:B216,B216))</f>
        <v/>
      </c>
      <c r="AC216" s="57" t="str">
        <f>IF(B216="","",B216&amp;"#"&amp;AB216)</f>
        <v/>
      </c>
      <c r="AD216" s="57" t="str">
        <f>IF(Z216=1,A216&amp;AA216,"")</f>
        <v/>
      </c>
      <c r="AE216" s="57" t="str">
        <f>IF(B216="","",YEAR(C216))</f>
        <v/>
      </c>
      <c r="AF216" s="57" t="str">
        <f>IF(B216="","",MONTH(C216))</f>
        <v/>
      </c>
      <c r="AG216" s="57">
        <f>IF(ISNUMBER(C216),C216,0)</f>
        <v>0.0</v>
      </c>
      <c r="AH216" s="57" t="str">
        <f>IF(N(W216)&gt;0,COUNTIF(W$6:W216,"&gt;0"),"")</f>
        <v/>
      </c>
      <c r="AI216" s="57" t="str">
        <f>IF(Z216=1,COUNTIF(Z$6:Z216,1),"")</f>
        <v/>
      </c>
    </row>
    <row r="217">
      <c r="A217" s="54" t="n"/>
      <c r="B217" s="55" t="str">
        <f>IF(AA217="","",A217&amp;"-"&amp;RIGHT("000"&amp;AA217,4))</f>
        <v/>
      </c>
      <c r="C217" s="56" t="n"/>
      <c r="D217" s="54" t="n"/>
      <c r="E217" s="57" t="str">
        <f>IF(D217="","",IF(A217="BL",IFERROR(INDEX(cl_name,MATCH(D217,cl_code,0))&amp;"","Client inconnu"),IF(A217="BR",IFERROR(INDEX(fo_name,MATCH(D217,fo_code,0))&amp;"","Fournisseur inconnu"),IF(A217="BS",IF(ISNA(MATCH(D217,p_services,0)),"Service inconnu",D217&amp;""),""))))</f>
        <v/>
      </c>
      <c r="F217" s="58" t="n"/>
      <c r="G217" s="58" t="n"/>
      <c r="H217" s="59" t="n"/>
      <c r="I217" s="57" t="str">
        <f>IF(H217="","",IFERROR(INDEX(art_des,MATCH(H217,art_ref,0))&amp;"","Article inconnu"))</f>
        <v/>
      </c>
      <c r="J217" s="60" t="str">
        <f>IF(H217="","",IFERROR(INDEX(art_unit,MATCH(H217,art_ref,0))&amp;"",""))</f>
        <v/>
      </c>
      <c r="K217" s="59" t="n"/>
      <c r="L217" s="59" t="n"/>
      <c r="M217" s="61" t="str">
        <f>IF(OR(B217="",NOT(ISNUMBER(K217)),NOT(ISNUMBER(L217))),"",IF(OR(K217&lt;=0,L217&lt;=0),"",ROUND(L217-K217,6)))</f>
        <v/>
      </c>
      <c r="N217" s="58" t="n"/>
      <c r="O217" s="62" t="n"/>
      <c r="P217" s="63" t="str">
        <f>IF(OR(B217="",NOT(ISNUMBER(L217))),"",IF(L217&lt;=0,"",IFERROR(ROUND(L217*N(INDEX(art_w,MATCH(H217,art_ref,0))),3),"")))</f>
        <v/>
      </c>
      <c r="Q217" s="59" t="n"/>
      <c r="R217" s="54" t="n"/>
      <c r="S217" s="59" t="n"/>
      <c r="T217" s="59" t="n"/>
      <c r="U217" s="64" t="str">
        <f>IF(OR(B217="",H217=""),"",IFERROR(IF(A217="BL",IF(N(INDEX(art_price,MATCH(H217,art_ref,0)))=0,"",N(INDEX(art_price,MATCH(H217,art_ref,0)))),IF(N(INDEX(art_cost,MATCH(H217,art_ref,0)))=0,"",N(INDEX(art_cost,MATCH(H217,art_ref,0))))),""))</f>
        <v/>
      </c>
      <c r="V217" s="64" t="str">
        <f>IF(OR(U217="",NOT(ISNUMBER(L217))),"",IF(L217&lt;=0,"",ROUND(L217*U217,2)))</f>
        <v/>
      </c>
      <c r="W217" s="60" t="str">
        <f>IF(AND(B217&lt;&gt;"",A217&lt;&gt;"BS",F217&lt;&gt;"",H217&lt;&gt;"",ISNUMBER(K217),ISNUMBER(L217)),IF(AND(K217&gt;0,L217&gt;0,K217-L217&gt;0,COUNTIFS(A218:A$2005,A217,F218:F$2005,F217,H218:H$2005,H217,AA218:AA$2005,"&gt;0")=0),ROUND(K217-L217,6),""),"")</f>
        <v/>
      </c>
      <c r="X217" s="60" t="str">
        <f>IF(AND(A217="",C217="",D217="",H217="",L217=""),"",IF(A217="","Type manquant",IF(AND(A217&lt;&gt;"BL",A217&lt;&gt;"BR",A217&lt;&gt;"BS"),"Type inconnu (BL, BR ou BS)",IF(AG217=0,"Date manquante ou invalide",IF(D217="",IF(A217="BL","Client manquant",IF(A217="BR","Fournisseur manquant","Service manquant")),IF(IF(A217="BL",ISNA(MATCH(D217,cl_code,0)),IF(A217="BR",ISNA(MATCH(D217,fo_code,0)),ISNA(MATCH(D217,p_services,0)))),IF(A217="BL","Client inconnu",IF(A217="BR","Fournisseur inconnu","Service inconnu")),IF(H217="","Article manquant",IF(ISNA(MATCH(H217,art_ref,0)),"Article inconnu",IF(OR(NOT(ISNUMBER(L217)),N(L217)&lt;=0),"Quantité invalide",IF(AND(K217&lt;&gt;"",OR(NOT(ISNUMBER(K217)),N(K217)&lt;=0)),"Qté commandée invalide",IF(AG217&lt;SUMPRODUCT(MAX((A$6:A216=A217)*AG$6:AG216)),"Date antérieure au bon précédent",IF(AND(A217&lt;&gt;"BR",ISNUMBER(M217),N(M217)&gt;0),IF(A217="BL","Livré plus que commandé","Sorti plus que demandé"),"OK"))))))))))))</f>
        <v/>
      </c>
      <c r="Y217" s="57" t="str">
        <f>IF(AND(OR(A217="BL",A217="BR",A217="BS"),AG217&gt;0,D217&lt;&gt;""),A217&amp;"|"&amp;AG217&amp;"|"&amp;D217&amp;"|"&amp;F217,"")</f>
        <v/>
      </c>
      <c r="Z217" s="57" t="str">
        <f>IF(Y217="","",IF(COUNTIF(Y$6:Y216,Y217)=0,1,0))</f>
        <v/>
      </c>
      <c r="AA217" s="57" t="str">
        <f>IF(Y217="","",IF(Z217=1,COUNTIFS(A$6:A217,A217,Z$6:Z217,1),INDEX(AA$6:AA216,MATCH(Y217,Y$6:Y216,0))))</f>
        <v/>
      </c>
      <c r="AB217" s="57" t="str">
        <f>IF(B217="","",COUNTIF(B$6:B217,B217))</f>
        <v/>
      </c>
      <c r="AC217" s="57" t="str">
        <f>IF(B217="","",B217&amp;"#"&amp;AB217)</f>
        <v/>
      </c>
      <c r="AD217" s="57" t="str">
        <f>IF(Z217=1,A217&amp;AA217,"")</f>
        <v/>
      </c>
      <c r="AE217" s="57" t="str">
        <f>IF(B217="","",YEAR(C217))</f>
        <v/>
      </c>
      <c r="AF217" s="57" t="str">
        <f>IF(B217="","",MONTH(C217))</f>
        <v/>
      </c>
      <c r="AG217" s="57">
        <f>IF(ISNUMBER(C217),C217,0)</f>
        <v>0.0</v>
      </c>
      <c r="AH217" s="57" t="str">
        <f>IF(N(W217)&gt;0,COUNTIF(W$6:W217,"&gt;0"),"")</f>
        <v/>
      </c>
      <c r="AI217" s="57" t="str">
        <f>IF(Z217=1,COUNTIF(Z$6:Z217,1),"")</f>
        <v/>
      </c>
    </row>
    <row r="218">
      <c r="A218" s="54" t="n"/>
      <c r="B218" s="55" t="str">
        <f>IF(AA218="","",A218&amp;"-"&amp;RIGHT("000"&amp;AA218,4))</f>
        <v/>
      </c>
      <c r="C218" s="56" t="n"/>
      <c r="D218" s="54" t="n"/>
      <c r="E218" s="57" t="str">
        <f>IF(D218="","",IF(A218="BL",IFERROR(INDEX(cl_name,MATCH(D218,cl_code,0))&amp;"","Client inconnu"),IF(A218="BR",IFERROR(INDEX(fo_name,MATCH(D218,fo_code,0))&amp;"","Fournisseur inconnu"),IF(A218="BS",IF(ISNA(MATCH(D218,p_services,0)),"Service inconnu",D218&amp;""),""))))</f>
        <v/>
      </c>
      <c r="F218" s="58" t="n"/>
      <c r="G218" s="58" t="n"/>
      <c r="H218" s="59" t="n"/>
      <c r="I218" s="57" t="str">
        <f>IF(H218="","",IFERROR(INDEX(art_des,MATCH(H218,art_ref,0))&amp;"","Article inconnu"))</f>
        <v/>
      </c>
      <c r="J218" s="60" t="str">
        <f>IF(H218="","",IFERROR(INDEX(art_unit,MATCH(H218,art_ref,0))&amp;"",""))</f>
        <v/>
      </c>
      <c r="K218" s="59" t="n"/>
      <c r="L218" s="59" t="n"/>
      <c r="M218" s="61" t="str">
        <f>IF(OR(B218="",NOT(ISNUMBER(K218)),NOT(ISNUMBER(L218))),"",IF(OR(K218&lt;=0,L218&lt;=0),"",ROUND(L218-K218,6)))</f>
        <v/>
      </c>
      <c r="N218" s="58" t="n"/>
      <c r="O218" s="62" t="n"/>
      <c r="P218" s="63" t="str">
        <f>IF(OR(B218="",NOT(ISNUMBER(L218))),"",IF(L218&lt;=0,"",IFERROR(ROUND(L218*N(INDEX(art_w,MATCH(H218,art_ref,0))),3),"")))</f>
        <v/>
      </c>
      <c r="Q218" s="59" t="n"/>
      <c r="R218" s="54" t="n"/>
      <c r="S218" s="59" t="n"/>
      <c r="T218" s="59" t="n"/>
      <c r="U218" s="64" t="str">
        <f>IF(OR(B218="",H218=""),"",IFERROR(IF(A218="BL",IF(N(INDEX(art_price,MATCH(H218,art_ref,0)))=0,"",N(INDEX(art_price,MATCH(H218,art_ref,0)))),IF(N(INDEX(art_cost,MATCH(H218,art_ref,0)))=0,"",N(INDEX(art_cost,MATCH(H218,art_ref,0))))),""))</f>
        <v/>
      </c>
      <c r="V218" s="64" t="str">
        <f>IF(OR(U218="",NOT(ISNUMBER(L218))),"",IF(L218&lt;=0,"",ROUND(L218*U218,2)))</f>
        <v/>
      </c>
      <c r="W218" s="60" t="str">
        <f>IF(AND(B218&lt;&gt;"",A218&lt;&gt;"BS",F218&lt;&gt;"",H218&lt;&gt;"",ISNUMBER(K218),ISNUMBER(L218)),IF(AND(K218&gt;0,L218&gt;0,K218-L218&gt;0,COUNTIFS(A219:A$2005,A218,F219:F$2005,F218,H219:H$2005,H218,AA219:AA$2005,"&gt;0")=0),ROUND(K218-L218,6),""),"")</f>
        <v/>
      </c>
      <c r="X218" s="60" t="str">
        <f>IF(AND(A218="",C218="",D218="",H218="",L218=""),"",IF(A218="","Type manquant",IF(AND(A218&lt;&gt;"BL",A218&lt;&gt;"BR",A218&lt;&gt;"BS"),"Type inconnu (BL, BR ou BS)",IF(AG218=0,"Date manquante ou invalide",IF(D218="",IF(A218="BL","Client manquant",IF(A218="BR","Fournisseur manquant","Service manquant")),IF(IF(A218="BL",ISNA(MATCH(D218,cl_code,0)),IF(A218="BR",ISNA(MATCH(D218,fo_code,0)),ISNA(MATCH(D218,p_services,0)))),IF(A218="BL","Client inconnu",IF(A218="BR","Fournisseur inconnu","Service inconnu")),IF(H218="","Article manquant",IF(ISNA(MATCH(H218,art_ref,0)),"Article inconnu",IF(OR(NOT(ISNUMBER(L218)),N(L218)&lt;=0),"Quantité invalide",IF(AND(K218&lt;&gt;"",OR(NOT(ISNUMBER(K218)),N(K218)&lt;=0)),"Qté commandée invalide",IF(AG218&lt;SUMPRODUCT(MAX((A$6:A217=A218)*AG$6:AG217)),"Date antérieure au bon précédent",IF(AND(A218&lt;&gt;"BR",ISNUMBER(M218),N(M218)&gt;0),IF(A218="BL","Livré plus que commandé","Sorti plus que demandé"),"OK"))))))))))))</f>
        <v/>
      </c>
      <c r="Y218" s="57" t="str">
        <f>IF(AND(OR(A218="BL",A218="BR",A218="BS"),AG218&gt;0,D218&lt;&gt;""),A218&amp;"|"&amp;AG218&amp;"|"&amp;D218&amp;"|"&amp;F218,"")</f>
        <v/>
      </c>
      <c r="Z218" s="57" t="str">
        <f>IF(Y218="","",IF(COUNTIF(Y$6:Y217,Y218)=0,1,0))</f>
        <v/>
      </c>
      <c r="AA218" s="57" t="str">
        <f>IF(Y218="","",IF(Z218=1,COUNTIFS(A$6:A218,A218,Z$6:Z218,1),INDEX(AA$6:AA217,MATCH(Y218,Y$6:Y217,0))))</f>
        <v/>
      </c>
      <c r="AB218" s="57" t="str">
        <f>IF(B218="","",COUNTIF(B$6:B218,B218))</f>
        <v/>
      </c>
      <c r="AC218" s="57" t="str">
        <f>IF(B218="","",B218&amp;"#"&amp;AB218)</f>
        <v/>
      </c>
      <c r="AD218" s="57" t="str">
        <f>IF(Z218=1,A218&amp;AA218,"")</f>
        <v/>
      </c>
      <c r="AE218" s="57" t="str">
        <f>IF(B218="","",YEAR(C218))</f>
        <v/>
      </c>
      <c r="AF218" s="57" t="str">
        <f>IF(B218="","",MONTH(C218))</f>
        <v/>
      </c>
      <c r="AG218" s="57">
        <f>IF(ISNUMBER(C218),C218,0)</f>
        <v>0.0</v>
      </c>
      <c r="AH218" s="57" t="str">
        <f>IF(N(W218)&gt;0,COUNTIF(W$6:W218,"&gt;0"),"")</f>
        <v/>
      </c>
      <c r="AI218" s="57" t="str">
        <f>IF(Z218=1,COUNTIF(Z$6:Z218,1),"")</f>
        <v/>
      </c>
    </row>
    <row r="219">
      <c r="A219" s="54" t="n"/>
      <c r="B219" s="55" t="str">
        <f>IF(AA219="","",A219&amp;"-"&amp;RIGHT("000"&amp;AA219,4))</f>
        <v/>
      </c>
      <c r="C219" s="56" t="n"/>
      <c r="D219" s="54" t="n"/>
      <c r="E219" s="57" t="str">
        <f>IF(D219="","",IF(A219="BL",IFERROR(INDEX(cl_name,MATCH(D219,cl_code,0))&amp;"","Client inconnu"),IF(A219="BR",IFERROR(INDEX(fo_name,MATCH(D219,fo_code,0))&amp;"","Fournisseur inconnu"),IF(A219="BS",IF(ISNA(MATCH(D219,p_services,0)),"Service inconnu",D219&amp;""),""))))</f>
        <v/>
      </c>
      <c r="F219" s="58" t="n"/>
      <c r="G219" s="58" t="n"/>
      <c r="H219" s="59" t="n"/>
      <c r="I219" s="57" t="str">
        <f>IF(H219="","",IFERROR(INDEX(art_des,MATCH(H219,art_ref,0))&amp;"","Article inconnu"))</f>
        <v/>
      </c>
      <c r="J219" s="60" t="str">
        <f>IF(H219="","",IFERROR(INDEX(art_unit,MATCH(H219,art_ref,0))&amp;"",""))</f>
        <v/>
      </c>
      <c r="K219" s="59" t="n"/>
      <c r="L219" s="59" t="n"/>
      <c r="M219" s="61" t="str">
        <f>IF(OR(B219="",NOT(ISNUMBER(K219)),NOT(ISNUMBER(L219))),"",IF(OR(K219&lt;=0,L219&lt;=0),"",ROUND(L219-K219,6)))</f>
        <v/>
      </c>
      <c r="N219" s="58" t="n"/>
      <c r="O219" s="62" t="n"/>
      <c r="P219" s="63" t="str">
        <f>IF(OR(B219="",NOT(ISNUMBER(L219))),"",IF(L219&lt;=0,"",IFERROR(ROUND(L219*N(INDEX(art_w,MATCH(H219,art_ref,0))),3),"")))</f>
        <v/>
      </c>
      <c r="Q219" s="59" t="n"/>
      <c r="R219" s="54" t="n"/>
      <c r="S219" s="59" t="n"/>
      <c r="T219" s="59" t="n"/>
      <c r="U219" s="64" t="str">
        <f>IF(OR(B219="",H219=""),"",IFERROR(IF(A219="BL",IF(N(INDEX(art_price,MATCH(H219,art_ref,0)))=0,"",N(INDEX(art_price,MATCH(H219,art_ref,0)))),IF(N(INDEX(art_cost,MATCH(H219,art_ref,0)))=0,"",N(INDEX(art_cost,MATCH(H219,art_ref,0))))),""))</f>
        <v/>
      </c>
      <c r="V219" s="64" t="str">
        <f>IF(OR(U219="",NOT(ISNUMBER(L219))),"",IF(L219&lt;=0,"",ROUND(L219*U219,2)))</f>
        <v/>
      </c>
      <c r="W219" s="60" t="str">
        <f>IF(AND(B219&lt;&gt;"",A219&lt;&gt;"BS",F219&lt;&gt;"",H219&lt;&gt;"",ISNUMBER(K219),ISNUMBER(L219)),IF(AND(K219&gt;0,L219&gt;0,K219-L219&gt;0,COUNTIFS(A220:A$2005,A219,F220:F$2005,F219,H220:H$2005,H219,AA220:AA$2005,"&gt;0")=0),ROUND(K219-L219,6),""),"")</f>
        <v/>
      </c>
      <c r="X219" s="60" t="str">
        <f>IF(AND(A219="",C219="",D219="",H219="",L219=""),"",IF(A219="","Type manquant",IF(AND(A219&lt;&gt;"BL",A219&lt;&gt;"BR",A219&lt;&gt;"BS"),"Type inconnu (BL, BR ou BS)",IF(AG219=0,"Date manquante ou invalide",IF(D219="",IF(A219="BL","Client manquant",IF(A219="BR","Fournisseur manquant","Service manquant")),IF(IF(A219="BL",ISNA(MATCH(D219,cl_code,0)),IF(A219="BR",ISNA(MATCH(D219,fo_code,0)),ISNA(MATCH(D219,p_services,0)))),IF(A219="BL","Client inconnu",IF(A219="BR","Fournisseur inconnu","Service inconnu")),IF(H219="","Article manquant",IF(ISNA(MATCH(H219,art_ref,0)),"Article inconnu",IF(OR(NOT(ISNUMBER(L219)),N(L219)&lt;=0),"Quantité invalide",IF(AND(K219&lt;&gt;"",OR(NOT(ISNUMBER(K219)),N(K219)&lt;=0)),"Qté commandée invalide",IF(AG219&lt;SUMPRODUCT(MAX((A$6:A218=A219)*AG$6:AG218)),"Date antérieure au bon précédent",IF(AND(A219&lt;&gt;"BR",ISNUMBER(M219),N(M219)&gt;0),IF(A219="BL","Livré plus que commandé","Sorti plus que demandé"),"OK"))))))))))))</f>
        <v/>
      </c>
      <c r="Y219" s="57" t="str">
        <f>IF(AND(OR(A219="BL",A219="BR",A219="BS"),AG219&gt;0,D219&lt;&gt;""),A219&amp;"|"&amp;AG219&amp;"|"&amp;D219&amp;"|"&amp;F219,"")</f>
        <v/>
      </c>
      <c r="Z219" s="57" t="str">
        <f>IF(Y219="","",IF(COUNTIF(Y$6:Y218,Y219)=0,1,0))</f>
        <v/>
      </c>
      <c r="AA219" s="57" t="str">
        <f>IF(Y219="","",IF(Z219=1,COUNTIFS(A$6:A219,A219,Z$6:Z219,1),INDEX(AA$6:AA218,MATCH(Y219,Y$6:Y218,0))))</f>
        <v/>
      </c>
      <c r="AB219" s="57" t="str">
        <f>IF(B219="","",COUNTIF(B$6:B219,B219))</f>
        <v/>
      </c>
      <c r="AC219" s="57" t="str">
        <f>IF(B219="","",B219&amp;"#"&amp;AB219)</f>
        <v/>
      </c>
      <c r="AD219" s="57" t="str">
        <f>IF(Z219=1,A219&amp;AA219,"")</f>
        <v/>
      </c>
      <c r="AE219" s="57" t="str">
        <f>IF(B219="","",YEAR(C219))</f>
        <v/>
      </c>
      <c r="AF219" s="57" t="str">
        <f>IF(B219="","",MONTH(C219))</f>
        <v/>
      </c>
      <c r="AG219" s="57">
        <f>IF(ISNUMBER(C219),C219,0)</f>
        <v>0.0</v>
      </c>
      <c r="AH219" s="57" t="str">
        <f>IF(N(W219)&gt;0,COUNTIF(W$6:W219,"&gt;0"),"")</f>
        <v/>
      </c>
      <c r="AI219" s="57" t="str">
        <f>IF(Z219=1,COUNTIF(Z$6:Z219,1),"")</f>
        <v/>
      </c>
    </row>
    <row r="220">
      <c r="A220" s="54" t="n"/>
      <c r="B220" s="55" t="str">
        <f>IF(AA220="","",A220&amp;"-"&amp;RIGHT("000"&amp;AA220,4))</f>
        <v/>
      </c>
      <c r="C220" s="56" t="n"/>
      <c r="D220" s="54" t="n"/>
      <c r="E220" s="57" t="str">
        <f>IF(D220="","",IF(A220="BL",IFERROR(INDEX(cl_name,MATCH(D220,cl_code,0))&amp;"","Client inconnu"),IF(A220="BR",IFERROR(INDEX(fo_name,MATCH(D220,fo_code,0))&amp;"","Fournisseur inconnu"),IF(A220="BS",IF(ISNA(MATCH(D220,p_services,0)),"Service inconnu",D220&amp;""),""))))</f>
        <v/>
      </c>
      <c r="F220" s="58" t="n"/>
      <c r="G220" s="58" t="n"/>
      <c r="H220" s="59" t="n"/>
      <c r="I220" s="57" t="str">
        <f>IF(H220="","",IFERROR(INDEX(art_des,MATCH(H220,art_ref,0))&amp;"","Article inconnu"))</f>
        <v/>
      </c>
      <c r="J220" s="60" t="str">
        <f>IF(H220="","",IFERROR(INDEX(art_unit,MATCH(H220,art_ref,0))&amp;"",""))</f>
        <v/>
      </c>
      <c r="K220" s="59" t="n"/>
      <c r="L220" s="59" t="n"/>
      <c r="M220" s="61" t="str">
        <f>IF(OR(B220="",NOT(ISNUMBER(K220)),NOT(ISNUMBER(L220))),"",IF(OR(K220&lt;=0,L220&lt;=0),"",ROUND(L220-K220,6)))</f>
        <v/>
      </c>
      <c r="N220" s="58" t="n"/>
      <c r="O220" s="62" t="n"/>
      <c r="P220" s="63" t="str">
        <f>IF(OR(B220="",NOT(ISNUMBER(L220))),"",IF(L220&lt;=0,"",IFERROR(ROUND(L220*N(INDEX(art_w,MATCH(H220,art_ref,0))),3),"")))</f>
        <v/>
      </c>
      <c r="Q220" s="59" t="n"/>
      <c r="R220" s="54" t="n"/>
      <c r="S220" s="59" t="n"/>
      <c r="T220" s="59" t="n"/>
      <c r="U220" s="64" t="str">
        <f>IF(OR(B220="",H220=""),"",IFERROR(IF(A220="BL",IF(N(INDEX(art_price,MATCH(H220,art_ref,0)))=0,"",N(INDEX(art_price,MATCH(H220,art_ref,0)))),IF(N(INDEX(art_cost,MATCH(H220,art_ref,0)))=0,"",N(INDEX(art_cost,MATCH(H220,art_ref,0))))),""))</f>
        <v/>
      </c>
      <c r="V220" s="64" t="str">
        <f>IF(OR(U220="",NOT(ISNUMBER(L220))),"",IF(L220&lt;=0,"",ROUND(L220*U220,2)))</f>
        <v/>
      </c>
      <c r="W220" s="60" t="str">
        <f>IF(AND(B220&lt;&gt;"",A220&lt;&gt;"BS",F220&lt;&gt;"",H220&lt;&gt;"",ISNUMBER(K220),ISNUMBER(L220)),IF(AND(K220&gt;0,L220&gt;0,K220-L220&gt;0,COUNTIFS(A221:A$2005,A220,F221:F$2005,F220,H221:H$2005,H220,AA221:AA$2005,"&gt;0")=0),ROUND(K220-L220,6),""),"")</f>
        <v/>
      </c>
      <c r="X220" s="60" t="str">
        <f>IF(AND(A220="",C220="",D220="",H220="",L220=""),"",IF(A220="","Type manquant",IF(AND(A220&lt;&gt;"BL",A220&lt;&gt;"BR",A220&lt;&gt;"BS"),"Type inconnu (BL, BR ou BS)",IF(AG220=0,"Date manquante ou invalide",IF(D220="",IF(A220="BL","Client manquant",IF(A220="BR","Fournisseur manquant","Service manquant")),IF(IF(A220="BL",ISNA(MATCH(D220,cl_code,0)),IF(A220="BR",ISNA(MATCH(D220,fo_code,0)),ISNA(MATCH(D220,p_services,0)))),IF(A220="BL","Client inconnu",IF(A220="BR","Fournisseur inconnu","Service inconnu")),IF(H220="","Article manquant",IF(ISNA(MATCH(H220,art_ref,0)),"Article inconnu",IF(OR(NOT(ISNUMBER(L220)),N(L220)&lt;=0),"Quantité invalide",IF(AND(K220&lt;&gt;"",OR(NOT(ISNUMBER(K220)),N(K220)&lt;=0)),"Qté commandée invalide",IF(AG220&lt;SUMPRODUCT(MAX((A$6:A219=A220)*AG$6:AG219)),"Date antérieure au bon précédent",IF(AND(A220&lt;&gt;"BR",ISNUMBER(M220),N(M220)&gt;0),IF(A220="BL","Livré plus que commandé","Sorti plus que demandé"),"OK"))))))))))))</f>
        <v/>
      </c>
      <c r="Y220" s="57" t="str">
        <f>IF(AND(OR(A220="BL",A220="BR",A220="BS"),AG220&gt;0,D220&lt;&gt;""),A220&amp;"|"&amp;AG220&amp;"|"&amp;D220&amp;"|"&amp;F220,"")</f>
        <v/>
      </c>
      <c r="Z220" s="57" t="str">
        <f>IF(Y220="","",IF(COUNTIF(Y$6:Y219,Y220)=0,1,0))</f>
        <v/>
      </c>
      <c r="AA220" s="57" t="str">
        <f>IF(Y220="","",IF(Z220=1,COUNTIFS(A$6:A220,A220,Z$6:Z220,1),INDEX(AA$6:AA219,MATCH(Y220,Y$6:Y219,0))))</f>
        <v/>
      </c>
      <c r="AB220" s="57" t="str">
        <f>IF(B220="","",COUNTIF(B$6:B220,B220))</f>
        <v/>
      </c>
      <c r="AC220" s="57" t="str">
        <f>IF(B220="","",B220&amp;"#"&amp;AB220)</f>
        <v/>
      </c>
      <c r="AD220" s="57" t="str">
        <f>IF(Z220=1,A220&amp;AA220,"")</f>
        <v/>
      </c>
      <c r="AE220" s="57" t="str">
        <f>IF(B220="","",YEAR(C220))</f>
        <v/>
      </c>
      <c r="AF220" s="57" t="str">
        <f>IF(B220="","",MONTH(C220))</f>
        <v/>
      </c>
      <c r="AG220" s="57">
        <f>IF(ISNUMBER(C220),C220,0)</f>
        <v>0.0</v>
      </c>
      <c r="AH220" s="57" t="str">
        <f>IF(N(W220)&gt;0,COUNTIF(W$6:W220,"&gt;0"),"")</f>
        <v/>
      </c>
      <c r="AI220" s="57" t="str">
        <f>IF(Z220=1,COUNTIF(Z$6:Z220,1),"")</f>
        <v/>
      </c>
    </row>
    <row r="221">
      <c r="A221" s="54" t="n"/>
      <c r="B221" s="55" t="str">
        <f>IF(AA221="","",A221&amp;"-"&amp;RIGHT("000"&amp;AA221,4))</f>
        <v/>
      </c>
      <c r="C221" s="56" t="n"/>
      <c r="D221" s="54" t="n"/>
      <c r="E221" s="57" t="str">
        <f>IF(D221="","",IF(A221="BL",IFERROR(INDEX(cl_name,MATCH(D221,cl_code,0))&amp;"","Client inconnu"),IF(A221="BR",IFERROR(INDEX(fo_name,MATCH(D221,fo_code,0))&amp;"","Fournisseur inconnu"),IF(A221="BS",IF(ISNA(MATCH(D221,p_services,0)),"Service inconnu",D221&amp;""),""))))</f>
        <v/>
      </c>
      <c r="F221" s="58" t="n"/>
      <c r="G221" s="58" t="n"/>
      <c r="H221" s="59" t="n"/>
      <c r="I221" s="57" t="str">
        <f>IF(H221="","",IFERROR(INDEX(art_des,MATCH(H221,art_ref,0))&amp;"","Article inconnu"))</f>
        <v/>
      </c>
      <c r="J221" s="60" t="str">
        <f>IF(H221="","",IFERROR(INDEX(art_unit,MATCH(H221,art_ref,0))&amp;"",""))</f>
        <v/>
      </c>
      <c r="K221" s="59" t="n"/>
      <c r="L221" s="59" t="n"/>
      <c r="M221" s="61" t="str">
        <f>IF(OR(B221="",NOT(ISNUMBER(K221)),NOT(ISNUMBER(L221))),"",IF(OR(K221&lt;=0,L221&lt;=0),"",ROUND(L221-K221,6)))</f>
        <v/>
      </c>
      <c r="N221" s="58" t="n"/>
      <c r="O221" s="62" t="n"/>
      <c r="P221" s="63" t="str">
        <f>IF(OR(B221="",NOT(ISNUMBER(L221))),"",IF(L221&lt;=0,"",IFERROR(ROUND(L221*N(INDEX(art_w,MATCH(H221,art_ref,0))),3),"")))</f>
        <v/>
      </c>
      <c r="Q221" s="59" t="n"/>
      <c r="R221" s="54" t="n"/>
      <c r="S221" s="59" t="n"/>
      <c r="T221" s="59" t="n"/>
      <c r="U221" s="64" t="str">
        <f>IF(OR(B221="",H221=""),"",IFERROR(IF(A221="BL",IF(N(INDEX(art_price,MATCH(H221,art_ref,0)))=0,"",N(INDEX(art_price,MATCH(H221,art_ref,0)))),IF(N(INDEX(art_cost,MATCH(H221,art_ref,0)))=0,"",N(INDEX(art_cost,MATCH(H221,art_ref,0))))),""))</f>
        <v/>
      </c>
      <c r="V221" s="64" t="str">
        <f>IF(OR(U221="",NOT(ISNUMBER(L221))),"",IF(L221&lt;=0,"",ROUND(L221*U221,2)))</f>
        <v/>
      </c>
      <c r="W221" s="60" t="str">
        <f>IF(AND(B221&lt;&gt;"",A221&lt;&gt;"BS",F221&lt;&gt;"",H221&lt;&gt;"",ISNUMBER(K221),ISNUMBER(L221)),IF(AND(K221&gt;0,L221&gt;0,K221-L221&gt;0,COUNTIFS(A222:A$2005,A221,F222:F$2005,F221,H222:H$2005,H221,AA222:AA$2005,"&gt;0")=0),ROUND(K221-L221,6),""),"")</f>
        <v/>
      </c>
      <c r="X221" s="60" t="str">
        <f>IF(AND(A221="",C221="",D221="",H221="",L221=""),"",IF(A221="","Type manquant",IF(AND(A221&lt;&gt;"BL",A221&lt;&gt;"BR",A221&lt;&gt;"BS"),"Type inconnu (BL, BR ou BS)",IF(AG221=0,"Date manquante ou invalide",IF(D221="",IF(A221="BL","Client manquant",IF(A221="BR","Fournisseur manquant","Service manquant")),IF(IF(A221="BL",ISNA(MATCH(D221,cl_code,0)),IF(A221="BR",ISNA(MATCH(D221,fo_code,0)),ISNA(MATCH(D221,p_services,0)))),IF(A221="BL","Client inconnu",IF(A221="BR","Fournisseur inconnu","Service inconnu")),IF(H221="","Article manquant",IF(ISNA(MATCH(H221,art_ref,0)),"Article inconnu",IF(OR(NOT(ISNUMBER(L221)),N(L221)&lt;=0),"Quantité invalide",IF(AND(K221&lt;&gt;"",OR(NOT(ISNUMBER(K221)),N(K221)&lt;=0)),"Qté commandée invalide",IF(AG221&lt;SUMPRODUCT(MAX((A$6:A220=A221)*AG$6:AG220)),"Date antérieure au bon précédent",IF(AND(A221&lt;&gt;"BR",ISNUMBER(M221),N(M221)&gt;0),IF(A221="BL","Livré plus que commandé","Sorti plus que demandé"),"OK"))))))))))))</f>
        <v/>
      </c>
      <c r="Y221" s="57" t="str">
        <f>IF(AND(OR(A221="BL",A221="BR",A221="BS"),AG221&gt;0,D221&lt;&gt;""),A221&amp;"|"&amp;AG221&amp;"|"&amp;D221&amp;"|"&amp;F221,"")</f>
        <v/>
      </c>
      <c r="Z221" s="57" t="str">
        <f>IF(Y221="","",IF(COUNTIF(Y$6:Y220,Y221)=0,1,0))</f>
        <v/>
      </c>
      <c r="AA221" s="57" t="str">
        <f>IF(Y221="","",IF(Z221=1,COUNTIFS(A$6:A221,A221,Z$6:Z221,1),INDEX(AA$6:AA220,MATCH(Y221,Y$6:Y220,0))))</f>
        <v/>
      </c>
      <c r="AB221" s="57" t="str">
        <f>IF(B221="","",COUNTIF(B$6:B221,B221))</f>
        <v/>
      </c>
      <c r="AC221" s="57" t="str">
        <f>IF(B221="","",B221&amp;"#"&amp;AB221)</f>
        <v/>
      </c>
      <c r="AD221" s="57" t="str">
        <f>IF(Z221=1,A221&amp;AA221,"")</f>
        <v/>
      </c>
      <c r="AE221" s="57" t="str">
        <f>IF(B221="","",YEAR(C221))</f>
        <v/>
      </c>
      <c r="AF221" s="57" t="str">
        <f>IF(B221="","",MONTH(C221))</f>
        <v/>
      </c>
      <c r="AG221" s="57">
        <f>IF(ISNUMBER(C221),C221,0)</f>
        <v>0.0</v>
      </c>
      <c r="AH221" s="57" t="str">
        <f>IF(N(W221)&gt;0,COUNTIF(W$6:W221,"&gt;0"),"")</f>
        <v/>
      </c>
      <c r="AI221" s="57" t="str">
        <f>IF(Z221=1,COUNTIF(Z$6:Z221,1),"")</f>
        <v/>
      </c>
    </row>
    <row r="222">
      <c r="A222" s="54" t="n"/>
      <c r="B222" s="55" t="str">
        <f>IF(AA222="","",A222&amp;"-"&amp;RIGHT("000"&amp;AA222,4))</f>
        <v/>
      </c>
      <c r="C222" s="56" t="n"/>
      <c r="D222" s="54" t="n"/>
      <c r="E222" s="57" t="str">
        <f>IF(D222="","",IF(A222="BL",IFERROR(INDEX(cl_name,MATCH(D222,cl_code,0))&amp;"","Client inconnu"),IF(A222="BR",IFERROR(INDEX(fo_name,MATCH(D222,fo_code,0))&amp;"","Fournisseur inconnu"),IF(A222="BS",IF(ISNA(MATCH(D222,p_services,0)),"Service inconnu",D222&amp;""),""))))</f>
        <v/>
      </c>
      <c r="F222" s="58" t="n"/>
      <c r="G222" s="58" t="n"/>
      <c r="H222" s="59" t="n"/>
      <c r="I222" s="57" t="str">
        <f>IF(H222="","",IFERROR(INDEX(art_des,MATCH(H222,art_ref,0))&amp;"","Article inconnu"))</f>
        <v/>
      </c>
      <c r="J222" s="60" t="str">
        <f>IF(H222="","",IFERROR(INDEX(art_unit,MATCH(H222,art_ref,0))&amp;"",""))</f>
        <v/>
      </c>
      <c r="K222" s="59" t="n"/>
      <c r="L222" s="59" t="n"/>
      <c r="M222" s="61" t="str">
        <f>IF(OR(B222="",NOT(ISNUMBER(K222)),NOT(ISNUMBER(L222))),"",IF(OR(K222&lt;=0,L222&lt;=0),"",ROUND(L222-K222,6)))</f>
        <v/>
      </c>
      <c r="N222" s="58" t="n"/>
      <c r="O222" s="62" t="n"/>
      <c r="P222" s="63" t="str">
        <f>IF(OR(B222="",NOT(ISNUMBER(L222))),"",IF(L222&lt;=0,"",IFERROR(ROUND(L222*N(INDEX(art_w,MATCH(H222,art_ref,0))),3),"")))</f>
        <v/>
      </c>
      <c r="Q222" s="59" t="n"/>
      <c r="R222" s="54" t="n"/>
      <c r="S222" s="59" t="n"/>
      <c r="T222" s="59" t="n"/>
      <c r="U222" s="64" t="str">
        <f>IF(OR(B222="",H222=""),"",IFERROR(IF(A222="BL",IF(N(INDEX(art_price,MATCH(H222,art_ref,0)))=0,"",N(INDEX(art_price,MATCH(H222,art_ref,0)))),IF(N(INDEX(art_cost,MATCH(H222,art_ref,0)))=0,"",N(INDEX(art_cost,MATCH(H222,art_ref,0))))),""))</f>
        <v/>
      </c>
      <c r="V222" s="64" t="str">
        <f>IF(OR(U222="",NOT(ISNUMBER(L222))),"",IF(L222&lt;=0,"",ROUND(L222*U222,2)))</f>
        <v/>
      </c>
      <c r="W222" s="60" t="str">
        <f>IF(AND(B222&lt;&gt;"",A222&lt;&gt;"BS",F222&lt;&gt;"",H222&lt;&gt;"",ISNUMBER(K222),ISNUMBER(L222)),IF(AND(K222&gt;0,L222&gt;0,K222-L222&gt;0,COUNTIFS(A223:A$2005,A222,F223:F$2005,F222,H223:H$2005,H222,AA223:AA$2005,"&gt;0")=0),ROUND(K222-L222,6),""),"")</f>
        <v/>
      </c>
      <c r="X222" s="60" t="str">
        <f>IF(AND(A222="",C222="",D222="",H222="",L222=""),"",IF(A222="","Type manquant",IF(AND(A222&lt;&gt;"BL",A222&lt;&gt;"BR",A222&lt;&gt;"BS"),"Type inconnu (BL, BR ou BS)",IF(AG222=0,"Date manquante ou invalide",IF(D222="",IF(A222="BL","Client manquant",IF(A222="BR","Fournisseur manquant","Service manquant")),IF(IF(A222="BL",ISNA(MATCH(D222,cl_code,0)),IF(A222="BR",ISNA(MATCH(D222,fo_code,0)),ISNA(MATCH(D222,p_services,0)))),IF(A222="BL","Client inconnu",IF(A222="BR","Fournisseur inconnu","Service inconnu")),IF(H222="","Article manquant",IF(ISNA(MATCH(H222,art_ref,0)),"Article inconnu",IF(OR(NOT(ISNUMBER(L222)),N(L222)&lt;=0),"Quantité invalide",IF(AND(K222&lt;&gt;"",OR(NOT(ISNUMBER(K222)),N(K222)&lt;=0)),"Qté commandée invalide",IF(AG222&lt;SUMPRODUCT(MAX((A$6:A221=A222)*AG$6:AG221)),"Date antérieure au bon précédent",IF(AND(A222&lt;&gt;"BR",ISNUMBER(M222),N(M222)&gt;0),IF(A222="BL","Livré plus que commandé","Sorti plus que demandé"),"OK"))))))))))))</f>
        <v/>
      </c>
      <c r="Y222" s="57" t="str">
        <f>IF(AND(OR(A222="BL",A222="BR",A222="BS"),AG222&gt;0,D222&lt;&gt;""),A222&amp;"|"&amp;AG222&amp;"|"&amp;D222&amp;"|"&amp;F222,"")</f>
        <v/>
      </c>
      <c r="Z222" s="57" t="str">
        <f>IF(Y222="","",IF(COUNTIF(Y$6:Y221,Y222)=0,1,0))</f>
        <v/>
      </c>
      <c r="AA222" s="57" t="str">
        <f>IF(Y222="","",IF(Z222=1,COUNTIFS(A$6:A222,A222,Z$6:Z222,1),INDEX(AA$6:AA221,MATCH(Y222,Y$6:Y221,0))))</f>
        <v/>
      </c>
      <c r="AB222" s="57" t="str">
        <f>IF(B222="","",COUNTIF(B$6:B222,B222))</f>
        <v/>
      </c>
      <c r="AC222" s="57" t="str">
        <f>IF(B222="","",B222&amp;"#"&amp;AB222)</f>
        <v/>
      </c>
      <c r="AD222" s="57" t="str">
        <f>IF(Z222=1,A222&amp;AA222,"")</f>
        <v/>
      </c>
      <c r="AE222" s="57" t="str">
        <f>IF(B222="","",YEAR(C222))</f>
        <v/>
      </c>
      <c r="AF222" s="57" t="str">
        <f>IF(B222="","",MONTH(C222))</f>
        <v/>
      </c>
      <c r="AG222" s="57">
        <f>IF(ISNUMBER(C222),C222,0)</f>
        <v>0.0</v>
      </c>
      <c r="AH222" s="57" t="str">
        <f>IF(N(W222)&gt;0,COUNTIF(W$6:W222,"&gt;0"),"")</f>
        <v/>
      </c>
      <c r="AI222" s="57" t="str">
        <f>IF(Z222=1,COUNTIF(Z$6:Z222,1),"")</f>
        <v/>
      </c>
    </row>
    <row r="223">
      <c r="A223" s="54" t="n"/>
      <c r="B223" s="55" t="str">
        <f>IF(AA223="","",A223&amp;"-"&amp;RIGHT("000"&amp;AA223,4))</f>
        <v/>
      </c>
      <c r="C223" s="56" t="n"/>
      <c r="D223" s="54" t="n"/>
      <c r="E223" s="57" t="str">
        <f>IF(D223="","",IF(A223="BL",IFERROR(INDEX(cl_name,MATCH(D223,cl_code,0))&amp;"","Client inconnu"),IF(A223="BR",IFERROR(INDEX(fo_name,MATCH(D223,fo_code,0))&amp;"","Fournisseur inconnu"),IF(A223="BS",IF(ISNA(MATCH(D223,p_services,0)),"Service inconnu",D223&amp;""),""))))</f>
        <v/>
      </c>
      <c r="F223" s="58" t="n"/>
      <c r="G223" s="58" t="n"/>
      <c r="H223" s="59" t="n"/>
      <c r="I223" s="57" t="str">
        <f>IF(H223="","",IFERROR(INDEX(art_des,MATCH(H223,art_ref,0))&amp;"","Article inconnu"))</f>
        <v/>
      </c>
      <c r="J223" s="60" t="str">
        <f>IF(H223="","",IFERROR(INDEX(art_unit,MATCH(H223,art_ref,0))&amp;"",""))</f>
        <v/>
      </c>
      <c r="K223" s="59" t="n"/>
      <c r="L223" s="59" t="n"/>
      <c r="M223" s="61" t="str">
        <f>IF(OR(B223="",NOT(ISNUMBER(K223)),NOT(ISNUMBER(L223))),"",IF(OR(K223&lt;=0,L223&lt;=0),"",ROUND(L223-K223,6)))</f>
        <v/>
      </c>
      <c r="N223" s="58" t="n"/>
      <c r="O223" s="62" t="n"/>
      <c r="P223" s="63" t="str">
        <f>IF(OR(B223="",NOT(ISNUMBER(L223))),"",IF(L223&lt;=0,"",IFERROR(ROUND(L223*N(INDEX(art_w,MATCH(H223,art_ref,0))),3),"")))</f>
        <v/>
      </c>
      <c r="Q223" s="59" t="n"/>
      <c r="R223" s="54" t="n"/>
      <c r="S223" s="59" t="n"/>
      <c r="T223" s="59" t="n"/>
      <c r="U223" s="64" t="str">
        <f>IF(OR(B223="",H223=""),"",IFERROR(IF(A223="BL",IF(N(INDEX(art_price,MATCH(H223,art_ref,0)))=0,"",N(INDEX(art_price,MATCH(H223,art_ref,0)))),IF(N(INDEX(art_cost,MATCH(H223,art_ref,0)))=0,"",N(INDEX(art_cost,MATCH(H223,art_ref,0))))),""))</f>
        <v/>
      </c>
      <c r="V223" s="64" t="str">
        <f>IF(OR(U223="",NOT(ISNUMBER(L223))),"",IF(L223&lt;=0,"",ROUND(L223*U223,2)))</f>
        <v/>
      </c>
      <c r="W223" s="60" t="str">
        <f>IF(AND(B223&lt;&gt;"",A223&lt;&gt;"BS",F223&lt;&gt;"",H223&lt;&gt;"",ISNUMBER(K223),ISNUMBER(L223)),IF(AND(K223&gt;0,L223&gt;0,K223-L223&gt;0,COUNTIFS(A224:A$2005,A223,F224:F$2005,F223,H224:H$2005,H223,AA224:AA$2005,"&gt;0")=0),ROUND(K223-L223,6),""),"")</f>
        <v/>
      </c>
      <c r="X223" s="60" t="str">
        <f>IF(AND(A223="",C223="",D223="",H223="",L223=""),"",IF(A223="","Type manquant",IF(AND(A223&lt;&gt;"BL",A223&lt;&gt;"BR",A223&lt;&gt;"BS"),"Type inconnu (BL, BR ou BS)",IF(AG223=0,"Date manquante ou invalide",IF(D223="",IF(A223="BL","Client manquant",IF(A223="BR","Fournisseur manquant","Service manquant")),IF(IF(A223="BL",ISNA(MATCH(D223,cl_code,0)),IF(A223="BR",ISNA(MATCH(D223,fo_code,0)),ISNA(MATCH(D223,p_services,0)))),IF(A223="BL","Client inconnu",IF(A223="BR","Fournisseur inconnu","Service inconnu")),IF(H223="","Article manquant",IF(ISNA(MATCH(H223,art_ref,0)),"Article inconnu",IF(OR(NOT(ISNUMBER(L223)),N(L223)&lt;=0),"Quantité invalide",IF(AND(K223&lt;&gt;"",OR(NOT(ISNUMBER(K223)),N(K223)&lt;=0)),"Qté commandée invalide",IF(AG223&lt;SUMPRODUCT(MAX((A$6:A222=A223)*AG$6:AG222)),"Date antérieure au bon précédent",IF(AND(A223&lt;&gt;"BR",ISNUMBER(M223),N(M223)&gt;0),IF(A223="BL","Livré plus que commandé","Sorti plus que demandé"),"OK"))))))))))))</f>
        <v/>
      </c>
      <c r="Y223" s="57" t="str">
        <f>IF(AND(OR(A223="BL",A223="BR",A223="BS"),AG223&gt;0,D223&lt;&gt;""),A223&amp;"|"&amp;AG223&amp;"|"&amp;D223&amp;"|"&amp;F223,"")</f>
        <v/>
      </c>
      <c r="Z223" s="57" t="str">
        <f>IF(Y223="","",IF(COUNTIF(Y$6:Y222,Y223)=0,1,0))</f>
        <v/>
      </c>
      <c r="AA223" s="57" t="str">
        <f>IF(Y223="","",IF(Z223=1,COUNTIFS(A$6:A223,A223,Z$6:Z223,1),INDEX(AA$6:AA222,MATCH(Y223,Y$6:Y222,0))))</f>
        <v/>
      </c>
      <c r="AB223" s="57" t="str">
        <f>IF(B223="","",COUNTIF(B$6:B223,B223))</f>
        <v/>
      </c>
      <c r="AC223" s="57" t="str">
        <f>IF(B223="","",B223&amp;"#"&amp;AB223)</f>
        <v/>
      </c>
      <c r="AD223" s="57" t="str">
        <f>IF(Z223=1,A223&amp;AA223,"")</f>
        <v/>
      </c>
      <c r="AE223" s="57" t="str">
        <f>IF(B223="","",YEAR(C223))</f>
        <v/>
      </c>
      <c r="AF223" s="57" t="str">
        <f>IF(B223="","",MONTH(C223))</f>
        <v/>
      </c>
      <c r="AG223" s="57">
        <f>IF(ISNUMBER(C223),C223,0)</f>
        <v>0.0</v>
      </c>
      <c r="AH223" s="57" t="str">
        <f>IF(N(W223)&gt;0,COUNTIF(W$6:W223,"&gt;0"),"")</f>
        <v/>
      </c>
      <c r="AI223" s="57" t="str">
        <f>IF(Z223=1,COUNTIF(Z$6:Z223,1),"")</f>
        <v/>
      </c>
    </row>
    <row r="224">
      <c r="A224" s="54" t="n"/>
      <c r="B224" s="55" t="str">
        <f>IF(AA224="","",A224&amp;"-"&amp;RIGHT("000"&amp;AA224,4))</f>
        <v/>
      </c>
      <c r="C224" s="56" t="n"/>
      <c r="D224" s="54" t="n"/>
      <c r="E224" s="57" t="str">
        <f>IF(D224="","",IF(A224="BL",IFERROR(INDEX(cl_name,MATCH(D224,cl_code,0))&amp;"","Client inconnu"),IF(A224="BR",IFERROR(INDEX(fo_name,MATCH(D224,fo_code,0))&amp;"","Fournisseur inconnu"),IF(A224="BS",IF(ISNA(MATCH(D224,p_services,0)),"Service inconnu",D224&amp;""),""))))</f>
        <v/>
      </c>
      <c r="F224" s="58" t="n"/>
      <c r="G224" s="58" t="n"/>
      <c r="H224" s="59" t="n"/>
      <c r="I224" s="57" t="str">
        <f>IF(H224="","",IFERROR(INDEX(art_des,MATCH(H224,art_ref,0))&amp;"","Article inconnu"))</f>
        <v/>
      </c>
      <c r="J224" s="60" t="str">
        <f>IF(H224="","",IFERROR(INDEX(art_unit,MATCH(H224,art_ref,0))&amp;"",""))</f>
        <v/>
      </c>
      <c r="K224" s="59" t="n"/>
      <c r="L224" s="59" t="n"/>
      <c r="M224" s="61" t="str">
        <f>IF(OR(B224="",NOT(ISNUMBER(K224)),NOT(ISNUMBER(L224))),"",IF(OR(K224&lt;=0,L224&lt;=0),"",ROUND(L224-K224,6)))</f>
        <v/>
      </c>
      <c r="N224" s="58" t="n"/>
      <c r="O224" s="62" t="n"/>
      <c r="P224" s="63" t="str">
        <f>IF(OR(B224="",NOT(ISNUMBER(L224))),"",IF(L224&lt;=0,"",IFERROR(ROUND(L224*N(INDEX(art_w,MATCH(H224,art_ref,0))),3),"")))</f>
        <v/>
      </c>
      <c r="Q224" s="59" t="n"/>
      <c r="R224" s="54" t="n"/>
      <c r="S224" s="59" t="n"/>
      <c r="T224" s="59" t="n"/>
      <c r="U224" s="64" t="str">
        <f>IF(OR(B224="",H224=""),"",IFERROR(IF(A224="BL",IF(N(INDEX(art_price,MATCH(H224,art_ref,0)))=0,"",N(INDEX(art_price,MATCH(H224,art_ref,0)))),IF(N(INDEX(art_cost,MATCH(H224,art_ref,0)))=0,"",N(INDEX(art_cost,MATCH(H224,art_ref,0))))),""))</f>
        <v/>
      </c>
      <c r="V224" s="64" t="str">
        <f>IF(OR(U224="",NOT(ISNUMBER(L224))),"",IF(L224&lt;=0,"",ROUND(L224*U224,2)))</f>
        <v/>
      </c>
      <c r="W224" s="60" t="str">
        <f>IF(AND(B224&lt;&gt;"",A224&lt;&gt;"BS",F224&lt;&gt;"",H224&lt;&gt;"",ISNUMBER(K224),ISNUMBER(L224)),IF(AND(K224&gt;0,L224&gt;0,K224-L224&gt;0,COUNTIFS(A225:A$2005,A224,F225:F$2005,F224,H225:H$2005,H224,AA225:AA$2005,"&gt;0")=0),ROUND(K224-L224,6),""),"")</f>
        <v/>
      </c>
      <c r="X224" s="60" t="str">
        <f>IF(AND(A224="",C224="",D224="",H224="",L224=""),"",IF(A224="","Type manquant",IF(AND(A224&lt;&gt;"BL",A224&lt;&gt;"BR",A224&lt;&gt;"BS"),"Type inconnu (BL, BR ou BS)",IF(AG224=0,"Date manquante ou invalide",IF(D224="",IF(A224="BL","Client manquant",IF(A224="BR","Fournisseur manquant","Service manquant")),IF(IF(A224="BL",ISNA(MATCH(D224,cl_code,0)),IF(A224="BR",ISNA(MATCH(D224,fo_code,0)),ISNA(MATCH(D224,p_services,0)))),IF(A224="BL","Client inconnu",IF(A224="BR","Fournisseur inconnu","Service inconnu")),IF(H224="","Article manquant",IF(ISNA(MATCH(H224,art_ref,0)),"Article inconnu",IF(OR(NOT(ISNUMBER(L224)),N(L224)&lt;=0),"Quantité invalide",IF(AND(K224&lt;&gt;"",OR(NOT(ISNUMBER(K224)),N(K224)&lt;=0)),"Qté commandée invalide",IF(AG224&lt;SUMPRODUCT(MAX((A$6:A223=A224)*AG$6:AG223)),"Date antérieure au bon précédent",IF(AND(A224&lt;&gt;"BR",ISNUMBER(M224),N(M224)&gt;0),IF(A224="BL","Livré plus que commandé","Sorti plus que demandé"),"OK"))))))))))))</f>
        <v/>
      </c>
      <c r="Y224" s="57" t="str">
        <f>IF(AND(OR(A224="BL",A224="BR",A224="BS"),AG224&gt;0,D224&lt;&gt;""),A224&amp;"|"&amp;AG224&amp;"|"&amp;D224&amp;"|"&amp;F224,"")</f>
        <v/>
      </c>
      <c r="Z224" s="57" t="str">
        <f>IF(Y224="","",IF(COUNTIF(Y$6:Y223,Y224)=0,1,0))</f>
        <v/>
      </c>
      <c r="AA224" s="57" t="str">
        <f>IF(Y224="","",IF(Z224=1,COUNTIFS(A$6:A224,A224,Z$6:Z224,1),INDEX(AA$6:AA223,MATCH(Y224,Y$6:Y223,0))))</f>
        <v/>
      </c>
      <c r="AB224" s="57" t="str">
        <f>IF(B224="","",COUNTIF(B$6:B224,B224))</f>
        <v/>
      </c>
      <c r="AC224" s="57" t="str">
        <f>IF(B224="","",B224&amp;"#"&amp;AB224)</f>
        <v/>
      </c>
      <c r="AD224" s="57" t="str">
        <f>IF(Z224=1,A224&amp;AA224,"")</f>
        <v/>
      </c>
      <c r="AE224" s="57" t="str">
        <f>IF(B224="","",YEAR(C224))</f>
        <v/>
      </c>
      <c r="AF224" s="57" t="str">
        <f>IF(B224="","",MONTH(C224))</f>
        <v/>
      </c>
      <c r="AG224" s="57">
        <f>IF(ISNUMBER(C224),C224,0)</f>
        <v>0.0</v>
      </c>
      <c r="AH224" s="57" t="str">
        <f>IF(N(W224)&gt;0,COUNTIF(W$6:W224,"&gt;0"),"")</f>
        <v/>
      </c>
      <c r="AI224" s="57" t="str">
        <f>IF(Z224=1,COUNTIF(Z$6:Z224,1),"")</f>
        <v/>
      </c>
    </row>
    <row r="225">
      <c r="A225" s="54" t="n"/>
      <c r="B225" s="55" t="str">
        <f>IF(AA225="","",A225&amp;"-"&amp;RIGHT("000"&amp;AA225,4))</f>
        <v/>
      </c>
      <c r="C225" s="56" t="n"/>
      <c r="D225" s="54" t="n"/>
      <c r="E225" s="57" t="str">
        <f>IF(D225="","",IF(A225="BL",IFERROR(INDEX(cl_name,MATCH(D225,cl_code,0))&amp;"","Client inconnu"),IF(A225="BR",IFERROR(INDEX(fo_name,MATCH(D225,fo_code,0))&amp;"","Fournisseur inconnu"),IF(A225="BS",IF(ISNA(MATCH(D225,p_services,0)),"Service inconnu",D225&amp;""),""))))</f>
        <v/>
      </c>
      <c r="F225" s="58" t="n"/>
      <c r="G225" s="58" t="n"/>
      <c r="H225" s="59" t="n"/>
      <c r="I225" s="57" t="str">
        <f>IF(H225="","",IFERROR(INDEX(art_des,MATCH(H225,art_ref,0))&amp;"","Article inconnu"))</f>
        <v/>
      </c>
      <c r="J225" s="60" t="str">
        <f>IF(H225="","",IFERROR(INDEX(art_unit,MATCH(H225,art_ref,0))&amp;"",""))</f>
        <v/>
      </c>
      <c r="K225" s="59" t="n"/>
      <c r="L225" s="59" t="n"/>
      <c r="M225" s="61" t="str">
        <f>IF(OR(B225="",NOT(ISNUMBER(K225)),NOT(ISNUMBER(L225))),"",IF(OR(K225&lt;=0,L225&lt;=0),"",ROUND(L225-K225,6)))</f>
        <v/>
      </c>
      <c r="N225" s="58" t="n"/>
      <c r="O225" s="62" t="n"/>
      <c r="P225" s="63" t="str">
        <f>IF(OR(B225="",NOT(ISNUMBER(L225))),"",IF(L225&lt;=0,"",IFERROR(ROUND(L225*N(INDEX(art_w,MATCH(H225,art_ref,0))),3),"")))</f>
        <v/>
      </c>
      <c r="Q225" s="59" t="n"/>
      <c r="R225" s="54" t="n"/>
      <c r="S225" s="59" t="n"/>
      <c r="T225" s="59" t="n"/>
      <c r="U225" s="64" t="str">
        <f>IF(OR(B225="",H225=""),"",IFERROR(IF(A225="BL",IF(N(INDEX(art_price,MATCH(H225,art_ref,0)))=0,"",N(INDEX(art_price,MATCH(H225,art_ref,0)))),IF(N(INDEX(art_cost,MATCH(H225,art_ref,0)))=0,"",N(INDEX(art_cost,MATCH(H225,art_ref,0))))),""))</f>
        <v/>
      </c>
      <c r="V225" s="64" t="str">
        <f>IF(OR(U225="",NOT(ISNUMBER(L225))),"",IF(L225&lt;=0,"",ROUND(L225*U225,2)))</f>
        <v/>
      </c>
      <c r="W225" s="60" t="str">
        <f>IF(AND(B225&lt;&gt;"",A225&lt;&gt;"BS",F225&lt;&gt;"",H225&lt;&gt;"",ISNUMBER(K225),ISNUMBER(L225)),IF(AND(K225&gt;0,L225&gt;0,K225-L225&gt;0,COUNTIFS(A226:A$2005,A225,F226:F$2005,F225,H226:H$2005,H225,AA226:AA$2005,"&gt;0")=0),ROUND(K225-L225,6),""),"")</f>
        <v/>
      </c>
      <c r="X225" s="60" t="str">
        <f>IF(AND(A225="",C225="",D225="",H225="",L225=""),"",IF(A225="","Type manquant",IF(AND(A225&lt;&gt;"BL",A225&lt;&gt;"BR",A225&lt;&gt;"BS"),"Type inconnu (BL, BR ou BS)",IF(AG225=0,"Date manquante ou invalide",IF(D225="",IF(A225="BL","Client manquant",IF(A225="BR","Fournisseur manquant","Service manquant")),IF(IF(A225="BL",ISNA(MATCH(D225,cl_code,0)),IF(A225="BR",ISNA(MATCH(D225,fo_code,0)),ISNA(MATCH(D225,p_services,0)))),IF(A225="BL","Client inconnu",IF(A225="BR","Fournisseur inconnu","Service inconnu")),IF(H225="","Article manquant",IF(ISNA(MATCH(H225,art_ref,0)),"Article inconnu",IF(OR(NOT(ISNUMBER(L225)),N(L225)&lt;=0),"Quantité invalide",IF(AND(K225&lt;&gt;"",OR(NOT(ISNUMBER(K225)),N(K225)&lt;=0)),"Qté commandée invalide",IF(AG225&lt;SUMPRODUCT(MAX((A$6:A224=A225)*AG$6:AG224)),"Date antérieure au bon précédent",IF(AND(A225&lt;&gt;"BR",ISNUMBER(M225),N(M225)&gt;0),IF(A225="BL","Livré plus que commandé","Sorti plus que demandé"),"OK"))))))))))))</f>
        <v/>
      </c>
      <c r="Y225" s="57" t="str">
        <f>IF(AND(OR(A225="BL",A225="BR",A225="BS"),AG225&gt;0,D225&lt;&gt;""),A225&amp;"|"&amp;AG225&amp;"|"&amp;D225&amp;"|"&amp;F225,"")</f>
        <v/>
      </c>
      <c r="Z225" s="57" t="str">
        <f>IF(Y225="","",IF(COUNTIF(Y$6:Y224,Y225)=0,1,0))</f>
        <v/>
      </c>
      <c r="AA225" s="57" t="str">
        <f>IF(Y225="","",IF(Z225=1,COUNTIFS(A$6:A225,A225,Z$6:Z225,1),INDEX(AA$6:AA224,MATCH(Y225,Y$6:Y224,0))))</f>
        <v/>
      </c>
      <c r="AB225" s="57" t="str">
        <f>IF(B225="","",COUNTIF(B$6:B225,B225))</f>
        <v/>
      </c>
      <c r="AC225" s="57" t="str">
        <f>IF(B225="","",B225&amp;"#"&amp;AB225)</f>
        <v/>
      </c>
      <c r="AD225" s="57" t="str">
        <f>IF(Z225=1,A225&amp;AA225,"")</f>
        <v/>
      </c>
      <c r="AE225" s="57" t="str">
        <f>IF(B225="","",YEAR(C225))</f>
        <v/>
      </c>
      <c r="AF225" s="57" t="str">
        <f>IF(B225="","",MONTH(C225))</f>
        <v/>
      </c>
      <c r="AG225" s="57">
        <f>IF(ISNUMBER(C225),C225,0)</f>
        <v>0.0</v>
      </c>
      <c r="AH225" s="57" t="str">
        <f>IF(N(W225)&gt;0,COUNTIF(W$6:W225,"&gt;0"),"")</f>
        <v/>
      </c>
      <c r="AI225" s="57" t="str">
        <f>IF(Z225=1,COUNTIF(Z$6:Z225,1),"")</f>
        <v/>
      </c>
    </row>
    <row r="226">
      <c r="A226" s="54" t="n"/>
      <c r="B226" s="55" t="str">
        <f>IF(AA226="","",A226&amp;"-"&amp;RIGHT("000"&amp;AA226,4))</f>
        <v/>
      </c>
      <c r="C226" s="56" t="n"/>
      <c r="D226" s="54" t="n"/>
      <c r="E226" s="57" t="str">
        <f>IF(D226="","",IF(A226="BL",IFERROR(INDEX(cl_name,MATCH(D226,cl_code,0))&amp;"","Client inconnu"),IF(A226="BR",IFERROR(INDEX(fo_name,MATCH(D226,fo_code,0))&amp;"","Fournisseur inconnu"),IF(A226="BS",IF(ISNA(MATCH(D226,p_services,0)),"Service inconnu",D226&amp;""),""))))</f>
        <v/>
      </c>
      <c r="F226" s="58" t="n"/>
      <c r="G226" s="58" t="n"/>
      <c r="H226" s="59" t="n"/>
      <c r="I226" s="57" t="str">
        <f>IF(H226="","",IFERROR(INDEX(art_des,MATCH(H226,art_ref,0))&amp;"","Article inconnu"))</f>
        <v/>
      </c>
      <c r="J226" s="60" t="str">
        <f>IF(H226="","",IFERROR(INDEX(art_unit,MATCH(H226,art_ref,0))&amp;"",""))</f>
        <v/>
      </c>
      <c r="K226" s="59" t="n"/>
      <c r="L226" s="59" t="n"/>
      <c r="M226" s="61" t="str">
        <f>IF(OR(B226="",NOT(ISNUMBER(K226)),NOT(ISNUMBER(L226))),"",IF(OR(K226&lt;=0,L226&lt;=0),"",ROUND(L226-K226,6)))</f>
        <v/>
      </c>
      <c r="N226" s="58" t="n"/>
      <c r="O226" s="62" t="n"/>
      <c r="P226" s="63" t="str">
        <f>IF(OR(B226="",NOT(ISNUMBER(L226))),"",IF(L226&lt;=0,"",IFERROR(ROUND(L226*N(INDEX(art_w,MATCH(H226,art_ref,0))),3),"")))</f>
        <v/>
      </c>
      <c r="Q226" s="59" t="n"/>
      <c r="R226" s="54" t="n"/>
      <c r="S226" s="59" t="n"/>
      <c r="T226" s="59" t="n"/>
      <c r="U226" s="64" t="str">
        <f>IF(OR(B226="",H226=""),"",IFERROR(IF(A226="BL",IF(N(INDEX(art_price,MATCH(H226,art_ref,0)))=0,"",N(INDEX(art_price,MATCH(H226,art_ref,0)))),IF(N(INDEX(art_cost,MATCH(H226,art_ref,0)))=0,"",N(INDEX(art_cost,MATCH(H226,art_ref,0))))),""))</f>
        <v/>
      </c>
      <c r="V226" s="64" t="str">
        <f>IF(OR(U226="",NOT(ISNUMBER(L226))),"",IF(L226&lt;=0,"",ROUND(L226*U226,2)))</f>
        <v/>
      </c>
      <c r="W226" s="60" t="str">
        <f>IF(AND(B226&lt;&gt;"",A226&lt;&gt;"BS",F226&lt;&gt;"",H226&lt;&gt;"",ISNUMBER(K226),ISNUMBER(L226)),IF(AND(K226&gt;0,L226&gt;0,K226-L226&gt;0,COUNTIFS(A227:A$2005,A226,F227:F$2005,F226,H227:H$2005,H226,AA227:AA$2005,"&gt;0")=0),ROUND(K226-L226,6),""),"")</f>
        <v/>
      </c>
      <c r="X226" s="60" t="str">
        <f>IF(AND(A226="",C226="",D226="",H226="",L226=""),"",IF(A226="","Type manquant",IF(AND(A226&lt;&gt;"BL",A226&lt;&gt;"BR",A226&lt;&gt;"BS"),"Type inconnu (BL, BR ou BS)",IF(AG226=0,"Date manquante ou invalide",IF(D226="",IF(A226="BL","Client manquant",IF(A226="BR","Fournisseur manquant","Service manquant")),IF(IF(A226="BL",ISNA(MATCH(D226,cl_code,0)),IF(A226="BR",ISNA(MATCH(D226,fo_code,0)),ISNA(MATCH(D226,p_services,0)))),IF(A226="BL","Client inconnu",IF(A226="BR","Fournisseur inconnu","Service inconnu")),IF(H226="","Article manquant",IF(ISNA(MATCH(H226,art_ref,0)),"Article inconnu",IF(OR(NOT(ISNUMBER(L226)),N(L226)&lt;=0),"Quantité invalide",IF(AND(K226&lt;&gt;"",OR(NOT(ISNUMBER(K226)),N(K226)&lt;=0)),"Qté commandée invalide",IF(AG226&lt;SUMPRODUCT(MAX((A$6:A225=A226)*AG$6:AG225)),"Date antérieure au bon précédent",IF(AND(A226&lt;&gt;"BR",ISNUMBER(M226),N(M226)&gt;0),IF(A226="BL","Livré plus que commandé","Sorti plus que demandé"),"OK"))))))))))))</f>
        <v/>
      </c>
      <c r="Y226" s="57" t="str">
        <f>IF(AND(OR(A226="BL",A226="BR",A226="BS"),AG226&gt;0,D226&lt;&gt;""),A226&amp;"|"&amp;AG226&amp;"|"&amp;D226&amp;"|"&amp;F226,"")</f>
        <v/>
      </c>
      <c r="Z226" s="57" t="str">
        <f>IF(Y226="","",IF(COUNTIF(Y$6:Y225,Y226)=0,1,0))</f>
        <v/>
      </c>
      <c r="AA226" s="57" t="str">
        <f>IF(Y226="","",IF(Z226=1,COUNTIFS(A$6:A226,A226,Z$6:Z226,1),INDEX(AA$6:AA225,MATCH(Y226,Y$6:Y225,0))))</f>
        <v/>
      </c>
      <c r="AB226" s="57" t="str">
        <f>IF(B226="","",COUNTIF(B$6:B226,B226))</f>
        <v/>
      </c>
      <c r="AC226" s="57" t="str">
        <f>IF(B226="","",B226&amp;"#"&amp;AB226)</f>
        <v/>
      </c>
      <c r="AD226" s="57" t="str">
        <f>IF(Z226=1,A226&amp;AA226,"")</f>
        <v/>
      </c>
      <c r="AE226" s="57" t="str">
        <f>IF(B226="","",YEAR(C226))</f>
        <v/>
      </c>
      <c r="AF226" s="57" t="str">
        <f>IF(B226="","",MONTH(C226))</f>
        <v/>
      </c>
      <c r="AG226" s="57">
        <f>IF(ISNUMBER(C226),C226,0)</f>
        <v>0.0</v>
      </c>
      <c r="AH226" s="57" t="str">
        <f>IF(N(W226)&gt;0,COUNTIF(W$6:W226,"&gt;0"),"")</f>
        <v/>
      </c>
      <c r="AI226" s="57" t="str">
        <f>IF(Z226=1,COUNTIF(Z$6:Z226,1),"")</f>
        <v/>
      </c>
    </row>
    <row r="227">
      <c r="A227" s="54" t="n"/>
      <c r="B227" s="55" t="str">
        <f>IF(AA227="","",A227&amp;"-"&amp;RIGHT("000"&amp;AA227,4))</f>
        <v/>
      </c>
      <c r="C227" s="56" t="n"/>
      <c r="D227" s="54" t="n"/>
      <c r="E227" s="57" t="str">
        <f>IF(D227="","",IF(A227="BL",IFERROR(INDEX(cl_name,MATCH(D227,cl_code,0))&amp;"","Client inconnu"),IF(A227="BR",IFERROR(INDEX(fo_name,MATCH(D227,fo_code,0))&amp;"","Fournisseur inconnu"),IF(A227="BS",IF(ISNA(MATCH(D227,p_services,0)),"Service inconnu",D227&amp;""),""))))</f>
        <v/>
      </c>
      <c r="F227" s="58" t="n"/>
      <c r="G227" s="58" t="n"/>
      <c r="H227" s="59" t="n"/>
      <c r="I227" s="57" t="str">
        <f>IF(H227="","",IFERROR(INDEX(art_des,MATCH(H227,art_ref,0))&amp;"","Article inconnu"))</f>
        <v/>
      </c>
      <c r="J227" s="60" t="str">
        <f>IF(H227="","",IFERROR(INDEX(art_unit,MATCH(H227,art_ref,0))&amp;"",""))</f>
        <v/>
      </c>
      <c r="K227" s="59" t="n"/>
      <c r="L227" s="59" t="n"/>
      <c r="M227" s="61" t="str">
        <f>IF(OR(B227="",NOT(ISNUMBER(K227)),NOT(ISNUMBER(L227))),"",IF(OR(K227&lt;=0,L227&lt;=0),"",ROUND(L227-K227,6)))</f>
        <v/>
      </c>
      <c r="N227" s="58" t="n"/>
      <c r="O227" s="62" t="n"/>
      <c r="P227" s="63" t="str">
        <f>IF(OR(B227="",NOT(ISNUMBER(L227))),"",IF(L227&lt;=0,"",IFERROR(ROUND(L227*N(INDEX(art_w,MATCH(H227,art_ref,0))),3),"")))</f>
        <v/>
      </c>
      <c r="Q227" s="59" t="n"/>
      <c r="R227" s="54" t="n"/>
      <c r="S227" s="59" t="n"/>
      <c r="T227" s="59" t="n"/>
      <c r="U227" s="64" t="str">
        <f>IF(OR(B227="",H227=""),"",IFERROR(IF(A227="BL",IF(N(INDEX(art_price,MATCH(H227,art_ref,0)))=0,"",N(INDEX(art_price,MATCH(H227,art_ref,0)))),IF(N(INDEX(art_cost,MATCH(H227,art_ref,0)))=0,"",N(INDEX(art_cost,MATCH(H227,art_ref,0))))),""))</f>
        <v/>
      </c>
      <c r="V227" s="64" t="str">
        <f>IF(OR(U227="",NOT(ISNUMBER(L227))),"",IF(L227&lt;=0,"",ROUND(L227*U227,2)))</f>
        <v/>
      </c>
      <c r="W227" s="60" t="str">
        <f>IF(AND(B227&lt;&gt;"",A227&lt;&gt;"BS",F227&lt;&gt;"",H227&lt;&gt;"",ISNUMBER(K227),ISNUMBER(L227)),IF(AND(K227&gt;0,L227&gt;0,K227-L227&gt;0,COUNTIFS(A228:A$2005,A227,F228:F$2005,F227,H228:H$2005,H227,AA228:AA$2005,"&gt;0")=0),ROUND(K227-L227,6),""),"")</f>
        <v/>
      </c>
      <c r="X227" s="60" t="str">
        <f>IF(AND(A227="",C227="",D227="",H227="",L227=""),"",IF(A227="","Type manquant",IF(AND(A227&lt;&gt;"BL",A227&lt;&gt;"BR",A227&lt;&gt;"BS"),"Type inconnu (BL, BR ou BS)",IF(AG227=0,"Date manquante ou invalide",IF(D227="",IF(A227="BL","Client manquant",IF(A227="BR","Fournisseur manquant","Service manquant")),IF(IF(A227="BL",ISNA(MATCH(D227,cl_code,0)),IF(A227="BR",ISNA(MATCH(D227,fo_code,0)),ISNA(MATCH(D227,p_services,0)))),IF(A227="BL","Client inconnu",IF(A227="BR","Fournisseur inconnu","Service inconnu")),IF(H227="","Article manquant",IF(ISNA(MATCH(H227,art_ref,0)),"Article inconnu",IF(OR(NOT(ISNUMBER(L227)),N(L227)&lt;=0),"Quantité invalide",IF(AND(K227&lt;&gt;"",OR(NOT(ISNUMBER(K227)),N(K227)&lt;=0)),"Qté commandée invalide",IF(AG227&lt;SUMPRODUCT(MAX((A$6:A226=A227)*AG$6:AG226)),"Date antérieure au bon précédent",IF(AND(A227&lt;&gt;"BR",ISNUMBER(M227),N(M227)&gt;0),IF(A227="BL","Livré plus que commandé","Sorti plus que demandé"),"OK"))))))))))))</f>
        <v/>
      </c>
      <c r="Y227" s="57" t="str">
        <f>IF(AND(OR(A227="BL",A227="BR",A227="BS"),AG227&gt;0,D227&lt;&gt;""),A227&amp;"|"&amp;AG227&amp;"|"&amp;D227&amp;"|"&amp;F227,"")</f>
        <v/>
      </c>
      <c r="Z227" s="57" t="str">
        <f>IF(Y227="","",IF(COUNTIF(Y$6:Y226,Y227)=0,1,0))</f>
        <v/>
      </c>
      <c r="AA227" s="57" t="str">
        <f>IF(Y227="","",IF(Z227=1,COUNTIFS(A$6:A227,A227,Z$6:Z227,1),INDEX(AA$6:AA226,MATCH(Y227,Y$6:Y226,0))))</f>
        <v/>
      </c>
      <c r="AB227" s="57" t="str">
        <f>IF(B227="","",COUNTIF(B$6:B227,B227))</f>
        <v/>
      </c>
      <c r="AC227" s="57" t="str">
        <f>IF(B227="","",B227&amp;"#"&amp;AB227)</f>
        <v/>
      </c>
      <c r="AD227" s="57" t="str">
        <f>IF(Z227=1,A227&amp;AA227,"")</f>
        <v/>
      </c>
      <c r="AE227" s="57" t="str">
        <f>IF(B227="","",YEAR(C227))</f>
        <v/>
      </c>
      <c r="AF227" s="57" t="str">
        <f>IF(B227="","",MONTH(C227))</f>
        <v/>
      </c>
      <c r="AG227" s="57">
        <f>IF(ISNUMBER(C227),C227,0)</f>
        <v>0.0</v>
      </c>
      <c r="AH227" s="57" t="str">
        <f>IF(N(W227)&gt;0,COUNTIF(W$6:W227,"&gt;0"),"")</f>
        <v/>
      </c>
      <c r="AI227" s="57" t="str">
        <f>IF(Z227=1,COUNTIF(Z$6:Z227,1),"")</f>
        <v/>
      </c>
    </row>
    <row r="228">
      <c r="A228" s="54" t="n"/>
      <c r="B228" s="55" t="str">
        <f>IF(AA228="","",A228&amp;"-"&amp;RIGHT("000"&amp;AA228,4))</f>
        <v/>
      </c>
      <c r="C228" s="56" t="n"/>
      <c r="D228" s="54" t="n"/>
      <c r="E228" s="57" t="str">
        <f>IF(D228="","",IF(A228="BL",IFERROR(INDEX(cl_name,MATCH(D228,cl_code,0))&amp;"","Client inconnu"),IF(A228="BR",IFERROR(INDEX(fo_name,MATCH(D228,fo_code,0))&amp;"","Fournisseur inconnu"),IF(A228="BS",IF(ISNA(MATCH(D228,p_services,0)),"Service inconnu",D228&amp;""),""))))</f>
        <v/>
      </c>
      <c r="F228" s="58" t="n"/>
      <c r="G228" s="58" t="n"/>
      <c r="H228" s="59" t="n"/>
      <c r="I228" s="57" t="str">
        <f>IF(H228="","",IFERROR(INDEX(art_des,MATCH(H228,art_ref,0))&amp;"","Article inconnu"))</f>
        <v/>
      </c>
      <c r="J228" s="60" t="str">
        <f>IF(H228="","",IFERROR(INDEX(art_unit,MATCH(H228,art_ref,0))&amp;"",""))</f>
        <v/>
      </c>
      <c r="K228" s="59" t="n"/>
      <c r="L228" s="59" t="n"/>
      <c r="M228" s="61" t="str">
        <f>IF(OR(B228="",NOT(ISNUMBER(K228)),NOT(ISNUMBER(L228))),"",IF(OR(K228&lt;=0,L228&lt;=0),"",ROUND(L228-K228,6)))</f>
        <v/>
      </c>
      <c r="N228" s="58" t="n"/>
      <c r="O228" s="62" t="n"/>
      <c r="P228" s="63" t="str">
        <f>IF(OR(B228="",NOT(ISNUMBER(L228))),"",IF(L228&lt;=0,"",IFERROR(ROUND(L228*N(INDEX(art_w,MATCH(H228,art_ref,0))),3),"")))</f>
        <v/>
      </c>
      <c r="Q228" s="59" t="n"/>
      <c r="R228" s="54" t="n"/>
      <c r="S228" s="59" t="n"/>
      <c r="T228" s="59" t="n"/>
      <c r="U228" s="64" t="str">
        <f>IF(OR(B228="",H228=""),"",IFERROR(IF(A228="BL",IF(N(INDEX(art_price,MATCH(H228,art_ref,0)))=0,"",N(INDEX(art_price,MATCH(H228,art_ref,0)))),IF(N(INDEX(art_cost,MATCH(H228,art_ref,0)))=0,"",N(INDEX(art_cost,MATCH(H228,art_ref,0))))),""))</f>
        <v/>
      </c>
      <c r="V228" s="64" t="str">
        <f>IF(OR(U228="",NOT(ISNUMBER(L228))),"",IF(L228&lt;=0,"",ROUND(L228*U228,2)))</f>
        <v/>
      </c>
      <c r="W228" s="60" t="str">
        <f>IF(AND(B228&lt;&gt;"",A228&lt;&gt;"BS",F228&lt;&gt;"",H228&lt;&gt;"",ISNUMBER(K228),ISNUMBER(L228)),IF(AND(K228&gt;0,L228&gt;0,K228-L228&gt;0,COUNTIFS(A229:A$2005,A228,F229:F$2005,F228,H229:H$2005,H228,AA229:AA$2005,"&gt;0")=0),ROUND(K228-L228,6),""),"")</f>
        <v/>
      </c>
      <c r="X228" s="60" t="str">
        <f>IF(AND(A228="",C228="",D228="",H228="",L228=""),"",IF(A228="","Type manquant",IF(AND(A228&lt;&gt;"BL",A228&lt;&gt;"BR",A228&lt;&gt;"BS"),"Type inconnu (BL, BR ou BS)",IF(AG228=0,"Date manquante ou invalide",IF(D228="",IF(A228="BL","Client manquant",IF(A228="BR","Fournisseur manquant","Service manquant")),IF(IF(A228="BL",ISNA(MATCH(D228,cl_code,0)),IF(A228="BR",ISNA(MATCH(D228,fo_code,0)),ISNA(MATCH(D228,p_services,0)))),IF(A228="BL","Client inconnu",IF(A228="BR","Fournisseur inconnu","Service inconnu")),IF(H228="","Article manquant",IF(ISNA(MATCH(H228,art_ref,0)),"Article inconnu",IF(OR(NOT(ISNUMBER(L228)),N(L228)&lt;=0),"Quantité invalide",IF(AND(K228&lt;&gt;"",OR(NOT(ISNUMBER(K228)),N(K228)&lt;=0)),"Qté commandée invalide",IF(AG228&lt;SUMPRODUCT(MAX((A$6:A227=A228)*AG$6:AG227)),"Date antérieure au bon précédent",IF(AND(A228&lt;&gt;"BR",ISNUMBER(M228),N(M228)&gt;0),IF(A228="BL","Livré plus que commandé","Sorti plus que demandé"),"OK"))))))))))))</f>
        <v/>
      </c>
      <c r="Y228" s="57" t="str">
        <f>IF(AND(OR(A228="BL",A228="BR",A228="BS"),AG228&gt;0,D228&lt;&gt;""),A228&amp;"|"&amp;AG228&amp;"|"&amp;D228&amp;"|"&amp;F228,"")</f>
        <v/>
      </c>
      <c r="Z228" s="57" t="str">
        <f>IF(Y228="","",IF(COUNTIF(Y$6:Y227,Y228)=0,1,0))</f>
        <v/>
      </c>
      <c r="AA228" s="57" t="str">
        <f>IF(Y228="","",IF(Z228=1,COUNTIFS(A$6:A228,A228,Z$6:Z228,1),INDEX(AA$6:AA227,MATCH(Y228,Y$6:Y227,0))))</f>
        <v/>
      </c>
      <c r="AB228" s="57" t="str">
        <f>IF(B228="","",COUNTIF(B$6:B228,B228))</f>
        <v/>
      </c>
      <c r="AC228" s="57" t="str">
        <f>IF(B228="","",B228&amp;"#"&amp;AB228)</f>
        <v/>
      </c>
      <c r="AD228" s="57" t="str">
        <f>IF(Z228=1,A228&amp;AA228,"")</f>
        <v/>
      </c>
      <c r="AE228" s="57" t="str">
        <f>IF(B228="","",YEAR(C228))</f>
        <v/>
      </c>
      <c r="AF228" s="57" t="str">
        <f>IF(B228="","",MONTH(C228))</f>
        <v/>
      </c>
      <c r="AG228" s="57">
        <f>IF(ISNUMBER(C228),C228,0)</f>
        <v>0.0</v>
      </c>
      <c r="AH228" s="57" t="str">
        <f>IF(N(W228)&gt;0,COUNTIF(W$6:W228,"&gt;0"),"")</f>
        <v/>
      </c>
      <c r="AI228" s="57" t="str">
        <f>IF(Z228=1,COUNTIF(Z$6:Z228,1),"")</f>
        <v/>
      </c>
    </row>
    <row r="229">
      <c r="A229" s="54" t="n"/>
      <c r="B229" s="55" t="str">
        <f>IF(AA229="","",A229&amp;"-"&amp;RIGHT("000"&amp;AA229,4))</f>
        <v/>
      </c>
      <c r="C229" s="56" t="n"/>
      <c r="D229" s="54" t="n"/>
      <c r="E229" s="57" t="str">
        <f>IF(D229="","",IF(A229="BL",IFERROR(INDEX(cl_name,MATCH(D229,cl_code,0))&amp;"","Client inconnu"),IF(A229="BR",IFERROR(INDEX(fo_name,MATCH(D229,fo_code,0))&amp;"","Fournisseur inconnu"),IF(A229="BS",IF(ISNA(MATCH(D229,p_services,0)),"Service inconnu",D229&amp;""),""))))</f>
        <v/>
      </c>
      <c r="F229" s="58" t="n"/>
      <c r="G229" s="58" t="n"/>
      <c r="H229" s="59" t="n"/>
      <c r="I229" s="57" t="str">
        <f>IF(H229="","",IFERROR(INDEX(art_des,MATCH(H229,art_ref,0))&amp;"","Article inconnu"))</f>
        <v/>
      </c>
      <c r="J229" s="60" t="str">
        <f>IF(H229="","",IFERROR(INDEX(art_unit,MATCH(H229,art_ref,0))&amp;"",""))</f>
        <v/>
      </c>
      <c r="K229" s="59" t="n"/>
      <c r="L229" s="59" t="n"/>
      <c r="M229" s="61" t="str">
        <f>IF(OR(B229="",NOT(ISNUMBER(K229)),NOT(ISNUMBER(L229))),"",IF(OR(K229&lt;=0,L229&lt;=0),"",ROUND(L229-K229,6)))</f>
        <v/>
      </c>
      <c r="N229" s="58" t="n"/>
      <c r="O229" s="62" t="n"/>
      <c r="P229" s="63" t="str">
        <f>IF(OR(B229="",NOT(ISNUMBER(L229))),"",IF(L229&lt;=0,"",IFERROR(ROUND(L229*N(INDEX(art_w,MATCH(H229,art_ref,0))),3),"")))</f>
        <v/>
      </c>
      <c r="Q229" s="59" t="n"/>
      <c r="R229" s="54" t="n"/>
      <c r="S229" s="59" t="n"/>
      <c r="T229" s="59" t="n"/>
      <c r="U229" s="64" t="str">
        <f>IF(OR(B229="",H229=""),"",IFERROR(IF(A229="BL",IF(N(INDEX(art_price,MATCH(H229,art_ref,0)))=0,"",N(INDEX(art_price,MATCH(H229,art_ref,0)))),IF(N(INDEX(art_cost,MATCH(H229,art_ref,0)))=0,"",N(INDEX(art_cost,MATCH(H229,art_ref,0))))),""))</f>
        <v/>
      </c>
      <c r="V229" s="64" t="str">
        <f>IF(OR(U229="",NOT(ISNUMBER(L229))),"",IF(L229&lt;=0,"",ROUND(L229*U229,2)))</f>
        <v/>
      </c>
      <c r="W229" s="60" t="str">
        <f>IF(AND(B229&lt;&gt;"",A229&lt;&gt;"BS",F229&lt;&gt;"",H229&lt;&gt;"",ISNUMBER(K229),ISNUMBER(L229)),IF(AND(K229&gt;0,L229&gt;0,K229-L229&gt;0,COUNTIFS(A230:A$2005,A229,F230:F$2005,F229,H230:H$2005,H229,AA230:AA$2005,"&gt;0")=0),ROUND(K229-L229,6),""),"")</f>
        <v/>
      </c>
      <c r="X229" s="60" t="str">
        <f>IF(AND(A229="",C229="",D229="",H229="",L229=""),"",IF(A229="","Type manquant",IF(AND(A229&lt;&gt;"BL",A229&lt;&gt;"BR",A229&lt;&gt;"BS"),"Type inconnu (BL, BR ou BS)",IF(AG229=0,"Date manquante ou invalide",IF(D229="",IF(A229="BL","Client manquant",IF(A229="BR","Fournisseur manquant","Service manquant")),IF(IF(A229="BL",ISNA(MATCH(D229,cl_code,0)),IF(A229="BR",ISNA(MATCH(D229,fo_code,0)),ISNA(MATCH(D229,p_services,0)))),IF(A229="BL","Client inconnu",IF(A229="BR","Fournisseur inconnu","Service inconnu")),IF(H229="","Article manquant",IF(ISNA(MATCH(H229,art_ref,0)),"Article inconnu",IF(OR(NOT(ISNUMBER(L229)),N(L229)&lt;=0),"Quantité invalide",IF(AND(K229&lt;&gt;"",OR(NOT(ISNUMBER(K229)),N(K229)&lt;=0)),"Qté commandée invalide",IF(AG229&lt;SUMPRODUCT(MAX((A$6:A228=A229)*AG$6:AG228)),"Date antérieure au bon précédent",IF(AND(A229&lt;&gt;"BR",ISNUMBER(M229),N(M229)&gt;0),IF(A229="BL","Livré plus que commandé","Sorti plus que demandé"),"OK"))))))))))))</f>
        <v/>
      </c>
      <c r="Y229" s="57" t="str">
        <f>IF(AND(OR(A229="BL",A229="BR",A229="BS"),AG229&gt;0,D229&lt;&gt;""),A229&amp;"|"&amp;AG229&amp;"|"&amp;D229&amp;"|"&amp;F229,"")</f>
        <v/>
      </c>
      <c r="Z229" s="57" t="str">
        <f>IF(Y229="","",IF(COUNTIF(Y$6:Y228,Y229)=0,1,0))</f>
        <v/>
      </c>
      <c r="AA229" s="57" t="str">
        <f>IF(Y229="","",IF(Z229=1,COUNTIFS(A$6:A229,A229,Z$6:Z229,1),INDEX(AA$6:AA228,MATCH(Y229,Y$6:Y228,0))))</f>
        <v/>
      </c>
      <c r="AB229" s="57" t="str">
        <f>IF(B229="","",COUNTIF(B$6:B229,B229))</f>
        <v/>
      </c>
      <c r="AC229" s="57" t="str">
        <f>IF(B229="","",B229&amp;"#"&amp;AB229)</f>
        <v/>
      </c>
      <c r="AD229" s="57" t="str">
        <f>IF(Z229=1,A229&amp;AA229,"")</f>
        <v/>
      </c>
      <c r="AE229" s="57" t="str">
        <f>IF(B229="","",YEAR(C229))</f>
        <v/>
      </c>
      <c r="AF229" s="57" t="str">
        <f>IF(B229="","",MONTH(C229))</f>
        <v/>
      </c>
      <c r="AG229" s="57">
        <f>IF(ISNUMBER(C229),C229,0)</f>
        <v>0.0</v>
      </c>
      <c r="AH229" s="57" t="str">
        <f>IF(N(W229)&gt;0,COUNTIF(W$6:W229,"&gt;0"),"")</f>
        <v/>
      </c>
      <c r="AI229" s="57" t="str">
        <f>IF(Z229=1,COUNTIF(Z$6:Z229,1),"")</f>
        <v/>
      </c>
    </row>
    <row r="230">
      <c r="A230" s="54" t="n"/>
      <c r="B230" s="55" t="str">
        <f>IF(AA230="","",A230&amp;"-"&amp;RIGHT("000"&amp;AA230,4))</f>
        <v/>
      </c>
      <c r="C230" s="56" t="n"/>
      <c r="D230" s="54" t="n"/>
      <c r="E230" s="57" t="str">
        <f>IF(D230="","",IF(A230="BL",IFERROR(INDEX(cl_name,MATCH(D230,cl_code,0))&amp;"","Client inconnu"),IF(A230="BR",IFERROR(INDEX(fo_name,MATCH(D230,fo_code,0))&amp;"","Fournisseur inconnu"),IF(A230="BS",IF(ISNA(MATCH(D230,p_services,0)),"Service inconnu",D230&amp;""),""))))</f>
        <v/>
      </c>
      <c r="F230" s="58" t="n"/>
      <c r="G230" s="58" t="n"/>
      <c r="H230" s="59" t="n"/>
      <c r="I230" s="57" t="str">
        <f>IF(H230="","",IFERROR(INDEX(art_des,MATCH(H230,art_ref,0))&amp;"","Article inconnu"))</f>
        <v/>
      </c>
      <c r="J230" s="60" t="str">
        <f>IF(H230="","",IFERROR(INDEX(art_unit,MATCH(H230,art_ref,0))&amp;"",""))</f>
        <v/>
      </c>
      <c r="K230" s="59" t="n"/>
      <c r="L230" s="59" t="n"/>
      <c r="M230" s="61" t="str">
        <f>IF(OR(B230="",NOT(ISNUMBER(K230)),NOT(ISNUMBER(L230))),"",IF(OR(K230&lt;=0,L230&lt;=0),"",ROUND(L230-K230,6)))</f>
        <v/>
      </c>
      <c r="N230" s="58" t="n"/>
      <c r="O230" s="62" t="n"/>
      <c r="P230" s="63" t="str">
        <f>IF(OR(B230="",NOT(ISNUMBER(L230))),"",IF(L230&lt;=0,"",IFERROR(ROUND(L230*N(INDEX(art_w,MATCH(H230,art_ref,0))),3),"")))</f>
        <v/>
      </c>
      <c r="Q230" s="59" t="n"/>
      <c r="R230" s="54" t="n"/>
      <c r="S230" s="59" t="n"/>
      <c r="T230" s="59" t="n"/>
      <c r="U230" s="64" t="str">
        <f>IF(OR(B230="",H230=""),"",IFERROR(IF(A230="BL",IF(N(INDEX(art_price,MATCH(H230,art_ref,0)))=0,"",N(INDEX(art_price,MATCH(H230,art_ref,0)))),IF(N(INDEX(art_cost,MATCH(H230,art_ref,0)))=0,"",N(INDEX(art_cost,MATCH(H230,art_ref,0))))),""))</f>
        <v/>
      </c>
      <c r="V230" s="64" t="str">
        <f>IF(OR(U230="",NOT(ISNUMBER(L230))),"",IF(L230&lt;=0,"",ROUND(L230*U230,2)))</f>
        <v/>
      </c>
      <c r="W230" s="60" t="str">
        <f>IF(AND(B230&lt;&gt;"",A230&lt;&gt;"BS",F230&lt;&gt;"",H230&lt;&gt;"",ISNUMBER(K230),ISNUMBER(L230)),IF(AND(K230&gt;0,L230&gt;0,K230-L230&gt;0,COUNTIFS(A231:A$2005,A230,F231:F$2005,F230,H231:H$2005,H230,AA231:AA$2005,"&gt;0")=0),ROUND(K230-L230,6),""),"")</f>
        <v/>
      </c>
      <c r="X230" s="60" t="str">
        <f>IF(AND(A230="",C230="",D230="",H230="",L230=""),"",IF(A230="","Type manquant",IF(AND(A230&lt;&gt;"BL",A230&lt;&gt;"BR",A230&lt;&gt;"BS"),"Type inconnu (BL, BR ou BS)",IF(AG230=0,"Date manquante ou invalide",IF(D230="",IF(A230="BL","Client manquant",IF(A230="BR","Fournisseur manquant","Service manquant")),IF(IF(A230="BL",ISNA(MATCH(D230,cl_code,0)),IF(A230="BR",ISNA(MATCH(D230,fo_code,0)),ISNA(MATCH(D230,p_services,0)))),IF(A230="BL","Client inconnu",IF(A230="BR","Fournisseur inconnu","Service inconnu")),IF(H230="","Article manquant",IF(ISNA(MATCH(H230,art_ref,0)),"Article inconnu",IF(OR(NOT(ISNUMBER(L230)),N(L230)&lt;=0),"Quantité invalide",IF(AND(K230&lt;&gt;"",OR(NOT(ISNUMBER(K230)),N(K230)&lt;=0)),"Qté commandée invalide",IF(AG230&lt;SUMPRODUCT(MAX((A$6:A229=A230)*AG$6:AG229)),"Date antérieure au bon précédent",IF(AND(A230&lt;&gt;"BR",ISNUMBER(M230),N(M230)&gt;0),IF(A230="BL","Livré plus que commandé","Sorti plus que demandé"),"OK"))))))))))))</f>
        <v/>
      </c>
      <c r="Y230" s="57" t="str">
        <f>IF(AND(OR(A230="BL",A230="BR",A230="BS"),AG230&gt;0,D230&lt;&gt;""),A230&amp;"|"&amp;AG230&amp;"|"&amp;D230&amp;"|"&amp;F230,"")</f>
        <v/>
      </c>
      <c r="Z230" s="57" t="str">
        <f>IF(Y230="","",IF(COUNTIF(Y$6:Y229,Y230)=0,1,0))</f>
        <v/>
      </c>
      <c r="AA230" s="57" t="str">
        <f>IF(Y230="","",IF(Z230=1,COUNTIFS(A$6:A230,A230,Z$6:Z230,1),INDEX(AA$6:AA229,MATCH(Y230,Y$6:Y229,0))))</f>
        <v/>
      </c>
      <c r="AB230" s="57" t="str">
        <f>IF(B230="","",COUNTIF(B$6:B230,B230))</f>
        <v/>
      </c>
      <c r="AC230" s="57" t="str">
        <f>IF(B230="","",B230&amp;"#"&amp;AB230)</f>
        <v/>
      </c>
      <c r="AD230" s="57" t="str">
        <f>IF(Z230=1,A230&amp;AA230,"")</f>
        <v/>
      </c>
      <c r="AE230" s="57" t="str">
        <f>IF(B230="","",YEAR(C230))</f>
        <v/>
      </c>
      <c r="AF230" s="57" t="str">
        <f>IF(B230="","",MONTH(C230))</f>
        <v/>
      </c>
      <c r="AG230" s="57">
        <f>IF(ISNUMBER(C230),C230,0)</f>
        <v>0.0</v>
      </c>
      <c r="AH230" s="57" t="str">
        <f>IF(N(W230)&gt;0,COUNTIF(W$6:W230,"&gt;0"),"")</f>
        <v/>
      </c>
      <c r="AI230" s="57" t="str">
        <f>IF(Z230=1,COUNTIF(Z$6:Z230,1),"")</f>
        <v/>
      </c>
    </row>
    <row r="231">
      <c r="A231" s="54" t="n"/>
      <c r="B231" s="55" t="str">
        <f>IF(AA231="","",A231&amp;"-"&amp;RIGHT("000"&amp;AA231,4))</f>
        <v/>
      </c>
      <c r="C231" s="56" t="n"/>
      <c r="D231" s="54" t="n"/>
      <c r="E231" s="57" t="str">
        <f>IF(D231="","",IF(A231="BL",IFERROR(INDEX(cl_name,MATCH(D231,cl_code,0))&amp;"","Client inconnu"),IF(A231="BR",IFERROR(INDEX(fo_name,MATCH(D231,fo_code,0))&amp;"","Fournisseur inconnu"),IF(A231="BS",IF(ISNA(MATCH(D231,p_services,0)),"Service inconnu",D231&amp;""),""))))</f>
        <v/>
      </c>
      <c r="F231" s="58" t="n"/>
      <c r="G231" s="58" t="n"/>
      <c r="H231" s="59" t="n"/>
      <c r="I231" s="57" t="str">
        <f>IF(H231="","",IFERROR(INDEX(art_des,MATCH(H231,art_ref,0))&amp;"","Article inconnu"))</f>
        <v/>
      </c>
      <c r="J231" s="60" t="str">
        <f>IF(H231="","",IFERROR(INDEX(art_unit,MATCH(H231,art_ref,0))&amp;"",""))</f>
        <v/>
      </c>
      <c r="K231" s="59" t="n"/>
      <c r="L231" s="59" t="n"/>
      <c r="M231" s="61" t="str">
        <f>IF(OR(B231="",NOT(ISNUMBER(K231)),NOT(ISNUMBER(L231))),"",IF(OR(K231&lt;=0,L231&lt;=0),"",ROUND(L231-K231,6)))</f>
        <v/>
      </c>
      <c r="N231" s="58" t="n"/>
      <c r="O231" s="62" t="n"/>
      <c r="P231" s="63" t="str">
        <f>IF(OR(B231="",NOT(ISNUMBER(L231))),"",IF(L231&lt;=0,"",IFERROR(ROUND(L231*N(INDEX(art_w,MATCH(H231,art_ref,0))),3),"")))</f>
        <v/>
      </c>
      <c r="Q231" s="59" t="n"/>
      <c r="R231" s="54" t="n"/>
      <c r="S231" s="59" t="n"/>
      <c r="T231" s="59" t="n"/>
      <c r="U231" s="64" t="str">
        <f>IF(OR(B231="",H231=""),"",IFERROR(IF(A231="BL",IF(N(INDEX(art_price,MATCH(H231,art_ref,0)))=0,"",N(INDEX(art_price,MATCH(H231,art_ref,0)))),IF(N(INDEX(art_cost,MATCH(H231,art_ref,0)))=0,"",N(INDEX(art_cost,MATCH(H231,art_ref,0))))),""))</f>
        <v/>
      </c>
      <c r="V231" s="64" t="str">
        <f>IF(OR(U231="",NOT(ISNUMBER(L231))),"",IF(L231&lt;=0,"",ROUND(L231*U231,2)))</f>
        <v/>
      </c>
      <c r="W231" s="60" t="str">
        <f>IF(AND(B231&lt;&gt;"",A231&lt;&gt;"BS",F231&lt;&gt;"",H231&lt;&gt;"",ISNUMBER(K231),ISNUMBER(L231)),IF(AND(K231&gt;0,L231&gt;0,K231-L231&gt;0,COUNTIFS(A232:A$2005,A231,F232:F$2005,F231,H232:H$2005,H231,AA232:AA$2005,"&gt;0")=0),ROUND(K231-L231,6),""),"")</f>
        <v/>
      </c>
      <c r="X231" s="60" t="str">
        <f>IF(AND(A231="",C231="",D231="",H231="",L231=""),"",IF(A231="","Type manquant",IF(AND(A231&lt;&gt;"BL",A231&lt;&gt;"BR",A231&lt;&gt;"BS"),"Type inconnu (BL, BR ou BS)",IF(AG231=0,"Date manquante ou invalide",IF(D231="",IF(A231="BL","Client manquant",IF(A231="BR","Fournisseur manquant","Service manquant")),IF(IF(A231="BL",ISNA(MATCH(D231,cl_code,0)),IF(A231="BR",ISNA(MATCH(D231,fo_code,0)),ISNA(MATCH(D231,p_services,0)))),IF(A231="BL","Client inconnu",IF(A231="BR","Fournisseur inconnu","Service inconnu")),IF(H231="","Article manquant",IF(ISNA(MATCH(H231,art_ref,0)),"Article inconnu",IF(OR(NOT(ISNUMBER(L231)),N(L231)&lt;=0),"Quantité invalide",IF(AND(K231&lt;&gt;"",OR(NOT(ISNUMBER(K231)),N(K231)&lt;=0)),"Qté commandée invalide",IF(AG231&lt;SUMPRODUCT(MAX((A$6:A230=A231)*AG$6:AG230)),"Date antérieure au bon précédent",IF(AND(A231&lt;&gt;"BR",ISNUMBER(M231),N(M231)&gt;0),IF(A231="BL","Livré plus que commandé","Sorti plus que demandé"),"OK"))))))))))))</f>
        <v/>
      </c>
      <c r="Y231" s="57" t="str">
        <f>IF(AND(OR(A231="BL",A231="BR",A231="BS"),AG231&gt;0,D231&lt;&gt;""),A231&amp;"|"&amp;AG231&amp;"|"&amp;D231&amp;"|"&amp;F231,"")</f>
        <v/>
      </c>
      <c r="Z231" s="57" t="str">
        <f>IF(Y231="","",IF(COUNTIF(Y$6:Y230,Y231)=0,1,0))</f>
        <v/>
      </c>
      <c r="AA231" s="57" t="str">
        <f>IF(Y231="","",IF(Z231=1,COUNTIFS(A$6:A231,A231,Z$6:Z231,1),INDEX(AA$6:AA230,MATCH(Y231,Y$6:Y230,0))))</f>
        <v/>
      </c>
      <c r="AB231" s="57" t="str">
        <f>IF(B231="","",COUNTIF(B$6:B231,B231))</f>
        <v/>
      </c>
      <c r="AC231" s="57" t="str">
        <f>IF(B231="","",B231&amp;"#"&amp;AB231)</f>
        <v/>
      </c>
      <c r="AD231" s="57" t="str">
        <f>IF(Z231=1,A231&amp;AA231,"")</f>
        <v/>
      </c>
      <c r="AE231" s="57" t="str">
        <f>IF(B231="","",YEAR(C231))</f>
        <v/>
      </c>
      <c r="AF231" s="57" t="str">
        <f>IF(B231="","",MONTH(C231))</f>
        <v/>
      </c>
      <c r="AG231" s="57">
        <f>IF(ISNUMBER(C231),C231,0)</f>
        <v>0.0</v>
      </c>
      <c r="AH231" s="57" t="str">
        <f>IF(N(W231)&gt;0,COUNTIF(W$6:W231,"&gt;0"),"")</f>
        <v/>
      </c>
      <c r="AI231" s="57" t="str">
        <f>IF(Z231=1,COUNTIF(Z$6:Z231,1),"")</f>
        <v/>
      </c>
    </row>
    <row r="232">
      <c r="A232" s="54" t="n"/>
      <c r="B232" s="55" t="str">
        <f>IF(AA232="","",A232&amp;"-"&amp;RIGHT("000"&amp;AA232,4))</f>
        <v/>
      </c>
      <c r="C232" s="56" t="n"/>
      <c r="D232" s="54" t="n"/>
      <c r="E232" s="57" t="str">
        <f>IF(D232="","",IF(A232="BL",IFERROR(INDEX(cl_name,MATCH(D232,cl_code,0))&amp;"","Client inconnu"),IF(A232="BR",IFERROR(INDEX(fo_name,MATCH(D232,fo_code,0))&amp;"","Fournisseur inconnu"),IF(A232="BS",IF(ISNA(MATCH(D232,p_services,0)),"Service inconnu",D232&amp;""),""))))</f>
        <v/>
      </c>
      <c r="F232" s="58" t="n"/>
      <c r="G232" s="58" t="n"/>
      <c r="H232" s="59" t="n"/>
      <c r="I232" s="57" t="str">
        <f>IF(H232="","",IFERROR(INDEX(art_des,MATCH(H232,art_ref,0))&amp;"","Article inconnu"))</f>
        <v/>
      </c>
      <c r="J232" s="60" t="str">
        <f>IF(H232="","",IFERROR(INDEX(art_unit,MATCH(H232,art_ref,0))&amp;"",""))</f>
        <v/>
      </c>
      <c r="K232" s="59" t="n"/>
      <c r="L232" s="59" t="n"/>
      <c r="M232" s="61" t="str">
        <f>IF(OR(B232="",NOT(ISNUMBER(K232)),NOT(ISNUMBER(L232))),"",IF(OR(K232&lt;=0,L232&lt;=0),"",ROUND(L232-K232,6)))</f>
        <v/>
      </c>
      <c r="N232" s="58" t="n"/>
      <c r="O232" s="62" t="n"/>
      <c r="P232" s="63" t="str">
        <f>IF(OR(B232="",NOT(ISNUMBER(L232))),"",IF(L232&lt;=0,"",IFERROR(ROUND(L232*N(INDEX(art_w,MATCH(H232,art_ref,0))),3),"")))</f>
        <v/>
      </c>
      <c r="Q232" s="59" t="n"/>
      <c r="R232" s="54" t="n"/>
      <c r="S232" s="59" t="n"/>
      <c r="T232" s="59" t="n"/>
      <c r="U232" s="64" t="str">
        <f>IF(OR(B232="",H232=""),"",IFERROR(IF(A232="BL",IF(N(INDEX(art_price,MATCH(H232,art_ref,0)))=0,"",N(INDEX(art_price,MATCH(H232,art_ref,0)))),IF(N(INDEX(art_cost,MATCH(H232,art_ref,0)))=0,"",N(INDEX(art_cost,MATCH(H232,art_ref,0))))),""))</f>
        <v/>
      </c>
      <c r="V232" s="64" t="str">
        <f>IF(OR(U232="",NOT(ISNUMBER(L232))),"",IF(L232&lt;=0,"",ROUND(L232*U232,2)))</f>
        <v/>
      </c>
      <c r="W232" s="60" t="str">
        <f>IF(AND(B232&lt;&gt;"",A232&lt;&gt;"BS",F232&lt;&gt;"",H232&lt;&gt;"",ISNUMBER(K232),ISNUMBER(L232)),IF(AND(K232&gt;0,L232&gt;0,K232-L232&gt;0,COUNTIFS(A233:A$2005,A232,F233:F$2005,F232,H233:H$2005,H232,AA233:AA$2005,"&gt;0")=0),ROUND(K232-L232,6),""),"")</f>
        <v/>
      </c>
      <c r="X232" s="60" t="str">
        <f>IF(AND(A232="",C232="",D232="",H232="",L232=""),"",IF(A232="","Type manquant",IF(AND(A232&lt;&gt;"BL",A232&lt;&gt;"BR",A232&lt;&gt;"BS"),"Type inconnu (BL, BR ou BS)",IF(AG232=0,"Date manquante ou invalide",IF(D232="",IF(A232="BL","Client manquant",IF(A232="BR","Fournisseur manquant","Service manquant")),IF(IF(A232="BL",ISNA(MATCH(D232,cl_code,0)),IF(A232="BR",ISNA(MATCH(D232,fo_code,0)),ISNA(MATCH(D232,p_services,0)))),IF(A232="BL","Client inconnu",IF(A232="BR","Fournisseur inconnu","Service inconnu")),IF(H232="","Article manquant",IF(ISNA(MATCH(H232,art_ref,0)),"Article inconnu",IF(OR(NOT(ISNUMBER(L232)),N(L232)&lt;=0),"Quantité invalide",IF(AND(K232&lt;&gt;"",OR(NOT(ISNUMBER(K232)),N(K232)&lt;=0)),"Qté commandée invalide",IF(AG232&lt;SUMPRODUCT(MAX((A$6:A231=A232)*AG$6:AG231)),"Date antérieure au bon précédent",IF(AND(A232&lt;&gt;"BR",ISNUMBER(M232),N(M232)&gt;0),IF(A232="BL","Livré plus que commandé","Sorti plus que demandé"),"OK"))))))))))))</f>
        <v/>
      </c>
      <c r="Y232" s="57" t="str">
        <f>IF(AND(OR(A232="BL",A232="BR",A232="BS"),AG232&gt;0,D232&lt;&gt;""),A232&amp;"|"&amp;AG232&amp;"|"&amp;D232&amp;"|"&amp;F232,"")</f>
        <v/>
      </c>
      <c r="Z232" s="57" t="str">
        <f>IF(Y232="","",IF(COUNTIF(Y$6:Y231,Y232)=0,1,0))</f>
        <v/>
      </c>
      <c r="AA232" s="57" t="str">
        <f>IF(Y232="","",IF(Z232=1,COUNTIFS(A$6:A232,A232,Z$6:Z232,1),INDEX(AA$6:AA231,MATCH(Y232,Y$6:Y231,0))))</f>
        <v/>
      </c>
      <c r="AB232" s="57" t="str">
        <f>IF(B232="","",COUNTIF(B$6:B232,B232))</f>
        <v/>
      </c>
      <c r="AC232" s="57" t="str">
        <f>IF(B232="","",B232&amp;"#"&amp;AB232)</f>
        <v/>
      </c>
      <c r="AD232" s="57" t="str">
        <f>IF(Z232=1,A232&amp;AA232,"")</f>
        <v/>
      </c>
      <c r="AE232" s="57" t="str">
        <f>IF(B232="","",YEAR(C232))</f>
        <v/>
      </c>
      <c r="AF232" s="57" t="str">
        <f>IF(B232="","",MONTH(C232))</f>
        <v/>
      </c>
      <c r="AG232" s="57">
        <f>IF(ISNUMBER(C232),C232,0)</f>
        <v>0.0</v>
      </c>
      <c r="AH232" s="57" t="str">
        <f>IF(N(W232)&gt;0,COUNTIF(W$6:W232,"&gt;0"),"")</f>
        <v/>
      </c>
      <c r="AI232" s="57" t="str">
        <f>IF(Z232=1,COUNTIF(Z$6:Z232,1),"")</f>
        <v/>
      </c>
    </row>
    <row r="233">
      <c r="A233" s="54" t="n"/>
      <c r="B233" s="55" t="str">
        <f>IF(AA233="","",A233&amp;"-"&amp;RIGHT("000"&amp;AA233,4))</f>
        <v/>
      </c>
      <c r="C233" s="56" t="n"/>
      <c r="D233" s="54" t="n"/>
      <c r="E233" s="57" t="str">
        <f>IF(D233="","",IF(A233="BL",IFERROR(INDEX(cl_name,MATCH(D233,cl_code,0))&amp;"","Client inconnu"),IF(A233="BR",IFERROR(INDEX(fo_name,MATCH(D233,fo_code,0))&amp;"","Fournisseur inconnu"),IF(A233="BS",IF(ISNA(MATCH(D233,p_services,0)),"Service inconnu",D233&amp;""),""))))</f>
        <v/>
      </c>
      <c r="F233" s="58" t="n"/>
      <c r="G233" s="58" t="n"/>
      <c r="H233" s="59" t="n"/>
      <c r="I233" s="57" t="str">
        <f>IF(H233="","",IFERROR(INDEX(art_des,MATCH(H233,art_ref,0))&amp;"","Article inconnu"))</f>
        <v/>
      </c>
      <c r="J233" s="60" t="str">
        <f>IF(H233="","",IFERROR(INDEX(art_unit,MATCH(H233,art_ref,0))&amp;"",""))</f>
        <v/>
      </c>
      <c r="K233" s="59" t="n"/>
      <c r="L233" s="59" t="n"/>
      <c r="M233" s="61" t="str">
        <f>IF(OR(B233="",NOT(ISNUMBER(K233)),NOT(ISNUMBER(L233))),"",IF(OR(K233&lt;=0,L233&lt;=0),"",ROUND(L233-K233,6)))</f>
        <v/>
      </c>
      <c r="N233" s="58" t="n"/>
      <c r="O233" s="62" t="n"/>
      <c r="P233" s="63" t="str">
        <f>IF(OR(B233="",NOT(ISNUMBER(L233))),"",IF(L233&lt;=0,"",IFERROR(ROUND(L233*N(INDEX(art_w,MATCH(H233,art_ref,0))),3),"")))</f>
        <v/>
      </c>
      <c r="Q233" s="59" t="n"/>
      <c r="R233" s="54" t="n"/>
      <c r="S233" s="59" t="n"/>
      <c r="T233" s="59" t="n"/>
      <c r="U233" s="64" t="str">
        <f>IF(OR(B233="",H233=""),"",IFERROR(IF(A233="BL",IF(N(INDEX(art_price,MATCH(H233,art_ref,0)))=0,"",N(INDEX(art_price,MATCH(H233,art_ref,0)))),IF(N(INDEX(art_cost,MATCH(H233,art_ref,0)))=0,"",N(INDEX(art_cost,MATCH(H233,art_ref,0))))),""))</f>
        <v/>
      </c>
      <c r="V233" s="64" t="str">
        <f>IF(OR(U233="",NOT(ISNUMBER(L233))),"",IF(L233&lt;=0,"",ROUND(L233*U233,2)))</f>
        <v/>
      </c>
      <c r="W233" s="60" t="str">
        <f>IF(AND(B233&lt;&gt;"",A233&lt;&gt;"BS",F233&lt;&gt;"",H233&lt;&gt;"",ISNUMBER(K233),ISNUMBER(L233)),IF(AND(K233&gt;0,L233&gt;0,K233-L233&gt;0,COUNTIFS(A234:A$2005,A233,F234:F$2005,F233,H234:H$2005,H233,AA234:AA$2005,"&gt;0")=0),ROUND(K233-L233,6),""),"")</f>
        <v/>
      </c>
      <c r="X233" s="60" t="str">
        <f>IF(AND(A233="",C233="",D233="",H233="",L233=""),"",IF(A233="","Type manquant",IF(AND(A233&lt;&gt;"BL",A233&lt;&gt;"BR",A233&lt;&gt;"BS"),"Type inconnu (BL, BR ou BS)",IF(AG233=0,"Date manquante ou invalide",IF(D233="",IF(A233="BL","Client manquant",IF(A233="BR","Fournisseur manquant","Service manquant")),IF(IF(A233="BL",ISNA(MATCH(D233,cl_code,0)),IF(A233="BR",ISNA(MATCH(D233,fo_code,0)),ISNA(MATCH(D233,p_services,0)))),IF(A233="BL","Client inconnu",IF(A233="BR","Fournisseur inconnu","Service inconnu")),IF(H233="","Article manquant",IF(ISNA(MATCH(H233,art_ref,0)),"Article inconnu",IF(OR(NOT(ISNUMBER(L233)),N(L233)&lt;=0),"Quantité invalide",IF(AND(K233&lt;&gt;"",OR(NOT(ISNUMBER(K233)),N(K233)&lt;=0)),"Qté commandée invalide",IF(AG233&lt;SUMPRODUCT(MAX((A$6:A232=A233)*AG$6:AG232)),"Date antérieure au bon précédent",IF(AND(A233&lt;&gt;"BR",ISNUMBER(M233),N(M233)&gt;0),IF(A233="BL","Livré plus que commandé","Sorti plus que demandé"),"OK"))))))))))))</f>
        <v/>
      </c>
      <c r="Y233" s="57" t="str">
        <f>IF(AND(OR(A233="BL",A233="BR",A233="BS"),AG233&gt;0,D233&lt;&gt;""),A233&amp;"|"&amp;AG233&amp;"|"&amp;D233&amp;"|"&amp;F233,"")</f>
        <v/>
      </c>
      <c r="Z233" s="57" t="str">
        <f>IF(Y233="","",IF(COUNTIF(Y$6:Y232,Y233)=0,1,0))</f>
        <v/>
      </c>
      <c r="AA233" s="57" t="str">
        <f>IF(Y233="","",IF(Z233=1,COUNTIFS(A$6:A233,A233,Z$6:Z233,1),INDEX(AA$6:AA232,MATCH(Y233,Y$6:Y232,0))))</f>
        <v/>
      </c>
      <c r="AB233" s="57" t="str">
        <f>IF(B233="","",COUNTIF(B$6:B233,B233))</f>
        <v/>
      </c>
      <c r="AC233" s="57" t="str">
        <f>IF(B233="","",B233&amp;"#"&amp;AB233)</f>
        <v/>
      </c>
      <c r="AD233" s="57" t="str">
        <f>IF(Z233=1,A233&amp;AA233,"")</f>
        <v/>
      </c>
      <c r="AE233" s="57" t="str">
        <f>IF(B233="","",YEAR(C233))</f>
        <v/>
      </c>
      <c r="AF233" s="57" t="str">
        <f>IF(B233="","",MONTH(C233))</f>
        <v/>
      </c>
      <c r="AG233" s="57">
        <f>IF(ISNUMBER(C233),C233,0)</f>
        <v>0.0</v>
      </c>
      <c r="AH233" s="57" t="str">
        <f>IF(N(W233)&gt;0,COUNTIF(W$6:W233,"&gt;0"),"")</f>
        <v/>
      </c>
      <c r="AI233" s="57" t="str">
        <f>IF(Z233=1,COUNTIF(Z$6:Z233,1),"")</f>
        <v/>
      </c>
    </row>
    <row r="234">
      <c r="A234" s="54" t="n"/>
      <c r="B234" s="55" t="str">
        <f>IF(AA234="","",A234&amp;"-"&amp;RIGHT("000"&amp;AA234,4))</f>
        <v/>
      </c>
      <c r="C234" s="56" t="n"/>
      <c r="D234" s="54" t="n"/>
      <c r="E234" s="57" t="str">
        <f>IF(D234="","",IF(A234="BL",IFERROR(INDEX(cl_name,MATCH(D234,cl_code,0))&amp;"","Client inconnu"),IF(A234="BR",IFERROR(INDEX(fo_name,MATCH(D234,fo_code,0))&amp;"","Fournisseur inconnu"),IF(A234="BS",IF(ISNA(MATCH(D234,p_services,0)),"Service inconnu",D234&amp;""),""))))</f>
        <v/>
      </c>
      <c r="F234" s="58" t="n"/>
      <c r="G234" s="58" t="n"/>
      <c r="H234" s="59" t="n"/>
      <c r="I234" s="57" t="str">
        <f>IF(H234="","",IFERROR(INDEX(art_des,MATCH(H234,art_ref,0))&amp;"","Article inconnu"))</f>
        <v/>
      </c>
      <c r="J234" s="60" t="str">
        <f>IF(H234="","",IFERROR(INDEX(art_unit,MATCH(H234,art_ref,0))&amp;"",""))</f>
        <v/>
      </c>
      <c r="K234" s="59" t="n"/>
      <c r="L234" s="59" t="n"/>
      <c r="M234" s="61" t="str">
        <f>IF(OR(B234="",NOT(ISNUMBER(K234)),NOT(ISNUMBER(L234))),"",IF(OR(K234&lt;=0,L234&lt;=0),"",ROUND(L234-K234,6)))</f>
        <v/>
      </c>
      <c r="N234" s="58" t="n"/>
      <c r="O234" s="62" t="n"/>
      <c r="P234" s="63" t="str">
        <f>IF(OR(B234="",NOT(ISNUMBER(L234))),"",IF(L234&lt;=0,"",IFERROR(ROUND(L234*N(INDEX(art_w,MATCH(H234,art_ref,0))),3),"")))</f>
        <v/>
      </c>
      <c r="Q234" s="59" t="n"/>
      <c r="R234" s="54" t="n"/>
      <c r="S234" s="59" t="n"/>
      <c r="T234" s="59" t="n"/>
      <c r="U234" s="64" t="str">
        <f>IF(OR(B234="",H234=""),"",IFERROR(IF(A234="BL",IF(N(INDEX(art_price,MATCH(H234,art_ref,0)))=0,"",N(INDEX(art_price,MATCH(H234,art_ref,0)))),IF(N(INDEX(art_cost,MATCH(H234,art_ref,0)))=0,"",N(INDEX(art_cost,MATCH(H234,art_ref,0))))),""))</f>
        <v/>
      </c>
      <c r="V234" s="64" t="str">
        <f>IF(OR(U234="",NOT(ISNUMBER(L234))),"",IF(L234&lt;=0,"",ROUND(L234*U234,2)))</f>
        <v/>
      </c>
      <c r="W234" s="60" t="str">
        <f>IF(AND(B234&lt;&gt;"",A234&lt;&gt;"BS",F234&lt;&gt;"",H234&lt;&gt;"",ISNUMBER(K234),ISNUMBER(L234)),IF(AND(K234&gt;0,L234&gt;0,K234-L234&gt;0,COUNTIFS(A235:A$2005,A234,F235:F$2005,F234,H235:H$2005,H234,AA235:AA$2005,"&gt;0")=0),ROUND(K234-L234,6),""),"")</f>
        <v/>
      </c>
      <c r="X234" s="60" t="str">
        <f>IF(AND(A234="",C234="",D234="",H234="",L234=""),"",IF(A234="","Type manquant",IF(AND(A234&lt;&gt;"BL",A234&lt;&gt;"BR",A234&lt;&gt;"BS"),"Type inconnu (BL, BR ou BS)",IF(AG234=0,"Date manquante ou invalide",IF(D234="",IF(A234="BL","Client manquant",IF(A234="BR","Fournisseur manquant","Service manquant")),IF(IF(A234="BL",ISNA(MATCH(D234,cl_code,0)),IF(A234="BR",ISNA(MATCH(D234,fo_code,0)),ISNA(MATCH(D234,p_services,0)))),IF(A234="BL","Client inconnu",IF(A234="BR","Fournisseur inconnu","Service inconnu")),IF(H234="","Article manquant",IF(ISNA(MATCH(H234,art_ref,0)),"Article inconnu",IF(OR(NOT(ISNUMBER(L234)),N(L234)&lt;=0),"Quantité invalide",IF(AND(K234&lt;&gt;"",OR(NOT(ISNUMBER(K234)),N(K234)&lt;=0)),"Qté commandée invalide",IF(AG234&lt;SUMPRODUCT(MAX((A$6:A233=A234)*AG$6:AG233)),"Date antérieure au bon précédent",IF(AND(A234&lt;&gt;"BR",ISNUMBER(M234),N(M234)&gt;0),IF(A234="BL","Livré plus que commandé","Sorti plus que demandé"),"OK"))))))))))))</f>
        <v/>
      </c>
      <c r="Y234" s="57" t="str">
        <f>IF(AND(OR(A234="BL",A234="BR",A234="BS"),AG234&gt;0,D234&lt;&gt;""),A234&amp;"|"&amp;AG234&amp;"|"&amp;D234&amp;"|"&amp;F234,"")</f>
        <v/>
      </c>
      <c r="Z234" s="57" t="str">
        <f>IF(Y234="","",IF(COUNTIF(Y$6:Y233,Y234)=0,1,0))</f>
        <v/>
      </c>
      <c r="AA234" s="57" t="str">
        <f>IF(Y234="","",IF(Z234=1,COUNTIFS(A$6:A234,A234,Z$6:Z234,1),INDEX(AA$6:AA233,MATCH(Y234,Y$6:Y233,0))))</f>
        <v/>
      </c>
      <c r="AB234" s="57" t="str">
        <f>IF(B234="","",COUNTIF(B$6:B234,B234))</f>
        <v/>
      </c>
      <c r="AC234" s="57" t="str">
        <f>IF(B234="","",B234&amp;"#"&amp;AB234)</f>
        <v/>
      </c>
      <c r="AD234" s="57" t="str">
        <f>IF(Z234=1,A234&amp;AA234,"")</f>
        <v/>
      </c>
      <c r="AE234" s="57" t="str">
        <f>IF(B234="","",YEAR(C234))</f>
        <v/>
      </c>
      <c r="AF234" s="57" t="str">
        <f>IF(B234="","",MONTH(C234))</f>
        <v/>
      </c>
      <c r="AG234" s="57">
        <f>IF(ISNUMBER(C234),C234,0)</f>
        <v>0.0</v>
      </c>
      <c r="AH234" s="57" t="str">
        <f>IF(N(W234)&gt;0,COUNTIF(W$6:W234,"&gt;0"),"")</f>
        <v/>
      </c>
      <c r="AI234" s="57" t="str">
        <f>IF(Z234=1,COUNTIF(Z$6:Z234,1),"")</f>
        <v/>
      </c>
    </row>
    <row r="235">
      <c r="A235" s="54" t="n"/>
      <c r="B235" s="55" t="str">
        <f>IF(AA235="","",A235&amp;"-"&amp;RIGHT("000"&amp;AA235,4))</f>
        <v/>
      </c>
      <c r="C235" s="56" t="n"/>
      <c r="D235" s="54" t="n"/>
      <c r="E235" s="57" t="str">
        <f>IF(D235="","",IF(A235="BL",IFERROR(INDEX(cl_name,MATCH(D235,cl_code,0))&amp;"","Client inconnu"),IF(A235="BR",IFERROR(INDEX(fo_name,MATCH(D235,fo_code,0))&amp;"","Fournisseur inconnu"),IF(A235="BS",IF(ISNA(MATCH(D235,p_services,0)),"Service inconnu",D235&amp;""),""))))</f>
        <v/>
      </c>
      <c r="F235" s="58" t="n"/>
      <c r="G235" s="58" t="n"/>
      <c r="H235" s="59" t="n"/>
      <c r="I235" s="57" t="str">
        <f>IF(H235="","",IFERROR(INDEX(art_des,MATCH(H235,art_ref,0))&amp;"","Article inconnu"))</f>
        <v/>
      </c>
      <c r="J235" s="60" t="str">
        <f>IF(H235="","",IFERROR(INDEX(art_unit,MATCH(H235,art_ref,0))&amp;"",""))</f>
        <v/>
      </c>
      <c r="K235" s="59" t="n"/>
      <c r="L235" s="59" t="n"/>
      <c r="M235" s="61" t="str">
        <f>IF(OR(B235="",NOT(ISNUMBER(K235)),NOT(ISNUMBER(L235))),"",IF(OR(K235&lt;=0,L235&lt;=0),"",ROUND(L235-K235,6)))</f>
        <v/>
      </c>
      <c r="N235" s="58" t="n"/>
      <c r="O235" s="62" t="n"/>
      <c r="P235" s="63" t="str">
        <f>IF(OR(B235="",NOT(ISNUMBER(L235))),"",IF(L235&lt;=0,"",IFERROR(ROUND(L235*N(INDEX(art_w,MATCH(H235,art_ref,0))),3),"")))</f>
        <v/>
      </c>
      <c r="Q235" s="59" t="n"/>
      <c r="R235" s="54" t="n"/>
      <c r="S235" s="59" t="n"/>
      <c r="T235" s="59" t="n"/>
      <c r="U235" s="64" t="str">
        <f>IF(OR(B235="",H235=""),"",IFERROR(IF(A235="BL",IF(N(INDEX(art_price,MATCH(H235,art_ref,0)))=0,"",N(INDEX(art_price,MATCH(H235,art_ref,0)))),IF(N(INDEX(art_cost,MATCH(H235,art_ref,0)))=0,"",N(INDEX(art_cost,MATCH(H235,art_ref,0))))),""))</f>
        <v/>
      </c>
      <c r="V235" s="64" t="str">
        <f>IF(OR(U235="",NOT(ISNUMBER(L235))),"",IF(L235&lt;=0,"",ROUND(L235*U235,2)))</f>
        <v/>
      </c>
      <c r="W235" s="60" t="str">
        <f>IF(AND(B235&lt;&gt;"",A235&lt;&gt;"BS",F235&lt;&gt;"",H235&lt;&gt;"",ISNUMBER(K235),ISNUMBER(L235)),IF(AND(K235&gt;0,L235&gt;0,K235-L235&gt;0,COUNTIFS(A236:A$2005,A235,F236:F$2005,F235,H236:H$2005,H235,AA236:AA$2005,"&gt;0")=0),ROUND(K235-L235,6),""),"")</f>
        <v/>
      </c>
      <c r="X235" s="60" t="str">
        <f>IF(AND(A235="",C235="",D235="",H235="",L235=""),"",IF(A235="","Type manquant",IF(AND(A235&lt;&gt;"BL",A235&lt;&gt;"BR",A235&lt;&gt;"BS"),"Type inconnu (BL, BR ou BS)",IF(AG235=0,"Date manquante ou invalide",IF(D235="",IF(A235="BL","Client manquant",IF(A235="BR","Fournisseur manquant","Service manquant")),IF(IF(A235="BL",ISNA(MATCH(D235,cl_code,0)),IF(A235="BR",ISNA(MATCH(D235,fo_code,0)),ISNA(MATCH(D235,p_services,0)))),IF(A235="BL","Client inconnu",IF(A235="BR","Fournisseur inconnu","Service inconnu")),IF(H235="","Article manquant",IF(ISNA(MATCH(H235,art_ref,0)),"Article inconnu",IF(OR(NOT(ISNUMBER(L235)),N(L235)&lt;=0),"Quantité invalide",IF(AND(K235&lt;&gt;"",OR(NOT(ISNUMBER(K235)),N(K235)&lt;=0)),"Qté commandée invalide",IF(AG235&lt;SUMPRODUCT(MAX((A$6:A234=A235)*AG$6:AG234)),"Date antérieure au bon précédent",IF(AND(A235&lt;&gt;"BR",ISNUMBER(M235),N(M235)&gt;0),IF(A235="BL","Livré plus que commandé","Sorti plus que demandé"),"OK"))))))))))))</f>
        <v/>
      </c>
      <c r="Y235" s="57" t="str">
        <f>IF(AND(OR(A235="BL",A235="BR",A235="BS"),AG235&gt;0,D235&lt;&gt;""),A235&amp;"|"&amp;AG235&amp;"|"&amp;D235&amp;"|"&amp;F235,"")</f>
        <v/>
      </c>
      <c r="Z235" s="57" t="str">
        <f>IF(Y235="","",IF(COUNTIF(Y$6:Y234,Y235)=0,1,0))</f>
        <v/>
      </c>
      <c r="AA235" s="57" t="str">
        <f>IF(Y235="","",IF(Z235=1,COUNTIFS(A$6:A235,A235,Z$6:Z235,1),INDEX(AA$6:AA234,MATCH(Y235,Y$6:Y234,0))))</f>
        <v/>
      </c>
      <c r="AB235" s="57" t="str">
        <f>IF(B235="","",COUNTIF(B$6:B235,B235))</f>
        <v/>
      </c>
      <c r="AC235" s="57" t="str">
        <f>IF(B235="","",B235&amp;"#"&amp;AB235)</f>
        <v/>
      </c>
      <c r="AD235" s="57" t="str">
        <f>IF(Z235=1,A235&amp;AA235,"")</f>
        <v/>
      </c>
      <c r="AE235" s="57" t="str">
        <f>IF(B235="","",YEAR(C235))</f>
        <v/>
      </c>
      <c r="AF235" s="57" t="str">
        <f>IF(B235="","",MONTH(C235))</f>
        <v/>
      </c>
      <c r="AG235" s="57">
        <f>IF(ISNUMBER(C235),C235,0)</f>
        <v>0.0</v>
      </c>
      <c r="AH235" s="57" t="str">
        <f>IF(N(W235)&gt;0,COUNTIF(W$6:W235,"&gt;0"),"")</f>
        <v/>
      </c>
      <c r="AI235" s="57" t="str">
        <f>IF(Z235=1,COUNTIF(Z$6:Z235,1),"")</f>
        <v/>
      </c>
    </row>
    <row r="236">
      <c r="A236" s="54" t="n"/>
      <c r="B236" s="55" t="str">
        <f>IF(AA236="","",A236&amp;"-"&amp;RIGHT("000"&amp;AA236,4))</f>
        <v/>
      </c>
      <c r="C236" s="56" t="n"/>
      <c r="D236" s="54" t="n"/>
      <c r="E236" s="57" t="str">
        <f>IF(D236="","",IF(A236="BL",IFERROR(INDEX(cl_name,MATCH(D236,cl_code,0))&amp;"","Client inconnu"),IF(A236="BR",IFERROR(INDEX(fo_name,MATCH(D236,fo_code,0))&amp;"","Fournisseur inconnu"),IF(A236="BS",IF(ISNA(MATCH(D236,p_services,0)),"Service inconnu",D236&amp;""),""))))</f>
        <v/>
      </c>
      <c r="F236" s="58" t="n"/>
      <c r="G236" s="58" t="n"/>
      <c r="H236" s="59" t="n"/>
      <c r="I236" s="57" t="str">
        <f>IF(H236="","",IFERROR(INDEX(art_des,MATCH(H236,art_ref,0))&amp;"","Article inconnu"))</f>
        <v/>
      </c>
      <c r="J236" s="60" t="str">
        <f>IF(H236="","",IFERROR(INDEX(art_unit,MATCH(H236,art_ref,0))&amp;"",""))</f>
        <v/>
      </c>
      <c r="K236" s="59" t="n"/>
      <c r="L236" s="59" t="n"/>
      <c r="M236" s="61" t="str">
        <f>IF(OR(B236="",NOT(ISNUMBER(K236)),NOT(ISNUMBER(L236))),"",IF(OR(K236&lt;=0,L236&lt;=0),"",ROUND(L236-K236,6)))</f>
        <v/>
      </c>
      <c r="N236" s="58" t="n"/>
      <c r="O236" s="62" t="n"/>
      <c r="P236" s="63" t="str">
        <f>IF(OR(B236="",NOT(ISNUMBER(L236))),"",IF(L236&lt;=0,"",IFERROR(ROUND(L236*N(INDEX(art_w,MATCH(H236,art_ref,0))),3),"")))</f>
        <v/>
      </c>
      <c r="Q236" s="59" t="n"/>
      <c r="R236" s="54" t="n"/>
      <c r="S236" s="59" t="n"/>
      <c r="T236" s="59" t="n"/>
      <c r="U236" s="64" t="str">
        <f>IF(OR(B236="",H236=""),"",IFERROR(IF(A236="BL",IF(N(INDEX(art_price,MATCH(H236,art_ref,0)))=0,"",N(INDEX(art_price,MATCH(H236,art_ref,0)))),IF(N(INDEX(art_cost,MATCH(H236,art_ref,0)))=0,"",N(INDEX(art_cost,MATCH(H236,art_ref,0))))),""))</f>
        <v/>
      </c>
      <c r="V236" s="64" t="str">
        <f>IF(OR(U236="",NOT(ISNUMBER(L236))),"",IF(L236&lt;=0,"",ROUND(L236*U236,2)))</f>
        <v/>
      </c>
      <c r="W236" s="60" t="str">
        <f>IF(AND(B236&lt;&gt;"",A236&lt;&gt;"BS",F236&lt;&gt;"",H236&lt;&gt;"",ISNUMBER(K236),ISNUMBER(L236)),IF(AND(K236&gt;0,L236&gt;0,K236-L236&gt;0,COUNTIFS(A237:A$2005,A236,F237:F$2005,F236,H237:H$2005,H236,AA237:AA$2005,"&gt;0")=0),ROUND(K236-L236,6),""),"")</f>
        <v/>
      </c>
      <c r="X236" s="60" t="str">
        <f>IF(AND(A236="",C236="",D236="",H236="",L236=""),"",IF(A236="","Type manquant",IF(AND(A236&lt;&gt;"BL",A236&lt;&gt;"BR",A236&lt;&gt;"BS"),"Type inconnu (BL, BR ou BS)",IF(AG236=0,"Date manquante ou invalide",IF(D236="",IF(A236="BL","Client manquant",IF(A236="BR","Fournisseur manquant","Service manquant")),IF(IF(A236="BL",ISNA(MATCH(D236,cl_code,0)),IF(A236="BR",ISNA(MATCH(D236,fo_code,0)),ISNA(MATCH(D236,p_services,0)))),IF(A236="BL","Client inconnu",IF(A236="BR","Fournisseur inconnu","Service inconnu")),IF(H236="","Article manquant",IF(ISNA(MATCH(H236,art_ref,0)),"Article inconnu",IF(OR(NOT(ISNUMBER(L236)),N(L236)&lt;=0),"Quantité invalide",IF(AND(K236&lt;&gt;"",OR(NOT(ISNUMBER(K236)),N(K236)&lt;=0)),"Qté commandée invalide",IF(AG236&lt;SUMPRODUCT(MAX((A$6:A235=A236)*AG$6:AG235)),"Date antérieure au bon précédent",IF(AND(A236&lt;&gt;"BR",ISNUMBER(M236),N(M236)&gt;0),IF(A236="BL","Livré plus que commandé","Sorti plus que demandé"),"OK"))))))))))))</f>
        <v/>
      </c>
      <c r="Y236" s="57" t="str">
        <f>IF(AND(OR(A236="BL",A236="BR",A236="BS"),AG236&gt;0,D236&lt;&gt;""),A236&amp;"|"&amp;AG236&amp;"|"&amp;D236&amp;"|"&amp;F236,"")</f>
        <v/>
      </c>
      <c r="Z236" s="57" t="str">
        <f>IF(Y236="","",IF(COUNTIF(Y$6:Y235,Y236)=0,1,0))</f>
        <v/>
      </c>
      <c r="AA236" s="57" t="str">
        <f>IF(Y236="","",IF(Z236=1,COUNTIFS(A$6:A236,A236,Z$6:Z236,1),INDEX(AA$6:AA235,MATCH(Y236,Y$6:Y235,0))))</f>
        <v/>
      </c>
      <c r="AB236" s="57" t="str">
        <f>IF(B236="","",COUNTIF(B$6:B236,B236))</f>
        <v/>
      </c>
      <c r="AC236" s="57" t="str">
        <f>IF(B236="","",B236&amp;"#"&amp;AB236)</f>
        <v/>
      </c>
      <c r="AD236" s="57" t="str">
        <f>IF(Z236=1,A236&amp;AA236,"")</f>
        <v/>
      </c>
      <c r="AE236" s="57" t="str">
        <f>IF(B236="","",YEAR(C236))</f>
        <v/>
      </c>
      <c r="AF236" s="57" t="str">
        <f>IF(B236="","",MONTH(C236))</f>
        <v/>
      </c>
      <c r="AG236" s="57">
        <f>IF(ISNUMBER(C236),C236,0)</f>
        <v>0.0</v>
      </c>
      <c r="AH236" s="57" t="str">
        <f>IF(N(W236)&gt;0,COUNTIF(W$6:W236,"&gt;0"),"")</f>
        <v/>
      </c>
      <c r="AI236" s="57" t="str">
        <f>IF(Z236=1,COUNTIF(Z$6:Z236,1),"")</f>
        <v/>
      </c>
    </row>
    <row r="237">
      <c r="A237" s="54" t="n"/>
      <c r="B237" s="55" t="str">
        <f>IF(AA237="","",A237&amp;"-"&amp;RIGHT("000"&amp;AA237,4))</f>
        <v/>
      </c>
      <c r="C237" s="56" t="n"/>
      <c r="D237" s="54" t="n"/>
      <c r="E237" s="57" t="str">
        <f>IF(D237="","",IF(A237="BL",IFERROR(INDEX(cl_name,MATCH(D237,cl_code,0))&amp;"","Client inconnu"),IF(A237="BR",IFERROR(INDEX(fo_name,MATCH(D237,fo_code,0))&amp;"","Fournisseur inconnu"),IF(A237="BS",IF(ISNA(MATCH(D237,p_services,0)),"Service inconnu",D237&amp;""),""))))</f>
        <v/>
      </c>
      <c r="F237" s="58" t="n"/>
      <c r="G237" s="58" t="n"/>
      <c r="H237" s="59" t="n"/>
      <c r="I237" s="57" t="str">
        <f>IF(H237="","",IFERROR(INDEX(art_des,MATCH(H237,art_ref,0))&amp;"","Article inconnu"))</f>
        <v/>
      </c>
      <c r="J237" s="60" t="str">
        <f>IF(H237="","",IFERROR(INDEX(art_unit,MATCH(H237,art_ref,0))&amp;"",""))</f>
        <v/>
      </c>
      <c r="K237" s="59" t="n"/>
      <c r="L237" s="59" t="n"/>
      <c r="M237" s="61" t="str">
        <f>IF(OR(B237="",NOT(ISNUMBER(K237)),NOT(ISNUMBER(L237))),"",IF(OR(K237&lt;=0,L237&lt;=0),"",ROUND(L237-K237,6)))</f>
        <v/>
      </c>
      <c r="N237" s="58" t="n"/>
      <c r="O237" s="62" t="n"/>
      <c r="P237" s="63" t="str">
        <f>IF(OR(B237="",NOT(ISNUMBER(L237))),"",IF(L237&lt;=0,"",IFERROR(ROUND(L237*N(INDEX(art_w,MATCH(H237,art_ref,0))),3),"")))</f>
        <v/>
      </c>
      <c r="Q237" s="59" t="n"/>
      <c r="R237" s="54" t="n"/>
      <c r="S237" s="59" t="n"/>
      <c r="T237" s="59" t="n"/>
      <c r="U237" s="64" t="str">
        <f>IF(OR(B237="",H237=""),"",IFERROR(IF(A237="BL",IF(N(INDEX(art_price,MATCH(H237,art_ref,0)))=0,"",N(INDEX(art_price,MATCH(H237,art_ref,0)))),IF(N(INDEX(art_cost,MATCH(H237,art_ref,0)))=0,"",N(INDEX(art_cost,MATCH(H237,art_ref,0))))),""))</f>
        <v/>
      </c>
      <c r="V237" s="64" t="str">
        <f>IF(OR(U237="",NOT(ISNUMBER(L237))),"",IF(L237&lt;=0,"",ROUND(L237*U237,2)))</f>
        <v/>
      </c>
      <c r="W237" s="60" t="str">
        <f>IF(AND(B237&lt;&gt;"",A237&lt;&gt;"BS",F237&lt;&gt;"",H237&lt;&gt;"",ISNUMBER(K237),ISNUMBER(L237)),IF(AND(K237&gt;0,L237&gt;0,K237-L237&gt;0,COUNTIFS(A238:A$2005,A237,F238:F$2005,F237,H238:H$2005,H237,AA238:AA$2005,"&gt;0")=0),ROUND(K237-L237,6),""),"")</f>
        <v/>
      </c>
      <c r="X237" s="60" t="str">
        <f>IF(AND(A237="",C237="",D237="",H237="",L237=""),"",IF(A237="","Type manquant",IF(AND(A237&lt;&gt;"BL",A237&lt;&gt;"BR",A237&lt;&gt;"BS"),"Type inconnu (BL, BR ou BS)",IF(AG237=0,"Date manquante ou invalide",IF(D237="",IF(A237="BL","Client manquant",IF(A237="BR","Fournisseur manquant","Service manquant")),IF(IF(A237="BL",ISNA(MATCH(D237,cl_code,0)),IF(A237="BR",ISNA(MATCH(D237,fo_code,0)),ISNA(MATCH(D237,p_services,0)))),IF(A237="BL","Client inconnu",IF(A237="BR","Fournisseur inconnu","Service inconnu")),IF(H237="","Article manquant",IF(ISNA(MATCH(H237,art_ref,0)),"Article inconnu",IF(OR(NOT(ISNUMBER(L237)),N(L237)&lt;=0),"Quantité invalide",IF(AND(K237&lt;&gt;"",OR(NOT(ISNUMBER(K237)),N(K237)&lt;=0)),"Qté commandée invalide",IF(AG237&lt;SUMPRODUCT(MAX((A$6:A236=A237)*AG$6:AG236)),"Date antérieure au bon précédent",IF(AND(A237&lt;&gt;"BR",ISNUMBER(M237),N(M237)&gt;0),IF(A237="BL","Livré plus que commandé","Sorti plus que demandé"),"OK"))))))))))))</f>
        <v/>
      </c>
      <c r="Y237" s="57" t="str">
        <f>IF(AND(OR(A237="BL",A237="BR",A237="BS"),AG237&gt;0,D237&lt;&gt;""),A237&amp;"|"&amp;AG237&amp;"|"&amp;D237&amp;"|"&amp;F237,"")</f>
        <v/>
      </c>
      <c r="Z237" s="57" t="str">
        <f>IF(Y237="","",IF(COUNTIF(Y$6:Y236,Y237)=0,1,0))</f>
        <v/>
      </c>
      <c r="AA237" s="57" t="str">
        <f>IF(Y237="","",IF(Z237=1,COUNTIFS(A$6:A237,A237,Z$6:Z237,1),INDEX(AA$6:AA236,MATCH(Y237,Y$6:Y236,0))))</f>
        <v/>
      </c>
      <c r="AB237" s="57" t="str">
        <f>IF(B237="","",COUNTIF(B$6:B237,B237))</f>
        <v/>
      </c>
      <c r="AC237" s="57" t="str">
        <f>IF(B237="","",B237&amp;"#"&amp;AB237)</f>
        <v/>
      </c>
      <c r="AD237" s="57" t="str">
        <f>IF(Z237=1,A237&amp;AA237,"")</f>
        <v/>
      </c>
      <c r="AE237" s="57" t="str">
        <f>IF(B237="","",YEAR(C237))</f>
        <v/>
      </c>
      <c r="AF237" s="57" t="str">
        <f>IF(B237="","",MONTH(C237))</f>
        <v/>
      </c>
      <c r="AG237" s="57">
        <f>IF(ISNUMBER(C237),C237,0)</f>
        <v>0.0</v>
      </c>
      <c r="AH237" s="57" t="str">
        <f>IF(N(W237)&gt;0,COUNTIF(W$6:W237,"&gt;0"),"")</f>
        <v/>
      </c>
      <c r="AI237" s="57" t="str">
        <f>IF(Z237=1,COUNTIF(Z$6:Z237,1),"")</f>
        <v/>
      </c>
    </row>
    <row r="238">
      <c r="A238" s="54" t="n"/>
      <c r="B238" s="55" t="str">
        <f>IF(AA238="","",A238&amp;"-"&amp;RIGHT("000"&amp;AA238,4))</f>
        <v/>
      </c>
      <c r="C238" s="56" t="n"/>
      <c r="D238" s="54" t="n"/>
      <c r="E238" s="57" t="str">
        <f>IF(D238="","",IF(A238="BL",IFERROR(INDEX(cl_name,MATCH(D238,cl_code,0))&amp;"","Client inconnu"),IF(A238="BR",IFERROR(INDEX(fo_name,MATCH(D238,fo_code,0))&amp;"","Fournisseur inconnu"),IF(A238="BS",IF(ISNA(MATCH(D238,p_services,0)),"Service inconnu",D238&amp;""),""))))</f>
        <v/>
      </c>
      <c r="F238" s="58" t="n"/>
      <c r="G238" s="58" t="n"/>
      <c r="H238" s="59" t="n"/>
      <c r="I238" s="57" t="str">
        <f>IF(H238="","",IFERROR(INDEX(art_des,MATCH(H238,art_ref,0))&amp;"","Article inconnu"))</f>
        <v/>
      </c>
      <c r="J238" s="60" t="str">
        <f>IF(H238="","",IFERROR(INDEX(art_unit,MATCH(H238,art_ref,0))&amp;"",""))</f>
        <v/>
      </c>
      <c r="K238" s="59" t="n"/>
      <c r="L238" s="59" t="n"/>
      <c r="M238" s="61" t="str">
        <f>IF(OR(B238="",NOT(ISNUMBER(K238)),NOT(ISNUMBER(L238))),"",IF(OR(K238&lt;=0,L238&lt;=0),"",ROUND(L238-K238,6)))</f>
        <v/>
      </c>
      <c r="N238" s="58" t="n"/>
      <c r="O238" s="62" t="n"/>
      <c r="P238" s="63" t="str">
        <f>IF(OR(B238="",NOT(ISNUMBER(L238))),"",IF(L238&lt;=0,"",IFERROR(ROUND(L238*N(INDEX(art_w,MATCH(H238,art_ref,0))),3),"")))</f>
        <v/>
      </c>
      <c r="Q238" s="59" t="n"/>
      <c r="R238" s="54" t="n"/>
      <c r="S238" s="59" t="n"/>
      <c r="T238" s="59" t="n"/>
      <c r="U238" s="64" t="str">
        <f>IF(OR(B238="",H238=""),"",IFERROR(IF(A238="BL",IF(N(INDEX(art_price,MATCH(H238,art_ref,0)))=0,"",N(INDEX(art_price,MATCH(H238,art_ref,0)))),IF(N(INDEX(art_cost,MATCH(H238,art_ref,0)))=0,"",N(INDEX(art_cost,MATCH(H238,art_ref,0))))),""))</f>
        <v/>
      </c>
      <c r="V238" s="64" t="str">
        <f>IF(OR(U238="",NOT(ISNUMBER(L238))),"",IF(L238&lt;=0,"",ROUND(L238*U238,2)))</f>
        <v/>
      </c>
      <c r="W238" s="60" t="str">
        <f>IF(AND(B238&lt;&gt;"",A238&lt;&gt;"BS",F238&lt;&gt;"",H238&lt;&gt;"",ISNUMBER(K238),ISNUMBER(L238)),IF(AND(K238&gt;0,L238&gt;0,K238-L238&gt;0,COUNTIFS(A239:A$2005,A238,F239:F$2005,F238,H239:H$2005,H238,AA239:AA$2005,"&gt;0")=0),ROUND(K238-L238,6),""),"")</f>
        <v/>
      </c>
      <c r="X238" s="60" t="str">
        <f>IF(AND(A238="",C238="",D238="",H238="",L238=""),"",IF(A238="","Type manquant",IF(AND(A238&lt;&gt;"BL",A238&lt;&gt;"BR",A238&lt;&gt;"BS"),"Type inconnu (BL, BR ou BS)",IF(AG238=0,"Date manquante ou invalide",IF(D238="",IF(A238="BL","Client manquant",IF(A238="BR","Fournisseur manquant","Service manquant")),IF(IF(A238="BL",ISNA(MATCH(D238,cl_code,0)),IF(A238="BR",ISNA(MATCH(D238,fo_code,0)),ISNA(MATCH(D238,p_services,0)))),IF(A238="BL","Client inconnu",IF(A238="BR","Fournisseur inconnu","Service inconnu")),IF(H238="","Article manquant",IF(ISNA(MATCH(H238,art_ref,0)),"Article inconnu",IF(OR(NOT(ISNUMBER(L238)),N(L238)&lt;=0),"Quantité invalide",IF(AND(K238&lt;&gt;"",OR(NOT(ISNUMBER(K238)),N(K238)&lt;=0)),"Qté commandée invalide",IF(AG238&lt;SUMPRODUCT(MAX((A$6:A237=A238)*AG$6:AG237)),"Date antérieure au bon précédent",IF(AND(A238&lt;&gt;"BR",ISNUMBER(M238),N(M238)&gt;0),IF(A238="BL","Livré plus que commandé","Sorti plus que demandé"),"OK"))))))))))))</f>
        <v/>
      </c>
      <c r="Y238" s="57" t="str">
        <f>IF(AND(OR(A238="BL",A238="BR",A238="BS"),AG238&gt;0,D238&lt;&gt;""),A238&amp;"|"&amp;AG238&amp;"|"&amp;D238&amp;"|"&amp;F238,"")</f>
        <v/>
      </c>
      <c r="Z238" s="57" t="str">
        <f>IF(Y238="","",IF(COUNTIF(Y$6:Y237,Y238)=0,1,0))</f>
        <v/>
      </c>
      <c r="AA238" s="57" t="str">
        <f>IF(Y238="","",IF(Z238=1,COUNTIFS(A$6:A238,A238,Z$6:Z238,1),INDEX(AA$6:AA237,MATCH(Y238,Y$6:Y237,0))))</f>
        <v/>
      </c>
      <c r="AB238" s="57" t="str">
        <f>IF(B238="","",COUNTIF(B$6:B238,B238))</f>
        <v/>
      </c>
      <c r="AC238" s="57" t="str">
        <f>IF(B238="","",B238&amp;"#"&amp;AB238)</f>
        <v/>
      </c>
      <c r="AD238" s="57" t="str">
        <f>IF(Z238=1,A238&amp;AA238,"")</f>
        <v/>
      </c>
      <c r="AE238" s="57" t="str">
        <f>IF(B238="","",YEAR(C238))</f>
        <v/>
      </c>
      <c r="AF238" s="57" t="str">
        <f>IF(B238="","",MONTH(C238))</f>
        <v/>
      </c>
      <c r="AG238" s="57">
        <f>IF(ISNUMBER(C238),C238,0)</f>
        <v>0.0</v>
      </c>
      <c r="AH238" s="57" t="str">
        <f>IF(N(W238)&gt;0,COUNTIF(W$6:W238,"&gt;0"),"")</f>
        <v/>
      </c>
      <c r="AI238" s="57" t="str">
        <f>IF(Z238=1,COUNTIF(Z$6:Z238,1),"")</f>
        <v/>
      </c>
    </row>
    <row r="239">
      <c r="A239" s="54" t="n"/>
      <c r="B239" s="55" t="str">
        <f>IF(AA239="","",A239&amp;"-"&amp;RIGHT("000"&amp;AA239,4))</f>
        <v/>
      </c>
      <c r="C239" s="56" t="n"/>
      <c r="D239" s="54" t="n"/>
      <c r="E239" s="57" t="str">
        <f>IF(D239="","",IF(A239="BL",IFERROR(INDEX(cl_name,MATCH(D239,cl_code,0))&amp;"","Client inconnu"),IF(A239="BR",IFERROR(INDEX(fo_name,MATCH(D239,fo_code,0))&amp;"","Fournisseur inconnu"),IF(A239="BS",IF(ISNA(MATCH(D239,p_services,0)),"Service inconnu",D239&amp;""),""))))</f>
        <v/>
      </c>
      <c r="F239" s="58" t="n"/>
      <c r="G239" s="58" t="n"/>
      <c r="H239" s="59" t="n"/>
      <c r="I239" s="57" t="str">
        <f>IF(H239="","",IFERROR(INDEX(art_des,MATCH(H239,art_ref,0))&amp;"","Article inconnu"))</f>
        <v/>
      </c>
      <c r="J239" s="60" t="str">
        <f>IF(H239="","",IFERROR(INDEX(art_unit,MATCH(H239,art_ref,0))&amp;"",""))</f>
        <v/>
      </c>
      <c r="K239" s="59" t="n"/>
      <c r="L239" s="59" t="n"/>
      <c r="M239" s="61" t="str">
        <f>IF(OR(B239="",NOT(ISNUMBER(K239)),NOT(ISNUMBER(L239))),"",IF(OR(K239&lt;=0,L239&lt;=0),"",ROUND(L239-K239,6)))</f>
        <v/>
      </c>
      <c r="N239" s="58" t="n"/>
      <c r="O239" s="62" t="n"/>
      <c r="P239" s="63" t="str">
        <f>IF(OR(B239="",NOT(ISNUMBER(L239))),"",IF(L239&lt;=0,"",IFERROR(ROUND(L239*N(INDEX(art_w,MATCH(H239,art_ref,0))),3),"")))</f>
        <v/>
      </c>
      <c r="Q239" s="59" t="n"/>
      <c r="R239" s="54" t="n"/>
      <c r="S239" s="59" t="n"/>
      <c r="T239" s="59" t="n"/>
      <c r="U239" s="64" t="str">
        <f>IF(OR(B239="",H239=""),"",IFERROR(IF(A239="BL",IF(N(INDEX(art_price,MATCH(H239,art_ref,0)))=0,"",N(INDEX(art_price,MATCH(H239,art_ref,0)))),IF(N(INDEX(art_cost,MATCH(H239,art_ref,0)))=0,"",N(INDEX(art_cost,MATCH(H239,art_ref,0))))),""))</f>
        <v/>
      </c>
      <c r="V239" s="64" t="str">
        <f>IF(OR(U239="",NOT(ISNUMBER(L239))),"",IF(L239&lt;=0,"",ROUND(L239*U239,2)))</f>
        <v/>
      </c>
      <c r="W239" s="60" t="str">
        <f>IF(AND(B239&lt;&gt;"",A239&lt;&gt;"BS",F239&lt;&gt;"",H239&lt;&gt;"",ISNUMBER(K239),ISNUMBER(L239)),IF(AND(K239&gt;0,L239&gt;0,K239-L239&gt;0,COUNTIFS(A240:A$2005,A239,F240:F$2005,F239,H240:H$2005,H239,AA240:AA$2005,"&gt;0")=0),ROUND(K239-L239,6),""),"")</f>
        <v/>
      </c>
      <c r="X239" s="60" t="str">
        <f>IF(AND(A239="",C239="",D239="",H239="",L239=""),"",IF(A239="","Type manquant",IF(AND(A239&lt;&gt;"BL",A239&lt;&gt;"BR",A239&lt;&gt;"BS"),"Type inconnu (BL, BR ou BS)",IF(AG239=0,"Date manquante ou invalide",IF(D239="",IF(A239="BL","Client manquant",IF(A239="BR","Fournisseur manquant","Service manquant")),IF(IF(A239="BL",ISNA(MATCH(D239,cl_code,0)),IF(A239="BR",ISNA(MATCH(D239,fo_code,0)),ISNA(MATCH(D239,p_services,0)))),IF(A239="BL","Client inconnu",IF(A239="BR","Fournisseur inconnu","Service inconnu")),IF(H239="","Article manquant",IF(ISNA(MATCH(H239,art_ref,0)),"Article inconnu",IF(OR(NOT(ISNUMBER(L239)),N(L239)&lt;=0),"Quantité invalide",IF(AND(K239&lt;&gt;"",OR(NOT(ISNUMBER(K239)),N(K239)&lt;=0)),"Qté commandée invalide",IF(AG239&lt;SUMPRODUCT(MAX((A$6:A238=A239)*AG$6:AG238)),"Date antérieure au bon précédent",IF(AND(A239&lt;&gt;"BR",ISNUMBER(M239),N(M239)&gt;0),IF(A239="BL","Livré plus que commandé","Sorti plus que demandé"),"OK"))))))))))))</f>
        <v/>
      </c>
      <c r="Y239" s="57" t="str">
        <f>IF(AND(OR(A239="BL",A239="BR",A239="BS"),AG239&gt;0,D239&lt;&gt;""),A239&amp;"|"&amp;AG239&amp;"|"&amp;D239&amp;"|"&amp;F239,"")</f>
        <v/>
      </c>
      <c r="Z239" s="57" t="str">
        <f>IF(Y239="","",IF(COUNTIF(Y$6:Y238,Y239)=0,1,0))</f>
        <v/>
      </c>
      <c r="AA239" s="57" t="str">
        <f>IF(Y239="","",IF(Z239=1,COUNTIFS(A$6:A239,A239,Z$6:Z239,1),INDEX(AA$6:AA238,MATCH(Y239,Y$6:Y238,0))))</f>
        <v/>
      </c>
      <c r="AB239" s="57" t="str">
        <f>IF(B239="","",COUNTIF(B$6:B239,B239))</f>
        <v/>
      </c>
      <c r="AC239" s="57" t="str">
        <f>IF(B239="","",B239&amp;"#"&amp;AB239)</f>
        <v/>
      </c>
      <c r="AD239" s="57" t="str">
        <f>IF(Z239=1,A239&amp;AA239,"")</f>
        <v/>
      </c>
      <c r="AE239" s="57" t="str">
        <f>IF(B239="","",YEAR(C239))</f>
        <v/>
      </c>
      <c r="AF239" s="57" t="str">
        <f>IF(B239="","",MONTH(C239))</f>
        <v/>
      </c>
      <c r="AG239" s="57">
        <f>IF(ISNUMBER(C239),C239,0)</f>
        <v>0.0</v>
      </c>
      <c r="AH239" s="57" t="str">
        <f>IF(N(W239)&gt;0,COUNTIF(W$6:W239,"&gt;0"),"")</f>
        <v/>
      </c>
      <c r="AI239" s="57" t="str">
        <f>IF(Z239=1,COUNTIF(Z$6:Z239,1),"")</f>
        <v/>
      </c>
    </row>
    <row r="240">
      <c r="A240" s="54" t="n"/>
      <c r="B240" s="55" t="str">
        <f>IF(AA240="","",A240&amp;"-"&amp;RIGHT("000"&amp;AA240,4))</f>
        <v/>
      </c>
      <c r="C240" s="56" t="n"/>
      <c r="D240" s="54" t="n"/>
      <c r="E240" s="57" t="str">
        <f>IF(D240="","",IF(A240="BL",IFERROR(INDEX(cl_name,MATCH(D240,cl_code,0))&amp;"","Client inconnu"),IF(A240="BR",IFERROR(INDEX(fo_name,MATCH(D240,fo_code,0))&amp;"","Fournisseur inconnu"),IF(A240="BS",IF(ISNA(MATCH(D240,p_services,0)),"Service inconnu",D240&amp;""),""))))</f>
        <v/>
      </c>
      <c r="F240" s="58" t="n"/>
      <c r="G240" s="58" t="n"/>
      <c r="H240" s="59" t="n"/>
      <c r="I240" s="57" t="str">
        <f>IF(H240="","",IFERROR(INDEX(art_des,MATCH(H240,art_ref,0))&amp;"","Article inconnu"))</f>
        <v/>
      </c>
      <c r="J240" s="60" t="str">
        <f>IF(H240="","",IFERROR(INDEX(art_unit,MATCH(H240,art_ref,0))&amp;"",""))</f>
        <v/>
      </c>
      <c r="K240" s="59" t="n"/>
      <c r="L240" s="59" t="n"/>
      <c r="M240" s="61" t="str">
        <f>IF(OR(B240="",NOT(ISNUMBER(K240)),NOT(ISNUMBER(L240))),"",IF(OR(K240&lt;=0,L240&lt;=0),"",ROUND(L240-K240,6)))</f>
        <v/>
      </c>
      <c r="N240" s="58" t="n"/>
      <c r="O240" s="62" t="n"/>
      <c r="P240" s="63" t="str">
        <f>IF(OR(B240="",NOT(ISNUMBER(L240))),"",IF(L240&lt;=0,"",IFERROR(ROUND(L240*N(INDEX(art_w,MATCH(H240,art_ref,0))),3),"")))</f>
        <v/>
      </c>
      <c r="Q240" s="59" t="n"/>
      <c r="R240" s="54" t="n"/>
      <c r="S240" s="59" t="n"/>
      <c r="T240" s="59" t="n"/>
      <c r="U240" s="64" t="str">
        <f>IF(OR(B240="",H240=""),"",IFERROR(IF(A240="BL",IF(N(INDEX(art_price,MATCH(H240,art_ref,0)))=0,"",N(INDEX(art_price,MATCH(H240,art_ref,0)))),IF(N(INDEX(art_cost,MATCH(H240,art_ref,0)))=0,"",N(INDEX(art_cost,MATCH(H240,art_ref,0))))),""))</f>
        <v/>
      </c>
      <c r="V240" s="64" t="str">
        <f>IF(OR(U240="",NOT(ISNUMBER(L240))),"",IF(L240&lt;=0,"",ROUND(L240*U240,2)))</f>
        <v/>
      </c>
      <c r="W240" s="60" t="str">
        <f>IF(AND(B240&lt;&gt;"",A240&lt;&gt;"BS",F240&lt;&gt;"",H240&lt;&gt;"",ISNUMBER(K240),ISNUMBER(L240)),IF(AND(K240&gt;0,L240&gt;0,K240-L240&gt;0,COUNTIFS(A241:A$2005,A240,F241:F$2005,F240,H241:H$2005,H240,AA241:AA$2005,"&gt;0")=0),ROUND(K240-L240,6),""),"")</f>
        <v/>
      </c>
      <c r="X240" s="60" t="str">
        <f>IF(AND(A240="",C240="",D240="",H240="",L240=""),"",IF(A240="","Type manquant",IF(AND(A240&lt;&gt;"BL",A240&lt;&gt;"BR",A240&lt;&gt;"BS"),"Type inconnu (BL, BR ou BS)",IF(AG240=0,"Date manquante ou invalide",IF(D240="",IF(A240="BL","Client manquant",IF(A240="BR","Fournisseur manquant","Service manquant")),IF(IF(A240="BL",ISNA(MATCH(D240,cl_code,0)),IF(A240="BR",ISNA(MATCH(D240,fo_code,0)),ISNA(MATCH(D240,p_services,0)))),IF(A240="BL","Client inconnu",IF(A240="BR","Fournisseur inconnu","Service inconnu")),IF(H240="","Article manquant",IF(ISNA(MATCH(H240,art_ref,0)),"Article inconnu",IF(OR(NOT(ISNUMBER(L240)),N(L240)&lt;=0),"Quantité invalide",IF(AND(K240&lt;&gt;"",OR(NOT(ISNUMBER(K240)),N(K240)&lt;=0)),"Qté commandée invalide",IF(AG240&lt;SUMPRODUCT(MAX((A$6:A239=A240)*AG$6:AG239)),"Date antérieure au bon précédent",IF(AND(A240&lt;&gt;"BR",ISNUMBER(M240),N(M240)&gt;0),IF(A240="BL","Livré plus que commandé","Sorti plus que demandé"),"OK"))))))))))))</f>
        <v/>
      </c>
      <c r="Y240" s="57" t="str">
        <f>IF(AND(OR(A240="BL",A240="BR",A240="BS"),AG240&gt;0,D240&lt;&gt;""),A240&amp;"|"&amp;AG240&amp;"|"&amp;D240&amp;"|"&amp;F240,"")</f>
        <v/>
      </c>
      <c r="Z240" s="57" t="str">
        <f>IF(Y240="","",IF(COUNTIF(Y$6:Y239,Y240)=0,1,0))</f>
        <v/>
      </c>
      <c r="AA240" s="57" t="str">
        <f>IF(Y240="","",IF(Z240=1,COUNTIFS(A$6:A240,A240,Z$6:Z240,1),INDEX(AA$6:AA239,MATCH(Y240,Y$6:Y239,0))))</f>
        <v/>
      </c>
      <c r="AB240" s="57" t="str">
        <f>IF(B240="","",COUNTIF(B$6:B240,B240))</f>
        <v/>
      </c>
      <c r="AC240" s="57" t="str">
        <f>IF(B240="","",B240&amp;"#"&amp;AB240)</f>
        <v/>
      </c>
      <c r="AD240" s="57" t="str">
        <f>IF(Z240=1,A240&amp;AA240,"")</f>
        <v/>
      </c>
      <c r="AE240" s="57" t="str">
        <f>IF(B240="","",YEAR(C240))</f>
        <v/>
      </c>
      <c r="AF240" s="57" t="str">
        <f>IF(B240="","",MONTH(C240))</f>
        <v/>
      </c>
      <c r="AG240" s="57">
        <f>IF(ISNUMBER(C240),C240,0)</f>
        <v>0.0</v>
      </c>
      <c r="AH240" s="57" t="str">
        <f>IF(N(W240)&gt;0,COUNTIF(W$6:W240,"&gt;0"),"")</f>
        <v/>
      </c>
      <c r="AI240" s="57" t="str">
        <f>IF(Z240=1,COUNTIF(Z$6:Z240,1),"")</f>
        <v/>
      </c>
    </row>
    <row r="241">
      <c r="A241" s="54" t="n"/>
      <c r="B241" s="55" t="str">
        <f>IF(AA241="","",A241&amp;"-"&amp;RIGHT("000"&amp;AA241,4))</f>
        <v/>
      </c>
      <c r="C241" s="56" t="n"/>
      <c r="D241" s="54" t="n"/>
      <c r="E241" s="57" t="str">
        <f>IF(D241="","",IF(A241="BL",IFERROR(INDEX(cl_name,MATCH(D241,cl_code,0))&amp;"","Client inconnu"),IF(A241="BR",IFERROR(INDEX(fo_name,MATCH(D241,fo_code,0))&amp;"","Fournisseur inconnu"),IF(A241="BS",IF(ISNA(MATCH(D241,p_services,0)),"Service inconnu",D241&amp;""),""))))</f>
        <v/>
      </c>
      <c r="F241" s="58" t="n"/>
      <c r="G241" s="58" t="n"/>
      <c r="H241" s="59" t="n"/>
      <c r="I241" s="57" t="str">
        <f>IF(H241="","",IFERROR(INDEX(art_des,MATCH(H241,art_ref,0))&amp;"","Article inconnu"))</f>
        <v/>
      </c>
      <c r="J241" s="60" t="str">
        <f>IF(H241="","",IFERROR(INDEX(art_unit,MATCH(H241,art_ref,0))&amp;"",""))</f>
        <v/>
      </c>
      <c r="K241" s="59" t="n"/>
      <c r="L241" s="59" t="n"/>
      <c r="M241" s="61" t="str">
        <f>IF(OR(B241="",NOT(ISNUMBER(K241)),NOT(ISNUMBER(L241))),"",IF(OR(K241&lt;=0,L241&lt;=0),"",ROUND(L241-K241,6)))</f>
        <v/>
      </c>
      <c r="N241" s="58" t="n"/>
      <c r="O241" s="62" t="n"/>
      <c r="P241" s="63" t="str">
        <f>IF(OR(B241="",NOT(ISNUMBER(L241))),"",IF(L241&lt;=0,"",IFERROR(ROUND(L241*N(INDEX(art_w,MATCH(H241,art_ref,0))),3),"")))</f>
        <v/>
      </c>
      <c r="Q241" s="59" t="n"/>
      <c r="R241" s="54" t="n"/>
      <c r="S241" s="59" t="n"/>
      <c r="T241" s="59" t="n"/>
      <c r="U241" s="64" t="str">
        <f>IF(OR(B241="",H241=""),"",IFERROR(IF(A241="BL",IF(N(INDEX(art_price,MATCH(H241,art_ref,0)))=0,"",N(INDEX(art_price,MATCH(H241,art_ref,0)))),IF(N(INDEX(art_cost,MATCH(H241,art_ref,0)))=0,"",N(INDEX(art_cost,MATCH(H241,art_ref,0))))),""))</f>
        <v/>
      </c>
      <c r="V241" s="64" t="str">
        <f>IF(OR(U241="",NOT(ISNUMBER(L241))),"",IF(L241&lt;=0,"",ROUND(L241*U241,2)))</f>
        <v/>
      </c>
      <c r="W241" s="60" t="str">
        <f>IF(AND(B241&lt;&gt;"",A241&lt;&gt;"BS",F241&lt;&gt;"",H241&lt;&gt;"",ISNUMBER(K241),ISNUMBER(L241)),IF(AND(K241&gt;0,L241&gt;0,K241-L241&gt;0,COUNTIFS(A242:A$2005,A241,F242:F$2005,F241,H242:H$2005,H241,AA242:AA$2005,"&gt;0")=0),ROUND(K241-L241,6),""),"")</f>
        <v/>
      </c>
      <c r="X241" s="60" t="str">
        <f>IF(AND(A241="",C241="",D241="",H241="",L241=""),"",IF(A241="","Type manquant",IF(AND(A241&lt;&gt;"BL",A241&lt;&gt;"BR",A241&lt;&gt;"BS"),"Type inconnu (BL, BR ou BS)",IF(AG241=0,"Date manquante ou invalide",IF(D241="",IF(A241="BL","Client manquant",IF(A241="BR","Fournisseur manquant","Service manquant")),IF(IF(A241="BL",ISNA(MATCH(D241,cl_code,0)),IF(A241="BR",ISNA(MATCH(D241,fo_code,0)),ISNA(MATCH(D241,p_services,0)))),IF(A241="BL","Client inconnu",IF(A241="BR","Fournisseur inconnu","Service inconnu")),IF(H241="","Article manquant",IF(ISNA(MATCH(H241,art_ref,0)),"Article inconnu",IF(OR(NOT(ISNUMBER(L241)),N(L241)&lt;=0),"Quantité invalide",IF(AND(K241&lt;&gt;"",OR(NOT(ISNUMBER(K241)),N(K241)&lt;=0)),"Qté commandée invalide",IF(AG241&lt;SUMPRODUCT(MAX((A$6:A240=A241)*AG$6:AG240)),"Date antérieure au bon précédent",IF(AND(A241&lt;&gt;"BR",ISNUMBER(M241),N(M241)&gt;0),IF(A241="BL","Livré plus que commandé","Sorti plus que demandé"),"OK"))))))))))))</f>
        <v/>
      </c>
      <c r="Y241" s="57" t="str">
        <f>IF(AND(OR(A241="BL",A241="BR",A241="BS"),AG241&gt;0,D241&lt;&gt;""),A241&amp;"|"&amp;AG241&amp;"|"&amp;D241&amp;"|"&amp;F241,"")</f>
        <v/>
      </c>
      <c r="Z241" s="57" t="str">
        <f>IF(Y241="","",IF(COUNTIF(Y$6:Y240,Y241)=0,1,0))</f>
        <v/>
      </c>
      <c r="AA241" s="57" t="str">
        <f>IF(Y241="","",IF(Z241=1,COUNTIFS(A$6:A241,A241,Z$6:Z241,1),INDEX(AA$6:AA240,MATCH(Y241,Y$6:Y240,0))))</f>
        <v/>
      </c>
      <c r="AB241" s="57" t="str">
        <f>IF(B241="","",COUNTIF(B$6:B241,B241))</f>
        <v/>
      </c>
      <c r="AC241" s="57" t="str">
        <f>IF(B241="","",B241&amp;"#"&amp;AB241)</f>
        <v/>
      </c>
      <c r="AD241" s="57" t="str">
        <f>IF(Z241=1,A241&amp;AA241,"")</f>
        <v/>
      </c>
      <c r="AE241" s="57" t="str">
        <f>IF(B241="","",YEAR(C241))</f>
        <v/>
      </c>
      <c r="AF241" s="57" t="str">
        <f>IF(B241="","",MONTH(C241))</f>
        <v/>
      </c>
      <c r="AG241" s="57">
        <f>IF(ISNUMBER(C241),C241,0)</f>
        <v>0.0</v>
      </c>
      <c r="AH241" s="57" t="str">
        <f>IF(N(W241)&gt;0,COUNTIF(W$6:W241,"&gt;0"),"")</f>
        <v/>
      </c>
      <c r="AI241" s="57" t="str">
        <f>IF(Z241=1,COUNTIF(Z$6:Z241,1),"")</f>
        <v/>
      </c>
    </row>
    <row r="242">
      <c r="A242" s="54" t="n"/>
      <c r="B242" s="55" t="str">
        <f>IF(AA242="","",A242&amp;"-"&amp;RIGHT("000"&amp;AA242,4))</f>
        <v/>
      </c>
      <c r="C242" s="56" t="n"/>
      <c r="D242" s="54" t="n"/>
      <c r="E242" s="57" t="str">
        <f>IF(D242="","",IF(A242="BL",IFERROR(INDEX(cl_name,MATCH(D242,cl_code,0))&amp;"","Client inconnu"),IF(A242="BR",IFERROR(INDEX(fo_name,MATCH(D242,fo_code,0))&amp;"","Fournisseur inconnu"),IF(A242="BS",IF(ISNA(MATCH(D242,p_services,0)),"Service inconnu",D242&amp;""),""))))</f>
        <v/>
      </c>
      <c r="F242" s="58" t="n"/>
      <c r="G242" s="58" t="n"/>
      <c r="H242" s="59" t="n"/>
      <c r="I242" s="57" t="str">
        <f>IF(H242="","",IFERROR(INDEX(art_des,MATCH(H242,art_ref,0))&amp;"","Article inconnu"))</f>
        <v/>
      </c>
      <c r="J242" s="60" t="str">
        <f>IF(H242="","",IFERROR(INDEX(art_unit,MATCH(H242,art_ref,0))&amp;"",""))</f>
        <v/>
      </c>
      <c r="K242" s="59" t="n"/>
      <c r="L242" s="59" t="n"/>
      <c r="M242" s="61" t="str">
        <f>IF(OR(B242="",NOT(ISNUMBER(K242)),NOT(ISNUMBER(L242))),"",IF(OR(K242&lt;=0,L242&lt;=0),"",ROUND(L242-K242,6)))</f>
        <v/>
      </c>
      <c r="N242" s="58" t="n"/>
      <c r="O242" s="62" t="n"/>
      <c r="P242" s="63" t="str">
        <f>IF(OR(B242="",NOT(ISNUMBER(L242))),"",IF(L242&lt;=0,"",IFERROR(ROUND(L242*N(INDEX(art_w,MATCH(H242,art_ref,0))),3),"")))</f>
        <v/>
      </c>
      <c r="Q242" s="59" t="n"/>
      <c r="R242" s="54" t="n"/>
      <c r="S242" s="59" t="n"/>
      <c r="T242" s="59" t="n"/>
      <c r="U242" s="64" t="str">
        <f>IF(OR(B242="",H242=""),"",IFERROR(IF(A242="BL",IF(N(INDEX(art_price,MATCH(H242,art_ref,0)))=0,"",N(INDEX(art_price,MATCH(H242,art_ref,0)))),IF(N(INDEX(art_cost,MATCH(H242,art_ref,0)))=0,"",N(INDEX(art_cost,MATCH(H242,art_ref,0))))),""))</f>
        <v/>
      </c>
      <c r="V242" s="64" t="str">
        <f>IF(OR(U242="",NOT(ISNUMBER(L242))),"",IF(L242&lt;=0,"",ROUND(L242*U242,2)))</f>
        <v/>
      </c>
      <c r="W242" s="60" t="str">
        <f>IF(AND(B242&lt;&gt;"",A242&lt;&gt;"BS",F242&lt;&gt;"",H242&lt;&gt;"",ISNUMBER(K242),ISNUMBER(L242)),IF(AND(K242&gt;0,L242&gt;0,K242-L242&gt;0,COUNTIFS(A243:A$2005,A242,F243:F$2005,F242,H243:H$2005,H242,AA243:AA$2005,"&gt;0")=0),ROUND(K242-L242,6),""),"")</f>
        <v/>
      </c>
      <c r="X242" s="60" t="str">
        <f>IF(AND(A242="",C242="",D242="",H242="",L242=""),"",IF(A242="","Type manquant",IF(AND(A242&lt;&gt;"BL",A242&lt;&gt;"BR",A242&lt;&gt;"BS"),"Type inconnu (BL, BR ou BS)",IF(AG242=0,"Date manquante ou invalide",IF(D242="",IF(A242="BL","Client manquant",IF(A242="BR","Fournisseur manquant","Service manquant")),IF(IF(A242="BL",ISNA(MATCH(D242,cl_code,0)),IF(A242="BR",ISNA(MATCH(D242,fo_code,0)),ISNA(MATCH(D242,p_services,0)))),IF(A242="BL","Client inconnu",IF(A242="BR","Fournisseur inconnu","Service inconnu")),IF(H242="","Article manquant",IF(ISNA(MATCH(H242,art_ref,0)),"Article inconnu",IF(OR(NOT(ISNUMBER(L242)),N(L242)&lt;=0),"Quantité invalide",IF(AND(K242&lt;&gt;"",OR(NOT(ISNUMBER(K242)),N(K242)&lt;=0)),"Qté commandée invalide",IF(AG242&lt;SUMPRODUCT(MAX((A$6:A241=A242)*AG$6:AG241)),"Date antérieure au bon précédent",IF(AND(A242&lt;&gt;"BR",ISNUMBER(M242),N(M242)&gt;0),IF(A242="BL","Livré plus que commandé","Sorti plus que demandé"),"OK"))))))))))))</f>
        <v/>
      </c>
      <c r="Y242" s="57" t="str">
        <f>IF(AND(OR(A242="BL",A242="BR",A242="BS"),AG242&gt;0,D242&lt;&gt;""),A242&amp;"|"&amp;AG242&amp;"|"&amp;D242&amp;"|"&amp;F242,"")</f>
        <v/>
      </c>
      <c r="Z242" s="57" t="str">
        <f>IF(Y242="","",IF(COUNTIF(Y$6:Y241,Y242)=0,1,0))</f>
        <v/>
      </c>
      <c r="AA242" s="57" t="str">
        <f>IF(Y242="","",IF(Z242=1,COUNTIFS(A$6:A242,A242,Z$6:Z242,1),INDEX(AA$6:AA241,MATCH(Y242,Y$6:Y241,0))))</f>
        <v/>
      </c>
      <c r="AB242" s="57" t="str">
        <f>IF(B242="","",COUNTIF(B$6:B242,B242))</f>
        <v/>
      </c>
      <c r="AC242" s="57" t="str">
        <f>IF(B242="","",B242&amp;"#"&amp;AB242)</f>
        <v/>
      </c>
      <c r="AD242" s="57" t="str">
        <f>IF(Z242=1,A242&amp;AA242,"")</f>
        <v/>
      </c>
      <c r="AE242" s="57" t="str">
        <f>IF(B242="","",YEAR(C242))</f>
        <v/>
      </c>
      <c r="AF242" s="57" t="str">
        <f>IF(B242="","",MONTH(C242))</f>
        <v/>
      </c>
      <c r="AG242" s="57">
        <f>IF(ISNUMBER(C242),C242,0)</f>
        <v>0.0</v>
      </c>
      <c r="AH242" s="57" t="str">
        <f>IF(N(W242)&gt;0,COUNTIF(W$6:W242,"&gt;0"),"")</f>
        <v/>
      </c>
      <c r="AI242" s="57" t="str">
        <f>IF(Z242=1,COUNTIF(Z$6:Z242,1),"")</f>
        <v/>
      </c>
    </row>
    <row r="243">
      <c r="A243" s="54" t="n"/>
      <c r="B243" s="55" t="str">
        <f>IF(AA243="","",A243&amp;"-"&amp;RIGHT("000"&amp;AA243,4))</f>
        <v/>
      </c>
      <c r="C243" s="56" t="n"/>
      <c r="D243" s="54" t="n"/>
      <c r="E243" s="57" t="str">
        <f>IF(D243="","",IF(A243="BL",IFERROR(INDEX(cl_name,MATCH(D243,cl_code,0))&amp;"","Client inconnu"),IF(A243="BR",IFERROR(INDEX(fo_name,MATCH(D243,fo_code,0))&amp;"","Fournisseur inconnu"),IF(A243="BS",IF(ISNA(MATCH(D243,p_services,0)),"Service inconnu",D243&amp;""),""))))</f>
        <v/>
      </c>
      <c r="F243" s="58" t="n"/>
      <c r="G243" s="58" t="n"/>
      <c r="H243" s="59" t="n"/>
      <c r="I243" s="57" t="str">
        <f>IF(H243="","",IFERROR(INDEX(art_des,MATCH(H243,art_ref,0))&amp;"","Article inconnu"))</f>
        <v/>
      </c>
      <c r="J243" s="60" t="str">
        <f>IF(H243="","",IFERROR(INDEX(art_unit,MATCH(H243,art_ref,0))&amp;"",""))</f>
        <v/>
      </c>
      <c r="K243" s="59" t="n"/>
      <c r="L243" s="59" t="n"/>
      <c r="M243" s="61" t="str">
        <f>IF(OR(B243="",NOT(ISNUMBER(K243)),NOT(ISNUMBER(L243))),"",IF(OR(K243&lt;=0,L243&lt;=0),"",ROUND(L243-K243,6)))</f>
        <v/>
      </c>
      <c r="N243" s="58" t="n"/>
      <c r="O243" s="62" t="n"/>
      <c r="P243" s="63" t="str">
        <f>IF(OR(B243="",NOT(ISNUMBER(L243))),"",IF(L243&lt;=0,"",IFERROR(ROUND(L243*N(INDEX(art_w,MATCH(H243,art_ref,0))),3),"")))</f>
        <v/>
      </c>
      <c r="Q243" s="59" t="n"/>
      <c r="R243" s="54" t="n"/>
      <c r="S243" s="59" t="n"/>
      <c r="T243" s="59" t="n"/>
      <c r="U243" s="64" t="str">
        <f>IF(OR(B243="",H243=""),"",IFERROR(IF(A243="BL",IF(N(INDEX(art_price,MATCH(H243,art_ref,0)))=0,"",N(INDEX(art_price,MATCH(H243,art_ref,0)))),IF(N(INDEX(art_cost,MATCH(H243,art_ref,0)))=0,"",N(INDEX(art_cost,MATCH(H243,art_ref,0))))),""))</f>
        <v/>
      </c>
      <c r="V243" s="64" t="str">
        <f>IF(OR(U243="",NOT(ISNUMBER(L243))),"",IF(L243&lt;=0,"",ROUND(L243*U243,2)))</f>
        <v/>
      </c>
      <c r="W243" s="60" t="str">
        <f>IF(AND(B243&lt;&gt;"",A243&lt;&gt;"BS",F243&lt;&gt;"",H243&lt;&gt;"",ISNUMBER(K243),ISNUMBER(L243)),IF(AND(K243&gt;0,L243&gt;0,K243-L243&gt;0,COUNTIFS(A244:A$2005,A243,F244:F$2005,F243,H244:H$2005,H243,AA244:AA$2005,"&gt;0")=0),ROUND(K243-L243,6),""),"")</f>
        <v/>
      </c>
      <c r="X243" s="60" t="str">
        <f>IF(AND(A243="",C243="",D243="",H243="",L243=""),"",IF(A243="","Type manquant",IF(AND(A243&lt;&gt;"BL",A243&lt;&gt;"BR",A243&lt;&gt;"BS"),"Type inconnu (BL, BR ou BS)",IF(AG243=0,"Date manquante ou invalide",IF(D243="",IF(A243="BL","Client manquant",IF(A243="BR","Fournisseur manquant","Service manquant")),IF(IF(A243="BL",ISNA(MATCH(D243,cl_code,0)),IF(A243="BR",ISNA(MATCH(D243,fo_code,0)),ISNA(MATCH(D243,p_services,0)))),IF(A243="BL","Client inconnu",IF(A243="BR","Fournisseur inconnu","Service inconnu")),IF(H243="","Article manquant",IF(ISNA(MATCH(H243,art_ref,0)),"Article inconnu",IF(OR(NOT(ISNUMBER(L243)),N(L243)&lt;=0),"Quantité invalide",IF(AND(K243&lt;&gt;"",OR(NOT(ISNUMBER(K243)),N(K243)&lt;=0)),"Qté commandée invalide",IF(AG243&lt;SUMPRODUCT(MAX((A$6:A242=A243)*AG$6:AG242)),"Date antérieure au bon précédent",IF(AND(A243&lt;&gt;"BR",ISNUMBER(M243),N(M243)&gt;0),IF(A243="BL","Livré plus que commandé","Sorti plus que demandé"),"OK"))))))))))))</f>
        <v/>
      </c>
      <c r="Y243" s="57" t="str">
        <f>IF(AND(OR(A243="BL",A243="BR",A243="BS"),AG243&gt;0,D243&lt;&gt;""),A243&amp;"|"&amp;AG243&amp;"|"&amp;D243&amp;"|"&amp;F243,"")</f>
        <v/>
      </c>
      <c r="Z243" s="57" t="str">
        <f>IF(Y243="","",IF(COUNTIF(Y$6:Y242,Y243)=0,1,0))</f>
        <v/>
      </c>
      <c r="AA243" s="57" t="str">
        <f>IF(Y243="","",IF(Z243=1,COUNTIFS(A$6:A243,A243,Z$6:Z243,1),INDEX(AA$6:AA242,MATCH(Y243,Y$6:Y242,0))))</f>
        <v/>
      </c>
      <c r="AB243" s="57" t="str">
        <f>IF(B243="","",COUNTIF(B$6:B243,B243))</f>
        <v/>
      </c>
      <c r="AC243" s="57" t="str">
        <f>IF(B243="","",B243&amp;"#"&amp;AB243)</f>
        <v/>
      </c>
      <c r="AD243" s="57" t="str">
        <f>IF(Z243=1,A243&amp;AA243,"")</f>
        <v/>
      </c>
      <c r="AE243" s="57" t="str">
        <f>IF(B243="","",YEAR(C243))</f>
        <v/>
      </c>
      <c r="AF243" s="57" t="str">
        <f>IF(B243="","",MONTH(C243))</f>
        <v/>
      </c>
      <c r="AG243" s="57">
        <f>IF(ISNUMBER(C243),C243,0)</f>
        <v>0.0</v>
      </c>
      <c r="AH243" s="57" t="str">
        <f>IF(N(W243)&gt;0,COUNTIF(W$6:W243,"&gt;0"),"")</f>
        <v/>
      </c>
      <c r="AI243" s="57" t="str">
        <f>IF(Z243=1,COUNTIF(Z$6:Z243,1),"")</f>
        <v/>
      </c>
    </row>
    <row r="244">
      <c r="A244" s="54" t="n"/>
      <c r="B244" s="55" t="str">
        <f>IF(AA244="","",A244&amp;"-"&amp;RIGHT("000"&amp;AA244,4))</f>
        <v/>
      </c>
      <c r="C244" s="56" t="n"/>
      <c r="D244" s="54" t="n"/>
      <c r="E244" s="57" t="str">
        <f>IF(D244="","",IF(A244="BL",IFERROR(INDEX(cl_name,MATCH(D244,cl_code,0))&amp;"","Client inconnu"),IF(A244="BR",IFERROR(INDEX(fo_name,MATCH(D244,fo_code,0))&amp;"","Fournisseur inconnu"),IF(A244="BS",IF(ISNA(MATCH(D244,p_services,0)),"Service inconnu",D244&amp;""),""))))</f>
        <v/>
      </c>
      <c r="F244" s="58" t="n"/>
      <c r="G244" s="58" t="n"/>
      <c r="H244" s="59" t="n"/>
      <c r="I244" s="57" t="str">
        <f>IF(H244="","",IFERROR(INDEX(art_des,MATCH(H244,art_ref,0))&amp;"","Article inconnu"))</f>
        <v/>
      </c>
      <c r="J244" s="60" t="str">
        <f>IF(H244="","",IFERROR(INDEX(art_unit,MATCH(H244,art_ref,0))&amp;"",""))</f>
        <v/>
      </c>
      <c r="K244" s="59" t="n"/>
      <c r="L244" s="59" t="n"/>
      <c r="M244" s="61" t="str">
        <f>IF(OR(B244="",NOT(ISNUMBER(K244)),NOT(ISNUMBER(L244))),"",IF(OR(K244&lt;=0,L244&lt;=0),"",ROUND(L244-K244,6)))</f>
        <v/>
      </c>
      <c r="N244" s="58" t="n"/>
      <c r="O244" s="62" t="n"/>
      <c r="P244" s="63" t="str">
        <f>IF(OR(B244="",NOT(ISNUMBER(L244))),"",IF(L244&lt;=0,"",IFERROR(ROUND(L244*N(INDEX(art_w,MATCH(H244,art_ref,0))),3),"")))</f>
        <v/>
      </c>
      <c r="Q244" s="59" t="n"/>
      <c r="R244" s="54" t="n"/>
      <c r="S244" s="59" t="n"/>
      <c r="T244" s="59" t="n"/>
      <c r="U244" s="64" t="str">
        <f>IF(OR(B244="",H244=""),"",IFERROR(IF(A244="BL",IF(N(INDEX(art_price,MATCH(H244,art_ref,0)))=0,"",N(INDEX(art_price,MATCH(H244,art_ref,0)))),IF(N(INDEX(art_cost,MATCH(H244,art_ref,0)))=0,"",N(INDEX(art_cost,MATCH(H244,art_ref,0))))),""))</f>
        <v/>
      </c>
      <c r="V244" s="64" t="str">
        <f>IF(OR(U244="",NOT(ISNUMBER(L244))),"",IF(L244&lt;=0,"",ROUND(L244*U244,2)))</f>
        <v/>
      </c>
      <c r="W244" s="60" t="str">
        <f>IF(AND(B244&lt;&gt;"",A244&lt;&gt;"BS",F244&lt;&gt;"",H244&lt;&gt;"",ISNUMBER(K244),ISNUMBER(L244)),IF(AND(K244&gt;0,L244&gt;0,K244-L244&gt;0,COUNTIFS(A245:A$2005,A244,F245:F$2005,F244,H245:H$2005,H244,AA245:AA$2005,"&gt;0")=0),ROUND(K244-L244,6),""),"")</f>
        <v/>
      </c>
      <c r="X244" s="60" t="str">
        <f>IF(AND(A244="",C244="",D244="",H244="",L244=""),"",IF(A244="","Type manquant",IF(AND(A244&lt;&gt;"BL",A244&lt;&gt;"BR",A244&lt;&gt;"BS"),"Type inconnu (BL, BR ou BS)",IF(AG244=0,"Date manquante ou invalide",IF(D244="",IF(A244="BL","Client manquant",IF(A244="BR","Fournisseur manquant","Service manquant")),IF(IF(A244="BL",ISNA(MATCH(D244,cl_code,0)),IF(A244="BR",ISNA(MATCH(D244,fo_code,0)),ISNA(MATCH(D244,p_services,0)))),IF(A244="BL","Client inconnu",IF(A244="BR","Fournisseur inconnu","Service inconnu")),IF(H244="","Article manquant",IF(ISNA(MATCH(H244,art_ref,0)),"Article inconnu",IF(OR(NOT(ISNUMBER(L244)),N(L244)&lt;=0),"Quantité invalide",IF(AND(K244&lt;&gt;"",OR(NOT(ISNUMBER(K244)),N(K244)&lt;=0)),"Qté commandée invalide",IF(AG244&lt;SUMPRODUCT(MAX((A$6:A243=A244)*AG$6:AG243)),"Date antérieure au bon précédent",IF(AND(A244&lt;&gt;"BR",ISNUMBER(M244),N(M244)&gt;0),IF(A244="BL","Livré plus que commandé","Sorti plus que demandé"),"OK"))))))))))))</f>
        <v/>
      </c>
      <c r="Y244" s="57" t="str">
        <f>IF(AND(OR(A244="BL",A244="BR",A244="BS"),AG244&gt;0,D244&lt;&gt;""),A244&amp;"|"&amp;AG244&amp;"|"&amp;D244&amp;"|"&amp;F244,"")</f>
        <v/>
      </c>
      <c r="Z244" s="57" t="str">
        <f>IF(Y244="","",IF(COUNTIF(Y$6:Y243,Y244)=0,1,0))</f>
        <v/>
      </c>
      <c r="AA244" s="57" t="str">
        <f>IF(Y244="","",IF(Z244=1,COUNTIFS(A$6:A244,A244,Z$6:Z244,1),INDEX(AA$6:AA243,MATCH(Y244,Y$6:Y243,0))))</f>
        <v/>
      </c>
      <c r="AB244" s="57" t="str">
        <f>IF(B244="","",COUNTIF(B$6:B244,B244))</f>
        <v/>
      </c>
      <c r="AC244" s="57" t="str">
        <f>IF(B244="","",B244&amp;"#"&amp;AB244)</f>
        <v/>
      </c>
      <c r="AD244" s="57" t="str">
        <f>IF(Z244=1,A244&amp;AA244,"")</f>
        <v/>
      </c>
      <c r="AE244" s="57" t="str">
        <f>IF(B244="","",YEAR(C244))</f>
        <v/>
      </c>
      <c r="AF244" s="57" t="str">
        <f>IF(B244="","",MONTH(C244))</f>
        <v/>
      </c>
      <c r="AG244" s="57">
        <f>IF(ISNUMBER(C244),C244,0)</f>
        <v>0.0</v>
      </c>
      <c r="AH244" s="57" t="str">
        <f>IF(N(W244)&gt;0,COUNTIF(W$6:W244,"&gt;0"),"")</f>
        <v/>
      </c>
      <c r="AI244" s="57" t="str">
        <f>IF(Z244=1,COUNTIF(Z$6:Z244,1),"")</f>
        <v/>
      </c>
    </row>
    <row r="245">
      <c r="A245" s="54" t="n"/>
      <c r="B245" s="55" t="str">
        <f>IF(AA245="","",A245&amp;"-"&amp;RIGHT("000"&amp;AA245,4))</f>
        <v/>
      </c>
      <c r="C245" s="56" t="n"/>
      <c r="D245" s="54" t="n"/>
      <c r="E245" s="57" t="str">
        <f>IF(D245="","",IF(A245="BL",IFERROR(INDEX(cl_name,MATCH(D245,cl_code,0))&amp;"","Client inconnu"),IF(A245="BR",IFERROR(INDEX(fo_name,MATCH(D245,fo_code,0))&amp;"","Fournisseur inconnu"),IF(A245="BS",IF(ISNA(MATCH(D245,p_services,0)),"Service inconnu",D245&amp;""),""))))</f>
        <v/>
      </c>
      <c r="F245" s="58" t="n"/>
      <c r="G245" s="58" t="n"/>
      <c r="H245" s="59" t="n"/>
      <c r="I245" s="57" t="str">
        <f>IF(H245="","",IFERROR(INDEX(art_des,MATCH(H245,art_ref,0))&amp;"","Article inconnu"))</f>
        <v/>
      </c>
      <c r="J245" s="60" t="str">
        <f>IF(H245="","",IFERROR(INDEX(art_unit,MATCH(H245,art_ref,0))&amp;"",""))</f>
        <v/>
      </c>
      <c r="K245" s="59" t="n"/>
      <c r="L245" s="59" t="n"/>
      <c r="M245" s="61" t="str">
        <f>IF(OR(B245="",NOT(ISNUMBER(K245)),NOT(ISNUMBER(L245))),"",IF(OR(K245&lt;=0,L245&lt;=0),"",ROUND(L245-K245,6)))</f>
        <v/>
      </c>
      <c r="N245" s="58" t="n"/>
      <c r="O245" s="62" t="n"/>
      <c r="P245" s="63" t="str">
        <f>IF(OR(B245="",NOT(ISNUMBER(L245))),"",IF(L245&lt;=0,"",IFERROR(ROUND(L245*N(INDEX(art_w,MATCH(H245,art_ref,0))),3),"")))</f>
        <v/>
      </c>
      <c r="Q245" s="59" t="n"/>
      <c r="R245" s="54" t="n"/>
      <c r="S245" s="59" t="n"/>
      <c r="T245" s="59" t="n"/>
      <c r="U245" s="64" t="str">
        <f>IF(OR(B245="",H245=""),"",IFERROR(IF(A245="BL",IF(N(INDEX(art_price,MATCH(H245,art_ref,0)))=0,"",N(INDEX(art_price,MATCH(H245,art_ref,0)))),IF(N(INDEX(art_cost,MATCH(H245,art_ref,0)))=0,"",N(INDEX(art_cost,MATCH(H245,art_ref,0))))),""))</f>
        <v/>
      </c>
      <c r="V245" s="64" t="str">
        <f>IF(OR(U245="",NOT(ISNUMBER(L245))),"",IF(L245&lt;=0,"",ROUND(L245*U245,2)))</f>
        <v/>
      </c>
      <c r="W245" s="60" t="str">
        <f>IF(AND(B245&lt;&gt;"",A245&lt;&gt;"BS",F245&lt;&gt;"",H245&lt;&gt;"",ISNUMBER(K245),ISNUMBER(L245)),IF(AND(K245&gt;0,L245&gt;0,K245-L245&gt;0,COUNTIFS(A246:A$2005,A245,F246:F$2005,F245,H246:H$2005,H245,AA246:AA$2005,"&gt;0")=0),ROUND(K245-L245,6),""),"")</f>
        <v/>
      </c>
      <c r="X245" s="60" t="str">
        <f>IF(AND(A245="",C245="",D245="",H245="",L245=""),"",IF(A245="","Type manquant",IF(AND(A245&lt;&gt;"BL",A245&lt;&gt;"BR",A245&lt;&gt;"BS"),"Type inconnu (BL, BR ou BS)",IF(AG245=0,"Date manquante ou invalide",IF(D245="",IF(A245="BL","Client manquant",IF(A245="BR","Fournisseur manquant","Service manquant")),IF(IF(A245="BL",ISNA(MATCH(D245,cl_code,0)),IF(A245="BR",ISNA(MATCH(D245,fo_code,0)),ISNA(MATCH(D245,p_services,0)))),IF(A245="BL","Client inconnu",IF(A245="BR","Fournisseur inconnu","Service inconnu")),IF(H245="","Article manquant",IF(ISNA(MATCH(H245,art_ref,0)),"Article inconnu",IF(OR(NOT(ISNUMBER(L245)),N(L245)&lt;=0),"Quantité invalide",IF(AND(K245&lt;&gt;"",OR(NOT(ISNUMBER(K245)),N(K245)&lt;=0)),"Qté commandée invalide",IF(AG245&lt;SUMPRODUCT(MAX((A$6:A244=A245)*AG$6:AG244)),"Date antérieure au bon précédent",IF(AND(A245&lt;&gt;"BR",ISNUMBER(M245),N(M245)&gt;0),IF(A245="BL","Livré plus que commandé","Sorti plus que demandé"),"OK"))))))))))))</f>
        <v/>
      </c>
      <c r="Y245" s="57" t="str">
        <f>IF(AND(OR(A245="BL",A245="BR",A245="BS"),AG245&gt;0,D245&lt;&gt;""),A245&amp;"|"&amp;AG245&amp;"|"&amp;D245&amp;"|"&amp;F245,"")</f>
        <v/>
      </c>
      <c r="Z245" s="57" t="str">
        <f>IF(Y245="","",IF(COUNTIF(Y$6:Y244,Y245)=0,1,0))</f>
        <v/>
      </c>
      <c r="AA245" s="57" t="str">
        <f>IF(Y245="","",IF(Z245=1,COUNTIFS(A$6:A245,A245,Z$6:Z245,1),INDEX(AA$6:AA244,MATCH(Y245,Y$6:Y244,0))))</f>
        <v/>
      </c>
      <c r="AB245" s="57" t="str">
        <f>IF(B245="","",COUNTIF(B$6:B245,B245))</f>
        <v/>
      </c>
      <c r="AC245" s="57" t="str">
        <f>IF(B245="","",B245&amp;"#"&amp;AB245)</f>
        <v/>
      </c>
      <c r="AD245" s="57" t="str">
        <f>IF(Z245=1,A245&amp;AA245,"")</f>
        <v/>
      </c>
      <c r="AE245" s="57" t="str">
        <f>IF(B245="","",YEAR(C245))</f>
        <v/>
      </c>
      <c r="AF245" s="57" t="str">
        <f>IF(B245="","",MONTH(C245))</f>
        <v/>
      </c>
      <c r="AG245" s="57">
        <f>IF(ISNUMBER(C245),C245,0)</f>
        <v>0.0</v>
      </c>
      <c r="AH245" s="57" t="str">
        <f>IF(N(W245)&gt;0,COUNTIF(W$6:W245,"&gt;0"),"")</f>
        <v/>
      </c>
      <c r="AI245" s="57" t="str">
        <f>IF(Z245=1,COUNTIF(Z$6:Z245,1),"")</f>
        <v/>
      </c>
    </row>
    <row r="246">
      <c r="A246" s="54" t="n"/>
      <c r="B246" s="55" t="str">
        <f>IF(AA246="","",A246&amp;"-"&amp;RIGHT("000"&amp;AA246,4))</f>
        <v/>
      </c>
      <c r="C246" s="56" t="n"/>
      <c r="D246" s="54" t="n"/>
      <c r="E246" s="57" t="str">
        <f>IF(D246="","",IF(A246="BL",IFERROR(INDEX(cl_name,MATCH(D246,cl_code,0))&amp;"","Client inconnu"),IF(A246="BR",IFERROR(INDEX(fo_name,MATCH(D246,fo_code,0))&amp;"","Fournisseur inconnu"),IF(A246="BS",IF(ISNA(MATCH(D246,p_services,0)),"Service inconnu",D246&amp;""),""))))</f>
        <v/>
      </c>
      <c r="F246" s="58" t="n"/>
      <c r="G246" s="58" t="n"/>
      <c r="H246" s="59" t="n"/>
      <c r="I246" s="57" t="str">
        <f>IF(H246="","",IFERROR(INDEX(art_des,MATCH(H246,art_ref,0))&amp;"","Article inconnu"))</f>
        <v/>
      </c>
      <c r="J246" s="60" t="str">
        <f>IF(H246="","",IFERROR(INDEX(art_unit,MATCH(H246,art_ref,0))&amp;"",""))</f>
        <v/>
      </c>
      <c r="K246" s="59" t="n"/>
      <c r="L246" s="59" t="n"/>
      <c r="M246" s="61" t="str">
        <f>IF(OR(B246="",NOT(ISNUMBER(K246)),NOT(ISNUMBER(L246))),"",IF(OR(K246&lt;=0,L246&lt;=0),"",ROUND(L246-K246,6)))</f>
        <v/>
      </c>
      <c r="N246" s="58" t="n"/>
      <c r="O246" s="62" t="n"/>
      <c r="P246" s="63" t="str">
        <f>IF(OR(B246="",NOT(ISNUMBER(L246))),"",IF(L246&lt;=0,"",IFERROR(ROUND(L246*N(INDEX(art_w,MATCH(H246,art_ref,0))),3),"")))</f>
        <v/>
      </c>
      <c r="Q246" s="59" t="n"/>
      <c r="R246" s="54" t="n"/>
      <c r="S246" s="59" t="n"/>
      <c r="T246" s="59" t="n"/>
      <c r="U246" s="64" t="str">
        <f>IF(OR(B246="",H246=""),"",IFERROR(IF(A246="BL",IF(N(INDEX(art_price,MATCH(H246,art_ref,0)))=0,"",N(INDEX(art_price,MATCH(H246,art_ref,0)))),IF(N(INDEX(art_cost,MATCH(H246,art_ref,0)))=0,"",N(INDEX(art_cost,MATCH(H246,art_ref,0))))),""))</f>
        <v/>
      </c>
      <c r="V246" s="64" t="str">
        <f>IF(OR(U246="",NOT(ISNUMBER(L246))),"",IF(L246&lt;=0,"",ROUND(L246*U246,2)))</f>
        <v/>
      </c>
      <c r="W246" s="60" t="str">
        <f>IF(AND(B246&lt;&gt;"",A246&lt;&gt;"BS",F246&lt;&gt;"",H246&lt;&gt;"",ISNUMBER(K246),ISNUMBER(L246)),IF(AND(K246&gt;0,L246&gt;0,K246-L246&gt;0,COUNTIFS(A247:A$2005,A246,F247:F$2005,F246,H247:H$2005,H246,AA247:AA$2005,"&gt;0")=0),ROUND(K246-L246,6),""),"")</f>
        <v/>
      </c>
      <c r="X246" s="60" t="str">
        <f>IF(AND(A246="",C246="",D246="",H246="",L246=""),"",IF(A246="","Type manquant",IF(AND(A246&lt;&gt;"BL",A246&lt;&gt;"BR",A246&lt;&gt;"BS"),"Type inconnu (BL, BR ou BS)",IF(AG246=0,"Date manquante ou invalide",IF(D246="",IF(A246="BL","Client manquant",IF(A246="BR","Fournisseur manquant","Service manquant")),IF(IF(A246="BL",ISNA(MATCH(D246,cl_code,0)),IF(A246="BR",ISNA(MATCH(D246,fo_code,0)),ISNA(MATCH(D246,p_services,0)))),IF(A246="BL","Client inconnu",IF(A246="BR","Fournisseur inconnu","Service inconnu")),IF(H246="","Article manquant",IF(ISNA(MATCH(H246,art_ref,0)),"Article inconnu",IF(OR(NOT(ISNUMBER(L246)),N(L246)&lt;=0),"Quantité invalide",IF(AND(K246&lt;&gt;"",OR(NOT(ISNUMBER(K246)),N(K246)&lt;=0)),"Qté commandée invalide",IF(AG246&lt;SUMPRODUCT(MAX((A$6:A245=A246)*AG$6:AG245)),"Date antérieure au bon précédent",IF(AND(A246&lt;&gt;"BR",ISNUMBER(M246),N(M246)&gt;0),IF(A246="BL","Livré plus que commandé","Sorti plus que demandé"),"OK"))))))))))))</f>
        <v/>
      </c>
      <c r="Y246" s="57" t="str">
        <f>IF(AND(OR(A246="BL",A246="BR",A246="BS"),AG246&gt;0,D246&lt;&gt;""),A246&amp;"|"&amp;AG246&amp;"|"&amp;D246&amp;"|"&amp;F246,"")</f>
        <v/>
      </c>
      <c r="Z246" s="57" t="str">
        <f>IF(Y246="","",IF(COUNTIF(Y$6:Y245,Y246)=0,1,0))</f>
        <v/>
      </c>
      <c r="AA246" s="57" t="str">
        <f>IF(Y246="","",IF(Z246=1,COUNTIFS(A$6:A246,A246,Z$6:Z246,1),INDEX(AA$6:AA245,MATCH(Y246,Y$6:Y245,0))))</f>
        <v/>
      </c>
      <c r="AB246" s="57" t="str">
        <f>IF(B246="","",COUNTIF(B$6:B246,B246))</f>
        <v/>
      </c>
      <c r="AC246" s="57" t="str">
        <f>IF(B246="","",B246&amp;"#"&amp;AB246)</f>
        <v/>
      </c>
      <c r="AD246" s="57" t="str">
        <f>IF(Z246=1,A246&amp;AA246,"")</f>
        <v/>
      </c>
      <c r="AE246" s="57" t="str">
        <f>IF(B246="","",YEAR(C246))</f>
        <v/>
      </c>
      <c r="AF246" s="57" t="str">
        <f>IF(B246="","",MONTH(C246))</f>
        <v/>
      </c>
      <c r="AG246" s="57">
        <f>IF(ISNUMBER(C246),C246,0)</f>
        <v>0.0</v>
      </c>
      <c r="AH246" s="57" t="str">
        <f>IF(N(W246)&gt;0,COUNTIF(W$6:W246,"&gt;0"),"")</f>
        <v/>
      </c>
      <c r="AI246" s="57" t="str">
        <f>IF(Z246=1,COUNTIF(Z$6:Z246,1),"")</f>
        <v/>
      </c>
    </row>
    <row r="247">
      <c r="A247" s="54" t="n"/>
      <c r="B247" s="55" t="str">
        <f>IF(AA247="","",A247&amp;"-"&amp;RIGHT("000"&amp;AA247,4))</f>
        <v/>
      </c>
      <c r="C247" s="56" t="n"/>
      <c r="D247" s="54" t="n"/>
      <c r="E247" s="57" t="str">
        <f>IF(D247="","",IF(A247="BL",IFERROR(INDEX(cl_name,MATCH(D247,cl_code,0))&amp;"","Client inconnu"),IF(A247="BR",IFERROR(INDEX(fo_name,MATCH(D247,fo_code,0))&amp;"","Fournisseur inconnu"),IF(A247="BS",IF(ISNA(MATCH(D247,p_services,0)),"Service inconnu",D247&amp;""),""))))</f>
        <v/>
      </c>
      <c r="F247" s="58" t="n"/>
      <c r="G247" s="58" t="n"/>
      <c r="H247" s="59" t="n"/>
      <c r="I247" s="57" t="str">
        <f>IF(H247="","",IFERROR(INDEX(art_des,MATCH(H247,art_ref,0))&amp;"","Article inconnu"))</f>
        <v/>
      </c>
      <c r="J247" s="60" t="str">
        <f>IF(H247="","",IFERROR(INDEX(art_unit,MATCH(H247,art_ref,0))&amp;"",""))</f>
        <v/>
      </c>
      <c r="K247" s="59" t="n"/>
      <c r="L247" s="59" t="n"/>
      <c r="M247" s="61" t="str">
        <f>IF(OR(B247="",NOT(ISNUMBER(K247)),NOT(ISNUMBER(L247))),"",IF(OR(K247&lt;=0,L247&lt;=0),"",ROUND(L247-K247,6)))</f>
        <v/>
      </c>
      <c r="N247" s="58" t="n"/>
      <c r="O247" s="62" t="n"/>
      <c r="P247" s="63" t="str">
        <f>IF(OR(B247="",NOT(ISNUMBER(L247))),"",IF(L247&lt;=0,"",IFERROR(ROUND(L247*N(INDEX(art_w,MATCH(H247,art_ref,0))),3),"")))</f>
        <v/>
      </c>
      <c r="Q247" s="59" t="n"/>
      <c r="R247" s="54" t="n"/>
      <c r="S247" s="59" t="n"/>
      <c r="T247" s="59" t="n"/>
      <c r="U247" s="64" t="str">
        <f>IF(OR(B247="",H247=""),"",IFERROR(IF(A247="BL",IF(N(INDEX(art_price,MATCH(H247,art_ref,0)))=0,"",N(INDEX(art_price,MATCH(H247,art_ref,0)))),IF(N(INDEX(art_cost,MATCH(H247,art_ref,0)))=0,"",N(INDEX(art_cost,MATCH(H247,art_ref,0))))),""))</f>
        <v/>
      </c>
      <c r="V247" s="64" t="str">
        <f>IF(OR(U247="",NOT(ISNUMBER(L247))),"",IF(L247&lt;=0,"",ROUND(L247*U247,2)))</f>
        <v/>
      </c>
      <c r="W247" s="60" t="str">
        <f>IF(AND(B247&lt;&gt;"",A247&lt;&gt;"BS",F247&lt;&gt;"",H247&lt;&gt;"",ISNUMBER(K247),ISNUMBER(L247)),IF(AND(K247&gt;0,L247&gt;0,K247-L247&gt;0,COUNTIFS(A248:A$2005,A247,F248:F$2005,F247,H248:H$2005,H247,AA248:AA$2005,"&gt;0")=0),ROUND(K247-L247,6),""),"")</f>
        <v/>
      </c>
      <c r="X247" s="60" t="str">
        <f>IF(AND(A247="",C247="",D247="",H247="",L247=""),"",IF(A247="","Type manquant",IF(AND(A247&lt;&gt;"BL",A247&lt;&gt;"BR",A247&lt;&gt;"BS"),"Type inconnu (BL, BR ou BS)",IF(AG247=0,"Date manquante ou invalide",IF(D247="",IF(A247="BL","Client manquant",IF(A247="BR","Fournisseur manquant","Service manquant")),IF(IF(A247="BL",ISNA(MATCH(D247,cl_code,0)),IF(A247="BR",ISNA(MATCH(D247,fo_code,0)),ISNA(MATCH(D247,p_services,0)))),IF(A247="BL","Client inconnu",IF(A247="BR","Fournisseur inconnu","Service inconnu")),IF(H247="","Article manquant",IF(ISNA(MATCH(H247,art_ref,0)),"Article inconnu",IF(OR(NOT(ISNUMBER(L247)),N(L247)&lt;=0),"Quantité invalide",IF(AND(K247&lt;&gt;"",OR(NOT(ISNUMBER(K247)),N(K247)&lt;=0)),"Qté commandée invalide",IF(AG247&lt;SUMPRODUCT(MAX((A$6:A246=A247)*AG$6:AG246)),"Date antérieure au bon précédent",IF(AND(A247&lt;&gt;"BR",ISNUMBER(M247),N(M247)&gt;0),IF(A247="BL","Livré plus que commandé","Sorti plus que demandé"),"OK"))))))))))))</f>
        <v/>
      </c>
      <c r="Y247" s="57" t="str">
        <f>IF(AND(OR(A247="BL",A247="BR",A247="BS"),AG247&gt;0,D247&lt;&gt;""),A247&amp;"|"&amp;AG247&amp;"|"&amp;D247&amp;"|"&amp;F247,"")</f>
        <v/>
      </c>
      <c r="Z247" s="57" t="str">
        <f>IF(Y247="","",IF(COUNTIF(Y$6:Y246,Y247)=0,1,0))</f>
        <v/>
      </c>
      <c r="AA247" s="57" t="str">
        <f>IF(Y247="","",IF(Z247=1,COUNTIFS(A$6:A247,A247,Z$6:Z247,1),INDEX(AA$6:AA246,MATCH(Y247,Y$6:Y246,0))))</f>
        <v/>
      </c>
      <c r="AB247" s="57" t="str">
        <f>IF(B247="","",COUNTIF(B$6:B247,B247))</f>
        <v/>
      </c>
      <c r="AC247" s="57" t="str">
        <f>IF(B247="","",B247&amp;"#"&amp;AB247)</f>
        <v/>
      </c>
      <c r="AD247" s="57" t="str">
        <f>IF(Z247=1,A247&amp;AA247,"")</f>
        <v/>
      </c>
      <c r="AE247" s="57" t="str">
        <f>IF(B247="","",YEAR(C247))</f>
        <v/>
      </c>
      <c r="AF247" s="57" t="str">
        <f>IF(B247="","",MONTH(C247))</f>
        <v/>
      </c>
      <c r="AG247" s="57">
        <f>IF(ISNUMBER(C247),C247,0)</f>
        <v>0.0</v>
      </c>
      <c r="AH247" s="57" t="str">
        <f>IF(N(W247)&gt;0,COUNTIF(W$6:W247,"&gt;0"),"")</f>
        <v/>
      </c>
      <c r="AI247" s="57" t="str">
        <f>IF(Z247=1,COUNTIF(Z$6:Z247,1),"")</f>
        <v/>
      </c>
    </row>
    <row r="248">
      <c r="A248" s="54" t="n"/>
      <c r="B248" s="55" t="str">
        <f>IF(AA248="","",A248&amp;"-"&amp;RIGHT("000"&amp;AA248,4))</f>
        <v/>
      </c>
      <c r="C248" s="56" t="n"/>
      <c r="D248" s="54" t="n"/>
      <c r="E248" s="57" t="str">
        <f>IF(D248="","",IF(A248="BL",IFERROR(INDEX(cl_name,MATCH(D248,cl_code,0))&amp;"","Client inconnu"),IF(A248="BR",IFERROR(INDEX(fo_name,MATCH(D248,fo_code,0))&amp;"","Fournisseur inconnu"),IF(A248="BS",IF(ISNA(MATCH(D248,p_services,0)),"Service inconnu",D248&amp;""),""))))</f>
        <v/>
      </c>
      <c r="F248" s="58" t="n"/>
      <c r="G248" s="58" t="n"/>
      <c r="H248" s="59" t="n"/>
      <c r="I248" s="57" t="str">
        <f>IF(H248="","",IFERROR(INDEX(art_des,MATCH(H248,art_ref,0))&amp;"","Article inconnu"))</f>
        <v/>
      </c>
      <c r="J248" s="60" t="str">
        <f>IF(H248="","",IFERROR(INDEX(art_unit,MATCH(H248,art_ref,0))&amp;"",""))</f>
        <v/>
      </c>
      <c r="K248" s="59" t="n"/>
      <c r="L248" s="59" t="n"/>
      <c r="M248" s="61" t="str">
        <f>IF(OR(B248="",NOT(ISNUMBER(K248)),NOT(ISNUMBER(L248))),"",IF(OR(K248&lt;=0,L248&lt;=0),"",ROUND(L248-K248,6)))</f>
        <v/>
      </c>
      <c r="N248" s="58" t="n"/>
      <c r="O248" s="62" t="n"/>
      <c r="P248" s="63" t="str">
        <f>IF(OR(B248="",NOT(ISNUMBER(L248))),"",IF(L248&lt;=0,"",IFERROR(ROUND(L248*N(INDEX(art_w,MATCH(H248,art_ref,0))),3),"")))</f>
        <v/>
      </c>
      <c r="Q248" s="59" t="n"/>
      <c r="R248" s="54" t="n"/>
      <c r="S248" s="59" t="n"/>
      <c r="T248" s="59" t="n"/>
      <c r="U248" s="64" t="str">
        <f>IF(OR(B248="",H248=""),"",IFERROR(IF(A248="BL",IF(N(INDEX(art_price,MATCH(H248,art_ref,0)))=0,"",N(INDEX(art_price,MATCH(H248,art_ref,0)))),IF(N(INDEX(art_cost,MATCH(H248,art_ref,0)))=0,"",N(INDEX(art_cost,MATCH(H248,art_ref,0))))),""))</f>
        <v/>
      </c>
      <c r="V248" s="64" t="str">
        <f>IF(OR(U248="",NOT(ISNUMBER(L248))),"",IF(L248&lt;=0,"",ROUND(L248*U248,2)))</f>
        <v/>
      </c>
      <c r="W248" s="60" t="str">
        <f>IF(AND(B248&lt;&gt;"",A248&lt;&gt;"BS",F248&lt;&gt;"",H248&lt;&gt;"",ISNUMBER(K248),ISNUMBER(L248)),IF(AND(K248&gt;0,L248&gt;0,K248-L248&gt;0,COUNTIFS(A249:A$2005,A248,F249:F$2005,F248,H249:H$2005,H248,AA249:AA$2005,"&gt;0")=0),ROUND(K248-L248,6),""),"")</f>
        <v/>
      </c>
      <c r="X248" s="60" t="str">
        <f>IF(AND(A248="",C248="",D248="",H248="",L248=""),"",IF(A248="","Type manquant",IF(AND(A248&lt;&gt;"BL",A248&lt;&gt;"BR",A248&lt;&gt;"BS"),"Type inconnu (BL, BR ou BS)",IF(AG248=0,"Date manquante ou invalide",IF(D248="",IF(A248="BL","Client manquant",IF(A248="BR","Fournisseur manquant","Service manquant")),IF(IF(A248="BL",ISNA(MATCH(D248,cl_code,0)),IF(A248="BR",ISNA(MATCH(D248,fo_code,0)),ISNA(MATCH(D248,p_services,0)))),IF(A248="BL","Client inconnu",IF(A248="BR","Fournisseur inconnu","Service inconnu")),IF(H248="","Article manquant",IF(ISNA(MATCH(H248,art_ref,0)),"Article inconnu",IF(OR(NOT(ISNUMBER(L248)),N(L248)&lt;=0),"Quantité invalide",IF(AND(K248&lt;&gt;"",OR(NOT(ISNUMBER(K248)),N(K248)&lt;=0)),"Qté commandée invalide",IF(AG248&lt;SUMPRODUCT(MAX((A$6:A247=A248)*AG$6:AG247)),"Date antérieure au bon précédent",IF(AND(A248&lt;&gt;"BR",ISNUMBER(M248),N(M248)&gt;0),IF(A248="BL","Livré plus que commandé","Sorti plus que demandé"),"OK"))))))))))))</f>
        <v/>
      </c>
      <c r="Y248" s="57" t="str">
        <f>IF(AND(OR(A248="BL",A248="BR",A248="BS"),AG248&gt;0,D248&lt;&gt;""),A248&amp;"|"&amp;AG248&amp;"|"&amp;D248&amp;"|"&amp;F248,"")</f>
        <v/>
      </c>
      <c r="Z248" s="57" t="str">
        <f>IF(Y248="","",IF(COUNTIF(Y$6:Y247,Y248)=0,1,0))</f>
        <v/>
      </c>
      <c r="AA248" s="57" t="str">
        <f>IF(Y248="","",IF(Z248=1,COUNTIFS(A$6:A248,A248,Z$6:Z248,1),INDEX(AA$6:AA247,MATCH(Y248,Y$6:Y247,0))))</f>
        <v/>
      </c>
      <c r="AB248" s="57" t="str">
        <f>IF(B248="","",COUNTIF(B$6:B248,B248))</f>
        <v/>
      </c>
      <c r="AC248" s="57" t="str">
        <f>IF(B248="","",B248&amp;"#"&amp;AB248)</f>
        <v/>
      </c>
      <c r="AD248" s="57" t="str">
        <f>IF(Z248=1,A248&amp;AA248,"")</f>
        <v/>
      </c>
      <c r="AE248" s="57" t="str">
        <f>IF(B248="","",YEAR(C248))</f>
        <v/>
      </c>
      <c r="AF248" s="57" t="str">
        <f>IF(B248="","",MONTH(C248))</f>
        <v/>
      </c>
      <c r="AG248" s="57">
        <f>IF(ISNUMBER(C248),C248,0)</f>
        <v>0.0</v>
      </c>
      <c r="AH248" s="57" t="str">
        <f>IF(N(W248)&gt;0,COUNTIF(W$6:W248,"&gt;0"),"")</f>
        <v/>
      </c>
      <c r="AI248" s="57" t="str">
        <f>IF(Z248=1,COUNTIF(Z$6:Z248,1),"")</f>
        <v/>
      </c>
    </row>
    <row r="249">
      <c r="A249" s="54" t="n"/>
      <c r="B249" s="55" t="str">
        <f>IF(AA249="","",A249&amp;"-"&amp;RIGHT("000"&amp;AA249,4))</f>
        <v/>
      </c>
      <c r="C249" s="56" t="n"/>
      <c r="D249" s="54" t="n"/>
      <c r="E249" s="57" t="str">
        <f>IF(D249="","",IF(A249="BL",IFERROR(INDEX(cl_name,MATCH(D249,cl_code,0))&amp;"","Client inconnu"),IF(A249="BR",IFERROR(INDEX(fo_name,MATCH(D249,fo_code,0))&amp;"","Fournisseur inconnu"),IF(A249="BS",IF(ISNA(MATCH(D249,p_services,0)),"Service inconnu",D249&amp;""),""))))</f>
        <v/>
      </c>
      <c r="F249" s="58" t="n"/>
      <c r="G249" s="58" t="n"/>
      <c r="H249" s="59" t="n"/>
      <c r="I249" s="57" t="str">
        <f>IF(H249="","",IFERROR(INDEX(art_des,MATCH(H249,art_ref,0))&amp;"","Article inconnu"))</f>
        <v/>
      </c>
      <c r="J249" s="60" t="str">
        <f>IF(H249="","",IFERROR(INDEX(art_unit,MATCH(H249,art_ref,0))&amp;"",""))</f>
        <v/>
      </c>
      <c r="K249" s="59" t="n"/>
      <c r="L249" s="59" t="n"/>
      <c r="M249" s="61" t="str">
        <f>IF(OR(B249="",NOT(ISNUMBER(K249)),NOT(ISNUMBER(L249))),"",IF(OR(K249&lt;=0,L249&lt;=0),"",ROUND(L249-K249,6)))</f>
        <v/>
      </c>
      <c r="N249" s="58" t="n"/>
      <c r="O249" s="62" t="n"/>
      <c r="P249" s="63" t="str">
        <f>IF(OR(B249="",NOT(ISNUMBER(L249))),"",IF(L249&lt;=0,"",IFERROR(ROUND(L249*N(INDEX(art_w,MATCH(H249,art_ref,0))),3),"")))</f>
        <v/>
      </c>
      <c r="Q249" s="59" t="n"/>
      <c r="R249" s="54" t="n"/>
      <c r="S249" s="59" t="n"/>
      <c r="T249" s="59" t="n"/>
      <c r="U249" s="64" t="str">
        <f>IF(OR(B249="",H249=""),"",IFERROR(IF(A249="BL",IF(N(INDEX(art_price,MATCH(H249,art_ref,0)))=0,"",N(INDEX(art_price,MATCH(H249,art_ref,0)))),IF(N(INDEX(art_cost,MATCH(H249,art_ref,0)))=0,"",N(INDEX(art_cost,MATCH(H249,art_ref,0))))),""))</f>
        <v/>
      </c>
      <c r="V249" s="64" t="str">
        <f>IF(OR(U249="",NOT(ISNUMBER(L249))),"",IF(L249&lt;=0,"",ROUND(L249*U249,2)))</f>
        <v/>
      </c>
      <c r="W249" s="60" t="str">
        <f>IF(AND(B249&lt;&gt;"",A249&lt;&gt;"BS",F249&lt;&gt;"",H249&lt;&gt;"",ISNUMBER(K249),ISNUMBER(L249)),IF(AND(K249&gt;0,L249&gt;0,K249-L249&gt;0,COUNTIFS(A250:A$2005,A249,F250:F$2005,F249,H250:H$2005,H249,AA250:AA$2005,"&gt;0")=0),ROUND(K249-L249,6),""),"")</f>
        <v/>
      </c>
      <c r="X249" s="60" t="str">
        <f>IF(AND(A249="",C249="",D249="",H249="",L249=""),"",IF(A249="","Type manquant",IF(AND(A249&lt;&gt;"BL",A249&lt;&gt;"BR",A249&lt;&gt;"BS"),"Type inconnu (BL, BR ou BS)",IF(AG249=0,"Date manquante ou invalide",IF(D249="",IF(A249="BL","Client manquant",IF(A249="BR","Fournisseur manquant","Service manquant")),IF(IF(A249="BL",ISNA(MATCH(D249,cl_code,0)),IF(A249="BR",ISNA(MATCH(D249,fo_code,0)),ISNA(MATCH(D249,p_services,0)))),IF(A249="BL","Client inconnu",IF(A249="BR","Fournisseur inconnu","Service inconnu")),IF(H249="","Article manquant",IF(ISNA(MATCH(H249,art_ref,0)),"Article inconnu",IF(OR(NOT(ISNUMBER(L249)),N(L249)&lt;=0),"Quantité invalide",IF(AND(K249&lt;&gt;"",OR(NOT(ISNUMBER(K249)),N(K249)&lt;=0)),"Qté commandée invalide",IF(AG249&lt;SUMPRODUCT(MAX((A$6:A248=A249)*AG$6:AG248)),"Date antérieure au bon précédent",IF(AND(A249&lt;&gt;"BR",ISNUMBER(M249),N(M249)&gt;0),IF(A249="BL","Livré plus que commandé","Sorti plus que demandé"),"OK"))))))))))))</f>
        <v/>
      </c>
      <c r="Y249" s="57" t="str">
        <f>IF(AND(OR(A249="BL",A249="BR",A249="BS"),AG249&gt;0,D249&lt;&gt;""),A249&amp;"|"&amp;AG249&amp;"|"&amp;D249&amp;"|"&amp;F249,"")</f>
        <v/>
      </c>
      <c r="Z249" s="57" t="str">
        <f>IF(Y249="","",IF(COUNTIF(Y$6:Y248,Y249)=0,1,0))</f>
        <v/>
      </c>
      <c r="AA249" s="57" t="str">
        <f>IF(Y249="","",IF(Z249=1,COUNTIFS(A$6:A249,A249,Z$6:Z249,1),INDEX(AA$6:AA248,MATCH(Y249,Y$6:Y248,0))))</f>
        <v/>
      </c>
      <c r="AB249" s="57" t="str">
        <f>IF(B249="","",COUNTIF(B$6:B249,B249))</f>
        <v/>
      </c>
      <c r="AC249" s="57" t="str">
        <f>IF(B249="","",B249&amp;"#"&amp;AB249)</f>
        <v/>
      </c>
      <c r="AD249" s="57" t="str">
        <f>IF(Z249=1,A249&amp;AA249,"")</f>
        <v/>
      </c>
      <c r="AE249" s="57" t="str">
        <f>IF(B249="","",YEAR(C249))</f>
        <v/>
      </c>
      <c r="AF249" s="57" t="str">
        <f>IF(B249="","",MONTH(C249))</f>
        <v/>
      </c>
      <c r="AG249" s="57">
        <f>IF(ISNUMBER(C249),C249,0)</f>
        <v>0.0</v>
      </c>
      <c r="AH249" s="57" t="str">
        <f>IF(N(W249)&gt;0,COUNTIF(W$6:W249,"&gt;0"),"")</f>
        <v/>
      </c>
      <c r="AI249" s="57" t="str">
        <f>IF(Z249=1,COUNTIF(Z$6:Z249,1),"")</f>
        <v/>
      </c>
    </row>
    <row r="250">
      <c r="A250" s="54" t="n"/>
      <c r="B250" s="55" t="str">
        <f>IF(AA250="","",A250&amp;"-"&amp;RIGHT("000"&amp;AA250,4))</f>
        <v/>
      </c>
      <c r="C250" s="56" t="n"/>
      <c r="D250" s="54" t="n"/>
      <c r="E250" s="57" t="str">
        <f>IF(D250="","",IF(A250="BL",IFERROR(INDEX(cl_name,MATCH(D250,cl_code,0))&amp;"","Client inconnu"),IF(A250="BR",IFERROR(INDEX(fo_name,MATCH(D250,fo_code,0))&amp;"","Fournisseur inconnu"),IF(A250="BS",IF(ISNA(MATCH(D250,p_services,0)),"Service inconnu",D250&amp;""),""))))</f>
        <v/>
      </c>
      <c r="F250" s="58" t="n"/>
      <c r="G250" s="58" t="n"/>
      <c r="H250" s="59" t="n"/>
      <c r="I250" s="57" t="str">
        <f>IF(H250="","",IFERROR(INDEX(art_des,MATCH(H250,art_ref,0))&amp;"","Article inconnu"))</f>
        <v/>
      </c>
      <c r="J250" s="60" t="str">
        <f>IF(H250="","",IFERROR(INDEX(art_unit,MATCH(H250,art_ref,0))&amp;"",""))</f>
        <v/>
      </c>
      <c r="K250" s="59" t="n"/>
      <c r="L250" s="59" t="n"/>
      <c r="M250" s="61" t="str">
        <f>IF(OR(B250="",NOT(ISNUMBER(K250)),NOT(ISNUMBER(L250))),"",IF(OR(K250&lt;=0,L250&lt;=0),"",ROUND(L250-K250,6)))</f>
        <v/>
      </c>
      <c r="N250" s="58" t="n"/>
      <c r="O250" s="62" t="n"/>
      <c r="P250" s="63" t="str">
        <f>IF(OR(B250="",NOT(ISNUMBER(L250))),"",IF(L250&lt;=0,"",IFERROR(ROUND(L250*N(INDEX(art_w,MATCH(H250,art_ref,0))),3),"")))</f>
        <v/>
      </c>
      <c r="Q250" s="59" t="n"/>
      <c r="R250" s="54" t="n"/>
      <c r="S250" s="59" t="n"/>
      <c r="T250" s="59" t="n"/>
      <c r="U250" s="64" t="str">
        <f>IF(OR(B250="",H250=""),"",IFERROR(IF(A250="BL",IF(N(INDEX(art_price,MATCH(H250,art_ref,0)))=0,"",N(INDEX(art_price,MATCH(H250,art_ref,0)))),IF(N(INDEX(art_cost,MATCH(H250,art_ref,0)))=0,"",N(INDEX(art_cost,MATCH(H250,art_ref,0))))),""))</f>
        <v/>
      </c>
      <c r="V250" s="64" t="str">
        <f>IF(OR(U250="",NOT(ISNUMBER(L250))),"",IF(L250&lt;=0,"",ROUND(L250*U250,2)))</f>
        <v/>
      </c>
      <c r="W250" s="60" t="str">
        <f>IF(AND(B250&lt;&gt;"",A250&lt;&gt;"BS",F250&lt;&gt;"",H250&lt;&gt;"",ISNUMBER(K250),ISNUMBER(L250)),IF(AND(K250&gt;0,L250&gt;0,K250-L250&gt;0,COUNTIFS(A251:A$2005,A250,F251:F$2005,F250,H251:H$2005,H250,AA251:AA$2005,"&gt;0")=0),ROUND(K250-L250,6),""),"")</f>
        <v/>
      </c>
      <c r="X250" s="60" t="str">
        <f>IF(AND(A250="",C250="",D250="",H250="",L250=""),"",IF(A250="","Type manquant",IF(AND(A250&lt;&gt;"BL",A250&lt;&gt;"BR",A250&lt;&gt;"BS"),"Type inconnu (BL, BR ou BS)",IF(AG250=0,"Date manquante ou invalide",IF(D250="",IF(A250="BL","Client manquant",IF(A250="BR","Fournisseur manquant","Service manquant")),IF(IF(A250="BL",ISNA(MATCH(D250,cl_code,0)),IF(A250="BR",ISNA(MATCH(D250,fo_code,0)),ISNA(MATCH(D250,p_services,0)))),IF(A250="BL","Client inconnu",IF(A250="BR","Fournisseur inconnu","Service inconnu")),IF(H250="","Article manquant",IF(ISNA(MATCH(H250,art_ref,0)),"Article inconnu",IF(OR(NOT(ISNUMBER(L250)),N(L250)&lt;=0),"Quantité invalide",IF(AND(K250&lt;&gt;"",OR(NOT(ISNUMBER(K250)),N(K250)&lt;=0)),"Qté commandée invalide",IF(AG250&lt;SUMPRODUCT(MAX((A$6:A249=A250)*AG$6:AG249)),"Date antérieure au bon précédent",IF(AND(A250&lt;&gt;"BR",ISNUMBER(M250),N(M250)&gt;0),IF(A250="BL","Livré plus que commandé","Sorti plus que demandé"),"OK"))))))))))))</f>
        <v/>
      </c>
      <c r="Y250" s="57" t="str">
        <f>IF(AND(OR(A250="BL",A250="BR",A250="BS"),AG250&gt;0,D250&lt;&gt;""),A250&amp;"|"&amp;AG250&amp;"|"&amp;D250&amp;"|"&amp;F250,"")</f>
        <v/>
      </c>
      <c r="Z250" s="57" t="str">
        <f>IF(Y250="","",IF(COUNTIF(Y$6:Y249,Y250)=0,1,0))</f>
        <v/>
      </c>
      <c r="AA250" s="57" t="str">
        <f>IF(Y250="","",IF(Z250=1,COUNTIFS(A$6:A250,A250,Z$6:Z250,1),INDEX(AA$6:AA249,MATCH(Y250,Y$6:Y249,0))))</f>
        <v/>
      </c>
      <c r="AB250" s="57" t="str">
        <f>IF(B250="","",COUNTIF(B$6:B250,B250))</f>
        <v/>
      </c>
      <c r="AC250" s="57" t="str">
        <f>IF(B250="","",B250&amp;"#"&amp;AB250)</f>
        <v/>
      </c>
      <c r="AD250" s="57" t="str">
        <f>IF(Z250=1,A250&amp;AA250,"")</f>
        <v/>
      </c>
      <c r="AE250" s="57" t="str">
        <f>IF(B250="","",YEAR(C250))</f>
        <v/>
      </c>
      <c r="AF250" s="57" t="str">
        <f>IF(B250="","",MONTH(C250))</f>
        <v/>
      </c>
      <c r="AG250" s="57">
        <f>IF(ISNUMBER(C250),C250,0)</f>
        <v>0.0</v>
      </c>
      <c r="AH250" s="57" t="str">
        <f>IF(N(W250)&gt;0,COUNTIF(W$6:W250,"&gt;0"),"")</f>
        <v/>
      </c>
      <c r="AI250" s="57" t="str">
        <f>IF(Z250=1,COUNTIF(Z$6:Z250,1),"")</f>
        <v/>
      </c>
    </row>
    <row r="251">
      <c r="A251" s="54" t="n"/>
      <c r="B251" s="55" t="str">
        <f>IF(AA251="","",A251&amp;"-"&amp;RIGHT("000"&amp;AA251,4))</f>
        <v/>
      </c>
      <c r="C251" s="56" t="n"/>
      <c r="D251" s="54" t="n"/>
      <c r="E251" s="57" t="str">
        <f>IF(D251="","",IF(A251="BL",IFERROR(INDEX(cl_name,MATCH(D251,cl_code,0))&amp;"","Client inconnu"),IF(A251="BR",IFERROR(INDEX(fo_name,MATCH(D251,fo_code,0))&amp;"","Fournisseur inconnu"),IF(A251="BS",IF(ISNA(MATCH(D251,p_services,0)),"Service inconnu",D251&amp;""),""))))</f>
        <v/>
      </c>
      <c r="F251" s="58" t="n"/>
      <c r="G251" s="58" t="n"/>
      <c r="H251" s="59" t="n"/>
      <c r="I251" s="57" t="str">
        <f>IF(H251="","",IFERROR(INDEX(art_des,MATCH(H251,art_ref,0))&amp;"","Article inconnu"))</f>
        <v/>
      </c>
      <c r="J251" s="60" t="str">
        <f>IF(H251="","",IFERROR(INDEX(art_unit,MATCH(H251,art_ref,0))&amp;"",""))</f>
        <v/>
      </c>
      <c r="K251" s="59" t="n"/>
      <c r="L251" s="59" t="n"/>
      <c r="M251" s="61" t="str">
        <f>IF(OR(B251="",NOT(ISNUMBER(K251)),NOT(ISNUMBER(L251))),"",IF(OR(K251&lt;=0,L251&lt;=0),"",ROUND(L251-K251,6)))</f>
        <v/>
      </c>
      <c r="N251" s="58" t="n"/>
      <c r="O251" s="62" t="n"/>
      <c r="P251" s="63" t="str">
        <f>IF(OR(B251="",NOT(ISNUMBER(L251))),"",IF(L251&lt;=0,"",IFERROR(ROUND(L251*N(INDEX(art_w,MATCH(H251,art_ref,0))),3),"")))</f>
        <v/>
      </c>
      <c r="Q251" s="59" t="n"/>
      <c r="R251" s="54" t="n"/>
      <c r="S251" s="59" t="n"/>
      <c r="T251" s="59" t="n"/>
      <c r="U251" s="64" t="str">
        <f>IF(OR(B251="",H251=""),"",IFERROR(IF(A251="BL",IF(N(INDEX(art_price,MATCH(H251,art_ref,0)))=0,"",N(INDEX(art_price,MATCH(H251,art_ref,0)))),IF(N(INDEX(art_cost,MATCH(H251,art_ref,0)))=0,"",N(INDEX(art_cost,MATCH(H251,art_ref,0))))),""))</f>
        <v/>
      </c>
      <c r="V251" s="64" t="str">
        <f>IF(OR(U251="",NOT(ISNUMBER(L251))),"",IF(L251&lt;=0,"",ROUND(L251*U251,2)))</f>
        <v/>
      </c>
      <c r="W251" s="60" t="str">
        <f>IF(AND(B251&lt;&gt;"",A251&lt;&gt;"BS",F251&lt;&gt;"",H251&lt;&gt;"",ISNUMBER(K251),ISNUMBER(L251)),IF(AND(K251&gt;0,L251&gt;0,K251-L251&gt;0,COUNTIFS(A252:A$2005,A251,F252:F$2005,F251,H252:H$2005,H251,AA252:AA$2005,"&gt;0")=0),ROUND(K251-L251,6),""),"")</f>
        <v/>
      </c>
      <c r="X251" s="60" t="str">
        <f>IF(AND(A251="",C251="",D251="",H251="",L251=""),"",IF(A251="","Type manquant",IF(AND(A251&lt;&gt;"BL",A251&lt;&gt;"BR",A251&lt;&gt;"BS"),"Type inconnu (BL, BR ou BS)",IF(AG251=0,"Date manquante ou invalide",IF(D251="",IF(A251="BL","Client manquant",IF(A251="BR","Fournisseur manquant","Service manquant")),IF(IF(A251="BL",ISNA(MATCH(D251,cl_code,0)),IF(A251="BR",ISNA(MATCH(D251,fo_code,0)),ISNA(MATCH(D251,p_services,0)))),IF(A251="BL","Client inconnu",IF(A251="BR","Fournisseur inconnu","Service inconnu")),IF(H251="","Article manquant",IF(ISNA(MATCH(H251,art_ref,0)),"Article inconnu",IF(OR(NOT(ISNUMBER(L251)),N(L251)&lt;=0),"Quantité invalide",IF(AND(K251&lt;&gt;"",OR(NOT(ISNUMBER(K251)),N(K251)&lt;=0)),"Qté commandée invalide",IF(AG251&lt;SUMPRODUCT(MAX((A$6:A250=A251)*AG$6:AG250)),"Date antérieure au bon précédent",IF(AND(A251&lt;&gt;"BR",ISNUMBER(M251),N(M251)&gt;0),IF(A251="BL","Livré plus que commandé","Sorti plus que demandé"),"OK"))))))))))))</f>
        <v/>
      </c>
      <c r="Y251" s="57" t="str">
        <f>IF(AND(OR(A251="BL",A251="BR",A251="BS"),AG251&gt;0,D251&lt;&gt;""),A251&amp;"|"&amp;AG251&amp;"|"&amp;D251&amp;"|"&amp;F251,"")</f>
        <v/>
      </c>
      <c r="Z251" s="57" t="str">
        <f>IF(Y251="","",IF(COUNTIF(Y$6:Y250,Y251)=0,1,0))</f>
        <v/>
      </c>
      <c r="AA251" s="57" t="str">
        <f>IF(Y251="","",IF(Z251=1,COUNTIFS(A$6:A251,A251,Z$6:Z251,1),INDEX(AA$6:AA250,MATCH(Y251,Y$6:Y250,0))))</f>
        <v/>
      </c>
      <c r="AB251" s="57" t="str">
        <f>IF(B251="","",COUNTIF(B$6:B251,B251))</f>
        <v/>
      </c>
      <c r="AC251" s="57" t="str">
        <f>IF(B251="","",B251&amp;"#"&amp;AB251)</f>
        <v/>
      </c>
      <c r="AD251" s="57" t="str">
        <f>IF(Z251=1,A251&amp;AA251,"")</f>
        <v/>
      </c>
      <c r="AE251" s="57" t="str">
        <f>IF(B251="","",YEAR(C251))</f>
        <v/>
      </c>
      <c r="AF251" s="57" t="str">
        <f>IF(B251="","",MONTH(C251))</f>
        <v/>
      </c>
      <c r="AG251" s="57">
        <f>IF(ISNUMBER(C251),C251,0)</f>
        <v>0.0</v>
      </c>
      <c r="AH251" s="57" t="str">
        <f>IF(N(W251)&gt;0,COUNTIF(W$6:W251,"&gt;0"),"")</f>
        <v/>
      </c>
      <c r="AI251" s="57" t="str">
        <f>IF(Z251=1,COUNTIF(Z$6:Z251,1),"")</f>
        <v/>
      </c>
    </row>
    <row r="252">
      <c r="A252" s="54" t="n"/>
      <c r="B252" s="55" t="str">
        <f>IF(AA252="","",A252&amp;"-"&amp;RIGHT("000"&amp;AA252,4))</f>
        <v/>
      </c>
      <c r="C252" s="56" t="n"/>
      <c r="D252" s="54" t="n"/>
      <c r="E252" s="57" t="str">
        <f>IF(D252="","",IF(A252="BL",IFERROR(INDEX(cl_name,MATCH(D252,cl_code,0))&amp;"","Client inconnu"),IF(A252="BR",IFERROR(INDEX(fo_name,MATCH(D252,fo_code,0))&amp;"","Fournisseur inconnu"),IF(A252="BS",IF(ISNA(MATCH(D252,p_services,0)),"Service inconnu",D252&amp;""),""))))</f>
        <v/>
      </c>
      <c r="F252" s="58" t="n"/>
      <c r="G252" s="58" t="n"/>
      <c r="H252" s="59" t="n"/>
      <c r="I252" s="57" t="str">
        <f>IF(H252="","",IFERROR(INDEX(art_des,MATCH(H252,art_ref,0))&amp;"","Article inconnu"))</f>
        <v/>
      </c>
      <c r="J252" s="60" t="str">
        <f>IF(H252="","",IFERROR(INDEX(art_unit,MATCH(H252,art_ref,0))&amp;"",""))</f>
        <v/>
      </c>
      <c r="K252" s="59" t="n"/>
      <c r="L252" s="59" t="n"/>
      <c r="M252" s="61" t="str">
        <f>IF(OR(B252="",NOT(ISNUMBER(K252)),NOT(ISNUMBER(L252))),"",IF(OR(K252&lt;=0,L252&lt;=0),"",ROUND(L252-K252,6)))</f>
        <v/>
      </c>
      <c r="N252" s="58" t="n"/>
      <c r="O252" s="62" t="n"/>
      <c r="P252" s="63" t="str">
        <f>IF(OR(B252="",NOT(ISNUMBER(L252))),"",IF(L252&lt;=0,"",IFERROR(ROUND(L252*N(INDEX(art_w,MATCH(H252,art_ref,0))),3),"")))</f>
        <v/>
      </c>
      <c r="Q252" s="59" t="n"/>
      <c r="R252" s="54" t="n"/>
      <c r="S252" s="59" t="n"/>
      <c r="T252" s="59" t="n"/>
      <c r="U252" s="64" t="str">
        <f>IF(OR(B252="",H252=""),"",IFERROR(IF(A252="BL",IF(N(INDEX(art_price,MATCH(H252,art_ref,0)))=0,"",N(INDEX(art_price,MATCH(H252,art_ref,0)))),IF(N(INDEX(art_cost,MATCH(H252,art_ref,0)))=0,"",N(INDEX(art_cost,MATCH(H252,art_ref,0))))),""))</f>
        <v/>
      </c>
      <c r="V252" s="64" t="str">
        <f>IF(OR(U252="",NOT(ISNUMBER(L252))),"",IF(L252&lt;=0,"",ROUND(L252*U252,2)))</f>
        <v/>
      </c>
      <c r="W252" s="60" t="str">
        <f>IF(AND(B252&lt;&gt;"",A252&lt;&gt;"BS",F252&lt;&gt;"",H252&lt;&gt;"",ISNUMBER(K252),ISNUMBER(L252)),IF(AND(K252&gt;0,L252&gt;0,K252-L252&gt;0,COUNTIFS(A253:A$2005,A252,F253:F$2005,F252,H253:H$2005,H252,AA253:AA$2005,"&gt;0")=0),ROUND(K252-L252,6),""),"")</f>
        <v/>
      </c>
      <c r="X252" s="60" t="str">
        <f>IF(AND(A252="",C252="",D252="",H252="",L252=""),"",IF(A252="","Type manquant",IF(AND(A252&lt;&gt;"BL",A252&lt;&gt;"BR",A252&lt;&gt;"BS"),"Type inconnu (BL, BR ou BS)",IF(AG252=0,"Date manquante ou invalide",IF(D252="",IF(A252="BL","Client manquant",IF(A252="BR","Fournisseur manquant","Service manquant")),IF(IF(A252="BL",ISNA(MATCH(D252,cl_code,0)),IF(A252="BR",ISNA(MATCH(D252,fo_code,0)),ISNA(MATCH(D252,p_services,0)))),IF(A252="BL","Client inconnu",IF(A252="BR","Fournisseur inconnu","Service inconnu")),IF(H252="","Article manquant",IF(ISNA(MATCH(H252,art_ref,0)),"Article inconnu",IF(OR(NOT(ISNUMBER(L252)),N(L252)&lt;=0),"Quantité invalide",IF(AND(K252&lt;&gt;"",OR(NOT(ISNUMBER(K252)),N(K252)&lt;=0)),"Qté commandée invalide",IF(AG252&lt;SUMPRODUCT(MAX((A$6:A251=A252)*AG$6:AG251)),"Date antérieure au bon précédent",IF(AND(A252&lt;&gt;"BR",ISNUMBER(M252),N(M252)&gt;0),IF(A252="BL","Livré plus que commandé","Sorti plus que demandé"),"OK"))))))))))))</f>
        <v/>
      </c>
      <c r="Y252" s="57" t="str">
        <f>IF(AND(OR(A252="BL",A252="BR",A252="BS"),AG252&gt;0,D252&lt;&gt;""),A252&amp;"|"&amp;AG252&amp;"|"&amp;D252&amp;"|"&amp;F252,"")</f>
        <v/>
      </c>
      <c r="Z252" s="57" t="str">
        <f>IF(Y252="","",IF(COUNTIF(Y$6:Y251,Y252)=0,1,0))</f>
        <v/>
      </c>
      <c r="AA252" s="57" t="str">
        <f>IF(Y252="","",IF(Z252=1,COUNTIFS(A$6:A252,A252,Z$6:Z252,1),INDEX(AA$6:AA251,MATCH(Y252,Y$6:Y251,0))))</f>
        <v/>
      </c>
      <c r="AB252" s="57" t="str">
        <f>IF(B252="","",COUNTIF(B$6:B252,B252))</f>
        <v/>
      </c>
      <c r="AC252" s="57" t="str">
        <f>IF(B252="","",B252&amp;"#"&amp;AB252)</f>
        <v/>
      </c>
      <c r="AD252" s="57" t="str">
        <f>IF(Z252=1,A252&amp;AA252,"")</f>
        <v/>
      </c>
      <c r="AE252" s="57" t="str">
        <f>IF(B252="","",YEAR(C252))</f>
        <v/>
      </c>
      <c r="AF252" s="57" t="str">
        <f>IF(B252="","",MONTH(C252))</f>
        <v/>
      </c>
      <c r="AG252" s="57">
        <f>IF(ISNUMBER(C252),C252,0)</f>
        <v>0.0</v>
      </c>
      <c r="AH252" s="57" t="str">
        <f>IF(N(W252)&gt;0,COUNTIF(W$6:W252,"&gt;0"),"")</f>
        <v/>
      </c>
      <c r="AI252" s="57" t="str">
        <f>IF(Z252=1,COUNTIF(Z$6:Z252,1),"")</f>
        <v/>
      </c>
    </row>
    <row r="253">
      <c r="A253" s="54" t="n"/>
      <c r="B253" s="55" t="str">
        <f>IF(AA253="","",A253&amp;"-"&amp;RIGHT("000"&amp;AA253,4))</f>
        <v/>
      </c>
      <c r="C253" s="56" t="n"/>
      <c r="D253" s="54" t="n"/>
      <c r="E253" s="57" t="str">
        <f>IF(D253="","",IF(A253="BL",IFERROR(INDEX(cl_name,MATCH(D253,cl_code,0))&amp;"","Client inconnu"),IF(A253="BR",IFERROR(INDEX(fo_name,MATCH(D253,fo_code,0))&amp;"","Fournisseur inconnu"),IF(A253="BS",IF(ISNA(MATCH(D253,p_services,0)),"Service inconnu",D253&amp;""),""))))</f>
        <v/>
      </c>
      <c r="F253" s="58" t="n"/>
      <c r="G253" s="58" t="n"/>
      <c r="H253" s="59" t="n"/>
      <c r="I253" s="57" t="str">
        <f>IF(H253="","",IFERROR(INDEX(art_des,MATCH(H253,art_ref,0))&amp;"","Article inconnu"))</f>
        <v/>
      </c>
      <c r="J253" s="60" t="str">
        <f>IF(H253="","",IFERROR(INDEX(art_unit,MATCH(H253,art_ref,0))&amp;"",""))</f>
        <v/>
      </c>
      <c r="K253" s="59" t="n"/>
      <c r="L253" s="59" t="n"/>
      <c r="M253" s="61" t="str">
        <f>IF(OR(B253="",NOT(ISNUMBER(K253)),NOT(ISNUMBER(L253))),"",IF(OR(K253&lt;=0,L253&lt;=0),"",ROUND(L253-K253,6)))</f>
        <v/>
      </c>
      <c r="N253" s="58" t="n"/>
      <c r="O253" s="62" t="n"/>
      <c r="P253" s="63" t="str">
        <f>IF(OR(B253="",NOT(ISNUMBER(L253))),"",IF(L253&lt;=0,"",IFERROR(ROUND(L253*N(INDEX(art_w,MATCH(H253,art_ref,0))),3),"")))</f>
        <v/>
      </c>
      <c r="Q253" s="59" t="n"/>
      <c r="R253" s="54" t="n"/>
      <c r="S253" s="59" t="n"/>
      <c r="T253" s="59" t="n"/>
      <c r="U253" s="64" t="str">
        <f>IF(OR(B253="",H253=""),"",IFERROR(IF(A253="BL",IF(N(INDEX(art_price,MATCH(H253,art_ref,0)))=0,"",N(INDEX(art_price,MATCH(H253,art_ref,0)))),IF(N(INDEX(art_cost,MATCH(H253,art_ref,0)))=0,"",N(INDEX(art_cost,MATCH(H253,art_ref,0))))),""))</f>
        <v/>
      </c>
      <c r="V253" s="64" t="str">
        <f>IF(OR(U253="",NOT(ISNUMBER(L253))),"",IF(L253&lt;=0,"",ROUND(L253*U253,2)))</f>
        <v/>
      </c>
      <c r="W253" s="60" t="str">
        <f>IF(AND(B253&lt;&gt;"",A253&lt;&gt;"BS",F253&lt;&gt;"",H253&lt;&gt;"",ISNUMBER(K253),ISNUMBER(L253)),IF(AND(K253&gt;0,L253&gt;0,K253-L253&gt;0,COUNTIFS(A254:A$2005,A253,F254:F$2005,F253,H254:H$2005,H253,AA254:AA$2005,"&gt;0")=0),ROUND(K253-L253,6),""),"")</f>
        <v/>
      </c>
      <c r="X253" s="60" t="str">
        <f>IF(AND(A253="",C253="",D253="",H253="",L253=""),"",IF(A253="","Type manquant",IF(AND(A253&lt;&gt;"BL",A253&lt;&gt;"BR",A253&lt;&gt;"BS"),"Type inconnu (BL, BR ou BS)",IF(AG253=0,"Date manquante ou invalide",IF(D253="",IF(A253="BL","Client manquant",IF(A253="BR","Fournisseur manquant","Service manquant")),IF(IF(A253="BL",ISNA(MATCH(D253,cl_code,0)),IF(A253="BR",ISNA(MATCH(D253,fo_code,0)),ISNA(MATCH(D253,p_services,0)))),IF(A253="BL","Client inconnu",IF(A253="BR","Fournisseur inconnu","Service inconnu")),IF(H253="","Article manquant",IF(ISNA(MATCH(H253,art_ref,0)),"Article inconnu",IF(OR(NOT(ISNUMBER(L253)),N(L253)&lt;=0),"Quantité invalide",IF(AND(K253&lt;&gt;"",OR(NOT(ISNUMBER(K253)),N(K253)&lt;=0)),"Qté commandée invalide",IF(AG253&lt;SUMPRODUCT(MAX((A$6:A252=A253)*AG$6:AG252)),"Date antérieure au bon précédent",IF(AND(A253&lt;&gt;"BR",ISNUMBER(M253),N(M253)&gt;0),IF(A253="BL","Livré plus que commandé","Sorti plus que demandé"),"OK"))))))))))))</f>
        <v/>
      </c>
      <c r="Y253" s="57" t="str">
        <f>IF(AND(OR(A253="BL",A253="BR",A253="BS"),AG253&gt;0,D253&lt;&gt;""),A253&amp;"|"&amp;AG253&amp;"|"&amp;D253&amp;"|"&amp;F253,"")</f>
        <v/>
      </c>
      <c r="Z253" s="57" t="str">
        <f>IF(Y253="","",IF(COUNTIF(Y$6:Y252,Y253)=0,1,0))</f>
        <v/>
      </c>
      <c r="AA253" s="57" t="str">
        <f>IF(Y253="","",IF(Z253=1,COUNTIFS(A$6:A253,A253,Z$6:Z253,1),INDEX(AA$6:AA252,MATCH(Y253,Y$6:Y252,0))))</f>
        <v/>
      </c>
      <c r="AB253" s="57" t="str">
        <f>IF(B253="","",COUNTIF(B$6:B253,B253))</f>
        <v/>
      </c>
      <c r="AC253" s="57" t="str">
        <f>IF(B253="","",B253&amp;"#"&amp;AB253)</f>
        <v/>
      </c>
      <c r="AD253" s="57" t="str">
        <f>IF(Z253=1,A253&amp;AA253,"")</f>
        <v/>
      </c>
      <c r="AE253" s="57" t="str">
        <f>IF(B253="","",YEAR(C253))</f>
        <v/>
      </c>
      <c r="AF253" s="57" t="str">
        <f>IF(B253="","",MONTH(C253))</f>
        <v/>
      </c>
      <c r="AG253" s="57">
        <f>IF(ISNUMBER(C253),C253,0)</f>
        <v>0.0</v>
      </c>
      <c r="AH253" s="57" t="str">
        <f>IF(N(W253)&gt;0,COUNTIF(W$6:W253,"&gt;0"),"")</f>
        <v/>
      </c>
      <c r="AI253" s="57" t="str">
        <f>IF(Z253=1,COUNTIF(Z$6:Z253,1),"")</f>
        <v/>
      </c>
    </row>
    <row r="254">
      <c r="A254" s="54" t="n"/>
      <c r="B254" s="55" t="str">
        <f>IF(AA254="","",A254&amp;"-"&amp;RIGHT("000"&amp;AA254,4))</f>
        <v/>
      </c>
      <c r="C254" s="56" t="n"/>
      <c r="D254" s="54" t="n"/>
      <c r="E254" s="57" t="str">
        <f>IF(D254="","",IF(A254="BL",IFERROR(INDEX(cl_name,MATCH(D254,cl_code,0))&amp;"","Client inconnu"),IF(A254="BR",IFERROR(INDEX(fo_name,MATCH(D254,fo_code,0))&amp;"","Fournisseur inconnu"),IF(A254="BS",IF(ISNA(MATCH(D254,p_services,0)),"Service inconnu",D254&amp;""),""))))</f>
        <v/>
      </c>
      <c r="F254" s="58" t="n"/>
      <c r="G254" s="58" t="n"/>
      <c r="H254" s="59" t="n"/>
      <c r="I254" s="57" t="str">
        <f>IF(H254="","",IFERROR(INDEX(art_des,MATCH(H254,art_ref,0))&amp;"","Article inconnu"))</f>
        <v/>
      </c>
      <c r="J254" s="60" t="str">
        <f>IF(H254="","",IFERROR(INDEX(art_unit,MATCH(H254,art_ref,0))&amp;"",""))</f>
        <v/>
      </c>
      <c r="K254" s="59" t="n"/>
      <c r="L254" s="59" t="n"/>
      <c r="M254" s="61" t="str">
        <f>IF(OR(B254="",NOT(ISNUMBER(K254)),NOT(ISNUMBER(L254))),"",IF(OR(K254&lt;=0,L254&lt;=0),"",ROUND(L254-K254,6)))</f>
        <v/>
      </c>
      <c r="N254" s="58" t="n"/>
      <c r="O254" s="62" t="n"/>
      <c r="P254" s="63" t="str">
        <f>IF(OR(B254="",NOT(ISNUMBER(L254))),"",IF(L254&lt;=0,"",IFERROR(ROUND(L254*N(INDEX(art_w,MATCH(H254,art_ref,0))),3),"")))</f>
        <v/>
      </c>
      <c r="Q254" s="59" t="n"/>
      <c r="R254" s="54" t="n"/>
      <c r="S254" s="59" t="n"/>
      <c r="T254" s="59" t="n"/>
      <c r="U254" s="64" t="str">
        <f>IF(OR(B254="",H254=""),"",IFERROR(IF(A254="BL",IF(N(INDEX(art_price,MATCH(H254,art_ref,0)))=0,"",N(INDEX(art_price,MATCH(H254,art_ref,0)))),IF(N(INDEX(art_cost,MATCH(H254,art_ref,0)))=0,"",N(INDEX(art_cost,MATCH(H254,art_ref,0))))),""))</f>
        <v/>
      </c>
      <c r="V254" s="64" t="str">
        <f>IF(OR(U254="",NOT(ISNUMBER(L254))),"",IF(L254&lt;=0,"",ROUND(L254*U254,2)))</f>
        <v/>
      </c>
      <c r="W254" s="60" t="str">
        <f>IF(AND(B254&lt;&gt;"",A254&lt;&gt;"BS",F254&lt;&gt;"",H254&lt;&gt;"",ISNUMBER(K254),ISNUMBER(L254)),IF(AND(K254&gt;0,L254&gt;0,K254-L254&gt;0,COUNTIFS(A255:A$2005,A254,F255:F$2005,F254,H255:H$2005,H254,AA255:AA$2005,"&gt;0")=0),ROUND(K254-L254,6),""),"")</f>
        <v/>
      </c>
      <c r="X254" s="60" t="str">
        <f>IF(AND(A254="",C254="",D254="",H254="",L254=""),"",IF(A254="","Type manquant",IF(AND(A254&lt;&gt;"BL",A254&lt;&gt;"BR",A254&lt;&gt;"BS"),"Type inconnu (BL, BR ou BS)",IF(AG254=0,"Date manquante ou invalide",IF(D254="",IF(A254="BL","Client manquant",IF(A254="BR","Fournisseur manquant","Service manquant")),IF(IF(A254="BL",ISNA(MATCH(D254,cl_code,0)),IF(A254="BR",ISNA(MATCH(D254,fo_code,0)),ISNA(MATCH(D254,p_services,0)))),IF(A254="BL","Client inconnu",IF(A254="BR","Fournisseur inconnu","Service inconnu")),IF(H254="","Article manquant",IF(ISNA(MATCH(H254,art_ref,0)),"Article inconnu",IF(OR(NOT(ISNUMBER(L254)),N(L254)&lt;=0),"Quantité invalide",IF(AND(K254&lt;&gt;"",OR(NOT(ISNUMBER(K254)),N(K254)&lt;=0)),"Qté commandée invalide",IF(AG254&lt;SUMPRODUCT(MAX((A$6:A253=A254)*AG$6:AG253)),"Date antérieure au bon précédent",IF(AND(A254&lt;&gt;"BR",ISNUMBER(M254),N(M254)&gt;0),IF(A254="BL","Livré plus que commandé","Sorti plus que demandé"),"OK"))))))))))))</f>
        <v/>
      </c>
      <c r="Y254" s="57" t="str">
        <f>IF(AND(OR(A254="BL",A254="BR",A254="BS"),AG254&gt;0,D254&lt;&gt;""),A254&amp;"|"&amp;AG254&amp;"|"&amp;D254&amp;"|"&amp;F254,"")</f>
        <v/>
      </c>
      <c r="Z254" s="57" t="str">
        <f>IF(Y254="","",IF(COUNTIF(Y$6:Y253,Y254)=0,1,0))</f>
        <v/>
      </c>
      <c r="AA254" s="57" t="str">
        <f>IF(Y254="","",IF(Z254=1,COUNTIFS(A$6:A254,A254,Z$6:Z254,1),INDEX(AA$6:AA253,MATCH(Y254,Y$6:Y253,0))))</f>
        <v/>
      </c>
      <c r="AB254" s="57" t="str">
        <f>IF(B254="","",COUNTIF(B$6:B254,B254))</f>
        <v/>
      </c>
      <c r="AC254" s="57" t="str">
        <f>IF(B254="","",B254&amp;"#"&amp;AB254)</f>
        <v/>
      </c>
      <c r="AD254" s="57" t="str">
        <f>IF(Z254=1,A254&amp;AA254,"")</f>
        <v/>
      </c>
      <c r="AE254" s="57" t="str">
        <f>IF(B254="","",YEAR(C254))</f>
        <v/>
      </c>
      <c r="AF254" s="57" t="str">
        <f>IF(B254="","",MONTH(C254))</f>
        <v/>
      </c>
      <c r="AG254" s="57">
        <f>IF(ISNUMBER(C254),C254,0)</f>
        <v>0.0</v>
      </c>
      <c r="AH254" s="57" t="str">
        <f>IF(N(W254)&gt;0,COUNTIF(W$6:W254,"&gt;0"),"")</f>
        <v/>
      </c>
      <c r="AI254" s="57" t="str">
        <f>IF(Z254=1,COUNTIF(Z$6:Z254,1),"")</f>
        <v/>
      </c>
    </row>
    <row r="255">
      <c r="A255" s="54" t="n"/>
      <c r="B255" s="55" t="str">
        <f>IF(AA255="","",A255&amp;"-"&amp;RIGHT("000"&amp;AA255,4))</f>
        <v/>
      </c>
      <c r="C255" s="56" t="n"/>
      <c r="D255" s="54" t="n"/>
      <c r="E255" s="57" t="str">
        <f>IF(D255="","",IF(A255="BL",IFERROR(INDEX(cl_name,MATCH(D255,cl_code,0))&amp;"","Client inconnu"),IF(A255="BR",IFERROR(INDEX(fo_name,MATCH(D255,fo_code,0))&amp;"","Fournisseur inconnu"),IF(A255="BS",IF(ISNA(MATCH(D255,p_services,0)),"Service inconnu",D255&amp;""),""))))</f>
        <v/>
      </c>
      <c r="F255" s="58" t="n"/>
      <c r="G255" s="58" t="n"/>
      <c r="H255" s="59" t="n"/>
      <c r="I255" s="57" t="str">
        <f>IF(H255="","",IFERROR(INDEX(art_des,MATCH(H255,art_ref,0))&amp;"","Article inconnu"))</f>
        <v/>
      </c>
      <c r="J255" s="60" t="str">
        <f>IF(H255="","",IFERROR(INDEX(art_unit,MATCH(H255,art_ref,0))&amp;"",""))</f>
        <v/>
      </c>
      <c r="K255" s="59" t="n"/>
      <c r="L255" s="59" t="n"/>
      <c r="M255" s="61" t="str">
        <f>IF(OR(B255="",NOT(ISNUMBER(K255)),NOT(ISNUMBER(L255))),"",IF(OR(K255&lt;=0,L255&lt;=0),"",ROUND(L255-K255,6)))</f>
        <v/>
      </c>
      <c r="N255" s="58" t="n"/>
      <c r="O255" s="62" t="n"/>
      <c r="P255" s="63" t="str">
        <f>IF(OR(B255="",NOT(ISNUMBER(L255))),"",IF(L255&lt;=0,"",IFERROR(ROUND(L255*N(INDEX(art_w,MATCH(H255,art_ref,0))),3),"")))</f>
        <v/>
      </c>
      <c r="Q255" s="59" t="n"/>
      <c r="R255" s="54" t="n"/>
      <c r="S255" s="59" t="n"/>
      <c r="T255" s="59" t="n"/>
      <c r="U255" s="64" t="str">
        <f>IF(OR(B255="",H255=""),"",IFERROR(IF(A255="BL",IF(N(INDEX(art_price,MATCH(H255,art_ref,0)))=0,"",N(INDEX(art_price,MATCH(H255,art_ref,0)))),IF(N(INDEX(art_cost,MATCH(H255,art_ref,0)))=0,"",N(INDEX(art_cost,MATCH(H255,art_ref,0))))),""))</f>
        <v/>
      </c>
      <c r="V255" s="64" t="str">
        <f>IF(OR(U255="",NOT(ISNUMBER(L255))),"",IF(L255&lt;=0,"",ROUND(L255*U255,2)))</f>
        <v/>
      </c>
      <c r="W255" s="60" t="str">
        <f>IF(AND(B255&lt;&gt;"",A255&lt;&gt;"BS",F255&lt;&gt;"",H255&lt;&gt;"",ISNUMBER(K255),ISNUMBER(L255)),IF(AND(K255&gt;0,L255&gt;0,K255-L255&gt;0,COUNTIFS(A256:A$2005,A255,F256:F$2005,F255,H256:H$2005,H255,AA256:AA$2005,"&gt;0")=0),ROUND(K255-L255,6),""),"")</f>
        <v/>
      </c>
      <c r="X255" s="60" t="str">
        <f>IF(AND(A255="",C255="",D255="",H255="",L255=""),"",IF(A255="","Type manquant",IF(AND(A255&lt;&gt;"BL",A255&lt;&gt;"BR",A255&lt;&gt;"BS"),"Type inconnu (BL, BR ou BS)",IF(AG255=0,"Date manquante ou invalide",IF(D255="",IF(A255="BL","Client manquant",IF(A255="BR","Fournisseur manquant","Service manquant")),IF(IF(A255="BL",ISNA(MATCH(D255,cl_code,0)),IF(A255="BR",ISNA(MATCH(D255,fo_code,0)),ISNA(MATCH(D255,p_services,0)))),IF(A255="BL","Client inconnu",IF(A255="BR","Fournisseur inconnu","Service inconnu")),IF(H255="","Article manquant",IF(ISNA(MATCH(H255,art_ref,0)),"Article inconnu",IF(OR(NOT(ISNUMBER(L255)),N(L255)&lt;=0),"Quantité invalide",IF(AND(K255&lt;&gt;"",OR(NOT(ISNUMBER(K255)),N(K255)&lt;=0)),"Qté commandée invalide",IF(AG255&lt;SUMPRODUCT(MAX((A$6:A254=A255)*AG$6:AG254)),"Date antérieure au bon précédent",IF(AND(A255&lt;&gt;"BR",ISNUMBER(M255),N(M255)&gt;0),IF(A255="BL","Livré plus que commandé","Sorti plus que demandé"),"OK"))))))))))))</f>
        <v/>
      </c>
      <c r="Y255" s="57" t="str">
        <f>IF(AND(OR(A255="BL",A255="BR",A255="BS"),AG255&gt;0,D255&lt;&gt;""),A255&amp;"|"&amp;AG255&amp;"|"&amp;D255&amp;"|"&amp;F255,"")</f>
        <v/>
      </c>
      <c r="Z255" s="57" t="str">
        <f>IF(Y255="","",IF(COUNTIF(Y$6:Y254,Y255)=0,1,0))</f>
        <v/>
      </c>
      <c r="AA255" s="57" t="str">
        <f>IF(Y255="","",IF(Z255=1,COUNTIFS(A$6:A255,A255,Z$6:Z255,1),INDEX(AA$6:AA254,MATCH(Y255,Y$6:Y254,0))))</f>
        <v/>
      </c>
      <c r="AB255" s="57" t="str">
        <f>IF(B255="","",COUNTIF(B$6:B255,B255))</f>
        <v/>
      </c>
      <c r="AC255" s="57" t="str">
        <f>IF(B255="","",B255&amp;"#"&amp;AB255)</f>
        <v/>
      </c>
      <c r="AD255" s="57" t="str">
        <f>IF(Z255=1,A255&amp;AA255,"")</f>
        <v/>
      </c>
      <c r="AE255" s="57" t="str">
        <f>IF(B255="","",YEAR(C255))</f>
        <v/>
      </c>
      <c r="AF255" s="57" t="str">
        <f>IF(B255="","",MONTH(C255))</f>
        <v/>
      </c>
      <c r="AG255" s="57">
        <f>IF(ISNUMBER(C255),C255,0)</f>
        <v>0.0</v>
      </c>
      <c r="AH255" s="57" t="str">
        <f>IF(N(W255)&gt;0,COUNTIF(W$6:W255,"&gt;0"),"")</f>
        <v/>
      </c>
      <c r="AI255" s="57" t="str">
        <f>IF(Z255=1,COUNTIF(Z$6:Z255,1),"")</f>
        <v/>
      </c>
    </row>
    <row r="256">
      <c r="A256" s="54" t="n"/>
      <c r="B256" s="55" t="str">
        <f>IF(AA256="","",A256&amp;"-"&amp;RIGHT("000"&amp;AA256,4))</f>
        <v/>
      </c>
      <c r="C256" s="56" t="n"/>
      <c r="D256" s="54" t="n"/>
      <c r="E256" s="57" t="str">
        <f>IF(D256="","",IF(A256="BL",IFERROR(INDEX(cl_name,MATCH(D256,cl_code,0))&amp;"","Client inconnu"),IF(A256="BR",IFERROR(INDEX(fo_name,MATCH(D256,fo_code,0))&amp;"","Fournisseur inconnu"),IF(A256="BS",IF(ISNA(MATCH(D256,p_services,0)),"Service inconnu",D256&amp;""),""))))</f>
        <v/>
      </c>
      <c r="F256" s="58" t="n"/>
      <c r="G256" s="58" t="n"/>
      <c r="H256" s="59" t="n"/>
      <c r="I256" s="57" t="str">
        <f>IF(H256="","",IFERROR(INDEX(art_des,MATCH(H256,art_ref,0))&amp;"","Article inconnu"))</f>
        <v/>
      </c>
      <c r="J256" s="60" t="str">
        <f>IF(H256="","",IFERROR(INDEX(art_unit,MATCH(H256,art_ref,0))&amp;"",""))</f>
        <v/>
      </c>
      <c r="K256" s="59" t="n"/>
      <c r="L256" s="59" t="n"/>
      <c r="M256" s="61" t="str">
        <f>IF(OR(B256="",NOT(ISNUMBER(K256)),NOT(ISNUMBER(L256))),"",IF(OR(K256&lt;=0,L256&lt;=0),"",ROUND(L256-K256,6)))</f>
        <v/>
      </c>
      <c r="N256" s="58" t="n"/>
      <c r="O256" s="62" t="n"/>
      <c r="P256" s="63" t="str">
        <f>IF(OR(B256="",NOT(ISNUMBER(L256))),"",IF(L256&lt;=0,"",IFERROR(ROUND(L256*N(INDEX(art_w,MATCH(H256,art_ref,0))),3),"")))</f>
        <v/>
      </c>
      <c r="Q256" s="59" t="n"/>
      <c r="R256" s="54" t="n"/>
      <c r="S256" s="59" t="n"/>
      <c r="T256" s="59" t="n"/>
      <c r="U256" s="64" t="str">
        <f>IF(OR(B256="",H256=""),"",IFERROR(IF(A256="BL",IF(N(INDEX(art_price,MATCH(H256,art_ref,0)))=0,"",N(INDEX(art_price,MATCH(H256,art_ref,0)))),IF(N(INDEX(art_cost,MATCH(H256,art_ref,0)))=0,"",N(INDEX(art_cost,MATCH(H256,art_ref,0))))),""))</f>
        <v/>
      </c>
      <c r="V256" s="64" t="str">
        <f>IF(OR(U256="",NOT(ISNUMBER(L256))),"",IF(L256&lt;=0,"",ROUND(L256*U256,2)))</f>
        <v/>
      </c>
      <c r="W256" s="60" t="str">
        <f>IF(AND(B256&lt;&gt;"",A256&lt;&gt;"BS",F256&lt;&gt;"",H256&lt;&gt;"",ISNUMBER(K256),ISNUMBER(L256)),IF(AND(K256&gt;0,L256&gt;0,K256-L256&gt;0,COUNTIFS(A257:A$2005,A256,F257:F$2005,F256,H257:H$2005,H256,AA257:AA$2005,"&gt;0")=0),ROUND(K256-L256,6),""),"")</f>
        <v/>
      </c>
      <c r="X256" s="60" t="str">
        <f>IF(AND(A256="",C256="",D256="",H256="",L256=""),"",IF(A256="","Type manquant",IF(AND(A256&lt;&gt;"BL",A256&lt;&gt;"BR",A256&lt;&gt;"BS"),"Type inconnu (BL, BR ou BS)",IF(AG256=0,"Date manquante ou invalide",IF(D256="",IF(A256="BL","Client manquant",IF(A256="BR","Fournisseur manquant","Service manquant")),IF(IF(A256="BL",ISNA(MATCH(D256,cl_code,0)),IF(A256="BR",ISNA(MATCH(D256,fo_code,0)),ISNA(MATCH(D256,p_services,0)))),IF(A256="BL","Client inconnu",IF(A256="BR","Fournisseur inconnu","Service inconnu")),IF(H256="","Article manquant",IF(ISNA(MATCH(H256,art_ref,0)),"Article inconnu",IF(OR(NOT(ISNUMBER(L256)),N(L256)&lt;=0),"Quantité invalide",IF(AND(K256&lt;&gt;"",OR(NOT(ISNUMBER(K256)),N(K256)&lt;=0)),"Qté commandée invalide",IF(AG256&lt;SUMPRODUCT(MAX((A$6:A255=A256)*AG$6:AG255)),"Date antérieure au bon précédent",IF(AND(A256&lt;&gt;"BR",ISNUMBER(M256),N(M256)&gt;0),IF(A256="BL","Livré plus que commandé","Sorti plus que demandé"),"OK"))))))))))))</f>
        <v/>
      </c>
      <c r="Y256" s="57" t="str">
        <f>IF(AND(OR(A256="BL",A256="BR",A256="BS"),AG256&gt;0,D256&lt;&gt;""),A256&amp;"|"&amp;AG256&amp;"|"&amp;D256&amp;"|"&amp;F256,"")</f>
        <v/>
      </c>
      <c r="Z256" s="57" t="str">
        <f>IF(Y256="","",IF(COUNTIF(Y$6:Y255,Y256)=0,1,0))</f>
        <v/>
      </c>
      <c r="AA256" s="57" t="str">
        <f>IF(Y256="","",IF(Z256=1,COUNTIFS(A$6:A256,A256,Z$6:Z256,1),INDEX(AA$6:AA255,MATCH(Y256,Y$6:Y255,0))))</f>
        <v/>
      </c>
      <c r="AB256" s="57" t="str">
        <f>IF(B256="","",COUNTIF(B$6:B256,B256))</f>
        <v/>
      </c>
      <c r="AC256" s="57" t="str">
        <f>IF(B256="","",B256&amp;"#"&amp;AB256)</f>
        <v/>
      </c>
      <c r="AD256" s="57" t="str">
        <f>IF(Z256=1,A256&amp;AA256,"")</f>
        <v/>
      </c>
      <c r="AE256" s="57" t="str">
        <f>IF(B256="","",YEAR(C256))</f>
        <v/>
      </c>
      <c r="AF256" s="57" t="str">
        <f>IF(B256="","",MONTH(C256))</f>
        <v/>
      </c>
      <c r="AG256" s="57">
        <f>IF(ISNUMBER(C256),C256,0)</f>
        <v>0.0</v>
      </c>
      <c r="AH256" s="57" t="str">
        <f>IF(N(W256)&gt;0,COUNTIF(W$6:W256,"&gt;0"),"")</f>
        <v/>
      </c>
      <c r="AI256" s="57" t="str">
        <f>IF(Z256=1,COUNTIF(Z$6:Z256,1),"")</f>
        <v/>
      </c>
    </row>
    <row r="257">
      <c r="A257" s="54" t="n"/>
      <c r="B257" s="55" t="str">
        <f>IF(AA257="","",A257&amp;"-"&amp;RIGHT("000"&amp;AA257,4))</f>
        <v/>
      </c>
      <c r="C257" s="56" t="n"/>
      <c r="D257" s="54" t="n"/>
      <c r="E257" s="57" t="str">
        <f>IF(D257="","",IF(A257="BL",IFERROR(INDEX(cl_name,MATCH(D257,cl_code,0))&amp;"","Client inconnu"),IF(A257="BR",IFERROR(INDEX(fo_name,MATCH(D257,fo_code,0))&amp;"","Fournisseur inconnu"),IF(A257="BS",IF(ISNA(MATCH(D257,p_services,0)),"Service inconnu",D257&amp;""),""))))</f>
        <v/>
      </c>
      <c r="F257" s="58" t="n"/>
      <c r="G257" s="58" t="n"/>
      <c r="H257" s="59" t="n"/>
      <c r="I257" s="57" t="str">
        <f>IF(H257="","",IFERROR(INDEX(art_des,MATCH(H257,art_ref,0))&amp;"","Article inconnu"))</f>
        <v/>
      </c>
      <c r="J257" s="60" t="str">
        <f>IF(H257="","",IFERROR(INDEX(art_unit,MATCH(H257,art_ref,0))&amp;"",""))</f>
        <v/>
      </c>
      <c r="K257" s="59" t="n"/>
      <c r="L257" s="59" t="n"/>
      <c r="M257" s="61" t="str">
        <f>IF(OR(B257="",NOT(ISNUMBER(K257)),NOT(ISNUMBER(L257))),"",IF(OR(K257&lt;=0,L257&lt;=0),"",ROUND(L257-K257,6)))</f>
        <v/>
      </c>
      <c r="N257" s="58" t="n"/>
      <c r="O257" s="62" t="n"/>
      <c r="P257" s="63" t="str">
        <f>IF(OR(B257="",NOT(ISNUMBER(L257))),"",IF(L257&lt;=0,"",IFERROR(ROUND(L257*N(INDEX(art_w,MATCH(H257,art_ref,0))),3),"")))</f>
        <v/>
      </c>
      <c r="Q257" s="59" t="n"/>
      <c r="R257" s="54" t="n"/>
      <c r="S257" s="59" t="n"/>
      <c r="T257" s="59" t="n"/>
      <c r="U257" s="64" t="str">
        <f>IF(OR(B257="",H257=""),"",IFERROR(IF(A257="BL",IF(N(INDEX(art_price,MATCH(H257,art_ref,0)))=0,"",N(INDEX(art_price,MATCH(H257,art_ref,0)))),IF(N(INDEX(art_cost,MATCH(H257,art_ref,0)))=0,"",N(INDEX(art_cost,MATCH(H257,art_ref,0))))),""))</f>
        <v/>
      </c>
      <c r="V257" s="64" t="str">
        <f>IF(OR(U257="",NOT(ISNUMBER(L257))),"",IF(L257&lt;=0,"",ROUND(L257*U257,2)))</f>
        <v/>
      </c>
      <c r="W257" s="60" t="str">
        <f>IF(AND(B257&lt;&gt;"",A257&lt;&gt;"BS",F257&lt;&gt;"",H257&lt;&gt;"",ISNUMBER(K257),ISNUMBER(L257)),IF(AND(K257&gt;0,L257&gt;0,K257-L257&gt;0,COUNTIFS(A258:A$2005,A257,F258:F$2005,F257,H258:H$2005,H257,AA258:AA$2005,"&gt;0")=0),ROUND(K257-L257,6),""),"")</f>
        <v/>
      </c>
      <c r="X257" s="60" t="str">
        <f>IF(AND(A257="",C257="",D257="",H257="",L257=""),"",IF(A257="","Type manquant",IF(AND(A257&lt;&gt;"BL",A257&lt;&gt;"BR",A257&lt;&gt;"BS"),"Type inconnu (BL, BR ou BS)",IF(AG257=0,"Date manquante ou invalide",IF(D257="",IF(A257="BL","Client manquant",IF(A257="BR","Fournisseur manquant","Service manquant")),IF(IF(A257="BL",ISNA(MATCH(D257,cl_code,0)),IF(A257="BR",ISNA(MATCH(D257,fo_code,0)),ISNA(MATCH(D257,p_services,0)))),IF(A257="BL","Client inconnu",IF(A257="BR","Fournisseur inconnu","Service inconnu")),IF(H257="","Article manquant",IF(ISNA(MATCH(H257,art_ref,0)),"Article inconnu",IF(OR(NOT(ISNUMBER(L257)),N(L257)&lt;=0),"Quantité invalide",IF(AND(K257&lt;&gt;"",OR(NOT(ISNUMBER(K257)),N(K257)&lt;=0)),"Qté commandée invalide",IF(AG257&lt;SUMPRODUCT(MAX((A$6:A256=A257)*AG$6:AG256)),"Date antérieure au bon précédent",IF(AND(A257&lt;&gt;"BR",ISNUMBER(M257),N(M257)&gt;0),IF(A257="BL","Livré plus que commandé","Sorti plus que demandé"),"OK"))))))))))))</f>
        <v/>
      </c>
      <c r="Y257" s="57" t="str">
        <f>IF(AND(OR(A257="BL",A257="BR",A257="BS"),AG257&gt;0,D257&lt;&gt;""),A257&amp;"|"&amp;AG257&amp;"|"&amp;D257&amp;"|"&amp;F257,"")</f>
        <v/>
      </c>
      <c r="Z257" s="57" t="str">
        <f>IF(Y257="","",IF(COUNTIF(Y$6:Y256,Y257)=0,1,0))</f>
        <v/>
      </c>
      <c r="AA257" s="57" t="str">
        <f>IF(Y257="","",IF(Z257=1,COUNTIFS(A$6:A257,A257,Z$6:Z257,1),INDEX(AA$6:AA256,MATCH(Y257,Y$6:Y256,0))))</f>
        <v/>
      </c>
      <c r="AB257" s="57" t="str">
        <f>IF(B257="","",COUNTIF(B$6:B257,B257))</f>
        <v/>
      </c>
      <c r="AC257" s="57" t="str">
        <f>IF(B257="","",B257&amp;"#"&amp;AB257)</f>
        <v/>
      </c>
      <c r="AD257" s="57" t="str">
        <f>IF(Z257=1,A257&amp;AA257,"")</f>
        <v/>
      </c>
      <c r="AE257" s="57" t="str">
        <f>IF(B257="","",YEAR(C257))</f>
        <v/>
      </c>
      <c r="AF257" s="57" t="str">
        <f>IF(B257="","",MONTH(C257))</f>
        <v/>
      </c>
      <c r="AG257" s="57">
        <f>IF(ISNUMBER(C257),C257,0)</f>
        <v>0.0</v>
      </c>
      <c r="AH257" s="57" t="str">
        <f>IF(N(W257)&gt;0,COUNTIF(W$6:W257,"&gt;0"),"")</f>
        <v/>
      </c>
      <c r="AI257" s="57" t="str">
        <f>IF(Z257=1,COUNTIF(Z$6:Z257,1),"")</f>
        <v/>
      </c>
    </row>
    <row r="258">
      <c r="A258" s="54" t="n"/>
      <c r="B258" s="55" t="str">
        <f>IF(AA258="","",A258&amp;"-"&amp;RIGHT("000"&amp;AA258,4))</f>
        <v/>
      </c>
      <c r="C258" s="56" t="n"/>
      <c r="D258" s="54" t="n"/>
      <c r="E258" s="57" t="str">
        <f>IF(D258="","",IF(A258="BL",IFERROR(INDEX(cl_name,MATCH(D258,cl_code,0))&amp;"","Client inconnu"),IF(A258="BR",IFERROR(INDEX(fo_name,MATCH(D258,fo_code,0))&amp;"","Fournisseur inconnu"),IF(A258="BS",IF(ISNA(MATCH(D258,p_services,0)),"Service inconnu",D258&amp;""),""))))</f>
        <v/>
      </c>
      <c r="F258" s="58" t="n"/>
      <c r="G258" s="58" t="n"/>
      <c r="H258" s="59" t="n"/>
      <c r="I258" s="57" t="str">
        <f>IF(H258="","",IFERROR(INDEX(art_des,MATCH(H258,art_ref,0))&amp;"","Article inconnu"))</f>
        <v/>
      </c>
      <c r="J258" s="60" t="str">
        <f>IF(H258="","",IFERROR(INDEX(art_unit,MATCH(H258,art_ref,0))&amp;"",""))</f>
        <v/>
      </c>
      <c r="K258" s="59" t="n"/>
      <c r="L258" s="59" t="n"/>
      <c r="M258" s="61" t="str">
        <f>IF(OR(B258="",NOT(ISNUMBER(K258)),NOT(ISNUMBER(L258))),"",IF(OR(K258&lt;=0,L258&lt;=0),"",ROUND(L258-K258,6)))</f>
        <v/>
      </c>
      <c r="N258" s="58" t="n"/>
      <c r="O258" s="62" t="n"/>
      <c r="P258" s="63" t="str">
        <f>IF(OR(B258="",NOT(ISNUMBER(L258))),"",IF(L258&lt;=0,"",IFERROR(ROUND(L258*N(INDEX(art_w,MATCH(H258,art_ref,0))),3),"")))</f>
        <v/>
      </c>
      <c r="Q258" s="59" t="n"/>
      <c r="R258" s="54" t="n"/>
      <c r="S258" s="59" t="n"/>
      <c r="T258" s="59" t="n"/>
      <c r="U258" s="64" t="str">
        <f>IF(OR(B258="",H258=""),"",IFERROR(IF(A258="BL",IF(N(INDEX(art_price,MATCH(H258,art_ref,0)))=0,"",N(INDEX(art_price,MATCH(H258,art_ref,0)))),IF(N(INDEX(art_cost,MATCH(H258,art_ref,0)))=0,"",N(INDEX(art_cost,MATCH(H258,art_ref,0))))),""))</f>
        <v/>
      </c>
      <c r="V258" s="64" t="str">
        <f>IF(OR(U258="",NOT(ISNUMBER(L258))),"",IF(L258&lt;=0,"",ROUND(L258*U258,2)))</f>
        <v/>
      </c>
      <c r="W258" s="60" t="str">
        <f>IF(AND(B258&lt;&gt;"",A258&lt;&gt;"BS",F258&lt;&gt;"",H258&lt;&gt;"",ISNUMBER(K258),ISNUMBER(L258)),IF(AND(K258&gt;0,L258&gt;0,K258-L258&gt;0,COUNTIFS(A259:A$2005,A258,F259:F$2005,F258,H259:H$2005,H258,AA259:AA$2005,"&gt;0")=0),ROUND(K258-L258,6),""),"")</f>
        <v/>
      </c>
      <c r="X258" s="60" t="str">
        <f>IF(AND(A258="",C258="",D258="",H258="",L258=""),"",IF(A258="","Type manquant",IF(AND(A258&lt;&gt;"BL",A258&lt;&gt;"BR",A258&lt;&gt;"BS"),"Type inconnu (BL, BR ou BS)",IF(AG258=0,"Date manquante ou invalide",IF(D258="",IF(A258="BL","Client manquant",IF(A258="BR","Fournisseur manquant","Service manquant")),IF(IF(A258="BL",ISNA(MATCH(D258,cl_code,0)),IF(A258="BR",ISNA(MATCH(D258,fo_code,0)),ISNA(MATCH(D258,p_services,0)))),IF(A258="BL","Client inconnu",IF(A258="BR","Fournisseur inconnu","Service inconnu")),IF(H258="","Article manquant",IF(ISNA(MATCH(H258,art_ref,0)),"Article inconnu",IF(OR(NOT(ISNUMBER(L258)),N(L258)&lt;=0),"Quantité invalide",IF(AND(K258&lt;&gt;"",OR(NOT(ISNUMBER(K258)),N(K258)&lt;=0)),"Qté commandée invalide",IF(AG258&lt;SUMPRODUCT(MAX((A$6:A257=A258)*AG$6:AG257)),"Date antérieure au bon précédent",IF(AND(A258&lt;&gt;"BR",ISNUMBER(M258),N(M258)&gt;0),IF(A258="BL","Livré plus que commandé","Sorti plus que demandé"),"OK"))))))))))))</f>
        <v/>
      </c>
      <c r="Y258" s="57" t="str">
        <f>IF(AND(OR(A258="BL",A258="BR",A258="BS"),AG258&gt;0,D258&lt;&gt;""),A258&amp;"|"&amp;AG258&amp;"|"&amp;D258&amp;"|"&amp;F258,"")</f>
        <v/>
      </c>
      <c r="Z258" s="57" t="str">
        <f>IF(Y258="","",IF(COUNTIF(Y$6:Y257,Y258)=0,1,0))</f>
        <v/>
      </c>
      <c r="AA258" s="57" t="str">
        <f>IF(Y258="","",IF(Z258=1,COUNTIFS(A$6:A258,A258,Z$6:Z258,1),INDEX(AA$6:AA257,MATCH(Y258,Y$6:Y257,0))))</f>
        <v/>
      </c>
      <c r="AB258" s="57" t="str">
        <f>IF(B258="","",COUNTIF(B$6:B258,B258))</f>
        <v/>
      </c>
      <c r="AC258" s="57" t="str">
        <f>IF(B258="","",B258&amp;"#"&amp;AB258)</f>
        <v/>
      </c>
      <c r="AD258" s="57" t="str">
        <f>IF(Z258=1,A258&amp;AA258,"")</f>
        <v/>
      </c>
      <c r="AE258" s="57" t="str">
        <f>IF(B258="","",YEAR(C258))</f>
        <v/>
      </c>
      <c r="AF258" s="57" t="str">
        <f>IF(B258="","",MONTH(C258))</f>
        <v/>
      </c>
      <c r="AG258" s="57">
        <f>IF(ISNUMBER(C258),C258,0)</f>
        <v>0.0</v>
      </c>
      <c r="AH258" s="57" t="str">
        <f>IF(N(W258)&gt;0,COUNTIF(W$6:W258,"&gt;0"),"")</f>
        <v/>
      </c>
      <c r="AI258" s="57" t="str">
        <f>IF(Z258=1,COUNTIF(Z$6:Z258,1),"")</f>
        <v/>
      </c>
    </row>
    <row r="259">
      <c r="A259" s="54" t="n"/>
      <c r="B259" s="55" t="str">
        <f>IF(AA259="","",A259&amp;"-"&amp;RIGHT("000"&amp;AA259,4))</f>
        <v/>
      </c>
      <c r="C259" s="56" t="n"/>
      <c r="D259" s="54" t="n"/>
      <c r="E259" s="57" t="str">
        <f>IF(D259="","",IF(A259="BL",IFERROR(INDEX(cl_name,MATCH(D259,cl_code,0))&amp;"","Client inconnu"),IF(A259="BR",IFERROR(INDEX(fo_name,MATCH(D259,fo_code,0))&amp;"","Fournisseur inconnu"),IF(A259="BS",IF(ISNA(MATCH(D259,p_services,0)),"Service inconnu",D259&amp;""),""))))</f>
        <v/>
      </c>
      <c r="F259" s="58" t="n"/>
      <c r="G259" s="58" t="n"/>
      <c r="H259" s="59" t="n"/>
      <c r="I259" s="57" t="str">
        <f>IF(H259="","",IFERROR(INDEX(art_des,MATCH(H259,art_ref,0))&amp;"","Article inconnu"))</f>
        <v/>
      </c>
      <c r="J259" s="60" t="str">
        <f>IF(H259="","",IFERROR(INDEX(art_unit,MATCH(H259,art_ref,0))&amp;"",""))</f>
        <v/>
      </c>
      <c r="K259" s="59" t="n"/>
      <c r="L259" s="59" t="n"/>
      <c r="M259" s="61" t="str">
        <f>IF(OR(B259="",NOT(ISNUMBER(K259)),NOT(ISNUMBER(L259))),"",IF(OR(K259&lt;=0,L259&lt;=0),"",ROUND(L259-K259,6)))</f>
        <v/>
      </c>
      <c r="N259" s="58" t="n"/>
      <c r="O259" s="62" t="n"/>
      <c r="P259" s="63" t="str">
        <f>IF(OR(B259="",NOT(ISNUMBER(L259))),"",IF(L259&lt;=0,"",IFERROR(ROUND(L259*N(INDEX(art_w,MATCH(H259,art_ref,0))),3),"")))</f>
        <v/>
      </c>
      <c r="Q259" s="59" t="n"/>
      <c r="R259" s="54" t="n"/>
      <c r="S259" s="59" t="n"/>
      <c r="T259" s="59" t="n"/>
      <c r="U259" s="64" t="str">
        <f>IF(OR(B259="",H259=""),"",IFERROR(IF(A259="BL",IF(N(INDEX(art_price,MATCH(H259,art_ref,0)))=0,"",N(INDEX(art_price,MATCH(H259,art_ref,0)))),IF(N(INDEX(art_cost,MATCH(H259,art_ref,0)))=0,"",N(INDEX(art_cost,MATCH(H259,art_ref,0))))),""))</f>
        <v/>
      </c>
      <c r="V259" s="64" t="str">
        <f>IF(OR(U259="",NOT(ISNUMBER(L259))),"",IF(L259&lt;=0,"",ROUND(L259*U259,2)))</f>
        <v/>
      </c>
      <c r="W259" s="60" t="str">
        <f>IF(AND(B259&lt;&gt;"",A259&lt;&gt;"BS",F259&lt;&gt;"",H259&lt;&gt;"",ISNUMBER(K259),ISNUMBER(L259)),IF(AND(K259&gt;0,L259&gt;0,K259-L259&gt;0,COUNTIFS(A260:A$2005,A259,F260:F$2005,F259,H260:H$2005,H259,AA260:AA$2005,"&gt;0")=0),ROUND(K259-L259,6),""),"")</f>
        <v/>
      </c>
      <c r="X259" s="60" t="str">
        <f>IF(AND(A259="",C259="",D259="",H259="",L259=""),"",IF(A259="","Type manquant",IF(AND(A259&lt;&gt;"BL",A259&lt;&gt;"BR",A259&lt;&gt;"BS"),"Type inconnu (BL, BR ou BS)",IF(AG259=0,"Date manquante ou invalide",IF(D259="",IF(A259="BL","Client manquant",IF(A259="BR","Fournisseur manquant","Service manquant")),IF(IF(A259="BL",ISNA(MATCH(D259,cl_code,0)),IF(A259="BR",ISNA(MATCH(D259,fo_code,0)),ISNA(MATCH(D259,p_services,0)))),IF(A259="BL","Client inconnu",IF(A259="BR","Fournisseur inconnu","Service inconnu")),IF(H259="","Article manquant",IF(ISNA(MATCH(H259,art_ref,0)),"Article inconnu",IF(OR(NOT(ISNUMBER(L259)),N(L259)&lt;=0),"Quantité invalide",IF(AND(K259&lt;&gt;"",OR(NOT(ISNUMBER(K259)),N(K259)&lt;=0)),"Qté commandée invalide",IF(AG259&lt;SUMPRODUCT(MAX((A$6:A258=A259)*AG$6:AG258)),"Date antérieure au bon précédent",IF(AND(A259&lt;&gt;"BR",ISNUMBER(M259),N(M259)&gt;0),IF(A259="BL","Livré plus que commandé","Sorti plus que demandé"),"OK"))))))))))))</f>
        <v/>
      </c>
      <c r="Y259" s="57" t="str">
        <f>IF(AND(OR(A259="BL",A259="BR",A259="BS"),AG259&gt;0,D259&lt;&gt;""),A259&amp;"|"&amp;AG259&amp;"|"&amp;D259&amp;"|"&amp;F259,"")</f>
        <v/>
      </c>
      <c r="Z259" s="57" t="str">
        <f>IF(Y259="","",IF(COUNTIF(Y$6:Y258,Y259)=0,1,0))</f>
        <v/>
      </c>
      <c r="AA259" s="57" t="str">
        <f>IF(Y259="","",IF(Z259=1,COUNTIFS(A$6:A259,A259,Z$6:Z259,1),INDEX(AA$6:AA258,MATCH(Y259,Y$6:Y258,0))))</f>
        <v/>
      </c>
      <c r="AB259" s="57" t="str">
        <f>IF(B259="","",COUNTIF(B$6:B259,B259))</f>
        <v/>
      </c>
      <c r="AC259" s="57" t="str">
        <f>IF(B259="","",B259&amp;"#"&amp;AB259)</f>
        <v/>
      </c>
      <c r="AD259" s="57" t="str">
        <f>IF(Z259=1,A259&amp;AA259,"")</f>
        <v/>
      </c>
      <c r="AE259" s="57" t="str">
        <f>IF(B259="","",YEAR(C259))</f>
        <v/>
      </c>
      <c r="AF259" s="57" t="str">
        <f>IF(B259="","",MONTH(C259))</f>
        <v/>
      </c>
      <c r="AG259" s="57">
        <f>IF(ISNUMBER(C259),C259,0)</f>
        <v>0.0</v>
      </c>
      <c r="AH259" s="57" t="str">
        <f>IF(N(W259)&gt;0,COUNTIF(W$6:W259,"&gt;0"),"")</f>
        <v/>
      </c>
      <c r="AI259" s="57" t="str">
        <f>IF(Z259=1,COUNTIF(Z$6:Z259,1),"")</f>
        <v/>
      </c>
    </row>
    <row r="260">
      <c r="A260" s="54" t="n"/>
      <c r="B260" s="55" t="str">
        <f>IF(AA260="","",A260&amp;"-"&amp;RIGHT("000"&amp;AA260,4))</f>
        <v/>
      </c>
      <c r="C260" s="56" t="n"/>
      <c r="D260" s="54" t="n"/>
      <c r="E260" s="57" t="str">
        <f>IF(D260="","",IF(A260="BL",IFERROR(INDEX(cl_name,MATCH(D260,cl_code,0))&amp;"","Client inconnu"),IF(A260="BR",IFERROR(INDEX(fo_name,MATCH(D260,fo_code,0))&amp;"","Fournisseur inconnu"),IF(A260="BS",IF(ISNA(MATCH(D260,p_services,0)),"Service inconnu",D260&amp;""),""))))</f>
        <v/>
      </c>
      <c r="F260" s="58" t="n"/>
      <c r="G260" s="58" t="n"/>
      <c r="H260" s="59" t="n"/>
      <c r="I260" s="57" t="str">
        <f>IF(H260="","",IFERROR(INDEX(art_des,MATCH(H260,art_ref,0))&amp;"","Article inconnu"))</f>
        <v/>
      </c>
      <c r="J260" s="60" t="str">
        <f>IF(H260="","",IFERROR(INDEX(art_unit,MATCH(H260,art_ref,0))&amp;"",""))</f>
        <v/>
      </c>
      <c r="K260" s="59" t="n"/>
      <c r="L260" s="59" t="n"/>
      <c r="M260" s="61" t="str">
        <f>IF(OR(B260="",NOT(ISNUMBER(K260)),NOT(ISNUMBER(L260))),"",IF(OR(K260&lt;=0,L260&lt;=0),"",ROUND(L260-K260,6)))</f>
        <v/>
      </c>
      <c r="N260" s="58" t="n"/>
      <c r="O260" s="62" t="n"/>
      <c r="P260" s="63" t="str">
        <f>IF(OR(B260="",NOT(ISNUMBER(L260))),"",IF(L260&lt;=0,"",IFERROR(ROUND(L260*N(INDEX(art_w,MATCH(H260,art_ref,0))),3),"")))</f>
        <v/>
      </c>
      <c r="Q260" s="59" t="n"/>
      <c r="R260" s="54" t="n"/>
      <c r="S260" s="59" t="n"/>
      <c r="T260" s="59" t="n"/>
      <c r="U260" s="64" t="str">
        <f>IF(OR(B260="",H260=""),"",IFERROR(IF(A260="BL",IF(N(INDEX(art_price,MATCH(H260,art_ref,0)))=0,"",N(INDEX(art_price,MATCH(H260,art_ref,0)))),IF(N(INDEX(art_cost,MATCH(H260,art_ref,0)))=0,"",N(INDEX(art_cost,MATCH(H260,art_ref,0))))),""))</f>
        <v/>
      </c>
      <c r="V260" s="64" t="str">
        <f>IF(OR(U260="",NOT(ISNUMBER(L260))),"",IF(L260&lt;=0,"",ROUND(L260*U260,2)))</f>
        <v/>
      </c>
      <c r="W260" s="60" t="str">
        <f>IF(AND(B260&lt;&gt;"",A260&lt;&gt;"BS",F260&lt;&gt;"",H260&lt;&gt;"",ISNUMBER(K260),ISNUMBER(L260)),IF(AND(K260&gt;0,L260&gt;0,K260-L260&gt;0,COUNTIFS(A261:A$2005,A260,F261:F$2005,F260,H261:H$2005,H260,AA261:AA$2005,"&gt;0")=0),ROUND(K260-L260,6),""),"")</f>
        <v/>
      </c>
      <c r="X260" s="60" t="str">
        <f>IF(AND(A260="",C260="",D260="",H260="",L260=""),"",IF(A260="","Type manquant",IF(AND(A260&lt;&gt;"BL",A260&lt;&gt;"BR",A260&lt;&gt;"BS"),"Type inconnu (BL, BR ou BS)",IF(AG260=0,"Date manquante ou invalide",IF(D260="",IF(A260="BL","Client manquant",IF(A260="BR","Fournisseur manquant","Service manquant")),IF(IF(A260="BL",ISNA(MATCH(D260,cl_code,0)),IF(A260="BR",ISNA(MATCH(D260,fo_code,0)),ISNA(MATCH(D260,p_services,0)))),IF(A260="BL","Client inconnu",IF(A260="BR","Fournisseur inconnu","Service inconnu")),IF(H260="","Article manquant",IF(ISNA(MATCH(H260,art_ref,0)),"Article inconnu",IF(OR(NOT(ISNUMBER(L260)),N(L260)&lt;=0),"Quantité invalide",IF(AND(K260&lt;&gt;"",OR(NOT(ISNUMBER(K260)),N(K260)&lt;=0)),"Qté commandée invalide",IF(AG260&lt;SUMPRODUCT(MAX((A$6:A259=A260)*AG$6:AG259)),"Date antérieure au bon précédent",IF(AND(A260&lt;&gt;"BR",ISNUMBER(M260),N(M260)&gt;0),IF(A260="BL","Livré plus que commandé","Sorti plus que demandé"),"OK"))))))))))))</f>
        <v/>
      </c>
      <c r="Y260" s="57" t="str">
        <f>IF(AND(OR(A260="BL",A260="BR",A260="BS"),AG260&gt;0,D260&lt;&gt;""),A260&amp;"|"&amp;AG260&amp;"|"&amp;D260&amp;"|"&amp;F260,"")</f>
        <v/>
      </c>
      <c r="Z260" s="57" t="str">
        <f>IF(Y260="","",IF(COUNTIF(Y$6:Y259,Y260)=0,1,0))</f>
        <v/>
      </c>
      <c r="AA260" s="57" t="str">
        <f>IF(Y260="","",IF(Z260=1,COUNTIFS(A$6:A260,A260,Z$6:Z260,1),INDEX(AA$6:AA259,MATCH(Y260,Y$6:Y259,0))))</f>
        <v/>
      </c>
      <c r="AB260" s="57" t="str">
        <f>IF(B260="","",COUNTIF(B$6:B260,B260))</f>
        <v/>
      </c>
      <c r="AC260" s="57" t="str">
        <f>IF(B260="","",B260&amp;"#"&amp;AB260)</f>
        <v/>
      </c>
      <c r="AD260" s="57" t="str">
        <f>IF(Z260=1,A260&amp;AA260,"")</f>
        <v/>
      </c>
      <c r="AE260" s="57" t="str">
        <f>IF(B260="","",YEAR(C260))</f>
        <v/>
      </c>
      <c r="AF260" s="57" t="str">
        <f>IF(B260="","",MONTH(C260))</f>
        <v/>
      </c>
      <c r="AG260" s="57">
        <f>IF(ISNUMBER(C260),C260,0)</f>
        <v>0.0</v>
      </c>
      <c r="AH260" s="57" t="str">
        <f>IF(N(W260)&gt;0,COUNTIF(W$6:W260,"&gt;0"),"")</f>
        <v/>
      </c>
      <c r="AI260" s="57" t="str">
        <f>IF(Z260=1,COUNTIF(Z$6:Z260,1),"")</f>
        <v/>
      </c>
    </row>
    <row r="261">
      <c r="A261" s="54" t="n"/>
      <c r="B261" s="55" t="str">
        <f>IF(AA261="","",A261&amp;"-"&amp;RIGHT("000"&amp;AA261,4))</f>
        <v/>
      </c>
      <c r="C261" s="56" t="n"/>
      <c r="D261" s="54" t="n"/>
      <c r="E261" s="57" t="str">
        <f>IF(D261="","",IF(A261="BL",IFERROR(INDEX(cl_name,MATCH(D261,cl_code,0))&amp;"","Client inconnu"),IF(A261="BR",IFERROR(INDEX(fo_name,MATCH(D261,fo_code,0))&amp;"","Fournisseur inconnu"),IF(A261="BS",IF(ISNA(MATCH(D261,p_services,0)),"Service inconnu",D261&amp;""),""))))</f>
        <v/>
      </c>
      <c r="F261" s="58" t="n"/>
      <c r="G261" s="58" t="n"/>
      <c r="H261" s="59" t="n"/>
      <c r="I261" s="57" t="str">
        <f>IF(H261="","",IFERROR(INDEX(art_des,MATCH(H261,art_ref,0))&amp;"","Article inconnu"))</f>
        <v/>
      </c>
      <c r="J261" s="60" t="str">
        <f>IF(H261="","",IFERROR(INDEX(art_unit,MATCH(H261,art_ref,0))&amp;"",""))</f>
        <v/>
      </c>
      <c r="K261" s="59" t="n"/>
      <c r="L261" s="59" t="n"/>
      <c r="M261" s="61" t="str">
        <f>IF(OR(B261="",NOT(ISNUMBER(K261)),NOT(ISNUMBER(L261))),"",IF(OR(K261&lt;=0,L261&lt;=0),"",ROUND(L261-K261,6)))</f>
        <v/>
      </c>
      <c r="N261" s="58" t="n"/>
      <c r="O261" s="62" t="n"/>
      <c r="P261" s="63" t="str">
        <f>IF(OR(B261="",NOT(ISNUMBER(L261))),"",IF(L261&lt;=0,"",IFERROR(ROUND(L261*N(INDEX(art_w,MATCH(H261,art_ref,0))),3),"")))</f>
        <v/>
      </c>
      <c r="Q261" s="59" t="n"/>
      <c r="R261" s="54" t="n"/>
      <c r="S261" s="59" t="n"/>
      <c r="T261" s="59" t="n"/>
      <c r="U261" s="64" t="str">
        <f>IF(OR(B261="",H261=""),"",IFERROR(IF(A261="BL",IF(N(INDEX(art_price,MATCH(H261,art_ref,0)))=0,"",N(INDEX(art_price,MATCH(H261,art_ref,0)))),IF(N(INDEX(art_cost,MATCH(H261,art_ref,0)))=0,"",N(INDEX(art_cost,MATCH(H261,art_ref,0))))),""))</f>
        <v/>
      </c>
      <c r="V261" s="64" t="str">
        <f>IF(OR(U261="",NOT(ISNUMBER(L261))),"",IF(L261&lt;=0,"",ROUND(L261*U261,2)))</f>
        <v/>
      </c>
      <c r="W261" s="60" t="str">
        <f>IF(AND(B261&lt;&gt;"",A261&lt;&gt;"BS",F261&lt;&gt;"",H261&lt;&gt;"",ISNUMBER(K261),ISNUMBER(L261)),IF(AND(K261&gt;0,L261&gt;0,K261-L261&gt;0,COUNTIFS(A262:A$2005,A261,F262:F$2005,F261,H262:H$2005,H261,AA262:AA$2005,"&gt;0")=0),ROUND(K261-L261,6),""),"")</f>
        <v/>
      </c>
      <c r="X261" s="60" t="str">
        <f>IF(AND(A261="",C261="",D261="",H261="",L261=""),"",IF(A261="","Type manquant",IF(AND(A261&lt;&gt;"BL",A261&lt;&gt;"BR",A261&lt;&gt;"BS"),"Type inconnu (BL, BR ou BS)",IF(AG261=0,"Date manquante ou invalide",IF(D261="",IF(A261="BL","Client manquant",IF(A261="BR","Fournisseur manquant","Service manquant")),IF(IF(A261="BL",ISNA(MATCH(D261,cl_code,0)),IF(A261="BR",ISNA(MATCH(D261,fo_code,0)),ISNA(MATCH(D261,p_services,0)))),IF(A261="BL","Client inconnu",IF(A261="BR","Fournisseur inconnu","Service inconnu")),IF(H261="","Article manquant",IF(ISNA(MATCH(H261,art_ref,0)),"Article inconnu",IF(OR(NOT(ISNUMBER(L261)),N(L261)&lt;=0),"Quantité invalide",IF(AND(K261&lt;&gt;"",OR(NOT(ISNUMBER(K261)),N(K261)&lt;=0)),"Qté commandée invalide",IF(AG261&lt;SUMPRODUCT(MAX((A$6:A260=A261)*AG$6:AG260)),"Date antérieure au bon précédent",IF(AND(A261&lt;&gt;"BR",ISNUMBER(M261),N(M261)&gt;0),IF(A261="BL","Livré plus que commandé","Sorti plus que demandé"),"OK"))))))))))))</f>
        <v/>
      </c>
      <c r="Y261" s="57" t="str">
        <f>IF(AND(OR(A261="BL",A261="BR",A261="BS"),AG261&gt;0,D261&lt;&gt;""),A261&amp;"|"&amp;AG261&amp;"|"&amp;D261&amp;"|"&amp;F261,"")</f>
        <v/>
      </c>
      <c r="Z261" s="57" t="str">
        <f>IF(Y261="","",IF(COUNTIF(Y$6:Y260,Y261)=0,1,0))</f>
        <v/>
      </c>
      <c r="AA261" s="57" t="str">
        <f>IF(Y261="","",IF(Z261=1,COUNTIFS(A$6:A261,A261,Z$6:Z261,1),INDEX(AA$6:AA260,MATCH(Y261,Y$6:Y260,0))))</f>
        <v/>
      </c>
      <c r="AB261" s="57" t="str">
        <f>IF(B261="","",COUNTIF(B$6:B261,B261))</f>
        <v/>
      </c>
      <c r="AC261" s="57" t="str">
        <f>IF(B261="","",B261&amp;"#"&amp;AB261)</f>
        <v/>
      </c>
      <c r="AD261" s="57" t="str">
        <f>IF(Z261=1,A261&amp;AA261,"")</f>
        <v/>
      </c>
      <c r="AE261" s="57" t="str">
        <f>IF(B261="","",YEAR(C261))</f>
        <v/>
      </c>
      <c r="AF261" s="57" t="str">
        <f>IF(B261="","",MONTH(C261))</f>
        <v/>
      </c>
      <c r="AG261" s="57">
        <f>IF(ISNUMBER(C261),C261,0)</f>
        <v>0.0</v>
      </c>
      <c r="AH261" s="57" t="str">
        <f>IF(N(W261)&gt;0,COUNTIF(W$6:W261,"&gt;0"),"")</f>
        <v/>
      </c>
      <c r="AI261" s="57" t="str">
        <f>IF(Z261=1,COUNTIF(Z$6:Z261,1),"")</f>
        <v/>
      </c>
    </row>
    <row r="262">
      <c r="A262" s="54" t="n"/>
      <c r="B262" s="55" t="str">
        <f>IF(AA262="","",A262&amp;"-"&amp;RIGHT("000"&amp;AA262,4))</f>
        <v/>
      </c>
      <c r="C262" s="56" t="n"/>
      <c r="D262" s="54" t="n"/>
      <c r="E262" s="57" t="str">
        <f>IF(D262="","",IF(A262="BL",IFERROR(INDEX(cl_name,MATCH(D262,cl_code,0))&amp;"","Client inconnu"),IF(A262="BR",IFERROR(INDEX(fo_name,MATCH(D262,fo_code,0))&amp;"","Fournisseur inconnu"),IF(A262="BS",IF(ISNA(MATCH(D262,p_services,0)),"Service inconnu",D262&amp;""),""))))</f>
        <v/>
      </c>
      <c r="F262" s="58" t="n"/>
      <c r="G262" s="58" t="n"/>
      <c r="H262" s="59" t="n"/>
      <c r="I262" s="57" t="str">
        <f>IF(H262="","",IFERROR(INDEX(art_des,MATCH(H262,art_ref,0))&amp;"","Article inconnu"))</f>
        <v/>
      </c>
      <c r="J262" s="60" t="str">
        <f>IF(H262="","",IFERROR(INDEX(art_unit,MATCH(H262,art_ref,0))&amp;"",""))</f>
        <v/>
      </c>
      <c r="K262" s="59" t="n"/>
      <c r="L262" s="59" t="n"/>
      <c r="M262" s="61" t="str">
        <f>IF(OR(B262="",NOT(ISNUMBER(K262)),NOT(ISNUMBER(L262))),"",IF(OR(K262&lt;=0,L262&lt;=0),"",ROUND(L262-K262,6)))</f>
        <v/>
      </c>
      <c r="N262" s="58" t="n"/>
      <c r="O262" s="62" t="n"/>
      <c r="P262" s="63" t="str">
        <f>IF(OR(B262="",NOT(ISNUMBER(L262))),"",IF(L262&lt;=0,"",IFERROR(ROUND(L262*N(INDEX(art_w,MATCH(H262,art_ref,0))),3),"")))</f>
        <v/>
      </c>
      <c r="Q262" s="59" t="n"/>
      <c r="R262" s="54" t="n"/>
      <c r="S262" s="59" t="n"/>
      <c r="T262" s="59" t="n"/>
      <c r="U262" s="64" t="str">
        <f>IF(OR(B262="",H262=""),"",IFERROR(IF(A262="BL",IF(N(INDEX(art_price,MATCH(H262,art_ref,0)))=0,"",N(INDEX(art_price,MATCH(H262,art_ref,0)))),IF(N(INDEX(art_cost,MATCH(H262,art_ref,0)))=0,"",N(INDEX(art_cost,MATCH(H262,art_ref,0))))),""))</f>
        <v/>
      </c>
      <c r="V262" s="64" t="str">
        <f>IF(OR(U262="",NOT(ISNUMBER(L262))),"",IF(L262&lt;=0,"",ROUND(L262*U262,2)))</f>
        <v/>
      </c>
      <c r="W262" s="60" t="str">
        <f>IF(AND(B262&lt;&gt;"",A262&lt;&gt;"BS",F262&lt;&gt;"",H262&lt;&gt;"",ISNUMBER(K262),ISNUMBER(L262)),IF(AND(K262&gt;0,L262&gt;0,K262-L262&gt;0,COUNTIFS(A263:A$2005,A262,F263:F$2005,F262,H263:H$2005,H262,AA263:AA$2005,"&gt;0")=0),ROUND(K262-L262,6),""),"")</f>
        <v/>
      </c>
      <c r="X262" s="60" t="str">
        <f>IF(AND(A262="",C262="",D262="",H262="",L262=""),"",IF(A262="","Type manquant",IF(AND(A262&lt;&gt;"BL",A262&lt;&gt;"BR",A262&lt;&gt;"BS"),"Type inconnu (BL, BR ou BS)",IF(AG262=0,"Date manquante ou invalide",IF(D262="",IF(A262="BL","Client manquant",IF(A262="BR","Fournisseur manquant","Service manquant")),IF(IF(A262="BL",ISNA(MATCH(D262,cl_code,0)),IF(A262="BR",ISNA(MATCH(D262,fo_code,0)),ISNA(MATCH(D262,p_services,0)))),IF(A262="BL","Client inconnu",IF(A262="BR","Fournisseur inconnu","Service inconnu")),IF(H262="","Article manquant",IF(ISNA(MATCH(H262,art_ref,0)),"Article inconnu",IF(OR(NOT(ISNUMBER(L262)),N(L262)&lt;=0),"Quantité invalide",IF(AND(K262&lt;&gt;"",OR(NOT(ISNUMBER(K262)),N(K262)&lt;=0)),"Qté commandée invalide",IF(AG262&lt;SUMPRODUCT(MAX((A$6:A261=A262)*AG$6:AG261)),"Date antérieure au bon précédent",IF(AND(A262&lt;&gt;"BR",ISNUMBER(M262),N(M262)&gt;0),IF(A262="BL","Livré plus que commandé","Sorti plus que demandé"),"OK"))))))))))))</f>
        <v/>
      </c>
      <c r="Y262" s="57" t="str">
        <f>IF(AND(OR(A262="BL",A262="BR",A262="BS"),AG262&gt;0,D262&lt;&gt;""),A262&amp;"|"&amp;AG262&amp;"|"&amp;D262&amp;"|"&amp;F262,"")</f>
        <v/>
      </c>
      <c r="Z262" s="57" t="str">
        <f>IF(Y262="","",IF(COUNTIF(Y$6:Y261,Y262)=0,1,0))</f>
        <v/>
      </c>
      <c r="AA262" s="57" t="str">
        <f>IF(Y262="","",IF(Z262=1,COUNTIFS(A$6:A262,A262,Z$6:Z262,1),INDEX(AA$6:AA261,MATCH(Y262,Y$6:Y261,0))))</f>
        <v/>
      </c>
      <c r="AB262" s="57" t="str">
        <f>IF(B262="","",COUNTIF(B$6:B262,B262))</f>
        <v/>
      </c>
      <c r="AC262" s="57" t="str">
        <f>IF(B262="","",B262&amp;"#"&amp;AB262)</f>
        <v/>
      </c>
      <c r="AD262" s="57" t="str">
        <f>IF(Z262=1,A262&amp;AA262,"")</f>
        <v/>
      </c>
      <c r="AE262" s="57" t="str">
        <f>IF(B262="","",YEAR(C262))</f>
        <v/>
      </c>
      <c r="AF262" s="57" t="str">
        <f>IF(B262="","",MONTH(C262))</f>
        <v/>
      </c>
      <c r="AG262" s="57">
        <f>IF(ISNUMBER(C262),C262,0)</f>
        <v>0.0</v>
      </c>
      <c r="AH262" s="57" t="str">
        <f>IF(N(W262)&gt;0,COUNTIF(W$6:W262,"&gt;0"),"")</f>
        <v/>
      </c>
      <c r="AI262" s="57" t="str">
        <f>IF(Z262=1,COUNTIF(Z$6:Z262,1),"")</f>
        <v/>
      </c>
    </row>
    <row r="263">
      <c r="A263" s="54" t="n"/>
      <c r="B263" s="55" t="str">
        <f>IF(AA263="","",A263&amp;"-"&amp;RIGHT("000"&amp;AA263,4))</f>
        <v/>
      </c>
      <c r="C263" s="56" t="n"/>
      <c r="D263" s="54" t="n"/>
      <c r="E263" s="57" t="str">
        <f>IF(D263="","",IF(A263="BL",IFERROR(INDEX(cl_name,MATCH(D263,cl_code,0))&amp;"","Client inconnu"),IF(A263="BR",IFERROR(INDEX(fo_name,MATCH(D263,fo_code,0))&amp;"","Fournisseur inconnu"),IF(A263="BS",IF(ISNA(MATCH(D263,p_services,0)),"Service inconnu",D263&amp;""),""))))</f>
        <v/>
      </c>
      <c r="F263" s="58" t="n"/>
      <c r="G263" s="58" t="n"/>
      <c r="H263" s="59" t="n"/>
      <c r="I263" s="57" t="str">
        <f>IF(H263="","",IFERROR(INDEX(art_des,MATCH(H263,art_ref,0))&amp;"","Article inconnu"))</f>
        <v/>
      </c>
      <c r="J263" s="60" t="str">
        <f>IF(H263="","",IFERROR(INDEX(art_unit,MATCH(H263,art_ref,0))&amp;"",""))</f>
        <v/>
      </c>
      <c r="K263" s="59" t="n"/>
      <c r="L263" s="59" t="n"/>
      <c r="M263" s="61" t="str">
        <f>IF(OR(B263="",NOT(ISNUMBER(K263)),NOT(ISNUMBER(L263))),"",IF(OR(K263&lt;=0,L263&lt;=0),"",ROUND(L263-K263,6)))</f>
        <v/>
      </c>
      <c r="N263" s="58" t="n"/>
      <c r="O263" s="62" t="n"/>
      <c r="P263" s="63" t="str">
        <f>IF(OR(B263="",NOT(ISNUMBER(L263))),"",IF(L263&lt;=0,"",IFERROR(ROUND(L263*N(INDEX(art_w,MATCH(H263,art_ref,0))),3),"")))</f>
        <v/>
      </c>
      <c r="Q263" s="59" t="n"/>
      <c r="R263" s="54" t="n"/>
      <c r="S263" s="59" t="n"/>
      <c r="T263" s="59" t="n"/>
      <c r="U263" s="64" t="str">
        <f>IF(OR(B263="",H263=""),"",IFERROR(IF(A263="BL",IF(N(INDEX(art_price,MATCH(H263,art_ref,0)))=0,"",N(INDEX(art_price,MATCH(H263,art_ref,0)))),IF(N(INDEX(art_cost,MATCH(H263,art_ref,0)))=0,"",N(INDEX(art_cost,MATCH(H263,art_ref,0))))),""))</f>
        <v/>
      </c>
      <c r="V263" s="64" t="str">
        <f>IF(OR(U263="",NOT(ISNUMBER(L263))),"",IF(L263&lt;=0,"",ROUND(L263*U263,2)))</f>
        <v/>
      </c>
      <c r="W263" s="60" t="str">
        <f>IF(AND(B263&lt;&gt;"",A263&lt;&gt;"BS",F263&lt;&gt;"",H263&lt;&gt;"",ISNUMBER(K263),ISNUMBER(L263)),IF(AND(K263&gt;0,L263&gt;0,K263-L263&gt;0,COUNTIFS(A264:A$2005,A263,F264:F$2005,F263,H264:H$2005,H263,AA264:AA$2005,"&gt;0")=0),ROUND(K263-L263,6),""),"")</f>
        <v/>
      </c>
      <c r="X263" s="60" t="str">
        <f>IF(AND(A263="",C263="",D263="",H263="",L263=""),"",IF(A263="","Type manquant",IF(AND(A263&lt;&gt;"BL",A263&lt;&gt;"BR",A263&lt;&gt;"BS"),"Type inconnu (BL, BR ou BS)",IF(AG263=0,"Date manquante ou invalide",IF(D263="",IF(A263="BL","Client manquant",IF(A263="BR","Fournisseur manquant","Service manquant")),IF(IF(A263="BL",ISNA(MATCH(D263,cl_code,0)),IF(A263="BR",ISNA(MATCH(D263,fo_code,0)),ISNA(MATCH(D263,p_services,0)))),IF(A263="BL","Client inconnu",IF(A263="BR","Fournisseur inconnu","Service inconnu")),IF(H263="","Article manquant",IF(ISNA(MATCH(H263,art_ref,0)),"Article inconnu",IF(OR(NOT(ISNUMBER(L263)),N(L263)&lt;=0),"Quantité invalide",IF(AND(K263&lt;&gt;"",OR(NOT(ISNUMBER(K263)),N(K263)&lt;=0)),"Qté commandée invalide",IF(AG263&lt;SUMPRODUCT(MAX((A$6:A262=A263)*AG$6:AG262)),"Date antérieure au bon précédent",IF(AND(A263&lt;&gt;"BR",ISNUMBER(M263),N(M263)&gt;0),IF(A263="BL","Livré plus que commandé","Sorti plus que demandé"),"OK"))))))))))))</f>
        <v/>
      </c>
      <c r="Y263" s="57" t="str">
        <f>IF(AND(OR(A263="BL",A263="BR",A263="BS"),AG263&gt;0,D263&lt;&gt;""),A263&amp;"|"&amp;AG263&amp;"|"&amp;D263&amp;"|"&amp;F263,"")</f>
        <v/>
      </c>
      <c r="Z263" s="57" t="str">
        <f>IF(Y263="","",IF(COUNTIF(Y$6:Y262,Y263)=0,1,0))</f>
        <v/>
      </c>
      <c r="AA263" s="57" t="str">
        <f>IF(Y263="","",IF(Z263=1,COUNTIFS(A$6:A263,A263,Z$6:Z263,1),INDEX(AA$6:AA262,MATCH(Y263,Y$6:Y262,0))))</f>
        <v/>
      </c>
      <c r="AB263" s="57" t="str">
        <f>IF(B263="","",COUNTIF(B$6:B263,B263))</f>
        <v/>
      </c>
      <c r="AC263" s="57" t="str">
        <f>IF(B263="","",B263&amp;"#"&amp;AB263)</f>
        <v/>
      </c>
      <c r="AD263" s="57" t="str">
        <f>IF(Z263=1,A263&amp;AA263,"")</f>
        <v/>
      </c>
      <c r="AE263" s="57" t="str">
        <f>IF(B263="","",YEAR(C263))</f>
        <v/>
      </c>
      <c r="AF263" s="57" t="str">
        <f>IF(B263="","",MONTH(C263))</f>
        <v/>
      </c>
      <c r="AG263" s="57">
        <f>IF(ISNUMBER(C263),C263,0)</f>
        <v>0.0</v>
      </c>
      <c r="AH263" s="57" t="str">
        <f>IF(N(W263)&gt;0,COUNTIF(W$6:W263,"&gt;0"),"")</f>
        <v/>
      </c>
      <c r="AI263" s="57" t="str">
        <f>IF(Z263=1,COUNTIF(Z$6:Z263,1),"")</f>
        <v/>
      </c>
    </row>
    <row r="264">
      <c r="A264" s="54" t="n"/>
      <c r="B264" s="55" t="str">
        <f>IF(AA264="","",A264&amp;"-"&amp;RIGHT("000"&amp;AA264,4))</f>
        <v/>
      </c>
      <c r="C264" s="56" t="n"/>
      <c r="D264" s="54" t="n"/>
      <c r="E264" s="57" t="str">
        <f>IF(D264="","",IF(A264="BL",IFERROR(INDEX(cl_name,MATCH(D264,cl_code,0))&amp;"","Client inconnu"),IF(A264="BR",IFERROR(INDEX(fo_name,MATCH(D264,fo_code,0))&amp;"","Fournisseur inconnu"),IF(A264="BS",IF(ISNA(MATCH(D264,p_services,0)),"Service inconnu",D264&amp;""),""))))</f>
        <v/>
      </c>
      <c r="F264" s="58" t="n"/>
      <c r="G264" s="58" t="n"/>
      <c r="H264" s="59" t="n"/>
      <c r="I264" s="57" t="str">
        <f>IF(H264="","",IFERROR(INDEX(art_des,MATCH(H264,art_ref,0))&amp;"","Article inconnu"))</f>
        <v/>
      </c>
      <c r="J264" s="60" t="str">
        <f>IF(H264="","",IFERROR(INDEX(art_unit,MATCH(H264,art_ref,0))&amp;"",""))</f>
        <v/>
      </c>
      <c r="K264" s="59" t="n"/>
      <c r="L264" s="59" t="n"/>
      <c r="M264" s="61" t="str">
        <f>IF(OR(B264="",NOT(ISNUMBER(K264)),NOT(ISNUMBER(L264))),"",IF(OR(K264&lt;=0,L264&lt;=0),"",ROUND(L264-K264,6)))</f>
        <v/>
      </c>
      <c r="N264" s="58" t="n"/>
      <c r="O264" s="62" t="n"/>
      <c r="P264" s="63" t="str">
        <f>IF(OR(B264="",NOT(ISNUMBER(L264))),"",IF(L264&lt;=0,"",IFERROR(ROUND(L264*N(INDEX(art_w,MATCH(H264,art_ref,0))),3),"")))</f>
        <v/>
      </c>
      <c r="Q264" s="59" t="n"/>
      <c r="R264" s="54" t="n"/>
      <c r="S264" s="59" t="n"/>
      <c r="T264" s="59" t="n"/>
      <c r="U264" s="64" t="str">
        <f>IF(OR(B264="",H264=""),"",IFERROR(IF(A264="BL",IF(N(INDEX(art_price,MATCH(H264,art_ref,0)))=0,"",N(INDEX(art_price,MATCH(H264,art_ref,0)))),IF(N(INDEX(art_cost,MATCH(H264,art_ref,0)))=0,"",N(INDEX(art_cost,MATCH(H264,art_ref,0))))),""))</f>
        <v/>
      </c>
      <c r="V264" s="64" t="str">
        <f>IF(OR(U264="",NOT(ISNUMBER(L264))),"",IF(L264&lt;=0,"",ROUND(L264*U264,2)))</f>
        <v/>
      </c>
      <c r="W264" s="60" t="str">
        <f>IF(AND(B264&lt;&gt;"",A264&lt;&gt;"BS",F264&lt;&gt;"",H264&lt;&gt;"",ISNUMBER(K264),ISNUMBER(L264)),IF(AND(K264&gt;0,L264&gt;0,K264-L264&gt;0,COUNTIFS(A265:A$2005,A264,F265:F$2005,F264,H265:H$2005,H264,AA265:AA$2005,"&gt;0")=0),ROUND(K264-L264,6),""),"")</f>
        <v/>
      </c>
      <c r="X264" s="60" t="str">
        <f>IF(AND(A264="",C264="",D264="",H264="",L264=""),"",IF(A264="","Type manquant",IF(AND(A264&lt;&gt;"BL",A264&lt;&gt;"BR",A264&lt;&gt;"BS"),"Type inconnu (BL, BR ou BS)",IF(AG264=0,"Date manquante ou invalide",IF(D264="",IF(A264="BL","Client manquant",IF(A264="BR","Fournisseur manquant","Service manquant")),IF(IF(A264="BL",ISNA(MATCH(D264,cl_code,0)),IF(A264="BR",ISNA(MATCH(D264,fo_code,0)),ISNA(MATCH(D264,p_services,0)))),IF(A264="BL","Client inconnu",IF(A264="BR","Fournisseur inconnu","Service inconnu")),IF(H264="","Article manquant",IF(ISNA(MATCH(H264,art_ref,0)),"Article inconnu",IF(OR(NOT(ISNUMBER(L264)),N(L264)&lt;=0),"Quantité invalide",IF(AND(K264&lt;&gt;"",OR(NOT(ISNUMBER(K264)),N(K264)&lt;=0)),"Qté commandée invalide",IF(AG264&lt;SUMPRODUCT(MAX((A$6:A263=A264)*AG$6:AG263)),"Date antérieure au bon précédent",IF(AND(A264&lt;&gt;"BR",ISNUMBER(M264),N(M264)&gt;0),IF(A264="BL","Livré plus que commandé","Sorti plus que demandé"),"OK"))))))))))))</f>
        <v/>
      </c>
      <c r="Y264" s="57" t="str">
        <f>IF(AND(OR(A264="BL",A264="BR",A264="BS"),AG264&gt;0,D264&lt;&gt;""),A264&amp;"|"&amp;AG264&amp;"|"&amp;D264&amp;"|"&amp;F264,"")</f>
        <v/>
      </c>
      <c r="Z264" s="57" t="str">
        <f>IF(Y264="","",IF(COUNTIF(Y$6:Y263,Y264)=0,1,0))</f>
        <v/>
      </c>
      <c r="AA264" s="57" t="str">
        <f>IF(Y264="","",IF(Z264=1,COUNTIFS(A$6:A264,A264,Z$6:Z264,1),INDEX(AA$6:AA263,MATCH(Y264,Y$6:Y263,0))))</f>
        <v/>
      </c>
      <c r="AB264" s="57" t="str">
        <f>IF(B264="","",COUNTIF(B$6:B264,B264))</f>
        <v/>
      </c>
      <c r="AC264" s="57" t="str">
        <f>IF(B264="","",B264&amp;"#"&amp;AB264)</f>
        <v/>
      </c>
      <c r="AD264" s="57" t="str">
        <f>IF(Z264=1,A264&amp;AA264,"")</f>
        <v/>
      </c>
      <c r="AE264" s="57" t="str">
        <f>IF(B264="","",YEAR(C264))</f>
        <v/>
      </c>
      <c r="AF264" s="57" t="str">
        <f>IF(B264="","",MONTH(C264))</f>
        <v/>
      </c>
      <c r="AG264" s="57">
        <f>IF(ISNUMBER(C264),C264,0)</f>
        <v>0.0</v>
      </c>
      <c r="AH264" s="57" t="str">
        <f>IF(N(W264)&gt;0,COUNTIF(W$6:W264,"&gt;0"),"")</f>
        <v/>
      </c>
      <c r="AI264" s="57" t="str">
        <f>IF(Z264=1,COUNTIF(Z$6:Z264,1),"")</f>
        <v/>
      </c>
    </row>
    <row r="265">
      <c r="A265" s="54" t="n"/>
      <c r="B265" s="55" t="str">
        <f>IF(AA265="","",A265&amp;"-"&amp;RIGHT("000"&amp;AA265,4))</f>
        <v/>
      </c>
      <c r="C265" s="56" t="n"/>
      <c r="D265" s="54" t="n"/>
      <c r="E265" s="57" t="str">
        <f>IF(D265="","",IF(A265="BL",IFERROR(INDEX(cl_name,MATCH(D265,cl_code,0))&amp;"","Client inconnu"),IF(A265="BR",IFERROR(INDEX(fo_name,MATCH(D265,fo_code,0))&amp;"","Fournisseur inconnu"),IF(A265="BS",IF(ISNA(MATCH(D265,p_services,0)),"Service inconnu",D265&amp;""),""))))</f>
        <v/>
      </c>
      <c r="F265" s="58" t="n"/>
      <c r="G265" s="58" t="n"/>
      <c r="H265" s="59" t="n"/>
      <c r="I265" s="57" t="str">
        <f>IF(H265="","",IFERROR(INDEX(art_des,MATCH(H265,art_ref,0))&amp;"","Article inconnu"))</f>
        <v/>
      </c>
      <c r="J265" s="60" t="str">
        <f>IF(H265="","",IFERROR(INDEX(art_unit,MATCH(H265,art_ref,0))&amp;"",""))</f>
        <v/>
      </c>
      <c r="K265" s="59" t="n"/>
      <c r="L265" s="59" t="n"/>
      <c r="M265" s="61" t="str">
        <f>IF(OR(B265="",NOT(ISNUMBER(K265)),NOT(ISNUMBER(L265))),"",IF(OR(K265&lt;=0,L265&lt;=0),"",ROUND(L265-K265,6)))</f>
        <v/>
      </c>
      <c r="N265" s="58" t="n"/>
      <c r="O265" s="62" t="n"/>
      <c r="P265" s="63" t="str">
        <f>IF(OR(B265="",NOT(ISNUMBER(L265))),"",IF(L265&lt;=0,"",IFERROR(ROUND(L265*N(INDEX(art_w,MATCH(H265,art_ref,0))),3),"")))</f>
        <v/>
      </c>
      <c r="Q265" s="59" t="n"/>
      <c r="R265" s="54" t="n"/>
      <c r="S265" s="59" t="n"/>
      <c r="T265" s="59" t="n"/>
      <c r="U265" s="64" t="str">
        <f>IF(OR(B265="",H265=""),"",IFERROR(IF(A265="BL",IF(N(INDEX(art_price,MATCH(H265,art_ref,0)))=0,"",N(INDEX(art_price,MATCH(H265,art_ref,0)))),IF(N(INDEX(art_cost,MATCH(H265,art_ref,0)))=0,"",N(INDEX(art_cost,MATCH(H265,art_ref,0))))),""))</f>
        <v/>
      </c>
      <c r="V265" s="64" t="str">
        <f>IF(OR(U265="",NOT(ISNUMBER(L265))),"",IF(L265&lt;=0,"",ROUND(L265*U265,2)))</f>
        <v/>
      </c>
      <c r="W265" s="60" t="str">
        <f>IF(AND(B265&lt;&gt;"",A265&lt;&gt;"BS",F265&lt;&gt;"",H265&lt;&gt;"",ISNUMBER(K265),ISNUMBER(L265)),IF(AND(K265&gt;0,L265&gt;0,K265-L265&gt;0,COUNTIFS(A266:A$2005,A265,F266:F$2005,F265,H266:H$2005,H265,AA266:AA$2005,"&gt;0")=0),ROUND(K265-L265,6),""),"")</f>
        <v/>
      </c>
      <c r="X265" s="60" t="str">
        <f>IF(AND(A265="",C265="",D265="",H265="",L265=""),"",IF(A265="","Type manquant",IF(AND(A265&lt;&gt;"BL",A265&lt;&gt;"BR",A265&lt;&gt;"BS"),"Type inconnu (BL, BR ou BS)",IF(AG265=0,"Date manquante ou invalide",IF(D265="",IF(A265="BL","Client manquant",IF(A265="BR","Fournisseur manquant","Service manquant")),IF(IF(A265="BL",ISNA(MATCH(D265,cl_code,0)),IF(A265="BR",ISNA(MATCH(D265,fo_code,0)),ISNA(MATCH(D265,p_services,0)))),IF(A265="BL","Client inconnu",IF(A265="BR","Fournisseur inconnu","Service inconnu")),IF(H265="","Article manquant",IF(ISNA(MATCH(H265,art_ref,0)),"Article inconnu",IF(OR(NOT(ISNUMBER(L265)),N(L265)&lt;=0),"Quantité invalide",IF(AND(K265&lt;&gt;"",OR(NOT(ISNUMBER(K265)),N(K265)&lt;=0)),"Qté commandée invalide",IF(AG265&lt;SUMPRODUCT(MAX((A$6:A264=A265)*AG$6:AG264)),"Date antérieure au bon précédent",IF(AND(A265&lt;&gt;"BR",ISNUMBER(M265),N(M265)&gt;0),IF(A265="BL","Livré plus que commandé","Sorti plus que demandé"),"OK"))))))))))))</f>
        <v/>
      </c>
      <c r="Y265" s="57" t="str">
        <f>IF(AND(OR(A265="BL",A265="BR",A265="BS"),AG265&gt;0,D265&lt;&gt;""),A265&amp;"|"&amp;AG265&amp;"|"&amp;D265&amp;"|"&amp;F265,"")</f>
        <v/>
      </c>
      <c r="Z265" s="57" t="str">
        <f>IF(Y265="","",IF(COUNTIF(Y$6:Y264,Y265)=0,1,0))</f>
        <v/>
      </c>
      <c r="AA265" s="57" t="str">
        <f>IF(Y265="","",IF(Z265=1,COUNTIFS(A$6:A265,A265,Z$6:Z265,1),INDEX(AA$6:AA264,MATCH(Y265,Y$6:Y264,0))))</f>
        <v/>
      </c>
      <c r="AB265" s="57" t="str">
        <f>IF(B265="","",COUNTIF(B$6:B265,B265))</f>
        <v/>
      </c>
      <c r="AC265" s="57" t="str">
        <f>IF(B265="","",B265&amp;"#"&amp;AB265)</f>
        <v/>
      </c>
      <c r="AD265" s="57" t="str">
        <f>IF(Z265=1,A265&amp;AA265,"")</f>
        <v/>
      </c>
      <c r="AE265" s="57" t="str">
        <f>IF(B265="","",YEAR(C265))</f>
        <v/>
      </c>
      <c r="AF265" s="57" t="str">
        <f>IF(B265="","",MONTH(C265))</f>
        <v/>
      </c>
      <c r="AG265" s="57">
        <f>IF(ISNUMBER(C265),C265,0)</f>
        <v>0.0</v>
      </c>
      <c r="AH265" s="57" t="str">
        <f>IF(N(W265)&gt;0,COUNTIF(W$6:W265,"&gt;0"),"")</f>
        <v/>
      </c>
      <c r="AI265" s="57" t="str">
        <f>IF(Z265=1,COUNTIF(Z$6:Z265,1),"")</f>
        <v/>
      </c>
    </row>
    <row r="266">
      <c r="A266" s="54" t="n"/>
      <c r="B266" s="55" t="str">
        <f>IF(AA266="","",A266&amp;"-"&amp;RIGHT("000"&amp;AA266,4))</f>
        <v/>
      </c>
      <c r="C266" s="56" t="n"/>
      <c r="D266" s="54" t="n"/>
      <c r="E266" s="57" t="str">
        <f>IF(D266="","",IF(A266="BL",IFERROR(INDEX(cl_name,MATCH(D266,cl_code,0))&amp;"","Client inconnu"),IF(A266="BR",IFERROR(INDEX(fo_name,MATCH(D266,fo_code,0))&amp;"","Fournisseur inconnu"),IF(A266="BS",IF(ISNA(MATCH(D266,p_services,0)),"Service inconnu",D266&amp;""),""))))</f>
        <v/>
      </c>
      <c r="F266" s="58" t="n"/>
      <c r="G266" s="58" t="n"/>
      <c r="H266" s="59" t="n"/>
      <c r="I266" s="57" t="str">
        <f>IF(H266="","",IFERROR(INDEX(art_des,MATCH(H266,art_ref,0))&amp;"","Article inconnu"))</f>
        <v/>
      </c>
      <c r="J266" s="60" t="str">
        <f>IF(H266="","",IFERROR(INDEX(art_unit,MATCH(H266,art_ref,0))&amp;"",""))</f>
        <v/>
      </c>
      <c r="K266" s="59" t="n"/>
      <c r="L266" s="59" t="n"/>
      <c r="M266" s="61" t="str">
        <f>IF(OR(B266="",NOT(ISNUMBER(K266)),NOT(ISNUMBER(L266))),"",IF(OR(K266&lt;=0,L266&lt;=0),"",ROUND(L266-K266,6)))</f>
        <v/>
      </c>
      <c r="N266" s="58" t="n"/>
      <c r="O266" s="62" t="n"/>
      <c r="P266" s="63" t="str">
        <f>IF(OR(B266="",NOT(ISNUMBER(L266))),"",IF(L266&lt;=0,"",IFERROR(ROUND(L266*N(INDEX(art_w,MATCH(H266,art_ref,0))),3),"")))</f>
        <v/>
      </c>
      <c r="Q266" s="59" t="n"/>
      <c r="R266" s="54" t="n"/>
      <c r="S266" s="59" t="n"/>
      <c r="T266" s="59" t="n"/>
      <c r="U266" s="64" t="str">
        <f>IF(OR(B266="",H266=""),"",IFERROR(IF(A266="BL",IF(N(INDEX(art_price,MATCH(H266,art_ref,0)))=0,"",N(INDEX(art_price,MATCH(H266,art_ref,0)))),IF(N(INDEX(art_cost,MATCH(H266,art_ref,0)))=0,"",N(INDEX(art_cost,MATCH(H266,art_ref,0))))),""))</f>
        <v/>
      </c>
      <c r="V266" s="64" t="str">
        <f>IF(OR(U266="",NOT(ISNUMBER(L266))),"",IF(L266&lt;=0,"",ROUND(L266*U266,2)))</f>
        <v/>
      </c>
      <c r="W266" s="60" t="str">
        <f>IF(AND(B266&lt;&gt;"",A266&lt;&gt;"BS",F266&lt;&gt;"",H266&lt;&gt;"",ISNUMBER(K266),ISNUMBER(L266)),IF(AND(K266&gt;0,L266&gt;0,K266-L266&gt;0,COUNTIFS(A267:A$2005,A266,F267:F$2005,F266,H267:H$2005,H266,AA267:AA$2005,"&gt;0")=0),ROUND(K266-L266,6),""),"")</f>
        <v/>
      </c>
      <c r="X266" s="60" t="str">
        <f>IF(AND(A266="",C266="",D266="",H266="",L266=""),"",IF(A266="","Type manquant",IF(AND(A266&lt;&gt;"BL",A266&lt;&gt;"BR",A266&lt;&gt;"BS"),"Type inconnu (BL, BR ou BS)",IF(AG266=0,"Date manquante ou invalide",IF(D266="",IF(A266="BL","Client manquant",IF(A266="BR","Fournisseur manquant","Service manquant")),IF(IF(A266="BL",ISNA(MATCH(D266,cl_code,0)),IF(A266="BR",ISNA(MATCH(D266,fo_code,0)),ISNA(MATCH(D266,p_services,0)))),IF(A266="BL","Client inconnu",IF(A266="BR","Fournisseur inconnu","Service inconnu")),IF(H266="","Article manquant",IF(ISNA(MATCH(H266,art_ref,0)),"Article inconnu",IF(OR(NOT(ISNUMBER(L266)),N(L266)&lt;=0),"Quantité invalide",IF(AND(K266&lt;&gt;"",OR(NOT(ISNUMBER(K266)),N(K266)&lt;=0)),"Qté commandée invalide",IF(AG266&lt;SUMPRODUCT(MAX((A$6:A265=A266)*AG$6:AG265)),"Date antérieure au bon précédent",IF(AND(A266&lt;&gt;"BR",ISNUMBER(M266),N(M266)&gt;0),IF(A266="BL","Livré plus que commandé","Sorti plus que demandé"),"OK"))))))))))))</f>
        <v/>
      </c>
      <c r="Y266" s="57" t="str">
        <f>IF(AND(OR(A266="BL",A266="BR",A266="BS"),AG266&gt;0,D266&lt;&gt;""),A266&amp;"|"&amp;AG266&amp;"|"&amp;D266&amp;"|"&amp;F266,"")</f>
        <v/>
      </c>
      <c r="Z266" s="57" t="str">
        <f>IF(Y266="","",IF(COUNTIF(Y$6:Y265,Y266)=0,1,0))</f>
        <v/>
      </c>
      <c r="AA266" s="57" t="str">
        <f>IF(Y266="","",IF(Z266=1,COUNTIFS(A$6:A266,A266,Z$6:Z266,1),INDEX(AA$6:AA265,MATCH(Y266,Y$6:Y265,0))))</f>
        <v/>
      </c>
      <c r="AB266" s="57" t="str">
        <f>IF(B266="","",COUNTIF(B$6:B266,B266))</f>
        <v/>
      </c>
      <c r="AC266" s="57" t="str">
        <f>IF(B266="","",B266&amp;"#"&amp;AB266)</f>
        <v/>
      </c>
      <c r="AD266" s="57" t="str">
        <f>IF(Z266=1,A266&amp;AA266,"")</f>
        <v/>
      </c>
      <c r="AE266" s="57" t="str">
        <f>IF(B266="","",YEAR(C266))</f>
        <v/>
      </c>
      <c r="AF266" s="57" t="str">
        <f>IF(B266="","",MONTH(C266))</f>
        <v/>
      </c>
      <c r="AG266" s="57">
        <f>IF(ISNUMBER(C266),C266,0)</f>
        <v>0.0</v>
      </c>
      <c r="AH266" s="57" t="str">
        <f>IF(N(W266)&gt;0,COUNTIF(W$6:W266,"&gt;0"),"")</f>
        <v/>
      </c>
      <c r="AI266" s="57" t="str">
        <f>IF(Z266=1,COUNTIF(Z$6:Z266,1),"")</f>
        <v/>
      </c>
    </row>
    <row r="267">
      <c r="A267" s="54" t="n"/>
      <c r="B267" s="55" t="str">
        <f>IF(AA267="","",A267&amp;"-"&amp;RIGHT("000"&amp;AA267,4))</f>
        <v/>
      </c>
      <c r="C267" s="56" t="n"/>
      <c r="D267" s="54" t="n"/>
      <c r="E267" s="57" t="str">
        <f>IF(D267="","",IF(A267="BL",IFERROR(INDEX(cl_name,MATCH(D267,cl_code,0))&amp;"","Client inconnu"),IF(A267="BR",IFERROR(INDEX(fo_name,MATCH(D267,fo_code,0))&amp;"","Fournisseur inconnu"),IF(A267="BS",IF(ISNA(MATCH(D267,p_services,0)),"Service inconnu",D267&amp;""),""))))</f>
        <v/>
      </c>
      <c r="F267" s="58" t="n"/>
      <c r="G267" s="58" t="n"/>
      <c r="H267" s="59" t="n"/>
      <c r="I267" s="57" t="str">
        <f>IF(H267="","",IFERROR(INDEX(art_des,MATCH(H267,art_ref,0))&amp;"","Article inconnu"))</f>
        <v/>
      </c>
      <c r="J267" s="60" t="str">
        <f>IF(H267="","",IFERROR(INDEX(art_unit,MATCH(H267,art_ref,0))&amp;"",""))</f>
        <v/>
      </c>
      <c r="K267" s="59" t="n"/>
      <c r="L267" s="59" t="n"/>
      <c r="M267" s="61" t="str">
        <f>IF(OR(B267="",NOT(ISNUMBER(K267)),NOT(ISNUMBER(L267))),"",IF(OR(K267&lt;=0,L267&lt;=0),"",ROUND(L267-K267,6)))</f>
        <v/>
      </c>
      <c r="N267" s="58" t="n"/>
      <c r="O267" s="62" t="n"/>
      <c r="P267" s="63" t="str">
        <f>IF(OR(B267="",NOT(ISNUMBER(L267))),"",IF(L267&lt;=0,"",IFERROR(ROUND(L267*N(INDEX(art_w,MATCH(H267,art_ref,0))),3),"")))</f>
        <v/>
      </c>
      <c r="Q267" s="59" t="n"/>
      <c r="R267" s="54" t="n"/>
      <c r="S267" s="59" t="n"/>
      <c r="T267" s="59" t="n"/>
      <c r="U267" s="64" t="str">
        <f>IF(OR(B267="",H267=""),"",IFERROR(IF(A267="BL",IF(N(INDEX(art_price,MATCH(H267,art_ref,0)))=0,"",N(INDEX(art_price,MATCH(H267,art_ref,0)))),IF(N(INDEX(art_cost,MATCH(H267,art_ref,0)))=0,"",N(INDEX(art_cost,MATCH(H267,art_ref,0))))),""))</f>
        <v/>
      </c>
      <c r="V267" s="64" t="str">
        <f>IF(OR(U267="",NOT(ISNUMBER(L267))),"",IF(L267&lt;=0,"",ROUND(L267*U267,2)))</f>
        <v/>
      </c>
      <c r="W267" s="60" t="str">
        <f>IF(AND(B267&lt;&gt;"",A267&lt;&gt;"BS",F267&lt;&gt;"",H267&lt;&gt;"",ISNUMBER(K267),ISNUMBER(L267)),IF(AND(K267&gt;0,L267&gt;0,K267-L267&gt;0,COUNTIFS(A268:A$2005,A267,F268:F$2005,F267,H268:H$2005,H267,AA268:AA$2005,"&gt;0")=0),ROUND(K267-L267,6),""),"")</f>
        <v/>
      </c>
      <c r="X267" s="60" t="str">
        <f>IF(AND(A267="",C267="",D267="",H267="",L267=""),"",IF(A267="","Type manquant",IF(AND(A267&lt;&gt;"BL",A267&lt;&gt;"BR",A267&lt;&gt;"BS"),"Type inconnu (BL, BR ou BS)",IF(AG267=0,"Date manquante ou invalide",IF(D267="",IF(A267="BL","Client manquant",IF(A267="BR","Fournisseur manquant","Service manquant")),IF(IF(A267="BL",ISNA(MATCH(D267,cl_code,0)),IF(A267="BR",ISNA(MATCH(D267,fo_code,0)),ISNA(MATCH(D267,p_services,0)))),IF(A267="BL","Client inconnu",IF(A267="BR","Fournisseur inconnu","Service inconnu")),IF(H267="","Article manquant",IF(ISNA(MATCH(H267,art_ref,0)),"Article inconnu",IF(OR(NOT(ISNUMBER(L267)),N(L267)&lt;=0),"Quantité invalide",IF(AND(K267&lt;&gt;"",OR(NOT(ISNUMBER(K267)),N(K267)&lt;=0)),"Qté commandée invalide",IF(AG267&lt;SUMPRODUCT(MAX((A$6:A266=A267)*AG$6:AG266)),"Date antérieure au bon précédent",IF(AND(A267&lt;&gt;"BR",ISNUMBER(M267),N(M267)&gt;0),IF(A267="BL","Livré plus que commandé","Sorti plus que demandé"),"OK"))))))))))))</f>
        <v/>
      </c>
      <c r="Y267" s="57" t="str">
        <f>IF(AND(OR(A267="BL",A267="BR",A267="BS"),AG267&gt;0,D267&lt;&gt;""),A267&amp;"|"&amp;AG267&amp;"|"&amp;D267&amp;"|"&amp;F267,"")</f>
        <v/>
      </c>
      <c r="Z267" s="57" t="str">
        <f>IF(Y267="","",IF(COUNTIF(Y$6:Y266,Y267)=0,1,0))</f>
        <v/>
      </c>
      <c r="AA267" s="57" t="str">
        <f>IF(Y267="","",IF(Z267=1,COUNTIFS(A$6:A267,A267,Z$6:Z267,1),INDEX(AA$6:AA266,MATCH(Y267,Y$6:Y266,0))))</f>
        <v/>
      </c>
      <c r="AB267" s="57" t="str">
        <f>IF(B267="","",COUNTIF(B$6:B267,B267))</f>
        <v/>
      </c>
      <c r="AC267" s="57" t="str">
        <f>IF(B267="","",B267&amp;"#"&amp;AB267)</f>
        <v/>
      </c>
      <c r="AD267" s="57" t="str">
        <f>IF(Z267=1,A267&amp;AA267,"")</f>
        <v/>
      </c>
      <c r="AE267" s="57" t="str">
        <f>IF(B267="","",YEAR(C267))</f>
        <v/>
      </c>
      <c r="AF267" s="57" t="str">
        <f>IF(B267="","",MONTH(C267))</f>
        <v/>
      </c>
      <c r="AG267" s="57">
        <f>IF(ISNUMBER(C267),C267,0)</f>
        <v>0.0</v>
      </c>
      <c r="AH267" s="57" t="str">
        <f>IF(N(W267)&gt;0,COUNTIF(W$6:W267,"&gt;0"),"")</f>
        <v/>
      </c>
      <c r="AI267" s="57" t="str">
        <f>IF(Z267=1,COUNTIF(Z$6:Z267,1),"")</f>
        <v/>
      </c>
    </row>
    <row r="268">
      <c r="A268" s="54" t="n"/>
      <c r="B268" s="55" t="str">
        <f>IF(AA268="","",A268&amp;"-"&amp;RIGHT("000"&amp;AA268,4))</f>
        <v/>
      </c>
      <c r="C268" s="56" t="n"/>
      <c r="D268" s="54" t="n"/>
      <c r="E268" s="57" t="str">
        <f>IF(D268="","",IF(A268="BL",IFERROR(INDEX(cl_name,MATCH(D268,cl_code,0))&amp;"","Client inconnu"),IF(A268="BR",IFERROR(INDEX(fo_name,MATCH(D268,fo_code,0))&amp;"","Fournisseur inconnu"),IF(A268="BS",IF(ISNA(MATCH(D268,p_services,0)),"Service inconnu",D268&amp;""),""))))</f>
        <v/>
      </c>
      <c r="F268" s="58" t="n"/>
      <c r="G268" s="58" t="n"/>
      <c r="H268" s="59" t="n"/>
      <c r="I268" s="57" t="str">
        <f>IF(H268="","",IFERROR(INDEX(art_des,MATCH(H268,art_ref,0))&amp;"","Article inconnu"))</f>
        <v/>
      </c>
      <c r="J268" s="60" t="str">
        <f>IF(H268="","",IFERROR(INDEX(art_unit,MATCH(H268,art_ref,0))&amp;"",""))</f>
        <v/>
      </c>
      <c r="K268" s="59" t="n"/>
      <c r="L268" s="59" t="n"/>
      <c r="M268" s="61" t="str">
        <f>IF(OR(B268="",NOT(ISNUMBER(K268)),NOT(ISNUMBER(L268))),"",IF(OR(K268&lt;=0,L268&lt;=0),"",ROUND(L268-K268,6)))</f>
        <v/>
      </c>
      <c r="N268" s="58" t="n"/>
      <c r="O268" s="62" t="n"/>
      <c r="P268" s="63" t="str">
        <f>IF(OR(B268="",NOT(ISNUMBER(L268))),"",IF(L268&lt;=0,"",IFERROR(ROUND(L268*N(INDEX(art_w,MATCH(H268,art_ref,0))),3),"")))</f>
        <v/>
      </c>
      <c r="Q268" s="59" t="n"/>
      <c r="R268" s="54" t="n"/>
      <c r="S268" s="59" t="n"/>
      <c r="T268" s="59" t="n"/>
      <c r="U268" s="64" t="str">
        <f>IF(OR(B268="",H268=""),"",IFERROR(IF(A268="BL",IF(N(INDEX(art_price,MATCH(H268,art_ref,0)))=0,"",N(INDEX(art_price,MATCH(H268,art_ref,0)))),IF(N(INDEX(art_cost,MATCH(H268,art_ref,0)))=0,"",N(INDEX(art_cost,MATCH(H268,art_ref,0))))),""))</f>
        <v/>
      </c>
      <c r="V268" s="64" t="str">
        <f>IF(OR(U268="",NOT(ISNUMBER(L268))),"",IF(L268&lt;=0,"",ROUND(L268*U268,2)))</f>
        <v/>
      </c>
      <c r="W268" s="60" t="str">
        <f>IF(AND(B268&lt;&gt;"",A268&lt;&gt;"BS",F268&lt;&gt;"",H268&lt;&gt;"",ISNUMBER(K268),ISNUMBER(L268)),IF(AND(K268&gt;0,L268&gt;0,K268-L268&gt;0,COUNTIFS(A269:A$2005,A268,F269:F$2005,F268,H269:H$2005,H268,AA269:AA$2005,"&gt;0")=0),ROUND(K268-L268,6),""),"")</f>
        <v/>
      </c>
      <c r="X268" s="60" t="str">
        <f>IF(AND(A268="",C268="",D268="",H268="",L268=""),"",IF(A268="","Type manquant",IF(AND(A268&lt;&gt;"BL",A268&lt;&gt;"BR",A268&lt;&gt;"BS"),"Type inconnu (BL, BR ou BS)",IF(AG268=0,"Date manquante ou invalide",IF(D268="",IF(A268="BL","Client manquant",IF(A268="BR","Fournisseur manquant","Service manquant")),IF(IF(A268="BL",ISNA(MATCH(D268,cl_code,0)),IF(A268="BR",ISNA(MATCH(D268,fo_code,0)),ISNA(MATCH(D268,p_services,0)))),IF(A268="BL","Client inconnu",IF(A268="BR","Fournisseur inconnu","Service inconnu")),IF(H268="","Article manquant",IF(ISNA(MATCH(H268,art_ref,0)),"Article inconnu",IF(OR(NOT(ISNUMBER(L268)),N(L268)&lt;=0),"Quantité invalide",IF(AND(K268&lt;&gt;"",OR(NOT(ISNUMBER(K268)),N(K268)&lt;=0)),"Qté commandée invalide",IF(AG268&lt;SUMPRODUCT(MAX((A$6:A267=A268)*AG$6:AG267)),"Date antérieure au bon précédent",IF(AND(A268&lt;&gt;"BR",ISNUMBER(M268),N(M268)&gt;0),IF(A268="BL","Livré plus que commandé","Sorti plus que demandé"),"OK"))))))))))))</f>
        <v/>
      </c>
      <c r="Y268" s="57" t="str">
        <f>IF(AND(OR(A268="BL",A268="BR",A268="BS"),AG268&gt;0,D268&lt;&gt;""),A268&amp;"|"&amp;AG268&amp;"|"&amp;D268&amp;"|"&amp;F268,"")</f>
        <v/>
      </c>
      <c r="Z268" s="57" t="str">
        <f>IF(Y268="","",IF(COUNTIF(Y$6:Y267,Y268)=0,1,0))</f>
        <v/>
      </c>
      <c r="AA268" s="57" t="str">
        <f>IF(Y268="","",IF(Z268=1,COUNTIFS(A$6:A268,A268,Z$6:Z268,1),INDEX(AA$6:AA267,MATCH(Y268,Y$6:Y267,0))))</f>
        <v/>
      </c>
      <c r="AB268" s="57" t="str">
        <f>IF(B268="","",COUNTIF(B$6:B268,B268))</f>
        <v/>
      </c>
      <c r="AC268" s="57" t="str">
        <f>IF(B268="","",B268&amp;"#"&amp;AB268)</f>
        <v/>
      </c>
      <c r="AD268" s="57" t="str">
        <f>IF(Z268=1,A268&amp;AA268,"")</f>
        <v/>
      </c>
      <c r="AE268" s="57" t="str">
        <f>IF(B268="","",YEAR(C268))</f>
        <v/>
      </c>
      <c r="AF268" s="57" t="str">
        <f>IF(B268="","",MONTH(C268))</f>
        <v/>
      </c>
      <c r="AG268" s="57">
        <f>IF(ISNUMBER(C268),C268,0)</f>
        <v>0.0</v>
      </c>
      <c r="AH268" s="57" t="str">
        <f>IF(N(W268)&gt;0,COUNTIF(W$6:W268,"&gt;0"),"")</f>
        <v/>
      </c>
      <c r="AI268" s="57" t="str">
        <f>IF(Z268=1,COUNTIF(Z$6:Z268,1),"")</f>
        <v/>
      </c>
    </row>
    <row r="269">
      <c r="A269" s="54" t="n"/>
      <c r="B269" s="55" t="str">
        <f>IF(AA269="","",A269&amp;"-"&amp;RIGHT("000"&amp;AA269,4))</f>
        <v/>
      </c>
      <c r="C269" s="56" t="n"/>
      <c r="D269" s="54" t="n"/>
      <c r="E269" s="57" t="str">
        <f>IF(D269="","",IF(A269="BL",IFERROR(INDEX(cl_name,MATCH(D269,cl_code,0))&amp;"","Client inconnu"),IF(A269="BR",IFERROR(INDEX(fo_name,MATCH(D269,fo_code,0))&amp;"","Fournisseur inconnu"),IF(A269="BS",IF(ISNA(MATCH(D269,p_services,0)),"Service inconnu",D269&amp;""),""))))</f>
        <v/>
      </c>
      <c r="F269" s="58" t="n"/>
      <c r="G269" s="58" t="n"/>
      <c r="H269" s="59" t="n"/>
      <c r="I269" s="57" t="str">
        <f>IF(H269="","",IFERROR(INDEX(art_des,MATCH(H269,art_ref,0))&amp;"","Article inconnu"))</f>
        <v/>
      </c>
      <c r="J269" s="60" t="str">
        <f>IF(H269="","",IFERROR(INDEX(art_unit,MATCH(H269,art_ref,0))&amp;"",""))</f>
        <v/>
      </c>
      <c r="K269" s="59" t="n"/>
      <c r="L269" s="59" t="n"/>
      <c r="M269" s="61" t="str">
        <f>IF(OR(B269="",NOT(ISNUMBER(K269)),NOT(ISNUMBER(L269))),"",IF(OR(K269&lt;=0,L269&lt;=0),"",ROUND(L269-K269,6)))</f>
        <v/>
      </c>
      <c r="N269" s="58" t="n"/>
      <c r="O269" s="62" t="n"/>
      <c r="P269" s="63" t="str">
        <f>IF(OR(B269="",NOT(ISNUMBER(L269))),"",IF(L269&lt;=0,"",IFERROR(ROUND(L269*N(INDEX(art_w,MATCH(H269,art_ref,0))),3),"")))</f>
        <v/>
      </c>
      <c r="Q269" s="59" t="n"/>
      <c r="R269" s="54" t="n"/>
      <c r="S269" s="59" t="n"/>
      <c r="T269" s="59" t="n"/>
      <c r="U269" s="64" t="str">
        <f>IF(OR(B269="",H269=""),"",IFERROR(IF(A269="BL",IF(N(INDEX(art_price,MATCH(H269,art_ref,0)))=0,"",N(INDEX(art_price,MATCH(H269,art_ref,0)))),IF(N(INDEX(art_cost,MATCH(H269,art_ref,0)))=0,"",N(INDEX(art_cost,MATCH(H269,art_ref,0))))),""))</f>
        <v/>
      </c>
      <c r="V269" s="64" t="str">
        <f>IF(OR(U269="",NOT(ISNUMBER(L269))),"",IF(L269&lt;=0,"",ROUND(L269*U269,2)))</f>
        <v/>
      </c>
      <c r="W269" s="60" t="str">
        <f>IF(AND(B269&lt;&gt;"",A269&lt;&gt;"BS",F269&lt;&gt;"",H269&lt;&gt;"",ISNUMBER(K269),ISNUMBER(L269)),IF(AND(K269&gt;0,L269&gt;0,K269-L269&gt;0,COUNTIFS(A270:A$2005,A269,F270:F$2005,F269,H270:H$2005,H269,AA270:AA$2005,"&gt;0")=0),ROUND(K269-L269,6),""),"")</f>
        <v/>
      </c>
      <c r="X269" s="60" t="str">
        <f>IF(AND(A269="",C269="",D269="",H269="",L269=""),"",IF(A269="","Type manquant",IF(AND(A269&lt;&gt;"BL",A269&lt;&gt;"BR",A269&lt;&gt;"BS"),"Type inconnu (BL, BR ou BS)",IF(AG269=0,"Date manquante ou invalide",IF(D269="",IF(A269="BL","Client manquant",IF(A269="BR","Fournisseur manquant","Service manquant")),IF(IF(A269="BL",ISNA(MATCH(D269,cl_code,0)),IF(A269="BR",ISNA(MATCH(D269,fo_code,0)),ISNA(MATCH(D269,p_services,0)))),IF(A269="BL","Client inconnu",IF(A269="BR","Fournisseur inconnu","Service inconnu")),IF(H269="","Article manquant",IF(ISNA(MATCH(H269,art_ref,0)),"Article inconnu",IF(OR(NOT(ISNUMBER(L269)),N(L269)&lt;=0),"Quantité invalide",IF(AND(K269&lt;&gt;"",OR(NOT(ISNUMBER(K269)),N(K269)&lt;=0)),"Qté commandée invalide",IF(AG269&lt;SUMPRODUCT(MAX((A$6:A268=A269)*AG$6:AG268)),"Date antérieure au bon précédent",IF(AND(A269&lt;&gt;"BR",ISNUMBER(M269),N(M269)&gt;0),IF(A269="BL","Livré plus que commandé","Sorti plus que demandé"),"OK"))))))))))))</f>
        <v/>
      </c>
      <c r="Y269" s="57" t="str">
        <f>IF(AND(OR(A269="BL",A269="BR",A269="BS"),AG269&gt;0,D269&lt;&gt;""),A269&amp;"|"&amp;AG269&amp;"|"&amp;D269&amp;"|"&amp;F269,"")</f>
        <v/>
      </c>
      <c r="Z269" s="57" t="str">
        <f>IF(Y269="","",IF(COUNTIF(Y$6:Y268,Y269)=0,1,0))</f>
        <v/>
      </c>
      <c r="AA269" s="57" t="str">
        <f>IF(Y269="","",IF(Z269=1,COUNTIFS(A$6:A269,A269,Z$6:Z269,1),INDEX(AA$6:AA268,MATCH(Y269,Y$6:Y268,0))))</f>
        <v/>
      </c>
      <c r="AB269" s="57" t="str">
        <f>IF(B269="","",COUNTIF(B$6:B269,B269))</f>
        <v/>
      </c>
      <c r="AC269" s="57" t="str">
        <f>IF(B269="","",B269&amp;"#"&amp;AB269)</f>
        <v/>
      </c>
      <c r="AD269" s="57" t="str">
        <f>IF(Z269=1,A269&amp;AA269,"")</f>
        <v/>
      </c>
      <c r="AE269" s="57" t="str">
        <f>IF(B269="","",YEAR(C269))</f>
        <v/>
      </c>
      <c r="AF269" s="57" t="str">
        <f>IF(B269="","",MONTH(C269))</f>
        <v/>
      </c>
      <c r="AG269" s="57">
        <f>IF(ISNUMBER(C269),C269,0)</f>
        <v>0.0</v>
      </c>
      <c r="AH269" s="57" t="str">
        <f>IF(N(W269)&gt;0,COUNTIF(W$6:W269,"&gt;0"),"")</f>
        <v/>
      </c>
      <c r="AI269" s="57" t="str">
        <f>IF(Z269=1,COUNTIF(Z$6:Z269,1),"")</f>
        <v/>
      </c>
    </row>
    <row r="270">
      <c r="A270" s="54" t="n"/>
      <c r="B270" s="55" t="str">
        <f>IF(AA270="","",A270&amp;"-"&amp;RIGHT("000"&amp;AA270,4))</f>
        <v/>
      </c>
      <c r="C270" s="56" t="n"/>
      <c r="D270" s="54" t="n"/>
      <c r="E270" s="57" t="str">
        <f>IF(D270="","",IF(A270="BL",IFERROR(INDEX(cl_name,MATCH(D270,cl_code,0))&amp;"","Client inconnu"),IF(A270="BR",IFERROR(INDEX(fo_name,MATCH(D270,fo_code,0))&amp;"","Fournisseur inconnu"),IF(A270="BS",IF(ISNA(MATCH(D270,p_services,0)),"Service inconnu",D270&amp;""),""))))</f>
        <v/>
      </c>
      <c r="F270" s="58" t="n"/>
      <c r="G270" s="58" t="n"/>
      <c r="H270" s="59" t="n"/>
      <c r="I270" s="57" t="str">
        <f>IF(H270="","",IFERROR(INDEX(art_des,MATCH(H270,art_ref,0))&amp;"","Article inconnu"))</f>
        <v/>
      </c>
      <c r="J270" s="60" t="str">
        <f>IF(H270="","",IFERROR(INDEX(art_unit,MATCH(H270,art_ref,0))&amp;"",""))</f>
        <v/>
      </c>
      <c r="K270" s="59" t="n"/>
      <c r="L270" s="59" t="n"/>
      <c r="M270" s="61" t="str">
        <f>IF(OR(B270="",NOT(ISNUMBER(K270)),NOT(ISNUMBER(L270))),"",IF(OR(K270&lt;=0,L270&lt;=0),"",ROUND(L270-K270,6)))</f>
        <v/>
      </c>
      <c r="N270" s="58" t="n"/>
      <c r="O270" s="62" t="n"/>
      <c r="P270" s="63" t="str">
        <f>IF(OR(B270="",NOT(ISNUMBER(L270))),"",IF(L270&lt;=0,"",IFERROR(ROUND(L270*N(INDEX(art_w,MATCH(H270,art_ref,0))),3),"")))</f>
        <v/>
      </c>
      <c r="Q270" s="59" t="n"/>
      <c r="R270" s="54" t="n"/>
      <c r="S270" s="59" t="n"/>
      <c r="T270" s="59" t="n"/>
      <c r="U270" s="64" t="str">
        <f>IF(OR(B270="",H270=""),"",IFERROR(IF(A270="BL",IF(N(INDEX(art_price,MATCH(H270,art_ref,0)))=0,"",N(INDEX(art_price,MATCH(H270,art_ref,0)))),IF(N(INDEX(art_cost,MATCH(H270,art_ref,0)))=0,"",N(INDEX(art_cost,MATCH(H270,art_ref,0))))),""))</f>
        <v/>
      </c>
      <c r="V270" s="64" t="str">
        <f>IF(OR(U270="",NOT(ISNUMBER(L270))),"",IF(L270&lt;=0,"",ROUND(L270*U270,2)))</f>
        <v/>
      </c>
      <c r="W270" s="60" t="str">
        <f>IF(AND(B270&lt;&gt;"",A270&lt;&gt;"BS",F270&lt;&gt;"",H270&lt;&gt;"",ISNUMBER(K270),ISNUMBER(L270)),IF(AND(K270&gt;0,L270&gt;0,K270-L270&gt;0,COUNTIFS(A271:A$2005,A270,F271:F$2005,F270,H271:H$2005,H270,AA271:AA$2005,"&gt;0")=0),ROUND(K270-L270,6),""),"")</f>
        <v/>
      </c>
      <c r="X270" s="60" t="str">
        <f>IF(AND(A270="",C270="",D270="",H270="",L270=""),"",IF(A270="","Type manquant",IF(AND(A270&lt;&gt;"BL",A270&lt;&gt;"BR",A270&lt;&gt;"BS"),"Type inconnu (BL, BR ou BS)",IF(AG270=0,"Date manquante ou invalide",IF(D270="",IF(A270="BL","Client manquant",IF(A270="BR","Fournisseur manquant","Service manquant")),IF(IF(A270="BL",ISNA(MATCH(D270,cl_code,0)),IF(A270="BR",ISNA(MATCH(D270,fo_code,0)),ISNA(MATCH(D270,p_services,0)))),IF(A270="BL","Client inconnu",IF(A270="BR","Fournisseur inconnu","Service inconnu")),IF(H270="","Article manquant",IF(ISNA(MATCH(H270,art_ref,0)),"Article inconnu",IF(OR(NOT(ISNUMBER(L270)),N(L270)&lt;=0),"Quantité invalide",IF(AND(K270&lt;&gt;"",OR(NOT(ISNUMBER(K270)),N(K270)&lt;=0)),"Qté commandée invalide",IF(AG270&lt;SUMPRODUCT(MAX((A$6:A269=A270)*AG$6:AG269)),"Date antérieure au bon précédent",IF(AND(A270&lt;&gt;"BR",ISNUMBER(M270),N(M270)&gt;0),IF(A270="BL","Livré plus que commandé","Sorti plus que demandé"),"OK"))))))))))))</f>
        <v/>
      </c>
      <c r="Y270" s="57" t="str">
        <f>IF(AND(OR(A270="BL",A270="BR",A270="BS"),AG270&gt;0,D270&lt;&gt;""),A270&amp;"|"&amp;AG270&amp;"|"&amp;D270&amp;"|"&amp;F270,"")</f>
        <v/>
      </c>
      <c r="Z270" s="57" t="str">
        <f>IF(Y270="","",IF(COUNTIF(Y$6:Y269,Y270)=0,1,0))</f>
        <v/>
      </c>
      <c r="AA270" s="57" t="str">
        <f>IF(Y270="","",IF(Z270=1,COUNTIFS(A$6:A270,A270,Z$6:Z270,1),INDEX(AA$6:AA269,MATCH(Y270,Y$6:Y269,0))))</f>
        <v/>
      </c>
      <c r="AB270" s="57" t="str">
        <f>IF(B270="","",COUNTIF(B$6:B270,B270))</f>
        <v/>
      </c>
      <c r="AC270" s="57" t="str">
        <f>IF(B270="","",B270&amp;"#"&amp;AB270)</f>
        <v/>
      </c>
      <c r="AD270" s="57" t="str">
        <f>IF(Z270=1,A270&amp;AA270,"")</f>
        <v/>
      </c>
      <c r="AE270" s="57" t="str">
        <f>IF(B270="","",YEAR(C270))</f>
        <v/>
      </c>
      <c r="AF270" s="57" t="str">
        <f>IF(B270="","",MONTH(C270))</f>
        <v/>
      </c>
      <c r="AG270" s="57">
        <f>IF(ISNUMBER(C270),C270,0)</f>
        <v>0.0</v>
      </c>
      <c r="AH270" s="57" t="str">
        <f>IF(N(W270)&gt;0,COUNTIF(W$6:W270,"&gt;0"),"")</f>
        <v/>
      </c>
      <c r="AI270" s="57" t="str">
        <f>IF(Z270=1,COUNTIF(Z$6:Z270,1),"")</f>
        <v/>
      </c>
    </row>
    <row r="271">
      <c r="A271" s="54" t="n"/>
      <c r="B271" s="55" t="str">
        <f>IF(AA271="","",A271&amp;"-"&amp;RIGHT("000"&amp;AA271,4))</f>
        <v/>
      </c>
      <c r="C271" s="56" t="n"/>
      <c r="D271" s="54" t="n"/>
      <c r="E271" s="57" t="str">
        <f>IF(D271="","",IF(A271="BL",IFERROR(INDEX(cl_name,MATCH(D271,cl_code,0))&amp;"","Client inconnu"),IF(A271="BR",IFERROR(INDEX(fo_name,MATCH(D271,fo_code,0))&amp;"","Fournisseur inconnu"),IF(A271="BS",IF(ISNA(MATCH(D271,p_services,0)),"Service inconnu",D271&amp;""),""))))</f>
        <v/>
      </c>
      <c r="F271" s="58" t="n"/>
      <c r="G271" s="58" t="n"/>
      <c r="H271" s="59" t="n"/>
      <c r="I271" s="57" t="str">
        <f>IF(H271="","",IFERROR(INDEX(art_des,MATCH(H271,art_ref,0))&amp;"","Article inconnu"))</f>
        <v/>
      </c>
      <c r="J271" s="60" t="str">
        <f>IF(H271="","",IFERROR(INDEX(art_unit,MATCH(H271,art_ref,0))&amp;"",""))</f>
        <v/>
      </c>
      <c r="K271" s="59" t="n"/>
      <c r="L271" s="59" t="n"/>
      <c r="M271" s="61" t="str">
        <f>IF(OR(B271="",NOT(ISNUMBER(K271)),NOT(ISNUMBER(L271))),"",IF(OR(K271&lt;=0,L271&lt;=0),"",ROUND(L271-K271,6)))</f>
        <v/>
      </c>
      <c r="N271" s="58" t="n"/>
      <c r="O271" s="62" t="n"/>
      <c r="P271" s="63" t="str">
        <f>IF(OR(B271="",NOT(ISNUMBER(L271))),"",IF(L271&lt;=0,"",IFERROR(ROUND(L271*N(INDEX(art_w,MATCH(H271,art_ref,0))),3),"")))</f>
        <v/>
      </c>
      <c r="Q271" s="59" t="n"/>
      <c r="R271" s="54" t="n"/>
      <c r="S271" s="59" t="n"/>
      <c r="T271" s="59" t="n"/>
      <c r="U271" s="64" t="str">
        <f>IF(OR(B271="",H271=""),"",IFERROR(IF(A271="BL",IF(N(INDEX(art_price,MATCH(H271,art_ref,0)))=0,"",N(INDEX(art_price,MATCH(H271,art_ref,0)))),IF(N(INDEX(art_cost,MATCH(H271,art_ref,0)))=0,"",N(INDEX(art_cost,MATCH(H271,art_ref,0))))),""))</f>
        <v/>
      </c>
      <c r="V271" s="64" t="str">
        <f>IF(OR(U271="",NOT(ISNUMBER(L271))),"",IF(L271&lt;=0,"",ROUND(L271*U271,2)))</f>
        <v/>
      </c>
      <c r="W271" s="60" t="str">
        <f>IF(AND(B271&lt;&gt;"",A271&lt;&gt;"BS",F271&lt;&gt;"",H271&lt;&gt;"",ISNUMBER(K271),ISNUMBER(L271)),IF(AND(K271&gt;0,L271&gt;0,K271-L271&gt;0,COUNTIFS(A272:A$2005,A271,F272:F$2005,F271,H272:H$2005,H271,AA272:AA$2005,"&gt;0")=0),ROUND(K271-L271,6),""),"")</f>
        <v/>
      </c>
      <c r="X271" s="60" t="str">
        <f>IF(AND(A271="",C271="",D271="",H271="",L271=""),"",IF(A271="","Type manquant",IF(AND(A271&lt;&gt;"BL",A271&lt;&gt;"BR",A271&lt;&gt;"BS"),"Type inconnu (BL, BR ou BS)",IF(AG271=0,"Date manquante ou invalide",IF(D271="",IF(A271="BL","Client manquant",IF(A271="BR","Fournisseur manquant","Service manquant")),IF(IF(A271="BL",ISNA(MATCH(D271,cl_code,0)),IF(A271="BR",ISNA(MATCH(D271,fo_code,0)),ISNA(MATCH(D271,p_services,0)))),IF(A271="BL","Client inconnu",IF(A271="BR","Fournisseur inconnu","Service inconnu")),IF(H271="","Article manquant",IF(ISNA(MATCH(H271,art_ref,0)),"Article inconnu",IF(OR(NOT(ISNUMBER(L271)),N(L271)&lt;=0),"Quantité invalide",IF(AND(K271&lt;&gt;"",OR(NOT(ISNUMBER(K271)),N(K271)&lt;=0)),"Qté commandée invalide",IF(AG271&lt;SUMPRODUCT(MAX((A$6:A270=A271)*AG$6:AG270)),"Date antérieure au bon précédent",IF(AND(A271&lt;&gt;"BR",ISNUMBER(M271),N(M271)&gt;0),IF(A271="BL","Livré plus que commandé","Sorti plus que demandé"),"OK"))))))))))))</f>
        <v/>
      </c>
      <c r="Y271" s="57" t="str">
        <f>IF(AND(OR(A271="BL",A271="BR",A271="BS"),AG271&gt;0,D271&lt;&gt;""),A271&amp;"|"&amp;AG271&amp;"|"&amp;D271&amp;"|"&amp;F271,"")</f>
        <v/>
      </c>
      <c r="Z271" s="57" t="str">
        <f>IF(Y271="","",IF(COUNTIF(Y$6:Y270,Y271)=0,1,0))</f>
        <v/>
      </c>
      <c r="AA271" s="57" t="str">
        <f>IF(Y271="","",IF(Z271=1,COUNTIFS(A$6:A271,A271,Z$6:Z271,1),INDEX(AA$6:AA270,MATCH(Y271,Y$6:Y270,0))))</f>
        <v/>
      </c>
      <c r="AB271" s="57" t="str">
        <f>IF(B271="","",COUNTIF(B$6:B271,B271))</f>
        <v/>
      </c>
      <c r="AC271" s="57" t="str">
        <f>IF(B271="","",B271&amp;"#"&amp;AB271)</f>
        <v/>
      </c>
      <c r="AD271" s="57" t="str">
        <f>IF(Z271=1,A271&amp;AA271,"")</f>
        <v/>
      </c>
      <c r="AE271" s="57" t="str">
        <f>IF(B271="","",YEAR(C271))</f>
        <v/>
      </c>
      <c r="AF271" s="57" t="str">
        <f>IF(B271="","",MONTH(C271))</f>
        <v/>
      </c>
      <c r="AG271" s="57">
        <f>IF(ISNUMBER(C271),C271,0)</f>
        <v>0.0</v>
      </c>
      <c r="AH271" s="57" t="str">
        <f>IF(N(W271)&gt;0,COUNTIF(W$6:W271,"&gt;0"),"")</f>
        <v/>
      </c>
      <c r="AI271" s="57" t="str">
        <f>IF(Z271=1,COUNTIF(Z$6:Z271,1),"")</f>
        <v/>
      </c>
    </row>
    <row r="272">
      <c r="A272" s="54" t="n"/>
      <c r="B272" s="55" t="str">
        <f>IF(AA272="","",A272&amp;"-"&amp;RIGHT("000"&amp;AA272,4))</f>
        <v/>
      </c>
      <c r="C272" s="56" t="n"/>
      <c r="D272" s="54" t="n"/>
      <c r="E272" s="57" t="str">
        <f>IF(D272="","",IF(A272="BL",IFERROR(INDEX(cl_name,MATCH(D272,cl_code,0))&amp;"","Client inconnu"),IF(A272="BR",IFERROR(INDEX(fo_name,MATCH(D272,fo_code,0))&amp;"","Fournisseur inconnu"),IF(A272="BS",IF(ISNA(MATCH(D272,p_services,0)),"Service inconnu",D272&amp;""),""))))</f>
        <v/>
      </c>
      <c r="F272" s="58" t="n"/>
      <c r="G272" s="58" t="n"/>
      <c r="H272" s="59" t="n"/>
      <c r="I272" s="57" t="str">
        <f>IF(H272="","",IFERROR(INDEX(art_des,MATCH(H272,art_ref,0))&amp;"","Article inconnu"))</f>
        <v/>
      </c>
      <c r="J272" s="60" t="str">
        <f>IF(H272="","",IFERROR(INDEX(art_unit,MATCH(H272,art_ref,0))&amp;"",""))</f>
        <v/>
      </c>
      <c r="K272" s="59" t="n"/>
      <c r="L272" s="59" t="n"/>
      <c r="M272" s="61" t="str">
        <f>IF(OR(B272="",NOT(ISNUMBER(K272)),NOT(ISNUMBER(L272))),"",IF(OR(K272&lt;=0,L272&lt;=0),"",ROUND(L272-K272,6)))</f>
        <v/>
      </c>
      <c r="N272" s="58" t="n"/>
      <c r="O272" s="62" t="n"/>
      <c r="P272" s="63" t="str">
        <f>IF(OR(B272="",NOT(ISNUMBER(L272))),"",IF(L272&lt;=0,"",IFERROR(ROUND(L272*N(INDEX(art_w,MATCH(H272,art_ref,0))),3),"")))</f>
        <v/>
      </c>
      <c r="Q272" s="59" t="n"/>
      <c r="R272" s="54" t="n"/>
      <c r="S272" s="59" t="n"/>
      <c r="T272" s="59" t="n"/>
      <c r="U272" s="64" t="str">
        <f>IF(OR(B272="",H272=""),"",IFERROR(IF(A272="BL",IF(N(INDEX(art_price,MATCH(H272,art_ref,0)))=0,"",N(INDEX(art_price,MATCH(H272,art_ref,0)))),IF(N(INDEX(art_cost,MATCH(H272,art_ref,0)))=0,"",N(INDEX(art_cost,MATCH(H272,art_ref,0))))),""))</f>
        <v/>
      </c>
      <c r="V272" s="64" t="str">
        <f>IF(OR(U272="",NOT(ISNUMBER(L272))),"",IF(L272&lt;=0,"",ROUND(L272*U272,2)))</f>
        <v/>
      </c>
      <c r="W272" s="60" t="str">
        <f>IF(AND(B272&lt;&gt;"",A272&lt;&gt;"BS",F272&lt;&gt;"",H272&lt;&gt;"",ISNUMBER(K272),ISNUMBER(L272)),IF(AND(K272&gt;0,L272&gt;0,K272-L272&gt;0,COUNTIFS(A273:A$2005,A272,F273:F$2005,F272,H273:H$2005,H272,AA273:AA$2005,"&gt;0")=0),ROUND(K272-L272,6),""),"")</f>
        <v/>
      </c>
      <c r="X272" s="60" t="str">
        <f>IF(AND(A272="",C272="",D272="",H272="",L272=""),"",IF(A272="","Type manquant",IF(AND(A272&lt;&gt;"BL",A272&lt;&gt;"BR",A272&lt;&gt;"BS"),"Type inconnu (BL, BR ou BS)",IF(AG272=0,"Date manquante ou invalide",IF(D272="",IF(A272="BL","Client manquant",IF(A272="BR","Fournisseur manquant","Service manquant")),IF(IF(A272="BL",ISNA(MATCH(D272,cl_code,0)),IF(A272="BR",ISNA(MATCH(D272,fo_code,0)),ISNA(MATCH(D272,p_services,0)))),IF(A272="BL","Client inconnu",IF(A272="BR","Fournisseur inconnu","Service inconnu")),IF(H272="","Article manquant",IF(ISNA(MATCH(H272,art_ref,0)),"Article inconnu",IF(OR(NOT(ISNUMBER(L272)),N(L272)&lt;=0),"Quantité invalide",IF(AND(K272&lt;&gt;"",OR(NOT(ISNUMBER(K272)),N(K272)&lt;=0)),"Qté commandée invalide",IF(AG272&lt;SUMPRODUCT(MAX((A$6:A271=A272)*AG$6:AG271)),"Date antérieure au bon précédent",IF(AND(A272&lt;&gt;"BR",ISNUMBER(M272),N(M272)&gt;0),IF(A272="BL","Livré plus que commandé","Sorti plus que demandé"),"OK"))))))))))))</f>
        <v/>
      </c>
      <c r="Y272" s="57" t="str">
        <f>IF(AND(OR(A272="BL",A272="BR",A272="BS"),AG272&gt;0,D272&lt;&gt;""),A272&amp;"|"&amp;AG272&amp;"|"&amp;D272&amp;"|"&amp;F272,"")</f>
        <v/>
      </c>
      <c r="Z272" s="57" t="str">
        <f>IF(Y272="","",IF(COUNTIF(Y$6:Y271,Y272)=0,1,0))</f>
        <v/>
      </c>
      <c r="AA272" s="57" t="str">
        <f>IF(Y272="","",IF(Z272=1,COUNTIFS(A$6:A272,A272,Z$6:Z272,1),INDEX(AA$6:AA271,MATCH(Y272,Y$6:Y271,0))))</f>
        <v/>
      </c>
      <c r="AB272" s="57" t="str">
        <f>IF(B272="","",COUNTIF(B$6:B272,B272))</f>
        <v/>
      </c>
      <c r="AC272" s="57" t="str">
        <f>IF(B272="","",B272&amp;"#"&amp;AB272)</f>
        <v/>
      </c>
      <c r="AD272" s="57" t="str">
        <f>IF(Z272=1,A272&amp;AA272,"")</f>
        <v/>
      </c>
      <c r="AE272" s="57" t="str">
        <f>IF(B272="","",YEAR(C272))</f>
        <v/>
      </c>
      <c r="AF272" s="57" t="str">
        <f>IF(B272="","",MONTH(C272))</f>
        <v/>
      </c>
      <c r="AG272" s="57">
        <f>IF(ISNUMBER(C272),C272,0)</f>
        <v>0.0</v>
      </c>
      <c r="AH272" s="57" t="str">
        <f>IF(N(W272)&gt;0,COUNTIF(W$6:W272,"&gt;0"),"")</f>
        <v/>
      </c>
      <c r="AI272" s="57" t="str">
        <f>IF(Z272=1,COUNTIF(Z$6:Z272,1),"")</f>
        <v/>
      </c>
    </row>
    <row r="273">
      <c r="A273" s="54" t="n"/>
      <c r="B273" s="55" t="str">
        <f>IF(AA273="","",A273&amp;"-"&amp;RIGHT("000"&amp;AA273,4))</f>
        <v/>
      </c>
      <c r="C273" s="56" t="n"/>
      <c r="D273" s="54" t="n"/>
      <c r="E273" s="57" t="str">
        <f>IF(D273="","",IF(A273="BL",IFERROR(INDEX(cl_name,MATCH(D273,cl_code,0))&amp;"","Client inconnu"),IF(A273="BR",IFERROR(INDEX(fo_name,MATCH(D273,fo_code,0))&amp;"","Fournisseur inconnu"),IF(A273="BS",IF(ISNA(MATCH(D273,p_services,0)),"Service inconnu",D273&amp;""),""))))</f>
        <v/>
      </c>
      <c r="F273" s="58" t="n"/>
      <c r="G273" s="58" t="n"/>
      <c r="H273" s="59" t="n"/>
      <c r="I273" s="57" t="str">
        <f>IF(H273="","",IFERROR(INDEX(art_des,MATCH(H273,art_ref,0))&amp;"","Article inconnu"))</f>
        <v/>
      </c>
      <c r="J273" s="60" t="str">
        <f>IF(H273="","",IFERROR(INDEX(art_unit,MATCH(H273,art_ref,0))&amp;"",""))</f>
        <v/>
      </c>
      <c r="K273" s="59" t="n"/>
      <c r="L273" s="59" t="n"/>
      <c r="M273" s="61" t="str">
        <f>IF(OR(B273="",NOT(ISNUMBER(K273)),NOT(ISNUMBER(L273))),"",IF(OR(K273&lt;=0,L273&lt;=0),"",ROUND(L273-K273,6)))</f>
        <v/>
      </c>
      <c r="N273" s="58" t="n"/>
      <c r="O273" s="62" t="n"/>
      <c r="P273" s="63" t="str">
        <f>IF(OR(B273="",NOT(ISNUMBER(L273))),"",IF(L273&lt;=0,"",IFERROR(ROUND(L273*N(INDEX(art_w,MATCH(H273,art_ref,0))),3),"")))</f>
        <v/>
      </c>
      <c r="Q273" s="59" t="n"/>
      <c r="R273" s="54" t="n"/>
      <c r="S273" s="59" t="n"/>
      <c r="T273" s="59" t="n"/>
      <c r="U273" s="64" t="str">
        <f>IF(OR(B273="",H273=""),"",IFERROR(IF(A273="BL",IF(N(INDEX(art_price,MATCH(H273,art_ref,0)))=0,"",N(INDEX(art_price,MATCH(H273,art_ref,0)))),IF(N(INDEX(art_cost,MATCH(H273,art_ref,0)))=0,"",N(INDEX(art_cost,MATCH(H273,art_ref,0))))),""))</f>
        <v/>
      </c>
      <c r="V273" s="64" t="str">
        <f>IF(OR(U273="",NOT(ISNUMBER(L273))),"",IF(L273&lt;=0,"",ROUND(L273*U273,2)))</f>
        <v/>
      </c>
      <c r="W273" s="60" t="str">
        <f>IF(AND(B273&lt;&gt;"",A273&lt;&gt;"BS",F273&lt;&gt;"",H273&lt;&gt;"",ISNUMBER(K273),ISNUMBER(L273)),IF(AND(K273&gt;0,L273&gt;0,K273-L273&gt;0,COUNTIFS(A274:A$2005,A273,F274:F$2005,F273,H274:H$2005,H273,AA274:AA$2005,"&gt;0")=0),ROUND(K273-L273,6),""),"")</f>
        <v/>
      </c>
      <c r="X273" s="60" t="str">
        <f>IF(AND(A273="",C273="",D273="",H273="",L273=""),"",IF(A273="","Type manquant",IF(AND(A273&lt;&gt;"BL",A273&lt;&gt;"BR",A273&lt;&gt;"BS"),"Type inconnu (BL, BR ou BS)",IF(AG273=0,"Date manquante ou invalide",IF(D273="",IF(A273="BL","Client manquant",IF(A273="BR","Fournisseur manquant","Service manquant")),IF(IF(A273="BL",ISNA(MATCH(D273,cl_code,0)),IF(A273="BR",ISNA(MATCH(D273,fo_code,0)),ISNA(MATCH(D273,p_services,0)))),IF(A273="BL","Client inconnu",IF(A273="BR","Fournisseur inconnu","Service inconnu")),IF(H273="","Article manquant",IF(ISNA(MATCH(H273,art_ref,0)),"Article inconnu",IF(OR(NOT(ISNUMBER(L273)),N(L273)&lt;=0),"Quantité invalide",IF(AND(K273&lt;&gt;"",OR(NOT(ISNUMBER(K273)),N(K273)&lt;=0)),"Qté commandée invalide",IF(AG273&lt;SUMPRODUCT(MAX((A$6:A272=A273)*AG$6:AG272)),"Date antérieure au bon précédent",IF(AND(A273&lt;&gt;"BR",ISNUMBER(M273),N(M273)&gt;0),IF(A273="BL","Livré plus que commandé","Sorti plus que demandé"),"OK"))))))))))))</f>
        <v/>
      </c>
      <c r="Y273" s="57" t="str">
        <f>IF(AND(OR(A273="BL",A273="BR",A273="BS"),AG273&gt;0,D273&lt;&gt;""),A273&amp;"|"&amp;AG273&amp;"|"&amp;D273&amp;"|"&amp;F273,"")</f>
        <v/>
      </c>
      <c r="Z273" s="57" t="str">
        <f>IF(Y273="","",IF(COUNTIF(Y$6:Y272,Y273)=0,1,0))</f>
        <v/>
      </c>
      <c r="AA273" s="57" t="str">
        <f>IF(Y273="","",IF(Z273=1,COUNTIFS(A$6:A273,A273,Z$6:Z273,1),INDEX(AA$6:AA272,MATCH(Y273,Y$6:Y272,0))))</f>
        <v/>
      </c>
      <c r="AB273" s="57" t="str">
        <f>IF(B273="","",COUNTIF(B$6:B273,B273))</f>
        <v/>
      </c>
      <c r="AC273" s="57" t="str">
        <f>IF(B273="","",B273&amp;"#"&amp;AB273)</f>
        <v/>
      </c>
      <c r="AD273" s="57" t="str">
        <f>IF(Z273=1,A273&amp;AA273,"")</f>
        <v/>
      </c>
      <c r="AE273" s="57" t="str">
        <f>IF(B273="","",YEAR(C273))</f>
        <v/>
      </c>
      <c r="AF273" s="57" t="str">
        <f>IF(B273="","",MONTH(C273))</f>
        <v/>
      </c>
      <c r="AG273" s="57">
        <f>IF(ISNUMBER(C273),C273,0)</f>
        <v>0.0</v>
      </c>
      <c r="AH273" s="57" t="str">
        <f>IF(N(W273)&gt;0,COUNTIF(W$6:W273,"&gt;0"),"")</f>
        <v/>
      </c>
      <c r="AI273" s="57" t="str">
        <f>IF(Z273=1,COUNTIF(Z$6:Z273,1),"")</f>
        <v/>
      </c>
    </row>
    <row r="274">
      <c r="A274" s="54" t="n"/>
      <c r="B274" s="55" t="str">
        <f>IF(AA274="","",A274&amp;"-"&amp;RIGHT("000"&amp;AA274,4))</f>
        <v/>
      </c>
      <c r="C274" s="56" t="n"/>
      <c r="D274" s="54" t="n"/>
      <c r="E274" s="57" t="str">
        <f>IF(D274="","",IF(A274="BL",IFERROR(INDEX(cl_name,MATCH(D274,cl_code,0))&amp;"","Client inconnu"),IF(A274="BR",IFERROR(INDEX(fo_name,MATCH(D274,fo_code,0))&amp;"","Fournisseur inconnu"),IF(A274="BS",IF(ISNA(MATCH(D274,p_services,0)),"Service inconnu",D274&amp;""),""))))</f>
        <v/>
      </c>
      <c r="F274" s="58" t="n"/>
      <c r="G274" s="58" t="n"/>
      <c r="H274" s="59" t="n"/>
      <c r="I274" s="57" t="str">
        <f>IF(H274="","",IFERROR(INDEX(art_des,MATCH(H274,art_ref,0))&amp;"","Article inconnu"))</f>
        <v/>
      </c>
      <c r="J274" s="60" t="str">
        <f>IF(H274="","",IFERROR(INDEX(art_unit,MATCH(H274,art_ref,0))&amp;"",""))</f>
        <v/>
      </c>
      <c r="K274" s="59" t="n"/>
      <c r="L274" s="59" t="n"/>
      <c r="M274" s="61" t="str">
        <f>IF(OR(B274="",NOT(ISNUMBER(K274)),NOT(ISNUMBER(L274))),"",IF(OR(K274&lt;=0,L274&lt;=0),"",ROUND(L274-K274,6)))</f>
        <v/>
      </c>
      <c r="N274" s="58" t="n"/>
      <c r="O274" s="62" t="n"/>
      <c r="P274" s="63" t="str">
        <f>IF(OR(B274="",NOT(ISNUMBER(L274))),"",IF(L274&lt;=0,"",IFERROR(ROUND(L274*N(INDEX(art_w,MATCH(H274,art_ref,0))),3),"")))</f>
        <v/>
      </c>
      <c r="Q274" s="59" t="n"/>
      <c r="R274" s="54" t="n"/>
      <c r="S274" s="59" t="n"/>
      <c r="T274" s="59" t="n"/>
      <c r="U274" s="64" t="str">
        <f>IF(OR(B274="",H274=""),"",IFERROR(IF(A274="BL",IF(N(INDEX(art_price,MATCH(H274,art_ref,0)))=0,"",N(INDEX(art_price,MATCH(H274,art_ref,0)))),IF(N(INDEX(art_cost,MATCH(H274,art_ref,0)))=0,"",N(INDEX(art_cost,MATCH(H274,art_ref,0))))),""))</f>
        <v/>
      </c>
      <c r="V274" s="64" t="str">
        <f>IF(OR(U274="",NOT(ISNUMBER(L274))),"",IF(L274&lt;=0,"",ROUND(L274*U274,2)))</f>
        <v/>
      </c>
      <c r="W274" s="60" t="str">
        <f>IF(AND(B274&lt;&gt;"",A274&lt;&gt;"BS",F274&lt;&gt;"",H274&lt;&gt;"",ISNUMBER(K274),ISNUMBER(L274)),IF(AND(K274&gt;0,L274&gt;0,K274-L274&gt;0,COUNTIFS(A275:A$2005,A274,F275:F$2005,F274,H275:H$2005,H274,AA275:AA$2005,"&gt;0")=0),ROUND(K274-L274,6),""),"")</f>
        <v/>
      </c>
      <c r="X274" s="60" t="str">
        <f>IF(AND(A274="",C274="",D274="",H274="",L274=""),"",IF(A274="","Type manquant",IF(AND(A274&lt;&gt;"BL",A274&lt;&gt;"BR",A274&lt;&gt;"BS"),"Type inconnu (BL, BR ou BS)",IF(AG274=0,"Date manquante ou invalide",IF(D274="",IF(A274="BL","Client manquant",IF(A274="BR","Fournisseur manquant","Service manquant")),IF(IF(A274="BL",ISNA(MATCH(D274,cl_code,0)),IF(A274="BR",ISNA(MATCH(D274,fo_code,0)),ISNA(MATCH(D274,p_services,0)))),IF(A274="BL","Client inconnu",IF(A274="BR","Fournisseur inconnu","Service inconnu")),IF(H274="","Article manquant",IF(ISNA(MATCH(H274,art_ref,0)),"Article inconnu",IF(OR(NOT(ISNUMBER(L274)),N(L274)&lt;=0),"Quantité invalide",IF(AND(K274&lt;&gt;"",OR(NOT(ISNUMBER(K274)),N(K274)&lt;=0)),"Qté commandée invalide",IF(AG274&lt;SUMPRODUCT(MAX((A$6:A273=A274)*AG$6:AG273)),"Date antérieure au bon précédent",IF(AND(A274&lt;&gt;"BR",ISNUMBER(M274),N(M274)&gt;0),IF(A274="BL","Livré plus que commandé","Sorti plus que demandé"),"OK"))))))))))))</f>
        <v/>
      </c>
      <c r="Y274" s="57" t="str">
        <f>IF(AND(OR(A274="BL",A274="BR",A274="BS"),AG274&gt;0,D274&lt;&gt;""),A274&amp;"|"&amp;AG274&amp;"|"&amp;D274&amp;"|"&amp;F274,"")</f>
        <v/>
      </c>
      <c r="Z274" s="57" t="str">
        <f>IF(Y274="","",IF(COUNTIF(Y$6:Y273,Y274)=0,1,0))</f>
        <v/>
      </c>
      <c r="AA274" s="57" t="str">
        <f>IF(Y274="","",IF(Z274=1,COUNTIFS(A$6:A274,A274,Z$6:Z274,1),INDEX(AA$6:AA273,MATCH(Y274,Y$6:Y273,0))))</f>
        <v/>
      </c>
      <c r="AB274" s="57" t="str">
        <f>IF(B274="","",COUNTIF(B$6:B274,B274))</f>
        <v/>
      </c>
      <c r="AC274" s="57" t="str">
        <f>IF(B274="","",B274&amp;"#"&amp;AB274)</f>
        <v/>
      </c>
      <c r="AD274" s="57" t="str">
        <f>IF(Z274=1,A274&amp;AA274,"")</f>
        <v/>
      </c>
      <c r="AE274" s="57" t="str">
        <f>IF(B274="","",YEAR(C274))</f>
        <v/>
      </c>
      <c r="AF274" s="57" t="str">
        <f>IF(B274="","",MONTH(C274))</f>
        <v/>
      </c>
      <c r="AG274" s="57">
        <f>IF(ISNUMBER(C274),C274,0)</f>
        <v>0.0</v>
      </c>
      <c r="AH274" s="57" t="str">
        <f>IF(N(W274)&gt;0,COUNTIF(W$6:W274,"&gt;0"),"")</f>
        <v/>
      </c>
      <c r="AI274" s="57" t="str">
        <f>IF(Z274=1,COUNTIF(Z$6:Z274,1),"")</f>
        <v/>
      </c>
    </row>
    <row r="275">
      <c r="A275" s="54" t="n"/>
      <c r="B275" s="55" t="str">
        <f>IF(AA275="","",A275&amp;"-"&amp;RIGHT("000"&amp;AA275,4))</f>
        <v/>
      </c>
      <c r="C275" s="56" t="n"/>
      <c r="D275" s="54" t="n"/>
      <c r="E275" s="57" t="str">
        <f>IF(D275="","",IF(A275="BL",IFERROR(INDEX(cl_name,MATCH(D275,cl_code,0))&amp;"","Client inconnu"),IF(A275="BR",IFERROR(INDEX(fo_name,MATCH(D275,fo_code,0))&amp;"","Fournisseur inconnu"),IF(A275="BS",IF(ISNA(MATCH(D275,p_services,0)),"Service inconnu",D275&amp;""),""))))</f>
        <v/>
      </c>
      <c r="F275" s="58" t="n"/>
      <c r="G275" s="58" t="n"/>
      <c r="H275" s="59" t="n"/>
      <c r="I275" s="57" t="str">
        <f>IF(H275="","",IFERROR(INDEX(art_des,MATCH(H275,art_ref,0))&amp;"","Article inconnu"))</f>
        <v/>
      </c>
      <c r="J275" s="60" t="str">
        <f>IF(H275="","",IFERROR(INDEX(art_unit,MATCH(H275,art_ref,0))&amp;"",""))</f>
        <v/>
      </c>
      <c r="K275" s="59" t="n"/>
      <c r="L275" s="59" t="n"/>
      <c r="M275" s="61" t="str">
        <f>IF(OR(B275="",NOT(ISNUMBER(K275)),NOT(ISNUMBER(L275))),"",IF(OR(K275&lt;=0,L275&lt;=0),"",ROUND(L275-K275,6)))</f>
        <v/>
      </c>
      <c r="N275" s="58" t="n"/>
      <c r="O275" s="62" t="n"/>
      <c r="P275" s="63" t="str">
        <f>IF(OR(B275="",NOT(ISNUMBER(L275))),"",IF(L275&lt;=0,"",IFERROR(ROUND(L275*N(INDEX(art_w,MATCH(H275,art_ref,0))),3),"")))</f>
        <v/>
      </c>
      <c r="Q275" s="59" t="n"/>
      <c r="R275" s="54" t="n"/>
      <c r="S275" s="59" t="n"/>
      <c r="T275" s="59" t="n"/>
      <c r="U275" s="64" t="str">
        <f>IF(OR(B275="",H275=""),"",IFERROR(IF(A275="BL",IF(N(INDEX(art_price,MATCH(H275,art_ref,0)))=0,"",N(INDEX(art_price,MATCH(H275,art_ref,0)))),IF(N(INDEX(art_cost,MATCH(H275,art_ref,0)))=0,"",N(INDEX(art_cost,MATCH(H275,art_ref,0))))),""))</f>
        <v/>
      </c>
      <c r="V275" s="64" t="str">
        <f>IF(OR(U275="",NOT(ISNUMBER(L275))),"",IF(L275&lt;=0,"",ROUND(L275*U275,2)))</f>
        <v/>
      </c>
      <c r="W275" s="60" t="str">
        <f>IF(AND(B275&lt;&gt;"",A275&lt;&gt;"BS",F275&lt;&gt;"",H275&lt;&gt;"",ISNUMBER(K275),ISNUMBER(L275)),IF(AND(K275&gt;0,L275&gt;0,K275-L275&gt;0,COUNTIFS(A276:A$2005,A275,F276:F$2005,F275,H276:H$2005,H275,AA276:AA$2005,"&gt;0")=0),ROUND(K275-L275,6),""),"")</f>
        <v/>
      </c>
      <c r="X275" s="60" t="str">
        <f>IF(AND(A275="",C275="",D275="",H275="",L275=""),"",IF(A275="","Type manquant",IF(AND(A275&lt;&gt;"BL",A275&lt;&gt;"BR",A275&lt;&gt;"BS"),"Type inconnu (BL, BR ou BS)",IF(AG275=0,"Date manquante ou invalide",IF(D275="",IF(A275="BL","Client manquant",IF(A275="BR","Fournisseur manquant","Service manquant")),IF(IF(A275="BL",ISNA(MATCH(D275,cl_code,0)),IF(A275="BR",ISNA(MATCH(D275,fo_code,0)),ISNA(MATCH(D275,p_services,0)))),IF(A275="BL","Client inconnu",IF(A275="BR","Fournisseur inconnu","Service inconnu")),IF(H275="","Article manquant",IF(ISNA(MATCH(H275,art_ref,0)),"Article inconnu",IF(OR(NOT(ISNUMBER(L275)),N(L275)&lt;=0),"Quantité invalide",IF(AND(K275&lt;&gt;"",OR(NOT(ISNUMBER(K275)),N(K275)&lt;=0)),"Qté commandée invalide",IF(AG275&lt;SUMPRODUCT(MAX((A$6:A274=A275)*AG$6:AG274)),"Date antérieure au bon précédent",IF(AND(A275&lt;&gt;"BR",ISNUMBER(M275),N(M275)&gt;0),IF(A275="BL","Livré plus que commandé","Sorti plus que demandé"),"OK"))))))))))))</f>
        <v/>
      </c>
      <c r="Y275" s="57" t="str">
        <f>IF(AND(OR(A275="BL",A275="BR",A275="BS"),AG275&gt;0,D275&lt;&gt;""),A275&amp;"|"&amp;AG275&amp;"|"&amp;D275&amp;"|"&amp;F275,"")</f>
        <v/>
      </c>
      <c r="Z275" s="57" t="str">
        <f>IF(Y275="","",IF(COUNTIF(Y$6:Y274,Y275)=0,1,0))</f>
        <v/>
      </c>
      <c r="AA275" s="57" t="str">
        <f>IF(Y275="","",IF(Z275=1,COUNTIFS(A$6:A275,A275,Z$6:Z275,1),INDEX(AA$6:AA274,MATCH(Y275,Y$6:Y274,0))))</f>
        <v/>
      </c>
      <c r="AB275" s="57" t="str">
        <f>IF(B275="","",COUNTIF(B$6:B275,B275))</f>
        <v/>
      </c>
      <c r="AC275" s="57" t="str">
        <f>IF(B275="","",B275&amp;"#"&amp;AB275)</f>
        <v/>
      </c>
      <c r="AD275" s="57" t="str">
        <f>IF(Z275=1,A275&amp;AA275,"")</f>
        <v/>
      </c>
      <c r="AE275" s="57" t="str">
        <f>IF(B275="","",YEAR(C275))</f>
        <v/>
      </c>
      <c r="AF275" s="57" t="str">
        <f>IF(B275="","",MONTH(C275))</f>
        <v/>
      </c>
      <c r="AG275" s="57">
        <f>IF(ISNUMBER(C275),C275,0)</f>
        <v>0.0</v>
      </c>
      <c r="AH275" s="57" t="str">
        <f>IF(N(W275)&gt;0,COUNTIF(W$6:W275,"&gt;0"),"")</f>
        <v/>
      </c>
      <c r="AI275" s="57" t="str">
        <f>IF(Z275=1,COUNTIF(Z$6:Z275,1),"")</f>
        <v/>
      </c>
    </row>
    <row r="276">
      <c r="A276" s="54" t="n"/>
      <c r="B276" s="55" t="str">
        <f>IF(AA276="","",A276&amp;"-"&amp;RIGHT("000"&amp;AA276,4))</f>
        <v/>
      </c>
      <c r="C276" s="56" t="n"/>
      <c r="D276" s="54" t="n"/>
      <c r="E276" s="57" t="str">
        <f>IF(D276="","",IF(A276="BL",IFERROR(INDEX(cl_name,MATCH(D276,cl_code,0))&amp;"","Client inconnu"),IF(A276="BR",IFERROR(INDEX(fo_name,MATCH(D276,fo_code,0))&amp;"","Fournisseur inconnu"),IF(A276="BS",IF(ISNA(MATCH(D276,p_services,0)),"Service inconnu",D276&amp;""),""))))</f>
        <v/>
      </c>
      <c r="F276" s="58" t="n"/>
      <c r="G276" s="58" t="n"/>
      <c r="H276" s="59" t="n"/>
      <c r="I276" s="57" t="str">
        <f>IF(H276="","",IFERROR(INDEX(art_des,MATCH(H276,art_ref,0))&amp;"","Article inconnu"))</f>
        <v/>
      </c>
      <c r="J276" s="60" t="str">
        <f>IF(H276="","",IFERROR(INDEX(art_unit,MATCH(H276,art_ref,0))&amp;"",""))</f>
        <v/>
      </c>
      <c r="K276" s="59" t="n"/>
      <c r="L276" s="59" t="n"/>
      <c r="M276" s="61" t="str">
        <f>IF(OR(B276="",NOT(ISNUMBER(K276)),NOT(ISNUMBER(L276))),"",IF(OR(K276&lt;=0,L276&lt;=0),"",ROUND(L276-K276,6)))</f>
        <v/>
      </c>
      <c r="N276" s="58" t="n"/>
      <c r="O276" s="62" t="n"/>
      <c r="P276" s="63" t="str">
        <f>IF(OR(B276="",NOT(ISNUMBER(L276))),"",IF(L276&lt;=0,"",IFERROR(ROUND(L276*N(INDEX(art_w,MATCH(H276,art_ref,0))),3),"")))</f>
        <v/>
      </c>
      <c r="Q276" s="59" t="n"/>
      <c r="R276" s="54" t="n"/>
      <c r="S276" s="59" t="n"/>
      <c r="T276" s="59" t="n"/>
      <c r="U276" s="64" t="str">
        <f>IF(OR(B276="",H276=""),"",IFERROR(IF(A276="BL",IF(N(INDEX(art_price,MATCH(H276,art_ref,0)))=0,"",N(INDEX(art_price,MATCH(H276,art_ref,0)))),IF(N(INDEX(art_cost,MATCH(H276,art_ref,0)))=0,"",N(INDEX(art_cost,MATCH(H276,art_ref,0))))),""))</f>
        <v/>
      </c>
      <c r="V276" s="64" t="str">
        <f>IF(OR(U276="",NOT(ISNUMBER(L276))),"",IF(L276&lt;=0,"",ROUND(L276*U276,2)))</f>
        <v/>
      </c>
      <c r="W276" s="60" t="str">
        <f>IF(AND(B276&lt;&gt;"",A276&lt;&gt;"BS",F276&lt;&gt;"",H276&lt;&gt;"",ISNUMBER(K276),ISNUMBER(L276)),IF(AND(K276&gt;0,L276&gt;0,K276-L276&gt;0,COUNTIFS(A277:A$2005,A276,F277:F$2005,F276,H277:H$2005,H276,AA277:AA$2005,"&gt;0")=0),ROUND(K276-L276,6),""),"")</f>
        <v/>
      </c>
      <c r="X276" s="60" t="str">
        <f>IF(AND(A276="",C276="",D276="",H276="",L276=""),"",IF(A276="","Type manquant",IF(AND(A276&lt;&gt;"BL",A276&lt;&gt;"BR",A276&lt;&gt;"BS"),"Type inconnu (BL, BR ou BS)",IF(AG276=0,"Date manquante ou invalide",IF(D276="",IF(A276="BL","Client manquant",IF(A276="BR","Fournisseur manquant","Service manquant")),IF(IF(A276="BL",ISNA(MATCH(D276,cl_code,0)),IF(A276="BR",ISNA(MATCH(D276,fo_code,0)),ISNA(MATCH(D276,p_services,0)))),IF(A276="BL","Client inconnu",IF(A276="BR","Fournisseur inconnu","Service inconnu")),IF(H276="","Article manquant",IF(ISNA(MATCH(H276,art_ref,0)),"Article inconnu",IF(OR(NOT(ISNUMBER(L276)),N(L276)&lt;=0),"Quantité invalide",IF(AND(K276&lt;&gt;"",OR(NOT(ISNUMBER(K276)),N(K276)&lt;=0)),"Qté commandée invalide",IF(AG276&lt;SUMPRODUCT(MAX((A$6:A275=A276)*AG$6:AG275)),"Date antérieure au bon précédent",IF(AND(A276&lt;&gt;"BR",ISNUMBER(M276),N(M276)&gt;0),IF(A276="BL","Livré plus que commandé","Sorti plus que demandé"),"OK"))))))))))))</f>
        <v/>
      </c>
      <c r="Y276" s="57" t="str">
        <f>IF(AND(OR(A276="BL",A276="BR",A276="BS"),AG276&gt;0,D276&lt;&gt;""),A276&amp;"|"&amp;AG276&amp;"|"&amp;D276&amp;"|"&amp;F276,"")</f>
        <v/>
      </c>
      <c r="Z276" s="57" t="str">
        <f>IF(Y276="","",IF(COUNTIF(Y$6:Y275,Y276)=0,1,0))</f>
        <v/>
      </c>
      <c r="AA276" s="57" t="str">
        <f>IF(Y276="","",IF(Z276=1,COUNTIFS(A$6:A276,A276,Z$6:Z276,1),INDEX(AA$6:AA275,MATCH(Y276,Y$6:Y275,0))))</f>
        <v/>
      </c>
      <c r="AB276" s="57" t="str">
        <f>IF(B276="","",COUNTIF(B$6:B276,B276))</f>
        <v/>
      </c>
      <c r="AC276" s="57" t="str">
        <f>IF(B276="","",B276&amp;"#"&amp;AB276)</f>
        <v/>
      </c>
      <c r="AD276" s="57" t="str">
        <f>IF(Z276=1,A276&amp;AA276,"")</f>
        <v/>
      </c>
      <c r="AE276" s="57" t="str">
        <f>IF(B276="","",YEAR(C276))</f>
        <v/>
      </c>
      <c r="AF276" s="57" t="str">
        <f>IF(B276="","",MONTH(C276))</f>
        <v/>
      </c>
      <c r="AG276" s="57">
        <f>IF(ISNUMBER(C276),C276,0)</f>
        <v>0.0</v>
      </c>
      <c r="AH276" s="57" t="str">
        <f>IF(N(W276)&gt;0,COUNTIF(W$6:W276,"&gt;0"),"")</f>
        <v/>
      </c>
      <c r="AI276" s="57" t="str">
        <f>IF(Z276=1,COUNTIF(Z$6:Z276,1),"")</f>
        <v/>
      </c>
    </row>
    <row r="277">
      <c r="A277" s="54" t="n"/>
      <c r="B277" s="55" t="str">
        <f>IF(AA277="","",A277&amp;"-"&amp;RIGHT("000"&amp;AA277,4))</f>
        <v/>
      </c>
      <c r="C277" s="56" t="n"/>
      <c r="D277" s="54" t="n"/>
      <c r="E277" s="57" t="str">
        <f>IF(D277="","",IF(A277="BL",IFERROR(INDEX(cl_name,MATCH(D277,cl_code,0))&amp;"","Client inconnu"),IF(A277="BR",IFERROR(INDEX(fo_name,MATCH(D277,fo_code,0))&amp;"","Fournisseur inconnu"),IF(A277="BS",IF(ISNA(MATCH(D277,p_services,0)),"Service inconnu",D277&amp;""),""))))</f>
        <v/>
      </c>
      <c r="F277" s="58" t="n"/>
      <c r="G277" s="58" t="n"/>
      <c r="H277" s="59" t="n"/>
      <c r="I277" s="57" t="str">
        <f>IF(H277="","",IFERROR(INDEX(art_des,MATCH(H277,art_ref,0))&amp;"","Article inconnu"))</f>
        <v/>
      </c>
      <c r="J277" s="60" t="str">
        <f>IF(H277="","",IFERROR(INDEX(art_unit,MATCH(H277,art_ref,0))&amp;"",""))</f>
        <v/>
      </c>
      <c r="K277" s="59" t="n"/>
      <c r="L277" s="59" t="n"/>
      <c r="M277" s="61" t="str">
        <f>IF(OR(B277="",NOT(ISNUMBER(K277)),NOT(ISNUMBER(L277))),"",IF(OR(K277&lt;=0,L277&lt;=0),"",ROUND(L277-K277,6)))</f>
        <v/>
      </c>
      <c r="N277" s="58" t="n"/>
      <c r="O277" s="62" t="n"/>
      <c r="P277" s="63" t="str">
        <f>IF(OR(B277="",NOT(ISNUMBER(L277))),"",IF(L277&lt;=0,"",IFERROR(ROUND(L277*N(INDEX(art_w,MATCH(H277,art_ref,0))),3),"")))</f>
        <v/>
      </c>
      <c r="Q277" s="59" t="n"/>
      <c r="R277" s="54" t="n"/>
      <c r="S277" s="59" t="n"/>
      <c r="T277" s="59" t="n"/>
      <c r="U277" s="64" t="str">
        <f>IF(OR(B277="",H277=""),"",IFERROR(IF(A277="BL",IF(N(INDEX(art_price,MATCH(H277,art_ref,0)))=0,"",N(INDEX(art_price,MATCH(H277,art_ref,0)))),IF(N(INDEX(art_cost,MATCH(H277,art_ref,0)))=0,"",N(INDEX(art_cost,MATCH(H277,art_ref,0))))),""))</f>
        <v/>
      </c>
      <c r="V277" s="64" t="str">
        <f>IF(OR(U277="",NOT(ISNUMBER(L277))),"",IF(L277&lt;=0,"",ROUND(L277*U277,2)))</f>
        <v/>
      </c>
      <c r="W277" s="60" t="str">
        <f>IF(AND(B277&lt;&gt;"",A277&lt;&gt;"BS",F277&lt;&gt;"",H277&lt;&gt;"",ISNUMBER(K277),ISNUMBER(L277)),IF(AND(K277&gt;0,L277&gt;0,K277-L277&gt;0,COUNTIFS(A278:A$2005,A277,F278:F$2005,F277,H278:H$2005,H277,AA278:AA$2005,"&gt;0")=0),ROUND(K277-L277,6),""),"")</f>
        <v/>
      </c>
      <c r="X277" s="60" t="str">
        <f>IF(AND(A277="",C277="",D277="",H277="",L277=""),"",IF(A277="","Type manquant",IF(AND(A277&lt;&gt;"BL",A277&lt;&gt;"BR",A277&lt;&gt;"BS"),"Type inconnu (BL, BR ou BS)",IF(AG277=0,"Date manquante ou invalide",IF(D277="",IF(A277="BL","Client manquant",IF(A277="BR","Fournisseur manquant","Service manquant")),IF(IF(A277="BL",ISNA(MATCH(D277,cl_code,0)),IF(A277="BR",ISNA(MATCH(D277,fo_code,0)),ISNA(MATCH(D277,p_services,0)))),IF(A277="BL","Client inconnu",IF(A277="BR","Fournisseur inconnu","Service inconnu")),IF(H277="","Article manquant",IF(ISNA(MATCH(H277,art_ref,0)),"Article inconnu",IF(OR(NOT(ISNUMBER(L277)),N(L277)&lt;=0),"Quantité invalide",IF(AND(K277&lt;&gt;"",OR(NOT(ISNUMBER(K277)),N(K277)&lt;=0)),"Qté commandée invalide",IF(AG277&lt;SUMPRODUCT(MAX((A$6:A276=A277)*AG$6:AG276)),"Date antérieure au bon précédent",IF(AND(A277&lt;&gt;"BR",ISNUMBER(M277),N(M277)&gt;0),IF(A277="BL","Livré plus que commandé","Sorti plus que demandé"),"OK"))))))))))))</f>
        <v/>
      </c>
      <c r="Y277" s="57" t="str">
        <f>IF(AND(OR(A277="BL",A277="BR",A277="BS"),AG277&gt;0,D277&lt;&gt;""),A277&amp;"|"&amp;AG277&amp;"|"&amp;D277&amp;"|"&amp;F277,"")</f>
        <v/>
      </c>
      <c r="Z277" s="57" t="str">
        <f>IF(Y277="","",IF(COUNTIF(Y$6:Y276,Y277)=0,1,0))</f>
        <v/>
      </c>
      <c r="AA277" s="57" t="str">
        <f>IF(Y277="","",IF(Z277=1,COUNTIFS(A$6:A277,A277,Z$6:Z277,1),INDEX(AA$6:AA276,MATCH(Y277,Y$6:Y276,0))))</f>
        <v/>
      </c>
      <c r="AB277" s="57" t="str">
        <f>IF(B277="","",COUNTIF(B$6:B277,B277))</f>
        <v/>
      </c>
      <c r="AC277" s="57" t="str">
        <f>IF(B277="","",B277&amp;"#"&amp;AB277)</f>
        <v/>
      </c>
      <c r="AD277" s="57" t="str">
        <f>IF(Z277=1,A277&amp;AA277,"")</f>
        <v/>
      </c>
      <c r="AE277" s="57" t="str">
        <f>IF(B277="","",YEAR(C277))</f>
        <v/>
      </c>
      <c r="AF277" s="57" t="str">
        <f>IF(B277="","",MONTH(C277))</f>
        <v/>
      </c>
      <c r="AG277" s="57">
        <f>IF(ISNUMBER(C277),C277,0)</f>
        <v>0.0</v>
      </c>
      <c r="AH277" s="57" t="str">
        <f>IF(N(W277)&gt;0,COUNTIF(W$6:W277,"&gt;0"),"")</f>
        <v/>
      </c>
      <c r="AI277" s="57" t="str">
        <f>IF(Z277=1,COUNTIF(Z$6:Z277,1),"")</f>
        <v/>
      </c>
    </row>
    <row r="278">
      <c r="A278" s="54" t="n"/>
      <c r="B278" s="55" t="str">
        <f>IF(AA278="","",A278&amp;"-"&amp;RIGHT("000"&amp;AA278,4))</f>
        <v/>
      </c>
      <c r="C278" s="56" t="n"/>
      <c r="D278" s="54" t="n"/>
      <c r="E278" s="57" t="str">
        <f>IF(D278="","",IF(A278="BL",IFERROR(INDEX(cl_name,MATCH(D278,cl_code,0))&amp;"","Client inconnu"),IF(A278="BR",IFERROR(INDEX(fo_name,MATCH(D278,fo_code,0))&amp;"","Fournisseur inconnu"),IF(A278="BS",IF(ISNA(MATCH(D278,p_services,0)),"Service inconnu",D278&amp;""),""))))</f>
        <v/>
      </c>
      <c r="F278" s="58" t="n"/>
      <c r="G278" s="58" t="n"/>
      <c r="H278" s="59" t="n"/>
      <c r="I278" s="57" t="str">
        <f>IF(H278="","",IFERROR(INDEX(art_des,MATCH(H278,art_ref,0))&amp;"","Article inconnu"))</f>
        <v/>
      </c>
      <c r="J278" s="60" t="str">
        <f>IF(H278="","",IFERROR(INDEX(art_unit,MATCH(H278,art_ref,0))&amp;"",""))</f>
        <v/>
      </c>
      <c r="K278" s="59" t="n"/>
      <c r="L278" s="59" t="n"/>
      <c r="M278" s="61" t="str">
        <f>IF(OR(B278="",NOT(ISNUMBER(K278)),NOT(ISNUMBER(L278))),"",IF(OR(K278&lt;=0,L278&lt;=0),"",ROUND(L278-K278,6)))</f>
        <v/>
      </c>
      <c r="N278" s="58" t="n"/>
      <c r="O278" s="62" t="n"/>
      <c r="P278" s="63" t="str">
        <f>IF(OR(B278="",NOT(ISNUMBER(L278))),"",IF(L278&lt;=0,"",IFERROR(ROUND(L278*N(INDEX(art_w,MATCH(H278,art_ref,0))),3),"")))</f>
        <v/>
      </c>
      <c r="Q278" s="59" t="n"/>
      <c r="R278" s="54" t="n"/>
      <c r="S278" s="59" t="n"/>
      <c r="T278" s="59" t="n"/>
      <c r="U278" s="64" t="str">
        <f>IF(OR(B278="",H278=""),"",IFERROR(IF(A278="BL",IF(N(INDEX(art_price,MATCH(H278,art_ref,0)))=0,"",N(INDEX(art_price,MATCH(H278,art_ref,0)))),IF(N(INDEX(art_cost,MATCH(H278,art_ref,0)))=0,"",N(INDEX(art_cost,MATCH(H278,art_ref,0))))),""))</f>
        <v/>
      </c>
      <c r="V278" s="64" t="str">
        <f>IF(OR(U278="",NOT(ISNUMBER(L278))),"",IF(L278&lt;=0,"",ROUND(L278*U278,2)))</f>
        <v/>
      </c>
      <c r="W278" s="60" t="str">
        <f>IF(AND(B278&lt;&gt;"",A278&lt;&gt;"BS",F278&lt;&gt;"",H278&lt;&gt;"",ISNUMBER(K278),ISNUMBER(L278)),IF(AND(K278&gt;0,L278&gt;0,K278-L278&gt;0,COUNTIFS(A279:A$2005,A278,F279:F$2005,F278,H279:H$2005,H278,AA279:AA$2005,"&gt;0")=0),ROUND(K278-L278,6),""),"")</f>
        <v/>
      </c>
      <c r="X278" s="60" t="str">
        <f>IF(AND(A278="",C278="",D278="",H278="",L278=""),"",IF(A278="","Type manquant",IF(AND(A278&lt;&gt;"BL",A278&lt;&gt;"BR",A278&lt;&gt;"BS"),"Type inconnu (BL, BR ou BS)",IF(AG278=0,"Date manquante ou invalide",IF(D278="",IF(A278="BL","Client manquant",IF(A278="BR","Fournisseur manquant","Service manquant")),IF(IF(A278="BL",ISNA(MATCH(D278,cl_code,0)),IF(A278="BR",ISNA(MATCH(D278,fo_code,0)),ISNA(MATCH(D278,p_services,0)))),IF(A278="BL","Client inconnu",IF(A278="BR","Fournisseur inconnu","Service inconnu")),IF(H278="","Article manquant",IF(ISNA(MATCH(H278,art_ref,0)),"Article inconnu",IF(OR(NOT(ISNUMBER(L278)),N(L278)&lt;=0),"Quantité invalide",IF(AND(K278&lt;&gt;"",OR(NOT(ISNUMBER(K278)),N(K278)&lt;=0)),"Qté commandée invalide",IF(AG278&lt;SUMPRODUCT(MAX((A$6:A277=A278)*AG$6:AG277)),"Date antérieure au bon précédent",IF(AND(A278&lt;&gt;"BR",ISNUMBER(M278),N(M278)&gt;0),IF(A278="BL","Livré plus que commandé","Sorti plus que demandé"),"OK"))))))))))))</f>
        <v/>
      </c>
      <c r="Y278" s="57" t="str">
        <f>IF(AND(OR(A278="BL",A278="BR",A278="BS"),AG278&gt;0,D278&lt;&gt;""),A278&amp;"|"&amp;AG278&amp;"|"&amp;D278&amp;"|"&amp;F278,"")</f>
        <v/>
      </c>
      <c r="Z278" s="57" t="str">
        <f>IF(Y278="","",IF(COUNTIF(Y$6:Y277,Y278)=0,1,0))</f>
        <v/>
      </c>
      <c r="AA278" s="57" t="str">
        <f>IF(Y278="","",IF(Z278=1,COUNTIFS(A$6:A278,A278,Z$6:Z278,1),INDEX(AA$6:AA277,MATCH(Y278,Y$6:Y277,0))))</f>
        <v/>
      </c>
      <c r="AB278" s="57" t="str">
        <f>IF(B278="","",COUNTIF(B$6:B278,B278))</f>
        <v/>
      </c>
      <c r="AC278" s="57" t="str">
        <f>IF(B278="","",B278&amp;"#"&amp;AB278)</f>
        <v/>
      </c>
      <c r="AD278" s="57" t="str">
        <f>IF(Z278=1,A278&amp;AA278,"")</f>
        <v/>
      </c>
      <c r="AE278" s="57" t="str">
        <f>IF(B278="","",YEAR(C278))</f>
        <v/>
      </c>
      <c r="AF278" s="57" t="str">
        <f>IF(B278="","",MONTH(C278))</f>
        <v/>
      </c>
      <c r="AG278" s="57">
        <f>IF(ISNUMBER(C278),C278,0)</f>
        <v>0.0</v>
      </c>
      <c r="AH278" s="57" t="str">
        <f>IF(N(W278)&gt;0,COUNTIF(W$6:W278,"&gt;0"),"")</f>
        <v/>
      </c>
      <c r="AI278" s="57" t="str">
        <f>IF(Z278=1,COUNTIF(Z$6:Z278,1),"")</f>
        <v/>
      </c>
    </row>
    <row r="279">
      <c r="A279" s="54" t="n"/>
      <c r="B279" s="55" t="str">
        <f>IF(AA279="","",A279&amp;"-"&amp;RIGHT("000"&amp;AA279,4))</f>
        <v/>
      </c>
      <c r="C279" s="56" t="n"/>
      <c r="D279" s="54" t="n"/>
      <c r="E279" s="57" t="str">
        <f>IF(D279="","",IF(A279="BL",IFERROR(INDEX(cl_name,MATCH(D279,cl_code,0))&amp;"","Client inconnu"),IF(A279="BR",IFERROR(INDEX(fo_name,MATCH(D279,fo_code,0))&amp;"","Fournisseur inconnu"),IF(A279="BS",IF(ISNA(MATCH(D279,p_services,0)),"Service inconnu",D279&amp;""),""))))</f>
        <v/>
      </c>
      <c r="F279" s="58" t="n"/>
      <c r="G279" s="58" t="n"/>
      <c r="H279" s="59" t="n"/>
      <c r="I279" s="57" t="str">
        <f>IF(H279="","",IFERROR(INDEX(art_des,MATCH(H279,art_ref,0))&amp;"","Article inconnu"))</f>
        <v/>
      </c>
      <c r="J279" s="60" t="str">
        <f>IF(H279="","",IFERROR(INDEX(art_unit,MATCH(H279,art_ref,0))&amp;"",""))</f>
        <v/>
      </c>
      <c r="K279" s="59" t="n"/>
      <c r="L279" s="59" t="n"/>
      <c r="M279" s="61" t="str">
        <f>IF(OR(B279="",NOT(ISNUMBER(K279)),NOT(ISNUMBER(L279))),"",IF(OR(K279&lt;=0,L279&lt;=0),"",ROUND(L279-K279,6)))</f>
        <v/>
      </c>
      <c r="N279" s="58" t="n"/>
      <c r="O279" s="62" t="n"/>
      <c r="P279" s="63" t="str">
        <f>IF(OR(B279="",NOT(ISNUMBER(L279))),"",IF(L279&lt;=0,"",IFERROR(ROUND(L279*N(INDEX(art_w,MATCH(H279,art_ref,0))),3),"")))</f>
        <v/>
      </c>
      <c r="Q279" s="59" t="n"/>
      <c r="R279" s="54" t="n"/>
      <c r="S279" s="59" t="n"/>
      <c r="T279" s="59" t="n"/>
      <c r="U279" s="64" t="str">
        <f>IF(OR(B279="",H279=""),"",IFERROR(IF(A279="BL",IF(N(INDEX(art_price,MATCH(H279,art_ref,0)))=0,"",N(INDEX(art_price,MATCH(H279,art_ref,0)))),IF(N(INDEX(art_cost,MATCH(H279,art_ref,0)))=0,"",N(INDEX(art_cost,MATCH(H279,art_ref,0))))),""))</f>
        <v/>
      </c>
      <c r="V279" s="64" t="str">
        <f>IF(OR(U279="",NOT(ISNUMBER(L279))),"",IF(L279&lt;=0,"",ROUND(L279*U279,2)))</f>
        <v/>
      </c>
      <c r="W279" s="60" t="str">
        <f>IF(AND(B279&lt;&gt;"",A279&lt;&gt;"BS",F279&lt;&gt;"",H279&lt;&gt;"",ISNUMBER(K279),ISNUMBER(L279)),IF(AND(K279&gt;0,L279&gt;0,K279-L279&gt;0,COUNTIFS(A280:A$2005,A279,F280:F$2005,F279,H280:H$2005,H279,AA280:AA$2005,"&gt;0")=0),ROUND(K279-L279,6),""),"")</f>
        <v/>
      </c>
      <c r="X279" s="60" t="str">
        <f>IF(AND(A279="",C279="",D279="",H279="",L279=""),"",IF(A279="","Type manquant",IF(AND(A279&lt;&gt;"BL",A279&lt;&gt;"BR",A279&lt;&gt;"BS"),"Type inconnu (BL, BR ou BS)",IF(AG279=0,"Date manquante ou invalide",IF(D279="",IF(A279="BL","Client manquant",IF(A279="BR","Fournisseur manquant","Service manquant")),IF(IF(A279="BL",ISNA(MATCH(D279,cl_code,0)),IF(A279="BR",ISNA(MATCH(D279,fo_code,0)),ISNA(MATCH(D279,p_services,0)))),IF(A279="BL","Client inconnu",IF(A279="BR","Fournisseur inconnu","Service inconnu")),IF(H279="","Article manquant",IF(ISNA(MATCH(H279,art_ref,0)),"Article inconnu",IF(OR(NOT(ISNUMBER(L279)),N(L279)&lt;=0),"Quantité invalide",IF(AND(K279&lt;&gt;"",OR(NOT(ISNUMBER(K279)),N(K279)&lt;=0)),"Qté commandée invalide",IF(AG279&lt;SUMPRODUCT(MAX((A$6:A278=A279)*AG$6:AG278)),"Date antérieure au bon précédent",IF(AND(A279&lt;&gt;"BR",ISNUMBER(M279),N(M279)&gt;0),IF(A279="BL","Livré plus que commandé","Sorti plus que demandé"),"OK"))))))))))))</f>
        <v/>
      </c>
      <c r="Y279" s="57" t="str">
        <f>IF(AND(OR(A279="BL",A279="BR",A279="BS"),AG279&gt;0,D279&lt;&gt;""),A279&amp;"|"&amp;AG279&amp;"|"&amp;D279&amp;"|"&amp;F279,"")</f>
        <v/>
      </c>
      <c r="Z279" s="57" t="str">
        <f>IF(Y279="","",IF(COUNTIF(Y$6:Y278,Y279)=0,1,0))</f>
        <v/>
      </c>
      <c r="AA279" s="57" t="str">
        <f>IF(Y279="","",IF(Z279=1,COUNTIFS(A$6:A279,A279,Z$6:Z279,1),INDEX(AA$6:AA278,MATCH(Y279,Y$6:Y278,0))))</f>
        <v/>
      </c>
      <c r="AB279" s="57" t="str">
        <f>IF(B279="","",COUNTIF(B$6:B279,B279))</f>
        <v/>
      </c>
      <c r="AC279" s="57" t="str">
        <f>IF(B279="","",B279&amp;"#"&amp;AB279)</f>
        <v/>
      </c>
      <c r="AD279" s="57" t="str">
        <f>IF(Z279=1,A279&amp;AA279,"")</f>
        <v/>
      </c>
      <c r="AE279" s="57" t="str">
        <f>IF(B279="","",YEAR(C279))</f>
        <v/>
      </c>
      <c r="AF279" s="57" t="str">
        <f>IF(B279="","",MONTH(C279))</f>
        <v/>
      </c>
      <c r="AG279" s="57">
        <f>IF(ISNUMBER(C279),C279,0)</f>
        <v>0.0</v>
      </c>
      <c r="AH279" s="57" t="str">
        <f>IF(N(W279)&gt;0,COUNTIF(W$6:W279,"&gt;0"),"")</f>
        <v/>
      </c>
      <c r="AI279" s="57" t="str">
        <f>IF(Z279=1,COUNTIF(Z$6:Z279,1),"")</f>
        <v/>
      </c>
    </row>
    <row r="280">
      <c r="A280" s="54" t="n"/>
      <c r="B280" s="55" t="str">
        <f>IF(AA280="","",A280&amp;"-"&amp;RIGHT("000"&amp;AA280,4))</f>
        <v/>
      </c>
      <c r="C280" s="56" t="n"/>
      <c r="D280" s="54" t="n"/>
      <c r="E280" s="57" t="str">
        <f>IF(D280="","",IF(A280="BL",IFERROR(INDEX(cl_name,MATCH(D280,cl_code,0))&amp;"","Client inconnu"),IF(A280="BR",IFERROR(INDEX(fo_name,MATCH(D280,fo_code,0))&amp;"","Fournisseur inconnu"),IF(A280="BS",IF(ISNA(MATCH(D280,p_services,0)),"Service inconnu",D280&amp;""),""))))</f>
        <v/>
      </c>
      <c r="F280" s="58" t="n"/>
      <c r="G280" s="58" t="n"/>
      <c r="H280" s="59" t="n"/>
      <c r="I280" s="57" t="str">
        <f>IF(H280="","",IFERROR(INDEX(art_des,MATCH(H280,art_ref,0))&amp;"","Article inconnu"))</f>
        <v/>
      </c>
      <c r="J280" s="60" t="str">
        <f>IF(H280="","",IFERROR(INDEX(art_unit,MATCH(H280,art_ref,0))&amp;"",""))</f>
        <v/>
      </c>
      <c r="K280" s="59" t="n"/>
      <c r="L280" s="59" t="n"/>
      <c r="M280" s="61" t="str">
        <f>IF(OR(B280="",NOT(ISNUMBER(K280)),NOT(ISNUMBER(L280))),"",IF(OR(K280&lt;=0,L280&lt;=0),"",ROUND(L280-K280,6)))</f>
        <v/>
      </c>
      <c r="N280" s="58" t="n"/>
      <c r="O280" s="62" t="n"/>
      <c r="P280" s="63" t="str">
        <f>IF(OR(B280="",NOT(ISNUMBER(L280))),"",IF(L280&lt;=0,"",IFERROR(ROUND(L280*N(INDEX(art_w,MATCH(H280,art_ref,0))),3),"")))</f>
        <v/>
      </c>
      <c r="Q280" s="59" t="n"/>
      <c r="R280" s="54" t="n"/>
      <c r="S280" s="59" t="n"/>
      <c r="T280" s="59" t="n"/>
      <c r="U280" s="64" t="str">
        <f>IF(OR(B280="",H280=""),"",IFERROR(IF(A280="BL",IF(N(INDEX(art_price,MATCH(H280,art_ref,0)))=0,"",N(INDEX(art_price,MATCH(H280,art_ref,0)))),IF(N(INDEX(art_cost,MATCH(H280,art_ref,0)))=0,"",N(INDEX(art_cost,MATCH(H280,art_ref,0))))),""))</f>
        <v/>
      </c>
      <c r="V280" s="64" t="str">
        <f>IF(OR(U280="",NOT(ISNUMBER(L280))),"",IF(L280&lt;=0,"",ROUND(L280*U280,2)))</f>
        <v/>
      </c>
      <c r="W280" s="60" t="str">
        <f>IF(AND(B280&lt;&gt;"",A280&lt;&gt;"BS",F280&lt;&gt;"",H280&lt;&gt;"",ISNUMBER(K280),ISNUMBER(L280)),IF(AND(K280&gt;0,L280&gt;0,K280-L280&gt;0,COUNTIFS(A281:A$2005,A280,F281:F$2005,F280,H281:H$2005,H280,AA281:AA$2005,"&gt;0")=0),ROUND(K280-L280,6),""),"")</f>
        <v/>
      </c>
      <c r="X280" s="60" t="str">
        <f>IF(AND(A280="",C280="",D280="",H280="",L280=""),"",IF(A280="","Type manquant",IF(AND(A280&lt;&gt;"BL",A280&lt;&gt;"BR",A280&lt;&gt;"BS"),"Type inconnu (BL, BR ou BS)",IF(AG280=0,"Date manquante ou invalide",IF(D280="",IF(A280="BL","Client manquant",IF(A280="BR","Fournisseur manquant","Service manquant")),IF(IF(A280="BL",ISNA(MATCH(D280,cl_code,0)),IF(A280="BR",ISNA(MATCH(D280,fo_code,0)),ISNA(MATCH(D280,p_services,0)))),IF(A280="BL","Client inconnu",IF(A280="BR","Fournisseur inconnu","Service inconnu")),IF(H280="","Article manquant",IF(ISNA(MATCH(H280,art_ref,0)),"Article inconnu",IF(OR(NOT(ISNUMBER(L280)),N(L280)&lt;=0),"Quantité invalide",IF(AND(K280&lt;&gt;"",OR(NOT(ISNUMBER(K280)),N(K280)&lt;=0)),"Qté commandée invalide",IF(AG280&lt;SUMPRODUCT(MAX((A$6:A279=A280)*AG$6:AG279)),"Date antérieure au bon précédent",IF(AND(A280&lt;&gt;"BR",ISNUMBER(M280),N(M280)&gt;0),IF(A280="BL","Livré plus que commandé","Sorti plus que demandé"),"OK"))))))))))))</f>
        <v/>
      </c>
      <c r="Y280" s="57" t="str">
        <f>IF(AND(OR(A280="BL",A280="BR",A280="BS"),AG280&gt;0,D280&lt;&gt;""),A280&amp;"|"&amp;AG280&amp;"|"&amp;D280&amp;"|"&amp;F280,"")</f>
        <v/>
      </c>
      <c r="Z280" s="57" t="str">
        <f>IF(Y280="","",IF(COUNTIF(Y$6:Y279,Y280)=0,1,0))</f>
        <v/>
      </c>
      <c r="AA280" s="57" t="str">
        <f>IF(Y280="","",IF(Z280=1,COUNTIFS(A$6:A280,A280,Z$6:Z280,1),INDEX(AA$6:AA279,MATCH(Y280,Y$6:Y279,0))))</f>
        <v/>
      </c>
      <c r="AB280" s="57" t="str">
        <f>IF(B280="","",COUNTIF(B$6:B280,B280))</f>
        <v/>
      </c>
      <c r="AC280" s="57" t="str">
        <f>IF(B280="","",B280&amp;"#"&amp;AB280)</f>
        <v/>
      </c>
      <c r="AD280" s="57" t="str">
        <f>IF(Z280=1,A280&amp;AA280,"")</f>
        <v/>
      </c>
      <c r="AE280" s="57" t="str">
        <f>IF(B280="","",YEAR(C280))</f>
        <v/>
      </c>
      <c r="AF280" s="57" t="str">
        <f>IF(B280="","",MONTH(C280))</f>
        <v/>
      </c>
      <c r="AG280" s="57">
        <f>IF(ISNUMBER(C280),C280,0)</f>
        <v>0.0</v>
      </c>
      <c r="AH280" s="57" t="str">
        <f>IF(N(W280)&gt;0,COUNTIF(W$6:W280,"&gt;0"),"")</f>
        <v/>
      </c>
      <c r="AI280" s="57" t="str">
        <f>IF(Z280=1,COUNTIF(Z$6:Z280,1),"")</f>
        <v/>
      </c>
    </row>
    <row r="281">
      <c r="A281" s="54" t="n"/>
      <c r="B281" s="55" t="str">
        <f>IF(AA281="","",A281&amp;"-"&amp;RIGHT("000"&amp;AA281,4))</f>
        <v/>
      </c>
      <c r="C281" s="56" t="n"/>
      <c r="D281" s="54" t="n"/>
      <c r="E281" s="57" t="str">
        <f>IF(D281="","",IF(A281="BL",IFERROR(INDEX(cl_name,MATCH(D281,cl_code,0))&amp;"","Client inconnu"),IF(A281="BR",IFERROR(INDEX(fo_name,MATCH(D281,fo_code,0))&amp;"","Fournisseur inconnu"),IF(A281="BS",IF(ISNA(MATCH(D281,p_services,0)),"Service inconnu",D281&amp;""),""))))</f>
        <v/>
      </c>
      <c r="F281" s="58" t="n"/>
      <c r="G281" s="58" t="n"/>
      <c r="H281" s="59" t="n"/>
      <c r="I281" s="57" t="str">
        <f>IF(H281="","",IFERROR(INDEX(art_des,MATCH(H281,art_ref,0))&amp;"","Article inconnu"))</f>
        <v/>
      </c>
      <c r="J281" s="60" t="str">
        <f>IF(H281="","",IFERROR(INDEX(art_unit,MATCH(H281,art_ref,0))&amp;"",""))</f>
        <v/>
      </c>
      <c r="K281" s="59" t="n"/>
      <c r="L281" s="59" t="n"/>
      <c r="M281" s="61" t="str">
        <f>IF(OR(B281="",NOT(ISNUMBER(K281)),NOT(ISNUMBER(L281))),"",IF(OR(K281&lt;=0,L281&lt;=0),"",ROUND(L281-K281,6)))</f>
        <v/>
      </c>
      <c r="N281" s="58" t="n"/>
      <c r="O281" s="62" t="n"/>
      <c r="P281" s="63" t="str">
        <f>IF(OR(B281="",NOT(ISNUMBER(L281))),"",IF(L281&lt;=0,"",IFERROR(ROUND(L281*N(INDEX(art_w,MATCH(H281,art_ref,0))),3),"")))</f>
        <v/>
      </c>
      <c r="Q281" s="59" t="n"/>
      <c r="R281" s="54" t="n"/>
      <c r="S281" s="59" t="n"/>
      <c r="T281" s="59" t="n"/>
      <c r="U281" s="64" t="str">
        <f>IF(OR(B281="",H281=""),"",IFERROR(IF(A281="BL",IF(N(INDEX(art_price,MATCH(H281,art_ref,0)))=0,"",N(INDEX(art_price,MATCH(H281,art_ref,0)))),IF(N(INDEX(art_cost,MATCH(H281,art_ref,0)))=0,"",N(INDEX(art_cost,MATCH(H281,art_ref,0))))),""))</f>
        <v/>
      </c>
      <c r="V281" s="64" t="str">
        <f>IF(OR(U281="",NOT(ISNUMBER(L281))),"",IF(L281&lt;=0,"",ROUND(L281*U281,2)))</f>
        <v/>
      </c>
      <c r="W281" s="60" t="str">
        <f>IF(AND(B281&lt;&gt;"",A281&lt;&gt;"BS",F281&lt;&gt;"",H281&lt;&gt;"",ISNUMBER(K281),ISNUMBER(L281)),IF(AND(K281&gt;0,L281&gt;0,K281-L281&gt;0,COUNTIFS(A282:A$2005,A281,F282:F$2005,F281,H282:H$2005,H281,AA282:AA$2005,"&gt;0")=0),ROUND(K281-L281,6),""),"")</f>
        <v/>
      </c>
      <c r="X281" s="60" t="str">
        <f>IF(AND(A281="",C281="",D281="",H281="",L281=""),"",IF(A281="","Type manquant",IF(AND(A281&lt;&gt;"BL",A281&lt;&gt;"BR",A281&lt;&gt;"BS"),"Type inconnu (BL, BR ou BS)",IF(AG281=0,"Date manquante ou invalide",IF(D281="",IF(A281="BL","Client manquant",IF(A281="BR","Fournisseur manquant","Service manquant")),IF(IF(A281="BL",ISNA(MATCH(D281,cl_code,0)),IF(A281="BR",ISNA(MATCH(D281,fo_code,0)),ISNA(MATCH(D281,p_services,0)))),IF(A281="BL","Client inconnu",IF(A281="BR","Fournisseur inconnu","Service inconnu")),IF(H281="","Article manquant",IF(ISNA(MATCH(H281,art_ref,0)),"Article inconnu",IF(OR(NOT(ISNUMBER(L281)),N(L281)&lt;=0),"Quantité invalide",IF(AND(K281&lt;&gt;"",OR(NOT(ISNUMBER(K281)),N(K281)&lt;=0)),"Qté commandée invalide",IF(AG281&lt;SUMPRODUCT(MAX((A$6:A280=A281)*AG$6:AG280)),"Date antérieure au bon précédent",IF(AND(A281&lt;&gt;"BR",ISNUMBER(M281),N(M281)&gt;0),IF(A281="BL","Livré plus que commandé","Sorti plus que demandé"),"OK"))))))))))))</f>
        <v/>
      </c>
      <c r="Y281" s="57" t="str">
        <f>IF(AND(OR(A281="BL",A281="BR",A281="BS"),AG281&gt;0,D281&lt;&gt;""),A281&amp;"|"&amp;AG281&amp;"|"&amp;D281&amp;"|"&amp;F281,"")</f>
        <v/>
      </c>
      <c r="Z281" s="57" t="str">
        <f>IF(Y281="","",IF(COUNTIF(Y$6:Y280,Y281)=0,1,0))</f>
        <v/>
      </c>
      <c r="AA281" s="57" t="str">
        <f>IF(Y281="","",IF(Z281=1,COUNTIFS(A$6:A281,A281,Z$6:Z281,1),INDEX(AA$6:AA280,MATCH(Y281,Y$6:Y280,0))))</f>
        <v/>
      </c>
      <c r="AB281" s="57" t="str">
        <f>IF(B281="","",COUNTIF(B$6:B281,B281))</f>
        <v/>
      </c>
      <c r="AC281" s="57" t="str">
        <f>IF(B281="","",B281&amp;"#"&amp;AB281)</f>
        <v/>
      </c>
      <c r="AD281" s="57" t="str">
        <f>IF(Z281=1,A281&amp;AA281,"")</f>
        <v/>
      </c>
      <c r="AE281" s="57" t="str">
        <f>IF(B281="","",YEAR(C281))</f>
        <v/>
      </c>
      <c r="AF281" s="57" t="str">
        <f>IF(B281="","",MONTH(C281))</f>
        <v/>
      </c>
      <c r="AG281" s="57">
        <f>IF(ISNUMBER(C281),C281,0)</f>
        <v>0.0</v>
      </c>
      <c r="AH281" s="57" t="str">
        <f>IF(N(W281)&gt;0,COUNTIF(W$6:W281,"&gt;0"),"")</f>
        <v/>
      </c>
      <c r="AI281" s="57" t="str">
        <f>IF(Z281=1,COUNTIF(Z$6:Z281,1),"")</f>
        <v/>
      </c>
    </row>
    <row r="282">
      <c r="A282" s="54" t="n"/>
      <c r="B282" s="55" t="str">
        <f>IF(AA282="","",A282&amp;"-"&amp;RIGHT("000"&amp;AA282,4))</f>
        <v/>
      </c>
      <c r="C282" s="56" t="n"/>
      <c r="D282" s="54" t="n"/>
      <c r="E282" s="57" t="str">
        <f>IF(D282="","",IF(A282="BL",IFERROR(INDEX(cl_name,MATCH(D282,cl_code,0))&amp;"","Client inconnu"),IF(A282="BR",IFERROR(INDEX(fo_name,MATCH(D282,fo_code,0))&amp;"","Fournisseur inconnu"),IF(A282="BS",IF(ISNA(MATCH(D282,p_services,0)),"Service inconnu",D282&amp;""),""))))</f>
        <v/>
      </c>
      <c r="F282" s="58" t="n"/>
      <c r="G282" s="58" t="n"/>
      <c r="H282" s="59" t="n"/>
      <c r="I282" s="57" t="str">
        <f>IF(H282="","",IFERROR(INDEX(art_des,MATCH(H282,art_ref,0))&amp;"","Article inconnu"))</f>
        <v/>
      </c>
      <c r="J282" s="60" t="str">
        <f>IF(H282="","",IFERROR(INDEX(art_unit,MATCH(H282,art_ref,0))&amp;"",""))</f>
        <v/>
      </c>
      <c r="K282" s="59" t="n"/>
      <c r="L282" s="59" t="n"/>
      <c r="M282" s="61" t="str">
        <f>IF(OR(B282="",NOT(ISNUMBER(K282)),NOT(ISNUMBER(L282))),"",IF(OR(K282&lt;=0,L282&lt;=0),"",ROUND(L282-K282,6)))</f>
        <v/>
      </c>
      <c r="N282" s="58" t="n"/>
      <c r="O282" s="62" t="n"/>
      <c r="P282" s="63" t="str">
        <f>IF(OR(B282="",NOT(ISNUMBER(L282))),"",IF(L282&lt;=0,"",IFERROR(ROUND(L282*N(INDEX(art_w,MATCH(H282,art_ref,0))),3),"")))</f>
        <v/>
      </c>
      <c r="Q282" s="59" t="n"/>
      <c r="R282" s="54" t="n"/>
      <c r="S282" s="59" t="n"/>
      <c r="T282" s="59" t="n"/>
      <c r="U282" s="64" t="str">
        <f>IF(OR(B282="",H282=""),"",IFERROR(IF(A282="BL",IF(N(INDEX(art_price,MATCH(H282,art_ref,0)))=0,"",N(INDEX(art_price,MATCH(H282,art_ref,0)))),IF(N(INDEX(art_cost,MATCH(H282,art_ref,0)))=0,"",N(INDEX(art_cost,MATCH(H282,art_ref,0))))),""))</f>
        <v/>
      </c>
      <c r="V282" s="64" t="str">
        <f>IF(OR(U282="",NOT(ISNUMBER(L282))),"",IF(L282&lt;=0,"",ROUND(L282*U282,2)))</f>
        <v/>
      </c>
      <c r="W282" s="60" t="str">
        <f>IF(AND(B282&lt;&gt;"",A282&lt;&gt;"BS",F282&lt;&gt;"",H282&lt;&gt;"",ISNUMBER(K282),ISNUMBER(L282)),IF(AND(K282&gt;0,L282&gt;0,K282-L282&gt;0,COUNTIFS(A283:A$2005,A282,F283:F$2005,F282,H283:H$2005,H282,AA283:AA$2005,"&gt;0")=0),ROUND(K282-L282,6),""),"")</f>
        <v/>
      </c>
      <c r="X282" s="60" t="str">
        <f>IF(AND(A282="",C282="",D282="",H282="",L282=""),"",IF(A282="","Type manquant",IF(AND(A282&lt;&gt;"BL",A282&lt;&gt;"BR",A282&lt;&gt;"BS"),"Type inconnu (BL, BR ou BS)",IF(AG282=0,"Date manquante ou invalide",IF(D282="",IF(A282="BL","Client manquant",IF(A282="BR","Fournisseur manquant","Service manquant")),IF(IF(A282="BL",ISNA(MATCH(D282,cl_code,0)),IF(A282="BR",ISNA(MATCH(D282,fo_code,0)),ISNA(MATCH(D282,p_services,0)))),IF(A282="BL","Client inconnu",IF(A282="BR","Fournisseur inconnu","Service inconnu")),IF(H282="","Article manquant",IF(ISNA(MATCH(H282,art_ref,0)),"Article inconnu",IF(OR(NOT(ISNUMBER(L282)),N(L282)&lt;=0),"Quantité invalide",IF(AND(K282&lt;&gt;"",OR(NOT(ISNUMBER(K282)),N(K282)&lt;=0)),"Qté commandée invalide",IF(AG282&lt;SUMPRODUCT(MAX((A$6:A281=A282)*AG$6:AG281)),"Date antérieure au bon précédent",IF(AND(A282&lt;&gt;"BR",ISNUMBER(M282),N(M282)&gt;0),IF(A282="BL","Livré plus que commandé","Sorti plus que demandé"),"OK"))))))))))))</f>
        <v/>
      </c>
      <c r="Y282" s="57" t="str">
        <f>IF(AND(OR(A282="BL",A282="BR",A282="BS"),AG282&gt;0,D282&lt;&gt;""),A282&amp;"|"&amp;AG282&amp;"|"&amp;D282&amp;"|"&amp;F282,"")</f>
        <v/>
      </c>
      <c r="Z282" s="57" t="str">
        <f>IF(Y282="","",IF(COUNTIF(Y$6:Y281,Y282)=0,1,0))</f>
        <v/>
      </c>
      <c r="AA282" s="57" t="str">
        <f>IF(Y282="","",IF(Z282=1,COUNTIFS(A$6:A282,A282,Z$6:Z282,1),INDEX(AA$6:AA281,MATCH(Y282,Y$6:Y281,0))))</f>
        <v/>
      </c>
      <c r="AB282" s="57" t="str">
        <f>IF(B282="","",COUNTIF(B$6:B282,B282))</f>
        <v/>
      </c>
      <c r="AC282" s="57" t="str">
        <f>IF(B282="","",B282&amp;"#"&amp;AB282)</f>
        <v/>
      </c>
      <c r="AD282" s="57" t="str">
        <f>IF(Z282=1,A282&amp;AA282,"")</f>
        <v/>
      </c>
      <c r="AE282" s="57" t="str">
        <f>IF(B282="","",YEAR(C282))</f>
        <v/>
      </c>
      <c r="AF282" s="57" t="str">
        <f>IF(B282="","",MONTH(C282))</f>
        <v/>
      </c>
      <c r="AG282" s="57">
        <f>IF(ISNUMBER(C282),C282,0)</f>
        <v>0.0</v>
      </c>
      <c r="AH282" s="57" t="str">
        <f>IF(N(W282)&gt;0,COUNTIF(W$6:W282,"&gt;0"),"")</f>
        <v/>
      </c>
      <c r="AI282" s="57" t="str">
        <f>IF(Z282=1,COUNTIF(Z$6:Z282,1),"")</f>
        <v/>
      </c>
    </row>
    <row r="283">
      <c r="A283" s="54" t="n"/>
      <c r="B283" s="55" t="str">
        <f>IF(AA283="","",A283&amp;"-"&amp;RIGHT("000"&amp;AA283,4))</f>
        <v/>
      </c>
      <c r="C283" s="56" t="n"/>
      <c r="D283" s="54" t="n"/>
      <c r="E283" s="57" t="str">
        <f>IF(D283="","",IF(A283="BL",IFERROR(INDEX(cl_name,MATCH(D283,cl_code,0))&amp;"","Client inconnu"),IF(A283="BR",IFERROR(INDEX(fo_name,MATCH(D283,fo_code,0))&amp;"","Fournisseur inconnu"),IF(A283="BS",IF(ISNA(MATCH(D283,p_services,0)),"Service inconnu",D283&amp;""),""))))</f>
        <v/>
      </c>
      <c r="F283" s="58" t="n"/>
      <c r="G283" s="58" t="n"/>
      <c r="H283" s="59" t="n"/>
      <c r="I283" s="57" t="str">
        <f>IF(H283="","",IFERROR(INDEX(art_des,MATCH(H283,art_ref,0))&amp;"","Article inconnu"))</f>
        <v/>
      </c>
      <c r="J283" s="60" t="str">
        <f>IF(H283="","",IFERROR(INDEX(art_unit,MATCH(H283,art_ref,0))&amp;"",""))</f>
        <v/>
      </c>
      <c r="K283" s="59" t="n"/>
      <c r="L283" s="59" t="n"/>
      <c r="M283" s="61" t="str">
        <f>IF(OR(B283="",NOT(ISNUMBER(K283)),NOT(ISNUMBER(L283))),"",IF(OR(K283&lt;=0,L283&lt;=0),"",ROUND(L283-K283,6)))</f>
        <v/>
      </c>
      <c r="N283" s="58" t="n"/>
      <c r="O283" s="62" t="n"/>
      <c r="P283" s="63" t="str">
        <f>IF(OR(B283="",NOT(ISNUMBER(L283))),"",IF(L283&lt;=0,"",IFERROR(ROUND(L283*N(INDEX(art_w,MATCH(H283,art_ref,0))),3),"")))</f>
        <v/>
      </c>
      <c r="Q283" s="59" t="n"/>
      <c r="R283" s="54" t="n"/>
      <c r="S283" s="59" t="n"/>
      <c r="T283" s="59" t="n"/>
      <c r="U283" s="64" t="str">
        <f>IF(OR(B283="",H283=""),"",IFERROR(IF(A283="BL",IF(N(INDEX(art_price,MATCH(H283,art_ref,0)))=0,"",N(INDEX(art_price,MATCH(H283,art_ref,0)))),IF(N(INDEX(art_cost,MATCH(H283,art_ref,0)))=0,"",N(INDEX(art_cost,MATCH(H283,art_ref,0))))),""))</f>
        <v/>
      </c>
      <c r="V283" s="64" t="str">
        <f>IF(OR(U283="",NOT(ISNUMBER(L283))),"",IF(L283&lt;=0,"",ROUND(L283*U283,2)))</f>
        <v/>
      </c>
      <c r="W283" s="60" t="str">
        <f>IF(AND(B283&lt;&gt;"",A283&lt;&gt;"BS",F283&lt;&gt;"",H283&lt;&gt;"",ISNUMBER(K283),ISNUMBER(L283)),IF(AND(K283&gt;0,L283&gt;0,K283-L283&gt;0,COUNTIFS(A284:A$2005,A283,F284:F$2005,F283,H284:H$2005,H283,AA284:AA$2005,"&gt;0")=0),ROUND(K283-L283,6),""),"")</f>
        <v/>
      </c>
      <c r="X283" s="60" t="str">
        <f>IF(AND(A283="",C283="",D283="",H283="",L283=""),"",IF(A283="","Type manquant",IF(AND(A283&lt;&gt;"BL",A283&lt;&gt;"BR",A283&lt;&gt;"BS"),"Type inconnu (BL, BR ou BS)",IF(AG283=0,"Date manquante ou invalide",IF(D283="",IF(A283="BL","Client manquant",IF(A283="BR","Fournisseur manquant","Service manquant")),IF(IF(A283="BL",ISNA(MATCH(D283,cl_code,0)),IF(A283="BR",ISNA(MATCH(D283,fo_code,0)),ISNA(MATCH(D283,p_services,0)))),IF(A283="BL","Client inconnu",IF(A283="BR","Fournisseur inconnu","Service inconnu")),IF(H283="","Article manquant",IF(ISNA(MATCH(H283,art_ref,0)),"Article inconnu",IF(OR(NOT(ISNUMBER(L283)),N(L283)&lt;=0),"Quantité invalide",IF(AND(K283&lt;&gt;"",OR(NOT(ISNUMBER(K283)),N(K283)&lt;=0)),"Qté commandée invalide",IF(AG283&lt;SUMPRODUCT(MAX((A$6:A282=A283)*AG$6:AG282)),"Date antérieure au bon précédent",IF(AND(A283&lt;&gt;"BR",ISNUMBER(M283),N(M283)&gt;0),IF(A283="BL","Livré plus que commandé","Sorti plus que demandé"),"OK"))))))))))))</f>
        <v/>
      </c>
      <c r="Y283" s="57" t="str">
        <f>IF(AND(OR(A283="BL",A283="BR",A283="BS"),AG283&gt;0,D283&lt;&gt;""),A283&amp;"|"&amp;AG283&amp;"|"&amp;D283&amp;"|"&amp;F283,"")</f>
        <v/>
      </c>
      <c r="Z283" s="57" t="str">
        <f>IF(Y283="","",IF(COUNTIF(Y$6:Y282,Y283)=0,1,0))</f>
        <v/>
      </c>
      <c r="AA283" s="57" t="str">
        <f>IF(Y283="","",IF(Z283=1,COUNTIFS(A$6:A283,A283,Z$6:Z283,1),INDEX(AA$6:AA282,MATCH(Y283,Y$6:Y282,0))))</f>
        <v/>
      </c>
      <c r="AB283" s="57" t="str">
        <f>IF(B283="","",COUNTIF(B$6:B283,B283))</f>
        <v/>
      </c>
      <c r="AC283" s="57" t="str">
        <f>IF(B283="","",B283&amp;"#"&amp;AB283)</f>
        <v/>
      </c>
      <c r="AD283" s="57" t="str">
        <f>IF(Z283=1,A283&amp;AA283,"")</f>
        <v/>
      </c>
      <c r="AE283" s="57" t="str">
        <f>IF(B283="","",YEAR(C283))</f>
        <v/>
      </c>
      <c r="AF283" s="57" t="str">
        <f>IF(B283="","",MONTH(C283))</f>
        <v/>
      </c>
      <c r="AG283" s="57">
        <f>IF(ISNUMBER(C283),C283,0)</f>
        <v>0.0</v>
      </c>
      <c r="AH283" s="57" t="str">
        <f>IF(N(W283)&gt;0,COUNTIF(W$6:W283,"&gt;0"),"")</f>
        <v/>
      </c>
      <c r="AI283" s="57" t="str">
        <f>IF(Z283=1,COUNTIF(Z$6:Z283,1),"")</f>
        <v/>
      </c>
    </row>
    <row r="284">
      <c r="A284" s="54" t="n"/>
      <c r="B284" s="55" t="str">
        <f>IF(AA284="","",A284&amp;"-"&amp;RIGHT("000"&amp;AA284,4))</f>
        <v/>
      </c>
      <c r="C284" s="56" t="n"/>
      <c r="D284" s="54" t="n"/>
      <c r="E284" s="57" t="str">
        <f>IF(D284="","",IF(A284="BL",IFERROR(INDEX(cl_name,MATCH(D284,cl_code,0))&amp;"","Client inconnu"),IF(A284="BR",IFERROR(INDEX(fo_name,MATCH(D284,fo_code,0))&amp;"","Fournisseur inconnu"),IF(A284="BS",IF(ISNA(MATCH(D284,p_services,0)),"Service inconnu",D284&amp;""),""))))</f>
        <v/>
      </c>
      <c r="F284" s="58" t="n"/>
      <c r="G284" s="58" t="n"/>
      <c r="H284" s="59" t="n"/>
      <c r="I284" s="57" t="str">
        <f>IF(H284="","",IFERROR(INDEX(art_des,MATCH(H284,art_ref,0))&amp;"","Article inconnu"))</f>
        <v/>
      </c>
      <c r="J284" s="60" t="str">
        <f>IF(H284="","",IFERROR(INDEX(art_unit,MATCH(H284,art_ref,0))&amp;"",""))</f>
        <v/>
      </c>
      <c r="K284" s="59" t="n"/>
      <c r="L284" s="59" t="n"/>
      <c r="M284" s="61" t="str">
        <f>IF(OR(B284="",NOT(ISNUMBER(K284)),NOT(ISNUMBER(L284))),"",IF(OR(K284&lt;=0,L284&lt;=0),"",ROUND(L284-K284,6)))</f>
        <v/>
      </c>
      <c r="N284" s="58" t="n"/>
      <c r="O284" s="62" t="n"/>
      <c r="P284" s="63" t="str">
        <f>IF(OR(B284="",NOT(ISNUMBER(L284))),"",IF(L284&lt;=0,"",IFERROR(ROUND(L284*N(INDEX(art_w,MATCH(H284,art_ref,0))),3),"")))</f>
        <v/>
      </c>
      <c r="Q284" s="59" t="n"/>
      <c r="R284" s="54" t="n"/>
      <c r="S284" s="59" t="n"/>
      <c r="T284" s="59" t="n"/>
      <c r="U284" s="64" t="str">
        <f>IF(OR(B284="",H284=""),"",IFERROR(IF(A284="BL",IF(N(INDEX(art_price,MATCH(H284,art_ref,0)))=0,"",N(INDEX(art_price,MATCH(H284,art_ref,0)))),IF(N(INDEX(art_cost,MATCH(H284,art_ref,0)))=0,"",N(INDEX(art_cost,MATCH(H284,art_ref,0))))),""))</f>
        <v/>
      </c>
      <c r="V284" s="64" t="str">
        <f>IF(OR(U284="",NOT(ISNUMBER(L284))),"",IF(L284&lt;=0,"",ROUND(L284*U284,2)))</f>
        <v/>
      </c>
      <c r="W284" s="60" t="str">
        <f>IF(AND(B284&lt;&gt;"",A284&lt;&gt;"BS",F284&lt;&gt;"",H284&lt;&gt;"",ISNUMBER(K284),ISNUMBER(L284)),IF(AND(K284&gt;0,L284&gt;0,K284-L284&gt;0,COUNTIFS(A285:A$2005,A284,F285:F$2005,F284,H285:H$2005,H284,AA285:AA$2005,"&gt;0")=0),ROUND(K284-L284,6),""),"")</f>
        <v/>
      </c>
      <c r="X284" s="60" t="str">
        <f>IF(AND(A284="",C284="",D284="",H284="",L284=""),"",IF(A284="","Type manquant",IF(AND(A284&lt;&gt;"BL",A284&lt;&gt;"BR",A284&lt;&gt;"BS"),"Type inconnu (BL, BR ou BS)",IF(AG284=0,"Date manquante ou invalide",IF(D284="",IF(A284="BL","Client manquant",IF(A284="BR","Fournisseur manquant","Service manquant")),IF(IF(A284="BL",ISNA(MATCH(D284,cl_code,0)),IF(A284="BR",ISNA(MATCH(D284,fo_code,0)),ISNA(MATCH(D284,p_services,0)))),IF(A284="BL","Client inconnu",IF(A284="BR","Fournisseur inconnu","Service inconnu")),IF(H284="","Article manquant",IF(ISNA(MATCH(H284,art_ref,0)),"Article inconnu",IF(OR(NOT(ISNUMBER(L284)),N(L284)&lt;=0),"Quantité invalide",IF(AND(K284&lt;&gt;"",OR(NOT(ISNUMBER(K284)),N(K284)&lt;=0)),"Qté commandée invalide",IF(AG284&lt;SUMPRODUCT(MAX((A$6:A283=A284)*AG$6:AG283)),"Date antérieure au bon précédent",IF(AND(A284&lt;&gt;"BR",ISNUMBER(M284),N(M284)&gt;0),IF(A284="BL","Livré plus que commandé","Sorti plus que demandé"),"OK"))))))))))))</f>
        <v/>
      </c>
      <c r="Y284" s="57" t="str">
        <f>IF(AND(OR(A284="BL",A284="BR",A284="BS"),AG284&gt;0,D284&lt;&gt;""),A284&amp;"|"&amp;AG284&amp;"|"&amp;D284&amp;"|"&amp;F284,"")</f>
        <v/>
      </c>
      <c r="Z284" s="57" t="str">
        <f>IF(Y284="","",IF(COUNTIF(Y$6:Y283,Y284)=0,1,0))</f>
        <v/>
      </c>
      <c r="AA284" s="57" t="str">
        <f>IF(Y284="","",IF(Z284=1,COUNTIFS(A$6:A284,A284,Z$6:Z284,1),INDEX(AA$6:AA283,MATCH(Y284,Y$6:Y283,0))))</f>
        <v/>
      </c>
      <c r="AB284" s="57" t="str">
        <f>IF(B284="","",COUNTIF(B$6:B284,B284))</f>
        <v/>
      </c>
      <c r="AC284" s="57" t="str">
        <f>IF(B284="","",B284&amp;"#"&amp;AB284)</f>
        <v/>
      </c>
      <c r="AD284" s="57" t="str">
        <f>IF(Z284=1,A284&amp;AA284,"")</f>
        <v/>
      </c>
      <c r="AE284" s="57" t="str">
        <f>IF(B284="","",YEAR(C284))</f>
        <v/>
      </c>
      <c r="AF284" s="57" t="str">
        <f>IF(B284="","",MONTH(C284))</f>
        <v/>
      </c>
      <c r="AG284" s="57">
        <f>IF(ISNUMBER(C284),C284,0)</f>
        <v>0.0</v>
      </c>
      <c r="AH284" s="57" t="str">
        <f>IF(N(W284)&gt;0,COUNTIF(W$6:W284,"&gt;0"),"")</f>
        <v/>
      </c>
      <c r="AI284" s="57" t="str">
        <f>IF(Z284=1,COUNTIF(Z$6:Z284,1),"")</f>
        <v/>
      </c>
    </row>
    <row r="285">
      <c r="A285" s="54" t="n"/>
      <c r="B285" s="55" t="str">
        <f>IF(AA285="","",A285&amp;"-"&amp;RIGHT("000"&amp;AA285,4))</f>
        <v/>
      </c>
      <c r="C285" s="56" t="n"/>
      <c r="D285" s="54" t="n"/>
      <c r="E285" s="57" t="str">
        <f>IF(D285="","",IF(A285="BL",IFERROR(INDEX(cl_name,MATCH(D285,cl_code,0))&amp;"","Client inconnu"),IF(A285="BR",IFERROR(INDEX(fo_name,MATCH(D285,fo_code,0))&amp;"","Fournisseur inconnu"),IF(A285="BS",IF(ISNA(MATCH(D285,p_services,0)),"Service inconnu",D285&amp;""),""))))</f>
        <v/>
      </c>
      <c r="F285" s="58" t="n"/>
      <c r="G285" s="58" t="n"/>
      <c r="H285" s="59" t="n"/>
      <c r="I285" s="57" t="str">
        <f>IF(H285="","",IFERROR(INDEX(art_des,MATCH(H285,art_ref,0))&amp;"","Article inconnu"))</f>
        <v/>
      </c>
      <c r="J285" s="60" t="str">
        <f>IF(H285="","",IFERROR(INDEX(art_unit,MATCH(H285,art_ref,0))&amp;"",""))</f>
        <v/>
      </c>
      <c r="K285" s="59" t="n"/>
      <c r="L285" s="59" t="n"/>
      <c r="M285" s="61" t="str">
        <f>IF(OR(B285="",NOT(ISNUMBER(K285)),NOT(ISNUMBER(L285))),"",IF(OR(K285&lt;=0,L285&lt;=0),"",ROUND(L285-K285,6)))</f>
        <v/>
      </c>
      <c r="N285" s="58" t="n"/>
      <c r="O285" s="62" t="n"/>
      <c r="P285" s="63" t="str">
        <f>IF(OR(B285="",NOT(ISNUMBER(L285))),"",IF(L285&lt;=0,"",IFERROR(ROUND(L285*N(INDEX(art_w,MATCH(H285,art_ref,0))),3),"")))</f>
        <v/>
      </c>
      <c r="Q285" s="59" t="n"/>
      <c r="R285" s="54" t="n"/>
      <c r="S285" s="59" t="n"/>
      <c r="T285" s="59" t="n"/>
      <c r="U285" s="64" t="str">
        <f>IF(OR(B285="",H285=""),"",IFERROR(IF(A285="BL",IF(N(INDEX(art_price,MATCH(H285,art_ref,0)))=0,"",N(INDEX(art_price,MATCH(H285,art_ref,0)))),IF(N(INDEX(art_cost,MATCH(H285,art_ref,0)))=0,"",N(INDEX(art_cost,MATCH(H285,art_ref,0))))),""))</f>
        <v/>
      </c>
      <c r="V285" s="64" t="str">
        <f>IF(OR(U285="",NOT(ISNUMBER(L285))),"",IF(L285&lt;=0,"",ROUND(L285*U285,2)))</f>
        <v/>
      </c>
      <c r="W285" s="60" t="str">
        <f>IF(AND(B285&lt;&gt;"",A285&lt;&gt;"BS",F285&lt;&gt;"",H285&lt;&gt;"",ISNUMBER(K285),ISNUMBER(L285)),IF(AND(K285&gt;0,L285&gt;0,K285-L285&gt;0,COUNTIFS(A286:A$2005,A285,F286:F$2005,F285,H286:H$2005,H285,AA286:AA$2005,"&gt;0")=0),ROUND(K285-L285,6),""),"")</f>
        <v/>
      </c>
      <c r="X285" s="60" t="str">
        <f>IF(AND(A285="",C285="",D285="",H285="",L285=""),"",IF(A285="","Type manquant",IF(AND(A285&lt;&gt;"BL",A285&lt;&gt;"BR",A285&lt;&gt;"BS"),"Type inconnu (BL, BR ou BS)",IF(AG285=0,"Date manquante ou invalide",IF(D285="",IF(A285="BL","Client manquant",IF(A285="BR","Fournisseur manquant","Service manquant")),IF(IF(A285="BL",ISNA(MATCH(D285,cl_code,0)),IF(A285="BR",ISNA(MATCH(D285,fo_code,0)),ISNA(MATCH(D285,p_services,0)))),IF(A285="BL","Client inconnu",IF(A285="BR","Fournisseur inconnu","Service inconnu")),IF(H285="","Article manquant",IF(ISNA(MATCH(H285,art_ref,0)),"Article inconnu",IF(OR(NOT(ISNUMBER(L285)),N(L285)&lt;=0),"Quantité invalide",IF(AND(K285&lt;&gt;"",OR(NOT(ISNUMBER(K285)),N(K285)&lt;=0)),"Qté commandée invalide",IF(AG285&lt;SUMPRODUCT(MAX((A$6:A284=A285)*AG$6:AG284)),"Date antérieure au bon précédent",IF(AND(A285&lt;&gt;"BR",ISNUMBER(M285),N(M285)&gt;0),IF(A285="BL","Livré plus que commandé","Sorti plus que demandé"),"OK"))))))))))))</f>
        <v/>
      </c>
      <c r="Y285" s="57" t="str">
        <f>IF(AND(OR(A285="BL",A285="BR",A285="BS"),AG285&gt;0,D285&lt;&gt;""),A285&amp;"|"&amp;AG285&amp;"|"&amp;D285&amp;"|"&amp;F285,"")</f>
        <v/>
      </c>
      <c r="Z285" s="57" t="str">
        <f>IF(Y285="","",IF(COUNTIF(Y$6:Y284,Y285)=0,1,0))</f>
        <v/>
      </c>
      <c r="AA285" s="57" t="str">
        <f>IF(Y285="","",IF(Z285=1,COUNTIFS(A$6:A285,A285,Z$6:Z285,1),INDEX(AA$6:AA284,MATCH(Y285,Y$6:Y284,0))))</f>
        <v/>
      </c>
      <c r="AB285" s="57" t="str">
        <f>IF(B285="","",COUNTIF(B$6:B285,B285))</f>
        <v/>
      </c>
      <c r="AC285" s="57" t="str">
        <f>IF(B285="","",B285&amp;"#"&amp;AB285)</f>
        <v/>
      </c>
      <c r="AD285" s="57" t="str">
        <f>IF(Z285=1,A285&amp;AA285,"")</f>
        <v/>
      </c>
      <c r="AE285" s="57" t="str">
        <f>IF(B285="","",YEAR(C285))</f>
        <v/>
      </c>
      <c r="AF285" s="57" t="str">
        <f>IF(B285="","",MONTH(C285))</f>
        <v/>
      </c>
      <c r="AG285" s="57">
        <f>IF(ISNUMBER(C285),C285,0)</f>
        <v>0.0</v>
      </c>
      <c r="AH285" s="57" t="str">
        <f>IF(N(W285)&gt;0,COUNTIF(W$6:W285,"&gt;0"),"")</f>
        <v/>
      </c>
      <c r="AI285" s="57" t="str">
        <f>IF(Z285=1,COUNTIF(Z$6:Z285,1),"")</f>
        <v/>
      </c>
    </row>
    <row r="286">
      <c r="A286" s="54" t="n"/>
      <c r="B286" s="55" t="str">
        <f>IF(AA286="","",A286&amp;"-"&amp;RIGHT("000"&amp;AA286,4))</f>
        <v/>
      </c>
      <c r="C286" s="56" t="n"/>
      <c r="D286" s="54" t="n"/>
      <c r="E286" s="57" t="str">
        <f>IF(D286="","",IF(A286="BL",IFERROR(INDEX(cl_name,MATCH(D286,cl_code,0))&amp;"","Client inconnu"),IF(A286="BR",IFERROR(INDEX(fo_name,MATCH(D286,fo_code,0))&amp;"","Fournisseur inconnu"),IF(A286="BS",IF(ISNA(MATCH(D286,p_services,0)),"Service inconnu",D286&amp;""),""))))</f>
        <v/>
      </c>
      <c r="F286" s="58" t="n"/>
      <c r="G286" s="58" t="n"/>
      <c r="H286" s="59" t="n"/>
      <c r="I286" s="57" t="str">
        <f>IF(H286="","",IFERROR(INDEX(art_des,MATCH(H286,art_ref,0))&amp;"","Article inconnu"))</f>
        <v/>
      </c>
      <c r="J286" s="60" t="str">
        <f>IF(H286="","",IFERROR(INDEX(art_unit,MATCH(H286,art_ref,0))&amp;"",""))</f>
        <v/>
      </c>
      <c r="K286" s="59" t="n"/>
      <c r="L286" s="59" t="n"/>
      <c r="M286" s="61" t="str">
        <f>IF(OR(B286="",NOT(ISNUMBER(K286)),NOT(ISNUMBER(L286))),"",IF(OR(K286&lt;=0,L286&lt;=0),"",ROUND(L286-K286,6)))</f>
        <v/>
      </c>
      <c r="N286" s="58" t="n"/>
      <c r="O286" s="62" t="n"/>
      <c r="P286" s="63" t="str">
        <f>IF(OR(B286="",NOT(ISNUMBER(L286))),"",IF(L286&lt;=0,"",IFERROR(ROUND(L286*N(INDEX(art_w,MATCH(H286,art_ref,0))),3),"")))</f>
        <v/>
      </c>
      <c r="Q286" s="59" t="n"/>
      <c r="R286" s="54" t="n"/>
      <c r="S286" s="59" t="n"/>
      <c r="T286" s="59" t="n"/>
      <c r="U286" s="64" t="str">
        <f>IF(OR(B286="",H286=""),"",IFERROR(IF(A286="BL",IF(N(INDEX(art_price,MATCH(H286,art_ref,0)))=0,"",N(INDEX(art_price,MATCH(H286,art_ref,0)))),IF(N(INDEX(art_cost,MATCH(H286,art_ref,0)))=0,"",N(INDEX(art_cost,MATCH(H286,art_ref,0))))),""))</f>
        <v/>
      </c>
      <c r="V286" s="64" t="str">
        <f>IF(OR(U286="",NOT(ISNUMBER(L286))),"",IF(L286&lt;=0,"",ROUND(L286*U286,2)))</f>
        <v/>
      </c>
      <c r="W286" s="60" t="str">
        <f>IF(AND(B286&lt;&gt;"",A286&lt;&gt;"BS",F286&lt;&gt;"",H286&lt;&gt;"",ISNUMBER(K286),ISNUMBER(L286)),IF(AND(K286&gt;0,L286&gt;0,K286-L286&gt;0,COUNTIFS(A287:A$2005,A286,F287:F$2005,F286,H287:H$2005,H286,AA287:AA$2005,"&gt;0")=0),ROUND(K286-L286,6),""),"")</f>
        <v/>
      </c>
      <c r="X286" s="60" t="str">
        <f>IF(AND(A286="",C286="",D286="",H286="",L286=""),"",IF(A286="","Type manquant",IF(AND(A286&lt;&gt;"BL",A286&lt;&gt;"BR",A286&lt;&gt;"BS"),"Type inconnu (BL, BR ou BS)",IF(AG286=0,"Date manquante ou invalide",IF(D286="",IF(A286="BL","Client manquant",IF(A286="BR","Fournisseur manquant","Service manquant")),IF(IF(A286="BL",ISNA(MATCH(D286,cl_code,0)),IF(A286="BR",ISNA(MATCH(D286,fo_code,0)),ISNA(MATCH(D286,p_services,0)))),IF(A286="BL","Client inconnu",IF(A286="BR","Fournisseur inconnu","Service inconnu")),IF(H286="","Article manquant",IF(ISNA(MATCH(H286,art_ref,0)),"Article inconnu",IF(OR(NOT(ISNUMBER(L286)),N(L286)&lt;=0),"Quantité invalide",IF(AND(K286&lt;&gt;"",OR(NOT(ISNUMBER(K286)),N(K286)&lt;=0)),"Qté commandée invalide",IF(AG286&lt;SUMPRODUCT(MAX((A$6:A285=A286)*AG$6:AG285)),"Date antérieure au bon précédent",IF(AND(A286&lt;&gt;"BR",ISNUMBER(M286),N(M286)&gt;0),IF(A286="BL","Livré plus que commandé","Sorti plus que demandé"),"OK"))))))))))))</f>
        <v/>
      </c>
      <c r="Y286" s="57" t="str">
        <f>IF(AND(OR(A286="BL",A286="BR",A286="BS"),AG286&gt;0,D286&lt;&gt;""),A286&amp;"|"&amp;AG286&amp;"|"&amp;D286&amp;"|"&amp;F286,"")</f>
        <v/>
      </c>
      <c r="Z286" s="57" t="str">
        <f>IF(Y286="","",IF(COUNTIF(Y$6:Y285,Y286)=0,1,0))</f>
        <v/>
      </c>
      <c r="AA286" s="57" t="str">
        <f>IF(Y286="","",IF(Z286=1,COUNTIFS(A$6:A286,A286,Z$6:Z286,1),INDEX(AA$6:AA285,MATCH(Y286,Y$6:Y285,0))))</f>
        <v/>
      </c>
      <c r="AB286" s="57" t="str">
        <f>IF(B286="","",COUNTIF(B$6:B286,B286))</f>
        <v/>
      </c>
      <c r="AC286" s="57" t="str">
        <f>IF(B286="","",B286&amp;"#"&amp;AB286)</f>
        <v/>
      </c>
      <c r="AD286" s="57" t="str">
        <f>IF(Z286=1,A286&amp;AA286,"")</f>
        <v/>
      </c>
      <c r="AE286" s="57" t="str">
        <f>IF(B286="","",YEAR(C286))</f>
        <v/>
      </c>
      <c r="AF286" s="57" t="str">
        <f>IF(B286="","",MONTH(C286))</f>
        <v/>
      </c>
      <c r="AG286" s="57">
        <f>IF(ISNUMBER(C286),C286,0)</f>
        <v>0.0</v>
      </c>
      <c r="AH286" s="57" t="str">
        <f>IF(N(W286)&gt;0,COUNTIF(W$6:W286,"&gt;0"),"")</f>
        <v/>
      </c>
      <c r="AI286" s="57" t="str">
        <f>IF(Z286=1,COUNTIF(Z$6:Z286,1),"")</f>
        <v/>
      </c>
    </row>
    <row r="287">
      <c r="A287" s="54" t="n"/>
      <c r="B287" s="55" t="str">
        <f>IF(AA287="","",A287&amp;"-"&amp;RIGHT("000"&amp;AA287,4))</f>
        <v/>
      </c>
      <c r="C287" s="56" t="n"/>
      <c r="D287" s="54" t="n"/>
      <c r="E287" s="57" t="str">
        <f>IF(D287="","",IF(A287="BL",IFERROR(INDEX(cl_name,MATCH(D287,cl_code,0))&amp;"","Client inconnu"),IF(A287="BR",IFERROR(INDEX(fo_name,MATCH(D287,fo_code,0))&amp;"","Fournisseur inconnu"),IF(A287="BS",IF(ISNA(MATCH(D287,p_services,0)),"Service inconnu",D287&amp;""),""))))</f>
        <v/>
      </c>
      <c r="F287" s="58" t="n"/>
      <c r="G287" s="58" t="n"/>
      <c r="H287" s="59" t="n"/>
      <c r="I287" s="57" t="str">
        <f>IF(H287="","",IFERROR(INDEX(art_des,MATCH(H287,art_ref,0))&amp;"","Article inconnu"))</f>
        <v/>
      </c>
      <c r="J287" s="60" t="str">
        <f>IF(H287="","",IFERROR(INDEX(art_unit,MATCH(H287,art_ref,0))&amp;"",""))</f>
        <v/>
      </c>
      <c r="K287" s="59" t="n"/>
      <c r="L287" s="59" t="n"/>
      <c r="M287" s="61" t="str">
        <f>IF(OR(B287="",NOT(ISNUMBER(K287)),NOT(ISNUMBER(L287))),"",IF(OR(K287&lt;=0,L287&lt;=0),"",ROUND(L287-K287,6)))</f>
        <v/>
      </c>
      <c r="N287" s="58" t="n"/>
      <c r="O287" s="62" t="n"/>
      <c r="P287" s="63" t="str">
        <f>IF(OR(B287="",NOT(ISNUMBER(L287))),"",IF(L287&lt;=0,"",IFERROR(ROUND(L287*N(INDEX(art_w,MATCH(H287,art_ref,0))),3),"")))</f>
        <v/>
      </c>
      <c r="Q287" s="59" t="n"/>
      <c r="R287" s="54" t="n"/>
      <c r="S287" s="59" t="n"/>
      <c r="T287" s="59" t="n"/>
      <c r="U287" s="64" t="str">
        <f>IF(OR(B287="",H287=""),"",IFERROR(IF(A287="BL",IF(N(INDEX(art_price,MATCH(H287,art_ref,0)))=0,"",N(INDEX(art_price,MATCH(H287,art_ref,0)))),IF(N(INDEX(art_cost,MATCH(H287,art_ref,0)))=0,"",N(INDEX(art_cost,MATCH(H287,art_ref,0))))),""))</f>
        <v/>
      </c>
      <c r="V287" s="64" t="str">
        <f>IF(OR(U287="",NOT(ISNUMBER(L287))),"",IF(L287&lt;=0,"",ROUND(L287*U287,2)))</f>
        <v/>
      </c>
      <c r="W287" s="60" t="str">
        <f>IF(AND(B287&lt;&gt;"",A287&lt;&gt;"BS",F287&lt;&gt;"",H287&lt;&gt;"",ISNUMBER(K287),ISNUMBER(L287)),IF(AND(K287&gt;0,L287&gt;0,K287-L287&gt;0,COUNTIFS(A288:A$2005,A287,F288:F$2005,F287,H288:H$2005,H287,AA288:AA$2005,"&gt;0")=0),ROUND(K287-L287,6),""),"")</f>
        <v/>
      </c>
      <c r="X287" s="60" t="str">
        <f>IF(AND(A287="",C287="",D287="",H287="",L287=""),"",IF(A287="","Type manquant",IF(AND(A287&lt;&gt;"BL",A287&lt;&gt;"BR",A287&lt;&gt;"BS"),"Type inconnu (BL, BR ou BS)",IF(AG287=0,"Date manquante ou invalide",IF(D287="",IF(A287="BL","Client manquant",IF(A287="BR","Fournisseur manquant","Service manquant")),IF(IF(A287="BL",ISNA(MATCH(D287,cl_code,0)),IF(A287="BR",ISNA(MATCH(D287,fo_code,0)),ISNA(MATCH(D287,p_services,0)))),IF(A287="BL","Client inconnu",IF(A287="BR","Fournisseur inconnu","Service inconnu")),IF(H287="","Article manquant",IF(ISNA(MATCH(H287,art_ref,0)),"Article inconnu",IF(OR(NOT(ISNUMBER(L287)),N(L287)&lt;=0),"Quantité invalide",IF(AND(K287&lt;&gt;"",OR(NOT(ISNUMBER(K287)),N(K287)&lt;=0)),"Qté commandée invalide",IF(AG287&lt;SUMPRODUCT(MAX((A$6:A286=A287)*AG$6:AG286)),"Date antérieure au bon précédent",IF(AND(A287&lt;&gt;"BR",ISNUMBER(M287),N(M287)&gt;0),IF(A287="BL","Livré plus que commandé","Sorti plus que demandé"),"OK"))))))))))))</f>
        <v/>
      </c>
      <c r="Y287" s="57" t="str">
        <f>IF(AND(OR(A287="BL",A287="BR",A287="BS"),AG287&gt;0,D287&lt;&gt;""),A287&amp;"|"&amp;AG287&amp;"|"&amp;D287&amp;"|"&amp;F287,"")</f>
        <v/>
      </c>
      <c r="Z287" s="57" t="str">
        <f>IF(Y287="","",IF(COUNTIF(Y$6:Y286,Y287)=0,1,0))</f>
        <v/>
      </c>
      <c r="AA287" s="57" t="str">
        <f>IF(Y287="","",IF(Z287=1,COUNTIFS(A$6:A287,A287,Z$6:Z287,1),INDEX(AA$6:AA286,MATCH(Y287,Y$6:Y286,0))))</f>
        <v/>
      </c>
      <c r="AB287" s="57" t="str">
        <f>IF(B287="","",COUNTIF(B$6:B287,B287))</f>
        <v/>
      </c>
      <c r="AC287" s="57" t="str">
        <f>IF(B287="","",B287&amp;"#"&amp;AB287)</f>
        <v/>
      </c>
      <c r="AD287" s="57" t="str">
        <f>IF(Z287=1,A287&amp;AA287,"")</f>
        <v/>
      </c>
      <c r="AE287" s="57" t="str">
        <f>IF(B287="","",YEAR(C287))</f>
        <v/>
      </c>
      <c r="AF287" s="57" t="str">
        <f>IF(B287="","",MONTH(C287))</f>
        <v/>
      </c>
      <c r="AG287" s="57">
        <f>IF(ISNUMBER(C287),C287,0)</f>
        <v>0.0</v>
      </c>
      <c r="AH287" s="57" t="str">
        <f>IF(N(W287)&gt;0,COUNTIF(W$6:W287,"&gt;0"),"")</f>
        <v/>
      </c>
      <c r="AI287" s="57" t="str">
        <f>IF(Z287=1,COUNTIF(Z$6:Z287,1),"")</f>
        <v/>
      </c>
    </row>
    <row r="288">
      <c r="A288" s="54" t="n"/>
      <c r="B288" s="55" t="str">
        <f>IF(AA288="","",A288&amp;"-"&amp;RIGHT("000"&amp;AA288,4))</f>
        <v/>
      </c>
      <c r="C288" s="56" t="n"/>
      <c r="D288" s="54" t="n"/>
      <c r="E288" s="57" t="str">
        <f>IF(D288="","",IF(A288="BL",IFERROR(INDEX(cl_name,MATCH(D288,cl_code,0))&amp;"","Client inconnu"),IF(A288="BR",IFERROR(INDEX(fo_name,MATCH(D288,fo_code,0))&amp;"","Fournisseur inconnu"),IF(A288="BS",IF(ISNA(MATCH(D288,p_services,0)),"Service inconnu",D288&amp;""),""))))</f>
        <v/>
      </c>
      <c r="F288" s="58" t="n"/>
      <c r="G288" s="58" t="n"/>
      <c r="H288" s="59" t="n"/>
      <c r="I288" s="57" t="str">
        <f>IF(H288="","",IFERROR(INDEX(art_des,MATCH(H288,art_ref,0))&amp;"","Article inconnu"))</f>
        <v/>
      </c>
      <c r="J288" s="60" t="str">
        <f>IF(H288="","",IFERROR(INDEX(art_unit,MATCH(H288,art_ref,0))&amp;"",""))</f>
        <v/>
      </c>
      <c r="K288" s="59" t="n"/>
      <c r="L288" s="59" t="n"/>
      <c r="M288" s="61" t="str">
        <f>IF(OR(B288="",NOT(ISNUMBER(K288)),NOT(ISNUMBER(L288))),"",IF(OR(K288&lt;=0,L288&lt;=0),"",ROUND(L288-K288,6)))</f>
        <v/>
      </c>
      <c r="N288" s="58" t="n"/>
      <c r="O288" s="62" t="n"/>
      <c r="P288" s="63" t="str">
        <f>IF(OR(B288="",NOT(ISNUMBER(L288))),"",IF(L288&lt;=0,"",IFERROR(ROUND(L288*N(INDEX(art_w,MATCH(H288,art_ref,0))),3),"")))</f>
        <v/>
      </c>
      <c r="Q288" s="59" t="n"/>
      <c r="R288" s="54" t="n"/>
      <c r="S288" s="59" t="n"/>
      <c r="T288" s="59" t="n"/>
      <c r="U288" s="64" t="str">
        <f>IF(OR(B288="",H288=""),"",IFERROR(IF(A288="BL",IF(N(INDEX(art_price,MATCH(H288,art_ref,0)))=0,"",N(INDEX(art_price,MATCH(H288,art_ref,0)))),IF(N(INDEX(art_cost,MATCH(H288,art_ref,0)))=0,"",N(INDEX(art_cost,MATCH(H288,art_ref,0))))),""))</f>
        <v/>
      </c>
      <c r="V288" s="64" t="str">
        <f>IF(OR(U288="",NOT(ISNUMBER(L288))),"",IF(L288&lt;=0,"",ROUND(L288*U288,2)))</f>
        <v/>
      </c>
      <c r="W288" s="60" t="str">
        <f>IF(AND(B288&lt;&gt;"",A288&lt;&gt;"BS",F288&lt;&gt;"",H288&lt;&gt;"",ISNUMBER(K288),ISNUMBER(L288)),IF(AND(K288&gt;0,L288&gt;0,K288-L288&gt;0,COUNTIFS(A289:A$2005,A288,F289:F$2005,F288,H289:H$2005,H288,AA289:AA$2005,"&gt;0")=0),ROUND(K288-L288,6),""),"")</f>
        <v/>
      </c>
      <c r="X288" s="60" t="str">
        <f>IF(AND(A288="",C288="",D288="",H288="",L288=""),"",IF(A288="","Type manquant",IF(AND(A288&lt;&gt;"BL",A288&lt;&gt;"BR",A288&lt;&gt;"BS"),"Type inconnu (BL, BR ou BS)",IF(AG288=0,"Date manquante ou invalide",IF(D288="",IF(A288="BL","Client manquant",IF(A288="BR","Fournisseur manquant","Service manquant")),IF(IF(A288="BL",ISNA(MATCH(D288,cl_code,0)),IF(A288="BR",ISNA(MATCH(D288,fo_code,0)),ISNA(MATCH(D288,p_services,0)))),IF(A288="BL","Client inconnu",IF(A288="BR","Fournisseur inconnu","Service inconnu")),IF(H288="","Article manquant",IF(ISNA(MATCH(H288,art_ref,0)),"Article inconnu",IF(OR(NOT(ISNUMBER(L288)),N(L288)&lt;=0),"Quantité invalide",IF(AND(K288&lt;&gt;"",OR(NOT(ISNUMBER(K288)),N(K288)&lt;=0)),"Qté commandée invalide",IF(AG288&lt;SUMPRODUCT(MAX((A$6:A287=A288)*AG$6:AG287)),"Date antérieure au bon précédent",IF(AND(A288&lt;&gt;"BR",ISNUMBER(M288),N(M288)&gt;0),IF(A288="BL","Livré plus que commandé","Sorti plus que demandé"),"OK"))))))))))))</f>
        <v/>
      </c>
      <c r="Y288" s="57" t="str">
        <f>IF(AND(OR(A288="BL",A288="BR",A288="BS"),AG288&gt;0,D288&lt;&gt;""),A288&amp;"|"&amp;AG288&amp;"|"&amp;D288&amp;"|"&amp;F288,"")</f>
        <v/>
      </c>
      <c r="Z288" s="57" t="str">
        <f>IF(Y288="","",IF(COUNTIF(Y$6:Y287,Y288)=0,1,0))</f>
        <v/>
      </c>
      <c r="AA288" s="57" t="str">
        <f>IF(Y288="","",IF(Z288=1,COUNTIFS(A$6:A288,A288,Z$6:Z288,1),INDEX(AA$6:AA287,MATCH(Y288,Y$6:Y287,0))))</f>
        <v/>
      </c>
      <c r="AB288" s="57" t="str">
        <f>IF(B288="","",COUNTIF(B$6:B288,B288))</f>
        <v/>
      </c>
      <c r="AC288" s="57" t="str">
        <f>IF(B288="","",B288&amp;"#"&amp;AB288)</f>
        <v/>
      </c>
      <c r="AD288" s="57" t="str">
        <f>IF(Z288=1,A288&amp;AA288,"")</f>
        <v/>
      </c>
      <c r="AE288" s="57" t="str">
        <f>IF(B288="","",YEAR(C288))</f>
        <v/>
      </c>
      <c r="AF288" s="57" t="str">
        <f>IF(B288="","",MONTH(C288))</f>
        <v/>
      </c>
      <c r="AG288" s="57">
        <f>IF(ISNUMBER(C288),C288,0)</f>
        <v>0.0</v>
      </c>
      <c r="AH288" s="57" t="str">
        <f>IF(N(W288)&gt;0,COUNTIF(W$6:W288,"&gt;0"),"")</f>
        <v/>
      </c>
      <c r="AI288" s="57" t="str">
        <f>IF(Z288=1,COUNTIF(Z$6:Z288,1),"")</f>
        <v/>
      </c>
    </row>
    <row r="289">
      <c r="A289" s="54" t="n"/>
      <c r="B289" s="55" t="str">
        <f>IF(AA289="","",A289&amp;"-"&amp;RIGHT("000"&amp;AA289,4))</f>
        <v/>
      </c>
      <c r="C289" s="56" t="n"/>
      <c r="D289" s="54" t="n"/>
      <c r="E289" s="57" t="str">
        <f>IF(D289="","",IF(A289="BL",IFERROR(INDEX(cl_name,MATCH(D289,cl_code,0))&amp;"","Client inconnu"),IF(A289="BR",IFERROR(INDEX(fo_name,MATCH(D289,fo_code,0))&amp;"","Fournisseur inconnu"),IF(A289="BS",IF(ISNA(MATCH(D289,p_services,0)),"Service inconnu",D289&amp;""),""))))</f>
        <v/>
      </c>
      <c r="F289" s="58" t="n"/>
      <c r="G289" s="58" t="n"/>
      <c r="H289" s="59" t="n"/>
      <c r="I289" s="57" t="str">
        <f>IF(H289="","",IFERROR(INDEX(art_des,MATCH(H289,art_ref,0))&amp;"","Article inconnu"))</f>
        <v/>
      </c>
      <c r="J289" s="60" t="str">
        <f>IF(H289="","",IFERROR(INDEX(art_unit,MATCH(H289,art_ref,0))&amp;"",""))</f>
        <v/>
      </c>
      <c r="K289" s="59" t="n"/>
      <c r="L289" s="59" t="n"/>
      <c r="M289" s="61" t="str">
        <f>IF(OR(B289="",NOT(ISNUMBER(K289)),NOT(ISNUMBER(L289))),"",IF(OR(K289&lt;=0,L289&lt;=0),"",ROUND(L289-K289,6)))</f>
        <v/>
      </c>
      <c r="N289" s="58" t="n"/>
      <c r="O289" s="62" t="n"/>
      <c r="P289" s="63" t="str">
        <f>IF(OR(B289="",NOT(ISNUMBER(L289))),"",IF(L289&lt;=0,"",IFERROR(ROUND(L289*N(INDEX(art_w,MATCH(H289,art_ref,0))),3),"")))</f>
        <v/>
      </c>
      <c r="Q289" s="59" t="n"/>
      <c r="R289" s="54" t="n"/>
      <c r="S289" s="59" t="n"/>
      <c r="T289" s="59" t="n"/>
      <c r="U289" s="64" t="str">
        <f>IF(OR(B289="",H289=""),"",IFERROR(IF(A289="BL",IF(N(INDEX(art_price,MATCH(H289,art_ref,0)))=0,"",N(INDEX(art_price,MATCH(H289,art_ref,0)))),IF(N(INDEX(art_cost,MATCH(H289,art_ref,0)))=0,"",N(INDEX(art_cost,MATCH(H289,art_ref,0))))),""))</f>
        <v/>
      </c>
      <c r="V289" s="64" t="str">
        <f>IF(OR(U289="",NOT(ISNUMBER(L289))),"",IF(L289&lt;=0,"",ROUND(L289*U289,2)))</f>
        <v/>
      </c>
      <c r="W289" s="60" t="str">
        <f>IF(AND(B289&lt;&gt;"",A289&lt;&gt;"BS",F289&lt;&gt;"",H289&lt;&gt;"",ISNUMBER(K289),ISNUMBER(L289)),IF(AND(K289&gt;0,L289&gt;0,K289-L289&gt;0,COUNTIFS(A290:A$2005,A289,F290:F$2005,F289,H290:H$2005,H289,AA290:AA$2005,"&gt;0")=0),ROUND(K289-L289,6),""),"")</f>
        <v/>
      </c>
      <c r="X289" s="60" t="str">
        <f>IF(AND(A289="",C289="",D289="",H289="",L289=""),"",IF(A289="","Type manquant",IF(AND(A289&lt;&gt;"BL",A289&lt;&gt;"BR",A289&lt;&gt;"BS"),"Type inconnu (BL, BR ou BS)",IF(AG289=0,"Date manquante ou invalide",IF(D289="",IF(A289="BL","Client manquant",IF(A289="BR","Fournisseur manquant","Service manquant")),IF(IF(A289="BL",ISNA(MATCH(D289,cl_code,0)),IF(A289="BR",ISNA(MATCH(D289,fo_code,0)),ISNA(MATCH(D289,p_services,0)))),IF(A289="BL","Client inconnu",IF(A289="BR","Fournisseur inconnu","Service inconnu")),IF(H289="","Article manquant",IF(ISNA(MATCH(H289,art_ref,0)),"Article inconnu",IF(OR(NOT(ISNUMBER(L289)),N(L289)&lt;=0),"Quantité invalide",IF(AND(K289&lt;&gt;"",OR(NOT(ISNUMBER(K289)),N(K289)&lt;=0)),"Qté commandée invalide",IF(AG289&lt;SUMPRODUCT(MAX((A$6:A288=A289)*AG$6:AG288)),"Date antérieure au bon précédent",IF(AND(A289&lt;&gt;"BR",ISNUMBER(M289),N(M289)&gt;0),IF(A289="BL","Livré plus que commandé","Sorti plus que demandé"),"OK"))))))))))))</f>
        <v/>
      </c>
      <c r="Y289" s="57" t="str">
        <f>IF(AND(OR(A289="BL",A289="BR",A289="BS"),AG289&gt;0,D289&lt;&gt;""),A289&amp;"|"&amp;AG289&amp;"|"&amp;D289&amp;"|"&amp;F289,"")</f>
        <v/>
      </c>
      <c r="Z289" s="57" t="str">
        <f>IF(Y289="","",IF(COUNTIF(Y$6:Y288,Y289)=0,1,0))</f>
        <v/>
      </c>
      <c r="AA289" s="57" t="str">
        <f>IF(Y289="","",IF(Z289=1,COUNTIFS(A$6:A289,A289,Z$6:Z289,1),INDEX(AA$6:AA288,MATCH(Y289,Y$6:Y288,0))))</f>
        <v/>
      </c>
      <c r="AB289" s="57" t="str">
        <f>IF(B289="","",COUNTIF(B$6:B289,B289))</f>
        <v/>
      </c>
      <c r="AC289" s="57" t="str">
        <f>IF(B289="","",B289&amp;"#"&amp;AB289)</f>
        <v/>
      </c>
      <c r="AD289" s="57" t="str">
        <f>IF(Z289=1,A289&amp;AA289,"")</f>
        <v/>
      </c>
      <c r="AE289" s="57" t="str">
        <f>IF(B289="","",YEAR(C289))</f>
        <v/>
      </c>
      <c r="AF289" s="57" t="str">
        <f>IF(B289="","",MONTH(C289))</f>
        <v/>
      </c>
      <c r="AG289" s="57">
        <f>IF(ISNUMBER(C289),C289,0)</f>
        <v>0.0</v>
      </c>
      <c r="AH289" s="57" t="str">
        <f>IF(N(W289)&gt;0,COUNTIF(W$6:W289,"&gt;0"),"")</f>
        <v/>
      </c>
      <c r="AI289" s="57" t="str">
        <f>IF(Z289=1,COUNTIF(Z$6:Z289,1),"")</f>
        <v/>
      </c>
    </row>
    <row r="290">
      <c r="A290" s="54" t="n"/>
      <c r="B290" s="55" t="str">
        <f>IF(AA290="","",A290&amp;"-"&amp;RIGHT("000"&amp;AA290,4))</f>
        <v/>
      </c>
      <c r="C290" s="56" t="n"/>
      <c r="D290" s="54" t="n"/>
      <c r="E290" s="57" t="str">
        <f>IF(D290="","",IF(A290="BL",IFERROR(INDEX(cl_name,MATCH(D290,cl_code,0))&amp;"","Client inconnu"),IF(A290="BR",IFERROR(INDEX(fo_name,MATCH(D290,fo_code,0))&amp;"","Fournisseur inconnu"),IF(A290="BS",IF(ISNA(MATCH(D290,p_services,0)),"Service inconnu",D290&amp;""),""))))</f>
        <v/>
      </c>
      <c r="F290" s="58" t="n"/>
      <c r="G290" s="58" t="n"/>
      <c r="H290" s="59" t="n"/>
      <c r="I290" s="57" t="str">
        <f>IF(H290="","",IFERROR(INDEX(art_des,MATCH(H290,art_ref,0))&amp;"","Article inconnu"))</f>
        <v/>
      </c>
      <c r="J290" s="60" t="str">
        <f>IF(H290="","",IFERROR(INDEX(art_unit,MATCH(H290,art_ref,0))&amp;"",""))</f>
        <v/>
      </c>
      <c r="K290" s="59" t="n"/>
      <c r="L290" s="59" t="n"/>
      <c r="M290" s="61" t="str">
        <f>IF(OR(B290="",NOT(ISNUMBER(K290)),NOT(ISNUMBER(L290))),"",IF(OR(K290&lt;=0,L290&lt;=0),"",ROUND(L290-K290,6)))</f>
        <v/>
      </c>
      <c r="N290" s="58" t="n"/>
      <c r="O290" s="62" t="n"/>
      <c r="P290" s="63" t="str">
        <f>IF(OR(B290="",NOT(ISNUMBER(L290))),"",IF(L290&lt;=0,"",IFERROR(ROUND(L290*N(INDEX(art_w,MATCH(H290,art_ref,0))),3),"")))</f>
        <v/>
      </c>
      <c r="Q290" s="59" t="n"/>
      <c r="R290" s="54" t="n"/>
      <c r="S290" s="59" t="n"/>
      <c r="T290" s="59" t="n"/>
      <c r="U290" s="64" t="str">
        <f>IF(OR(B290="",H290=""),"",IFERROR(IF(A290="BL",IF(N(INDEX(art_price,MATCH(H290,art_ref,0)))=0,"",N(INDEX(art_price,MATCH(H290,art_ref,0)))),IF(N(INDEX(art_cost,MATCH(H290,art_ref,0)))=0,"",N(INDEX(art_cost,MATCH(H290,art_ref,0))))),""))</f>
        <v/>
      </c>
      <c r="V290" s="64" t="str">
        <f>IF(OR(U290="",NOT(ISNUMBER(L290))),"",IF(L290&lt;=0,"",ROUND(L290*U290,2)))</f>
        <v/>
      </c>
      <c r="W290" s="60" t="str">
        <f>IF(AND(B290&lt;&gt;"",A290&lt;&gt;"BS",F290&lt;&gt;"",H290&lt;&gt;"",ISNUMBER(K290),ISNUMBER(L290)),IF(AND(K290&gt;0,L290&gt;0,K290-L290&gt;0,COUNTIFS(A291:A$2005,A290,F291:F$2005,F290,H291:H$2005,H290,AA291:AA$2005,"&gt;0")=0),ROUND(K290-L290,6),""),"")</f>
        <v/>
      </c>
      <c r="X290" s="60" t="str">
        <f>IF(AND(A290="",C290="",D290="",H290="",L290=""),"",IF(A290="","Type manquant",IF(AND(A290&lt;&gt;"BL",A290&lt;&gt;"BR",A290&lt;&gt;"BS"),"Type inconnu (BL, BR ou BS)",IF(AG290=0,"Date manquante ou invalide",IF(D290="",IF(A290="BL","Client manquant",IF(A290="BR","Fournisseur manquant","Service manquant")),IF(IF(A290="BL",ISNA(MATCH(D290,cl_code,0)),IF(A290="BR",ISNA(MATCH(D290,fo_code,0)),ISNA(MATCH(D290,p_services,0)))),IF(A290="BL","Client inconnu",IF(A290="BR","Fournisseur inconnu","Service inconnu")),IF(H290="","Article manquant",IF(ISNA(MATCH(H290,art_ref,0)),"Article inconnu",IF(OR(NOT(ISNUMBER(L290)),N(L290)&lt;=0),"Quantité invalide",IF(AND(K290&lt;&gt;"",OR(NOT(ISNUMBER(K290)),N(K290)&lt;=0)),"Qté commandée invalide",IF(AG290&lt;SUMPRODUCT(MAX((A$6:A289=A290)*AG$6:AG289)),"Date antérieure au bon précédent",IF(AND(A290&lt;&gt;"BR",ISNUMBER(M290),N(M290)&gt;0),IF(A290="BL","Livré plus que commandé","Sorti plus que demandé"),"OK"))))))))))))</f>
        <v/>
      </c>
      <c r="Y290" s="57" t="str">
        <f>IF(AND(OR(A290="BL",A290="BR",A290="BS"),AG290&gt;0,D290&lt;&gt;""),A290&amp;"|"&amp;AG290&amp;"|"&amp;D290&amp;"|"&amp;F290,"")</f>
        <v/>
      </c>
      <c r="Z290" s="57" t="str">
        <f>IF(Y290="","",IF(COUNTIF(Y$6:Y289,Y290)=0,1,0))</f>
        <v/>
      </c>
      <c r="AA290" s="57" t="str">
        <f>IF(Y290="","",IF(Z290=1,COUNTIFS(A$6:A290,A290,Z$6:Z290,1),INDEX(AA$6:AA289,MATCH(Y290,Y$6:Y289,0))))</f>
        <v/>
      </c>
      <c r="AB290" s="57" t="str">
        <f>IF(B290="","",COUNTIF(B$6:B290,B290))</f>
        <v/>
      </c>
      <c r="AC290" s="57" t="str">
        <f>IF(B290="","",B290&amp;"#"&amp;AB290)</f>
        <v/>
      </c>
      <c r="AD290" s="57" t="str">
        <f>IF(Z290=1,A290&amp;AA290,"")</f>
        <v/>
      </c>
      <c r="AE290" s="57" t="str">
        <f>IF(B290="","",YEAR(C290))</f>
        <v/>
      </c>
      <c r="AF290" s="57" t="str">
        <f>IF(B290="","",MONTH(C290))</f>
        <v/>
      </c>
      <c r="AG290" s="57">
        <f>IF(ISNUMBER(C290),C290,0)</f>
        <v>0.0</v>
      </c>
      <c r="AH290" s="57" t="str">
        <f>IF(N(W290)&gt;0,COUNTIF(W$6:W290,"&gt;0"),"")</f>
        <v/>
      </c>
      <c r="AI290" s="57" t="str">
        <f>IF(Z290=1,COUNTIF(Z$6:Z290,1),"")</f>
        <v/>
      </c>
    </row>
    <row r="291">
      <c r="A291" s="54" t="n"/>
      <c r="B291" s="55" t="str">
        <f>IF(AA291="","",A291&amp;"-"&amp;RIGHT("000"&amp;AA291,4))</f>
        <v/>
      </c>
      <c r="C291" s="56" t="n"/>
      <c r="D291" s="54" t="n"/>
      <c r="E291" s="57" t="str">
        <f>IF(D291="","",IF(A291="BL",IFERROR(INDEX(cl_name,MATCH(D291,cl_code,0))&amp;"","Client inconnu"),IF(A291="BR",IFERROR(INDEX(fo_name,MATCH(D291,fo_code,0))&amp;"","Fournisseur inconnu"),IF(A291="BS",IF(ISNA(MATCH(D291,p_services,0)),"Service inconnu",D291&amp;""),""))))</f>
        <v/>
      </c>
      <c r="F291" s="58" t="n"/>
      <c r="G291" s="58" t="n"/>
      <c r="H291" s="59" t="n"/>
      <c r="I291" s="57" t="str">
        <f>IF(H291="","",IFERROR(INDEX(art_des,MATCH(H291,art_ref,0))&amp;"","Article inconnu"))</f>
        <v/>
      </c>
      <c r="J291" s="60" t="str">
        <f>IF(H291="","",IFERROR(INDEX(art_unit,MATCH(H291,art_ref,0))&amp;"",""))</f>
        <v/>
      </c>
      <c r="K291" s="59" t="n"/>
      <c r="L291" s="59" t="n"/>
      <c r="M291" s="61" t="str">
        <f>IF(OR(B291="",NOT(ISNUMBER(K291)),NOT(ISNUMBER(L291))),"",IF(OR(K291&lt;=0,L291&lt;=0),"",ROUND(L291-K291,6)))</f>
        <v/>
      </c>
      <c r="N291" s="58" t="n"/>
      <c r="O291" s="62" t="n"/>
      <c r="P291" s="63" t="str">
        <f>IF(OR(B291="",NOT(ISNUMBER(L291))),"",IF(L291&lt;=0,"",IFERROR(ROUND(L291*N(INDEX(art_w,MATCH(H291,art_ref,0))),3),"")))</f>
        <v/>
      </c>
      <c r="Q291" s="59" t="n"/>
      <c r="R291" s="54" t="n"/>
      <c r="S291" s="59" t="n"/>
      <c r="T291" s="59" t="n"/>
      <c r="U291" s="64" t="str">
        <f>IF(OR(B291="",H291=""),"",IFERROR(IF(A291="BL",IF(N(INDEX(art_price,MATCH(H291,art_ref,0)))=0,"",N(INDEX(art_price,MATCH(H291,art_ref,0)))),IF(N(INDEX(art_cost,MATCH(H291,art_ref,0)))=0,"",N(INDEX(art_cost,MATCH(H291,art_ref,0))))),""))</f>
        <v/>
      </c>
      <c r="V291" s="64" t="str">
        <f>IF(OR(U291="",NOT(ISNUMBER(L291))),"",IF(L291&lt;=0,"",ROUND(L291*U291,2)))</f>
        <v/>
      </c>
      <c r="W291" s="60" t="str">
        <f>IF(AND(B291&lt;&gt;"",A291&lt;&gt;"BS",F291&lt;&gt;"",H291&lt;&gt;"",ISNUMBER(K291),ISNUMBER(L291)),IF(AND(K291&gt;0,L291&gt;0,K291-L291&gt;0,COUNTIFS(A292:A$2005,A291,F292:F$2005,F291,H292:H$2005,H291,AA292:AA$2005,"&gt;0")=0),ROUND(K291-L291,6),""),"")</f>
        <v/>
      </c>
      <c r="X291" s="60" t="str">
        <f>IF(AND(A291="",C291="",D291="",H291="",L291=""),"",IF(A291="","Type manquant",IF(AND(A291&lt;&gt;"BL",A291&lt;&gt;"BR",A291&lt;&gt;"BS"),"Type inconnu (BL, BR ou BS)",IF(AG291=0,"Date manquante ou invalide",IF(D291="",IF(A291="BL","Client manquant",IF(A291="BR","Fournisseur manquant","Service manquant")),IF(IF(A291="BL",ISNA(MATCH(D291,cl_code,0)),IF(A291="BR",ISNA(MATCH(D291,fo_code,0)),ISNA(MATCH(D291,p_services,0)))),IF(A291="BL","Client inconnu",IF(A291="BR","Fournisseur inconnu","Service inconnu")),IF(H291="","Article manquant",IF(ISNA(MATCH(H291,art_ref,0)),"Article inconnu",IF(OR(NOT(ISNUMBER(L291)),N(L291)&lt;=0),"Quantité invalide",IF(AND(K291&lt;&gt;"",OR(NOT(ISNUMBER(K291)),N(K291)&lt;=0)),"Qté commandée invalide",IF(AG291&lt;SUMPRODUCT(MAX((A$6:A290=A291)*AG$6:AG290)),"Date antérieure au bon précédent",IF(AND(A291&lt;&gt;"BR",ISNUMBER(M291),N(M291)&gt;0),IF(A291="BL","Livré plus que commandé","Sorti plus que demandé"),"OK"))))))))))))</f>
        <v/>
      </c>
      <c r="Y291" s="57" t="str">
        <f>IF(AND(OR(A291="BL",A291="BR",A291="BS"),AG291&gt;0,D291&lt;&gt;""),A291&amp;"|"&amp;AG291&amp;"|"&amp;D291&amp;"|"&amp;F291,"")</f>
        <v/>
      </c>
      <c r="Z291" s="57" t="str">
        <f>IF(Y291="","",IF(COUNTIF(Y$6:Y290,Y291)=0,1,0))</f>
        <v/>
      </c>
      <c r="AA291" s="57" t="str">
        <f>IF(Y291="","",IF(Z291=1,COUNTIFS(A$6:A291,A291,Z$6:Z291,1),INDEX(AA$6:AA290,MATCH(Y291,Y$6:Y290,0))))</f>
        <v/>
      </c>
      <c r="AB291" s="57" t="str">
        <f>IF(B291="","",COUNTIF(B$6:B291,B291))</f>
        <v/>
      </c>
      <c r="AC291" s="57" t="str">
        <f>IF(B291="","",B291&amp;"#"&amp;AB291)</f>
        <v/>
      </c>
      <c r="AD291" s="57" t="str">
        <f>IF(Z291=1,A291&amp;AA291,"")</f>
        <v/>
      </c>
      <c r="AE291" s="57" t="str">
        <f>IF(B291="","",YEAR(C291))</f>
        <v/>
      </c>
      <c r="AF291" s="57" t="str">
        <f>IF(B291="","",MONTH(C291))</f>
        <v/>
      </c>
      <c r="AG291" s="57">
        <f>IF(ISNUMBER(C291),C291,0)</f>
        <v>0.0</v>
      </c>
      <c r="AH291" s="57" t="str">
        <f>IF(N(W291)&gt;0,COUNTIF(W$6:W291,"&gt;0"),"")</f>
        <v/>
      </c>
      <c r="AI291" s="57" t="str">
        <f>IF(Z291=1,COUNTIF(Z$6:Z291,1),"")</f>
        <v/>
      </c>
    </row>
    <row r="292">
      <c r="A292" s="54" t="n"/>
      <c r="B292" s="55" t="str">
        <f>IF(AA292="","",A292&amp;"-"&amp;RIGHT("000"&amp;AA292,4))</f>
        <v/>
      </c>
      <c r="C292" s="56" t="n"/>
      <c r="D292" s="54" t="n"/>
      <c r="E292" s="57" t="str">
        <f>IF(D292="","",IF(A292="BL",IFERROR(INDEX(cl_name,MATCH(D292,cl_code,0))&amp;"","Client inconnu"),IF(A292="BR",IFERROR(INDEX(fo_name,MATCH(D292,fo_code,0))&amp;"","Fournisseur inconnu"),IF(A292="BS",IF(ISNA(MATCH(D292,p_services,0)),"Service inconnu",D292&amp;""),""))))</f>
        <v/>
      </c>
      <c r="F292" s="58" t="n"/>
      <c r="G292" s="58" t="n"/>
      <c r="H292" s="59" t="n"/>
      <c r="I292" s="57" t="str">
        <f>IF(H292="","",IFERROR(INDEX(art_des,MATCH(H292,art_ref,0))&amp;"","Article inconnu"))</f>
        <v/>
      </c>
      <c r="J292" s="60" t="str">
        <f>IF(H292="","",IFERROR(INDEX(art_unit,MATCH(H292,art_ref,0))&amp;"",""))</f>
        <v/>
      </c>
      <c r="K292" s="59" t="n"/>
      <c r="L292" s="59" t="n"/>
      <c r="M292" s="61" t="str">
        <f>IF(OR(B292="",NOT(ISNUMBER(K292)),NOT(ISNUMBER(L292))),"",IF(OR(K292&lt;=0,L292&lt;=0),"",ROUND(L292-K292,6)))</f>
        <v/>
      </c>
      <c r="N292" s="58" t="n"/>
      <c r="O292" s="62" t="n"/>
      <c r="P292" s="63" t="str">
        <f>IF(OR(B292="",NOT(ISNUMBER(L292))),"",IF(L292&lt;=0,"",IFERROR(ROUND(L292*N(INDEX(art_w,MATCH(H292,art_ref,0))),3),"")))</f>
        <v/>
      </c>
      <c r="Q292" s="59" t="n"/>
      <c r="R292" s="54" t="n"/>
      <c r="S292" s="59" t="n"/>
      <c r="T292" s="59" t="n"/>
      <c r="U292" s="64" t="str">
        <f>IF(OR(B292="",H292=""),"",IFERROR(IF(A292="BL",IF(N(INDEX(art_price,MATCH(H292,art_ref,0)))=0,"",N(INDEX(art_price,MATCH(H292,art_ref,0)))),IF(N(INDEX(art_cost,MATCH(H292,art_ref,0)))=0,"",N(INDEX(art_cost,MATCH(H292,art_ref,0))))),""))</f>
        <v/>
      </c>
      <c r="V292" s="64" t="str">
        <f>IF(OR(U292="",NOT(ISNUMBER(L292))),"",IF(L292&lt;=0,"",ROUND(L292*U292,2)))</f>
        <v/>
      </c>
      <c r="W292" s="60" t="str">
        <f>IF(AND(B292&lt;&gt;"",A292&lt;&gt;"BS",F292&lt;&gt;"",H292&lt;&gt;"",ISNUMBER(K292),ISNUMBER(L292)),IF(AND(K292&gt;0,L292&gt;0,K292-L292&gt;0,COUNTIFS(A293:A$2005,A292,F293:F$2005,F292,H293:H$2005,H292,AA293:AA$2005,"&gt;0")=0),ROUND(K292-L292,6),""),"")</f>
        <v/>
      </c>
      <c r="X292" s="60" t="str">
        <f>IF(AND(A292="",C292="",D292="",H292="",L292=""),"",IF(A292="","Type manquant",IF(AND(A292&lt;&gt;"BL",A292&lt;&gt;"BR",A292&lt;&gt;"BS"),"Type inconnu (BL, BR ou BS)",IF(AG292=0,"Date manquante ou invalide",IF(D292="",IF(A292="BL","Client manquant",IF(A292="BR","Fournisseur manquant","Service manquant")),IF(IF(A292="BL",ISNA(MATCH(D292,cl_code,0)),IF(A292="BR",ISNA(MATCH(D292,fo_code,0)),ISNA(MATCH(D292,p_services,0)))),IF(A292="BL","Client inconnu",IF(A292="BR","Fournisseur inconnu","Service inconnu")),IF(H292="","Article manquant",IF(ISNA(MATCH(H292,art_ref,0)),"Article inconnu",IF(OR(NOT(ISNUMBER(L292)),N(L292)&lt;=0),"Quantité invalide",IF(AND(K292&lt;&gt;"",OR(NOT(ISNUMBER(K292)),N(K292)&lt;=0)),"Qté commandée invalide",IF(AG292&lt;SUMPRODUCT(MAX((A$6:A291=A292)*AG$6:AG291)),"Date antérieure au bon précédent",IF(AND(A292&lt;&gt;"BR",ISNUMBER(M292),N(M292)&gt;0),IF(A292="BL","Livré plus que commandé","Sorti plus que demandé"),"OK"))))))))))))</f>
        <v/>
      </c>
      <c r="Y292" s="57" t="str">
        <f>IF(AND(OR(A292="BL",A292="BR",A292="BS"),AG292&gt;0,D292&lt;&gt;""),A292&amp;"|"&amp;AG292&amp;"|"&amp;D292&amp;"|"&amp;F292,"")</f>
        <v/>
      </c>
      <c r="Z292" s="57" t="str">
        <f>IF(Y292="","",IF(COUNTIF(Y$6:Y291,Y292)=0,1,0))</f>
        <v/>
      </c>
      <c r="AA292" s="57" t="str">
        <f>IF(Y292="","",IF(Z292=1,COUNTIFS(A$6:A292,A292,Z$6:Z292,1),INDEX(AA$6:AA291,MATCH(Y292,Y$6:Y291,0))))</f>
        <v/>
      </c>
      <c r="AB292" s="57" t="str">
        <f>IF(B292="","",COUNTIF(B$6:B292,B292))</f>
        <v/>
      </c>
      <c r="AC292" s="57" t="str">
        <f>IF(B292="","",B292&amp;"#"&amp;AB292)</f>
        <v/>
      </c>
      <c r="AD292" s="57" t="str">
        <f>IF(Z292=1,A292&amp;AA292,"")</f>
        <v/>
      </c>
      <c r="AE292" s="57" t="str">
        <f>IF(B292="","",YEAR(C292))</f>
        <v/>
      </c>
      <c r="AF292" s="57" t="str">
        <f>IF(B292="","",MONTH(C292))</f>
        <v/>
      </c>
      <c r="AG292" s="57">
        <f>IF(ISNUMBER(C292),C292,0)</f>
        <v>0.0</v>
      </c>
      <c r="AH292" s="57" t="str">
        <f>IF(N(W292)&gt;0,COUNTIF(W$6:W292,"&gt;0"),"")</f>
        <v/>
      </c>
      <c r="AI292" s="57" t="str">
        <f>IF(Z292=1,COUNTIF(Z$6:Z292,1),"")</f>
        <v/>
      </c>
    </row>
    <row r="293">
      <c r="A293" s="54" t="n"/>
      <c r="B293" s="55" t="str">
        <f>IF(AA293="","",A293&amp;"-"&amp;RIGHT("000"&amp;AA293,4))</f>
        <v/>
      </c>
      <c r="C293" s="56" t="n"/>
      <c r="D293" s="54" t="n"/>
      <c r="E293" s="57" t="str">
        <f>IF(D293="","",IF(A293="BL",IFERROR(INDEX(cl_name,MATCH(D293,cl_code,0))&amp;"","Client inconnu"),IF(A293="BR",IFERROR(INDEX(fo_name,MATCH(D293,fo_code,0))&amp;"","Fournisseur inconnu"),IF(A293="BS",IF(ISNA(MATCH(D293,p_services,0)),"Service inconnu",D293&amp;""),""))))</f>
        <v/>
      </c>
      <c r="F293" s="58" t="n"/>
      <c r="G293" s="58" t="n"/>
      <c r="H293" s="59" t="n"/>
      <c r="I293" s="57" t="str">
        <f>IF(H293="","",IFERROR(INDEX(art_des,MATCH(H293,art_ref,0))&amp;"","Article inconnu"))</f>
        <v/>
      </c>
      <c r="J293" s="60" t="str">
        <f>IF(H293="","",IFERROR(INDEX(art_unit,MATCH(H293,art_ref,0))&amp;"",""))</f>
        <v/>
      </c>
      <c r="K293" s="59" t="n"/>
      <c r="L293" s="59" t="n"/>
      <c r="M293" s="61" t="str">
        <f>IF(OR(B293="",NOT(ISNUMBER(K293)),NOT(ISNUMBER(L293))),"",IF(OR(K293&lt;=0,L293&lt;=0),"",ROUND(L293-K293,6)))</f>
        <v/>
      </c>
      <c r="N293" s="58" t="n"/>
      <c r="O293" s="62" t="n"/>
      <c r="P293" s="63" t="str">
        <f>IF(OR(B293="",NOT(ISNUMBER(L293))),"",IF(L293&lt;=0,"",IFERROR(ROUND(L293*N(INDEX(art_w,MATCH(H293,art_ref,0))),3),"")))</f>
        <v/>
      </c>
      <c r="Q293" s="59" t="n"/>
      <c r="R293" s="54" t="n"/>
      <c r="S293" s="59" t="n"/>
      <c r="T293" s="59" t="n"/>
      <c r="U293" s="64" t="str">
        <f>IF(OR(B293="",H293=""),"",IFERROR(IF(A293="BL",IF(N(INDEX(art_price,MATCH(H293,art_ref,0)))=0,"",N(INDEX(art_price,MATCH(H293,art_ref,0)))),IF(N(INDEX(art_cost,MATCH(H293,art_ref,0)))=0,"",N(INDEX(art_cost,MATCH(H293,art_ref,0))))),""))</f>
        <v/>
      </c>
      <c r="V293" s="64" t="str">
        <f>IF(OR(U293="",NOT(ISNUMBER(L293))),"",IF(L293&lt;=0,"",ROUND(L293*U293,2)))</f>
        <v/>
      </c>
      <c r="W293" s="60" t="str">
        <f>IF(AND(B293&lt;&gt;"",A293&lt;&gt;"BS",F293&lt;&gt;"",H293&lt;&gt;"",ISNUMBER(K293),ISNUMBER(L293)),IF(AND(K293&gt;0,L293&gt;0,K293-L293&gt;0,COUNTIFS(A294:A$2005,A293,F294:F$2005,F293,H294:H$2005,H293,AA294:AA$2005,"&gt;0")=0),ROUND(K293-L293,6),""),"")</f>
        <v/>
      </c>
      <c r="X293" s="60" t="str">
        <f>IF(AND(A293="",C293="",D293="",H293="",L293=""),"",IF(A293="","Type manquant",IF(AND(A293&lt;&gt;"BL",A293&lt;&gt;"BR",A293&lt;&gt;"BS"),"Type inconnu (BL, BR ou BS)",IF(AG293=0,"Date manquante ou invalide",IF(D293="",IF(A293="BL","Client manquant",IF(A293="BR","Fournisseur manquant","Service manquant")),IF(IF(A293="BL",ISNA(MATCH(D293,cl_code,0)),IF(A293="BR",ISNA(MATCH(D293,fo_code,0)),ISNA(MATCH(D293,p_services,0)))),IF(A293="BL","Client inconnu",IF(A293="BR","Fournisseur inconnu","Service inconnu")),IF(H293="","Article manquant",IF(ISNA(MATCH(H293,art_ref,0)),"Article inconnu",IF(OR(NOT(ISNUMBER(L293)),N(L293)&lt;=0),"Quantité invalide",IF(AND(K293&lt;&gt;"",OR(NOT(ISNUMBER(K293)),N(K293)&lt;=0)),"Qté commandée invalide",IF(AG293&lt;SUMPRODUCT(MAX((A$6:A292=A293)*AG$6:AG292)),"Date antérieure au bon précédent",IF(AND(A293&lt;&gt;"BR",ISNUMBER(M293),N(M293)&gt;0),IF(A293="BL","Livré plus que commandé","Sorti plus que demandé"),"OK"))))))))))))</f>
        <v/>
      </c>
      <c r="Y293" s="57" t="str">
        <f>IF(AND(OR(A293="BL",A293="BR",A293="BS"),AG293&gt;0,D293&lt;&gt;""),A293&amp;"|"&amp;AG293&amp;"|"&amp;D293&amp;"|"&amp;F293,"")</f>
        <v/>
      </c>
      <c r="Z293" s="57" t="str">
        <f>IF(Y293="","",IF(COUNTIF(Y$6:Y292,Y293)=0,1,0))</f>
        <v/>
      </c>
      <c r="AA293" s="57" t="str">
        <f>IF(Y293="","",IF(Z293=1,COUNTIFS(A$6:A293,A293,Z$6:Z293,1),INDEX(AA$6:AA292,MATCH(Y293,Y$6:Y292,0))))</f>
        <v/>
      </c>
      <c r="AB293" s="57" t="str">
        <f>IF(B293="","",COUNTIF(B$6:B293,B293))</f>
        <v/>
      </c>
      <c r="AC293" s="57" t="str">
        <f>IF(B293="","",B293&amp;"#"&amp;AB293)</f>
        <v/>
      </c>
      <c r="AD293" s="57" t="str">
        <f>IF(Z293=1,A293&amp;AA293,"")</f>
        <v/>
      </c>
      <c r="AE293" s="57" t="str">
        <f>IF(B293="","",YEAR(C293))</f>
        <v/>
      </c>
      <c r="AF293" s="57" t="str">
        <f>IF(B293="","",MONTH(C293))</f>
        <v/>
      </c>
      <c r="AG293" s="57">
        <f>IF(ISNUMBER(C293),C293,0)</f>
        <v>0.0</v>
      </c>
      <c r="AH293" s="57" t="str">
        <f>IF(N(W293)&gt;0,COUNTIF(W$6:W293,"&gt;0"),"")</f>
        <v/>
      </c>
      <c r="AI293" s="57" t="str">
        <f>IF(Z293=1,COUNTIF(Z$6:Z293,1),"")</f>
        <v/>
      </c>
    </row>
    <row r="294">
      <c r="A294" s="54" t="n"/>
      <c r="B294" s="55" t="str">
        <f>IF(AA294="","",A294&amp;"-"&amp;RIGHT("000"&amp;AA294,4))</f>
        <v/>
      </c>
      <c r="C294" s="56" t="n"/>
      <c r="D294" s="54" t="n"/>
      <c r="E294" s="57" t="str">
        <f>IF(D294="","",IF(A294="BL",IFERROR(INDEX(cl_name,MATCH(D294,cl_code,0))&amp;"","Client inconnu"),IF(A294="BR",IFERROR(INDEX(fo_name,MATCH(D294,fo_code,0))&amp;"","Fournisseur inconnu"),IF(A294="BS",IF(ISNA(MATCH(D294,p_services,0)),"Service inconnu",D294&amp;""),""))))</f>
        <v/>
      </c>
      <c r="F294" s="58" t="n"/>
      <c r="G294" s="58" t="n"/>
      <c r="H294" s="59" t="n"/>
      <c r="I294" s="57" t="str">
        <f>IF(H294="","",IFERROR(INDEX(art_des,MATCH(H294,art_ref,0))&amp;"","Article inconnu"))</f>
        <v/>
      </c>
      <c r="J294" s="60" t="str">
        <f>IF(H294="","",IFERROR(INDEX(art_unit,MATCH(H294,art_ref,0))&amp;"",""))</f>
        <v/>
      </c>
      <c r="K294" s="59" t="n"/>
      <c r="L294" s="59" t="n"/>
      <c r="M294" s="61" t="str">
        <f>IF(OR(B294="",NOT(ISNUMBER(K294)),NOT(ISNUMBER(L294))),"",IF(OR(K294&lt;=0,L294&lt;=0),"",ROUND(L294-K294,6)))</f>
        <v/>
      </c>
      <c r="N294" s="58" t="n"/>
      <c r="O294" s="62" t="n"/>
      <c r="P294" s="63" t="str">
        <f>IF(OR(B294="",NOT(ISNUMBER(L294))),"",IF(L294&lt;=0,"",IFERROR(ROUND(L294*N(INDEX(art_w,MATCH(H294,art_ref,0))),3),"")))</f>
        <v/>
      </c>
      <c r="Q294" s="59" t="n"/>
      <c r="R294" s="54" t="n"/>
      <c r="S294" s="59" t="n"/>
      <c r="T294" s="59" t="n"/>
      <c r="U294" s="64" t="str">
        <f>IF(OR(B294="",H294=""),"",IFERROR(IF(A294="BL",IF(N(INDEX(art_price,MATCH(H294,art_ref,0)))=0,"",N(INDEX(art_price,MATCH(H294,art_ref,0)))),IF(N(INDEX(art_cost,MATCH(H294,art_ref,0)))=0,"",N(INDEX(art_cost,MATCH(H294,art_ref,0))))),""))</f>
        <v/>
      </c>
      <c r="V294" s="64" t="str">
        <f>IF(OR(U294="",NOT(ISNUMBER(L294))),"",IF(L294&lt;=0,"",ROUND(L294*U294,2)))</f>
        <v/>
      </c>
      <c r="W294" s="60" t="str">
        <f>IF(AND(B294&lt;&gt;"",A294&lt;&gt;"BS",F294&lt;&gt;"",H294&lt;&gt;"",ISNUMBER(K294),ISNUMBER(L294)),IF(AND(K294&gt;0,L294&gt;0,K294-L294&gt;0,COUNTIFS(A295:A$2005,A294,F295:F$2005,F294,H295:H$2005,H294,AA295:AA$2005,"&gt;0")=0),ROUND(K294-L294,6),""),"")</f>
        <v/>
      </c>
      <c r="X294" s="60" t="str">
        <f>IF(AND(A294="",C294="",D294="",H294="",L294=""),"",IF(A294="","Type manquant",IF(AND(A294&lt;&gt;"BL",A294&lt;&gt;"BR",A294&lt;&gt;"BS"),"Type inconnu (BL, BR ou BS)",IF(AG294=0,"Date manquante ou invalide",IF(D294="",IF(A294="BL","Client manquant",IF(A294="BR","Fournisseur manquant","Service manquant")),IF(IF(A294="BL",ISNA(MATCH(D294,cl_code,0)),IF(A294="BR",ISNA(MATCH(D294,fo_code,0)),ISNA(MATCH(D294,p_services,0)))),IF(A294="BL","Client inconnu",IF(A294="BR","Fournisseur inconnu","Service inconnu")),IF(H294="","Article manquant",IF(ISNA(MATCH(H294,art_ref,0)),"Article inconnu",IF(OR(NOT(ISNUMBER(L294)),N(L294)&lt;=0),"Quantité invalide",IF(AND(K294&lt;&gt;"",OR(NOT(ISNUMBER(K294)),N(K294)&lt;=0)),"Qté commandée invalide",IF(AG294&lt;SUMPRODUCT(MAX((A$6:A293=A294)*AG$6:AG293)),"Date antérieure au bon précédent",IF(AND(A294&lt;&gt;"BR",ISNUMBER(M294),N(M294)&gt;0),IF(A294="BL","Livré plus que commandé","Sorti plus que demandé"),"OK"))))))))))))</f>
        <v/>
      </c>
      <c r="Y294" s="57" t="str">
        <f>IF(AND(OR(A294="BL",A294="BR",A294="BS"),AG294&gt;0,D294&lt;&gt;""),A294&amp;"|"&amp;AG294&amp;"|"&amp;D294&amp;"|"&amp;F294,"")</f>
        <v/>
      </c>
      <c r="Z294" s="57" t="str">
        <f>IF(Y294="","",IF(COUNTIF(Y$6:Y293,Y294)=0,1,0))</f>
        <v/>
      </c>
      <c r="AA294" s="57" t="str">
        <f>IF(Y294="","",IF(Z294=1,COUNTIFS(A$6:A294,A294,Z$6:Z294,1),INDEX(AA$6:AA293,MATCH(Y294,Y$6:Y293,0))))</f>
        <v/>
      </c>
      <c r="AB294" s="57" t="str">
        <f>IF(B294="","",COUNTIF(B$6:B294,B294))</f>
        <v/>
      </c>
      <c r="AC294" s="57" t="str">
        <f>IF(B294="","",B294&amp;"#"&amp;AB294)</f>
        <v/>
      </c>
      <c r="AD294" s="57" t="str">
        <f>IF(Z294=1,A294&amp;AA294,"")</f>
        <v/>
      </c>
      <c r="AE294" s="57" t="str">
        <f>IF(B294="","",YEAR(C294))</f>
        <v/>
      </c>
      <c r="AF294" s="57" t="str">
        <f>IF(B294="","",MONTH(C294))</f>
        <v/>
      </c>
      <c r="AG294" s="57">
        <f>IF(ISNUMBER(C294),C294,0)</f>
        <v>0.0</v>
      </c>
      <c r="AH294" s="57" t="str">
        <f>IF(N(W294)&gt;0,COUNTIF(W$6:W294,"&gt;0"),"")</f>
        <v/>
      </c>
      <c r="AI294" s="57" t="str">
        <f>IF(Z294=1,COUNTIF(Z$6:Z294,1),"")</f>
        <v/>
      </c>
    </row>
    <row r="295">
      <c r="A295" s="54" t="n"/>
      <c r="B295" s="55" t="str">
        <f>IF(AA295="","",A295&amp;"-"&amp;RIGHT("000"&amp;AA295,4))</f>
        <v/>
      </c>
      <c r="C295" s="56" t="n"/>
      <c r="D295" s="54" t="n"/>
      <c r="E295" s="57" t="str">
        <f>IF(D295="","",IF(A295="BL",IFERROR(INDEX(cl_name,MATCH(D295,cl_code,0))&amp;"","Client inconnu"),IF(A295="BR",IFERROR(INDEX(fo_name,MATCH(D295,fo_code,0))&amp;"","Fournisseur inconnu"),IF(A295="BS",IF(ISNA(MATCH(D295,p_services,0)),"Service inconnu",D295&amp;""),""))))</f>
        <v/>
      </c>
      <c r="F295" s="58" t="n"/>
      <c r="G295" s="58" t="n"/>
      <c r="H295" s="59" t="n"/>
      <c r="I295" s="57" t="str">
        <f>IF(H295="","",IFERROR(INDEX(art_des,MATCH(H295,art_ref,0))&amp;"","Article inconnu"))</f>
        <v/>
      </c>
      <c r="J295" s="60" t="str">
        <f>IF(H295="","",IFERROR(INDEX(art_unit,MATCH(H295,art_ref,0))&amp;"",""))</f>
        <v/>
      </c>
      <c r="K295" s="59" t="n"/>
      <c r="L295" s="59" t="n"/>
      <c r="M295" s="61" t="str">
        <f>IF(OR(B295="",NOT(ISNUMBER(K295)),NOT(ISNUMBER(L295))),"",IF(OR(K295&lt;=0,L295&lt;=0),"",ROUND(L295-K295,6)))</f>
        <v/>
      </c>
      <c r="N295" s="58" t="n"/>
      <c r="O295" s="62" t="n"/>
      <c r="P295" s="63" t="str">
        <f>IF(OR(B295="",NOT(ISNUMBER(L295))),"",IF(L295&lt;=0,"",IFERROR(ROUND(L295*N(INDEX(art_w,MATCH(H295,art_ref,0))),3),"")))</f>
        <v/>
      </c>
      <c r="Q295" s="59" t="n"/>
      <c r="R295" s="54" t="n"/>
      <c r="S295" s="59" t="n"/>
      <c r="T295" s="59" t="n"/>
      <c r="U295" s="64" t="str">
        <f>IF(OR(B295="",H295=""),"",IFERROR(IF(A295="BL",IF(N(INDEX(art_price,MATCH(H295,art_ref,0)))=0,"",N(INDEX(art_price,MATCH(H295,art_ref,0)))),IF(N(INDEX(art_cost,MATCH(H295,art_ref,0)))=0,"",N(INDEX(art_cost,MATCH(H295,art_ref,0))))),""))</f>
        <v/>
      </c>
      <c r="V295" s="64" t="str">
        <f>IF(OR(U295="",NOT(ISNUMBER(L295))),"",IF(L295&lt;=0,"",ROUND(L295*U295,2)))</f>
        <v/>
      </c>
      <c r="W295" s="60" t="str">
        <f>IF(AND(B295&lt;&gt;"",A295&lt;&gt;"BS",F295&lt;&gt;"",H295&lt;&gt;"",ISNUMBER(K295),ISNUMBER(L295)),IF(AND(K295&gt;0,L295&gt;0,K295-L295&gt;0,COUNTIFS(A296:A$2005,A295,F296:F$2005,F295,H296:H$2005,H295,AA296:AA$2005,"&gt;0")=0),ROUND(K295-L295,6),""),"")</f>
        <v/>
      </c>
      <c r="X295" s="60" t="str">
        <f>IF(AND(A295="",C295="",D295="",H295="",L295=""),"",IF(A295="","Type manquant",IF(AND(A295&lt;&gt;"BL",A295&lt;&gt;"BR",A295&lt;&gt;"BS"),"Type inconnu (BL, BR ou BS)",IF(AG295=0,"Date manquante ou invalide",IF(D295="",IF(A295="BL","Client manquant",IF(A295="BR","Fournisseur manquant","Service manquant")),IF(IF(A295="BL",ISNA(MATCH(D295,cl_code,0)),IF(A295="BR",ISNA(MATCH(D295,fo_code,0)),ISNA(MATCH(D295,p_services,0)))),IF(A295="BL","Client inconnu",IF(A295="BR","Fournisseur inconnu","Service inconnu")),IF(H295="","Article manquant",IF(ISNA(MATCH(H295,art_ref,0)),"Article inconnu",IF(OR(NOT(ISNUMBER(L295)),N(L295)&lt;=0),"Quantité invalide",IF(AND(K295&lt;&gt;"",OR(NOT(ISNUMBER(K295)),N(K295)&lt;=0)),"Qté commandée invalide",IF(AG295&lt;SUMPRODUCT(MAX((A$6:A294=A295)*AG$6:AG294)),"Date antérieure au bon précédent",IF(AND(A295&lt;&gt;"BR",ISNUMBER(M295),N(M295)&gt;0),IF(A295="BL","Livré plus que commandé","Sorti plus que demandé"),"OK"))))))))))))</f>
        <v/>
      </c>
      <c r="Y295" s="57" t="str">
        <f>IF(AND(OR(A295="BL",A295="BR",A295="BS"),AG295&gt;0,D295&lt;&gt;""),A295&amp;"|"&amp;AG295&amp;"|"&amp;D295&amp;"|"&amp;F295,"")</f>
        <v/>
      </c>
      <c r="Z295" s="57" t="str">
        <f>IF(Y295="","",IF(COUNTIF(Y$6:Y294,Y295)=0,1,0))</f>
        <v/>
      </c>
      <c r="AA295" s="57" t="str">
        <f>IF(Y295="","",IF(Z295=1,COUNTIFS(A$6:A295,A295,Z$6:Z295,1),INDEX(AA$6:AA294,MATCH(Y295,Y$6:Y294,0))))</f>
        <v/>
      </c>
      <c r="AB295" s="57" t="str">
        <f>IF(B295="","",COUNTIF(B$6:B295,B295))</f>
        <v/>
      </c>
      <c r="AC295" s="57" t="str">
        <f>IF(B295="","",B295&amp;"#"&amp;AB295)</f>
        <v/>
      </c>
      <c r="AD295" s="57" t="str">
        <f>IF(Z295=1,A295&amp;AA295,"")</f>
        <v/>
      </c>
      <c r="AE295" s="57" t="str">
        <f>IF(B295="","",YEAR(C295))</f>
        <v/>
      </c>
      <c r="AF295" s="57" t="str">
        <f>IF(B295="","",MONTH(C295))</f>
        <v/>
      </c>
      <c r="AG295" s="57">
        <f>IF(ISNUMBER(C295),C295,0)</f>
        <v>0.0</v>
      </c>
      <c r="AH295" s="57" t="str">
        <f>IF(N(W295)&gt;0,COUNTIF(W$6:W295,"&gt;0"),"")</f>
        <v/>
      </c>
      <c r="AI295" s="57" t="str">
        <f>IF(Z295=1,COUNTIF(Z$6:Z295,1),"")</f>
        <v/>
      </c>
    </row>
    <row r="296">
      <c r="A296" s="54" t="n"/>
      <c r="B296" s="55" t="str">
        <f>IF(AA296="","",A296&amp;"-"&amp;RIGHT("000"&amp;AA296,4))</f>
        <v/>
      </c>
      <c r="C296" s="56" t="n"/>
      <c r="D296" s="54" t="n"/>
      <c r="E296" s="57" t="str">
        <f>IF(D296="","",IF(A296="BL",IFERROR(INDEX(cl_name,MATCH(D296,cl_code,0))&amp;"","Client inconnu"),IF(A296="BR",IFERROR(INDEX(fo_name,MATCH(D296,fo_code,0))&amp;"","Fournisseur inconnu"),IF(A296="BS",IF(ISNA(MATCH(D296,p_services,0)),"Service inconnu",D296&amp;""),""))))</f>
        <v/>
      </c>
      <c r="F296" s="58" t="n"/>
      <c r="G296" s="58" t="n"/>
      <c r="H296" s="59" t="n"/>
      <c r="I296" s="57" t="str">
        <f>IF(H296="","",IFERROR(INDEX(art_des,MATCH(H296,art_ref,0))&amp;"","Article inconnu"))</f>
        <v/>
      </c>
      <c r="J296" s="60" t="str">
        <f>IF(H296="","",IFERROR(INDEX(art_unit,MATCH(H296,art_ref,0))&amp;"",""))</f>
        <v/>
      </c>
      <c r="K296" s="59" t="n"/>
      <c r="L296" s="59" t="n"/>
      <c r="M296" s="61" t="str">
        <f>IF(OR(B296="",NOT(ISNUMBER(K296)),NOT(ISNUMBER(L296))),"",IF(OR(K296&lt;=0,L296&lt;=0),"",ROUND(L296-K296,6)))</f>
        <v/>
      </c>
      <c r="N296" s="58" t="n"/>
      <c r="O296" s="62" t="n"/>
      <c r="P296" s="63" t="str">
        <f>IF(OR(B296="",NOT(ISNUMBER(L296))),"",IF(L296&lt;=0,"",IFERROR(ROUND(L296*N(INDEX(art_w,MATCH(H296,art_ref,0))),3),"")))</f>
        <v/>
      </c>
      <c r="Q296" s="59" t="n"/>
      <c r="R296" s="54" t="n"/>
      <c r="S296" s="59" t="n"/>
      <c r="T296" s="59" t="n"/>
      <c r="U296" s="64" t="str">
        <f>IF(OR(B296="",H296=""),"",IFERROR(IF(A296="BL",IF(N(INDEX(art_price,MATCH(H296,art_ref,0)))=0,"",N(INDEX(art_price,MATCH(H296,art_ref,0)))),IF(N(INDEX(art_cost,MATCH(H296,art_ref,0)))=0,"",N(INDEX(art_cost,MATCH(H296,art_ref,0))))),""))</f>
        <v/>
      </c>
      <c r="V296" s="64" t="str">
        <f>IF(OR(U296="",NOT(ISNUMBER(L296))),"",IF(L296&lt;=0,"",ROUND(L296*U296,2)))</f>
        <v/>
      </c>
      <c r="W296" s="60" t="str">
        <f>IF(AND(B296&lt;&gt;"",A296&lt;&gt;"BS",F296&lt;&gt;"",H296&lt;&gt;"",ISNUMBER(K296),ISNUMBER(L296)),IF(AND(K296&gt;0,L296&gt;0,K296-L296&gt;0,COUNTIFS(A297:A$2005,A296,F297:F$2005,F296,H297:H$2005,H296,AA297:AA$2005,"&gt;0")=0),ROUND(K296-L296,6),""),"")</f>
        <v/>
      </c>
      <c r="X296" s="60" t="str">
        <f>IF(AND(A296="",C296="",D296="",H296="",L296=""),"",IF(A296="","Type manquant",IF(AND(A296&lt;&gt;"BL",A296&lt;&gt;"BR",A296&lt;&gt;"BS"),"Type inconnu (BL, BR ou BS)",IF(AG296=0,"Date manquante ou invalide",IF(D296="",IF(A296="BL","Client manquant",IF(A296="BR","Fournisseur manquant","Service manquant")),IF(IF(A296="BL",ISNA(MATCH(D296,cl_code,0)),IF(A296="BR",ISNA(MATCH(D296,fo_code,0)),ISNA(MATCH(D296,p_services,0)))),IF(A296="BL","Client inconnu",IF(A296="BR","Fournisseur inconnu","Service inconnu")),IF(H296="","Article manquant",IF(ISNA(MATCH(H296,art_ref,0)),"Article inconnu",IF(OR(NOT(ISNUMBER(L296)),N(L296)&lt;=0),"Quantité invalide",IF(AND(K296&lt;&gt;"",OR(NOT(ISNUMBER(K296)),N(K296)&lt;=0)),"Qté commandée invalide",IF(AG296&lt;SUMPRODUCT(MAX((A$6:A295=A296)*AG$6:AG295)),"Date antérieure au bon précédent",IF(AND(A296&lt;&gt;"BR",ISNUMBER(M296),N(M296)&gt;0),IF(A296="BL","Livré plus que commandé","Sorti plus que demandé"),"OK"))))))))))))</f>
        <v/>
      </c>
      <c r="Y296" s="57" t="str">
        <f>IF(AND(OR(A296="BL",A296="BR",A296="BS"),AG296&gt;0,D296&lt;&gt;""),A296&amp;"|"&amp;AG296&amp;"|"&amp;D296&amp;"|"&amp;F296,"")</f>
        <v/>
      </c>
      <c r="Z296" s="57" t="str">
        <f>IF(Y296="","",IF(COUNTIF(Y$6:Y295,Y296)=0,1,0))</f>
        <v/>
      </c>
      <c r="AA296" s="57" t="str">
        <f>IF(Y296="","",IF(Z296=1,COUNTIFS(A$6:A296,A296,Z$6:Z296,1),INDEX(AA$6:AA295,MATCH(Y296,Y$6:Y295,0))))</f>
        <v/>
      </c>
      <c r="AB296" s="57" t="str">
        <f>IF(B296="","",COUNTIF(B$6:B296,B296))</f>
        <v/>
      </c>
      <c r="AC296" s="57" t="str">
        <f>IF(B296="","",B296&amp;"#"&amp;AB296)</f>
        <v/>
      </c>
      <c r="AD296" s="57" t="str">
        <f>IF(Z296=1,A296&amp;AA296,"")</f>
        <v/>
      </c>
      <c r="AE296" s="57" t="str">
        <f>IF(B296="","",YEAR(C296))</f>
        <v/>
      </c>
      <c r="AF296" s="57" t="str">
        <f>IF(B296="","",MONTH(C296))</f>
        <v/>
      </c>
      <c r="AG296" s="57">
        <f>IF(ISNUMBER(C296),C296,0)</f>
        <v>0.0</v>
      </c>
      <c r="AH296" s="57" t="str">
        <f>IF(N(W296)&gt;0,COUNTIF(W$6:W296,"&gt;0"),"")</f>
        <v/>
      </c>
      <c r="AI296" s="57" t="str">
        <f>IF(Z296=1,COUNTIF(Z$6:Z296,1),"")</f>
        <v/>
      </c>
    </row>
    <row r="297">
      <c r="A297" s="54" t="n"/>
      <c r="B297" s="55" t="str">
        <f>IF(AA297="","",A297&amp;"-"&amp;RIGHT("000"&amp;AA297,4))</f>
        <v/>
      </c>
      <c r="C297" s="56" t="n"/>
      <c r="D297" s="54" t="n"/>
      <c r="E297" s="57" t="str">
        <f>IF(D297="","",IF(A297="BL",IFERROR(INDEX(cl_name,MATCH(D297,cl_code,0))&amp;"","Client inconnu"),IF(A297="BR",IFERROR(INDEX(fo_name,MATCH(D297,fo_code,0))&amp;"","Fournisseur inconnu"),IF(A297="BS",IF(ISNA(MATCH(D297,p_services,0)),"Service inconnu",D297&amp;""),""))))</f>
        <v/>
      </c>
      <c r="F297" s="58" t="n"/>
      <c r="G297" s="58" t="n"/>
      <c r="H297" s="59" t="n"/>
      <c r="I297" s="57" t="str">
        <f>IF(H297="","",IFERROR(INDEX(art_des,MATCH(H297,art_ref,0))&amp;"","Article inconnu"))</f>
        <v/>
      </c>
      <c r="J297" s="60" t="str">
        <f>IF(H297="","",IFERROR(INDEX(art_unit,MATCH(H297,art_ref,0))&amp;"",""))</f>
        <v/>
      </c>
      <c r="K297" s="59" t="n"/>
      <c r="L297" s="59" t="n"/>
      <c r="M297" s="61" t="str">
        <f>IF(OR(B297="",NOT(ISNUMBER(K297)),NOT(ISNUMBER(L297))),"",IF(OR(K297&lt;=0,L297&lt;=0),"",ROUND(L297-K297,6)))</f>
        <v/>
      </c>
      <c r="N297" s="58" t="n"/>
      <c r="O297" s="62" t="n"/>
      <c r="P297" s="63" t="str">
        <f>IF(OR(B297="",NOT(ISNUMBER(L297))),"",IF(L297&lt;=0,"",IFERROR(ROUND(L297*N(INDEX(art_w,MATCH(H297,art_ref,0))),3),"")))</f>
        <v/>
      </c>
      <c r="Q297" s="59" t="n"/>
      <c r="R297" s="54" t="n"/>
      <c r="S297" s="59" t="n"/>
      <c r="T297" s="59" t="n"/>
      <c r="U297" s="64" t="str">
        <f>IF(OR(B297="",H297=""),"",IFERROR(IF(A297="BL",IF(N(INDEX(art_price,MATCH(H297,art_ref,0)))=0,"",N(INDEX(art_price,MATCH(H297,art_ref,0)))),IF(N(INDEX(art_cost,MATCH(H297,art_ref,0)))=0,"",N(INDEX(art_cost,MATCH(H297,art_ref,0))))),""))</f>
        <v/>
      </c>
      <c r="V297" s="64" t="str">
        <f>IF(OR(U297="",NOT(ISNUMBER(L297))),"",IF(L297&lt;=0,"",ROUND(L297*U297,2)))</f>
        <v/>
      </c>
      <c r="W297" s="60" t="str">
        <f>IF(AND(B297&lt;&gt;"",A297&lt;&gt;"BS",F297&lt;&gt;"",H297&lt;&gt;"",ISNUMBER(K297),ISNUMBER(L297)),IF(AND(K297&gt;0,L297&gt;0,K297-L297&gt;0,COUNTIFS(A298:A$2005,A297,F298:F$2005,F297,H298:H$2005,H297,AA298:AA$2005,"&gt;0")=0),ROUND(K297-L297,6),""),"")</f>
        <v/>
      </c>
      <c r="X297" s="60" t="str">
        <f>IF(AND(A297="",C297="",D297="",H297="",L297=""),"",IF(A297="","Type manquant",IF(AND(A297&lt;&gt;"BL",A297&lt;&gt;"BR",A297&lt;&gt;"BS"),"Type inconnu (BL, BR ou BS)",IF(AG297=0,"Date manquante ou invalide",IF(D297="",IF(A297="BL","Client manquant",IF(A297="BR","Fournisseur manquant","Service manquant")),IF(IF(A297="BL",ISNA(MATCH(D297,cl_code,0)),IF(A297="BR",ISNA(MATCH(D297,fo_code,0)),ISNA(MATCH(D297,p_services,0)))),IF(A297="BL","Client inconnu",IF(A297="BR","Fournisseur inconnu","Service inconnu")),IF(H297="","Article manquant",IF(ISNA(MATCH(H297,art_ref,0)),"Article inconnu",IF(OR(NOT(ISNUMBER(L297)),N(L297)&lt;=0),"Quantité invalide",IF(AND(K297&lt;&gt;"",OR(NOT(ISNUMBER(K297)),N(K297)&lt;=0)),"Qté commandée invalide",IF(AG297&lt;SUMPRODUCT(MAX((A$6:A296=A297)*AG$6:AG296)),"Date antérieure au bon précédent",IF(AND(A297&lt;&gt;"BR",ISNUMBER(M297),N(M297)&gt;0),IF(A297="BL","Livré plus que commandé","Sorti plus que demandé"),"OK"))))))))))))</f>
        <v/>
      </c>
      <c r="Y297" s="57" t="str">
        <f>IF(AND(OR(A297="BL",A297="BR",A297="BS"),AG297&gt;0,D297&lt;&gt;""),A297&amp;"|"&amp;AG297&amp;"|"&amp;D297&amp;"|"&amp;F297,"")</f>
        <v/>
      </c>
      <c r="Z297" s="57" t="str">
        <f>IF(Y297="","",IF(COUNTIF(Y$6:Y296,Y297)=0,1,0))</f>
        <v/>
      </c>
      <c r="AA297" s="57" t="str">
        <f>IF(Y297="","",IF(Z297=1,COUNTIFS(A$6:A297,A297,Z$6:Z297,1),INDEX(AA$6:AA296,MATCH(Y297,Y$6:Y296,0))))</f>
        <v/>
      </c>
      <c r="AB297" s="57" t="str">
        <f>IF(B297="","",COUNTIF(B$6:B297,B297))</f>
        <v/>
      </c>
      <c r="AC297" s="57" t="str">
        <f>IF(B297="","",B297&amp;"#"&amp;AB297)</f>
        <v/>
      </c>
      <c r="AD297" s="57" t="str">
        <f>IF(Z297=1,A297&amp;AA297,"")</f>
        <v/>
      </c>
      <c r="AE297" s="57" t="str">
        <f>IF(B297="","",YEAR(C297))</f>
        <v/>
      </c>
      <c r="AF297" s="57" t="str">
        <f>IF(B297="","",MONTH(C297))</f>
        <v/>
      </c>
      <c r="AG297" s="57">
        <f>IF(ISNUMBER(C297),C297,0)</f>
        <v>0.0</v>
      </c>
      <c r="AH297" s="57" t="str">
        <f>IF(N(W297)&gt;0,COUNTIF(W$6:W297,"&gt;0"),"")</f>
        <v/>
      </c>
      <c r="AI297" s="57" t="str">
        <f>IF(Z297=1,COUNTIF(Z$6:Z297,1),"")</f>
        <v/>
      </c>
    </row>
    <row r="298">
      <c r="A298" s="54" t="n"/>
      <c r="B298" s="55" t="str">
        <f>IF(AA298="","",A298&amp;"-"&amp;RIGHT("000"&amp;AA298,4))</f>
        <v/>
      </c>
      <c r="C298" s="56" t="n"/>
      <c r="D298" s="54" t="n"/>
      <c r="E298" s="57" t="str">
        <f>IF(D298="","",IF(A298="BL",IFERROR(INDEX(cl_name,MATCH(D298,cl_code,0))&amp;"","Client inconnu"),IF(A298="BR",IFERROR(INDEX(fo_name,MATCH(D298,fo_code,0))&amp;"","Fournisseur inconnu"),IF(A298="BS",IF(ISNA(MATCH(D298,p_services,0)),"Service inconnu",D298&amp;""),""))))</f>
        <v/>
      </c>
      <c r="F298" s="58" t="n"/>
      <c r="G298" s="58" t="n"/>
      <c r="H298" s="59" t="n"/>
      <c r="I298" s="57" t="str">
        <f>IF(H298="","",IFERROR(INDEX(art_des,MATCH(H298,art_ref,0))&amp;"","Article inconnu"))</f>
        <v/>
      </c>
      <c r="J298" s="60" t="str">
        <f>IF(H298="","",IFERROR(INDEX(art_unit,MATCH(H298,art_ref,0))&amp;"",""))</f>
        <v/>
      </c>
      <c r="K298" s="59" t="n"/>
      <c r="L298" s="59" t="n"/>
      <c r="M298" s="61" t="str">
        <f>IF(OR(B298="",NOT(ISNUMBER(K298)),NOT(ISNUMBER(L298))),"",IF(OR(K298&lt;=0,L298&lt;=0),"",ROUND(L298-K298,6)))</f>
        <v/>
      </c>
      <c r="N298" s="58" t="n"/>
      <c r="O298" s="62" t="n"/>
      <c r="P298" s="63" t="str">
        <f>IF(OR(B298="",NOT(ISNUMBER(L298))),"",IF(L298&lt;=0,"",IFERROR(ROUND(L298*N(INDEX(art_w,MATCH(H298,art_ref,0))),3),"")))</f>
        <v/>
      </c>
      <c r="Q298" s="59" t="n"/>
      <c r="R298" s="54" t="n"/>
      <c r="S298" s="59" t="n"/>
      <c r="T298" s="59" t="n"/>
      <c r="U298" s="64" t="str">
        <f>IF(OR(B298="",H298=""),"",IFERROR(IF(A298="BL",IF(N(INDEX(art_price,MATCH(H298,art_ref,0)))=0,"",N(INDEX(art_price,MATCH(H298,art_ref,0)))),IF(N(INDEX(art_cost,MATCH(H298,art_ref,0)))=0,"",N(INDEX(art_cost,MATCH(H298,art_ref,0))))),""))</f>
        <v/>
      </c>
      <c r="V298" s="64" t="str">
        <f>IF(OR(U298="",NOT(ISNUMBER(L298))),"",IF(L298&lt;=0,"",ROUND(L298*U298,2)))</f>
        <v/>
      </c>
      <c r="W298" s="60" t="str">
        <f>IF(AND(B298&lt;&gt;"",A298&lt;&gt;"BS",F298&lt;&gt;"",H298&lt;&gt;"",ISNUMBER(K298),ISNUMBER(L298)),IF(AND(K298&gt;0,L298&gt;0,K298-L298&gt;0,COUNTIFS(A299:A$2005,A298,F299:F$2005,F298,H299:H$2005,H298,AA299:AA$2005,"&gt;0")=0),ROUND(K298-L298,6),""),"")</f>
        <v/>
      </c>
      <c r="X298" s="60" t="str">
        <f>IF(AND(A298="",C298="",D298="",H298="",L298=""),"",IF(A298="","Type manquant",IF(AND(A298&lt;&gt;"BL",A298&lt;&gt;"BR",A298&lt;&gt;"BS"),"Type inconnu (BL, BR ou BS)",IF(AG298=0,"Date manquante ou invalide",IF(D298="",IF(A298="BL","Client manquant",IF(A298="BR","Fournisseur manquant","Service manquant")),IF(IF(A298="BL",ISNA(MATCH(D298,cl_code,0)),IF(A298="BR",ISNA(MATCH(D298,fo_code,0)),ISNA(MATCH(D298,p_services,0)))),IF(A298="BL","Client inconnu",IF(A298="BR","Fournisseur inconnu","Service inconnu")),IF(H298="","Article manquant",IF(ISNA(MATCH(H298,art_ref,0)),"Article inconnu",IF(OR(NOT(ISNUMBER(L298)),N(L298)&lt;=0),"Quantité invalide",IF(AND(K298&lt;&gt;"",OR(NOT(ISNUMBER(K298)),N(K298)&lt;=0)),"Qté commandée invalide",IF(AG298&lt;SUMPRODUCT(MAX((A$6:A297=A298)*AG$6:AG297)),"Date antérieure au bon précédent",IF(AND(A298&lt;&gt;"BR",ISNUMBER(M298),N(M298)&gt;0),IF(A298="BL","Livré plus que commandé","Sorti plus que demandé"),"OK"))))))))))))</f>
        <v/>
      </c>
      <c r="Y298" s="57" t="str">
        <f>IF(AND(OR(A298="BL",A298="BR",A298="BS"),AG298&gt;0,D298&lt;&gt;""),A298&amp;"|"&amp;AG298&amp;"|"&amp;D298&amp;"|"&amp;F298,"")</f>
        <v/>
      </c>
      <c r="Z298" s="57" t="str">
        <f>IF(Y298="","",IF(COUNTIF(Y$6:Y297,Y298)=0,1,0))</f>
        <v/>
      </c>
      <c r="AA298" s="57" t="str">
        <f>IF(Y298="","",IF(Z298=1,COUNTIFS(A$6:A298,A298,Z$6:Z298,1),INDEX(AA$6:AA297,MATCH(Y298,Y$6:Y297,0))))</f>
        <v/>
      </c>
      <c r="AB298" s="57" t="str">
        <f>IF(B298="","",COUNTIF(B$6:B298,B298))</f>
        <v/>
      </c>
      <c r="AC298" s="57" t="str">
        <f>IF(B298="","",B298&amp;"#"&amp;AB298)</f>
        <v/>
      </c>
      <c r="AD298" s="57" t="str">
        <f>IF(Z298=1,A298&amp;AA298,"")</f>
        <v/>
      </c>
      <c r="AE298" s="57" t="str">
        <f>IF(B298="","",YEAR(C298))</f>
        <v/>
      </c>
      <c r="AF298" s="57" t="str">
        <f>IF(B298="","",MONTH(C298))</f>
        <v/>
      </c>
      <c r="AG298" s="57">
        <f>IF(ISNUMBER(C298),C298,0)</f>
        <v>0.0</v>
      </c>
      <c r="AH298" s="57" t="str">
        <f>IF(N(W298)&gt;0,COUNTIF(W$6:W298,"&gt;0"),"")</f>
        <v/>
      </c>
      <c r="AI298" s="57" t="str">
        <f>IF(Z298=1,COUNTIF(Z$6:Z298,1),"")</f>
        <v/>
      </c>
    </row>
    <row r="299">
      <c r="A299" s="54" t="n"/>
      <c r="B299" s="55" t="str">
        <f>IF(AA299="","",A299&amp;"-"&amp;RIGHT("000"&amp;AA299,4))</f>
        <v/>
      </c>
      <c r="C299" s="56" t="n"/>
      <c r="D299" s="54" t="n"/>
      <c r="E299" s="57" t="str">
        <f>IF(D299="","",IF(A299="BL",IFERROR(INDEX(cl_name,MATCH(D299,cl_code,0))&amp;"","Client inconnu"),IF(A299="BR",IFERROR(INDEX(fo_name,MATCH(D299,fo_code,0))&amp;"","Fournisseur inconnu"),IF(A299="BS",IF(ISNA(MATCH(D299,p_services,0)),"Service inconnu",D299&amp;""),""))))</f>
        <v/>
      </c>
      <c r="F299" s="58" t="n"/>
      <c r="G299" s="58" t="n"/>
      <c r="H299" s="59" t="n"/>
      <c r="I299" s="57" t="str">
        <f>IF(H299="","",IFERROR(INDEX(art_des,MATCH(H299,art_ref,0))&amp;"","Article inconnu"))</f>
        <v/>
      </c>
      <c r="J299" s="60" t="str">
        <f>IF(H299="","",IFERROR(INDEX(art_unit,MATCH(H299,art_ref,0))&amp;"",""))</f>
        <v/>
      </c>
      <c r="K299" s="59" t="n"/>
      <c r="L299" s="59" t="n"/>
      <c r="M299" s="61" t="str">
        <f>IF(OR(B299="",NOT(ISNUMBER(K299)),NOT(ISNUMBER(L299))),"",IF(OR(K299&lt;=0,L299&lt;=0),"",ROUND(L299-K299,6)))</f>
        <v/>
      </c>
      <c r="N299" s="58" t="n"/>
      <c r="O299" s="62" t="n"/>
      <c r="P299" s="63" t="str">
        <f>IF(OR(B299="",NOT(ISNUMBER(L299))),"",IF(L299&lt;=0,"",IFERROR(ROUND(L299*N(INDEX(art_w,MATCH(H299,art_ref,0))),3),"")))</f>
        <v/>
      </c>
      <c r="Q299" s="59" t="n"/>
      <c r="R299" s="54" t="n"/>
      <c r="S299" s="59" t="n"/>
      <c r="T299" s="59" t="n"/>
      <c r="U299" s="64" t="str">
        <f>IF(OR(B299="",H299=""),"",IFERROR(IF(A299="BL",IF(N(INDEX(art_price,MATCH(H299,art_ref,0)))=0,"",N(INDEX(art_price,MATCH(H299,art_ref,0)))),IF(N(INDEX(art_cost,MATCH(H299,art_ref,0)))=0,"",N(INDEX(art_cost,MATCH(H299,art_ref,0))))),""))</f>
        <v/>
      </c>
      <c r="V299" s="64" t="str">
        <f>IF(OR(U299="",NOT(ISNUMBER(L299))),"",IF(L299&lt;=0,"",ROUND(L299*U299,2)))</f>
        <v/>
      </c>
      <c r="W299" s="60" t="str">
        <f>IF(AND(B299&lt;&gt;"",A299&lt;&gt;"BS",F299&lt;&gt;"",H299&lt;&gt;"",ISNUMBER(K299),ISNUMBER(L299)),IF(AND(K299&gt;0,L299&gt;0,K299-L299&gt;0,COUNTIFS(A300:A$2005,A299,F300:F$2005,F299,H300:H$2005,H299,AA300:AA$2005,"&gt;0")=0),ROUND(K299-L299,6),""),"")</f>
        <v/>
      </c>
      <c r="X299" s="60" t="str">
        <f>IF(AND(A299="",C299="",D299="",H299="",L299=""),"",IF(A299="","Type manquant",IF(AND(A299&lt;&gt;"BL",A299&lt;&gt;"BR",A299&lt;&gt;"BS"),"Type inconnu (BL, BR ou BS)",IF(AG299=0,"Date manquante ou invalide",IF(D299="",IF(A299="BL","Client manquant",IF(A299="BR","Fournisseur manquant","Service manquant")),IF(IF(A299="BL",ISNA(MATCH(D299,cl_code,0)),IF(A299="BR",ISNA(MATCH(D299,fo_code,0)),ISNA(MATCH(D299,p_services,0)))),IF(A299="BL","Client inconnu",IF(A299="BR","Fournisseur inconnu","Service inconnu")),IF(H299="","Article manquant",IF(ISNA(MATCH(H299,art_ref,0)),"Article inconnu",IF(OR(NOT(ISNUMBER(L299)),N(L299)&lt;=0),"Quantité invalide",IF(AND(K299&lt;&gt;"",OR(NOT(ISNUMBER(K299)),N(K299)&lt;=0)),"Qté commandée invalide",IF(AG299&lt;SUMPRODUCT(MAX((A$6:A298=A299)*AG$6:AG298)),"Date antérieure au bon précédent",IF(AND(A299&lt;&gt;"BR",ISNUMBER(M299),N(M299)&gt;0),IF(A299="BL","Livré plus que commandé","Sorti plus que demandé"),"OK"))))))))))))</f>
        <v/>
      </c>
      <c r="Y299" s="57" t="str">
        <f>IF(AND(OR(A299="BL",A299="BR",A299="BS"),AG299&gt;0,D299&lt;&gt;""),A299&amp;"|"&amp;AG299&amp;"|"&amp;D299&amp;"|"&amp;F299,"")</f>
        <v/>
      </c>
      <c r="Z299" s="57" t="str">
        <f>IF(Y299="","",IF(COUNTIF(Y$6:Y298,Y299)=0,1,0))</f>
        <v/>
      </c>
      <c r="AA299" s="57" t="str">
        <f>IF(Y299="","",IF(Z299=1,COUNTIFS(A$6:A299,A299,Z$6:Z299,1),INDEX(AA$6:AA298,MATCH(Y299,Y$6:Y298,0))))</f>
        <v/>
      </c>
      <c r="AB299" s="57" t="str">
        <f>IF(B299="","",COUNTIF(B$6:B299,B299))</f>
        <v/>
      </c>
      <c r="AC299" s="57" t="str">
        <f>IF(B299="","",B299&amp;"#"&amp;AB299)</f>
        <v/>
      </c>
      <c r="AD299" s="57" t="str">
        <f>IF(Z299=1,A299&amp;AA299,"")</f>
        <v/>
      </c>
      <c r="AE299" s="57" t="str">
        <f>IF(B299="","",YEAR(C299))</f>
        <v/>
      </c>
      <c r="AF299" s="57" t="str">
        <f>IF(B299="","",MONTH(C299))</f>
        <v/>
      </c>
      <c r="AG299" s="57">
        <f>IF(ISNUMBER(C299),C299,0)</f>
        <v>0.0</v>
      </c>
      <c r="AH299" s="57" t="str">
        <f>IF(N(W299)&gt;0,COUNTIF(W$6:W299,"&gt;0"),"")</f>
        <v/>
      </c>
      <c r="AI299" s="57" t="str">
        <f>IF(Z299=1,COUNTIF(Z$6:Z299,1),"")</f>
        <v/>
      </c>
    </row>
    <row r="300">
      <c r="A300" s="54" t="n"/>
      <c r="B300" s="55" t="str">
        <f>IF(AA300="","",A300&amp;"-"&amp;RIGHT("000"&amp;AA300,4))</f>
        <v/>
      </c>
      <c r="C300" s="56" t="n"/>
      <c r="D300" s="54" t="n"/>
      <c r="E300" s="57" t="str">
        <f>IF(D300="","",IF(A300="BL",IFERROR(INDEX(cl_name,MATCH(D300,cl_code,0))&amp;"","Client inconnu"),IF(A300="BR",IFERROR(INDEX(fo_name,MATCH(D300,fo_code,0))&amp;"","Fournisseur inconnu"),IF(A300="BS",IF(ISNA(MATCH(D300,p_services,0)),"Service inconnu",D300&amp;""),""))))</f>
        <v/>
      </c>
      <c r="F300" s="58" t="n"/>
      <c r="G300" s="58" t="n"/>
      <c r="H300" s="59" t="n"/>
      <c r="I300" s="57" t="str">
        <f>IF(H300="","",IFERROR(INDEX(art_des,MATCH(H300,art_ref,0))&amp;"","Article inconnu"))</f>
        <v/>
      </c>
      <c r="J300" s="60" t="str">
        <f>IF(H300="","",IFERROR(INDEX(art_unit,MATCH(H300,art_ref,0))&amp;"",""))</f>
        <v/>
      </c>
      <c r="K300" s="59" t="n"/>
      <c r="L300" s="59" t="n"/>
      <c r="M300" s="61" t="str">
        <f>IF(OR(B300="",NOT(ISNUMBER(K300)),NOT(ISNUMBER(L300))),"",IF(OR(K300&lt;=0,L300&lt;=0),"",ROUND(L300-K300,6)))</f>
        <v/>
      </c>
      <c r="N300" s="58" t="n"/>
      <c r="O300" s="62" t="n"/>
      <c r="P300" s="63" t="str">
        <f>IF(OR(B300="",NOT(ISNUMBER(L300))),"",IF(L300&lt;=0,"",IFERROR(ROUND(L300*N(INDEX(art_w,MATCH(H300,art_ref,0))),3),"")))</f>
        <v/>
      </c>
      <c r="Q300" s="59" t="n"/>
      <c r="R300" s="54" t="n"/>
      <c r="S300" s="59" t="n"/>
      <c r="T300" s="59" t="n"/>
      <c r="U300" s="64" t="str">
        <f>IF(OR(B300="",H300=""),"",IFERROR(IF(A300="BL",IF(N(INDEX(art_price,MATCH(H300,art_ref,0)))=0,"",N(INDEX(art_price,MATCH(H300,art_ref,0)))),IF(N(INDEX(art_cost,MATCH(H300,art_ref,0)))=0,"",N(INDEX(art_cost,MATCH(H300,art_ref,0))))),""))</f>
        <v/>
      </c>
      <c r="V300" s="64" t="str">
        <f>IF(OR(U300="",NOT(ISNUMBER(L300))),"",IF(L300&lt;=0,"",ROUND(L300*U300,2)))</f>
        <v/>
      </c>
      <c r="W300" s="60" t="str">
        <f>IF(AND(B300&lt;&gt;"",A300&lt;&gt;"BS",F300&lt;&gt;"",H300&lt;&gt;"",ISNUMBER(K300),ISNUMBER(L300)),IF(AND(K300&gt;0,L300&gt;0,K300-L300&gt;0,COUNTIFS(A301:A$2005,A300,F301:F$2005,F300,H301:H$2005,H300,AA301:AA$2005,"&gt;0")=0),ROUND(K300-L300,6),""),"")</f>
        <v/>
      </c>
      <c r="X300" s="60" t="str">
        <f>IF(AND(A300="",C300="",D300="",H300="",L300=""),"",IF(A300="","Type manquant",IF(AND(A300&lt;&gt;"BL",A300&lt;&gt;"BR",A300&lt;&gt;"BS"),"Type inconnu (BL, BR ou BS)",IF(AG300=0,"Date manquante ou invalide",IF(D300="",IF(A300="BL","Client manquant",IF(A300="BR","Fournisseur manquant","Service manquant")),IF(IF(A300="BL",ISNA(MATCH(D300,cl_code,0)),IF(A300="BR",ISNA(MATCH(D300,fo_code,0)),ISNA(MATCH(D300,p_services,0)))),IF(A300="BL","Client inconnu",IF(A300="BR","Fournisseur inconnu","Service inconnu")),IF(H300="","Article manquant",IF(ISNA(MATCH(H300,art_ref,0)),"Article inconnu",IF(OR(NOT(ISNUMBER(L300)),N(L300)&lt;=0),"Quantité invalide",IF(AND(K300&lt;&gt;"",OR(NOT(ISNUMBER(K300)),N(K300)&lt;=0)),"Qté commandée invalide",IF(AG300&lt;SUMPRODUCT(MAX((A$6:A299=A300)*AG$6:AG299)),"Date antérieure au bon précédent",IF(AND(A300&lt;&gt;"BR",ISNUMBER(M300),N(M300)&gt;0),IF(A300="BL","Livré plus que commandé","Sorti plus que demandé"),"OK"))))))))))))</f>
        <v/>
      </c>
      <c r="Y300" s="57" t="str">
        <f>IF(AND(OR(A300="BL",A300="BR",A300="BS"),AG300&gt;0,D300&lt;&gt;""),A300&amp;"|"&amp;AG300&amp;"|"&amp;D300&amp;"|"&amp;F300,"")</f>
        <v/>
      </c>
      <c r="Z300" s="57" t="str">
        <f>IF(Y300="","",IF(COUNTIF(Y$6:Y299,Y300)=0,1,0))</f>
        <v/>
      </c>
      <c r="AA300" s="57" t="str">
        <f>IF(Y300="","",IF(Z300=1,COUNTIFS(A$6:A300,A300,Z$6:Z300,1),INDEX(AA$6:AA299,MATCH(Y300,Y$6:Y299,0))))</f>
        <v/>
      </c>
      <c r="AB300" s="57" t="str">
        <f>IF(B300="","",COUNTIF(B$6:B300,B300))</f>
        <v/>
      </c>
      <c r="AC300" s="57" t="str">
        <f>IF(B300="","",B300&amp;"#"&amp;AB300)</f>
        <v/>
      </c>
      <c r="AD300" s="57" t="str">
        <f>IF(Z300=1,A300&amp;AA300,"")</f>
        <v/>
      </c>
      <c r="AE300" s="57" t="str">
        <f>IF(B300="","",YEAR(C300))</f>
        <v/>
      </c>
      <c r="AF300" s="57" t="str">
        <f>IF(B300="","",MONTH(C300))</f>
        <v/>
      </c>
      <c r="AG300" s="57">
        <f>IF(ISNUMBER(C300),C300,0)</f>
        <v>0.0</v>
      </c>
      <c r="AH300" s="57" t="str">
        <f>IF(N(W300)&gt;0,COUNTIF(W$6:W300,"&gt;0"),"")</f>
        <v/>
      </c>
      <c r="AI300" s="57" t="str">
        <f>IF(Z300=1,COUNTIF(Z$6:Z300,1),"")</f>
        <v/>
      </c>
    </row>
    <row r="301">
      <c r="A301" s="54" t="n"/>
      <c r="B301" s="55" t="str">
        <f>IF(AA301="","",A301&amp;"-"&amp;RIGHT("000"&amp;AA301,4))</f>
        <v/>
      </c>
      <c r="C301" s="56" t="n"/>
      <c r="D301" s="54" t="n"/>
      <c r="E301" s="57" t="str">
        <f>IF(D301="","",IF(A301="BL",IFERROR(INDEX(cl_name,MATCH(D301,cl_code,0))&amp;"","Client inconnu"),IF(A301="BR",IFERROR(INDEX(fo_name,MATCH(D301,fo_code,0))&amp;"","Fournisseur inconnu"),IF(A301="BS",IF(ISNA(MATCH(D301,p_services,0)),"Service inconnu",D301&amp;""),""))))</f>
        <v/>
      </c>
      <c r="F301" s="58" t="n"/>
      <c r="G301" s="58" t="n"/>
      <c r="H301" s="59" t="n"/>
      <c r="I301" s="57" t="str">
        <f>IF(H301="","",IFERROR(INDEX(art_des,MATCH(H301,art_ref,0))&amp;"","Article inconnu"))</f>
        <v/>
      </c>
      <c r="J301" s="60" t="str">
        <f>IF(H301="","",IFERROR(INDEX(art_unit,MATCH(H301,art_ref,0))&amp;"",""))</f>
        <v/>
      </c>
      <c r="K301" s="59" t="n"/>
      <c r="L301" s="59" t="n"/>
      <c r="M301" s="61" t="str">
        <f>IF(OR(B301="",NOT(ISNUMBER(K301)),NOT(ISNUMBER(L301))),"",IF(OR(K301&lt;=0,L301&lt;=0),"",ROUND(L301-K301,6)))</f>
        <v/>
      </c>
      <c r="N301" s="58" t="n"/>
      <c r="O301" s="62" t="n"/>
      <c r="P301" s="63" t="str">
        <f>IF(OR(B301="",NOT(ISNUMBER(L301))),"",IF(L301&lt;=0,"",IFERROR(ROUND(L301*N(INDEX(art_w,MATCH(H301,art_ref,0))),3),"")))</f>
        <v/>
      </c>
      <c r="Q301" s="59" t="n"/>
      <c r="R301" s="54" t="n"/>
      <c r="S301" s="59" t="n"/>
      <c r="T301" s="59" t="n"/>
      <c r="U301" s="64" t="str">
        <f>IF(OR(B301="",H301=""),"",IFERROR(IF(A301="BL",IF(N(INDEX(art_price,MATCH(H301,art_ref,0)))=0,"",N(INDEX(art_price,MATCH(H301,art_ref,0)))),IF(N(INDEX(art_cost,MATCH(H301,art_ref,0)))=0,"",N(INDEX(art_cost,MATCH(H301,art_ref,0))))),""))</f>
        <v/>
      </c>
      <c r="V301" s="64" t="str">
        <f>IF(OR(U301="",NOT(ISNUMBER(L301))),"",IF(L301&lt;=0,"",ROUND(L301*U301,2)))</f>
        <v/>
      </c>
      <c r="W301" s="60" t="str">
        <f>IF(AND(B301&lt;&gt;"",A301&lt;&gt;"BS",F301&lt;&gt;"",H301&lt;&gt;"",ISNUMBER(K301),ISNUMBER(L301)),IF(AND(K301&gt;0,L301&gt;0,K301-L301&gt;0,COUNTIFS(A302:A$2005,A301,F302:F$2005,F301,H302:H$2005,H301,AA302:AA$2005,"&gt;0")=0),ROUND(K301-L301,6),""),"")</f>
        <v/>
      </c>
      <c r="X301" s="60" t="str">
        <f>IF(AND(A301="",C301="",D301="",H301="",L301=""),"",IF(A301="","Type manquant",IF(AND(A301&lt;&gt;"BL",A301&lt;&gt;"BR",A301&lt;&gt;"BS"),"Type inconnu (BL, BR ou BS)",IF(AG301=0,"Date manquante ou invalide",IF(D301="",IF(A301="BL","Client manquant",IF(A301="BR","Fournisseur manquant","Service manquant")),IF(IF(A301="BL",ISNA(MATCH(D301,cl_code,0)),IF(A301="BR",ISNA(MATCH(D301,fo_code,0)),ISNA(MATCH(D301,p_services,0)))),IF(A301="BL","Client inconnu",IF(A301="BR","Fournisseur inconnu","Service inconnu")),IF(H301="","Article manquant",IF(ISNA(MATCH(H301,art_ref,0)),"Article inconnu",IF(OR(NOT(ISNUMBER(L301)),N(L301)&lt;=0),"Quantité invalide",IF(AND(K301&lt;&gt;"",OR(NOT(ISNUMBER(K301)),N(K301)&lt;=0)),"Qté commandée invalide",IF(AG301&lt;SUMPRODUCT(MAX((A$6:A300=A301)*AG$6:AG300)),"Date antérieure au bon précédent",IF(AND(A301&lt;&gt;"BR",ISNUMBER(M301),N(M301)&gt;0),IF(A301="BL","Livré plus que commandé","Sorti plus que demandé"),"OK"))))))))))))</f>
        <v/>
      </c>
      <c r="Y301" s="57" t="str">
        <f>IF(AND(OR(A301="BL",A301="BR",A301="BS"),AG301&gt;0,D301&lt;&gt;""),A301&amp;"|"&amp;AG301&amp;"|"&amp;D301&amp;"|"&amp;F301,"")</f>
        <v/>
      </c>
      <c r="Z301" s="57" t="str">
        <f>IF(Y301="","",IF(COUNTIF(Y$6:Y300,Y301)=0,1,0))</f>
        <v/>
      </c>
      <c r="AA301" s="57" t="str">
        <f>IF(Y301="","",IF(Z301=1,COUNTIFS(A$6:A301,A301,Z$6:Z301,1),INDEX(AA$6:AA300,MATCH(Y301,Y$6:Y300,0))))</f>
        <v/>
      </c>
      <c r="AB301" s="57" t="str">
        <f>IF(B301="","",COUNTIF(B$6:B301,B301))</f>
        <v/>
      </c>
      <c r="AC301" s="57" t="str">
        <f>IF(B301="","",B301&amp;"#"&amp;AB301)</f>
        <v/>
      </c>
      <c r="AD301" s="57" t="str">
        <f>IF(Z301=1,A301&amp;AA301,"")</f>
        <v/>
      </c>
      <c r="AE301" s="57" t="str">
        <f>IF(B301="","",YEAR(C301))</f>
        <v/>
      </c>
      <c r="AF301" s="57" t="str">
        <f>IF(B301="","",MONTH(C301))</f>
        <v/>
      </c>
      <c r="AG301" s="57">
        <f>IF(ISNUMBER(C301),C301,0)</f>
        <v>0.0</v>
      </c>
      <c r="AH301" s="57" t="str">
        <f>IF(N(W301)&gt;0,COUNTIF(W$6:W301,"&gt;0"),"")</f>
        <v/>
      </c>
      <c r="AI301" s="57" t="str">
        <f>IF(Z301=1,COUNTIF(Z$6:Z301,1),"")</f>
        <v/>
      </c>
    </row>
    <row r="302">
      <c r="A302" s="54" t="n"/>
      <c r="B302" s="55" t="str">
        <f>IF(AA302="","",A302&amp;"-"&amp;RIGHT("000"&amp;AA302,4))</f>
        <v/>
      </c>
      <c r="C302" s="56" t="n"/>
      <c r="D302" s="54" t="n"/>
      <c r="E302" s="57" t="str">
        <f>IF(D302="","",IF(A302="BL",IFERROR(INDEX(cl_name,MATCH(D302,cl_code,0))&amp;"","Client inconnu"),IF(A302="BR",IFERROR(INDEX(fo_name,MATCH(D302,fo_code,0))&amp;"","Fournisseur inconnu"),IF(A302="BS",IF(ISNA(MATCH(D302,p_services,0)),"Service inconnu",D302&amp;""),""))))</f>
        <v/>
      </c>
      <c r="F302" s="58" t="n"/>
      <c r="G302" s="58" t="n"/>
      <c r="H302" s="59" t="n"/>
      <c r="I302" s="57" t="str">
        <f>IF(H302="","",IFERROR(INDEX(art_des,MATCH(H302,art_ref,0))&amp;"","Article inconnu"))</f>
        <v/>
      </c>
      <c r="J302" s="60" t="str">
        <f>IF(H302="","",IFERROR(INDEX(art_unit,MATCH(H302,art_ref,0))&amp;"",""))</f>
        <v/>
      </c>
      <c r="K302" s="59" t="n"/>
      <c r="L302" s="59" t="n"/>
      <c r="M302" s="61" t="str">
        <f>IF(OR(B302="",NOT(ISNUMBER(K302)),NOT(ISNUMBER(L302))),"",IF(OR(K302&lt;=0,L302&lt;=0),"",ROUND(L302-K302,6)))</f>
        <v/>
      </c>
      <c r="N302" s="58" t="n"/>
      <c r="O302" s="62" t="n"/>
      <c r="P302" s="63" t="str">
        <f>IF(OR(B302="",NOT(ISNUMBER(L302))),"",IF(L302&lt;=0,"",IFERROR(ROUND(L302*N(INDEX(art_w,MATCH(H302,art_ref,0))),3),"")))</f>
        <v/>
      </c>
      <c r="Q302" s="59" t="n"/>
      <c r="R302" s="54" t="n"/>
      <c r="S302" s="59" t="n"/>
      <c r="T302" s="59" t="n"/>
      <c r="U302" s="64" t="str">
        <f>IF(OR(B302="",H302=""),"",IFERROR(IF(A302="BL",IF(N(INDEX(art_price,MATCH(H302,art_ref,0)))=0,"",N(INDEX(art_price,MATCH(H302,art_ref,0)))),IF(N(INDEX(art_cost,MATCH(H302,art_ref,0)))=0,"",N(INDEX(art_cost,MATCH(H302,art_ref,0))))),""))</f>
        <v/>
      </c>
      <c r="V302" s="64" t="str">
        <f>IF(OR(U302="",NOT(ISNUMBER(L302))),"",IF(L302&lt;=0,"",ROUND(L302*U302,2)))</f>
        <v/>
      </c>
      <c r="W302" s="60" t="str">
        <f>IF(AND(B302&lt;&gt;"",A302&lt;&gt;"BS",F302&lt;&gt;"",H302&lt;&gt;"",ISNUMBER(K302),ISNUMBER(L302)),IF(AND(K302&gt;0,L302&gt;0,K302-L302&gt;0,COUNTIFS(A303:A$2005,A302,F303:F$2005,F302,H303:H$2005,H302,AA303:AA$2005,"&gt;0")=0),ROUND(K302-L302,6),""),"")</f>
        <v/>
      </c>
      <c r="X302" s="60" t="str">
        <f>IF(AND(A302="",C302="",D302="",H302="",L302=""),"",IF(A302="","Type manquant",IF(AND(A302&lt;&gt;"BL",A302&lt;&gt;"BR",A302&lt;&gt;"BS"),"Type inconnu (BL, BR ou BS)",IF(AG302=0,"Date manquante ou invalide",IF(D302="",IF(A302="BL","Client manquant",IF(A302="BR","Fournisseur manquant","Service manquant")),IF(IF(A302="BL",ISNA(MATCH(D302,cl_code,0)),IF(A302="BR",ISNA(MATCH(D302,fo_code,0)),ISNA(MATCH(D302,p_services,0)))),IF(A302="BL","Client inconnu",IF(A302="BR","Fournisseur inconnu","Service inconnu")),IF(H302="","Article manquant",IF(ISNA(MATCH(H302,art_ref,0)),"Article inconnu",IF(OR(NOT(ISNUMBER(L302)),N(L302)&lt;=0),"Quantité invalide",IF(AND(K302&lt;&gt;"",OR(NOT(ISNUMBER(K302)),N(K302)&lt;=0)),"Qté commandée invalide",IF(AG302&lt;SUMPRODUCT(MAX((A$6:A301=A302)*AG$6:AG301)),"Date antérieure au bon précédent",IF(AND(A302&lt;&gt;"BR",ISNUMBER(M302),N(M302)&gt;0),IF(A302="BL","Livré plus que commandé","Sorti plus que demandé"),"OK"))))))))))))</f>
        <v/>
      </c>
      <c r="Y302" s="57" t="str">
        <f>IF(AND(OR(A302="BL",A302="BR",A302="BS"),AG302&gt;0,D302&lt;&gt;""),A302&amp;"|"&amp;AG302&amp;"|"&amp;D302&amp;"|"&amp;F302,"")</f>
        <v/>
      </c>
      <c r="Z302" s="57" t="str">
        <f>IF(Y302="","",IF(COUNTIF(Y$6:Y301,Y302)=0,1,0))</f>
        <v/>
      </c>
      <c r="AA302" s="57" t="str">
        <f>IF(Y302="","",IF(Z302=1,COUNTIFS(A$6:A302,A302,Z$6:Z302,1),INDEX(AA$6:AA301,MATCH(Y302,Y$6:Y301,0))))</f>
        <v/>
      </c>
      <c r="AB302" s="57" t="str">
        <f>IF(B302="","",COUNTIF(B$6:B302,B302))</f>
        <v/>
      </c>
      <c r="AC302" s="57" t="str">
        <f>IF(B302="","",B302&amp;"#"&amp;AB302)</f>
        <v/>
      </c>
      <c r="AD302" s="57" t="str">
        <f>IF(Z302=1,A302&amp;AA302,"")</f>
        <v/>
      </c>
      <c r="AE302" s="57" t="str">
        <f>IF(B302="","",YEAR(C302))</f>
        <v/>
      </c>
      <c r="AF302" s="57" t="str">
        <f>IF(B302="","",MONTH(C302))</f>
        <v/>
      </c>
      <c r="AG302" s="57">
        <f>IF(ISNUMBER(C302),C302,0)</f>
        <v>0.0</v>
      </c>
      <c r="AH302" s="57" t="str">
        <f>IF(N(W302)&gt;0,COUNTIF(W$6:W302,"&gt;0"),"")</f>
        <v/>
      </c>
      <c r="AI302" s="57" t="str">
        <f>IF(Z302=1,COUNTIF(Z$6:Z302,1),"")</f>
        <v/>
      </c>
    </row>
    <row r="303">
      <c r="A303" s="54" t="n"/>
      <c r="B303" s="55" t="str">
        <f>IF(AA303="","",A303&amp;"-"&amp;RIGHT("000"&amp;AA303,4))</f>
        <v/>
      </c>
      <c r="C303" s="56" t="n"/>
      <c r="D303" s="54" t="n"/>
      <c r="E303" s="57" t="str">
        <f>IF(D303="","",IF(A303="BL",IFERROR(INDEX(cl_name,MATCH(D303,cl_code,0))&amp;"","Client inconnu"),IF(A303="BR",IFERROR(INDEX(fo_name,MATCH(D303,fo_code,0))&amp;"","Fournisseur inconnu"),IF(A303="BS",IF(ISNA(MATCH(D303,p_services,0)),"Service inconnu",D303&amp;""),""))))</f>
        <v/>
      </c>
      <c r="F303" s="58" t="n"/>
      <c r="G303" s="58" t="n"/>
      <c r="H303" s="59" t="n"/>
      <c r="I303" s="57" t="str">
        <f>IF(H303="","",IFERROR(INDEX(art_des,MATCH(H303,art_ref,0))&amp;"","Article inconnu"))</f>
        <v/>
      </c>
      <c r="J303" s="60" t="str">
        <f>IF(H303="","",IFERROR(INDEX(art_unit,MATCH(H303,art_ref,0))&amp;"",""))</f>
        <v/>
      </c>
      <c r="K303" s="59" t="n"/>
      <c r="L303" s="59" t="n"/>
      <c r="M303" s="61" t="str">
        <f>IF(OR(B303="",NOT(ISNUMBER(K303)),NOT(ISNUMBER(L303))),"",IF(OR(K303&lt;=0,L303&lt;=0),"",ROUND(L303-K303,6)))</f>
        <v/>
      </c>
      <c r="N303" s="58" t="n"/>
      <c r="O303" s="62" t="n"/>
      <c r="P303" s="63" t="str">
        <f>IF(OR(B303="",NOT(ISNUMBER(L303))),"",IF(L303&lt;=0,"",IFERROR(ROUND(L303*N(INDEX(art_w,MATCH(H303,art_ref,0))),3),"")))</f>
        <v/>
      </c>
      <c r="Q303" s="59" t="n"/>
      <c r="R303" s="54" t="n"/>
      <c r="S303" s="59" t="n"/>
      <c r="T303" s="59" t="n"/>
      <c r="U303" s="64" t="str">
        <f>IF(OR(B303="",H303=""),"",IFERROR(IF(A303="BL",IF(N(INDEX(art_price,MATCH(H303,art_ref,0)))=0,"",N(INDEX(art_price,MATCH(H303,art_ref,0)))),IF(N(INDEX(art_cost,MATCH(H303,art_ref,0)))=0,"",N(INDEX(art_cost,MATCH(H303,art_ref,0))))),""))</f>
        <v/>
      </c>
      <c r="V303" s="64" t="str">
        <f>IF(OR(U303="",NOT(ISNUMBER(L303))),"",IF(L303&lt;=0,"",ROUND(L303*U303,2)))</f>
        <v/>
      </c>
      <c r="W303" s="60" t="str">
        <f>IF(AND(B303&lt;&gt;"",A303&lt;&gt;"BS",F303&lt;&gt;"",H303&lt;&gt;"",ISNUMBER(K303),ISNUMBER(L303)),IF(AND(K303&gt;0,L303&gt;0,K303-L303&gt;0,COUNTIFS(A304:A$2005,A303,F304:F$2005,F303,H304:H$2005,H303,AA304:AA$2005,"&gt;0")=0),ROUND(K303-L303,6),""),"")</f>
        <v/>
      </c>
      <c r="X303" s="60" t="str">
        <f>IF(AND(A303="",C303="",D303="",H303="",L303=""),"",IF(A303="","Type manquant",IF(AND(A303&lt;&gt;"BL",A303&lt;&gt;"BR",A303&lt;&gt;"BS"),"Type inconnu (BL, BR ou BS)",IF(AG303=0,"Date manquante ou invalide",IF(D303="",IF(A303="BL","Client manquant",IF(A303="BR","Fournisseur manquant","Service manquant")),IF(IF(A303="BL",ISNA(MATCH(D303,cl_code,0)),IF(A303="BR",ISNA(MATCH(D303,fo_code,0)),ISNA(MATCH(D303,p_services,0)))),IF(A303="BL","Client inconnu",IF(A303="BR","Fournisseur inconnu","Service inconnu")),IF(H303="","Article manquant",IF(ISNA(MATCH(H303,art_ref,0)),"Article inconnu",IF(OR(NOT(ISNUMBER(L303)),N(L303)&lt;=0),"Quantité invalide",IF(AND(K303&lt;&gt;"",OR(NOT(ISNUMBER(K303)),N(K303)&lt;=0)),"Qté commandée invalide",IF(AG303&lt;SUMPRODUCT(MAX((A$6:A302=A303)*AG$6:AG302)),"Date antérieure au bon précédent",IF(AND(A303&lt;&gt;"BR",ISNUMBER(M303),N(M303)&gt;0),IF(A303="BL","Livré plus que commandé","Sorti plus que demandé"),"OK"))))))))))))</f>
        <v/>
      </c>
      <c r="Y303" s="57" t="str">
        <f>IF(AND(OR(A303="BL",A303="BR",A303="BS"),AG303&gt;0,D303&lt;&gt;""),A303&amp;"|"&amp;AG303&amp;"|"&amp;D303&amp;"|"&amp;F303,"")</f>
        <v/>
      </c>
      <c r="Z303" s="57" t="str">
        <f>IF(Y303="","",IF(COUNTIF(Y$6:Y302,Y303)=0,1,0))</f>
        <v/>
      </c>
      <c r="AA303" s="57" t="str">
        <f>IF(Y303="","",IF(Z303=1,COUNTIFS(A$6:A303,A303,Z$6:Z303,1),INDEX(AA$6:AA302,MATCH(Y303,Y$6:Y302,0))))</f>
        <v/>
      </c>
      <c r="AB303" s="57" t="str">
        <f>IF(B303="","",COUNTIF(B$6:B303,B303))</f>
        <v/>
      </c>
      <c r="AC303" s="57" t="str">
        <f>IF(B303="","",B303&amp;"#"&amp;AB303)</f>
        <v/>
      </c>
      <c r="AD303" s="57" t="str">
        <f>IF(Z303=1,A303&amp;AA303,"")</f>
        <v/>
      </c>
      <c r="AE303" s="57" t="str">
        <f>IF(B303="","",YEAR(C303))</f>
        <v/>
      </c>
      <c r="AF303" s="57" t="str">
        <f>IF(B303="","",MONTH(C303))</f>
        <v/>
      </c>
      <c r="AG303" s="57">
        <f>IF(ISNUMBER(C303),C303,0)</f>
        <v>0.0</v>
      </c>
      <c r="AH303" s="57" t="str">
        <f>IF(N(W303)&gt;0,COUNTIF(W$6:W303,"&gt;0"),"")</f>
        <v/>
      </c>
      <c r="AI303" s="57" t="str">
        <f>IF(Z303=1,COUNTIF(Z$6:Z303,1),"")</f>
        <v/>
      </c>
    </row>
    <row r="304">
      <c r="A304" s="54" t="n"/>
      <c r="B304" s="55" t="str">
        <f>IF(AA304="","",A304&amp;"-"&amp;RIGHT("000"&amp;AA304,4))</f>
        <v/>
      </c>
      <c r="C304" s="56" t="n"/>
      <c r="D304" s="54" t="n"/>
      <c r="E304" s="57" t="str">
        <f>IF(D304="","",IF(A304="BL",IFERROR(INDEX(cl_name,MATCH(D304,cl_code,0))&amp;"","Client inconnu"),IF(A304="BR",IFERROR(INDEX(fo_name,MATCH(D304,fo_code,0))&amp;"","Fournisseur inconnu"),IF(A304="BS",IF(ISNA(MATCH(D304,p_services,0)),"Service inconnu",D304&amp;""),""))))</f>
        <v/>
      </c>
      <c r="F304" s="58" t="n"/>
      <c r="G304" s="58" t="n"/>
      <c r="H304" s="59" t="n"/>
      <c r="I304" s="57" t="str">
        <f>IF(H304="","",IFERROR(INDEX(art_des,MATCH(H304,art_ref,0))&amp;"","Article inconnu"))</f>
        <v/>
      </c>
      <c r="J304" s="60" t="str">
        <f>IF(H304="","",IFERROR(INDEX(art_unit,MATCH(H304,art_ref,0))&amp;"",""))</f>
        <v/>
      </c>
      <c r="K304" s="59" t="n"/>
      <c r="L304" s="59" t="n"/>
      <c r="M304" s="61" t="str">
        <f>IF(OR(B304="",NOT(ISNUMBER(K304)),NOT(ISNUMBER(L304))),"",IF(OR(K304&lt;=0,L304&lt;=0),"",ROUND(L304-K304,6)))</f>
        <v/>
      </c>
      <c r="N304" s="58" t="n"/>
      <c r="O304" s="62" t="n"/>
      <c r="P304" s="63" t="str">
        <f>IF(OR(B304="",NOT(ISNUMBER(L304))),"",IF(L304&lt;=0,"",IFERROR(ROUND(L304*N(INDEX(art_w,MATCH(H304,art_ref,0))),3),"")))</f>
        <v/>
      </c>
      <c r="Q304" s="59" t="n"/>
      <c r="R304" s="54" t="n"/>
      <c r="S304" s="59" t="n"/>
      <c r="T304" s="59" t="n"/>
      <c r="U304" s="64" t="str">
        <f>IF(OR(B304="",H304=""),"",IFERROR(IF(A304="BL",IF(N(INDEX(art_price,MATCH(H304,art_ref,0)))=0,"",N(INDEX(art_price,MATCH(H304,art_ref,0)))),IF(N(INDEX(art_cost,MATCH(H304,art_ref,0)))=0,"",N(INDEX(art_cost,MATCH(H304,art_ref,0))))),""))</f>
        <v/>
      </c>
      <c r="V304" s="64" t="str">
        <f>IF(OR(U304="",NOT(ISNUMBER(L304))),"",IF(L304&lt;=0,"",ROUND(L304*U304,2)))</f>
        <v/>
      </c>
      <c r="W304" s="60" t="str">
        <f>IF(AND(B304&lt;&gt;"",A304&lt;&gt;"BS",F304&lt;&gt;"",H304&lt;&gt;"",ISNUMBER(K304),ISNUMBER(L304)),IF(AND(K304&gt;0,L304&gt;0,K304-L304&gt;0,COUNTIFS(A305:A$2005,A304,F305:F$2005,F304,H305:H$2005,H304,AA305:AA$2005,"&gt;0")=0),ROUND(K304-L304,6),""),"")</f>
        <v/>
      </c>
      <c r="X304" s="60" t="str">
        <f>IF(AND(A304="",C304="",D304="",H304="",L304=""),"",IF(A304="","Type manquant",IF(AND(A304&lt;&gt;"BL",A304&lt;&gt;"BR",A304&lt;&gt;"BS"),"Type inconnu (BL, BR ou BS)",IF(AG304=0,"Date manquante ou invalide",IF(D304="",IF(A304="BL","Client manquant",IF(A304="BR","Fournisseur manquant","Service manquant")),IF(IF(A304="BL",ISNA(MATCH(D304,cl_code,0)),IF(A304="BR",ISNA(MATCH(D304,fo_code,0)),ISNA(MATCH(D304,p_services,0)))),IF(A304="BL","Client inconnu",IF(A304="BR","Fournisseur inconnu","Service inconnu")),IF(H304="","Article manquant",IF(ISNA(MATCH(H304,art_ref,0)),"Article inconnu",IF(OR(NOT(ISNUMBER(L304)),N(L304)&lt;=0),"Quantité invalide",IF(AND(K304&lt;&gt;"",OR(NOT(ISNUMBER(K304)),N(K304)&lt;=0)),"Qté commandée invalide",IF(AG304&lt;SUMPRODUCT(MAX((A$6:A303=A304)*AG$6:AG303)),"Date antérieure au bon précédent",IF(AND(A304&lt;&gt;"BR",ISNUMBER(M304),N(M304)&gt;0),IF(A304="BL","Livré plus que commandé","Sorti plus que demandé"),"OK"))))))))))))</f>
        <v/>
      </c>
      <c r="Y304" s="57" t="str">
        <f>IF(AND(OR(A304="BL",A304="BR",A304="BS"),AG304&gt;0,D304&lt;&gt;""),A304&amp;"|"&amp;AG304&amp;"|"&amp;D304&amp;"|"&amp;F304,"")</f>
        <v/>
      </c>
      <c r="Z304" s="57" t="str">
        <f>IF(Y304="","",IF(COUNTIF(Y$6:Y303,Y304)=0,1,0))</f>
        <v/>
      </c>
      <c r="AA304" s="57" t="str">
        <f>IF(Y304="","",IF(Z304=1,COUNTIFS(A$6:A304,A304,Z$6:Z304,1),INDEX(AA$6:AA303,MATCH(Y304,Y$6:Y303,0))))</f>
        <v/>
      </c>
      <c r="AB304" s="57" t="str">
        <f>IF(B304="","",COUNTIF(B$6:B304,B304))</f>
        <v/>
      </c>
      <c r="AC304" s="57" t="str">
        <f>IF(B304="","",B304&amp;"#"&amp;AB304)</f>
        <v/>
      </c>
      <c r="AD304" s="57" t="str">
        <f>IF(Z304=1,A304&amp;AA304,"")</f>
        <v/>
      </c>
      <c r="AE304" s="57" t="str">
        <f>IF(B304="","",YEAR(C304))</f>
        <v/>
      </c>
      <c r="AF304" s="57" t="str">
        <f>IF(B304="","",MONTH(C304))</f>
        <v/>
      </c>
      <c r="AG304" s="57">
        <f>IF(ISNUMBER(C304),C304,0)</f>
        <v>0.0</v>
      </c>
      <c r="AH304" s="57" t="str">
        <f>IF(N(W304)&gt;0,COUNTIF(W$6:W304,"&gt;0"),"")</f>
        <v/>
      </c>
      <c r="AI304" s="57" t="str">
        <f>IF(Z304=1,COUNTIF(Z$6:Z304,1),"")</f>
        <v/>
      </c>
    </row>
    <row r="305">
      <c r="A305" s="54" t="n"/>
      <c r="B305" s="55" t="str">
        <f>IF(AA305="","",A305&amp;"-"&amp;RIGHT("000"&amp;AA305,4))</f>
        <v/>
      </c>
      <c r="C305" s="56" t="n"/>
      <c r="D305" s="54" t="n"/>
      <c r="E305" s="57" t="str">
        <f>IF(D305="","",IF(A305="BL",IFERROR(INDEX(cl_name,MATCH(D305,cl_code,0))&amp;"","Client inconnu"),IF(A305="BR",IFERROR(INDEX(fo_name,MATCH(D305,fo_code,0))&amp;"","Fournisseur inconnu"),IF(A305="BS",IF(ISNA(MATCH(D305,p_services,0)),"Service inconnu",D305&amp;""),""))))</f>
        <v/>
      </c>
      <c r="F305" s="58" t="n"/>
      <c r="G305" s="58" t="n"/>
      <c r="H305" s="59" t="n"/>
      <c r="I305" s="57" t="str">
        <f>IF(H305="","",IFERROR(INDEX(art_des,MATCH(H305,art_ref,0))&amp;"","Article inconnu"))</f>
        <v/>
      </c>
      <c r="J305" s="60" t="str">
        <f>IF(H305="","",IFERROR(INDEX(art_unit,MATCH(H305,art_ref,0))&amp;"",""))</f>
        <v/>
      </c>
      <c r="K305" s="59" t="n"/>
      <c r="L305" s="59" t="n"/>
      <c r="M305" s="61" t="str">
        <f>IF(OR(B305="",NOT(ISNUMBER(K305)),NOT(ISNUMBER(L305))),"",IF(OR(K305&lt;=0,L305&lt;=0),"",ROUND(L305-K305,6)))</f>
        <v/>
      </c>
      <c r="N305" s="58" t="n"/>
      <c r="O305" s="62" t="n"/>
      <c r="P305" s="63" t="str">
        <f>IF(OR(B305="",NOT(ISNUMBER(L305))),"",IF(L305&lt;=0,"",IFERROR(ROUND(L305*N(INDEX(art_w,MATCH(H305,art_ref,0))),3),"")))</f>
        <v/>
      </c>
      <c r="Q305" s="59" t="n"/>
      <c r="R305" s="54" t="n"/>
      <c r="S305" s="59" t="n"/>
      <c r="T305" s="59" t="n"/>
      <c r="U305" s="64" t="str">
        <f>IF(OR(B305="",H305=""),"",IFERROR(IF(A305="BL",IF(N(INDEX(art_price,MATCH(H305,art_ref,0)))=0,"",N(INDEX(art_price,MATCH(H305,art_ref,0)))),IF(N(INDEX(art_cost,MATCH(H305,art_ref,0)))=0,"",N(INDEX(art_cost,MATCH(H305,art_ref,0))))),""))</f>
        <v/>
      </c>
      <c r="V305" s="64" t="str">
        <f>IF(OR(U305="",NOT(ISNUMBER(L305))),"",IF(L305&lt;=0,"",ROUND(L305*U305,2)))</f>
        <v/>
      </c>
      <c r="W305" s="60" t="str">
        <f>IF(AND(B305&lt;&gt;"",A305&lt;&gt;"BS",F305&lt;&gt;"",H305&lt;&gt;"",ISNUMBER(K305),ISNUMBER(L305)),IF(AND(K305&gt;0,L305&gt;0,K305-L305&gt;0,COUNTIFS(A306:A$2005,A305,F306:F$2005,F305,H306:H$2005,H305,AA306:AA$2005,"&gt;0")=0),ROUND(K305-L305,6),""),"")</f>
        <v/>
      </c>
      <c r="X305" s="60" t="str">
        <f>IF(AND(A305="",C305="",D305="",H305="",L305=""),"",IF(A305="","Type manquant",IF(AND(A305&lt;&gt;"BL",A305&lt;&gt;"BR",A305&lt;&gt;"BS"),"Type inconnu (BL, BR ou BS)",IF(AG305=0,"Date manquante ou invalide",IF(D305="",IF(A305="BL","Client manquant",IF(A305="BR","Fournisseur manquant","Service manquant")),IF(IF(A305="BL",ISNA(MATCH(D305,cl_code,0)),IF(A305="BR",ISNA(MATCH(D305,fo_code,0)),ISNA(MATCH(D305,p_services,0)))),IF(A305="BL","Client inconnu",IF(A305="BR","Fournisseur inconnu","Service inconnu")),IF(H305="","Article manquant",IF(ISNA(MATCH(H305,art_ref,0)),"Article inconnu",IF(OR(NOT(ISNUMBER(L305)),N(L305)&lt;=0),"Quantité invalide",IF(AND(K305&lt;&gt;"",OR(NOT(ISNUMBER(K305)),N(K305)&lt;=0)),"Qté commandée invalide",IF(AG305&lt;SUMPRODUCT(MAX((A$6:A304=A305)*AG$6:AG304)),"Date antérieure au bon précédent",IF(AND(A305&lt;&gt;"BR",ISNUMBER(M305),N(M305)&gt;0),IF(A305="BL","Livré plus que commandé","Sorti plus que demandé"),"OK"))))))))))))</f>
        <v/>
      </c>
      <c r="Y305" s="57" t="str">
        <f>IF(AND(OR(A305="BL",A305="BR",A305="BS"),AG305&gt;0,D305&lt;&gt;""),A305&amp;"|"&amp;AG305&amp;"|"&amp;D305&amp;"|"&amp;F305,"")</f>
        <v/>
      </c>
      <c r="Z305" s="57" t="str">
        <f>IF(Y305="","",IF(COUNTIF(Y$6:Y304,Y305)=0,1,0))</f>
        <v/>
      </c>
      <c r="AA305" s="57" t="str">
        <f>IF(Y305="","",IF(Z305=1,COUNTIFS(A$6:A305,A305,Z$6:Z305,1),INDEX(AA$6:AA304,MATCH(Y305,Y$6:Y304,0))))</f>
        <v/>
      </c>
      <c r="AB305" s="57" t="str">
        <f>IF(B305="","",COUNTIF(B$6:B305,B305))</f>
        <v/>
      </c>
      <c r="AC305" s="57" t="str">
        <f>IF(B305="","",B305&amp;"#"&amp;AB305)</f>
        <v/>
      </c>
      <c r="AD305" s="57" t="str">
        <f>IF(Z305=1,A305&amp;AA305,"")</f>
        <v/>
      </c>
      <c r="AE305" s="57" t="str">
        <f>IF(B305="","",YEAR(C305))</f>
        <v/>
      </c>
      <c r="AF305" s="57" t="str">
        <f>IF(B305="","",MONTH(C305))</f>
        <v/>
      </c>
      <c r="AG305" s="57">
        <f>IF(ISNUMBER(C305),C305,0)</f>
        <v>0.0</v>
      </c>
      <c r="AH305" s="57" t="str">
        <f>IF(N(W305)&gt;0,COUNTIF(W$6:W305,"&gt;0"),"")</f>
        <v/>
      </c>
      <c r="AI305" s="57" t="str">
        <f>IF(Z305=1,COUNTIF(Z$6:Z305,1),"")</f>
        <v/>
      </c>
    </row>
    <row r="306">
      <c r="A306" s="54" t="n"/>
      <c r="B306" s="55" t="str">
        <f>IF(AA306="","",A306&amp;"-"&amp;RIGHT("000"&amp;AA306,4))</f>
        <v/>
      </c>
      <c r="C306" s="56" t="n"/>
      <c r="D306" s="54" t="n"/>
      <c r="E306" s="57" t="str">
        <f>IF(D306="","",IF(A306="BL",IFERROR(INDEX(cl_name,MATCH(D306,cl_code,0))&amp;"","Client inconnu"),IF(A306="BR",IFERROR(INDEX(fo_name,MATCH(D306,fo_code,0))&amp;"","Fournisseur inconnu"),IF(A306="BS",IF(ISNA(MATCH(D306,p_services,0)),"Service inconnu",D306&amp;""),""))))</f>
        <v/>
      </c>
      <c r="F306" s="58" t="n"/>
      <c r="G306" s="58" t="n"/>
      <c r="H306" s="59" t="n"/>
      <c r="I306" s="57" t="str">
        <f>IF(H306="","",IFERROR(INDEX(art_des,MATCH(H306,art_ref,0))&amp;"","Article inconnu"))</f>
        <v/>
      </c>
      <c r="J306" s="60" t="str">
        <f>IF(H306="","",IFERROR(INDEX(art_unit,MATCH(H306,art_ref,0))&amp;"",""))</f>
        <v/>
      </c>
      <c r="K306" s="59" t="n"/>
      <c r="L306" s="59" t="n"/>
      <c r="M306" s="61" t="str">
        <f>IF(OR(B306="",NOT(ISNUMBER(K306)),NOT(ISNUMBER(L306))),"",IF(OR(K306&lt;=0,L306&lt;=0),"",ROUND(L306-K306,6)))</f>
        <v/>
      </c>
      <c r="N306" s="58" t="n"/>
      <c r="O306" s="62" t="n"/>
      <c r="P306" s="63" t="str">
        <f>IF(OR(B306="",NOT(ISNUMBER(L306))),"",IF(L306&lt;=0,"",IFERROR(ROUND(L306*N(INDEX(art_w,MATCH(H306,art_ref,0))),3),"")))</f>
        <v/>
      </c>
      <c r="Q306" s="59" t="n"/>
      <c r="R306" s="54" t="n"/>
      <c r="S306" s="59" t="n"/>
      <c r="T306" s="59" t="n"/>
      <c r="U306" s="64" t="str">
        <f>IF(OR(B306="",H306=""),"",IFERROR(IF(A306="BL",IF(N(INDEX(art_price,MATCH(H306,art_ref,0)))=0,"",N(INDEX(art_price,MATCH(H306,art_ref,0)))),IF(N(INDEX(art_cost,MATCH(H306,art_ref,0)))=0,"",N(INDEX(art_cost,MATCH(H306,art_ref,0))))),""))</f>
        <v/>
      </c>
      <c r="V306" s="64" t="str">
        <f>IF(OR(U306="",NOT(ISNUMBER(L306))),"",IF(L306&lt;=0,"",ROUND(L306*U306,2)))</f>
        <v/>
      </c>
      <c r="W306" s="60" t="str">
        <f>IF(AND(B306&lt;&gt;"",A306&lt;&gt;"BS",F306&lt;&gt;"",H306&lt;&gt;"",ISNUMBER(K306),ISNUMBER(L306)),IF(AND(K306&gt;0,L306&gt;0,K306-L306&gt;0,COUNTIFS(A307:A$2005,A306,F307:F$2005,F306,H307:H$2005,H306,AA307:AA$2005,"&gt;0")=0),ROUND(K306-L306,6),""),"")</f>
        <v/>
      </c>
      <c r="X306" s="60" t="str">
        <f>IF(AND(A306="",C306="",D306="",H306="",L306=""),"",IF(A306="","Type manquant",IF(AND(A306&lt;&gt;"BL",A306&lt;&gt;"BR",A306&lt;&gt;"BS"),"Type inconnu (BL, BR ou BS)",IF(AG306=0,"Date manquante ou invalide",IF(D306="",IF(A306="BL","Client manquant",IF(A306="BR","Fournisseur manquant","Service manquant")),IF(IF(A306="BL",ISNA(MATCH(D306,cl_code,0)),IF(A306="BR",ISNA(MATCH(D306,fo_code,0)),ISNA(MATCH(D306,p_services,0)))),IF(A306="BL","Client inconnu",IF(A306="BR","Fournisseur inconnu","Service inconnu")),IF(H306="","Article manquant",IF(ISNA(MATCH(H306,art_ref,0)),"Article inconnu",IF(OR(NOT(ISNUMBER(L306)),N(L306)&lt;=0),"Quantité invalide",IF(AND(K306&lt;&gt;"",OR(NOT(ISNUMBER(K306)),N(K306)&lt;=0)),"Qté commandée invalide",IF(AG306&lt;SUMPRODUCT(MAX((A$6:A305=A306)*AG$6:AG305)),"Date antérieure au bon précédent",IF(AND(A306&lt;&gt;"BR",ISNUMBER(M306),N(M306)&gt;0),IF(A306="BL","Livré plus que commandé","Sorti plus que demandé"),"OK"))))))))))))</f>
        <v/>
      </c>
      <c r="Y306" s="57" t="str">
        <f>IF(AND(OR(A306="BL",A306="BR",A306="BS"),AG306&gt;0,D306&lt;&gt;""),A306&amp;"|"&amp;AG306&amp;"|"&amp;D306&amp;"|"&amp;F306,"")</f>
        <v/>
      </c>
      <c r="Z306" s="57" t="str">
        <f>IF(Y306="","",IF(COUNTIF(Y$6:Y305,Y306)=0,1,0))</f>
        <v/>
      </c>
      <c r="AA306" s="57" t="str">
        <f>IF(Y306="","",IF(Z306=1,COUNTIFS(A$6:A306,A306,Z$6:Z306,1),INDEX(AA$6:AA305,MATCH(Y306,Y$6:Y305,0))))</f>
        <v/>
      </c>
      <c r="AB306" s="57" t="str">
        <f>IF(B306="","",COUNTIF(B$6:B306,B306))</f>
        <v/>
      </c>
      <c r="AC306" s="57" t="str">
        <f>IF(B306="","",B306&amp;"#"&amp;AB306)</f>
        <v/>
      </c>
      <c r="AD306" s="57" t="str">
        <f>IF(Z306=1,A306&amp;AA306,"")</f>
        <v/>
      </c>
      <c r="AE306" s="57" t="str">
        <f>IF(B306="","",YEAR(C306))</f>
        <v/>
      </c>
      <c r="AF306" s="57" t="str">
        <f>IF(B306="","",MONTH(C306))</f>
        <v/>
      </c>
      <c r="AG306" s="57">
        <f>IF(ISNUMBER(C306),C306,0)</f>
        <v>0.0</v>
      </c>
      <c r="AH306" s="57" t="str">
        <f>IF(N(W306)&gt;0,COUNTIF(W$6:W306,"&gt;0"),"")</f>
        <v/>
      </c>
      <c r="AI306" s="57" t="str">
        <f>IF(Z306=1,COUNTIF(Z$6:Z306,1),"")</f>
        <v/>
      </c>
    </row>
    <row r="307">
      <c r="A307" s="54" t="n"/>
      <c r="B307" s="55" t="str">
        <f>IF(AA307="","",A307&amp;"-"&amp;RIGHT("000"&amp;AA307,4))</f>
        <v/>
      </c>
      <c r="C307" s="56" t="n"/>
      <c r="D307" s="54" t="n"/>
      <c r="E307" s="57" t="str">
        <f>IF(D307="","",IF(A307="BL",IFERROR(INDEX(cl_name,MATCH(D307,cl_code,0))&amp;"","Client inconnu"),IF(A307="BR",IFERROR(INDEX(fo_name,MATCH(D307,fo_code,0))&amp;"","Fournisseur inconnu"),IF(A307="BS",IF(ISNA(MATCH(D307,p_services,0)),"Service inconnu",D307&amp;""),""))))</f>
        <v/>
      </c>
      <c r="F307" s="58" t="n"/>
      <c r="G307" s="58" t="n"/>
      <c r="H307" s="59" t="n"/>
      <c r="I307" s="57" t="str">
        <f>IF(H307="","",IFERROR(INDEX(art_des,MATCH(H307,art_ref,0))&amp;"","Article inconnu"))</f>
        <v/>
      </c>
      <c r="J307" s="60" t="str">
        <f>IF(H307="","",IFERROR(INDEX(art_unit,MATCH(H307,art_ref,0))&amp;"",""))</f>
        <v/>
      </c>
      <c r="K307" s="59" t="n"/>
      <c r="L307" s="59" t="n"/>
      <c r="M307" s="61" t="str">
        <f>IF(OR(B307="",NOT(ISNUMBER(K307)),NOT(ISNUMBER(L307))),"",IF(OR(K307&lt;=0,L307&lt;=0),"",ROUND(L307-K307,6)))</f>
        <v/>
      </c>
      <c r="N307" s="58" t="n"/>
      <c r="O307" s="62" t="n"/>
      <c r="P307" s="63" t="str">
        <f>IF(OR(B307="",NOT(ISNUMBER(L307))),"",IF(L307&lt;=0,"",IFERROR(ROUND(L307*N(INDEX(art_w,MATCH(H307,art_ref,0))),3),"")))</f>
        <v/>
      </c>
      <c r="Q307" s="59" t="n"/>
      <c r="R307" s="54" t="n"/>
      <c r="S307" s="59" t="n"/>
      <c r="T307" s="59" t="n"/>
      <c r="U307" s="64" t="str">
        <f>IF(OR(B307="",H307=""),"",IFERROR(IF(A307="BL",IF(N(INDEX(art_price,MATCH(H307,art_ref,0)))=0,"",N(INDEX(art_price,MATCH(H307,art_ref,0)))),IF(N(INDEX(art_cost,MATCH(H307,art_ref,0)))=0,"",N(INDEX(art_cost,MATCH(H307,art_ref,0))))),""))</f>
        <v/>
      </c>
      <c r="V307" s="64" t="str">
        <f>IF(OR(U307="",NOT(ISNUMBER(L307))),"",IF(L307&lt;=0,"",ROUND(L307*U307,2)))</f>
        <v/>
      </c>
      <c r="W307" s="60" t="str">
        <f>IF(AND(B307&lt;&gt;"",A307&lt;&gt;"BS",F307&lt;&gt;"",H307&lt;&gt;"",ISNUMBER(K307),ISNUMBER(L307)),IF(AND(K307&gt;0,L307&gt;0,K307-L307&gt;0,COUNTIFS(A308:A$2005,A307,F308:F$2005,F307,H308:H$2005,H307,AA308:AA$2005,"&gt;0")=0),ROUND(K307-L307,6),""),"")</f>
        <v/>
      </c>
      <c r="X307" s="60" t="str">
        <f>IF(AND(A307="",C307="",D307="",H307="",L307=""),"",IF(A307="","Type manquant",IF(AND(A307&lt;&gt;"BL",A307&lt;&gt;"BR",A307&lt;&gt;"BS"),"Type inconnu (BL, BR ou BS)",IF(AG307=0,"Date manquante ou invalide",IF(D307="",IF(A307="BL","Client manquant",IF(A307="BR","Fournisseur manquant","Service manquant")),IF(IF(A307="BL",ISNA(MATCH(D307,cl_code,0)),IF(A307="BR",ISNA(MATCH(D307,fo_code,0)),ISNA(MATCH(D307,p_services,0)))),IF(A307="BL","Client inconnu",IF(A307="BR","Fournisseur inconnu","Service inconnu")),IF(H307="","Article manquant",IF(ISNA(MATCH(H307,art_ref,0)),"Article inconnu",IF(OR(NOT(ISNUMBER(L307)),N(L307)&lt;=0),"Quantité invalide",IF(AND(K307&lt;&gt;"",OR(NOT(ISNUMBER(K307)),N(K307)&lt;=0)),"Qté commandée invalide",IF(AG307&lt;SUMPRODUCT(MAX((A$6:A306=A307)*AG$6:AG306)),"Date antérieure au bon précédent",IF(AND(A307&lt;&gt;"BR",ISNUMBER(M307),N(M307)&gt;0),IF(A307="BL","Livré plus que commandé","Sorti plus que demandé"),"OK"))))))))))))</f>
        <v/>
      </c>
      <c r="Y307" s="57" t="str">
        <f>IF(AND(OR(A307="BL",A307="BR",A307="BS"),AG307&gt;0,D307&lt;&gt;""),A307&amp;"|"&amp;AG307&amp;"|"&amp;D307&amp;"|"&amp;F307,"")</f>
        <v/>
      </c>
      <c r="Z307" s="57" t="str">
        <f>IF(Y307="","",IF(COUNTIF(Y$6:Y306,Y307)=0,1,0))</f>
        <v/>
      </c>
      <c r="AA307" s="57" t="str">
        <f>IF(Y307="","",IF(Z307=1,COUNTIFS(A$6:A307,A307,Z$6:Z307,1),INDEX(AA$6:AA306,MATCH(Y307,Y$6:Y306,0))))</f>
        <v/>
      </c>
      <c r="AB307" s="57" t="str">
        <f>IF(B307="","",COUNTIF(B$6:B307,B307))</f>
        <v/>
      </c>
      <c r="AC307" s="57" t="str">
        <f>IF(B307="","",B307&amp;"#"&amp;AB307)</f>
        <v/>
      </c>
      <c r="AD307" s="57" t="str">
        <f>IF(Z307=1,A307&amp;AA307,"")</f>
        <v/>
      </c>
      <c r="AE307" s="57" t="str">
        <f>IF(B307="","",YEAR(C307))</f>
        <v/>
      </c>
      <c r="AF307" s="57" t="str">
        <f>IF(B307="","",MONTH(C307))</f>
        <v/>
      </c>
      <c r="AG307" s="57">
        <f>IF(ISNUMBER(C307),C307,0)</f>
        <v>0.0</v>
      </c>
      <c r="AH307" s="57" t="str">
        <f>IF(N(W307)&gt;0,COUNTIF(W$6:W307,"&gt;0"),"")</f>
        <v/>
      </c>
      <c r="AI307" s="57" t="str">
        <f>IF(Z307=1,COUNTIF(Z$6:Z307,1),"")</f>
        <v/>
      </c>
    </row>
    <row r="308">
      <c r="A308" s="54" t="n"/>
      <c r="B308" s="55" t="str">
        <f>IF(AA308="","",A308&amp;"-"&amp;RIGHT("000"&amp;AA308,4))</f>
        <v/>
      </c>
      <c r="C308" s="56" t="n"/>
      <c r="D308" s="54" t="n"/>
      <c r="E308" s="57" t="str">
        <f>IF(D308="","",IF(A308="BL",IFERROR(INDEX(cl_name,MATCH(D308,cl_code,0))&amp;"","Client inconnu"),IF(A308="BR",IFERROR(INDEX(fo_name,MATCH(D308,fo_code,0))&amp;"","Fournisseur inconnu"),IF(A308="BS",IF(ISNA(MATCH(D308,p_services,0)),"Service inconnu",D308&amp;""),""))))</f>
        <v/>
      </c>
      <c r="F308" s="58" t="n"/>
      <c r="G308" s="58" t="n"/>
      <c r="H308" s="59" t="n"/>
      <c r="I308" s="57" t="str">
        <f>IF(H308="","",IFERROR(INDEX(art_des,MATCH(H308,art_ref,0))&amp;"","Article inconnu"))</f>
        <v/>
      </c>
      <c r="J308" s="60" t="str">
        <f>IF(H308="","",IFERROR(INDEX(art_unit,MATCH(H308,art_ref,0))&amp;"",""))</f>
        <v/>
      </c>
      <c r="K308" s="59" t="n"/>
      <c r="L308" s="59" t="n"/>
      <c r="M308" s="61" t="str">
        <f>IF(OR(B308="",NOT(ISNUMBER(K308)),NOT(ISNUMBER(L308))),"",IF(OR(K308&lt;=0,L308&lt;=0),"",ROUND(L308-K308,6)))</f>
        <v/>
      </c>
      <c r="N308" s="58" t="n"/>
      <c r="O308" s="62" t="n"/>
      <c r="P308" s="63" t="str">
        <f>IF(OR(B308="",NOT(ISNUMBER(L308))),"",IF(L308&lt;=0,"",IFERROR(ROUND(L308*N(INDEX(art_w,MATCH(H308,art_ref,0))),3),"")))</f>
        <v/>
      </c>
      <c r="Q308" s="59" t="n"/>
      <c r="R308" s="54" t="n"/>
      <c r="S308" s="59" t="n"/>
      <c r="T308" s="59" t="n"/>
      <c r="U308" s="64" t="str">
        <f>IF(OR(B308="",H308=""),"",IFERROR(IF(A308="BL",IF(N(INDEX(art_price,MATCH(H308,art_ref,0)))=0,"",N(INDEX(art_price,MATCH(H308,art_ref,0)))),IF(N(INDEX(art_cost,MATCH(H308,art_ref,0)))=0,"",N(INDEX(art_cost,MATCH(H308,art_ref,0))))),""))</f>
        <v/>
      </c>
      <c r="V308" s="64" t="str">
        <f>IF(OR(U308="",NOT(ISNUMBER(L308))),"",IF(L308&lt;=0,"",ROUND(L308*U308,2)))</f>
        <v/>
      </c>
      <c r="W308" s="60" t="str">
        <f>IF(AND(B308&lt;&gt;"",A308&lt;&gt;"BS",F308&lt;&gt;"",H308&lt;&gt;"",ISNUMBER(K308),ISNUMBER(L308)),IF(AND(K308&gt;0,L308&gt;0,K308-L308&gt;0,COUNTIFS(A309:A$2005,A308,F309:F$2005,F308,H309:H$2005,H308,AA309:AA$2005,"&gt;0")=0),ROUND(K308-L308,6),""),"")</f>
        <v/>
      </c>
      <c r="X308" s="60" t="str">
        <f>IF(AND(A308="",C308="",D308="",H308="",L308=""),"",IF(A308="","Type manquant",IF(AND(A308&lt;&gt;"BL",A308&lt;&gt;"BR",A308&lt;&gt;"BS"),"Type inconnu (BL, BR ou BS)",IF(AG308=0,"Date manquante ou invalide",IF(D308="",IF(A308="BL","Client manquant",IF(A308="BR","Fournisseur manquant","Service manquant")),IF(IF(A308="BL",ISNA(MATCH(D308,cl_code,0)),IF(A308="BR",ISNA(MATCH(D308,fo_code,0)),ISNA(MATCH(D308,p_services,0)))),IF(A308="BL","Client inconnu",IF(A308="BR","Fournisseur inconnu","Service inconnu")),IF(H308="","Article manquant",IF(ISNA(MATCH(H308,art_ref,0)),"Article inconnu",IF(OR(NOT(ISNUMBER(L308)),N(L308)&lt;=0),"Quantité invalide",IF(AND(K308&lt;&gt;"",OR(NOT(ISNUMBER(K308)),N(K308)&lt;=0)),"Qté commandée invalide",IF(AG308&lt;SUMPRODUCT(MAX((A$6:A307=A308)*AG$6:AG307)),"Date antérieure au bon précédent",IF(AND(A308&lt;&gt;"BR",ISNUMBER(M308),N(M308)&gt;0),IF(A308="BL","Livré plus que commandé","Sorti plus que demandé"),"OK"))))))))))))</f>
        <v/>
      </c>
      <c r="Y308" s="57" t="str">
        <f>IF(AND(OR(A308="BL",A308="BR",A308="BS"),AG308&gt;0,D308&lt;&gt;""),A308&amp;"|"&amp;AG308&amp;"|"&amp;D308&amp;"|"&amp;F308,"")</f>
        <v/>
      </c>
      <c r="Z308" s="57" t="str">
        <f>IF(Y308="","",IF(COUNTIF(Y$6:Y307,Y308)=0,1,0))</f>
        <v/>
      </c>
      <c r="AA308" s="57" t="str">
        <f>IF(Y308="","",IF(Z308=1,COUNTIFS(A$6:A308,A308,Z$6:Z308,1),INDEX(AA$6:AA307,MATCH(Y308,Y$6:Y307,0))))</f>
        <v/>
      </c>
      <c r="AB308" s="57" t="str">
        <f>IF(B308="","",COUNTIF(B$6:B308,B308))</f>
        <v/>
      </c>
      <c r="AC308" s="57" t="str">
        <f>IF(B308="","",B308&amp;"#"&amp;AB308)</f>
        <v/>
      </c>
      <c r="AD308" s="57" t="str">
        <f>IF(Z308=1,A308&amp;AA308,"")</f>
        <v/>
      </c>
      <c r="AE308" s="57" t="str">
        <f>IF(B308="","",YEAR(C308))</f>
        <v/>
      </c>
      <c r="AF308" s="57" t="str">
        <f>IF(B308="","",MONTH(C308))</f>
        <v/>
      </c>
      <c r="AG308" s="57">
        <f>IF(ISNUMBER(C308),C308,0)</f>
        <v>0.0</v>
      </c>
      <c r="AH308" s="57" t="str">
        <f>IF(N(W308)&gt;0,COUNTIF(W$6:W308,"&gt;0"),"")</f>
        <v/>
      </c>
      <c r="AI308" s="57" t="str">
        <f>IF(Z308=1,COUNTIF(Z$6:Z308,1),"")</f>
        <v/>
      </c>
    </row>
    <row r="309">
      <c r="A309" s="54" t="n"/>
      <c r="B309" s="55" t="str">
        <f>IF(AA309="","",A309&amp;"-"&amp;RIGHT("000"&amp;AA309,4))</f>
        <v/>
      </c>
      <c r="C309" s="56" t="n"/>
      <c r="D309" s="54" t="n"/>
      <c r="E309" s="57" t="str">
        <f>IF(D309="","",IF(A309="BL",IFERROR(INDEX(cl_name,MATCH(D309,cl_code,0))&amp;"","Client inconnu"),IF(A309="BR",IFERROR(INDEX(fo_name,MATCH(D309,fo_code,0))&amp;"","Fournisseur inconnu"),IF(A309="BS",IF(ISNA(MATCH(D309,p_services,0)),"Service inconnu",D309&amp;""),""))))</f>
        <v/>
      </c>
      <c r="F309" s="58" t="n"/>
      <c r="G309" s="58" t="n"/>
      <c r="H309" s="59" t="n"/>
      <c r="I309" s="57" t="str">
        <f>IF(H309="","",IFERROR(INDEX(art_des,MATCH(H309,art_ref,0))&amp;"","Article inconnu"))</f>
        <v/>
      </c>
      <c r="J309" s="60" t="str">
        <f>IF(H309="","",IFERROR(INDEX(art_unit,MATCH(H309,art_ref,0))&amp;"",""))</f>
        <v/>
      </c>
      <c r="K309" s="59" t="n"/>
      <c r="L309" s="59" t="n"/>
      <c r="M309" s="61" t="str">
        <f>IF(OR(B309="",NOT(ISNUMBER(K309)),NOT(ISNUMBER(L309))),"",IF(OR(K309&lt;=0,L309&lt;=0),"",ROUND(L309-K309,6)))</f>
        <v/>
      </c>
      <c r="N309" s="58" t="n"/>
      <c r="O309" s="62" t="n"/>
      <c r="P309" s="63" t="str">
        <f>IF(OR(B309="",NOT(ISNUMBER(L309))),"",IF(L309&lt;=0,"",IFERROR(ROUND(L309*N(INDEX(art_w,MATCH(H309,art_ref,0))),3),"")))</f>
        <v/>
      </c>
      <c r="Q309" s="59" t="n"/>
      <c r="R309" s="54" t="n"/>
      <c r="S309" s="59" t="n"/>
      <c r="T309" s="59" t="n"/>
      <c r="U309" s="64" t="str">
        <f>IF(OR(B309="",H309=""),"",IFERROR(IF(A309="BL",IF(N(INDEX(art_price,MATCH(H309,art_ref,0)))=0,"",N(INDEX(art_price,MATCH(H309,art_ref,0)))),IF(N(INDEX(art_cost,MATCH(H309,art_ref,0)))=0,"",N(INDEX(art_cost,MATCH(H309,art_ref,0))))),""))</f>
        <v/>
      </c>
      <c r="V309" s="64" t="str">
        <f>IF(OR(U309="",NOT(ISNUMBER(L309))),"",IF(L309&lt;=0,"",ROUND(L309*U309,2)))</f>
        <v/>
      </c>
      <c r="W309" s="60" t="str">
        <f>IF(AND(B309&lt;&gt;"",A309&lt;&gt;"BS",F309&lt;&gt;"",H309&lt;&gt;"",ISNUMBER(K309),ISNUMBER(L309)),IF(AND(K309&gt;0,L309&gt;0,K309-L309&gt;0,COUNTIFS(A310:A$2005,A309,F310:F$2005,F309,H310:H$2005,H309,AA310:AA$2005,"&gt;0")=0),ROUND(K309-L309,6),""),"")</f>
        <v/>
      </c>
      <c r="X309" s="60" t="str">
        <f>IF(AND(A309="",C309="",D309="",H309="",L309=""),"",IF(A309="","Type manquant",IF(AND(A309&lt;&gt;"BL",A309&lt;&gt;"BR",A309&lt;&gt;"BS"),"Type inconnu (BL, BR ou BS)",IF(AG309=0,"Date manquante ou invalide",IF(D309="",IF(A309="BL","Client manquant",IF(A309="BR","Fournisseur manquant","Service manquant")),IF(IF(A309="BL",ISNA(MATCH(D309,cl_code,0)),IF(A309="BR",ISNA(MATCH(D309,fo_code,0)),ISNA(MATCH(D309,p_services,0)))),IF(A309="BL","Client inconnu",IF(A309="BR","Fournisseur inconnu","Service inconnu")),IF(H309="","Article manquant",IF(ISNA(MATCH(H309,art_ref,0)),"Article inconnu",IF(OR(NOT(ISNUMBER(L309)),N(L309)&lt;=0),"Quantité invalide",IF(AND(K309&lt;&gt;"",OR(NOT(ISNUMBER(K309)),N(K309)&lt;=0)),"Qté commandée invalide",IF(AG309&lt;SUMPRODUCT(MAX((A$6:A308=A309)*AG$6:AG308)),"Date antérieure au bon précédent",IF(AND(A309&lt;&gt;"BR",ISNUMBER(M309),N(M309)&gt;0),IF(A309="BL","Livré plus que commandé","Sorti plus que demandé"),"OK"))))))))))))</f>
        <v/>
      </c>
      <c r="Y309" s="57" t="str">
        <f>IF(AND(OR(A309="BL",A309="BR",A309="BS"),AG309&gt;0,D309&lt;&gt;""),A309&amp;"|"&amp;AG309&amp;"|"&amp;D309&amp;"|"&amp;F309,"")</f>
        <v/>
      </c>
      <c r="Z309" s="57" t="str">
        <f>IF(Y309="","",IF(COUNTIF(Y$6:Y308,Y309)=0,1,0))</f>
        <v/>
      </c>
      <c r="AA309" s="57" t="str">
        <f>IF(Y309="","",IF(Z309=1,COUNTIFS(A$6:A309,A309,Z$6:Z309,1),INDEX(AA$6:AA308,MATCH(Y309,Y$6:Y308,0))))</f>
        <v/>
      </c>
      <c r="AB309" s="57" t="str">
        <f>IF(B309="","",COUNTIF(B$6:B309,B309))</f>
        <v/>
      </c>
      <c r="AC309" s="57" t="str">
        <f>IF(B309="","",B309&amp;"#"&amp;AB309)</f>
        <v/>
      </c>
      <c r="AD309" s="57" t="str">
        <f>IF(Z309=1,A309&amp;AA309,"")</f>
        <v/>
      </c>
      <c r="AE309" s="57" t="str">
        <f>IF(B309="","",YEAR(C309))</f>
        <v/>
      </c>
      <c r="AF309" s="57" t="str">
        <f>IF(B309="","",MONTH(C309))</f>
        <v/>
      </c>
      <c r="AG309" s="57">
        <f>IF(ISNUMBER(C309),C309,0)</f>
        <v>0.0</v>
      </c>
      <c r="AH309" s="57" t="str">
        <f>IF(N(W309)&gt;0,COUNTIF(W$6:W309,"&gt;0"),"")</f>
        <v/>
      </c>
      <c r="AI309" s="57" t="str">
        <f>IF(Z309=1,COUNTIF(Z$6:Z309,1),"")</f>
        <v/>
      </c>
    </row>
    <row r="310">
      <c r="A310" s="54" t="n"/>
      <c r="B310" s="55" t="str">
        <f>IF(AA310="","",A310&amp;"-"&amp;RIGHT("000"&amp;AA310,4))</f>
        <v/>
      </c>
      <c r="C310" s="56" t="n"/>
      <c r="D310" s="54" t="n"/>
      <c r="E310" s="57" t="str">
        <f>IF(D310="","",IF(A310="BL",IFERROR(INDEX(cl_name,MATCH(D310,cl_code,0))&amp;"","Client inconnu"),IF(A310="BR",IFERROR(INDEX(fo_name,MATCH(D310,fo_code,0))&amp;"","Fournisseur inconnu"),IF(A310="BS",IF(ISNA(MATCH(D310,p_services,0)),"Service inconnu",D310&amp;""),""))))</f>
        <v/>
      </c>
      <c r="F310" s="58" t="n"/>
      <c r="G310" s="58" t="n"/>
      <c r="H310" s="59" t="n"/>
      <c r="I310" s="57" t="str">
        <f>IF(H310="","",IFERROR(INDEX(art_des,MATCH(H310,art_ref,0))&amp;"","Article inconnu"))</f>
        <v/>
      </c>
      <c r="J310" s="60" t="str">
        <f>IF(H310="","",IFERROR(INDEX(art_unit,MATCH(H310,art_ref,0))&amp;"",""))</f>
        <v/>
      </c>
      <c r="K310" s="59" t="n"/>
      <c r="L310" s="59" t="n"/>
      <c r="M310" s="61" t="str">
        <f>IF(OR(B310="",NOT(ISNUMBER(K310)),NOT(ISNUMBER(L310))),"",IF(OR(K310&lt;=0,L310&lt;=0),"",ROUND(L310-K310,6)))</f>
        <v/>
      </c>
      <c r="N310" s="58" t="n"/>
      <c r="O310" s="62" t="n"/>
      <c r="P310" s="63" t="str">
        <f>IF(OR(B310="",NOT(ISNUMBER(L310))),"",IF(L310&lt;=0,"",IFERROR(ROUND(L310*N(INDEX(art_w,MATCH(H310,art_ref,0))),3),"")))</f>
        <v/>
      </c>
      <c r="Q310" s="59" t="n"/>
      <c r="R310" s="54" t="n"/>
      <c r="S310" s="59" t="n"/>
      <c r="T310" s="59" t="n"/>
      <c r="U310" s="64" t="str">
        <f>IF(OR(B310="",H310=""),"",IFERROR(IF(A310="BL",IF(N(INDEX(art_price,MATCH(H310,art_ref,0)))=0,"",N(INDEX(art_price,MATCH(H310,art_ref,0)))),IF(N(INDEX(art_cost,MATCH(H310,art_ref,0)))=0,"",N(INDEX(art_cost,MATCH(H310,art_ref,0))))),""))</f>
        <v/>
      </c>
      <c r="V310" s="64" t="str">
        <f>IF(OR(U310="",NOT(ISNUMBER(L310))),"",IF(L310&lt;=0,"",ROUND(L310*U310,2)))</f>
        <v/>
      </c>
      <c r="W310" s="60" t="str">
        <f>IF(AND(B310&lt;&gt;"",A310&lt;&gt;"BS",F310&lt;&gt;"",H310&lt;&gt;"",ISNUMBER(K310),ISNUMBER(L310)),IF(AND(K310&gt;0,L310&gt;0,K310-L310&gt;0,COUNTIFS(A311:A$2005,A310,F311:F$2005,F310,H311:H$2005,H310,AA311:AA$2005,"&gt;0")=0),ROUND(K310-L310,6),""),"")</f>
        <v/>
      </c>
      <c r="X310" s="60" t="str">
        <f>IF(AND(A310="",C310="",D310="",H310="",L310=""),"",IF(A310="","Type manquant",IF(AND(A310&lt;&gt;"BL",A310&lt;&gt;"BR",A310&lt;&gt;"BS"),"Type inconnu (BL, BR ou BS)",IF(AG310=0,"Date manquante ou invalide",IF(D310="",IF(A310="BL","Client manquant",IF(A310="BR","Fournisseur manquant","Service manquant")),IF(IF(A310="BL",ISNA(MATCH(D310,cl_code,0)),IF(A310="BR",ISNA(MATCH(D310,fo_code,0)),ISNA(MATCH(D310,p_services,0)))),IF(A310="BL","Client inconnu",IF(A310="BR","Fournisseur inconnu","Service inconnu")),IF(H310="","Article manquant",IF(ISNA(MATCH(H310,art_ref,0)),"Article inconnu",IF(OR(NOT(ISNUMBER(L310)),N(L310)&lt;=0),"Quantité invalide",IF(AND(K310&lt;&gt;"",OR(NOT(ISNUMBER(K310)),N(K310)&lt;=0)),"Qté commandée invalide",IF(AG310&lt;SUMPRODUCT(MAX((A$6:A309=A310)*AG$6:AG309)),"Date antérieure au bon précédent",IF(AND(A310&lt;&gt;"BR",ISNUMBER(M310),N(M310)&gt;0),IF(A310="BL","Livré plus que commandé","Sorti plus que demandé"),"OK"))))))))))))</f>
        <v/>
      </c>
      <c r="Y310" s="57" t="str">
        <f>IF(AND(OR(A310="BL",A310="BR",A310="BS"),AG310&gt;0,D310&lt;&gt;""),A310&amp;"|"&amp;AG310&amp;"|"&amp;D310&amp;"|"&amp;F310,"")</f>
        <v/>
      </c>
      <c r="Z310" s="57" t="str">
        <f>IF(Y310="","",IF(COUNTIF(Y$6:Y309,Y310)=0,1,0))</f>
        <v/>
      </c>
      <c r="AA310" s="57" t="str">
        <f>IF(Y310="","",IF(Z310=1,COUNTIFS(A$6:A310,A310,Z$6:Z310,1),INDEX(AA$6:AA309,MATCH(Y310,Y$6:Y309,0))))</f>
        <v/>
      </c>
      <c r="AB310" s="57" t="str">
        <f>IF(B310="","",COUNTIF(B$6:B310,B310))</f>
        <v/>
      </c>
      <c r="AC310" s="57" t="str">
        <f>IF(B310="","",B310&amp;"#"&amp;AB310)</f>
        <v/>
      </c>
      <c r="AD310" s="57" t="str">
        <f>IF(Z310=1,A310&amp;AA310,"")</f>
        <v/>
      </c>
      <c r="AE310" s="57" t="str">
        <f>IF(B310="","",YEAR(C310))</f>
        <v/>
      </c>
      <c r="AF310" s="57" t="str">
        <f>IF(B310="","",MONTH(C310))</f>
        <v/>
      </c>
      <c r="AG310" s="57">
        <f>IF(ISNUMBER(C310),C310,0)</f>
        <v>0.0</v>
      </c>
      <c r="AH310" s="57" t="str">
        <f>IF(N(W310)&gt;0,COUNTIF(W$6:W310,"&gt;0"),"")</f>
        <v/>
      </c>
      <c r="AI310" s="57" t="str">
        <f>IF(Z310=1,COUNTIF(Z$6:Z310,1),"")</f>
        <v/>
      </c>
    </row>
    <row r="311">
      <c r="A311" s="54" t="n"/>
      <c r="B311" s="55" t="str">
        <f>IF(AA311="","",A311&amp;"-"&amp;RIGHT("000"&amp;AA311,4))</f>
        <v/>
      </c>
      <c r="C311" s="56" t="n"/>
      <c r="D311" s="54" t="n"/>
      <c r="E311" s="57" t="str">
        <f>IF(D311="","",IF(A311="BL",IFERROR(INDEX(cl_name,MATCH(D311,cl_code,0))&amp;"","Client inconnu"),IF(A311="BR",IFERROR(INDEX(fo_name,MATCH(D311,fo_code,0))&amp;"","Fournisseur inconnu"),IF(A311="BS",IF(ISNA(MATCH(D311,p_services,0)),"Service inconnu",D311&amp;""),""))))</f>
        <v/>
      </c>
      <c r="F311" s="58" t="n"/>
      <c r="G311" s="58" t="n"/>
      <c r="H311" s="59" t="n"/>
      <c r="I311" s="57" t="str">
        <f>IF(H311="","",IFERROR(INDEX(art_des,MATCH(H311,art_ref,0))&amp;"","Article inconnu"))</f>
        <v/>
      </c>
      <c r="J311" s="60" t="str">
        <f>IF(H311="","",IFERROR(INDEX(art_unit,MATCH(H311,art_ref,0))&amp;"",""))</f>
        <v/>
      </c>
      <c r="K311" s="59" t="n"/>
      <c r="L311" s="59" t="n"/>
      <c r="M311" s="61" t="str">
        <f>IF(OR(B311="",NOT(ISNUMBER(K311)),NOT(ISNUMBER(L311))),"",IF(OR(K311&lt;=0,L311&lt;=0),"",ROUND(L311-K311,6)))</f>
        <v/>
      </c>
      <c r="N311" s="58" t="n"/>
      <c r="O311" s="62" t="n"/>
      <c r="P311" s="63" t="str">
        <f>IF(OR(B311="",NOT(ISNUMBER(L311))),"",IF(L311&lt;=0,"",IFERROR(ROUND(L311*N(INDEX(art_w,MATCH(H311,art_ref,0))),3),"")))</f>
        <v/>
      </c>
      <c r="Q311" s="59" t="n"/>
      <c r="R311" s="54" t="n"/>
      <c r="S311" s="59" t="n"/>
      <c r="T311" s="59" t="n"/>
      <c r="U311" s="64" t="str">
        <f>IF(OR(B311="",H311=""),"",IFERROR(IF(A311="BL",IF(N(INDEX(art_price,MATCH(H311,art_ref,0)))=0,"",N(INDEX(art_price,MATCH(H311,art_ref,0)))),IF(N(INDEX(art_cost,MATCH(H311,art_ref,0)))=0,"",N(INDEX(art_cost,MATCH(H311,art_ref,0))))),""))</f>
        <v/>
      </c>
      <c r="V311" s="64" t="str">
        <f>IF(OR(U311="",NOT(ISNUMBER(L311))),"",IF(L311&lt;=0,"",ROUND(L311*U311,2)))</f>
        <v/>
      </c>
      <c r="W311" s="60" t="str">
        <f>IF(AND(B311&lt;&gt;"",A311&lt;&gt;"BS",F311&lt;&gt;"",H311&lt;&gt;"",ISNUMBER(K311),ISNUMBER(L311)),IF(AND(K311&gt;0,L311&gt;0,K311-L311&gt;0,COUNTIFS(A312:A$2005,A311,F312:F$2005,F311,H312:H$2005,H311,AA312:AA$2005,"&gt;0")=0),ROUND(K311-L311,6),""),"")</f>
        <v/>
      </c>
      <c r="X311" s="60" t="str">
        <f>IF(AND(A311="",C311="",D311="",H311="",L311=""),"",IF(A311="","Type manquant",IF(AND(A311&lt;&gt;"BL",A311&lt;&gt;"BR",A311&lt;&gt;"BS"),"Type inconnu (BL, BR ou BS)",IF(AG311=0,"Date manquante ou invalide",IF(D311="",IF(A311="BL","Client manquant",IF(A311="BR","Fournisseur manquant","Service manquant")),IF(IF(A311="BL",ISNA(MATCH(D311,cl_code,0)),IF(A311="BR",ISNA(MATCH(D311,fo_code,0)),ISNA(MATCH(D311,p_services,0)))),IF(A311="BL","Client inconnu",IF(A311="BR","Fournisseur inconnu","Service inconnu")),IF(H311="","Article manquant",IF(ISNA(MATCH(H311,art_ref,0)),"Article inconnu",IF(OR(NOT(ISNUMBER(L311)),N(L311)&lt;=0),"Quantité invalide",IF(AND(K311&lt;&gt;"",OR(NOT(ISNUMBER(K311)),N(K311)&lt;=0)),"Qté commandée invalide",IF(AG311&lt;SUMPRODUCT(MAX((A$6:A310=A311)*AG$6:AG310)),"Date antérieure au bon précédent",IF(AND(A311&lt;&gt;"BR",ISNUMBER(M311),N(M311)&gt;0),IF(A311="BL","Livré plus que commandé","Sorti plus que demandé"),"OK"))))))))))))</f>
        <v/>
      </c>
      <c r="Y311" s="57" t="str">
        <f>IF(AND(OR(A311="BL",A311="BR",A311="BS"),AG311&gt;0,D311&lt;&gt;""),A311&amp;"|"&amp;AG311&amp;"|"&amp;D311&amp;"|"&amp;F311,"")</f>
        <v/>
      </c>
      <c r="Z311" s="57" t="str">
        <f>IF(Y311="","",IF(COUNTIF(Y$6:Y310,Y311)=0,1,0))</f>
        <v/>
      </c>
      <c r="AA311" s="57" t="str">
        <f>IF(Y311="","",IF(Z311=1,COUNTIFS(A$6:A311,A311,Z$6:Z311,1),INDEX(AA$6:AA310,MATCH(Y311,Y$6:Y310,0))))</f>
        <v/>
      </c>
      <c r="AB311" s="57" t="str">
        <f>IF(B311="","",COUNTIF(B$6:B311,B311))</f>
        <v/>
      </c>
      <c r="AC311" s="57" t="str">
        <f>IF(B311="","",B311&amp;"#"&amp;AB311)</f>
        <v/>
      </c>
      <c r="AD311" s="57" t="str">
        <f>IF(Z311=1,A311&amp;AA311,"")</f>
        <v/>
      </c>
      <c r="AE311" s="57" t="str">
        <f>IF(B311="","",YEAR(C311))</f>
        <v/>
      </c>
      <c r="AF311" s="57" t="str">
        <f>IF(B311="","",MONTH(C311))</f>
        <v/>
      </c>
      <c r="AG311" s="57">
        <f>IF(ISNUMBER(C311),C311,0)</f>
        <v>0.0</v>
      </c>
      <c r="AH311" s="57" t="str">
        <f>IF(N(W311)&gt;0,COUNTIF(W$6:W311,"&gt;0"),"")</f>
        <v/>
      </c>
      <c r="AI311" s="57" t="str">
        <f>IF(Z311=1,COUNTIF(Z$6:Z311,1),"")</f>
        <v/>
      </c>
    </row>
    <row r="312">
      <c r="A312" s="54" t="n"/>
      <c r="B312" s="55" t="str">
        <f>IF(AA312="","",A312&amp;"-"&amp;RIGHT("000"&amp;AA312,4))</f>
        <v/>
      </c>
      <c r="C312" s="56" t="n"/>
      <c r="D312" s="54" t="n"/>
      <c r="E312" s="57" t="str">
        <f>IF(D312="","",IF(A312="BL",IFERROR(INDEX(cl_name,MATCH(D312,cl_code,0))&amp;"","Client inconnu"),IF(A312="BR",IFERROR(INDEX(fo_name,MATCH(D312,fo_code,0))&amp;"","Fournisseur inconnu"),IF(A312="BS",IF(ISNA(MATCH(D312,p_services,0)),"Service inconnu",D312&amp;""),""))))</f>
        <v/>
      </c>
      <c r="F312" s="58" t="n"/>
      <c r="G312" s="58" t="n"/>
      <c r="H312" s="59" t="n"/>
      <c r="I312" s="57" t="str">
        <f>IF(H312="","",IFERROR(INDEX(art_des,MATCH(H312,art_ref,0))&amp;"","Article inconnu"))</f>
        <v/>
      </c>
      <c r="J312" s="60" t="str">
        <f>IF(H312="","",IFERROR(INDEX(art_unit,MATCH(H312,art_ref,0))&amp;"",""))</f>
        <v/>
      </c>
      <c r="K312" s="59" t="n"/>
      <c r="L312" s="59" t="n"/>
      <c r="M312" s="61" t="str">
        <f>IF(OR(B312="",NOT(ISNUMBER(K312)),NOT(ISNUMBER(L312))),"",IF(OR(K312&lt;=0,L312&lt;=0),"",ROUND(L312-K312,6)))</f>
        <v/>
      </c>
      <c r="N312" s="58" t="n"/>
      <c r="O312" s="62" t="n"/>
      <c r="P312" s="63" t="str">
        <f>IF(OR(B312="",NOT(ISNUMBER(L312))),"",IF(L312&lt;=0,"",IFERROR(ROUND(L312*N(INDEX(art_w,MATCH(H312,art_ref,0))),3),"")))</f>
        <v/>
      </c>
      <c r="Q312" s="59" t="n"/>
      <c r="R312" s="54" t="n"/>
      <c r="S312" s="59" t="n"/>
      <c r="T312" s="59" t="n"/>
      <c r="U312" s="64" t="str">
        <f>IF(OR(B312="",H312=""),"",IFERROR(IF(A312="BL",IF(N(INDEX(art_price,MATCH(H312,art_ref,0)))=0,"",N(INDEX(art_price,MATCH(H312,art_ref,0)))),IF(N(INDEX(art_cost,MATCH(H312,art_ref,0)))=0,"",N(INDEX(art_cost,MATCH(H312,art_ref,0))))),""))</f>
        <v/>
      </c>
      <c r="V312" s="64" t="str">
        <f>IF(OR(U312="",NOT(ISNUMBER(L312))),"",IF(L312&lt;=0,"",ROUND(L312*U312,2)))</f>
        <v/>
      </c>
      <c r="W312" s="60" t="str">
        <f>IF(AND(B312&lt;&gt;"",A312&lt;&gt;"BS",F312&lt;&gt;"",H312&lt;&gt;"",ISNUMBER(K312),ISNUMBER(L312)),IF(AND(K312&gt;0,L312&gt;0,K312-L312&gt;0,COUNTIFS(A313:A$2005,A312,F313:F$2005,F312,H313:H$2005,H312,AA313:AA$2005,"&gt;0")=0),ROUND(K312-L312,6),""),"")</f>
        <v/>
      </c>
      <c r="X312" s="60" t="str">
        <f>IF(AND(A312="",C312="",D312="",H312="",L312=""),"",IF(A312="","Type manquant",IF(AND(A312&lt;&gt;"BL",A312&lt;&gt;"BR",A312&lt;&gt;"BS"),"Type inconnu (BL, BR ou BS)",IF(AG312=0,"Date manquante ou invalide",IF(D312="",IF(A312="BL","Client manquant",IF(A312="BR","Fournisseur manquant","Service manquant")),IF(IF(A312="BL",ISNA(MATCH(D312,cl_code,0)),IF(A312="BR",ISNA(MATCH(D312,fo_code,0)),ISNA(MATCH(D312,p_services,0)))),IF(A312="BL","Client inconnu",IF(A312="BR","Fournisseur inconnu","Service inconnu")),IF(H312="","Article manquant",IF(ISNA(MATCH(H312,art_ref,0)),"Article inconnu",IF(OR(NOT(ISNUMBER(L312)),N(L312)&lt;=0),"Quantité invalide",IF(AND(K312&lt;&gt;"",OR(NOT(ISNUMBER(K312)),N(K312)&lt;=0)),"Qté commandée invalide",IF(AG312&lt;SUMPRODUCT(MAX((A$6:A311=A312)*AG$6:AG311)),"Date antérieure au bon précédent",IF(AND(A312&lt;&gt;"BR",ISNUMBER(M312),N(M312)&gt;0),IF(A312="BL","Livré plus que commandé","Sorti plus que demandé"),"OK"))))))))))))</f>
        <v/>
      </c>
      <c r="Y312" s="57" t="str">
        <f>IF(AND(OR(A312="BL",A312="BR",A312="BS"),AG312&gt;0,D312&lt;&gt;""),A312&amp;"|"&amp;AG312&amp;"|"&amp;D312&amp;"|"&amp;F312,"")</f>
        <v/>
      </c>
      <c r="Z312" s="57" t="str">
        <f>IF(Y312="","",IF(COUNTIF(Y$6:Y311,Y312)=0,1,0))</f>
        <v/>
      </c>
      <c r="AA312" s="57" t="str">
        <f>IF(Y312="","",IF(Z312=1,COUNTIFS(A$6:A312,A312,Z$6:Z312,1),INDEX(AA$6:AA311,MATCH(Y312,Y$6:Y311,0))))</f>
        <v/>
      </c>
      <c r="AB312" s="57" t="str">
        <f>IF(B312="","",COUNTIF(B$6:B312,B312))</f>
        <v/>
      </c>
      <c r="AC312" s="57" t="str">
        <f>IF(B312="","",B312&amp;"#"&amp;AB312)</f>
        <v/>
      </c>
      <c r="AD312" s="57" t="str">
        <f>IF(Z312=1,A312&amp;AA312,"")</f>
        <v/>
      </c>
      <c r="AE312" s="57" t="str">
        <f>IF(B312="","",YEAR(C312))</f>
        <v/>
      </c>
      <c r="AF312" s="57" t="str">
        <f>IF(B312="","",MONTH(C312))</f>
        <v/>
      </c>
      <c r="AG312" s="57">
        <f>IF(ISNUMBER(C312),C312,0)</f>
        <v>0.0</v>
      </c>
      <c r="AH312" s="57" t="str">
        <f>IF(N(W312)&gt;0,COUNTIF(W$6:W312,"&gt;0"),"")</f>
        <v/>
      </c>
      <c r="AI312" s="57" t="str">
        <f>IF(Z312=1,COUNTIF(Z$6:Z312,1),"")</f>
        <v/>
      </c>
    </row>
    <row r="313">
      <c r="A313" s="54" t="n"/>
      <c r="B313" s="55" t="str">
        <f>IF(AA313="","",A313&amp;"-"&amp;RIGHT("000"&amp;AA313,4))</f>
        <v/>
      </c>
      <c r="C313" s="56" t="n"/>
      <c r="D313" s="54" t="n"/>
      <c r="E313" s="57" t="str">
        <f>IF(D313="","",IF(A313="BL",IFERROR(INDEX(cl_name,MATCH(D313,cl_code,0))&amp;"","Client inconnu"),IF(A313="BR",IFERROR(INDEX(fo_name,MATCH(D313,fo_code,0))&amp;"","Fournisseur inconnu"),IF(A313="BS",IF(ISNA(MATCH(D313,p_services,0)),"Service inconnu",D313&amp;""),""))))</f>
        <v/>
      </c>
      <c r="F313" s="58" t="n"/>
      <c r="G313" s="58" t="n"/>
      <c r="H313" s="59" t="n"/>
      <c r="I313" s="57" t="str">
        <f>IF(H313="","",IFERROR(INDEX(art_des,MATCH(H313,art_ref,0))&amp;"","Article inconnu"))</f>
        <v/>
      </c>
      <c r="J313" s="60" t="str">
        <f>IF(H313="","",IFERROR(INDEX(art_unit,MATCH(H313,art_ref,0))&amp;"",""))</f>
        <v/>
      </c>
      <c r="K313" s="59" t="n"/>
      <c r="L313" s="59" t="n"/>
      <c r="M313" s="61" t="str">
        <f>IF(OR(B313="",NOT(ISNUMBER(K313)),NOT(ISNUMBER(L313))),"",IF(OR(K313&lt;=0,L313&lt;=0),"",ROUND(L313-K313,6)))</f>
        <v/>
      </c>
      <c r="N313" s="58" t="n"/>
      <c r="O313" s="62" t="n"/>
      <c r="P313" s="63" t="str">
        <f>IF(OR(B313="",NOT(ISNUMBER(L313))),"",IF(L313&lt;=0,"",IFERROR(ROUND(L313*N(INDEX(art_w,MATCH(H313,art_ref,0))),3),"")))</f>
        <v/>
      </c>
      <c r="Q313" s="59" t="n"/>
      <c r="R313" s="54" t="n"/>
      <c r="S313" s="59" t="n"/>
      <c r="T313" s="59" t="n"/>
      <c r="U313" s="64" t="str">
        <f>IF(OR(B313="",H313=""),"",IFERROR(IF(A313="BL",IF(N(INDEX(art_price,MATCH(H313,art_ref,0)))=0,"",N(INDEX(art_price,MATCH(H313,art_ref,0)))),IF(N(INDEX(art_cost,MATCH(H313,art_ref,0)))=0,"",N(INDEX(art_cost,MATCH(H313,art_ref,0))))),""))</f>
        <v/>
      </c>
      <c r="V313" s="64" t="str">
        <f>IF(OR(U313="",NOT(ISNUMBER(L313))),"",IF(L313&lt;=0,"",ROUND(L313*U313,2)))</f>
        <v/>
      </c>
      <c r="W313" s="60" t="str">
        <f>IF(AND(B313&lt;&gt;"",A313&lt;&gt;"BS",F313&lt;&gt;"",H313&lt;&gt;"",ISNUMBER(K313),ISNUMBER(L313)),IF(AND(K313&gt;0,L313&gt;0,K313-L313&gt;0,COUNTIFS(A314:A$2005,A313,F314:F$2005,F313,H314:H$2005,H313,AA314:AA$2005,"&gt;0")=0),ROUND(K313-L313,6),""),"")</f>
        <v/>
      </c>
      <c r="X313" s="60" t="str">
        <f>IF(AND(A313="",C313="",D313="",H313="",L313=""),"",IF(A313="","Type manquant",IF(AND(A313&lt;&gt;"BL",A313&lt;&gt;"BR",A313&lt;&gt;"BS"),"Type inconnu (BL, BR ou BS)",IF(AG313=0,"Date manquante ou invalide",IF(D313="",IF(A313="BL","Client manquant",IF(A313="BR","Fournisseur manquant","Service manquant")),IF(IF(A313="BL",ISNA(MATCH(D313,cl_code,0)),IF(A313="BR",ISNA(MATCH(D313,fo_code,0)),ISNA(MATCH(D313,p_services,0)))),IF(A313="BL","Client inconnu",IF(A313="BR","Fournisseur inconnu","Service inconnu")),IF(H313="","Article manquant",IF(ISNA(MATCH(H313,art_ref,0)),"Article inconnu",IF(OR(NOT(ISNUMBER(L313)),N(L313)&lt;=0),"Quantité invalide",IF(AND(K313&lt;&gt;"",OR(NOT(ISNUMBER(K313)),N(K313)&lt;=0)),"Qté commandée invalide",IF(AG313&lt;SUMPRODUCT(MAX((A$6:A312=A313)*AG$6:AG312)),"Date antérieure au bon précédent",IF(AND(A313&lt;&gt;"BR",ISNUMBER(M313),N(M313)&gt;0),IF(A313="BL","Livré plus que commandé","Sorti plus que demandé"),"OK"))))))))))))</f>
        <v/>
      </c>
      <c r="Y313" s="57" t="str">
        <f>IF(AND(OR(A313="BL",A313="BR",A313="BS"),AG313&gt;0,D313&lt;&gt;""),A313&amp;"|"&amp;AG313&amp;"|"&amp;D313&amp;"|"&amp;F313,"")</f>
        <v/>
      </c>
      <c r="Z313" s="57" t="str">
        <f>IF(Y313="","",IF(COUNTIF(Y$6:Y312,Y313)=0,1,0))</f>
        <v/>
      </c>
      <c r="AA313" s="57" t="str">
        <f>IF(Y313="","",IF(Z313=1,COUNTIFS(A$6:A313,A313,Z$6:Z313,1),INDEX(AA$6:AA312,MATCH(Y313,Y$6:Y312,0))))</f>
        <v/>
      </c>
      <c r="AB313" s="57" t="str">
        <f>IF(B313="","",COUNTIF(B$6:B313,B313))</f>
        <v/>
      </c>
      <c r="AC313" s="57" t="str">
        <f>IF(B313="","",B313&amp;"#"&amp;AB313)</f>
        <v/>
      </c>
      <c r="AD313" s="57" t="str">
        <f>IF(Z313=1,A313&amp;AA313,"")</f>
        <v/>
      </c>
      <c r="AE313" s="57" t="str">
        <f>IF(B313="","",YEAR(C313))</f>
        <v/>
      </c>
      <c r="AF313" s="57" t="str">
        <f>IF(B313="","",MONTH(C313))</f>
        <v/>
      </c>
      <c r="AG313" s="57">
        <f>IF(ISNUMBER(C313),C313,0)</f>
        <v>0.0</v>
      </c>
      <c r="AH313" s="57" t="str">
        <f>IF(N(W313)&gt;0,COUNTIF(W$6:W313,"&gt;0"),"")</f>
        <v/>
      </c>
      <c r="AI313" s="57" t="str">
        <f>IF(Z313=1,COUNTIF(Z$6:Z313,1),"")</f>
        <v/>
      </c>
    </row>
    <row r="314">
      <c r="A314" s="54" t="n"/>
      <c r="B314" s="55" t="str">
        <f>IF(AA314="","",A314&amp;"-"&amp;RIGHT("000"&amp;AA314,4))</f>
        <v/>
      </c>
      <c r="C314" s="56" t="n"/>
      <c r="D314" s="54" t="n"/>
      <c r="E314" s="57" t="str">
        <f>IF(D314="","",IF(A314="BL",IFERROR(INDEX(cl_name,MATCH(D314,cl_code,0))&amp;"","Client inconnu"),IF(A314="BR",IFERROR(INDEX(fo_name,MATCH(D314,fo_code,0))&amp;"","Fournisseur inconnu"),IF(A314="BS",IF(ISNA(MATCH(D314,p_services,0)),"Service inconnu",D314&amp;""),""))))</f>
        <v/>
      </c>
      <c r="F314" s="58" t="n"/>
      <c r="G314" s="58" t="n"/>
      <c r="H314" s="59" t="n"/>
      <c r="I314" s="57" t="str">
        <f>IF(H314="","",IFERROR(INDEX(art_des,MATCH(H314,art_ref,0))&amp;"","Article inconnu"))</f>
        <v/>
      </c>
      <c r="J314" s="60" t="str">
        <f>IF(H314="","",IFERROR(INDEX(art_unit,MATCH(H314,art_ref,0))&amp;"",""))</f>
        <v/>
      </c>
      <c r="K314" s="59" t="n"/>
      <c r="L314" s="59" t="n"/>
      <c r="M314" s="61" t="str">
        <f>IF(OR(B314="",NOT(ISNUMBER(K314)),NOT(ISNUMBER(L314))),"",IF(OR(K314&lt;=0,L314&lt;=0),"",ROUND(L314-K314,6)))</f>
        <v/>
      </c>
      <c r="N314" s="58" t="n"/>
      <c r="O314" s="62" t="n"/>
      <c r="P314" s="63" t="str">
        <f>IF(OR(B314="",NOT(ISNUMBER(L314))),"",IF(L314&lt;=0,"",IFERROR(ROUND(L314*N(INDEX(art_w,MATCH(H314,art_ref,0))),3),"")))</f>
        <v/>
      </c>
      <c r="Q314" s="59" t="n"/>
      <c r="R314" s="54" t="n"/>
      <c r="S314" s="59" t="n"/>
      <c r="T314" s="59" t="n"/>
      <c r="U314" s="64" t="str">
        <f>IF(OR(B314="",H314=""),"",IFERROR(IF(A314="BL",IF(N(INDEX(art_price,MATCH(H314,art_ref,0)))=0,"",N(INDEX(art_price,MATCH(H314,art_ref,0)))),IF(N(INDEX(art_cost,MATCH(H314,art_ref,0)))=0,"",N(INDEX(art_cost,MATCH(H314,art_ref,0))))),""))</f>
        <v/>
      </c>
      <c r="V314" s="64" t="str">
        <f>IF(OR(U314="",NOT(ISNUMBER(L314))),"",IF(L314&lt;=0,"",ROUND(L314*U314,2)))</f>
        <v/>
      </c>
      <c r="W314" s="60" t="str">
        <f>IF(AND(B314&lt;&gt;"",A314&lt;&gt;"BS",F314&lt;&gt;"",H314&lt;&gt;"",ISNUMBER(K314),ISNUMBER(L314)),IF(AND(K314&gt;0,L314&gt;0,K314-L314&gt;0,COUNTIFS(A315:A$2005,A314,F315:F$2005,F314,H315:H$2005,H314,AA315:AA$2005,"&gt;0")=0),ROUND(K314-L314,6),""),"")</f>
        <v/>
      </c>
      <c r="X314" s="60" t="str">
        <f>IF(AND(A314="",C314="",D314="",H314="",L314=""),"",IF(A314="","Type manquant",IF(AND(A314&lt;&gt;"BL",A314&lt;&gt;"BR",A314&lt;&gt;"BS"),"Type inconnu (BL, BR ou BS)",IF(AG314=0,"Date manquante ou invalide",IF(D314="",IF(A314="BL","Client manquant",IF(A314="BR","Fournisseur manquant","Service manquant")),IF(IF(A314="BL",ISNA(MATCH(D314,cl_code,0)),IF(A314="BR",ISNA(MATCH(D314,fo_code,0)),ISNA(MATCH(D314,p_services,0)))),IF(A314="BL","Client inconnu",IF(A314="BR","Fournisseur inconnu","Service inconnu")),IF(H314="","Article manquant",IF(ISNA(MATCH(H314,art_ref,0)),"Article inconnu",IF(OR(NOT(ISNUMBER(L314)),N(L314)&lt;=0),"Quantité invalide",IF(AND(K314&lt;&gt;"",OR(NOT(ISNUMBER(K314)),N(K314)&lt;=0)),"Qté commandée invalide",IF(AG314&lt;SUMPRODUCT(MAX((A$6:A313=A314)*AG$6:AG313)),"Date antérieure au bon précédent",IF(AND(A314&lt;&gt;"BR",ISNUMBER(M314),N(M314)&gt;0),IF(A314="BL","Livré plus que commandé","Sorti plus que demandé"),"OK"))))))))))))</f>
        <v/>
      </c>
      <c r="Y314" s="57" t="str">
        <f>IF(AND(OR(A314="BL",A314="BR",A314="BS"),AG314&gt;0,D314&lt;&gt;""),A314&amp;"|"&amp;AG314&amp;"|"&amp;D314&amp;"|"&amp;F314,"")</f>
        <v/>
      </c>
      <c r="Z314" s="57" t="str">
        <f>IF(Y314="","",IF(COUNTIF(Y$6:Y313,Y314)=0,1,0))</f>
        <v/>
      </c>
      <c r="AA314" s="57" t="str">
        <f>IF(Y314="","",IF(Z314=1,COUNTIFS(A$6:A314,A314,Z$6:Z314,1),INDEX(AA$6:AA313,MATCH(Y314,Y$6:Y313,0))))</f>
        <v/>
      </c>
      <c r="AB314" s="57" t="str">
        <f>IF(B314="","",COUNTIF(B$6:B314,B314))</f>
        <v/>
      </c>
      <c r="AC314" s="57" t="str">
        <f>IF(B314="","",B314&amp;"#"&amp;AB314)</f>
        <v/>
      </c>
      <c r="AD314" s="57" t="str">
        <f>IF(Z314=1,A314&amp;AA314,"")</f>
        <v/>
      </c>
      <c r="AE314" s="57" t="str">
        <f>IF(B314="","",YEAR(C314))</f>
        <v/>
      </c>
      <c r="AF314" s="57" t="str">
        <f>IF(B314="","",MONTH(C314))</f>
        <v/>
      </c>
      <c r="AG314" s="57">
        <f>IF(ISNUMBER(C314),C314,0)</f>
        <v>0.0</v>
      </c>
      <c r="AH314" s="57" t="str">
        <f>IF(N(W314)&gt;0,COUNTIF(W$6:W314,"&gt;0"),"")</f>
        <v/>
      </c>
      <c r="AI314" s="57" t="str">
        <f>IF(Z314=1,COUNTIF(Z$6:Z314,1),"")</f>
        <v/>
      </c>
    </row>
    <row r="315">
      <c r="A315" s="54" t="n"/>
      <c r="B315" s="55" t="str">
        <f>IF(AA315="","",A315&amp;"-"&amp;RIGHT("000"&amp;AA315,4))</f>
        <v/>
      </c>
      <c r="C315" s="56" t="n"/>
      <c r="D315" s="54" t="n"/>
      <c r="E315" s="57" t="str">
        <f>IF(D315="","",IF(A315="BL",IFERROR(INDEX(cl_name,MATCH(D315,cl_code,0))&amp;"","Client inconnu"),IF(A315="BR",IFERROR(INDEX(fo_name,MATCH(D315,fo_code,0))&amp;"","Fournisseur inconnu"),IF(A315="BS",IF(ISNA(MATCH(D315,p_services,0)),"Service inconnu",D315&amp;""),""))))</f>
        <v/>
      </c>
      <c r="F315" s="58" t="n"/>
      <c r="G315" s="58" t="n"/>
      <c r="H315" s="59" t="n"/>
      <c r="I315" s="57" t="str">
        <f>IF(H315="","",IFERROR(INDEX(art_des,MATCH(H315,art_ref,0))&amp;"","Article inconnu"))</f>
        <v/>
      </c>
      <c r="J315" s="60" t="str">
        <f>IF(H315="","",IFERROR(INDEX(art_unit,MATCH(H315,art_ref,0))&amp;"",""))</f>
        <v/>
      </c>
      <c r="K315" s="59" t="n"/>
      <c r="L315" s="59" t="n"/>
      <c r="M315" s="61" t="str">
        <f>IF(OR(B315="",NOT(ISNUMBER(K315)),NOT(ISNUMBER(L315))),"",IF(OR(K315&lt;=0,L315&lt;=0),"",ROUND(L315-K315,6)))</f>
        <v/>
      </c>
      <c r="N315" s="58" t="n"/>
      <c r="O315" s="62" t="n"/>
      <c r="P315" s="63" t="str">
        <f>IF(OR(B315="",NOT(ISNUMBER(L315))),"",IF(L315&lt;=0,"",IFERROR(ROUND(L315*N(INDEX(art_w,MATCH(H315,art_ref,0))),3),"")))</f>
        <v/>
      </c>
      <c r="Q315" s="59" t="n"/>
      <c r="R315" s="54" t="n"/>
      <c r="S315" s="59" t="n"/>
      <c r="T315" s="59" t="n"/>
      <c r="U315" s="64" t="str">
        <f>IF(OR(B315="",H315=""),"",IFERROR(IF(A315="BL",IF(N(INDEX(art_price,MATCH(H315,art_ref,0)))=0,"",N(INDEX(art_price,MATCH(H315,art_ref,0)))),IF(N(INDEX(art_cost,MATCH(H315,art_ref,0)))=0,"",N(INDEX(art_cost,MATCH(H315,art_ref,0))))),""))</f>
        <v/>
      </c>
      <c r="V315" s="64" t="str">
        <f>IF(OR(U315="",NOT(ISNUMBER(L315))),"",IF(L315&lt;=0,"",ROUND(L315*U315,2)))</f>
        <v/>
      </c>
      <c r="W315" s="60" t="str">
        <f>IF(AND(B315&lt;&gt;"",A315&lt;&gt;"BS",F315&lt;&gt;"",H315&lt;&gt;"",ISNUMBER(K315),ISNUMBER(L315)),IF(AND(K315&gt;0,L315&gt;0,K315-L315&gt;0,COUNTIFS(A316:A$2005,A315,F316:F$2005,F315,H316:H$2005,H315,AA316:AA$2005,"&gt;0")=0),ROUND(K315-L315,6),""),"")</f>
        <v/>
      </c>
      <c r="X315" s="60" t="str">
        <f>IF(AND(A315="",C315="",D315="",H315="",L315=""),"",IF(A315="","Type manquant",IF(AND(A315&lt;&gt;"BL",A315&lt;&gt;"BR",A315&lt;&gt;"BS"),"Type inconnu (BL, BR ou BS)",IF(AG315=0,"Date manquante ou invalide",IF(D315="",IF(A315="BL","Client manquant",IF(A315="BR","Fournisseur manquant","Service manquant")),IF(IF(A315="BL",ISNA(MATCH(D315,cl_code,0)),IF(A315="BR",ISNA(MATCH(D315,fo_code,0)),ISNA(MATCH(D315,p_services,0)))),IF(A315="BL","Client inconnu",IF(A315="BR","Fournisseur inconnu","Service inconnu")),IF(H315="","Article manquant",IF(ISNA(MATCH(H315,art_ref,0)),"Article inconnu",IF(OR(NOT(ISNUMBER(L315)),N(L315)&lt;=0),"Quantité invalide",IF(AND(K315&lt;&gt;"",OR(NOT(ISNUMBER(K315)),N(K315)&lt;=0)),"Qté commandée invalide",IF(AG315&lt;SUMPRODUCT(MAX((A$6:A314=A315)*AG$6:AG314)),"Date antérieure au bon précédent",IF(AND(A315&lt;&gt;"BR",ISNUMBER(M315),N(M315)&gt;0),IF(A315="BL","Livré plus que commandé","Sorti plus que demandé"),"OK"))))))))))))</f>
        <v/>
      </c>
      <c r="Y315" s="57" t="str">
        <f>IF(AND(OR(A315="BL",A315="BR",A315="BS"),AG315&gt;0,D315&lt;&gt;""),A315&amp;"|"&amp;AG315&amp;"|"&amp;D315&amp;"|"&amp;F315,"")</f>
        <v/>
      </c>
      <c r="Z315" s="57" t="str">
        <f>IF(Y315="","",IF(COUNTIF(Y$6:Y314,Y315)=0,1,0))</f>
        <v/>
      </c>
      <c r="AA315" s="57" t="str">
        <f>IF(Y315="","",IF(Z315=1,COUNTIFS(A$6:A315,A315,Z$6:Z315,1),INDEX(AA$6:AA314,MATCH(Y315,Y$6:Y314,0))))</f>
        <v/>
      </c>
      <c r="AB315" s="57" t="str">
        <f>IF(B315="","",COUNTIF(B$6:B315,B315))</f>
        <v/>
      </c>
      <c r="AC315" s="57" t="str">
        <f>IF(B315="","",B315&amp;"#"&amp;AB315)</f>
        <v/>
      </c>
      <c r="AD315" s="57" t="str">
        <f>IF(Z315=1,A315&amp;AA315,"")</f>
        <v/>
      </c>
      <c r="AE315" s="57" t="str">
        <f>IF(B315="","",YEAR(C315))</f>
        <v/>
      </c>
      <c r="AF315" s="57" t="str">
        <f>IF(B315="","",MONTH(C315))</f>
        <v/>
      </c>
      <c r="AG315" s="57">
        <f>IF(ISNUMBER(C315),C315,0)</f>
        <v>0.0</v>
      </c>
      <c r="AH315" s="57" t="str">
        <f>IF(N(W315)&gt;0,COUNTIF(W$6:W315,"&gt;0"),"")</f>
        <v/>
      </c>
      <c r="AI315" s="57" t="str">
        <f>IF(Z315=1,COUNTIF(Z$6:Z315,1),"")</f>
        <v/>
      </c>
    </row>
    <row r="316">
      <c r="A316" s="54" t="n"/>
      <c r="B316" s="55" t="str">
        <f>IF(AA316="","",A316&amp;"-"&amp;RIGHT("000"&amp;AA316,4))</f>
        <v/>
      </c>
      <c r="C316" s="56" t="n"/>
      <c r="D316" s="54" t="n"/>
      <c r="E316" s="57" t="str">
        <f>IF(D316="","",IF(A316="BL",IFERROR(INDEX(cl_name,MATCH(D316,cl_code,0))&amp;"","Client inconnu"),IF(A316="BR",IFERROR(INDEX(fo_name,MATCH(D316,fo_code,0))&amp;"","Fournisseur inconnu"),IF(A316="BS",IF(ISNA(MATCH(D316,p_services,0)),"Service inconnu",D316&amp;""),""))))</f>
        <v/>
      </c>
      <c r="F316" s="58" t="n"/>
      <c r="G316" s="58" t="n"/>
      <c r="H316" s="59" t="n"/>
      <c r="I316" s="57" t="str">
        <f>IF(H316="","",IFERROR(INDEX(art_des,MATCH(H316,art_ref,0))&amp;"","Article inconnu"))</f>
        <v/>
      </c>
      <c r="J316" s="60" t="str">
        <f>IF(H316="","",IFERROR(INDEX(art_unit,MATCH(H316,art_ref,0))&amp;"",""))</f>
        <v/>
      </c>
      <c r="K316" s="59" t="n"/>
      <c r="L316" s="59" t="n"/>
      <c r="M316" s="61" t="str">
        <f>IF(OR(B316="",NOT(ISNUMBER(K316)),NOT(ISNUMBER(L316))),"",IF(OR(K316&lt;=0,L316&lt;=0),"",ROUND(L316-K316,6)))</f>
        <v/>
      </c>
      <c r="N316" s="58" t="n"/>
      <c r="O316" s="62" t="n"/>
      <c r="P316" s="63" t="str">
        <f>IF(OR(B316="",NOT(ISNUMBER(L316))),"",IF(L316&lt;=0,"",IFERROR(ROUND(L316*N(INDEX(art_w,MATCH(H316,art_ref,0))),3),"")))</f>
        <v/>
      </c>
      <c r="Q316" s="59" t="n"/>
      <c r="R316" s="54" t="n"/>
      <c r="S316" s="59" t="n"/>
      <c r="T316" s="59" t="n"/>
      <c r="U316" s="64" t="str">
        <f>IF(OR(B316="",H316=""),"",IFERROR(IF(A316="BL",IF(N(INDEX(art_price,MATCH(H316,art_ref,0)))=0,"",N(INDEX(art_price,MATCH(H316,art_ref,0)))),IF(N(INDEX(art_cost,MATCH(H316,art_ref,0)))=0,"",N(INDEX(art_cost,MATCH(H316,art_ref,0))))),""))</f>
        <v/>
      </c>
      <c r="V316" s="64" t="str">
        <f>IF(OR(U316="",NOT(ISNUMBER(L316))),"",IF(L316&lt;=0,"",ROUND(L316*U316,2)))</f>
        <v/>
      </c>
      <c r="W316" s="60" t="str">
        <f>IF(AND(B316&lt;&gt;"",A316&lt;&gt;"BS",F316&lt;&gt;"",H316&lt;&gt;"",ISNUMBER(K316),ISNUMBER(L316)),IF(AND(K316&gt;0,L316&gt;0,K316-L316&gt;0,COUNTIFS(A317:A$2005,A316,F317:F$2005,F316,H317:H$2005,H316,AA317:AA$2005,"&gt;0")=0),ROUND(K316-L316,6),""),"")</f>
        <v/>
      </c>
      <c r="X316" s="60" t="str">
        <f>IF(AND(A316="",C316="",D316="",H316="",L316=""),"",IF(A316="","Type manquant",IF(AND(A316&lt;&gt;"BL",A316&lt;&gt;"BR",A316&lt;&gt;"BS"),"Type inconnu (BL, BR ou BS)",IF(AG316=0,"Date manquante ou invalide",IF(D316="",IF(A316="BL","Client manquant",IF(A316="BR","Fournisseur manquant","Service manquant")),IF(IF(A316="BL",ISNA(MATCH(D316,cl_code,0)),IF(A316="BR",ISNA(MATCH(D316,fo_code,0)),ISNA(MATCH(D316,p_services,0)))),IF(A316="BL","Client inconnu",IF(A316="BR","Fournisseur inconnu","Service inconnu")),IF(H316="","Article manquant",IF(ISNA(MATCH(H316,art_ref,0)),"Article inconnu",IF(OR(NOT(ISNUMBER(L316)),N(L316)&lt;=0),"Quantité invalide",IF(AND(K316&lt;&gt;"",OR(NOT(ISNUMBER(K316)),N(K316)&lt;=0)),"Qté commandée invalide",IF(AG316&lt;SUMPRODUCT(MAX((A$6:A315=A316)*AG$6:AG315)),"Date antérieure au bon précédent",IF(AND(A316&lt;&gt;"BR",ISNUMBER(M316),N(M316)&gt;0),IF(A316="BL","Livré plus que commandé","Sorti plus que demandé"),"OK"))))))))))))</f>
        <v/>
      </c>
      <c r="Y316" s="57" t="str">
        <f>IF(AND(OR(A316="BL",A316="BR",A316="BS"),AG316&gt;0,D316&lt;&gt;""),A316&amp;"|"&amp;AG316&amp;"|"&amp;D316&amp;"|"&amp;F316,"")</f>
        <v/>
      </c>
      <c r="Z316" s="57" t="str">
        <f>IF(Y316="","",IF(COUNTIF(Y$6:Y315,Y316)=0,1,0))</f>
        <v/>
      </c>
      <c r="AA316" s="57" t="str">
        <f>IF(Y316="","",IF(Z316=1,COUNTIFS(A$6:A316,A316,Z$6:Z316,1),INDEX(AA$6:AA315,MATCH(Y316,Y$6:Y315,0))))</f>
        <v/>
      </c>
      <c r="AB316" s="57" t="str">
        <f>IF(B316="","",COUNTIF(B$6:B316,B316))</f>
        <v/>
      </c>
      <c r="AC316" s="57" t="str">
        <f>IF(B316="","",B316&amp;"#"&amp;AB316)</f>
        <v/>
      </c>
      <c r="AD316" s="57" t="str">
        <f>IF(Z316=1,A316&amp;AA316,"")</f>
        <v/>
      </c>
      <c r="AE316" s="57" t="str">
        <f>IF(B316="","",YEAR(C316))</f>
        <v/>
      </c>
      <c r="AF316" s="57" t="str">
        <f>IF(B316="","",MONTH(C316))</f>
        <v/>
      </c>
      <c r="AG316" s="57">
        <f>IF(ISNUMBER(C316),C316,0)</f>
        <v>0.0</v>
      </c>
      <c r="AH316" s="57" t="str">
        <f>IF(N(W316)&gt;0,COUNTIF(W$6:W316,"&gt;0"),"")</f>
        <v/>
      </c>
      <c r="AI316" s="57" t="str">
        <f>IF(Z316=1,COUNTIF(Z$6:Z316,1),"")</f>
        <v/>
      </c>
    </row>
    <row r="317">
      <c r="A317" s="54" t="n"/>
      <c r="B317" s="55" t="str">
        <f>IF(AA317="","",A317&amp;"-"&amp;RIGHT("000"&amp;AA317,4))</f>
        <v/>
      </c>
      <c r="C317" s="56" t="n"/>
      <c r="D317" s="54" t="n"/>
      <c r="E317" s="57" t="str">
        <f>IF(D317="","",IF(A317="BL",IFERROR(INDEX(cl_name,MATCH(D317,cl_code,0))&amp;"","Client inconnu"),IF(A317="BR",IFERROR(INDEX(fo_name,MATCH(D317,fo_code,0))&amp;"","Fournisseur inconnu"),IF(A317="BS",IF(ISNA(MATCH(D317,p_services,0)),"Service inconnu",D317&amp;""),""))))</f>
        <v/>
      </c>
      <c r="F317" s="58" t="n"/>
      <c r="G317" s="58" t="n"/>
      <c r="H317" s="59" t="n"/>
      <c r="I317" s="57" t="str">
        <f>IF(H317="","",IFERROR(INDEX(art_des,MATCH(H317,art_ref,0))&amp;"","Article inconnu"))</f>
        <v/>
      </c>
      <c r="J317" s="60" t="str">
        <f>IF(H317="","",IFERROR(INDEX(art_unit,MATCH(H317,art_ref,0))&amp;"",""))</f>
        <v/>
      </c>
      <c r="K317" s="59" t="n"/>
      <c r="L317" s="59" t="n"/>
      <c r="M317" s="61" t="str">
        <f>IF(OR(B317="",NOT(ISNUMBER(K317)),NOT(ISNUMBER(L317))),"",IF(OR(K317&lt;=0,L317&lt;=0),"",ROUND(L317-K317,6)))</f>
        <v/>
      </c>
      <c r="N317" s="58" t="n"/>
      <c r="O317" s="62" t="n"/>
      <c r="P317" s="63" t="str">
        <f>IF(OR(B317="",NOT(ISNUMBER(L317))),"",IF(L317&lt;=0,"",IFERROR(ROUND(L317*N(INDEX(art_w,MATCH(H317,art_ref,0))),3),"")))</f>
        <v/>
      </c>
      <c r="Q317" s="59" t="n"/>
      <c r="R317" s="54" t="n"/>
      <c r="S317" s="59" t="n"/>
      <c r="T317" s="59" t="n"/>
      <c r="U317" s="64" t="str">
        <f>IF(OR(B317="",H317=""),"",IFERROR(IF(A317="BL",IF(N(INDEX(art_price,MATCH(H317,art_ref,0)))=0,"",N(INDEX(art_price,MATCH(H317,art_ref,0)))),IF(N(INDEX(art_cost,MATCH(H317,art_ref,0)))=0,"",N(INDEX(art_cost,MATCH(H317,art_ref,0))))),""))</f>
        <v/>
      </c>
      <c r="V317" s="64" t="str">
        <f>IF(OR(U317="",NOT(ISNUMBER(L317))),"",IF(L317&lt;=0,"",ROUND(L317*U317,2)))</f>
        <v/>
      </c>
      <c r="W317" s="60" t="str">
        <f>IF(AND(B317&lt;&gt;"",A317&lt;&gt;"BS",F317&lt;&gt;"",H317&lt;&gt;"",ISNUMBER(K317),ISNUMBER(L317)),IF(AND(K317&gt;0,L317&gt;0,K317-L317&gt;0,COUNTIFS(A318:A$2005,A317,F318:F$2005,F317,H318:H$2005,H317,AA318:AA$2005,"&gt;0")=0),ROUND(K317-L317,6),""),"")</f>
        <v/>
      </c>
      <c r="X317" s="60" t="str">
        <f>IF(AND(A317="",C317="",D317="",H317="",L317=""),"",IF(A317="","Type manquant",IF(AND(A317&lt;&gt;"BL",A317&lt;&gt;"BR",A317&lt;&gt;"BS"),"Type inconnu (BL, BR ou BS)",IF(AG317=0,"Date manquante ou invalide",IF(D317="",IF(A317="BL","Client manquant",IF(A317="BR","Fournisseur manquant","Service manquant")),IF(IF(A317="BL",ISNA(MATCH(D317,cl_code,0)),IF(A317="BR",ISNA(MATCH(D317,fo_code,0)),ISNA(MATCH(D317,p_services,0)))),IF(A317="BL","Client inconnu",IF(A317="BR","Fournisseur inconnu","Service inconnu")),IF(H317="","Article manquant",IF(ISNA(MATCH(H317,art_ref,0)),"Article inconnu",IF(OR(NOT(ISNUMBER(L317)),N(L317)&lt;=0),"Quantité invalide",IF(AND(K317&lt;&gt;"",OR(NOT(ISNUMBER(K317)),N(K317)&lt;=0)),"Qté commandée invalide",IF(AG317&lt;SUMPRODUCT(MAX((A$6:A316=A317)*AG$6:AG316)),"Date antérieure au bon précédent",IF(AND(A317&lt;&gt;"BR",ISNUMBER(M317),N(M317)&gt;0),IF(A317="BL","Livré plus que commandé","Sorti plus que demandé"),"OK"))))))))))))</f>
        <v/>
      </c>
      <c r="Y317" s="57" t="str">
        <f>IF(AND(OR(A317="BL",A317="BR",A317="BS"),AG317&gt;0,D317&lt;&gt;""),A317&amp;"|"&amp;AG317&amp;"|"&amp;D317&amp;"|"&amp;F317,"")</f>
        <v/>
      </c>
      <c r="Z317" s="57" t="str">
        <f>IF(Y317="","",IF(COUNTIF(Y$6:Y316,Y317)=0,1,0))</f>
        <v/>
      </c>
      <c r="AA317" s="57" t="str">
        <f>IF(Y317="","",IF(Z317=1,COUNTIFS(A$6:A317,A317,Z$6:Z317,1),INDEX(AA$6:AA316,MATCH(Y317,Y$6:Y316,0))))</f>
        <v/>
      </c>
      <c r="AB317" s="57" t="str">
        <f>IF(B317="","",COUNTIF(B$6:B317,B317))</f>
        <v/>
      </c>
      <c r="AC317" s="57" t="str">
        <f>IF(B317="","",B317&amp;"#"&amp;AB317)</f>
        <v/>
      </c>
      <c r="AD317" s="57" t="str">
        <f>IF(Z317=1,A317&amp;AA317,"")</f>
        <v/>
      </c>
      <c r="AE317" s="57" t="str">
        <f>IF(B317="","",YEAR(C317))</f>
        <v/>
      </c>
      <c r="AF317" s="57" t="str">
        <f>IF(B317="","",MONTH(C317))</f>
        <v/>
      </c>
      <c r="AG317" s="57">
        <f>IF(ISNUMBER(C317),C317,0)</f>
        <v>0.0</v>
      </c>
      <c r="AH317" s="57" t="str">
        <f>IF(N(W317)&gt;0,COUNTIF(W$6:W317,"&gt;0"),"")</f>
        <v/>
      </c>
      <c r="AI317" s="57" t="str">
        <f>IF(Z317=1,COUNTIF(Z$6:Z317,1),"")</f>
        <v/>
      </c>
    </row>
    <row r="318">
      <c r="A318" s="54" t="n"/>
      <c r="B318" s="55" t="str">
        <f>IF(AA318="","",A318&amp;"-"&amp;RIGHT("000"&amp;AA318,4))</f>
        <v/>
      </c>
      <c r="C318" s="56" t="n"/>
      <c r="D318" s="54" t="n"/>
      <c r="E318" s="57" t="str">
        <f>IF(D318="","",IF(A318="BL",IFERROR(INDEX(cl_name,MATCH(D318,cl_code,0))&amp;"","Client inconnu"),IF(A318="BR",IFERROR(INDEX(fo_name,MATCH(D318,fo_code,0))&amp;"","Fournisseur inconnu"),IF(A318="BS",IF(ISNA(MATCH(D318,p_services,0)),"Service inconnu",D318&amp;""),""))))</f>
        <v/>
      </c>
      <c r="F318" s="58" t="n"/>
      <c r="G318" s="58" t="n"/>
      <c r="H318" s="59" t="n"/>
      <c r="I318" s="57" t="str">
        <f>IF(H318="","",IFERROR(INDEX(art_des,MATCH(H318,art_ref,0))&amp;"","Article inconnu"))</f>
        <v/>
      </c>
      <c r="J318" s="60" t="str">
        <f>IF(H318="","",IFERROR(INDEX(art_unit,MATCH(H318,art_ref,0))&amp;"",""))</f>
        <v/>
      </c>
      <c r="K318" s="59" t="n"/>
      <c r="L318" s="59" t="n"/>
      <c r="M318" s="61" t="str">
        <f>IF(OR(B318="",NOT(ISNUMBER(K318)),NOT(ISNUMBER(L318))),"",IF(OR(K318&lt;=0,L318&lt;=0),"",ROUND(L318-K318,6)))</f>
        <v/>
      </c>
      <c r="N318" s="58" t="n"/>
      <c r="O318" s="62" t="n"/>
      <c r="P318" s="63" t="str">
        <f>IF(OR(B318="",NOT(ISNUMBER(L318))),"",IF(L318&lt;=0,"",IFERROR(ROUND(L318*N(INDEX(art_w,MATCH(H318,art_ref,0))),3),"")))</f>
        <v/>
      </c>
      <c r="Q318" s="59" t="n"/>
      <c r="R318" s="54" t="n"/>
      <c r="S318" s="59" t="n"/>
      <c r="T318" s="59" t="n"/>
      <c r="U318" s="64" t="str">
        <f>IF(OR(B318="",H318=""),"",IFERROR(IF(A318="BL",IF(N(INDEX(art_price,MATCH(H318,art_ref,0)))=0,"",N(INDEX(art_price,MATCH(H318,art_ref,0)))),IF(N(INDEX(art_cost,MATCH(H318,art_ref,0)))=0,"",N(INDEX(art_cost,MATCH(H318,art_ref,0))))),""))</f>
        <v/>
      </c>
      <c r="V318" s="64" t="str">
        <f>IF(OR(U318="",NOT(ISNUMBER(L318))),"",IF(L318&lt;=0,"",ROUND(L318*U318,2)))</f>
        <v/>
      </c>
      <c r="W318" s="60" t="str">
        <f>IF(AND(B318&lt;&gt;"",A318&lt;&gt;"BS",F318&lt;&gt;"",H318&lt;&gt;"",ISNUMBER(K318),ISNUMBER(L318)),IF(AND(K318&gt;0,L318&gt;0,K318-L318&gt;0,COUNTIFS(A319:A$2005,A318,F319:F$2005,F318,H319:H$2005,H318,AA319:AA$2005,"&gt;0")=0),ROUND(K318-L318,6),""),"")</f>
        <v/>
      </c>
      <c r="X318" s="60" t="str">
        <f>IF(AND(A318="",C318="",D318="",H318="",L318=""),"",IF(A318="","Type manquant",IF(AND(A318&lt;&gt;"BL",A318&lt;&gt;"BR",A318&lt;&gt;"BS"),"Type inconnu (BL, BR ou BS)",IF(AG318=0,"Date manquante ou invalide",IF(D318="",IF(A318="BL","Client manquant",IF(A318="BR","Fournisseur manquant","Service manquant")),IF(IF(A318="BL",ISNA(MATCH(D318,cl_code,0)),IF(A318="BR",ISNA(MATCH(D318,fo_code,0)),ISNA(MATCH(D318,p_services,0)))),IF(A318="BL","Client inconnu",IF(A318="BR","Fournisseur inconnu","Service inconnu")),IF(H318="","Article manquant",IF(ISNA(MATCH(H318,art_ref,0)),"Article inconnu",IF(OR(NOT(ISNUMBER(L318)),N(L318)&lt;=0),"Quantité invalide",IF(AND(K318&lt;&gt;"",OR(NOT(ISNUMBER(K318)),N(K318)&lt;=0)),"Qté commandée invalide",IF(AG318&lt;SUMPRODUCT(MAX((A$6:A317=A318)*AG$6:AG317)),"Date antérieure au bon précédent",IF(AND(A318&lt;&gt;"BR",ISNUMBER(M318),N(M318)&gt;0),IF(A318="BL","Livré plus que commandé","Sorti plus que demandé"),"OK"))))))))))))</f>
        <v/>
      </c>
      <c r="Y318" s="57" t="str">
        <f>IF(AND(OR(A318="BL",A318="BR",A318="BS"),AG318&gt;0,D318&lt;&gt;""),A318&amp;"|"&amp;AG318&amp;"|"&amp;D318&amp;"|"&amp;F318,"")</f>
        <v/>
      </c>
      <c r="Z318" s="57" t="str">
        <f>IF(Y318="","",IF(COUNTIF(Y$6:Y317,Y318)=0,1,0))</f>
        <v/>
      </c>
      <c r="AA318" s="57" t="str">
        <f>IF(Y318="","",IF(Z318=1,COUNTIFS(A$6:A318,A318,Z$6:Z318,1),INDEX(AA$6:AA317,MATCH(Y318,Y$6:Y317,0))))</f>
        <v/>
      </c>
      <c r="AB318" s="57" t="str">
        <f>IF(B318="","",COUNTIF(B$6:B318,B318))</f>
        <v/>
      </c>
      <c r="AC318" s="57" t="str">
        <f>IF(B318="","",B318&amp;"#"&amp;AB318)</f>
        <v/>
      </c>
      <c r="AD318" s="57" t="str">
        <f>IF(Z318=1,A318&amp;AA318,"")</f>
        <v/>
      </c>
      <c r="AE318" s="57" t="str">
        <f>IF(B318="","",YEAR(C318))</f>
        <v/>
      </c>
      <c r="AF318" s="57" t="str">
        <f>IF(B318="","",MONTH(C318))</f>
        <v/>
      </c>
      <c r="AG318" s="57">
        <f>IF(ISNUMBER(C318),C318,0)</f>
        <v>0.0</v>
      </c>
      <c r="AH318" s="57" t="str">
        <f>IF(N(W318)&gt;0,COUNTIF(W$6:W318,"&gt;0"),"")</f>
        <v/>
      </c>
      <c r="AI318" s="57" t="str">
        <f>IF(Z318=1,COUNTIF(Z$6:Z318,1),"")</f>
        <v/>
      </c>
    </row>
    <row r="319">
      <c r="A319" s="54" t="n"/>
      <c r="B319" s="55" t="str">
        <f>IF(AA319="","",A319&amp;"-"&amp;RIGHT("000"&amp;AA319,4))</f>
        <v/>
      </c>
      <c r="C319" s="56" t="n"/>
      <c r="D319" s="54" t="n"/>
      <c r="E319" s="57" t="str">
        <f>IF(D319="","",IF(A319="BL",IFERROR(INDEX(cl_name,MATCH(D319,cl_code,0))&amp;"","Client inconnu"),IF(A319="BR",IFERROR(INDEX(fo_name,MATCH(D319,fo_code,0))&amp;"","Fournisseur inconnu"),IF(A319="BS",IF(ISNA(MATCH(D319,p_services,0)),"Service inconnu",D319&amp;""),""))))</f>
        <v/>
      </c>
      <c r="F319" s="58" t="n"/>
      <c r="G319" s="58" t="n"/>
      <c r="H319" s="59" t="n"/>
      <c r="I319" s="57" t="str">
        <f>IF(H319="","",IFERROR(INDEX(art_des,MATCH(H319,art_ref,0))&amp;"","Article inconnu"))</f>
        <v/>
      </c>
      <c r="J319" s="60" t="str">
        <f>IF(H319="","",IFERROR(INDEX(art_unit,MATCH(H319,art_ref,0))&amp;"",""))</f>
        <v/>
      </c>
      <c r="K319" s="59" t="n"/>
      <c r="L319" s="59" t="n"/>
      <c r="M319" s="61" t="str">
        <f>IF(OR(B319="",NOT(ISNUMBER(K319)),NOT(ISNUMBER(L319))),"",IF(OR(K319&lt;=0,L319&lt;=0),"",ROUND(L319-K319,6)))</f>
        <v/>
      </c>
      <c r="N319" s="58" t="n"/>
      <c r="O319" s="62" t="n"/>
      <c r="P319" s="63" t="str">
        <f>IF(OR(B319="",NOT(ISNUMBER(L319))),"",IF(L319&lt;=0,"",IFERROR(ROUND(L319*N(INDEX(art_w,MATCH(H319,art_ref,0))),3),"")))</f>
        <v/>
      </c>
      <c r="Q319" s="59" t="n"/>
      <c r="R319" s="54" t="n"/>
      <c r="S319" s="59" t="n"/>
      <c r="T319" s="59" t="n"/>
      <c r="U319" s="64" t="str">
        <f>IF(OR(B319="",H319=""),"",IFERROR(IF(A319="BL",IF(N(INDEX(art_price,MATCH(H319,art_ref,0)))=0,"",N(INDEX(art_price,MATCH(H319,art_ref,0)))),IF(N(INDEX(art_cost,MATCH(H319,art_ref,0)))=0,"",N(INDEX(art_cost,MATCH(H319,art_ref,0))))),""))</f>
        <v/>
      </c>
      <c r="V319" s="64" t="str">
        <f>IF(OR(U319="",NOT(ISNUMBER(L319))),"",IF(L319&lt;=0,"",ROUND(L319*U319,2)))</f>
        <v/>
      </c>
      <c r="W319" s="60" t="str">
        <f>IF(AND(B319&lt;&gt;"",A319&lt;&gt;"BS",F319&lt;&gt;"",H319&lt;&gt;"",ISNUMBER(K319),ISNUMBER(L319)),IF(AND(K319&gt;0,L319&gt;0,K319-L319&gt;0,COUNTIFS(A320:A$2005,A319,F320:F$2005,F319,H320:H$2005,H319,AA320:AA$2005,"&gt;0")=0),ROUND(K319-L319,6),""),"")</f>
        <v/>
      </c>
      <c r="X319" s="60" t="str">
        <f>IF(AND(A319="",C319="",D319="",H319="",L319=""),"",IF(A319="","Type manquant",IF(AND(A319&lt;&gt;"BL",A319&lt;&gt;"BR",A319&lt;&gt;"BS"),"Type inconnu (BL, BR ou BS)",IF(AG319=0,"Date manquante ou invalide",IF(D319="",IF(A319="BL","Client manquant",IF(A319="BR","Fournisseur manquant","Service manquant")),IF(IF(A319="BL",ISNA(MATCH(D319,cl_code,0)),IF(A319="BR",ISNA(MATCH(D319,fo_code,0)),ISNA(MATCH(D319,p_services,0)))),IF(A319="BL","Client inconnu",IF(A319="BR","Fournisseur inconnu","Service inconnu")),IF(H319="","Article manquant",IF(ISNA(MATCH(H319,art_ref,0)),"Article inconnu",IF(OR(NOT(ISNUMBER(L319)),N(L319)&lt;=0),"Quantité invalide",IF(AND(K319&lt;&gt;"",OR(NOT(ISNUMBER(K319)),N(K319)&lt;=0)),"Qté commandée invalide",IF(AG319&lt;SUMPRODUCT(MAX((A$6:A318=A319)*AG$6:AG318)),"Date antérieure au bon précédent",IF(AND(A319&lt;&gt;"BR",ISNUMBER(M319),N(M319)&gt;0),IF(A319="BL","Livré plus que commandé","Sorti plus que demandé"),"OK"))))))))))))</f>
        <v/>
      </c>
      <c r="Y319" s="57" t="str">
        <f>IF(AND(OR(A319="BL",A319="BR",A319="BS"),AG319&gt;0,D319&lt;&gt;""),A319&amp;"|"&amp;AG319&amp;"|"&amp;D319&amp;"|"&amp;F319,"")</f>
        <v/>
      </c>
      <c r="Z319" s="57" t="str">
        <f>IF(Y319="","",IF(COUNTIF(Y$6:Y318,Y319)=0,1,0))</f>
        <v/>
      </c>
      <c r="AA319" s="57" t="str">
        <f>IF(Y319="","",IF(Z319=1,COUNTIFS(A$6:A319,A319,Z$6:Z319,1),INDEX(AA$6:AA318,MATCH(Y319,Y$6:Y318,0))))</f>
        <v/>
      </c>
      <c r="AB319" s="57" t="str">
        <f>IF(B319="","",COUNTIF(B$6:B319,B319))</f>
        <v/>
      </c>
      <c r="AC319" s="57" t="str">
        <f>IF(B319="","",B319&amp;"#"&amp;AB319)</f>
        <v/>
      </c>
      <c r="AD319" s="57" t="str">
        <f>IF(Z319=1,A319&amp;AA319,"")</f>
        <v/>
      </c>
      <c r="AE319" s="57" t="str">
        <f>IF(B319="","",YEAR(C319))</f>
        <v/>
      </c>
      <c r="AF319" s="57" t="str">
        <f>IF(B319="","",MONTH(C319))</f>
        <v/>
      </c>
      <c r="AG319" s="57">
        <f>IF(ISNUMBER(C319),C319,0)</f>
        <v>0.0</v>
      </c>
      <c r="AH319" s="57" t="str">
        <f>IF(N(W319)&gt;0,COUNTIF(W$6:W319,"&gt;0"),"")</f>
        <v/>
      </c>
      <c r="AI319" s="57" t="str">
        <f>IF(Z319=1,COUNTIF(Z$6:Z319,1),"")</f>
        <v/>
      </c>
    </row>
    <row r="320">
      <c r="A320" s="54" t="n"/>
      <c r="B320" s="55" t="str">
        <f>IF(AA320="","",A320&amp;"-"&amp;RIGHT("000"&amp;AA320,4))</f>
        <v/>
      </c>
      <c r="C320" s="56" t="n"/>
      <c r="D320" s="54" t="n"/>
      <c r="E320" s="57" t="str">
        <f>IF(D320="","",IF(A320="BL",IFERROR(INDEX(cl_name,MATCH(D320,cl_code,0))&amp;"","Client inconnu"),IF(A320="BR",IFERROR(INDEX(fo_name,MATCH(D320,fo_code,0))&amp;"","Fournisseur inconnu"),IF(A320="BS",IF(ISNA(MATCH(D320,p_services,0)),"Service inconnu",D320&amp;""),""))))</f>
        <v/>
      </c>
      <c r="F320" s="58" t="n"/>
      <c r="G320" s="58" t="n"/>
      <c r="H320" s="59" t="n"/>
      <c r="I320" s="57" t="str">
        <f>IF(H320="","",IFERROR(INDEX(art_des,MATCH(H320,art_ref,0))&amp;"","Article inconnu"))</f>
        <v/>
      </c>
      <c r="J320" s="60" t="str">
        <f>IF(H320="","",IFERROR(INDEX(art_unit,MATCH(H320,art_ref,0))&amp;"",""))</f>
        <v/>
      </c>
      <c r="K320" s="59" t="n"/>
      <c r="L320" s="59" t="n"/>
      <c r="M320" s="61" t="str">
        <f>IF(OR(B320="",NOT(ISNUMBER(K320)),NOT(ISNUMBER(L320))),"",IF(OR(K320&lt;=0,L320&lt;=0),"",ROUND(L320-K320,6)))</f>
        <v/>
      </c>
      <c r="N320" s="58" t="n"/>
      <c r="O320" s="62" t="n"/>
      <c r="P320" s="63" t="str">
        <f>IF(OR(B320="",NOT(ISNUMBER(L320))),"",IF(L320&lt;=0,"",IFERROR(ROUND(L320*N(INDEX(art_w,MATCH(H320,art_ref,0))),3),"")))</f>
        <v/>
      </c>
      <c r="Q320" s="59" t="n"/>
      <c r="R320" s="54" t="n"/>
      <c r="S320" s="59" t="n"/>
      <c r="T320" s="59" t="n"/>
      <c r="U320" s="64" t="str">
        <f>IF(OR(B320="",H320=""),"",IFERROR(IF(A320="BL",IF(N(INDEX(art_price,MATCH(H320,art_ref,0)))=0,"",N(INDEX(art_price,MATCH(H320,art_ref,0)))),IF(N(INDEX(art_cost,MATCH(H320,art_ref,0)))=0,"",N(INDEX(art_cost,MATCH(H320,art_ref,0))))),""))</f>
        <v/>
      </c>
      <c r="V320" s="64" t="str">
        <f>IF(OR(U320="",NOT(ISNUMBER(L320))),"",IF(L320&lt;=0,"",ROUND(L320*U320,2)))</f>
        <v/>
      </c>
      <c r="W320" s="60" t="str">
        <f>IF(AND(B320&lt;&gt;"",A320&lt;&gt;"BS",F320&lt;&gt;"",H320&lt;&gt;"",ISNUMBER(K320),ISNUMBER(L320)),IF(AND(K320&gt;0,L320&gt;0,K320-L320&gt;0,COUNTIFS(A321:A$2005,A320,F321:F$2005,F320,H321:H$2005,H320,AA321:AA$2005,"&gt;0")=0),ROUND(K320-L320,6),""),"")</f>
        <v/>
      </c>
      <c r="X320" s="60" t="str">
        <f>IF(AND(A320="",C320="",D320="",H320="",L320=""),"",IF(A320="","Type manquant",IF(AND(A320&lt;&gt;"BL",A320&lt;&gt;"BR",A320&lt;&gt;"BS"),"Type inconnu (BL, BR ou BS)",IF(AG320=0,"Date manquante ou invalide",IF(D320="",IF(A320="BL","Client manquant",IF(A320="BR","Fournisseur manquant","Service manquant")),IF(IF(A320="BL",ISNA(MATCH(D320,cl_code,0)),IF(A320="BR",ISNA(MATCH(D320,fo_code,0)),ISNA(MATCH(D320,p_services,0)))),IF(A320="BL","Client inconnu",IF(A320="BR","Fournisseur inconnu","Service inconnu")),IF(H320="","Article manquant",IF(ISNA(MATCH(H320,art_ref,0)),"Article inconnu",IF(OR(NOT(ISNUMBER(L320)),N(L320)&lt;=0),"Quantité invalide",IF(AND(K320&lt;&gt;"",OR(NOT(ISNUMBER(K320)),N(K320)&lt;=0)),"Qté commandée invalide",IF(AG320&lt;SUMPRODUCT(MAX((A$6:A319=A320)*AG$6:AG319)),"Date antérieure au bon précédent",IF(AND(A320&lt;&gt;"BR",ISNUMBER(M320),N(M320)&gt;0),IF(A320="BL","Livré plus que commandé","Sorti plus que demandé"),"OK"))))))))))))</f>
        <v/>
      </c>
      <c r="Y320" s="57" t="str">
        <f>IF(AND(OR(A320="BL",A320="BR",A320="BS"),AG320&gt;0,D320&lt;&gt;""),A320&amp;"|"&amp;AG320&amp;"|"&amp;D320&amp;"|"&amp;F320,"")</f>
        <v/>
      </c>
      <c r="Z320" s="57" t="str">
        <f>IF(Y320="","",IF(COUNTIF(Y$6:Y319,Y320)=0,1,0))</f>
        <v/>
      </c>
      <c r="AA320" s="57" t="str">
        <f>IF(Y320="","",IF(Z320=1,COUNTIFS(A$6:A320,A320,Z$6:Z320,1),INDEX(AA$6:AA319,MATCH(Y320,Y$6:Y319,0))))</f>
        <v/>
      </c>
      <c r="AB320" s="57" t="str">
        <f>IF(B320="","",COUNTIF(B$6:B320,B320))</f>
        <v/>
      </c>
      <c r="AC320" s="57" t="str">
        <f>IF(B320="","",B320&amp;"#"&amp;AB320)</f>
        <v/>
      </c>
      <c r="AD320" s="57" t="str">
        <f>IF(Z320=1,A320&amp;AA320,"")</f>
        <v/>
      </c>
      <c r="AE320" s="57" t="str">
        <f>IF(B320="","",YEAR(C320))</f>
        <v/>
      </c>
      <c r="AF320" s="57" t="str">
        <f>IF(B320="","",MONTH(C320))</f>
        <v/>
      </c>
      <c r="AG320" s="57">
        <f>IF(ISNUMBER(C320),C320,0)</f>
        <v>0.0</v>
      </c>
      <c r="AH320" s="57" t="str">
        <f>IF(N(W320)&gt;0,COUNTIF(W$6:W320,"&gt;0"),"")</f>
        <v/>
      </c>
      <c r="AI320" s="57" t="str">
        <f>IF(Z320=1,COUNTIF(Z$6:Z320,1),"")</f>
        <v/>
      </c>
    </row>
    <row r="321">
      <c r="A321" s="54" t="n"/>
      <c r="B321" s="55" t="str">
        <f>IF(AA321="","",A321&amp;"-"&amp;RIGHT("000"&amp;AA321,4))</f>
        <v/>
      </c>
      <c r="C321" s="56" t="n"/>
      <c r="D321" s="54" t="n"/>
      <c r="E321" s="57" t="str">
        <f>IF(D321="","",IF(A321="BL",IFERROR(INDEX(cl_name,MATCH(D321,cl_code,0))&amp;"","Client inconnu"),IF(A321="BR",IFERROR(INDEX(fo_name,MATCH(D321,fo_code,0))&amp;"","Fournisseur inconnu"),IF(A321="BS",IF(ISNA(MATCH(D321,p_services,0)),"Service inconnu",D321&amp;""),""))))</f>
        <v/>
      </c>
      <c r="F321" s="58" t="n"/>
      <c r="G321" s="58" t="n"/>
      <c r="H321" s="59" t="n"/>
      <c r="I321" s="57" t="str">
        <f>IF(H321="","",IFERROR(INDEX(art_des,MATCH(H321,art_ref,0))&amp;"","Article inconnu"))</f>
        <v/>
      </c>
      <c r="J321" s="60" t="str">
        <f>IF(H321="","",IFERROR(INDEX(art_unit,MATCH(H321,art_ref,0))&amp;"",""))</f>
        <v/>
      </c>
      <c r="K321" s="59" t="n"/>
      <c r="L321" s="59" t="n"/>
      <c r="M321" s="61" t="str">
        <f>IF(OR(B321="",NOT(ISNUMBER(K321)),NOT(ISNUMBER(L321))),"",IF(OR(K321&lt;=0,L321&lt;=0),"",ROUND(L321-K321,6)))</f>
        <v/>
      </c>
      <c r="N321" s="58" t="n"/>
      <c r="O321" s="62" t="n"/>
      <c r="P321" s="63" t="str">
        <f>IF(OR(B321="",NOT(ISNUMBER(L321))),"",IF(L321&lt;=0,"",IFERROR(ROUND(L321*N(INDEX(art_w,MATCH(H321,art_ref,0))),3),"")))</f>
        <v/>
      </c>
      <c r="Q321" s="59" t="n"/>
      <c r="R321" s="54" t="n"/>
      <c r="S321" s="59" t="n"/>
      <c r="T321" s="59" t="n"/>
      <c r="U321" s="64" t="str">
        <f>IF(OR(B321="",H321=""),"",IFERROR(IF(A321="BL",IF(N(INDEX(art_price,MATCH(H321,art_ref,0)))=0,"",N(INDEX(art_price,MATCH(H321,art_ref,0)))),IF(N(INDEX(art_cost,MATCH(H321,art_ref,0)))=0,"",N(INDEX(art_cost,MATCH(H321,art_ref,0))))),""))</f>
        <v/>
      </c>
      <c r="V321" s="64" t="str">
        <f>IF(OR(U321="",NOT(ISNUMBER(L321))),"",IF(L321&lt;=0,"",ROUND(L321*U321,2)))</f>
        <v/>
      </c>
      <c r="W321" s="60" t="str">
        <f>IF(AND(B321&lt;&gt;"",A321&lt;&gt;"BS",F321&lt;&gt;"",H321&lt;&gt;"",ISNUMBER(K321),ISNUMBER(L321)),IF(AND(K321&gt;0,L321&gt;0,K321-L321&gt;0,COUNTIFS(A322:A$2005,A321,F322:F$2005,F321,H322:H$2005,H321,AA322:AA$2005,"&gt;0")=0),ROUND(K321-L321,6),""),"")</f>
        <v/>
      </c>
      <c r="X321" s="60" t="str">
        <f>IF(AND(A321="",C321="",D321="",H321="",L321=""),"",IF(A321="","Type manquant",IF(AND(A321&lt;&gt;"BL",A321&lt;&gt;"BR",A321&lt;&gt;"BS"),"Type inconnu (BL, BR ou BS)",IF(AG321=0,"Date manquante ou invalide",IF(D321="",IF(A321="BL","Client manquant",IF(A321="BR","Fournisseur manquant","Service manquant")),IF(IF(A321="BL",ISNA(MATCH(D321,cl_code,0)),IF(A321="BR",ISNA(MATCH(D321,fo_code,0)),ISNA(MATCH(D321,p_services,0)))),IF(A321="BL","Client inconnu",IF(A321="BR","Fournisseur inconnu","Service inconnu")),IF(H321="","Article manquant",IF(ISNA(MATCH(H321,art_ref,0)),"Article inconnu",IF(OR(NOT(ISNUMBER(L321)),N(L321)&lt;=0),"Quantité invalide",IF(AND(K321&lt;&gt;"",OR(NOT(ISNUMBER(K321)),N(K321)&lt;=0)),"Qté commandée invalide",IF(AG321&lt;SUMPRODUCT(MAX((A$6:A320=A321)*AG$6:AG320)),"Date antérieure au bon précédent",IF(AND(A321&lt;&gt;"BR",ISNUMBER(M321),N(M321)&gt;0),IF(A321="BL","Livré plus que commandé","Sorti plus que demandé"),"OK"))))))))))))</f>
        <v/>
      </c>
      <c r="Y321" s="57" t="str">
        <f>IF(AND(OR(A321="BL",A321="BR",A321="BS"),AG321&gt;0,D321&lt;&gt;""),A321&amp;"|"&amp;AG321&amp;"|"&amp;D321&amp;"|"&amp;F321,"")</f>
        <v/>
      </c>
      <c r="Z321" s="57" t="str">
        <f>IF(Y321="","",IF(COUNTIF(Y$6:Y320,Y321)=0,1,0))</f>
        <v/>
      </c>
      <c r="AA321" s="57" t="str">
        <f>IF(Y321="","",IF(Z321=1,COUNTIFS(A$6:A321,A321,Z$6:Z321,1),INDEX(AA$6:AA320,MATCH(Y321,Y$6:Y320,0))))</f>
        <v/>
      </c>
      <c r="AB321" s="57" t="str">
        <f>IF(B321="","",COUNTIF(B$6:B321,B321))</f>
        <v/>
      </c>
      <c r="AC321" s="57" t="str">
        <f>IF(B321="","",B321&amp;"#"&amp;AB321)</f>
        <v/>
      </c>
      <c r="AD321" s="57" t="str">
        <f>IF(Z321=1,A321&amp;AA321,"")</f>
        <v/>
      </c>
      <c r="AE321" s="57" t="str">
        <f>IF(B321="","",YEAR(C321))</f>
        <v/>
      </c>
      <c r="AF321" s="57" t="str">
        <f>IF(B321="","",MONTH(C321))</f>
        <v/>
      </c>
      <c r="AG321" s="57">
        <f>IF(ISNUMBER(C321),C321,0)</f>
        <v>0.0</v>
      </c>
      <c r="AH321" s="57" t="str">
        <f>IF(N(W321)&gt;0,COUNTIF(W$6:W321,"&gt;0"),"")</f>
        <v/>
      </c>
      <c r="AI321" s="57" t="str">
        <f>IF(Z321=1,COUNTIF(Z$6:Z321,1),"")</f>
        <v/>
      </c>
    </row>
    <row r="322">
      <c r="A322" s="54" t="n"/>
      <c r="B322" s="55" t="str">
        <f>IF(AA322="","",A322&amp;"-"&amp;RIGHT("000"&amp;AA322,4))</f>
        <v/>
      </c>
      <c r="C322" s="56" t="n"/>
      <c r="D322" s="54" t="n"/>
      <c r="E322" s="57" t="str">
        <f>IF(D322="","",IF(A322="BL",IFERROR(INDEX(cl_name,MATCH(D322,cl_code,0))&amp;"","Client inconnu"),IF(A322="BR",IFERROR(INDEX(fo_name,MATCH(D322,fo_code,0))&amp;"","Fournisseur inconnu"),IF(A322="BS",IF(ISNA(MATCH(D322,p_services,0)),"Service inconnu",D322&amp;""),""))))</f>
        <v/>
      </c>
      <c r="F322" s="58" t="n"/>
      <c r="G322" s="58" t="n"/>
      <c r="H322" s="59" t="n"/>
      <c r="I322" s="57" t="str">
        <f>IF(H322="","",IFERROR(INDEX(art_des,MATCH(H322,art_ref,0))&amp;"","Article inconnu"))</f>
        <v/>
      </c>
      <c r="J322" s="60" t="str">
        <f>IF(H322="","",IFERROR(INDEX(art_unit,MATCH(H322,art_ref,0))&amp;"",""))</f>
        <v/>
      </c>
      <c r="K322" s="59" t="n"/>
      <c r="L322" s="59" t="n"/>
      <c r="M322" s="61" t="str">
        <f>IF(OR(B322="",NOT(ISNUMBER(K322)),NOT(ISNUMBER(L322))),"",IF(OR(K322&lt;=0,L322&lt;=0),"",ROUND(L322-K322,6)))</f>
        <v/>
      </c>
      <c r="N322" s="58" t="n"/>
      <c r="O322" s="62" t="n"/>
      <c r="P322" s="63" t="str">
        <f>IF(OR(B322="",NOT(ISNUMBER(L322))),"",IF(L322&lt;=0,"",IFERROR(ROUND(L322*N(INDEX(art_w,MATCH(H322,art_ref,0))),3),"")))</f>
        <v/>
      </c>
      <c r="Q322" s="59" t="n"/>
      <c r="R322" s="54" t="n"/>
      <c r="S322" s="59" t="n"/>
      <c r="T322" s="59" t="n"/>
      <c r="U322" s="64" t="str">
        <f>IF(OR(B322="",H322=""),"",IFERROR(IF(A322="BL",IF(N(INDEX(art_price,MATCH(H322,art_ref,0)))=0,"",N(INDEX(art_price,MATCH(H322,art_ref,0)))),IF(N(INDEX(art_cost,MATCH(H322,art_ref,0)))=0,"",N(INDEX(art_cost,MATCH(H322,art_ref,0))))),""))</f>
        <v/>
      </c>
      <c r="V322" s="64" t="str">
        <f>IF(OR(U322="",NOT(ISNUMBER(L322))),"",IF(L322&lt;=0,"",ROUND(L322*U322,2)))</f>
        <v/>
      </c>
      <c r="W322" s="60" t="str">
        <f>IF(AND(B322&lt;&gt;"",A322&lt;&gt;"BS",F322&lt;&gt;"",H322&lt;&gt;"",ISNUMBER(K322),ISNUMBER(L322)),IF(AND(K322&gt;0,L322&gt;0,K322-L322&gt;0,COUNTIFS(A323:A$2005,A322,F323:F$2005,F322,H323:H$2005,H322,AA323:AA$2005,"&gt;0")=0),ROUND(K322-L322,6),""),"")</f>
        <v/>
      </c>
      <c r="X322" s="60" t="str">
        <f>IF(AND(A322="",C322="",D322="",H322="",L322=""),"",IF(A322="","Type manquant",IF(AND(A322&lt;&gt;"BL",A322&lt;&gt;"BR",A322&lt;&gt;"BS"),"Type inconnu (BL, BR ou BS)",IF(AG322=0,"Date manquante ou invalide",IF(D322="",IF(A322="BL","Client manquant",IF(A322="BR","Fournisseur manquant","Service manquant")),IF(IF(A322="BL",ISNA(MATCH(D322,cl_code,0)),IF(A322="BR",ISNA(MATCH(D322,fo_code,0)),ISNA(MATCH(D322,p_services,0)))),IF(A322="BL","Client inconnu",IF(A322="BR","Fournisseur inconnu","Service inconnu")),IF(H322="","Article manquant",IF(ISNA(MATCH(H322,art_ref,0)),"Article inconnu",IF(OR(NOT(ISNUMBER(L322)),N(L322)&lt;=0),"Quantité invalide",IF(AND(K322&lt;&gt;"",OR(NOT(ISNUMBER(K322)),N(K322)&lt;=0)),"Qté commandée invalide",IF(AG322&lt;SUMPRODUCT(MAX((A$6:A321=A322)*AG$6:AG321)),"Date antérieure au bon précédent",IF(AND(A322&lt;&gt;"BR",ISNUMBER(M322),N(M322)&gt;0),IF(A322="BL","Livré plus que commandé","Sorti plus que demandé"),"OK"))))))))))))</f>
        <v/>
      </c>
      <c r="Y322" s="57" t="str">
        <f>IF(AND(OR(A322="BL",A322="BR",A322="BS"),AG322&gt;0,D322&lt;&gt;""),A322&amp;"|"&amp;AG322&amp;"|"&amp;D322&amp;"|"&amp;F322,"")</f>
        <v/>
      </c>
      <c r="Z322" s="57" t="str">
        <f>IF(Y322="","",IF(COUNTIF(Y$6:Y321,Y322)=0,1,0))</f>
        <v/>
      </c>
      <c r="AA322" s="57" t="str">
        <f>IF(Y322="","",IF(Z322=1,COUNTIFS(A$6:A322,A322,Z$6:Z322,1),INDEX(AA$6:AA321,MATCH(Y322,Y$6:Y321,0))))</f>
        <v/>
      </c>
      <c r="AB322" s="57" t="str">
        <f>IF(B322="","",COUNTIF(B$6:B322,B322))</f>
        <v/>
      </c>
      <c r="AC322" s="57" t="str">
        <f>IF(B322="","",B322&amp;"#"&amp;AB322)</f>
        <v/>
      </c>
      <c r="AD322" s="57" t="str">
        <f>IF(Z322=1,A322&amp;AA322,"")</f>
        <v/>
      </c>
      <c r="AE322" s="57" t="str">
        <f>IF(B322="","",YEAR(C322))</f>
        <v/>
      </c>
      <c r="AF322" s="57" t="str">
        <f>IF(B322="","",MONTH(C322))</f>
        <v/>
      </c>
      <c r="AG322" s="57">
        <f>IF(ISNUMBER(C322),C322,0)</f>
        <v>0.0</v>
      </c>
      <c r="AH322" s="57" t="str">
        <f>IF(N(W322)&gt;0,COUNTIF(W$6:W322,"&gt;0"),"")</f>
        <v/>
      </c>
      <c r="AI322" s="57" t="str">
        <f>IF(Z322=1,COUNTIF(Z$6:Z322,1),"")</f>
        <v/>
      </c>
    </row>
    <row r="323">
      <c r="A323" s="54" t="n"/>
      <c r="B323" s="55" t="str">
        <f>IF(AA323="","",A323&amp;"-"&amp;RIGHT("000"&amp;AA323,4))</f>
        <v/>
      </c>
      <c r="C323" s="56" t="n"/>
      <c r="D323" s="54" t="n"/>
      <c r="E323" s="57" t="str">
        <f>IF(D323="","",IF(A323="BL",IFERROR(INDEX(cl_name,MATCH(D323,cl_code,0))&amp;"","Client inconnu"),IF(A323="BR",IFERROR(INDEX(fo_name,MATCH(D323,fo_code,0))&amp;"","Fournisseur inconnu"),IF(A323="BS",IF(ISNA(MATCH(D323,p_services,0)),"Service inconnu",D323&amp;""),""))))</f>
        <v/>
      </c>
      <c r="F323" s="58" t="n"/>
      <c r="G323" s="58" t="n"/>
      <c r="H323" s="59" t="n"/>
      <c r="I323" s="57" t="str">
        <f>IF(H323="","",IFERROR(INDEX(art_des,MATCH(H323,art_ref,0))&amp;"","Article inconnu"))</f>
        <v/>
      </c>
      <c r="J323" s="60" t="str">
        <f>IF(H323="","",IFERROR(INDEX(art_unit,MATCH(H323,art_ref,0))&amp;"",""))</f>
        <v/>
      </c>
      <c r="K323" s="59" t="n"/>
      <c r="L323" s="59" t="n"/>
      <c r="M323" s="61" t="str">
        <f>IF(OR(B323="",NOT(ISNUMBER(K323)),NOT(ISNUMBER(L323))),"",IF(OR(K323&lt;=0,L323&lt;=0),"",ROUND(L323-K323,6)))</f>
        <v/>
      </c>
      <c r="N323" s="58" t="n"/>
      <c r="O323" s="62" t="n"/>
      <c r="P323" s="63" t="str">
        <f>IF(OR(B323="",NOT(ISNUMBER(L323))),"",IF(L323&lt;=0,"",IFERROR(ROUND(L323*N(INDEX(art_w,MATCH(H323,art_ref,0))),3),"")))</f>
        <v/>
      </c>
      <c r="Q323" s="59" t="n"/>
      <c r="R323" s="54" t="n"/>
      <c r="S323" s="59" t="n"/>
      <c r="T323" s="59" t="n"/>
      <c r="U323" s="64" t="str">
        <f>IF(OR(B323="",H323=""),"",IFERROR(IF(A323="BL",IF(N(INDEX(art_price,MATCH(H323,art_ref,0)))=0,"",N(INDEX(art_price,MATCH(H323,art_ref,0)))),IF(N(INDEX(art_cost,MATCH(H323,art_ref,0)))=0,"",N(INDEX(art_cost,MATCH(H323,art_ref,0))))),""))</f>
        <v/>
      </c>
      <c r="V323" s="64" t="str">
        <f>IF(OR(U323="",NOT(ISNUMBER(L323))),"",IF(L323&lt;=0,"",ROUND(L323*U323,2)))</f>
        <v/>
      </c>
      <c r="W323" s="60" t="str">
        <f>IF(AND(B323&lt;&gt;"",A323&lt;&gt;"BS",F323&lt;&gt;"",H323&lt;&gt;"",ISNUMBER(K323),ISNUMBER(L323)),IF(AND(K323&gt;0,L323&gt;0,K323-L323&gt;0,COUNTIFS(A324:A$2005,A323,F324:F$2005,F323,H324:H$2005,H323,AA324:AA$2005,"&gt;0")=0),ROUND(K323-L323,6),""),"")</f>
        <v/>
      </c>
      <c r="X323" s="60" t="str">
        <f>IF(AND(A323="",C323="",D323="",H323="",L323=""),"",IF(A323="","Type manquant",IF(AND(A323&lt;&gt;"BL",A323&lt;&gt;"BR",A323&lt;&gt;"BS"),"Type inconnu (BL, BR ou BS)",IF(AG323=0,"Date manquante ou invalide",IF(D323="",IF(A323="BL","Client manquant",IF(A323="BR","Fournisseur manquant","Service manquant")),IF(IF(A323="BL",ISNA(MATCH(D323,cl_code,0)),IF(A323="BR",ISNA(MATCH(D323,fo_code,0)),ISNA(MATCH(D323,p_services,0)))),IF(A323="BL","Client inconnu",IF(A323="BR","Fournisseur inconnu","Service inconnu")),IF(H323="","Article manquant",IF(ISNA(MATCH(H323,art_ref,0)),"Article inconnu",IF(OR(NOT(ISNUMBER(L323)),N(L323)&lt;=0),"Quantité invalide",IF(AND(K323&lt;&gt;"",OR(NOT(ISNUMBER(K323)),N(K323)&lt;=0)),"Qté commandée invalide",IF(AG323&lt;SUMPRODUCT(MAX((A$6:A322=A323)*AG$6:AG322)),"Date antérieure au bon précédent",IF(AND(A323&lt;&gt;"BR",ISNUMBER(M323),N(M323)&gt;0),IF(A323="BL","Livré plus que commandé","Sorti plus que demandé"),"OK"))))))))))))</f>
        <v/>
      </c>
      <c r="Y323" s="57" t="str">
        <f>IF(AND(OR(A323="BL",A323="BR",A323="BS"),AG323&gt;0,D323&lt;&gt;""),A323&amp;"|"&amp;AG323&amp;"|"&amp;D323&amp;"|"&amp;F323,"")</f>
        <v/>
      </c>
      <c r="Z323" s="57" t="str">
        <f>IF(Y323="","",IF(COUNTIF(Y$6:Y322,Y323)=0,1,0))</f>
        <v/>
      </c>
      <c r="AA323" s="57" t="str">
        <f>IF(Y323="","",IF(Z323=1,COUNTIFS(A$6:A323,A323,Z$6:Z323,1),INDEX(AA$6:AA322,MATCH(Y323,Y$6:Y322,0))))</f>
        <v/>
      </c>
      <c r="AB323" s="57" t="str">
        <f>IF(B323="","",COUNTIF(B$6:B323,B323))</f>
        <v/>
      </c>
      <c r="AC323" s="57" t="str">
        <f>IF(B323="","",B323&amp;"#"&amp;AB323)</f>
        <v/>
      </c>
      <c r="AD323" s="57" t="str">
        <f>IF(Z323=1,A323&amp;AA323,"")</f>
        <v/>
      </c>
      <c r="AE323" s="57" t="str">
        <f>IF(B323="","",YEAR(C323))</f>
        <v/>
      </c>
      <c r="AF323" s="57" t="str">
        <f>IF(B323="","",MONTH(C323))</f>
        <v/>
      </c>
      <c r="AG323" s="57">
        <f>IF(ISNUMBER(C323),C323,0)</f>
        <v>0.0</v>
      </c>
      <c r="AH323" s="57" t="str">
        <f>IF(N(W323)&gt;0,COUNTIF(W$6:W323,"&gt;0"),"")</f>
        <v/>
      </c>
      <c r="AI323" s="57" t="str">
        <f>IF(Z323=1,COUNTIF(Z$6:Z323,1),"")</f>
        <v/>
      </c>
    </row>
    <row r="324">
      <c r="A324" s="54" t="n"/>
      <c r="B324" s="55" t="str">
        <f>IF(AA324="","",A324&amp;"-"&amp;RIGHT("000"&amp;AA324,4))</f>
        <v/>
      </c>
      <c r="C324" s="56" t="n"/>
      <c r="D324" s="54" t="n"/>
      <c r="E324" s="57" t="str">
        <f>IF(D324="","",IF(A324="BL",IFERROR(INDEX(cl_name,MATCH(D324,cl_code,0))&amp;"","Client inconnu"),IF(A324="BR",IFERROR(INDEX(fo_name,MATCH(D324,fo_code,0))&amp;"","Fournisseur inconnu"),IF(A324="BS",IF(ISNA(MATCH(D324,p_services,0)),"Service inconnu",D324&amp;""),""))))</f>
        <v/>
      </c>
      <c r="F324" s="58" t="n"/>
      <c r="G324" s="58" t="n"/>
      <c r="H324" s="59" t="n"/>
      <c r="I324" s="57" t="str">
        <f>IF(H324="","",IFERROR(INDEX(art_des,MATCH(H324,art_ref,0))&amp;"","Article inconnu"))</f>
        <v/>
      </c>
      <c r="J324" s="60" t="str">
        <f>IF(H324="","",IFERROR(INDEX(art_unit,MATCH(H324,art_ref,0))&amp;"",""))</f>
        <v/>
      </c>
      <c r="K324" s="59" t="n"/>
      <c r="L324" s="59" t="n"/>
      <c r="M324" s="61" t="str">
        <f>IF(OR(B324="",NOT(ISNUMBER(K324)),NOT(ISNUMBER(L324))),"",IF(OR(K324&lt;=0,L324&lt;=0),"",ROUND(L324-K324,6)))</f>
        <v/>
      </c>
      <c r="N324" s="58" t="n"/>
      <c r="O324" s="62" t="n"/>
      <c r="P324" s="63" t="str">
        <f>IF(OR(B324="",NOT(ISNUMBER(L324))),"",IF(L324&lt;=0,"",IFERROR(ROUND(L324*N(INDEX(art_w,MATCH(H324,art_ref,0))),3),"")))</f>
        <v/>
      </c>
      <c r="Q324" s="59" t="n"/>
      <c r="R324" s="54" t="n"/>
      <c r="S324" s="59" t="n"/>
      <c r="T324" s="59" t="n"/>
      <c r="U324" s="64" t="str">
        <f>IF(OR(B324="",H324=""),"",IFERROR(IF(A324="BL",IF(N(INDEX(art_price,MATCH(H324,art_ref,0)))=0,"",N(INDEX(art_price,MATCH(H324,art_ref,0)))),IF(N(INDEX(art_cost,MATCH(H324,art_ref,0)))=0,"",N(INDEX(art_cost,MATCH(H324,art_ref,0))))),""))</f>
        <v/>
      </c>
      <c r="V324" s="64" t="str">
        <f>IF(OR(U324="",NOT(ISNUMBER(L324))),"",IF(L324&lt;=0,"",ROUND(L324*U324,2)))</f>
        <v/>
      </c>
      <c r="W324" s="60" t="str">
        <f>IF(AND(B324&lt;&gt;"",A324&lt;&gt;"BS",F324&lt;&gt;"",H324&lt;&gt;"",ISNUMBER(K324),ISNUMBER(L324)),IF(AND(K324&gt;0,L324&gt;0,K324-L324&gt;0,COUNTIFS(A325:A$2005,A324,F325:F$2005,F324,H325:H$2005,H324,AA325:AA$2005,"&gt;0")=0),ROUND(K324-L324,6),""),"")</f>
        <v/>
      </c>
      <c r="X324" s="60" t="str">
        <f>IF(AND(A324="",C324="",D324="",H324="",L324=""),"",IF(A324="","Type manquant",IF(AND(A324&lt;&gt;"BL",A324&lt;&gt;"BR",A324&lt;&gt;"BS"),"Type inconnu (BL, BR ou BS)",IF(AG324=0,"Date manquante ou invalide",IF(D324="",IF(A324="BL","Client manquant",IF(A324="BR","Fournisseur manquant","Service manquant")),IF(IF(A324="BL",ISNA(MATCH(D324,cl_code,0)),IF(A324="BR",ISNA(MATCH(D324,fo_code,0)),ISNA(MATCH(D324,p_services,0)))),IF(A324="BL","Client inconnu",IF(A324="BR","Fournisseur inconnu","Service inconnu")),IF(H324="","Article manquant",IF(ISNA(MATCH(H324,art_ref,0)),"Article inconnu",IF(OR(NOT(ISNUMBER(L324)),N(L324)&lt;=0),"Quantité invalide",IF(AND(K324&lt;&gt;"",OR(NOT(ISNUMBER(K324)),N(K324)&lt;=0)),"Qté commandée invalide",IF(AG324&lt;SUMPRODUCT(MAX((A$6:A323=A324)*AG$6:AG323)),"Date antérieure au bon précédent",IF(AND(A324&lt;&gt;"BR",ISNUMBER(M324),N(M324)&gt;0),IF(A324="BL","Livré plus que commandé","Sorti plus que demandé"),"OK"))))))))))))</f>
        <v/>
      </c>
      <c r="Y324" s="57" t="str">
        <f>IF(AND(OR(A324="BL",A324="BR",A324="BS"),AG324&gt;0,D324&lt;&gt;""),A324&amp;"|"&amp;AG324&amp;"|"&amp;D324&amp;"|"&amp;F324,"")</f>
        <v/>
      </c>
      <c r="Z324" s="57" t="str">
        <f>IF(Y324="","",IF(COUNTIF(Y$6:Y323,Y324)=0,1,0))</f>
        <v/>
      </c>
      <c r="AA324" s="57" t="str">
        <f>IF(Y324="","",IF(Z324=1,COUNTIFS(A$6:A324,A324,Z$6:Z324,1),INDEX(AA$6:AA323,MATCH(Y324,Y$6:Y323,0))))</f>
        <v/>
      </c>
      <c r="AB324" s="57" t="str">
        <f>IF(B324="","",COUNTIF(B$6:B324,B324))</f>
        <v/>
      </c>
      <c r="AC324" s="57" t="str">
        <f>IF(B324="","",B324&amp;"#"&amp;AB324)</f>
        <v/>
      </c>
      <c r="AD324" s="57" t="str">
        <f>IF(Z324=1,A324&amp;AA324,"")</f>
        <v/>
      </c>
      <c r="AE324" s="57" t="str">
        <f>IF(B324="","",YEAR(C324))</f>
        <v/>
      </c>
      <c r="AF324" s="57" t="str">
        <f>IF(B324="","",MONTH(C324))</f>
        <v/>
      </c>
      <c r="AG324" s="57">
        <f>IF(ISNUMBER(C324),C324,0)</f>
        <v>0.0</v>
      </c>
      <c r="AH324" s="57" t="str">
        <f>IF(N(W324)&gt;0,COUNTIF(W$6:W324,"&gt;0"),"")</f>
        <v/>
      </c>
      <c r="AI324" s="57" t="str">
        <f>IF(Z324=1,COUNTIF(Z$6:Z324,1),"")</f>
        <v/>
      </c>
    </row>
    <row r="325">
      <c r="A325" s="54" t="n"/>
      <c r="B325" s="55" t="str">
        <f>IF(AA325="","",A325&amp;"-"&amp;RIGHT("000"&amp;AA325,4))</f>
        <v/>
      </c>
      <c r="C325" s="56" t="n"/>
      <c r="D325" s="54" t="n"/>
      <c r="E325" s="57" t="str">
        <f>IF(D325="","",IF(A325="BL",IFERROR(INDEX(cl_name,MATCH(D325,cl_code,0))&amp;"","Client inconnu"),IF(A325="BR",IFERROR(INDEX(fo_name,MATCH(D325,fo_code,0))&amp;"","Fournisseur inconnu"),IF(A325="BS",IF(ISNA(MATCH(D325,p_services,0)),"Service inconnu",D325&amp;""),""))))</f>
        <v/>
      </c>
      <c r="F325" s="58" t="n"/>
      <c r="G325" s="58" t="n"/>
      <c r="H325" s="59" t="n"/>
      <c r="I325" s="57" t="str">
        <f>IF(H325="","",IFERROR(INDEX(art_des,MATCH(H325,art_ref,0))&amp;"","Article inconnu"))</f>
        <v/>
      </c>
      <c r="J325" s="60" t="str">
        <f>IF(H325="","",IFERROR(INDEX(art_unit,MATCH(H325,art_ref,0))&amp;"",""))</f>
        <v/>
      </c>
      <c r="K325" s="59" t="n"/>
      <c r="L325" s="59" t="n"/>
      <c r="M325" s="61" t="str">
        <f>IF(OR(B325="",NOT(ISNUMBER(K325)),NOT(ISNUMBER(L325))),"",IF(OR(K325&lt;=0,L325&lt;=0),"",ROUND(L325-K325,6)))</f>
        <v/>
      </c>
      <c r="N325" s="58" t="n"/>
      <c r="O325" s="62" t="n"/>
      <c r="P325" s="63" t="str">
        <f>IF(OR(B325="",NOT(ISNUMBER(L325))),"",IF(L325&lt;=0,"",IFERROR(ROUND(L325*N(INDEX(art_w,MATCH(H325,art_ref,0))),3),"")))</f>
        <v/>
      </c>
      <c r="Q325" s="59" t="n"/>
      <c r="R325" s="54" t="n"/>
      <c r="S325" s="59" t="n"/>
      <c r="T325" s="59" t="n"/>
      <c r="U325" s="64" t="str">
        <f>IF(OR(B325="",H325=""),"",IFERROR(IF(A325="BL",IF(N(INDEX(art_price,MATCH(H325,art_ref,0)))=0,"",N(INDEX(art_price,MATCH(H325,art_ref,0)))),IF(N(INDEX(art_cost,MATCH(H325,art_ref,0)))=0,"",N(INDEX(art_cost,MATCH(H325,art_ref,0))))),""))</f>
        <v/>
      </c>
      <c r="V325" s="64" t="str">
        <f>IF(OR(U325="",NOT(ISNUMBER(L325))),"",IF(L325&lt;=0,"",ROUND(L325*U325,2)))</f>
        <v/>
      </c>
      <c r="W325" s="60" t="str">
        <f>IF(AND(B325&lt;&gt;"",A325&lt;&gt;"BS",F325&lt;&gt;"",H325&lt;&gt;"",ISNUMBER(K325),ISNUMBER(L325)),IF(AND(K325&gt;0,L325&gt;0,K325-L325&gt;0,COUNTIFS(A326:A$2005,A325,F326:F$2005,F325,H326:H$2005,H325,AA326:AA$2005,"&gt;0")=0),ROUND(K325-L325,6),""),"")</f>
        <v/>
      </c>
      <c r="X325" s="60" t="str">
        <f>IF(AND(A325="",C325="",D325="",H325="",L325=""),"",IF(A325="","Type manquant",IF(AND(A325&lt;&gt;"BL",A325&lt;&gt;"BR",A325&lt;&gt;"BS"),"Type inconnu (BL, BR ou BS)",IF(AG325=0,"Date manquante ou invalide",IF(D325="",IF(A325="BL","Client manquant",IF(A325="BR","Fournisseur manquant","Service manquant")),IF(IF(A325="BL",ISNA(MATCH(D325,cl_code,0)),IF(A325="BR",ISNA(MATCH(D325,fo_code,0)),ISNA(MATCH(D325,p_services,0)))),IF(A325="BL","Client inconnu",IF(A325="BR","Fournisseur inconnu","Service inconnu")),IF(H325="","Article manquant",IF(ISNA(MATCH(H325,art_ref,0)),"Article inconnu",IF(OR(NOT(ISNUMBER(L325)),N(L325)&lt;=0),"Quantité invalide",IF(AND(K325&lt;&gt;"",OR(NOT(ISNUMBER(K325)),N(K325)&lt;=0)),"Qté commandée invalide",IF(AG325&lt;SUMPRODUCT(MAX((A$6:A324=A325)*AG$6:AG324)),"Date antérieure au bon précédent",IF(AND(A325&lt;&gt;"BR",ISNUMBER(M325),N(M325)&gt;0),IF(A325="BL","Livré plus que commandé","Sorti plus que demandé"),"OK"))))))))))))</f>
        <v/>
      </c>
      <c r="Y325" s="57" t="str">
        <f>IF(AND(OR(A325="BL",A325="BR",A325="BS"),AG325&gt;0,D325&lt;&gt;""),A325&amp;"|"&amp;AG325&amp;"|"&amp;D325&amp;"|"&amp;F325,"")</f>
        <v/>
      </c>
      <c r="Z325" s="57" t="str">
        <f>IF(Y325="","",IF(COUNTIF(Y$6:Y324,Y325)=0,1,0))</f>
        <v/>
      </c>
      <c r="AA325" s="57" t="str">
        <f>IF(Y325="","",IF(Z325=1,COUNTIFS(A$6:A325,A325,Z$6:Z325,1),INDEX(AA$6:AA324,MATCH(Y325,Y$6:Y324,0))))</f>
        <v/>
      </c>
      <c r="AB325" s="57" t="str">
        <f>IF(B325="","",COUNTIF(B$6:B325,B325))</f>
        <v/>
      </c>
      <c r="AC325" s="57" t="str">
        <f>IF(B325="","",B325&amp;"#"&amp;AB325)</f>
        <v/>
      </c>
      <c r="AD325" s="57" t="str">
        <f>IF(Z325=1,A325&amp;AA325,"")</f>
        <v/>
      </c>
      <c r="AE325" s="57" t="str">
        <f>IF(B325="","",YEAR(C325))</f>
        <v/>
      </c>
      <c r="AF325" s="57" t="str">
        <f>IF(B325="","",MONTH(C325))</f>
        <v/>
      </c>
      <c r="AG325" s="57">
        <f>IF(ISNUMBER(C325),C325,0)</f>
        <v>0.0</v>
      </c>
      <c r="AH325" s="57" t="str">
        <f>IF(N(W325)&gt;0,COUNTIF(W$6:W325,"&gt;0"),"")</f>
        <v/>
      </c>
      <c r="AI325" s="57" t="str">
        <f>IF(Z325=1,COUNTIF(Z$6:Z325,1),"")</f>
        <v/>
      </c>
    </row>
    <row r="326">
      <c r="A326" s="54" t="n"/>
      <c r="B326" s="55" t="str">
        <f>IF(AA326="","",A326&amp;"-"&amp;RIGHT("000"&amp;AA326,4))</f>
        <v/>
      </c>
      <c r="C326" s="56" t="n"/>
      <c r="D326" s="54" t="n"/>
      <c r="E326" s="57" t="str">
        <f>IF(D326="","",IF(A326="BL",IFERROR(INDEX(cl_name,MATCH(D326,cl_code,0))&amp;"","Client inconnu"),IF(A326="BR",IFERROR(INDEX(fo_name,MATCH(D326,fo_code,0))&amp;"","Fournisseur inconnu"),IF(A326="BS",IF(ISNA(MATCH(D326,p_services,0)),"Service inconnu",D326&amp;""),""))))</f>
        <v/>
      </c>
      <c r="F326" s="58" t="n"/>
      <c r="G326" s="58" t="n"/>
      <c r="H326" s="59" t="n"/>
      <c r="I326" s="57" t="str">
        <f>IF(H326="","",IFERROR(INDEX(art_des,MATCH(H326,art_ref,0))&amp;"","Article inconnu"))</f>
        <v/>
      </c>
      <c r="J326" s="60" t="str">
        <f>IF(H326="","",IFERROR(INDEX(art_unit,MATCH(H326,art_ref,0))&amp;"",""))</f>
        <v/>
      </c>
      <c r="K326" s="59" t="n"/>
      <c r="L326" s="59" t="n"/>
      <c r="M326" s="61" t="str">
        <f>IF(OR(B326="",NOT(ISNUMBER(K326)),NOT(ISNUMBER(L326))),"",IF(OR(K326&lt;=0,L326&lt;=0),"",ROUND(L326-K326,6)))</f>
        <v/>
      </c>
      <c r="N326" s="58" t="n"/>
      <c r="O326" s="62" t="n"/>
      <c r="P326" s="63" t="str">
        <f>IF(OR(B326="",NOT(ISNUMBER(L326))),"",IF(L326&lt;=0,"",IFERROR(ROUND(L326*N(INDEX(art_w,MATCH(H326,art_ref,0))),3),"")))</f>
        <v/>
      </c>
      <c r="Q326" s="59" t="n"/>
      <c r="R326" s="54" t="n"/>
      <c r="S326" s="59" t="n"/>
      <c r="T326" s="59" t="n"/>
      <c r="U326" s="64" t="str">
        <f>IF(OR(B326="",H326=""),"",IFERROR(IF(A326="BL",IF(N(INDEX(art_price,MATCH(H326,art_ref,0)))=0,"",N(INDEX(art_price,MATCH(H326,art_ref,0)))),IF(N(INDEX(art_cost,MATCH(H326,art_ref,0)))=0,"",N(INDEX(art_cost,MATCH(H326,art_ref,0))))),""))</f>
        <v/>
      </c>
      <c r="V326" s="64" t="str">
        <f>IF(OR(U326="",NOT(ISNUMBER(L326))),"",IF(L326&lt;=0,"",ROUND(L326*U326,2)))</f>
        <v/>
      </c>
      <c r="W326" s="60" t="str">
        <f>IF(AND(B326&lt;&gt;"",A326&lt;&gt;"BS",F326&lt;&gt;"",H326&lt;&gt;"",ISNUMBER(K326),ISNUMBER(L326)),IF(AND(K326&gt;0,L326&gt;0,K326-L326&gt;0,COUNTIFS(A327:A$2005,A326,F327:F$2005,F326,H327:H$2005,H326,AA327:AA$2005,"&gt;0")=0),ROUND(K326-L326,6),""),"")</f>
        <v/>
      </c>
      <c r="X326" s="60" t="str">
        <f>IF(AND(A326="",C326="",D326="",H326="",L326=""),"",IF(A326="","Type manquant",IF(AND(A326&lt;&gt;"BL",A326&lt;&gt;"BR",A326&lt;&gt;"BS"),"Type inconnu (BL, BR ou BS)",IF(AG326=0,"Date manquante ou invalide",IF(D326="",IF(A326="BL","Client manquant",IF(A326="BR","Fournisseur manquant","Service manquant")),IF(IF(A326="BL",ISNA(MATCH(D326,cl_code,0)),IF(A326="BR",ISNA(MATCH(D326,fo_code,0)),ISNA(MATCH(D326,p_services,0)))),IF(A326="BL","Client inconnu",IF(A326="BR","Fournisseur inconnu","Service inconnu")),IF(H326="","Article manquant",IF(ISNA(MATCH(H326,art_ref,0)),"Article inconnu",IF(OR(NOT(ISNUMBER(L326)),N(L326)&lt;=0),"Quantité invalide",IF(AND(K326&lt;&gt;"",OR(NOT(ISNUMBER(K326)),N(K326)&lt;=0)),"Qté commandée invalide",IF(AG326&lt;SUMPRODUCT(MAX((A$6:A325=A326)*AG$6:AG325)),"Date antérieure au bon précédent",IF(AND(A326&lt;&gt;"BR",ISNUMBER(M326),N(M326)&gt;0),IF(A326="BL","Livré plus que commandé","Sorti plus que demandé"),"OK"))))))))))))</f>
        <v/>
      </c>
      <c r="Y326" s="57" t="str">
        <f>IF(AND(OR(A326="BL",A326="BR",A326="BS"),AG326&gt;0,D326&lt;&gt;""),A326&amp;"|"&amp;AG326&amp;"|"&amp;D326&amp;"|"&amp;F326,"")</f>
        <v/>
      </c>
      <c r="Z326" s="57" t="str">
        <f>IF(Y326="","",IF(COUNTIF(Y$6:Y325,Y326)=0,1,0))</f>
        <v/>
      </c>
      <c r="AA326" s="57" t="str">
        <f>IF(Y326="","",IF(Z326=1,COUNTIFS(A$6:A326,A326,Z$6:Z326,1),INDEX(AA$6:AA325,MATCH(Y326,Y$6:Y325,0))))</f>
        <v/>
      </c>
      <c r="AB326" s="57" t="str">
        <f>IF(B326="","",COUNTIF(B$6:B326,B326))</f>
        <v/>
      </c>
      <c r="AC326" s="57" t="str">
        <f>IF(B326="","",B326&amp;"#"&amp;AB326)</f>
        <v/>
      </c>
      <c r="AD326" s="57" t="str">
        <f>IF(Z326=1,A326&amp;AA326,"")</f>
        <v/>
      </c>
      <c r="AE326" s="57" t="str">
        <f>IF(B326="","",YEAR(C326))</f>
        <v/>
      </c>
      <c r="AF326" s="57" t="str">
        <f>IF(B326="","",MONTH(C326))</f>
        <v/>
      </c>
      <c r="AG326" s="57">
        <f>IF(ISNUMBER(C326),C326,0)</f>
        <v>0.0</v>
      </c>
      <c r="AH326" s="57" t="str">
        <f>IF(N(W326)&gt;0,COUNTIF(W$6:W326,"&gt;0"),"")</f>
        <v/>
      </c>
      <c r="AI326" s="57" t="str">
        <f>IF(Z326=1,COUNTIF(Z$6:Z326,1),"")</f>
        <v/>
      </c>
    </row>
    <row r="327">
      <c r="A327" s="54" t="n"/>
      <c r="B327" s="55" t="str">
        <f>IF(AA327="","",A327&amp;"-"&amp;RIGHT("000"&amp;AA327,4))</f>
        <v/>
      </c>
      <c r="C327" s="56" t="n"/>
      <c r="D327" s="54" t="n"/>
      <c r="E327" s="57" t="str">
        <f>IF(D327="","",IF(A327="BL",IFERROR(INDEX(cl_name,MATCH(D327,cl_code,0))&amp;"","Client inconnu"),IF(A327="BR",IFERROR(INDEX(fo_name,MATCH(D327,fo_code,0))&amp;"","Fournisseur inconnu"),IF(A327="BS",IF(ISNA(MATCH(D327,p_services,0)),"Service inconnu",D327&amp;""),""))))</f>
        <v/>
      </c>
      <c r="F327" s="58" t="n"/>
      <c r="G327" s="58" t="n"/>
      <c r="H327" s="59" t="n"/>
      <c r="I327" s="57" t="str">
        <f>IF(H327="","",IFERROR(INDEX(art_des,MATCH(H327,art_ref,0))&amp;"","Article inconnu"))</f>
        <v/>
      </c>
      <c r="J327" s="60" t="str">
        <f>IF(H327="","",IFERROR(INDEX(art_unit,MATCH(H327,art_ref,0))&amp;"",""))</f>
        <v/>
      </c>
      <c r="K327" s="59" t="n"/>
      <c r="L327" s="59" t="n"/>
      <c r="M327" s="61" t="str">
        <f>IF(OR(B327="",NOT(ISNUMBER(K327)),NOT(ISNUMBER(L327))),"",IF(OR(K327&lt;=0,L327&lt;=0),"",ROUND(L327-K327,6)))</f>
        <v/>
      </c>
      <c r="N327" s="58" t="n"/>
      <c r="O327" s="62" t="n"/>
      <c r="P327" s="63" t="str">
        <f>IF(OR(B327="",NOT(ISNUMBER(L327))),"",IF(L327&lt;=0,"",IFERROR(ROUND(L327*N(INDEX(art_w,MATCH(H327,art_ref,0))),3),"")))</f>
        <v/>
      </c>
      <c r="Q327" s="59" t="n"/>
      <c r="R327" s="54" t="n"/>
      <c r="S327" s="59" t="n"/>
      <c r="T327" s="59" t="n"/>
      <c r="U327" s="64" t="str">
        <f>IF(OR(B327="",H327=""),"",IFERROR(IF(A327="BL",IF(N(INDEX(art_price,MATCH(H327,art_ref,0)))=0,"",N(INDEX(art_price,MATCH(H327,art_ref,0)))),IF(N(INDEX(art_cost,MATCH(H327,art_ref,0)))=0,"",N(INDEX(art_cost,MATCH(H327,art_ref,0))))),""))</f>
        <v/>
      </c>
      <c r="V327" s="64" t="str">
        <f>IF(OR(U327="",NOT(ISNUMBER(L327))),"",IF(L327&lt;=0,"",ROUND(L327*U327,2)))</f>
        <v/>
      </c>
      <c r="W327" s="60" t="str">
        <f>IF(AND(B327&lt;&gt;"",A327&lt;&gt;"BS",F327&lt;&gt;"",H327&lt;&gt;"",ISNUMBER(K327),ISNUMBER(L327)),IF(AND(K327&gt;0,L327&gt;0,K327-L327&gt;0,COUNTIFS(A328:A$2005,A327,F328:F$2005,F327,H328:H$2005,H327,AA328:AA$2005,"&gt;0")=0),ROUND(K327-L327,6),""),"")</f>
        <v/>
      </c>
      <c r="X327" s="60" t="str">
        <f>IF(AND(A327="",C327="",D327="",H327="",L327=""),"",IF(A327="","Type manquant",IF(AND(A327&lt;&gt;"BL",A327&lt;&gt;"BR",A327&lt;&gt;"BS"),"Type inconnu (BL, BR ou BS)",IF(AG327=0,"Date manquante ou invalide",IF(D327="",IF(A327="BL","Client manquant",IF(A327="BR","Fournisseur manquant","Service manquant")),IF(IF(A327="BL",ISNA(MATCH(D327,cl_code,0)),IF(A327="BR",ISNA(MATCH(D327,fo_code,0)),ISNA(MATCH(D327,p_services,0)))),IF(A327="BL","Client inconnu",IF(A327="BR","Fournisseur inconnu","Service inconnu")),IF(H327="","Article manquant",IF(ISNA(MATCH(H327,art_ref,0)),"Article inconnu",IF(OR(NOT(ISNUMBER(L327)),N(L327)&lt;=0),"Quantité invalide",IF(AND(K327&lt;&gt;"",OR(NOT(ISNUMBER(K327)),N(K327)&lt;=0)),"Qté commandée invalide",IF(AG327&lt;SUMPRODUCT(MAX((A$6:A326=A327)*AG$6:AG326)),"Date antérieure au bon précédent",IF(AND(A327&lt;&gt;"BR",ISNUMBER(M327),N(M327)&gt;0),IF(A327="BL","Livré plus que commandé","Sorti plus que demandé"),"OK"))))))))))))</f>
        <v/>
      </c>
      <c r="Y327" s="57" t="str">
        <f>IF(AND(OR(A327="BL",A327="BR",A327="BS"),AG327&gt;0,D327&lt;&gt;""),A327&amp;"|"&amp;AG327&amp;"|"&amp;D327&amp;"|"&amp;F327,"")</f>
        <v/>
      </c>
      <c r="Z327" s="57" t="str">
        <f>IF(Y327="","",IF(COUNTIF(Y$6:Y326,Y327)=0,1,0))</f>
        <v/>
      </c>
      <c r="AA327" s="57" t="str">
        <f>IF(Y327="","",IF(Z327=1,COUNTIFS(A$6:A327,A327,Z$6:Z327,1),INDEX(AA$6:AA326,MATCH(Y327,Y$6:Y326,0))))</f>
        <v/>
      </c>
      <c r="AB327" s="57" t="str">
        <f>IF(B327="","",COUNTIF(B$6:B327,B327))</f>
        <v/>
      </c>
      <c r="AC327" s="57" t="str">
        <f>IF(B327="","",B327&amp;"#"&amp;AB327)</f>
        <v/>
      </c>
      <c r="AD327" s="57" t="str">
        <f>IF(Z327=1,A327&amp;AA327,"")</f>
        <v/>
      </c>
      <c r="AE327" s="57" t="str">
        <f>IF(B327="","",YEAR(C327))</f>
        <v/>
      </c>
      <c r="AF327" s="57" t="str">
        <f>IF(B327="","",MONTH(C327))</f>
        <v/>
      </c>
      <c r="AG327" s="57">
        <f>IF(ISNUMBER(C327),C327,0)</f>
        <v>0.0</v>
      </c>
      <c r="AH327" s="57" t="str">
        <f>IF(N(W327)&gt;0,COUNTIF(W$6:W327,"&gt;0"),"")</f>
        <v/>
      </c>
      <c r="AI327" s="57" t="str">
        <f>IF(Z327=1,COUNTIF(Z$6:Z327,1),"")</f>
        <v/>
      </c>
    </row>
    <row r="328">
      <c r="A328" s="54" t="n"/>
      <c r="B328" s="55" t="str">
        <f>IF(AA328="","",A328&amp;"-"&amp;RIGHT("000"&amp;AA328,4))</f>
        <v/>
      </c>
      <c r="C328" s="56" t="n"/>
      <c r="D328" s="54" t="n"/>
      <c r="E328" s="57" t="str">
        <f>IF(D328="","",IF(A328="BL",IFERROR(INDEX(cl_name,MATCH(D328,cl_code,0))&amp;"","Client inconnu"),IF(A328="BR",IFERROR(INDEX(fo_name,MATCH(D328,fo_code,0))&amp;"","Fournisseur inconnu"),IF(A328="BS",IF(ISNA(MATCH(D328,p_services,0)),"Service inconnu",D328&amp;""),""))))</f>
        <v/>
      </c>
      <c r="F328" s="58" t="n"/>
      <c r="G328" s="58" t="n"/>
      <c r="H328" s="59" t="n"/>
      <c r="I328" s="57" t="str">
        <f>IF(H328="","",IFERROR(INDEX(art_des,MATCH(H328,art_ref,0))&amp;"","Article inconnu"))</f>
        <v/>
      </c>
      <c r="J328" s="60" t="str">
        <f>IF(H328="","",IFERROR(INDEX(art_unit,MATCH(H328,art_ref,0))&amp;"",""))</f>
        <v/>
      </c>
      <c r="K328" s="59" t="n"/>
      <c r="L328" s="59" t="n"/>
      <c r="M328" s="61" t="str">
        <f>IF(OR(B328="",NOT(ISNUMBER(K328)),NOT(ISNUMBER(L328))),"",IF(OR(K328&lt;=0,L328&lt;=0),"",ROUND(L328-K328,6)))</f>
        <v/>
      </c>
      <c r="N328" s="58" t="n"/>
      <c r="O328" s="62" t="n"/>
      <c r="P328" s="63" t="str">
        <f>IF(OR(B328="",NOT(ISNUMBER(L328))),"",IF(L328&lt;=0,"",IFERROR(ROUND(L328*N(INDEX(art_w,MATCH(H328,art_ref,0))),3),"")))</f>
        <v/>
      </c>
      <c r="Q328" s="59" t="n"/>
      <c r="R328" s="54" t="n"/>
      <c r="S328" s="59" t="n"/>
      <c r="T328" s="59" t="n"/>
      <c r="U328" s="64" t="str">
        <f>IF(OR(B328="",H328=""),"",IFERROR(IF(A328="BL",IF(N(INDEX(art_price,MATCH(H328,art_ref,0)))=0,"",N(INDEX(art_price,MATCH(H328,art_ref,0)))),IF(N(INDEX(art_cost,MATCH(H328,art_ref,0)))=0,"",N(INDEX(art_cost,MATCH(H328,art_ref,0))))),""))</f>
        <v/>
      </c>
      <c r="V328" s="64" t="str">
        <f>IF(OR(U328="",NOT(ISNUMBER(L328))),"",IF(L328&lt;=0,"",ROUND(L328*U328,2)))</f>
        <v/>
      </c>
      <c r="W328" s="60" t="str">
        <f>IF(AND(B328&lt;&gt;"",A328&lt;&gt;"BS",F328&lt;&gt;"",H328&lt;&gt;"",ISNUMBER(K328),ISNUMBER(L328)),IF(AND(K328&gt;0,L328&gt;0,K328-L328&gt;0,COUNTIFS(A329:A$2005,A328,F329:F$2005,F328,H329:H$2005,H328,AA329:AA$2005,"&gt;0")=0),ROUND(K328-L328,6),""),"")</f>
        <v/>
      </c>
      <c r="X328" s="60" t="str">
        <f>IF(AND(A328="",C328="",D328="",H328="",L328=""),"",IF(A328="","Type manquant",IF(AND(A328&lt;&gt;"BL",A328&lt;&gt;"BR",A328&lt;&gt;"BS"),"Type inconnu (BL, BR ou BS)",IF(AG328=0,"Date manquante ou invalide",IF(D328="",IF(A328="BL","Client manquant",IF(A328="BR","Fournisseur manquant","Service manquant")),IF(IF(A328="BL",ISNA(MATCH(D328,cl_code,0)),IF(A328="BR",ISNA(MATCH(D328,fo_code,0)),ISNA(MATCH(D328,p_services,0)))),IF(A328="BL","Client inconnu",IF(A328="BR","Fournisseur inconnu","Service inconnu")),IF(H328="","Article manquant",IF(ISNA(MATCH(H328,art_ref,0)),"Article inconnu",IF(OR(NOT(ISNUMBER(L328)),N(L328)&lt;=0),"Quantité invalide",IF(AND(K328&lt;&gt;"",OR(NOT(ISNUMBER(K328)),N(K328)&lt;=0)),"Qté commandée invalide",IF(AG328&lt;SUMPRODUCT(MAX((A$6:A327=A328)*AG$6:AG327)),"Date antérieure au bon précédent",IF(AND(A328&lt;&gt;"BR",ISNUMBER(M328),N(M328)&gt;0),IF(A328="BL","Livré plus que commandé","Sorti plus que demandé"),"OK"))))))))))))</f>
        <v/>
      </c>
      <c r="Y328" s="57" t="str">
        <f>IF(AND(OR(A328="BL",A328="BR",A328="BS"),AG328&gt;0,D328&lt;&gt;""),A328&amp;"|"&amp;AG328&amp;"|"&amp;D328&amp;"|"&amp;F328,"")</f>
        <v/>
      </c>
      <c r="Z328" s="57" t="str">
        <f>IF(Y328="","",IF(COUNTIF(Y$6:Y327,Y328)=0,1,0))</f>
        <v/>
      </c>
      <c r="AA328" s="57" t="str">
        <f>IF(Y328="","",IF(Z328=1,COUNTIFS(A$6:A328,A328,Z$6:Z328,1),INDEX(AA$6:AA327,MATCH(Y328,Y$6:Y327,0))))</f>
        <v/>
      </c>
      <c r="AB328" s="57" t="str">
        <f>IF(B328="","",COUNTIF(B$6:B328,B328))</f>
        <v/>
      </c>
      <c r="AC328" s="57" t="str">
        <f>IF(B328="","",B328&amp;"#"&amp;AB328)</f>
        <v/>
      </c>
      <c r="AD328" s="57" t="str">
        <f>IF(Z328=1,A328&amp;AA328,"")</f>
        <v/>
      </c>
      <c r="AE328" s="57" t="str">
        <f>IF(B328="","",YEAR(C328))</f>
        <v/>
      </c>
      <c r="AF328" s="57" t="str">
        <f>IF(B328="","",MONTH(C328))</f>
        <v/>
      </c>
      <c r="AG328" s="57">
        <f>IF(ISNUMBER(C328),C328,0)</f>
        <v>0.0</v>
      </c>
      <c r="AH328" s="57" t="str">
        <f>IF(N(W328)&gt;0,COUNTIF(W$6:W328,"&gt;0"),"")</f>
        <v/>
      </c>
      <c r="AI328" s="57" t="str">
        <f>IF(Z328=1,COUNTIF(Z$6:Z328,1),"")</f>
        <v/>
      </c>
    </row>
    <row r="329">
      <c r="A329" s="54" t="n"/>
      <c r="B329" s="55" t="str">
        <f>IF(AA329="","",A329&amp;"-"&amp;RIGHT("000"&amp;AA329,4))</f>
        <v/>
      </c>
      <c r="C329" s="56" t="n"/>
      <c r="D329" s="54" t="n"/>
      <c r="E329" s="57" t="str">
        <f>IF(D329="","",IF(A329="BL",IFERROR(INDEX(cl_name,MATCH(D329,cl_code,0))&amp;"","Client inconnu"),IF(A329="BR",IFERROR(INDEX(fo_name,MATCH(D329,fo_code,0))&amp;"","Fournisseur inconnu"),IF(A329="BS",IF(ISNA(MATCH(D329,p_services,0)),"Service inconnu",D329&amp;""),""))))</f>
        <v/>
      </c>
      <c r="F329" s="58" t="n"/>
      <c r="G329" s="58" t="n"/>
      <c r="H329" s="59" t="n"/>
      <c r="I329" s="57" t="str">
        <f>IF(H329="","",IFERROR(INDEX(art_des,MATCH(H329,art_ref,0))&amp;"","Article inconnu"))</f>
        <v/>
      </c>
      <c r="J329" s="60" t="str">
        <f>IF(H329="","",IFERROR(INDEX(art_unit,MATCH(H329,art_ref,0))&amp;"",""))</f>
        <v/>
      </c>
      <c r="K329" s="59" t="n"/>
      <c r="L329" s="59" t="n"/>
      <c r="M329" s="61" t="str">
        <f>IF(OR(B329="",NOT(ISNUMBER(K329)),NOT(ISNUMBER(L329))),"",IF(OR(K329&lt;=0,L329&lt;=0),"",ROUND(L329-K329,6)))</f>
        <v/>
      </c>
      <c r="N329" s="58" t="n"/>
      <c r="O329" s="62" t="n"/>
      <c r="P329" s="63" t="str">
        <f>IF(OR(B329="",NOT(ISNUMBER(L329))),"",IF(L329&lt;=0,"",IFERROR(ROUND(L329*N(INDEX(art_w,MATCH(H329,art_ref,0))),3),"")))</f>
        <v/>
      </c>
      <c r="Q329" s="59" t="n"/>
      <c r="R329" s="54" t="n"/>
      <c r="S329" s="59" t="n"/>
      <c r="T329" s="59" t="n"/>
      <c r="U329" s="64" t="str">
        <f>IF(OR(B329="",H329=""),"",IFERROR(IF(A329="BL",IF(N(INDEX(art_price,MATCH(H329,art_ref,0)))=0,"",N(INDEX(art_price,MATCH(H329,art_ref,0)))),IF(N(INDEX(art_cost,MATCH(H329,art_ref,0)))=0,"",N(INDEX(art_cost,MATCH(H329,art_ref,0))))),""))</f>
        <v/>
      </c>
      <c r="V329" s="64" t="str">
        <f>IF(OR(U329="",NOT(ISNUMBER(L329))),"",IF(L329&lt;=0,"",ROUND(L329*U329,2)))</f>
        <v/>
      </c>
      <c r="W329" s="60" t="str">
        <f>IF(AND(B329&lt;&gt;"",A329&lt;&gt;"BS",F329&lt;&gt;"",H329&lt;&gt;"",ISNUMBER(K329),ISNUMBER(L329)),IF(AND(K329&gt;0,L329&gt;0,K329-L329&gt;0,COUNTIFS(A330:A$2005,A329,F330:F$2005,F329,H330:H$2005,H329,AA330:AA$2005,"&gt;0")=0),ROUND(K329-L329,6),""),"")</f>
        <v/>
      </c>
      <c r="X329" s="60" t="str">
        <f>IF(AND(A329="",C329="",D329="",H329="",L329=""),"",IF(A329="","Type manquant",IF(AND(A329&lt;&gt;"BL",A329&lt;&gt;"BR",A329&lt;&gt;"BS"),"Type inconnu (BL, BR ou BS)",IF(AG329=0,"Date manquante ou invalide",IF(D329="",IF(A329="BL","Client manquant",IF(A329="BR","Fournisseur manquant","Service manquant")),IF(IF(A329="BL",ISNA(MATCH(D329,cl_code,0)),IF(A329="BR",ISNA(MATCH(D329,fo_code,0)),ISNA(MATCH(D329,p_services,0)))),IF(A329="BL","Client inconnu",IF(A329="BR","Fournisseur inconnu","Service inconnu")),IF(H329="","Article manquant",IF(ISNA(MATCH(H329,art_ref,0)),"Article inconnu",IF(OR(NOT(ISNUMBER(L329)),N(L329)&lt;=0),"Quantité invalide",IF(AND(K329&lt;&gt;"",OR(NOT(ISNUMBER(K329)),N(K329)&lt;=0)),"Qté commandée invalide",IF(AG329&lt;SUMPRODUCT(MAX((A$6:A328=A329)*AG$6:AG328)),"Date antérieure au bon précédent",IF(AND(A329&lt;&gt;"BR",ISNUMBER(M329),N(M329)&gt;0),IF(A329="BL","Livré plus que commandé","Sorti plus que demandé"),"OK"))))))))))))</f>
        <v/>
      </c>
      <c r="Y329" s="57" t="str">
        <f>IF(AND(OR(A329="BL",A329="BR",A329="BS"),AG329&gt;0,D329&lt;&gt;""),A329&amp;"|"&amp;AG329&amp;"|"&amp;D329&amp;"|"&amp;F329,"")</f>
        <v/>
      </c>
      <c r="Z329" s="57" t="str">
        <f>IF(Y329="","",IF(COUNTIF(Y$6:Y328,Y329)=0,1,0))</f>
        <v/>
      </c>
      <c r="AA329" s="57" t="str">
        <f>IF(Y329="","",IF(Z329=1,COUNTIFS(A$6:A329,A329,Z$6:Z329,1),INDEX(AA$6:AA328,MATCH(Y329,Y$6:Y328,0))))</f>
        <v/>
      </c>
      <c r="AB329" s="57" t="str">
        <f>IF(B329="","",COUNTIF(B$6:B329,B329))</f>
        <v/>
      </c>
      <c r="AC329" s="57" t="str">
        <f>IF(B329="","",B329&amp;"#"&amp;AB329)</f>
        <v/>
      </c>
      <c r="AD329" s="57" t="str">
        <f>IF(Z329=1,A329&amp;AA329,"")</f>
        <v/>
      </c>
      <c r="AE329" s="57" t="str">
        <f>IF(B329="","",YEAR(C329))</f>
        <v/>
      </c>
      <c r="AF329" s="57" t="str">
        <f>IF(B329="","",MONTH(C329))</f>
        <v/>
      </c>
      <c r="AG329" s="57">
        <f>IF(ISNUMBER(C329),C329,0)</f>
        <v>0.0</v>
      </c>
      <c r="AH329" s="57" t="str">
        <f>IF(N(W329)&gt;0,COUNTIF(W$6:W329,"&gt;0"),"")</f>
        <v/>
      </c>
      <c r="AI329" s="57" t="str">
        <f>IF(Z329=1,COUNTIF(Z$6:Z329,1),"")</f>
        <v/>
      </c>
    </row>
    <row r="330">
      <c r="A330" s="54" t="n"/>
      <c r="B330" s="55" t="str">
        <f>IF(AA330="","",A330&amp;"-"&amp;RIGHT("000"&amp;AA330,4))</f>
        <v/>
      </c>
      <c r="C330" s="56" t="n"/>
      <c r="D330" s="54" t="n"/>
      <c r="E330" s="57" t="str">
        <f>IF(D330="","",IF(A330="BL",IFERROR(INDEX(cl_name,MATCH(D330,cl_code,0))&amp;"","Client inconnu"),IF(A330="BR",IFERROR(INDEX(fo_name,MATCH(D330,fo_code,0))&amp;"","Fournisseur inconnu"),IF(A330="BS",IF(ISNA(MATCH(D330,p_services,0)),"Service inconnu",D330&amp;""),""))))</f>
        <v/>
      </c>
      <c r="F330" s="58" t="n"/>
      <c r="G330" s="58" t="n"/>
      <c r="H330" s="59" t="n"/>
      <c r="I330" s="57" t="str">
        <f>IF(H330="","",IFERROR(INDEX(art_des,MATCH(H330,art_ref,0))&amp;"","Article inconnu"))</f>
        <v/>
      </c>
      <c r="J330" s="60" t="str">
        <f>IF(H330="","",IFERROR(INDEX(art_unit,MATCH(H330,art_ref,0))&amp;"",""))</f>
        <v/>
      </c>
      <c r="K330" s="59" t="n"/>
      <c r="L330" s="59" t="n"/>
      <c r="M330" s="61" t="str">
        <f>IF(OR(B330="",NOT(ISNUMBER(K330)),NOT(ISNUMBER(L330))),"",IF(OR(K330&lt;=0,L330&lt;=0),"",ROUND(L330-K330,6)))</f>
        <v/>
      </c>
      <c r="N330" s="58" t="n"/>
      <c r="O330" s="62" t="n"/>
      <c r="P330" s="63" t="str">
        <f>IF(OR(B330="",NOT(ISNUMBER(L330))),"",IF(L330&lt;=0,"",IFERROR(ROUND(L330*N(INDEX(art_w,MATCH(H330,art_ref,0))),3),"")))</f>
        <v/>
      </c>
      <c r="Q330" s="59" t="n"/>
      <c r="R330" s="54" t="n"/>
      <c r="S330" s="59" t="n"/>
      <c r="T330" s="59" t="n"/>
      <c r="U330" s="64" t="str">
        <f>IF(OR(B330="",H330=""),"",IFERROR(IF(A330="BL",IF(N(INDEX(art_price,MATCH(H330,art_ref,0)))=0,"",N(INDEX(art_price,MATCH(H330,art_ref,0)))),IF(N(INDEX(art_cost,MATCH(H330,art_ref,0)))=0,"",N(INDEX(art_cost,MATCH(H330,art_ref,0))))),""))</f>
        <v/>
      </c>
      <c r="V330" s="64" t="str">
        <f>IF(OR(U330="",NOT(ISNUMBER(L330))),"",IF(L330&lt;=0,"",ROUND(L330*U330,2)))</f>
        <v/>
      </c>
      <c r="W330" s="60" t="str">
        <f>IF(AND(B330&lt;&gt;"",A330&lt;&gt;"BS",F330&lt;&gt;"",H330&lt;&gt;"",ISNUMBER(K330),ISNUMBER(L330)),IF(AND(K330&gt;0,L330&gt;0,K330-L330&gt;0,COUNTIFS(A331:A$2005,A330,F331:F$2005,F330,H331:H$2005,H330,AA331:AA$2005,"&gt;0")=0),ROUND(K330-L330,6),""),"")</f>
        <v/>
      </c>
      <c r="X330" s="60" t="str">
        <f>IF(AND(A330="",C330="",D330="",H330="",L330=""),"",IF(A330="","Type manquant",IF(AND(A330&lt;&gt;"BL",A330&lt;&gt;"BR",A330&lt;&gt;"BS"),"Type inconnu (BL, BR ou BS)",IF(AG330=0,"Date manquante ou invalide",IF(D330="",IF(A330="BL","Client manquant",IF(A330="BR","Fournisseur manquant","Service manquant")),IF(IF(A330="BL",ISNA(MATCH(D330,cl_code,0)),IF(A330="BR",ISNA(MATCH(D330,fo_code,0)),ISNA(MATCH(D330,p_services,0)))),IF(A330="BL","Client inconnu",IF(A330="BR","Fournisseur inconnu","Service inconnu")),IF(H330="","Article manquant",IF(ISNA(MATCH(H330,art_ref,0)),"Article inconnu",IF(OR(NOT(ISNUMBER(L330)),N(L330)&lt;=0),"Quantité invalide",IF(AND(K330&lt;&gt;"",OR(NOT(ISNUMBER(K330)),N(K330)&lt;=0)),"Qté commandée invalide",IF(AG330&lt;SUMPRODUCT(MAX((A$6:A329=A330)*AG$6:AG329)),"Date antérieure au bon précédent",IF(AND(A330&lt;&gt;"BR",ISNUMBER(M330),N(M330)&gt;0),IF(A330="BL","Livré plus que commandé","Sorti plus que demandé"),"OK"))))))))))))</f>
        <v/>
      </c>
      <c r="Y330" s="57" t="str">
        <f>IF(AND(OR(A330="BL",A330="BR",A330="BS"),AG330&gt;0,D330&lt;&gt;""),A330&amp;"|"&amp;AG330&amp;"|"&amp;D330&amp;"|"&amp;F330,"")</f>
        <v/>
      </c>
      <c r="Z330" s="57" t="str">
        <f>IF(Y330="","",IF(COUNTIF(Y$6:Y329,Y330)=0,1,0))</f>
        <v/>
      </c>
      <c r="AA330" s="57" t="str">
        <f>IF(Y330="","",IF(Z330=1,COUNTIFS(A$6:A330,A330,Z$6:Z330,1),INDEX(AA$6:AA329,MATCH(Y330,Y$6:Y329,0))))</f>
        <v/>
      </c>
      <c r="AB330" s="57" t="str">
        <f>IF(B330="","",COUNTIF(B$6:B330,B330))</f>
        <v/>
      </c>
      <c r="AC330" s="57" t="str">
        <f>IF(B330="","",B330&amp;"#"&amp;AB330)</f>
        <v/>
      </c>
      <c r="AD330" s="57" t="str">
        <f>IF(Z330=1,A330&amp;AA330,"")</f>
        <v/>
      </c>
      <c r="AE330" s="57" t="str">
        <f>IF(B330="","",YEAR(C330))</f>
        <v/>
      </c>
      <c r="AF330" s="57" t="str">
        <f>IF(B330="","",MONTH(C330))</f>
        <v/>
      </c>
      <c r="AG330" s="57">
        <f>IF(ISNUMBER(C330),C330,0)</f>
        <v>0.0</v>
      </c>
      <c r="AH330" s="57" t="str">
        <f>IF(N(W330)&gt;0,COUNTIF(W$6:W330,"&gt;0"),"")</f>
        <v/>
      </c>
      <c r="AI330" s="57" t="str">
        <f>IF(Z330=1,COUNTIF(Z$6:Z330,1),"")</f>
        <v/>
      </c>
    </row>
    <row r="331">
      <c r="A331" s="54" t="n"/>
      <c r="B331" s="55" t="str">
        <f>IF(AA331="","",A331&amp;"-"&amp;RIGHT("000"&amp;AA331,4))</f>
        <v/>
      </c>
      <c r="C331" s="56" t="n"/>
      <c r="D331" s="54" t="n"/>
      <c r="E331" s="57" t="str">
        <f>IF(D331="","",IF(A331="BL",IFERROR(INDEX(cl_name,MATCH(D331,cl_code,0))&amp;"","Client inconnu"),IF(A331="BR",IFERROR(INDEX(fo_name,MATCH(D331,fo_code,0))&amp;"","Fournisseur inconnu"),IF(A331="BS",IF(ISNA(MATCH(D331,p_services,0)),"Service inconnu",D331&amp;""),""))))</f>
        <v/>
      </c>
      <c r="F331" s="58" t="n"/>
      <c r="G331" s="58" t="n"/>
      <c r="H331" s="59" t="n"/>
      <c r="I331" s="57" t="str">
        <f>IF(H331="","",IFERROR(INDEX(art_des,MATCH(H331,art_ref,0))&amp;"","Article inconnu"))</f>
        <v/>
      </c>
      <c r="J331" s="60" t="str">
        <f>IF(H331="","",IFERROR(INDEX(art_unit,MATCH(H331,art_ref,0))&amp;"",""))</f>
        <v/>
      </c>
      <c r="K331" s="59" t="n"/>
      <c r="L331" s="59" t="n"/>
      <c r="M331" s="61" t="str">
        <f>IF(OR(B331="",NOT(ISNUMBER(K331)),NOT(ISNUMBER(L331))),"",IF(OR(K331&lt;=0,L331&lt;=0),"",ROUND(L331-K331,6)))</f>
        <v/>
      </c>
      <c r="N331" s="58" t="n"/>
      <c r="O331" s="62" t="n"/>
      <c r="P331" s="63" t="str">
        <f>IF(OR(B331="",NOT(ISNUMBER(L331))),"",IF(L331&lt;=0,"",IFERROR(ROUND(L331*N(INDEX(art_w,MATCH(H331,art_ref,0))),3),"")))</f>
        <v/>
      </c>
      <c r="Q331" s="59" t="n"/>
      <c r="R331" s="54" t="n"/>
      <c r="S331" s="59" t="n"/>
      <c r="T331" s="59" t="n"/>
      <c r="U331" s="64" t="str">
        <f>IF(OR(B331="",H331=""),"",IFERROR(IF(A331="BL",IF(N(INDEX(art_price,MATCH(H331,art_ref,0)))=0,"",N(INDEX(art_price,MATCH(H331,art_ref,0)))),IF(N(INDEX(art_cost,MATCH(H331,art_ref,0)))=0,"",N(INDEX(art_cost,MATCH(H331,art_ref,0))))),""))</f>
        <v/>
      </c>
      <c r="V331" s="64" t="str">
        <f>IF(OR(U331="",NOT(ISNUMBER(L331))),"",IF(L331&lt;=0,"",ROUND(L331*U331,2)))</f>
        <v/>
      </c>
      <c r="W331" s="60" t="str">
        <f>IF(AND(B331&lt;&gt;"",A331&lt;&gt;"BS",F331&lt;&gt;"",H331&lt;&gt;"",ISNUMBER(K331),ISNUMBER(L331)),IF(AND(K331&gt;0,L331&gt;0,K331-L331&gt;0,COUNTIFS(A332:A$2005,A331,F332:F$2005,F331,H332:H$2005,H331,AA332:AA$2005,"&gt;0")=0),ROUND(K331-L331,6),""),"")</f>
        <v/>
      </c>
      <c r="X331" s="60" t="str">
        <f>IF(AND(A331="",C331="",D331="",H331="",L331=""),"",IF(A331="","Type manquant",IF(AND(A331&lt;&gt;"BL",A331&lt;&gt;"BR",A331&lt;&gt;"BS"),"Type inconnu (BL, BR ou BS)",IF(AG331=0,"Date manquante ou invalide",IF(D331="",IF(A331="BL","Client manquant",IF(A331="BR","Fournisseur manquant","Service manquant")),IF(IF(A331="BL",ISNA(MATCH(D331,cl_code,0)),IF(A331="BR",ISNA(MATCH(D331,fo_code,0)),ISNA(MATCH(D331,p_services,0)))),IF(A331="BL","Client inconnu",IF(A331="BR","Fournisseur inconnu","Service inconnu")),IF(H331="","Article manquant",IF(ISNA(MATCH(H331,art_ref,0)),"Article inconnu",IF(OR(NOT(ISNUMBER(L331)),N(L331)&lt;=0),"Quantité invalide",IF(AND(K331&lt;&gt;"",OR(NOT(ISNUMBER(K331)),N(K331)&lt;=0)),"Qté commandée invalide",IF(AG331&lt;SUMPRODUCT(MAX((A$6:A330=A331)*AG$6:AG330)),"Date antérieure au bon précédent",IF(AND(A331&lt;&gt;"BR",ISNUMBER(M331),N(M331)&gt;0),IF(A331="BL","Livré plus que commandé","Sorti plus que demandé"),"OK"))))))))))))</f>
        <v/>
      </c>
      <c r="Y331" s="57" t="str">
        <f>IF(AND(OR(A331="BL",A331="BR",A331="BS"),AG331&gt;0,D331&lt;&gt;""),A331&amp;"|"&amp;AG331&amp;"|"&amp;D331&amp;"|"&amp;F331,"")</f>
        <v/>
      </c>
      <c r="Z331" s="57" t="str">
        <f>IF(Y331="","",IF(COUNTIF(Y$6:Y330,Y331)=0,1,0))</f>
        <v/>
      </c>
      <c r="AA331" s="57" t="str">
        <f>IF(Y331="","",IF(Z331=1,COUNTIFS(A$6:A331,A331,Z$6:Z331,1),INDEX(AA$6:AA330,MATCH(Y331,Y$6:Y330,0))))</f>
        <v/>
      </c>
      <c r="AB331" s="57" t="str">
        <f>IF(B331="","",COUNTIF(B$6:B331,B331))</f>
        <v/>
      </c>
      <c r="AC331" s="57" t="str">
        <f>IF(B331="","",B331&amp;"#"&amp;AB331)</f>
        <v/>
      </c>
      <c r="AD331" s="57" t="str">
        <f>IF(Z331=1,A331&amp;AA331,"")</f>
        <v/>
      </c>
      <c r="AE331" s="57" t="str">
        <f>IF(B331="","",YEAR(C331))</f>
        <v/>
      </c>
      <c r="AF331" s="57" t="str">
        <f>IF(B331="","",MONTH(C331))</f>
        <v/>
      </c>
      <c r="AG331" s="57">
        <f>IF(ISNUMBER(C331),C331,0)</f>
        <v>0.0</v>
      </c>
      <c r="AH331" s="57" t="str">
        <f>IF(N(W331)&gt;0,COUNTIF(W$6:W331,"&gt;0"),"")</f>
        <v/>
      </c>
      <c r="AI331" s="57" t="str">
        <f>IF(Z331=1,COUNTIF(Z$6:Z331,1),"")</f>
        <v/>
      </c>
    </row>
    <row r="332">
      <c r="A332" s="54" t="n"/>
      <c r="B332" s="55" t="str">
        <f>IF(AA332="","",A332&amp;"-"&amp;RIGHT("000"&amp;AA332,4))</f>
        <v/>
      </c>
      <c r="C332" s="56" t="n"/>
      <c r="D332" s="54" t="n"/>
      <c r="E332" s="57" t="str">
        <f>IF(D332="","",IF(A332="BL",IFERROR(INDEX(cl_name,MATCH(D332,cl_code,0))&amp;"","Client inconnu"),IF(A332="BR",IFERROR(INDEX(fo_name,MATCH(D332,fo_code,0))&amp;"","Fournisseur inconnu"),IF(A332="BS",IF(ISNA(MATCH(D332,p_services,0)),"Service inconnu",D332&amp;""),""))))</f>
        <v/>
      </c>
      <c r="F332" s="58" t="n"/>
      <c r="G332" s="58" t="n"/>
      <c r="H332" s="59" t="n"/>
      <c r="I332" s="57" t="str">
        <f>IF(H332="","",IFERROR(INDEX(art_des,MATCH(H332,art_ref,0))&amp;"","Article inconnu"))</f>
        <v/>
      </c>
      <c r="J332" s="60" t="str">
        <f>IF(H332="","",IFERROR(INDEX(art_unit,MATCH(H332,art_ref,0))&amp;"",""))</f>
        <v/>
      </c>
      <c r="K332" s="59" t="n"/>
      <c r="L332" s="59" t="n"/>
      <c r="M332" s="61" t="str">
        <f>IF(OR(B332="",NOT(ISNUMBER(K332)),NOT(ISNUMBER(L332))),"",IF(OR(K332&lt;=0,L332&lt;=0),"",ROUND(L332-K332,6)))</f>
        <v/>
      </c>
      <c r="N332" s="58" t="n"/>
      <c r="O332" s="62" t="n"/>
      <c r="P332" s="63" t="str">
        <f>IF(OR(B332="",NOT(ISNUMBER(L332))),"",IF(L332&lt;=0,"",IFERROR(ROUND(L332*N(INDEX(art_w,MATCH(H332,art_ref,0))),3),"")))</f>
        <v/>
      </c>
      <c r="Q332" s="59" t="n"/>
      <c r="R332" s="54" t="n"/>
      <c r="S332" s="59" t="n"/>
      <c r="T332" s="59" t="n"/>
      <c r="U332" s="64" t="str">
        <f>IF(OR(B332="",H332=""),"",IFERROR(IF(A332="BL",IF(N(INDEX(art_price,MATCH(H332,art_ref,0)))=0,"",N(INDEX(art_price,MATCH(H332,art_ref,0)))),IF(N(INDEX(art_cost,MATCH(H332,art_ref,0)))=0,"",N(INDEX(art_cost,MATCH(H332,art_ref,0))))),""))</f>
        <v/>
      </c>
      <c r="V332" s="64" t="str">
        <f>IF(OR(U332="",NOT(ISNUMBER(L332))),"",IF(L332&lt;=0,"",ROUND(L332*U332,2)))</f>
        <v/>
      </c>
      <c r="W332" s="60" t="str">
        <f>IF(AND(B332&lt;&gt;"",A332&lt;&gt;"BS",F332&lt;&gt;"",H332&lt;&gt;"",ISNUMBER(K332),ISNUMBER(L332)),IF(AND(K332&gt;0,L332&gt;0,K332-L332&gt;0,COUNTIFS(A333:A$2005,A332,F333:F$2005,F332,H333:H$2005,H332,AA333:AA$2005,"&gt;0")=0),ROUND(K332-L332,6),""),"")</f>
        <v/>
      </c>
      <c r="X332" s="60" t="str">
        <f>IF(AND(A332="",C332="",D332="",H332="",L332=""),"",IF(A332="","Type manquant",IF(AND(A332&lt;&gt;"BL",A332&lt;&gt;"BR",A332&lt;&gt;"BS"),"Type inconnu (BL, BR ou BS)",IF(AG332=0,"Date manquante ou invalide",IF(D332="",IF(A332="BL","Client manquant",IF(A332="BR","Fournisseur manquant","Service manquant")),IF(IF(A332="BL",ISNA(MATCH(D332,cl_code,0)),IF(A332="BR",ISNA(MATCH(D332,fo_code,0)),ISNA(MATCH(D332,p_services,0)))),IF(A332="BL","Client inconnu",IF(A332="BR","Fournisseur inconnu","Service inconnu")),IF(H332="","Article manquant",IF(ISNA(MATCH(H332,art_ref,0)),"Article inconnu",IF(OR(NOT(ISNUMBER(L332)),N(L332)&lt;=0),"Quantité invalide",IF(AND(K332&lt;&gt;"",OR(NOT(ISNUMBER(K332)),N(K332)&lt;=0)),"Qté commandée invalide",IF(AG332&lt;SUMPRODUCT(MAX((A$6:A331=A332)*AG$6:AG331)),"Date antérieure au bon précédent",IF(AND(A332&lt;&gt;"BR",ISNUMBER(M332),N(M332)&gt;0),IF(A332="BL","Livré plus que commandé","Sorti plus que demandé"),"OK"))))))))))))</f>
        <v/>
      </c>
      <c r="Y332" s="57" t="str">
        <f>IF(AND(OR(A332="BL",A332="BR",A332="BS"),AG332&gt;0,D332&lt;&gt;""),A332&amp;"|"&amp;AG332&amp;"|"&amp;D332&amp;"|"&amp;F332,"")</f>
        <v/>
      </c>
      <c r="Z332" s="57" t="str">
        <f>IF(Y332="","",IF(COUNTIF(Y$6:Y331,Y332)=0,1,0))</f>
        <v/>
      </c>
      <c r="AA332" s="57" t="str">
        <f>IF(Y332="","",IF(Z332=1,COUNTIFS(A$6:A332,A332,Z$6:Z332,1),INDEX(AA$6:AA331,MATCH(Y332,Y$6:Y331,0))))</f>
        <v/>
      </c>
      <c r="AB332" s="57" t="str">
        <f>IF(B332="","",COUNTIF(B$6:B332,B332))</f>
        <v/>
      </c>
      <c r="AC332" s="57" t="str">
        <f>IF(B332="","",B332&amp;"#"&amp;AB332)</f>
        <v/>
      </c>
      <c r="AD332" s="57" t="str">
        <f>IF(Z332=1,A332&amp;AA332,"")</f>
        <v/>
      </c>
      <c r="AE332" s="57" t="str">
        <f>IF(B332="","",YEAR(C332))</f>
        <v/>
      </c>
      <c r="AF332" s="57" t="str">
        <f>IF(B332="","",MONTH(C332))</f>
        <v/>
      </c>
      <c r="AG332" s="57">
        <f>IF(ISNUMBER(C332),C332,0)</f>
        <v>0.0</v>
      </c>
      <c r="AH332" s="57" t="str">
        <f>IF(N(W332)&gt;0,COUNTIF(W$6:W332,"&gt;0"),"")</f>
        <v/>
      </c>
      <c r="AI332" s="57" t="str">
        <f>IF(Z332=1,COUNTIF(Z$6:Z332,1),"")</f>
        <v/>
      </c>
    </row>
    <row r="333">
      <c r="A333" s="54" t="n"/>
      <c r="B333" s="55" t="str">
        <f>IF(AA333="","",A333&amp;"-"&amp;RIGHT("000"&amp;AA333,4))</f>
        <v/>
      </c>
      <c r="C333" s="56" t="n"/>
      <c r="D333" s="54" t="n"/>
      <c r="E333" s="57" t="str">
        <f>IF(D333="","",IF(A333="BL",IFERROR(INDEX(cl_name,MATCH(D333,cl_code,0))&amp;"","Client inconnu"),IF(A333="BR",IFERROR(INDEX(fo_name,MATCH(D333,fo_code,0))&amp;"","Fournisseur inconnu"),IF(A333="BS",IF(ISNA(MATCH(D333,p_services,0)),"Service inconnu",D333&amp;""),""))))</f>
        <v/>
      </c>
      <c r="F333" s="58" t="n"/>
      <c r="G333" s="58" t="n"/>
      <c r="H333" s="59" t="n"/>
      <c r="I333" s="57" t="str">
        <f>IF(H333="","",IFERROR(INDEX(art_des,MATCH(H333,art_ref,0))&amp;"","Article inconnu"))</f>
        <v/>
      </c>
      <c r="J333" s="60" t="str">
        <f>IF(H333="","",IFERROR(INDEX(art_unit,MATCH(H333,art_ref,0))&amp;"",""))</f>
        <v/>
      </c>
      <c r="K333" s="59" t="n"/>
      <c r="L333" s="59" t="n"/>
      <c r="M333" s="61" t="str">
        <f>IF(OR(B333="",NOT(ISNUMBER(K333)),NOT(ISNUMBER(L333))),"",IF(OR(K333&lt;=0,L333&lt;=0),"",ROUND(L333-K333,6)))</f>
        <v/>
      </c>
      <c r="N333" s="58" t="n"/>
      <c r="O333" s="62" t="n"/>
      <c r="P333" s="63" t="str">
        <f>IF(OR(B333="",NOT(ISNUMBER(L333))),"",IF(L333&lt;=0,"",IFERROR(ROUND(L333*N(INDEX(art_w,MATCH(H333,art_ref,0))),3),"")))</f>
        <v/>
      </c>
      <c r="Q333" s="59" t="n"/>
      <c r="R333" s="54" t="n"/>
      <c r="S333" s="59" t="n"/>
      <c r="T333" s="59" t="n"/>
      <c r="U333" s="64" t="str">
        <f>IF(OR(B333="",H333=""),"",IFERROR(IF(A333="BL",IF(N(INDEX(art_price,MATCH(H333,art_ref,0)))=0,"",N(INDEX(art_price,MATCH(H333,art_ref,0)))),IF(N(INDEX(art_cost,MATCH(H333,art_ref,0)))=0,"",N(INDEX(art_cost,MATCH(H333,art_ref,0))))),""))</f>
        <v/>
      </c>
      <c r="V333" s="64" t="str">
        <f>IF(OR(U333="",NOT(ISNUMBER(L333))),"",IF(L333&lt;=0,"",ROUND(L333*U333,2)))</f>
        <v/>
      </c>
      <c r="W333" s="60" t="str">
        <f>IF(AND(B333&lt;&gt;"",A333&lt;&gt;"BS",F333&lt;&gt;"",H333&lt;&gt;"",ISNUMBER(K333),ISNUMBER(L333)),IF(AND(K333&gt;0,L333&gt;0,K333-L333&gt;0,COUNTIFS(A334:A$2005,A333,F334:F$2005,F333,H334:H$2005,H333,AA334:AA$2005,"&gt;0")=0),ROUND(K333-L333,6),""),"")</f>
        <v/>
      </c>
      <c r="X333" s="60" t="str">
        <f>IF(AND(A333="",C333="",D333="",H333="",L333=""),"",IF(A333="","Type manquant",IF(AND(A333&lt;&gt;"BL",A333&lt;&gt;"BR",A333&lt;&gt;"BS"),"Type inconnu (BL, BR ou BS)",IF(AG333=0,"Date manquante ou invalide",IF(D333="",IF(A333="BL","Client manquant",IF(A333="BR","Fournisseur manquant","Service manquant")),IF(IF(A333="BL",ISNA(MATCH(D333,cl_code,0)),IF(A333="BR",ISNA(MATCH(D333,fo_code,0)),ISNA(MATCH(D333,p_services,0)))),IF(A333="BL","Client inconnu",IF(A333="BR","Fournisseur inconnu","Service inconnu")),IF(H333="","Article manquant",IF(ISNA(MATCH(H333,art_ref,0)),"Article inconnu",IF(OR(NOT(ISNUMBER(L333)),N(L333)&lt;=0),"Quantité invalide",IF(AND(K333&lt;&gt;"",OR(NOT(ISNUMBER(K333)),N(K333)&lt;=0)),"Qté commandée invalide",IF(AG333&lt;SUMPRODUCT(MAX((A$6:A332=A333)*AG$6:AG332)),"Date antérieure au bon précédent",IF(AND(A333&lt;&gt;"BR",ISNUMBER(M333),N(M333)&gt;0),IF(A333="BL","Livré plus que commandé","Sorti plus que demandé"),"OK"))))))))))))</f>
        <v/>
      </c>
      <c r="Y333" s="57" t="str">
        <f>IF(AND(OR(A333="BL",A333="BR",A333="BS"),AG333&gt;0,D333&lt;&gt;""),A333&amp;"|"&amp;AG333&amp;"|"&amp;D333&amp;"|"&amp;F333,"")</f>
        <v/>
      </c>
      <c r="Z333" s="57" t="str">
        <f>IF(Y333="","",IF(COUNTIF(Y$6:Y332,Y333)=0,1,0))</f>
        <v/>
      </c>
      <c r="AA333" s="57" t="str">
        <f>IF(Y333="","",IF(Z333=1,COUNTIFS(A$6:A333,A333,Z$6:Z333,1),INDEX(AA$6:AA332,MATCH(Y333,Y$6:Y332,0))))</f>
        <v/>
      </c>
      <c r="AB333" s="57" t="str">
        <f>IF(B333="","",COUNTIF(B$6:B333,B333))</f>
        <v/>
      </c>
      <c r="AC333" s="57" t="str">
        <f>IF(B333="","",B333&amp;"#"&amp;AB333)</f>
        <v/>
      </c>
      <c r="AD333" s="57" t="str">
        <f>IF(Z333=1,A333&amp;AA333,"")</f>
        <v/>
      </c>
      <c r="AE333" s="57" t="str">
        <f>IF(B333="","",YEAR(C333))</f>
        <v/>
      </c>
      <c r="AF333" s="57" t="str">
        <f>IF(B333="","",MONTH(C333))</f>
        <v/>
      </c>
      <c r="AG333" s="57">
        <f>IF(ISNUMBER(C333),C333,0)</f>
        <v>0.0</v>
      </c>
      <c r="AH333" s="57" t="str">
        <f>IF(N(W333)&gt;0,COUNTIF(W$6:W333,"&gt;0"),"")</f>
        <v/>
      </c>
      <c r="AI333" s="57" t="str">
        <f>IF(Z333=1,COUNTIF(Z$6:Z333,1),"")</f>
        <v/>
      </c>
    </row>
    <row r="334">
      <c r="A334" s="54" t="n"/>
      <c r="B334" s="55" t="str">
        <f>IF(AA334="","",A334&amp;"-"&amp;RIGHT("000"&amp;AA334,4))</f>
        <v/>
      </c>
      <c r="C334" s="56" t="n"/>
      <c r="D334" s="54" t="n"/>
      <c r="E334" s="57" t="str">
        <f>IF(D334="","",IF(A334="BL",IFERROR(INDEX(cl_name,MATCH(D334,cl_code,0))&amp;"","Client inconnu"),IF(A334="BR",IFERROR(INDEX(fo_name,MATCH(D334,fo_code,0))&amp;"","Fournisseur inconnu"),IF(A334="BS",IF(ISNA(MATCH(D334,p_services,0)),"Service inconnu",D334&amp;""),""))))</f>
        <v/>
      </c>
      <c r="F334" s="58" t="n"/>
      <c r="G334" s="58" t="n"/>
      <c r="H334" s="59" t="n"/>
      <c r="I334" s="57" t="str">
        <f>IF(H334="","",IFERROR(INDEX(art_des,MATCH(H334,art_ref,0))&amp;"","Article inconnu"))</f>
        <v/>
      </c>
      <c r="J334" s="60" t="str">
        <f>IF(H334="","",IFERROR(INDEX(art_unit,MATCH(H334,art_ref,0))&amp;"",""))</f>
        <v/>
      </c>
      <c r="K334" s="59" t="n"/>
      <c r="L334" s="59" t="n"/>
      <c r="M334" s="61" t="str">
        <f>IF(OR(B334="",NOT(ISNUMBER(K334)),NOT(ISNUMBER(L334))),"",IF(OR(K334&lt;=0,L334&lt;=0),"",ROUND(L334-K334,6)))</f>
        <v/>
      </c>
      <c r="N334" s="58" t="n"/>
      <c r="O334" s="62" t="n"/>
      <c r="P334" s="63" t="str">
        <f>IF(OR(B334="",NOT(ISNUMBER(L334))),"",IF(L334&lt;=0,"",IFERROR(ROUND(L334*N(INDEX(art_w,MATCH(H334,art_ref,0))),3),"")))</f>
        <v/>
      </c>
      <c r="Q334" s="59" t="n"/>
      <c r="R334" s="54" t="n"/>
      <c r="S334" s="59" t="n"/>
      <c r="T334" s="59" t="n"/>
      <c r="U334" s="64" t="str">
        <f>IF(OR(B334="",H334=""),"",IFERROR(IF(A334="BL",IF(N(INDEX(art_price,MATCH(H334,art_ref,0)))=0,"",N(INDEX(art_price,MATCH(H334,art_ref,0)))),IF(N(INDEX(art_cost,MATCH(H334,art_ref,0)))=0,"",N(INDEX(art_cost,MATCH(H334,art_ref,0))))),""))</f>
        <v/>
      </c>
      <c r="V334" s="64" t="str">
        <f>IF(OR(U334="",NOT(ISNUMBER(L334))),"",IF(L334&lt;=0,"",ROUND(L334*U334,2)))</f>
        <v/>
      </c>
      <c r="W334" s="60" t="str">
        <f>IF(AND(B334&lt;&gt;"",A334&lt;&gt;"BS",F334&lt;&gt;"",H334&lt;&gt;"",ISNUMBER(K334),ISNUMBER(L334)),IF(AND(K334&gt;0,L334&gt;0,K334-L334&gt;0,COUNTIFS(A335:A$2005,A334,F335:F$2005,F334,H335:H$2005,H334,AA335:AA$2005,"&gt;0")=0),ROUND(K334-L334,6),""),"")</f>
        <v/>
      </c>
      <c r="X334" s="60" t="str">
        <f>IF(AND(A334="",C334="",D334="",H334="",L334=""),"",IF(A334="","Type manquant",IF(AND(A334&lt;&gt;"BL",A334&lt;&gt;"BR",A334&lt;&gt;"BS"),"Type inconnu (BL, BR ou BS)",IF(AG334=0,"Date manquante ou invalide",IF(D334="",IF(A334="BL","Client manquant",IF(A334="BR","Fournisseur manquant","Service manquant")),IF(IF(A334="BL",ISNA(MATCH(D334,cl_code,0)),IF(A334="BR",ISNA(MATCH(D334,fo_code,0)),ISNA(MATCH(D334,p_services,0)))),IF(A334="BL","Client inconnu",IF(A334="BR","Fournisseur inconnu","Service inconnu")),IF(H334="","Article manquant",IF(ISNA(MATCH(H334,art_ref,0)),"Article inconnu",IF(OR(NOT(ISNUMBER(L334)),N(L334)&lt;=0),"Quantité invalide",IF(AND(K334&lt;&gt;"",OR(NOT(ISNUMBER(K334)),N(K334)&lt;=0)),"Qté commandée invalide",IF(AG334&lt;SUMPRODUCT(MAX((A$6:A333=A334)*AG$6:AG333)),"Date antérieure au bon précédent",IF(AND(A334&lt;&gt;"BR",ISNUMBER(M334),N(M334)&gt;0),IF(A334="BL","Livré plus que commandé","Sorti plus que demandé"),"OK"))))))))))))</f>
        <v/>
      </c>
      <c r="Y334" s="57" t="str">
        <f>IF(AND(OR(A334="BL",A334="BR",A334="BS"),AG334&gt;0,D334&lt;&gt;""),A334&amp;"|"&amp;AG334&amp;"|"&amp;D334&amp;"|"&amp;F334,"")</f>
        <v/>
      </c>
      <c r="Z334" s="57" t="str">
        <f>IF(Y334="","",IF(COUNTIF(Y$6:Y333,Y334)=0,1,0))</f>
        <v/>
      </c>
      <c r="AA334" s="57" t="str">
        <f>IF(Y334="","",IF(Z334=1,COUNTIFS(A$6:A334,A334,Z$6:Z334,1),INDEX(AA$6:AA333,MATCH(Y334,Y$6:Y333,0))))</f>
        <v/>
      </c>
      <c r="AB334" s="57" t="str">
        <f>IF(B334="","",COUNTIF(B$6:B334,B334))</f>
        <v/>
      </c>
      <c r="AC334" s="57" t="str">
        <f>IF(B334="","",B334&amp;"#"&amp;AB334)</f>
        <v/>
      </c>
      <c r="AD334" s="57" t="str">
        <f>IF(Z334=1,A334&amp;AA334,"")</f>
        <v/>
      </c>
      <c r="AE334" s="57" t="str">
        <f>IF(B334="","",YEAR(C334))</f>
        <v/>
      </c>
      <c r="AF334" s="57" t="str">
        <f>IF(B334="","",MONTH(C334))</f>
        <v/>
      </c>
      <c r="AG334" s="57">
        <f>IF(ISNUMBER(C334),C334,0)</f>
        <v>0.0</v>
      </c>
      <c r="AH334" s="57" t="str">
        <f>IF(N(W334)&gt;0,COUNTIF(W$6:W334,"&gt;0"),"")</f>
        <v/>
      </c>
      <c r="AI334" s="57" t="str">
        <f>IF(Z334=1,COUNTIF(Z$6:Z334,1),"")</f>
        <v/>
      </c>
    </row>
    <row r="335">
      <c r="A335" s="54" t="n"/>
      <c r="B335" s="55" t="str">
        <f>IF(AA335="","",A335&amp;"-"&amp;RIGHT("000"&amp;AA335,4))</f>
        <v/>
      </c>
      <c r="C335" s="56" t="n"/>
      <c r="D335" s="54" t="n"/>
      <c r="E335" s="57" t="str">
        <f>IF(D335="","",IF(A335="BL",IFERROR(INDEX(cl_name,MATCH(D335,cl_code,0))&amp;"","Client inconnu"),IF(A335="BR",IFERROR(INDEX(fo_name,MATCH(D335,fo_code,0))&amp;"","Fournisseur inconnu"),IF(A335="BS",IF(ISNA(MATCH(D335,p_services,0)),"Service inconnu",D335&amp;""),""))))</f>
        <v/>
      </c>
      <c r="F335" s="58" t="n"/>
      <c r="G335" s="58" t="n"/>
      <c r="H335" s="59" t="n"/>
      <c r="I335" s="57" t="str">
        <f>IF(H335="","",IFERROR(INDEX(art_des,MATCH(H335,art_ref,0))&amp;"","Article inconnu"))</f>
        <v/>
      </c>
      <c r="J335" s="60" t="str">
        <f>IF(H335="","",IFERROR(INDEX(art_unit,MATCH(H335,art_ref,0))&amp;"",""))</f>
        <v/>
      </c>
      <c r="K335" s="59" t="n"/>
      <c r="L335" s="59" t="n"/>
      <c r="M335" s="61" t="str">
        <f>IF(OR(B335="",NOT(ISNUMBER(K335)),NOT(ISNUMBER(L335))),"",IF(OR(K335&lt;=0,L335&lt;=0),"",ROUND(L335-K335,6)))</f>
        <v/>
      </c>
      <c r="N335" s="58" t="n"/>
      <c r="O335" s="62" t="n"/>
      <c r="P335" s="63" t="str">
        <f>IF(OR(B335="",NOT(ISNUMBER(L335))),"",IF(L335&lt;=0,"",IFERROR(ROUND(L335*N(INDEX(art_w,MATCH(H335,art_ref,0))),3),"")))</f>
        <v/>
      </c>
      <c r="Q335" s="59" t="n"/>
      <c r="R335" s="54" t="n"/>
      <c r="S335" s="59" t="n"/>
      <c r="T335" s="59" t="n"/>
      <c r="U335" s="64" t="str">
        <f>IF(OR(B335="",H335=""),"",IFERROR(IF(A335="BL",IF(N(INDEX(art_price,MATCH(H335,art_ref,0)))=0,"",N(INDEX(art_price,MATCH(H335,art_ref,0)))),IF(N(INDEX(art_cost,MATCH(H335,art_ref,0)))=0,"",N(INDEX(art_cost,MATCH(H335,art_ref,0))))),""))</f>
        <v/>
      </c>
      <c r="V335" s="64" t="str">
        <f>IF(OR(U335="",NOT(ISNUMBER(L335))),"",IF(L335&lt;=0,"",ROUND(L335*U335,2)))</f>
        <v/>
      </c>
      <c r="W335" s="60" t="str">
        <f>IF(AND(B335&lt;&gt;"",A335&lt;&gt;"BS",F335&lt;&gt;"",H335&lt;&gt;"",ISNUMBER(K335),ISNUMBER(L335)),IF(AND(K335&gt;0,L335&gt;0,K335-L335&gt;0,COUNTIFS(A336:A$2005,A335,F336:F$2005,F335,H336:H$2005,H335,AA336:AA$2005,"&gt;0")=0),ROUND(K335-L335,6),""),"")</f>
        <v/>
      </c>
      <c r="X335" s="60" t="str">
        <f>IF(AND(A335="",C335="",D335="",H335="",L335=""),"",IF(A335="","Type manquant",IF(AND(A335&lt;&gt;"BL",A335&lt;&gt;"BR",A335&lt;&gt;"BS"),"Type inconnu (BL, BR ou BS)",IF(AG335=0,"Date manquante ou invalide",IF(D335="",IF(A335="BL","Client manquant",IF(A335="BR","Fournisseur manquant","Service manquant")),IF(IF(A335="BL",ISNA(MATCH(D335,cl_code,0)),IF(A335="BR",ISNA(MATCH(D335,fo_code,0)),ISNA(MATCH(D335,p_services,0)))),IF(A335="BL","Client inconnu",IF(A335="BR","Fournisseur inconnu","Service inconnu")),IF(H335="","Article manquant",IF(ISNA(MATCH(H335,art_ref,0)),"Article inconnu",IF(OR(NOT(ISNUMBER(L335)),N(L335)&lt;=0),"Quantité invalide",IF(AND(K335&lt;&gt;"",OR(NOT(ISNUMBER(K335)),N(K335)&lt;=0)),"Qté commandée invalide",IF(AG335&lt;SUMPRODUCT(MAX((A$6:A334=A335)*AG$6:AG334)),"Date antérieure au bon précédent",IF(AND(A335&lt;&gt;"BR",ISNUMBER(M335),N(M335)&gt;0),IF(A335="BL","Livré plus que commandé","Sorti plus que demandé"),"OK"))))))))))))</f>
        <v/>
      </c>
      <c r="Y335" s="57" t="str">
        <f>IF(AND(OR(A335="BL",A335="BR",A335="BS"),AG335&gt;0,D335&lt;&gt;""),A335&amp;"|"&amp;AG335&amp;"|"&amp;D335&amp;"|"&amp;F335,"")</f>
        <v/>
      </c>
      <c r="Z335" s="57" t="str">
        <f>IF(Y335="","",IF(COUNTIF(Y$6:Y334,Y335)=0,1,0))</f>
        <v/>
      </c>
      <c r="AA335" s="57" t="str">
        <f>IF(Y335="","",IF(Z335=1,COUNTIFS(A$6:A335,A335,Z$6:Z335,1),INDEX(AA$6:AA334,MATCH(Y335,Y$6:Y334,0))))</f>
        <v/>
      </c>
      <c r="AB335" s="57" t="str">
        <f>IF(B335="","",COUNTIF(B$6:B335,B335))</f>
        <v/>
      </c>
      <c r="AC335" s="57" t="str">
        <f>IF(B335="","",B335&amp;"#"&amp;AB335)</f>
        <v/>
      </c>
      <c r="AD335" s="57" t="str">
        <f>IF(Z335=1,A335&amp;AA335,"")</f>
        <v/>
      </c>
      <c r="AE335" s="57" t="str">
        <f>IF(B335="","",YEAR(C335))</f>
        <v/>
      </c>
      <c r="AF335" s="57" t="str">
        <f>IF(B335="","",MONTH(C335))</f>
        <v/>
      </c>
      <c r="AG335" s="57">
        <f>IF(ISNUMBER(C335),C335,0)</f>
        <v>0.0</v>
      </c>
      <c r="AH335" s="57" t="str">
        <f>IF(N(W335)&gt;0,COUNTIF(W$6:W335,"&gt;0"),"")</f>
        <v/>
      </c>
      <c r="AI335" s="57" t="str">
        <f>IF(Z335=1,COUNTIF(Z$6:Z335,1),"")</f>
        <v/>
      </c>
    </row>
    <row r="336">
      <c r="A336" s="54" t="n"/>
      <c r="B336" s="55" t="str">
        <f>IF(AA336="","",A336&amp;"-"&amp;RIGHT("000"&amp;AA336,4))</f>
        <v/>
      </c>
      <c r="C336" s="56" t="n"/>
      <c r="D336" s="54" t="n"/>
      <c r="E336" s="57" t="str">
        <f>IF(D336="","",IF(A336="BL",IFERROR(INDEX(cl_name,MATCH(D336,cl_code,0))&amp;"","Client inconnu"),IF(A336="BR",IFERROR(INDEX(fo_name,MATCH(D336,fo_code,0))&amp;"","Fournisseur inconnu"),IF(A336="BS",IF(ISNA(MATCH(D336,p_services,0)),"Service inconnu",D336&amp;""),""))))</f>
        <v/>
      </c>
      <c r="F336" s="58" t="n"/>
      <c r="G336" s="58" t="n"/>
      <c r="H336" s="59" t="n"/>
      <c r="I336" s="57" t="str">
        <f>IF(H336="","",IFERROR(INDEX(art_des,MATCH(H336,art_ref,0))&amp;"","Article inconnu"))</f>
        <v/>
      </c>
      <c r="J336" s="60" t="str">
        <f>IF(H336="","",IFERROR(INDEX(art_unit,MATCH(H336,art_ref,0))&amp;"",""))</f>
        <v/>
      </c>
      <c r="K336" s="59" t="n"/>
      <c r="L336" s="59" t="n"/>
      <c r="M336" s="61" t="str">
        <f>IF(OR(B336="",NOT(ISNUMBER(K336)),NOT(ISNUMBER(L336))),"",IF(OR(K336&lt;=0,L336&lt;=0),"",ROUND(L336-K336,6)))</f>
        <v/>
      </c>
      <c r="N336" s="58" t="n"/>
      <c r="O336" s="62" t="n"/>
      <c r="P336" s="63" t="str">
        <f>IF(OR(B336="",NOT(ISNUMBER(L336))),"",IF(L336&lt;=0,"",IFERROR(ROUND(L336*N(INDEX(art_w,MATCH(H336,art_ref,0))),3),"")))</f>
        <v/>
      </c>
      <c r="Q336" s="59" t="n"/>
      <c r="R336" s="54" t="n"/>
      <c r="S336" s="59" t="n"/>
      <c r="T336" s="59" t="n"/>
      <c r="U336" s="64" t="str">
        <f>IF(OR(B336="",H336=""),"",IFERROR(IF(A336="BL",IF(N(INDEX(art_price,MATCH(H336,art_ref,0)))=0,"",N(INDEX(art_price,MATCH(H336,art_ref,0)))),IF(N(INDEX(art_cost,MATCH(H336,art_ref,0)))=0,"",N(INDEX(art_cost,MATCH(H336,art_ref,0))))),""))</f>
        <v/>
      </c>
      <c r="V336" s="64" t="str">
        <f>IF(OR(U336="",NOT(ISNUMBER(L336))),"",IF(L336&lt;=0,"",ROUND(L336*U336,2)))</f>
        <v/>
      </c>
      <c r="W336" s="60" t="str">
        <f>IF(AND(B336&lt;&gt;"",A336&lt;&gt;"BS",F336&lt;&gt;"",H336&lt;&gt;"",ISNUMBER(K336),ISNUMBER(L336)),IF(AND(K336&gt;0,L336&gt;0,K336-L336&gt;0,COUNTIFS(A337:A$2005,A336,F337:F$2005,F336,H337:H$2005,H336,AA337:AA$2005,"&gt;0")=0),ROUND(K336-L336,6),""),"")</f>
        <v/>
      </c>
      <c r="X336" s="60" t="str">
        <f>IF(AND(A336="",C336="",D336="",H336="",L336=""),"",IF(A336="","Type manquant",IF(AND(A336&lt;&gt;"BL",A336&lt;&gt;"BR",A336&lt;&gt;"BS"),"Type inconnu (BL, BR ou BS)",IF(AG336=0,"Date manquante ou invalide",IF(D336="",IF(A336="BL","Client manquant",IF(A336="BR","Fournisseur manquant","Service manquant")),IF(IF(A336="BL",ISNA(MATCH(D336,cl_code,0)),IF(A336="BR",ISNA(MATCH(D336,fo_code,0)),ISNA(MATCH(D336,p_services,0)))),IF(A336="BL","Client inconnu",IF(A336="BR","Fournisseur inconnu","Service inconnu")),IF(H336="","Article manquant",IF(ISNA(MATCH(H336,art_ref,0)),"Article inconnu",IF(OR(NOT(ISNUMBER(L336)),N(L336)&lt;=0),"Quantité invalide",IF(AND(K336&lt;&gt;"",OR(NOT(ISNUMBER(K336)),N(K336)&lt;=0)),"Qté commandée invalide",IF(AG336&lt;SUMPRODUCT(MAX((A$6:A335=A336)*AG$6:AG335)),"Date antérieure au bon précédent",IF(AND(A336&lt;&gt;"BR",ISNUMBER(M336),N(M336)&gt;0),IF(A336="BL","Livré plus que commandé","Sorti plus que demandé"),"OK"))))))))))))</f>
        <v/>
      </c>
      <c r="Y336" s="57" t="str">
        <f>IF(AND(OR(A336="BL",A336="BR",A336="BS"),AG336&gt;0,D336&lt;&gt;""),A336&amp;"|"&amp;AG336&amp;"|"&amp;D336&amp;"|"&amp;F336,"")</f>
        <v/>
      </c>
      <c r="Z336" s="57" t="str">
        <f>IF(Y336="","",IF(COUNTIF(Y$6:Y335,Y336)=0,1,0))</f>
        <v/>
      </c>
      <c r="AA336" s="57" t="str">
        <f>IF(Y336="","",IF(Z336=1,COUNTIFS(A$6:A336,A336,Z$6:Z336,1),INDEX(AA$6:AA335,MATCH(Y336,Y$6:Y335,0))))</f>
        <v/>
      </c>
      <c r="AB336" s="57" t="str">
        <f>IF(B336="","",COUNTIF(B$6:B336,B336))</f>
        <v/>
      </c>
      <c r="AC336" s="57" t="str">
        <f>IF(B336="","",B336&amp;"#"&amp;AB336)</f>
        <v/>
      </c>
      <c r="AD336" s="57" t="str">
        <f>IF(Z336=1,A336&amp;AA336,"")</f>
        <v/>
      </c>
      <c r="AE336" s="57" t="str">
        <f>IF(B336="","",YEAR(C336))</f>
        <v/>
      </c>
      <c r="AF336" s="57" t="str">
        <f>IF(B336="","",MONTH(C336))</f>
        <v/>
      </c>
      <c r="AG336" s="57">
        <f>IF(ISNUMBER(C336),C336,0)</f>
        <v>0.0</v>
      </c>
      <c r="AH336" s="57" t="str">
        <f>IF(N(W336)&gt;0,COUNTIF(W$6:W336,"&gt;0"),"")</f>
        <v/>
      </c>
      <c r="AI336" s="57" t="str">
        <f>IF(Z336=1,COUNTIF(Z$6:Z336,1),"")</f>
        <v/>
      </c>
    </row>
    <row r="337">
      <c r="A337" s="54" t="n"/>
      <c r="B337" s="55" t="str">
        <f>IF(AA337="","",A337&amp;"-"&amp;RIGHT("000"&amp;AA337,4))</f>
        <v/>
      </c>
      <c r="C337" s="56" t="n"/>
      <c r="D337" s="54" t="n"/>
      <c r="E337" s="57" t="str">
        <f>IF(D337="","",IF(A337="BL",IFERROR(INDEX(cl_name,MATCH(D337,cl_code,0))&amp;"","Client inconnu"),IF(A337="BR",IFERROR(INDEX(fo_name,MATCH(D337,fo_code,0))&amp;"","Fournisseur inconnu"),IF(A337="BS",IF(ISNA(MATCH(D337,p_services,0)),"Service inconnu",D337&amp;""),""))))</f>
        <v/>
      </c>
      <c r="F337" s="58" t="n"/>
      <c r="G337" s="58" t="n"/>
      <c r="H337" s="59" t="n"/>
      <c r="I337" s="57" t="str">
        <f>IF(H337="","",IFERROR(INDEX(art_des,MATCH(H337,art_ref,0))&amp;"","Article inconnu"))</f>
        <v/>
      </c>
      <c r="J337" s="60" t="str">
        <f>IF(H337="","",IFERROR(INDEX(art_unit,MATCH(H337,art_ref,0))&amp;"",""))</f>
        <v/>
      </c>
      <c r="K337" s="59" t="n"/>
      <c r="L337" s="59" t="n"/>
      <c r="M337" s="61" t="str">
        <f>IF(OR(B337="",NOT(ISNUMBER(K337)),NOT(ISNUMBER(L337))),"",IF(OR(K337&lt;=0,L337&lt;=0),"",ROUND(L337-K337,6)))</f>
        <v/>
      </c>
      <c r="N337" s="58" t="n"/>
      <c r="O337" s="62" t="n"/>
      <c r="P337" s="63" t="str">
        <f>IF(OR(B337="",NOT(ISNUMBER(L337))),"",IF(L337&lt;=0,"",IFERROR(ROUND(L337*N(INDEX(art_w,MATCH(H337,art_ref,0))),3),"")))</f>
        <v/>
      </c>
      <c r="Q337" s="59" t="n"/>
      <c r="R337" s="54" t="n"/>
      <c r="S337" s="59" t="n"/>
      <c r="T337" s="59" t="n"/>
      <c r="U337" s="64" t="str">
        <f>IF(OR(B337="",H337=""),"",IFERROR(IF(A337="BL",IF(N(INDEX(art_price,MATCH(H337,art_ref,0)))=0,"",N(INDEX(art_price,MATCH(H337,art_ref,0)))),IF(N(INDEX(art_cost,MATCH(H337,art_ref,0)))=0,"",N(INDEX(art_cost,MATCH(H337,art_ref,0))))),""))</f>
        <v/>
      </c>
      <c r="V337" s="64" t="str">
        <f>IF(OR(U337="",NOT(ISNUMBER(L337))),"",IF(L337&lt;=0,"",ROUND(L337*U337,2)))</f>
        <v/>
      </c>
      <c r="W337" s="60" t="str">
        <f>IF(AND(B337&lt;&gt;"",A337&lt;&gt;"BS",F337&lt;&gt;"",H337&lt;&gt;"",ISNUMBER(K337),ISNUMBER(L337)),IF(AND(K337&gt;0,L337&gt;0,K337-L337&gt;0,COUNTIFS(A338:A$2005,A337,F338:F$2005,F337,H338:H$2005,H337,AA338:AA$2005,"&gt;0")=0),ROUND(K337-L337,6),""),"")</f>
        <v/>
      </c>
      <c r="X337" s="60" t="str">
        <f>IF(AND(A337="",C337="",D337="",H337="",L337=""),"",IF(A337="","Type manquant",IF(AND(A337&lt;&gt;"BL",A337&lt;&gt;"BR",A337&lt;&gt;"BS"),"Type inconnu (BL, BR ou BS)",IF(AG337=0,"Date manquante ou invalide",IF(D337="",IF(A337="BL","Client manquant",IF(A337="BR","Fournisseur manquant","Service manquant")),IF(IF(A337="BL",ISNA(MATCH(D337,cl_code,0)),IF(A337="BR",ISNA(MATCH(D337,fo_code,0)),ISNA(MATCH(D337,p_services,0)))),IF(A337="BL","Client inconnu",IF(A337="BR","Fournisseur inconnu","Service inconnu")),IF(H337="","Article manquant",IF(ISNA(MATCH(H337,art_ref,0)),"Article inconnu",IF(OR(NOT(ISNUMBER(L337)),N(L337)&lt;=0),"Quantité invalide",IF(AND(K337&lt;&gt;"",OR(NOT(ISNUMBER(K337)),N(K337)&lt;=0)),"Qté commandée invalide",IF(AG337&lt;SUMPRODUCT(MAX((A$6:A336=A337)*AG$6:AG336)),"Date antérieure au bon précédent",IF(AND(A337&lt;&gt;"BR",ISNUMBER(M337),N(M337)&gt;0),IF(A337="BL","Livré plus que commandé","Sorti plus que demandé"),"OK"))))))))))))</f>
        <v/>
      </c>
      <c r="Y337" s="57" t="str">
        <f>IF(AND(OR(A337="BL",A337="BR",A337="BS"),AG337&gt;0,D337&lt;&gt;""),A337&amp;"|"&amp;AG337&amp;"|"&amp;D337&amp;"|"&amp;F337,"")</f>
        <v/>
      </c>
      <c r="Z337" s="57" t="str">
        <f>IF(Y337="","",IF(COUNTIF(Y$6:Y336,Y337)=0,1,0))</f>
        <v/>
      </c>
      <c r="AA337" s="57" t="str">
        <f>IF(Y337="","",IF(Z337=1,COUNTIFS(A$6:A337,A337,Z$6:Z337,1),INDEX(AA$6:AA336,MATCH(Y337,Y$6:Y336,0))))</f>
        <v/>
      </c>
      <c r="AB337" s="57" t="str">
        <f>IF(B337="","",COUNTIF(B$6:B337,B337))</f>
        <v/>
      </c>
      <c r="AC337" s="57" t="str">
        <f>IF(B337="","",B337&amp;"#"&amp;AB337)</f>
        <v/>
      </c>
      <c r="AD337" s="57" t="str">
        <f>IF(Z337=1,A337&amp;AA337,"")</f>
        <v/>
      </c>
      <c r="AE337" s="57" t="str">
        <f>IF(B337="","",YEAR(C337))</f>
        <v/>
      </c>
      <c r="AF337" s="57" t="str">
        <f>IF(B337="","",MONTH(C337))</f>
        <v/>
      </c>
      <c r="AG337" s="57">
        <f>IF(ISNUMBER(C337),C337,0)</f>
        <v>0.0</v>
      </c>
      <c r="AH337" s="57" t="str">
        <f>IF(N(W337)&gt;0,COUNTIF(W$6:W337,"&gt;0"),"")</f>
        <v/>
      </c>
      <c r="AI337" s="57" t="str">
        <f>IF(Z337=1,COUNTIF(Z$6:Z337,1),"")</f>
        <v/>
      </c>
    </row>
    <row r="338">
      <c r="A338" s="54" t="n"/>
      <c r="B338" s="55" t="str">
        <f>IF(AA338="","",A338&amp;"-"&amp;RIGHT("000"&amp;AA338,4))</f>
        <v/>
      </c>
      <c r="C338" s="56" t="n"/>
      <c r="D338" s="54" t="n"/>
      <c r="E338" s="57" t="str">
        <f>IF(D338="","",IF(A338="BL",IFERROR(INDEX(cl_name,MATCH(D338,cl_code,0))&amp;"","Client inconnu"),IF(A338="BR",IFERROR(INDEX(fo_name,MATCH(D338,fo_code,0))&amp;"","Fournisseur inconnu"),IF(A338="BS",IF(ISNA(MATCH(D338,p_services,0)),"Service inconnu",D338&amp;""),""))))</f>
        <v/>
      </c>
      <c r="F338" s="58" t="n"/>
      <c r="G338" s="58" t="n"/>
      <c r="H338" s="59" t="n"/>
      <c r="I338" s="57" t="str">
        <f>IF(H338="","",IFERROR(INDEX(art_des,MATCH(H338,art_ref,0))&amp;"","Article inconnu"))</f>
        <v/>
      </c>
      <c r="J338" s="60" t="str">
        <f>IF(H338="","",IFERROR(INDEX(art_unit,MATCH(H338,art_ref,0))&amp;"",""))</f>
        <v/>
      </c>
      <c r="K338" s="59" t="n"/>
      <c r="L338" s="59" t="n"/>
      <c r="M338" s="61" t="str">
        <f>IF(OR(B338="",NOT(ISNUMBER(K338)),NOT(ISNUMBER(L338))),"",IF(OR(K338&lt;=0,L338&lt;=0),"",ROUND(L338-K338,6)))</f>
        <v/>
      </c>
      <c r="N338" s="58" t="n"/>
      <c r="O338" s="62" t="n"/>
      <c r="P338" s="63" t="str">
        <f>IF(OR(B338="",NOT(ISNUMBER(L338))),"",IF(L338&lt;=0,"",IFERROR(ROUND(L338*N(INDEX(art_w,MATCH(H338,art_ref,0))),3),"")))</f>
        <v/>
      </c>
      <c r="Q338" s="59" t="n"/>
      <c r="R338" s="54" t="n"/>
      <c r="S338" s="59" t="n"/>
      <c r="T338" s="59" t="n"/>
      <c r="U338" s="64" t="str">
        <f>IF(OR(B338="",H338=""),"",IFERROR(IF(A338="BL",IF(N(INDEX(art_price,MATCH(H338,art_ref,0)))=0,"",N(INDEX(art_price,MATCH(H338,art_ref,0)))),IF(N(INDEX(art_cost,MATCH(H338,art_ref,0)))=0,"",N(INDEX(art_cost,MATCH(H338,art_ref,0))))),""))</f>
        <v/>
      </c>
      <c r="V338" s="64" t="str">
        <f>IF(OR(U338="",NOT(ISNUMBER(L338))),"",IF(L338&lt;=0,"",ROUND(L338*U338,2)))</f>
        <v/>
      </c>
      <c r="W338" s="60" t="str">
        <f>IF(AND(B338&lt;&gt;"",A338&lt;&gt;"BS",F338&lt;&gt;"",H338&lt;&gt;"",ISNUMBER(K338),ISNUMBER(L338)),IF(AND(K338&gt;0,L338&gt;0,K338-L338&gt;0,COUNTIFS(A339:A$2005,A338,F339:F$2005,F338,H339:H$2005,H338,AA339:AA$2005,"&gt;0")=0),ROUND(K338-L338,6),""),"")</f>
        <v/>
      </c>
      <c r="X338" s="60" t="str">
        <f>IF(AND(A338="",C338="",D338="",H338="",L338=""),"",IF(A338="","Type manquant",IF(AND(A338&lt;&gt;"BL",A338&lt;&gt;"BR",A338&lt;&gt;"BS"),"Type inconnu (BL, BR ou BS)",IF(AG338=0,"Date manquante ou invalide",IF(D338="",IF(A338="BL","Client manquant",IF(A338="BR","Fournisseur manquant","Service manquant")),IF(IF(A338="BL",ISNA(MATCH(D338,cl_code,0)),IF(A338="BR",ISNA(MATCH(D338,fo_code,0)),ISNA(MATCH(D338,p_services,0)))),IF(A338="BL","Client inconnu",IF(A338="BR","Fournisseur inconnu","Service inconnu")),IF(H338="","Article manquant",IF(ISNA(MATCH(H338,art_ref,0)),"Article inconnu",IF(OR(NOT(ISNUMBER(L338)),N(L338)&lt;=0),"Quantité invalide",IF(AND(K338&lt;&gt;"",OR(NOT(ISNUMBER(K338)),N(K338)&lt;=0)),"Qté commandée invalide",IF(AG338&lt;SUMPRODUCT(MAX((A$6:A337=A338)*AG$6:AG337)),"Date antérieure au bon précédent",IF(AND(A338&lt;&gt;"BR",ISNUMBER(M338),N(M338)&gt;0),IF(A338="BL","Livré plus que commandé","Sorti plus que demandé"),"OK"))))))))))))</f>
        <v/>
      </c>
      <c r="Y338" s="57" t="str">
        <f>IF(AND(OR(A338="BL",A338="BR",A338="BS"),AG338&gt;0,D338&lt;&gt;""),A338&amp;"|"&amp;AG338&amp;"|"&amp;D338&amp;"|"&amp;F338,"")</f>
        <v/>
      </c>
      <c r="Z338" s="57" t="str">
        <f>IF(Y338="","",IF(COUNTIF(Y$6:Y337,Y338)=0,1,0))</f>
        <v/>
      </c>
      <c r="AA338" s="57" t="str">
        <f>IF(Y338="","",IF(Z338=1,COUNTIFS(A$6:A338,A338,Z$6:Z338,1),INDEX(AA$6:AA337,MATCH(Y338,Y$6:Y337,0))))</f>
        <v/>
      </c>
      <c r="AB338" s="57" t="str">
        <f>IF(B338="","",COUNTIF(B$6:B338,B338))</f>
        <v/>
      </c>
      <c r="AC338" s="57" t="str">
        <f>IF(B338="","",B338&amp;"#"&amp;AB338)</f>
        <v/>
      </c>
      <c r="AD338" s="57" t="str">
        <f>IF(Z338=1,A338&amp;AA338,"")</f>
        <v/>
      </c>
      <c r="AE338" s="57" t="str">
        <f>IF(B338="","",YEAR(C338))</f>
        <v/>
      </c>
      <c r="AF338" s="57" t="str">
        <f>IF(B338="","",MONTH(C338))</f>
        <v/>
      </c>
      <c r="AG338" s="57">
        <f>IF(ISNUMBER(C338),C338,0)</f>
        <v>0.0</v>
      </c>
      <c r="AH338" s="57" t="str">
        <f>IF(N(W338)&gt;0,COUNTIF(W$6:W338,"&gt;0"),"")</f>
        <v/>
      </c>
      <c r="AI338" s="57" t="str">
        <f>IF(Z338=1,COUNTIF(Z$6:Z338,1),"")</f>
        <v/>
      </c>
    </row>
    <row r="339">
      <c r="A339" s="54" t="n"/>
      <c r="B339" s="55" t="str">
        <f>IF(AA339="","",A339&amp;"-"&amp;RIGHT("000"&amp;AA339,4))</f>
        <v/>
      </c>
      <c r="C339" s="56" t="n"/>
      <c r="D339" s="54" t="n"/>
      <c r="E339" s="57" t="str">
        <f>IF(D339="","",IF(A339="BL",IFERROR(INDEX(cl_name,MATCH(D339,cl_code,0))&amp;"","Client inconnu"),IF(A339="BR",IFERROR(INDEX(fo_name,MATCH(D339,fo_code,0))&amp;"","Fournisseur inconnu"),IF(A339="BS",IF(ISNA(MATCH(D339,p_services,0)),"Service inconnu",D339&amp;""),""))))</f>
        <v/>
      </c>
      <c r="F339" s="58" t="n"/>
      <c r="G339" s="58" t="n"/>
      <c r="H339" s="59" t="n"/>
      <c r="I339" s="57" t="str">
        <f>IF(H339="","",IFERROR(INDEX(art_des,MATCH(H339,art_ref,0))&amp;"","Article inconnu"))</f>
        <v/>
      </c>
      <c r="J339" s="60" t="str">
        <f>IF(H339="","",IFERROR(INDEX(art_unit,MATCH(H339,art_ref,0))&amp;"",""))</f>
        <v/>
      </c>
      <c r="K339" s="59" t="n"/>
      <c r="L339" s="59" t="n"/>
      <c r="M339" s="61" t="str">
        <f>IF(OR(B339="",NOT(ISNUMBER(K339)),NOT(ISNUMBER(L339))),"",IF(OR(K339&lt;=0,L339&lt;=0),"",ROUND(L339-K339,6)))</f>
        <v/>
      </c>
      <c r="N339" s="58" t="n"/>
      <c r="O339" s="62" t="n"/>
      <c r="P339" s="63" t="str">
        <f>IF(OR(B339="",NOT(ISNUMBER(L339))),"",IF(L339&lt;=0,"",IFERROR(ROUND(L339*N(INDEX(art_w,MATCH(H339,art_ref,0))),3),"")))</f>
        <v/>
      </c>
      <c r="Q339" s="59" t="n"/>
      <c r="R339" s="54" t="n"/>
      <c r="S339" s="59" t="n"/>
      <c r="T339" s="59" t="n"/>
      <c r="U339" s="64" t="str">
        <f>IF(OR(B339="",H339=""),"",IFERROR(IF(A339="BL",IF(N(INDEX(art_price,MATCH(H339,art_ref,0)))=0,"",N(INDEX(art_price,MATCH(H339,art_ref,0)))),IF(N(INDEX(art_cost,MATCH(H339,art_ref,0)))=0,"",N(INDEX(art_cost,MATCH(H339,art_ref,0))))),""))</f>
        <v/>
      </c>
      <c r="V339" s="64" t="str">
        <f>IF(OR(U339="",NOT(ISNUMBER(L339))),"",IF(L339&lt;=0,"",ROUND(L339*U339,2)))</f>
        <v/>
      </c>
      <c r="W339" s="60" t="str">
        <f>IF(AND(B339&lt;&gt;"",A339&lt;&gt;"BS",F339&lt;&gt;"",H339&lt;&gt;"",ISNUMBER(K339),ISNUMBER(L339)),IF(AND(K339&gt;0,L339&gt;0,K339-L339&gt;0,COUNTIFS(A340:A$2005,A339,F340:F$2005,F339,H340:H$2005,H339,AA340:AA$2005,"&gt;0")=0),ROUND(K339-L339,6),""),"")</f>
        <v/>
      </c>
      <c r="X339" s="60" t="str">
        <f>IF(AND(A339="",C339="",D339="",H339="",L339=""),"",IF(A339="","Type manquant",IF(AND(A339&lt;&gt;"BL",A339&lt;&gt;"BR",A339&lt;&gt;"BS"),"Type inconnu (BL, BR ou BS)",IF(AG339=0,"Date manquante ou invalide",IF(D339="",IF(A339="BL","Client manquant",IF(A339="BR","Fournisseur manquant","Service manquant")),IF(IF(A339="BL",ISNA(MATCH(D339,cl_code,0)),IF(A339="BR",ISNA(MATCH(D339,fo_code,0)),ISNA(MATCH(D339,p_services,0)))),IF(A339="BL","Client inconnu",IF(A339="BR","Fournisseur inconnu","Service inconnu")),IF(H339="","Article manquant",IF(ISNA(MATCH(H339,art_ref,0)),"Article inconnu",IF(OR(NOT(ISNUMBER(L339)),N(L339)&lt;=0),"Quantité invalide",IF(AND(K339&lt;&gt;"",OR(NOT(ISNUMBER(K339)),N(K339)&lt;=0)),"Qté commandée invalide",IF(AG339&lt;SUMPRODUCT(MAX((A$6:A338=A339)*AG$6:AG338)),"Date antérieure au bon précédent",IF(AND(A339&lt;&gt;"BR",ISNUMBER(M339),N(M339)&gt;0),IF(A339="BL","Livré plus que commandé","Sorti plus que demandé"),"OK"))))))))))))</f>
        <v/>
      </c>
      <c r="Y339" s="57" t="str">
        <f>IF(AND(OR(A339="BL",A339="BR",A339="BS"),AG339&gt;0,D339&lt;&gt;""),A339&amp;"|"&amp;AG339&amp;"|"&amp;D339&amp;"|"&amp;F339,"")</f>
        <v/>
      </c>
      <c r="Z339" s="57" t="str">
        <f>IF(Y339="","",IF(COUNTIF(Y$6:Y338,Y339)=0,1,0))</f>
        <v/>
      </c>
      <c r="AA339" s="57" t="str">
        <f>IF(Y339="","",IF(Z339=1,COUNTIFS(A$6:A339,A339,Z$6:Z339,1),INDEX(AA$6:AA338,MATCH(Y339,Y$6:Y338,0))))</f>
        <v/>
      </c>
      <c r="AB339" s="57" t="str">
        <f>IF(B339="","",COUNTIF(B$6:B339,B339))</f>
        <v/>
      </c>
      <c r="AC339" s="57" t="str">
        <f>IF(B339="","",B339&amp;"#"&amp;AB339)</f>
        <v/>
      </c>
      <c r="AD339" s="57" t="str">
        <f>IF(Z339=1,A339&amp;AA339,"")</f>
        <v/>
      </c>
      <c r="AE339" s="57" t="str">
        <f>IF(B339="","",YEAR(C339))</f>
        <v/>
      </c>
      <c r="AF339" s="57" t="str">
        <f>IF(B339="","",MONTH(C339))</f>
        <v/>
      </c>
      <c r="AG339" s="57">
        <f>IF(ISNUMBER(C339),C339,0)</f>
        <v>0.0</v>
      </c>
      <c r="AH339" s="57" t="str">
        <f>IF(N(W339)&gt;0,COUNTIF(W$6:W339,"&gt;0"),"")</f>
        <v/>
      </c>
      <c r="AI339" s="57" t="str">
        <f>IF(Z339=1,COUNTIF(Z$6:Z339,1),"")</f>
        <v/>
      </c>
    </row>
    <row r="340">
      <c r="A340" s="54" t="n"/>
      <c r="B340" s="55" t="str">
        <f>IF(AA340="","",A340&amp;"-"&amp;RIGHT("000"&amp;AA340,4))</f>
        <v/>
      </c>
      <c r="C340" s="56" t="n"/>
      <c r="D340" s="54" t="n"/>
      <c r="E340" s="57" t="str">
        <f>IF(D340="","",IF(A340="BL",IFERROR(INDEX(cl_name,MATCH(D340,cl_code,0))&amp;"","Client inconnu"),IF(A340="BR",IFERROR(INDEX(fo_name,MATCH(D340,fo_code,0))&amp;"","Fournisseur inconnu"),IF(A340="BS",IF(ISNA(MATCH(D340,p_services,0)),"Service inconnu",D340&amp;""),""))))</f>
        <v/>
      </c>
      <c r="F340" s="58" t="n"/>
      <c r="G340" s="58" t="n"/>
      <c r="H340" s="59" t="n"/>
      <c r="I340" s="57" t="str">
        <f>IF(H340="","",IFERROR(INDEX(art_des,MATCH(H340,art_ref,0))&amp;"","Article inconnu"))</f>
        <v/>
      </c>
      <c r="J340" s="60" t="str">
        <f>IF(H340="","",IFERROR(INDEX(art_unit,MATCH(H340,art_ref,0))&amp;"",""))</f>
        <v/>
      </c>
      <c r="K340" s="59" t="n"/>
      <c r="L340" s="59" t="n"/>
      <c r="M340" s="61" t="str">
        <f>IF(OR(B340="",NOT(ISNUMBER(K340)),NOT(ISNUMBER(L340))),"",IF(OR(K340&lt;=0,L340&lt;=0),"",ROUND(L340-K340,6)))</f>
        <v/>
      </c>
      <c r="N340" s="58" t="n"/>
      <c r="O340" s="62" t="n"/>
      <c r="P340" s="63" t="str">
        <f>IF(OR(B340="",NOT(ISNUMBER(L340))),"",IF(L340&lt;=0,"",IFERROR(ROUND(L340*N(INDEX(art_w,MATCH(H340,art_ref,0))),3),"")))</f>
        <v/>
      </c>
      <c r="Q340" s="59" t="n"/>
      <c r="R340" s="54" t="n"/>
      <c r="S340" s="59" t="n"/>
      <c r="T340" s="59" t="n"/>
      <c r="U340" s="64" t="str">
        <f>IF(OR(B340="",H340=""),"",IFERROR(IF(A340="BL",IF(N(INDEX(art_price,MATCH(H340,art_ref,0)))=0,"",N(INDEX(art_price,MATCH(H340,art_ref,0)))),IF(N(INDEX(art_cost,MATCH(H340,art_ref,0)))=0,"",N(INDEX(art_cost,MATCH(H340,art_ref,0))))),""))</f>
        <v/>
      </c>
      <c r="V340" s="64" t="str">
        <f>IF(OR(U340="",NOT(ISNUMBER(L340))),"",IF(L340&lt;=0,"",ROUND(L340*U340,2)))</f>
        <v/>
      </c>
      <c r="W340" s="60" t="str">
        <f>IF(AND(B340&lt;&gt;"",A340&lt;&gt;"BS",F340&lt;&gt;"",H340&lt;&gt;"",ISNUMBER(K340),ISNUMBER(L340)),IF(AND(K340&gt;0,L340&gt;0,K340-L340&gt;0,COUNTIFS(A341:A$2005,A340,F341:F$2005,F340,H341:H$2005,H340,AA341:AA$2005,"&gt;0")=0),ROUND(K340-L340,6),""),"")</f>
        <v/>
      </c>
      <c r="X340" s="60" t="str">
        <f>IF(AND(A340="",C340="",D340="",H340="",L340=""),"",IF(A340="","Type manquant",IF(AND(A340&lt;&gt;"BL",A340&lt;&gt;"BR",A340&lt;&gt;"BS"),"Type inconnu (BL, BR ou BS)",IF(AG340=0,"Date manquante ou invalide",IF(D340="",IF(A340="BL","Client manquant",IF(A340="BR","Fournisseur manquant","Service manquant")),IF(IF(A340="BL",ISNA(MATCH(D340,cl_code,0)),IF(A340="BR",ISNA(MATCH(D340,fo_code,0)),ISNA(MATCH(D340,p_services,0)))),IF(A340="BL","Client inconnu",IF(A340="BR","Fournisseur inconnu","Service inconnu")),IF(H340="","Article manquant",IF(ISNA(MATCH(H340,art_ref,0)),"Article inconnu",IF(OR(NOT(ISNUMBER(L340)),N(L340)&lt;=0),"Quantité invalide",IF(AND(K340&lt;&gt;"",OR(NOT(ISNUMBER(K340)),N(K340)&lt;=0)),"Qté commandée invalide",IF(AG340&lt;SUMPRODUCT(MAX((A$6:A339=A340)*AG$6:AG339)),"Date antérieure au bon précédent",IF(AND(A340&lt;&gt;"BR",ISNUMBER(M340),N(M340)&gt;0),IF(A340="BL","Livré plus que commandé","Sorti plus que demandé"),"OK"))))))))))))</f>
        <v/>
      </c>
      <c r="Y340" s="57" t="str">
        <f>IF(AND(OR(A340="BL",A340="BR",A340="BS"),AG340&gt;0,D340&lt;&gt;""),A340&amp;"|"&amp;AG340&amp;"|"&amp;D340&amp;"|"&amp;F340,"")</f>
        <v/>
      </c>
      <c r="Z340" s="57" t="str">
        <f>IF(Y340="","",IF(COUNTIF(Y$6:Y339,Y340)=0,1,0))</f>
        <v/>
      </c>
      <c r="AA340" s="57" t="str">
        <f>IF(Y340="","",IF(Z340=1,COUNTIFS(A$6:A340,A340,Z$6:Z340,1),INDEX(AA$6:AA339,MATCH(Y340,Y$6:Y339,0))))</f>
        <v/>
      </c>
      <c r="AB340" s="57" t="str">
        <f>IF(B340="","",COUNTIF(B$6:B340,B340))</f>
        <v/>
      </c>
      <c r="AC340" s="57" t="str">
        <f>IF(B340="","",B340&amp;"#"&amp;AB340)</f>
        <v/>
      </c>
      <c r="AD340" s="57" t="str">
        <f>IF(Z340=1,A340&amp;AA340,"")</f>
        <v/>
      </c>
      <c r="AE340" s="57" t="str">
        <f>IF(B340="","",YEAR(C340))</f>
        <v/>
      </c>
      <c r="AF340" s="57" t="str">
        <f>IF(B340="","",MONTH(C340))</f>
        <v/>
      </c>
      <c r="AG340" s="57">
        <f>IF(ISNUMBER(C340),C340,0)</f>
        <v>0.0</v>
      </c>
      <c r="AH340" s="57" t="str">
        <f>IF(N(W340)&gt;0,COUNTIF(W$6:W340,"&gt;0"),"")</f>
        <v/>
      </c>
      <c r="AI340" s="57" t="str">
        <f>IF(Z340=1,COUNTIF(Z$6:Z340,1),"")</f>
        <v/>
      </c>
    </row>
    <row r="341">
      <c r="A341" s="54" t="n"/>
      <c r="B341" s="55" t="str">
        <f>IF(AA341="","",A341&amp;"-"&amp;RIGHT("000"&amp;AA341,4))</f>
        <v/>
      </c>
      <c r="C341" s="56" t="n"/>
      <c r="D341" s="54" t="n"/>
      <c r="E341" s="57" t="str">
        <f>IF(D341="","",IF(A341="BL",IFERROR(INDEX(cl_name,MATCH(D341,cl_code,0))&amp;"","Client inconnu"),IF(A341="BR",IFERROR(INDEX(fo_name,MATCH(D341,fo_code,0))&amp;"","Fournisseur inconnu"),IF(A341="BS",IF(ISNA(MATCH(D341,p_services,0)),"Service inconnu",D341&amp;""),""))))</f>
        <v/>
      </c>
      <c r="F341" s="58" t="n"/>
      <c r="G341" s="58" t="n"/>
      <c r="H341" s="59" t="n"/>
      <c r="I341" s="57" t="str">
        <f>IF(H341="","",IFERROR(INDEX(art_des,MATCH(H341,art_ref,0))&amp;"","Article inconnu"))</f>
        <v/>
      </c>
      <c r="J341" s="60" t="str">
        <f>IF(H341="","",IFERROR(INDEX(art_unit,MATCH(H341,art_ref,0))&amp;"",""))</f>
        <v/>
      </c>
      <c r="K341" s="59" t="n"/>
      <c r="L341" s="59" t="n"/>
      <c r="M341" s="61" t="str">
        <f>IF(OR(B341="",NOT(ISNUMBER(K341)),NOT(ISNUMBER(L341))),"",IF(OR(K341&lt;=0,L341&lt;=0),"",ROUND(L341-K341,6)))</f>
        <v/>
      </c>
      <c r="N341" s="58" t="n"/>
      <c r="O341" s="62" t="n"/>
      <c r="P341" s="63" t="str">
        <f>IF(OR(B341="",NOT(ISNUMBER(L341))),"",IF(L341&lt;=0,"",IFERROR(ROUND(L341*N(INDEX(art_w,MATCH(H341,art_ref,0))),3),"")))</f>
        <v/>
      </c>
      <c r="Q341" s="59" t="n"/>
      <c r="R341" s="54" t="n"/>
      <c r="S341" s="59" t="n"/>
      <c r="T341" s="59" t="n"/>
      <c r="U341" s="64" t="str">
        <f>IF(OR(B341="",H341=""),"",IFERROR(IF(A341="BL",IF(N(INDEX(art_price,MATCH(H341,art_ref,0)))=0,"",N(INDEX(art_price,MATCH(H341,art_ref,0)))),IF(N(INDEX(art_cost,MATCH(H341,art_ref,0)))=0,"",N(INDEX(art_cost,MATCH(H341,art_ref,0))))),""))</f>
        <v/>
      </c>
      <c r="V341" s="64" t="str">
        <f>IF(OR(U341="",NOT(ISNUMBER(L341))),"",IF(L341&lt;=0,"",ROUND(L341*U341,2)))</f>
        <v/>
      </c>
      <c r="W341" s="60" t="str">
        <f>IF(AND(B341&lt;&gt;"",A341&lt;&gt;"BS",F341&lt;&gt;"",H341&lt;&gt;"",ISNUMBER(K341),ISNUMBER(L341)),IF(AND(K341&gt;0,L341&gt;0,K341-L341&gt;0,COUNTIFS(A342:A$2005,A341,F342:F$2005,F341,H342:H$2005,H341,AA342:AA$2005,"&gt;0")=0),ROUND(K341-L341,6),""),"")</f>
        <v/>
      </c>
      <c r="X341" s="60" t="str">
        <f>IF(AND(A341="",C341="",D341="",H341="",L341=""),"",IF(A341="","Type manquant",IF(AND(A341&lt;&gt;"BL",A341&lt;&gt;"BR",A341&lt;&gt;"BS"),"Type inconnu (BL, BR ou BS)",IF(AG341=0,"Date manquante ou invalide",IF(D341="",IF(A341="BL","Client manquant",IF(A341="BR","Fournisseur manquant","Service manquant")),IF(IF(A341="BL",ISNA(MATCH(D341,cl_code,0)),IF(A341="BR",ISNA(MATCH(D341,fo_code,0)),ISNA(MATCH(D341,p_services,0)))),IF(A341="BL","Client inconnu",IF(A341="BR","Fournisseur inconnu","Service inconnu")),IF(H341="","Article manquant",IF(ISNA(MATCH(H341,art_ref,0)),"Article inconnu",IF(OR(NOT(ISNUMBER(L341)),N(L341)&lt;=0),"Quantité invalide",IF(AND(K341&lt;&gt;"",OR(NOT(ISNUMBER(K341)),N(K341)&lt;=0)),"Qté commandée invalide",IF(AG341&lt;SUMPRODUCT(MAX((A$6:A340=A341)*AG$6:AG340)),"Date antérieure au bon précédent",IF(AND(A341&lt;&gt;"BR",ISNUMBER(M341),N(M341)&gt;0),IF(A341="BL","Livré plus que commandé","Sorti plus que demandé"),"OK"))))))))))))</f>
        <v/>
      </c>
      <c r="Y341" s="57" t="str">
        <f>IF(AND(OR(A341="BL",A341="BR",A341="BS"),AG341&gt;0,D341&lt;&gt;""),A341&amp;"|"&amp;AG341&amp;"|"&amp;D341&amp;"|"&amp;F341,"")</f>
        <v/>
      </c>
      <c r="Z341" s="57" t="str">
        <f>IF(Y341="","",IF(COUNTIF(Y$6:Y340,Y341)=0,1,0))</f>
        <v/>
      </c>
      <c r="AA341" s="57" t="str">
        <f>IF(Y341="","",IF(Z341=1,COUNTIFS(A$6:A341,A341,Z$6:Z341,1),INDEX(AA$6:AA340,MATCH(Y341,Y$6:Y340,0))))</f>
        <v/>
      </c>
      <c r="AB341" s="57" t="str">
        <f>IF(B341="","",COUNTIF(B$6:B341,B341))</f>
        <v/>
      </c>
      <c r="AC341" s="57" t="str">
        <f>IF(B341="","",B341&amp;"#"&amp;AB341)</f>
        <v/>
      </c>
      <c r="AD341" s="57" t="str">
        <f>IF(Z341=1,A341&amp;AA341,"")</f>
        <v/>
      </c>
      <c r="AE341" s="57" t="str">
        <f>IF(B341="","",YEAR(C341))</f>
        <v/>
      </c>
      <c r="AF341" s="57" t="str">
        <f>IF(B341="","",MONTH(C341))</f>
        <v/>
      </c>
      <c r="AG341" s="57">
        <f>IF(ISNUMBER(C341),C341,0)</f>
        <v>0.0</v>
      </c>
      <c r="AH341" s="57" t="str">
        <f>IF(N(W341)&gt;0,COUNTIF(W$6:W341,"&gt;0"),"")</f>
        <v/>
      </c>
      <c r="AI341" s="57" t="str">
        <f>IF(Z341=1,COUNTIF(Z$6:Z341,1),"")</f>
        <v/>
      </c>
    </row>
    <row r="342">
      <c r="A342" s="54" t="n"/>
      <c r="B342" s="55" t="str">
        <f>IF(AA342="","",A342&amp;"-"&amp;RIGHT("000"&amp;AA342,4))</f>
        <v/>
      </c>
      <c r="C342" s="56" t="n"/>
      <c r="D342" s="54" t="n"/>
      <c r="E342" s="57" t="str">
        <f>IF(D342="","",IF(A342="BL",IFERROR(INDEX(cl_name,MATCH(D342,cl_code,0))&amp;"","Client inconnu"),IF(A342="BR",IFERROR(INDEX(fo_name,MATCH(D342,fo_code,0))&amp;"","Fournisseur inconnu"),IF(A342="BS",IF(ISNA(MATCH(D342,p_services,0)),"Service inconnu",D342&amp;""),""))))</f>
        <v/>
      </c>
      <c r="F342" s="58" t="n"/>
      <c r="G342" s="58" t="n"/>
      <c r="H342" s="59" t="n"/>
      <c r="I342" s="57" t="str">
        <f>IF(H342="","",IFERROR(INDEX(art_des,MATCH(H342,art_ref,0))&amp;"","Article inconnu"))</f>
        <v/>
      </c>
      <c r="J342" s="60" t="str">
        <f>IF(H342="","",IFERROR(INDEX(art_unit,MATCH(H342,art_ref,0))&amp;"",""))</f>
        <v/>
      </c>
      <c r="K342" s="59" t="n"/>
      <c r="L342" s="59" t="n"/>
      <c r="M342" s="61" t="str">
        <f>IF(OR(B342="",NOT(ISNUMBER(K342)),NOT(ISNUMBER(L342))),"",IF(OR(K342&lt;=0,L342&lt;=0),"",ROUND(L342-K342,6)))</f>
        <v/>
      </c>
      <c r="N342" s="58" t="n"/>
      <c r="O342" s="62" t="n"/>
      <c r="P342" s="63" t="str">
        <f>IF(OR(B342="",NOT(ISNUMBER(L342))),"",IF(L342&lt;=0,"",IFERROR(ROUND(L342*N(INDEX(art_w,MATCH(H342,art_ref,0))),3),"")))</f>
        <v/>
      </c>
      <c r="Q342" s="59" t="n"/>
      <c r="R342" s="54" t="n"/>
      <c r="S342" s="59" t="n"/>
      <c r="T342" s="59" t="n"/>
      <c r="U342" s="64" t="str">
        <f>IF(OR(B342="",H342=""),"",IFERROR(IF(A342="BL",IF(N(INDEX(art_price,MATCH(H342,art_ref,0)))=0,"",N(INDEX(art_price,MATCH(H342,art_ref,0)))),IF(N(INDEX(art_cost,MATCH(H342,art_ref,0)))=0,"",N(INDEX(art_cost,MATCH(H342,art_ref,0))))),""))</f>
        <v/>
      </c>
      <c r="V342" s="64" t="str">
        <f>IF(OR(U342="",NOT(ISNUMBER(L342))),"",IF(L342&lt;=0,"",ROUND(L342*U342,2)))</f>
        <v/>
      </c>
      <c r="W342" s="60" t="str">
        <f>IF(AND(B342&lt;&gt;"",A342&lt;&gt;"BS",F342&lt;&gt;"",H342&lt;&gt;"",ISNUMBER(K342),ISNUMBER(L342)),IF(AND(K342&gt;0,L342&gt;0,K342-L342&gt;0,COUNTIFS(A343:A$2005,A342,F343:F$2005,F342,H343:H$2005,H342,AA343:AA$2005,"&gt;0")=0),ROUND(K342-L342,6),""),"")</f>
        <v/>
      </c>
      <c r="X342" s="60" t="str">
        <f>IF(AND(A342="",C342="",D342="",H342="",L342=""),"",IF(A342="","Type manquant",IF(AND(A342&lt;&gt;"BL",A342&lt;&gt;"BR",A342&lt;&gt;"BS"),"Type inconnu (BL, BR ou BS)",IF(AG342=0,"Date manquante ou invalide",IF(D342="",IF(A342="BL","Client manquant",IF(A342="BR","Fournisseur manquant","Service manquant")),IF(IF(A342="BL",ISNA(MATCH(D342,cl_code,0)),IF(A342="BR",ISNA(MATCH(D342,fo_code,0)),ISNA(MATCH(D342,p_services,0)))),IF(A342="BL","Client inconnu",IF(A342="BR","Fournisseur inconnu","Service inconnu")),IF(H342="","Article manquant",IF(ISNA(MATCH(H342,art_ref,0)),"Article inconnu",IF(OR(NOT(ISNUMBER(L342)),N(L342)&lt;=0),"Quantité invalide",IF(AND(K342&lt;&gt;"",OR(NOT(ISNUMBER(K342)),N(K342)&lt;=0)),"Qté commandée invalide",IF(AG342&lt;SUMPRODUCT(MAX((A$6:A341=A342)*AG$6:AG341)),"Date antérieure au bon précédent",IF(AND(A342&lt;&gt;"BR",ISNUMBER(M342),N(M342)&gt;0),IF(A342="BL","Livré plus que commandé","Sorti plus que demandé"),"OK"))))))))))))</f>
        <v/>
      </c>
      <c r="Y342" s="57" t="str">
        <f>IF(AND(OR(A342="BL",A342="BR",A342="BS"),AG342&gt;0,D342&lt;&gt;""),A342&amp;"|"&amp;AG342&amp;"|"&amp;D342&amp;"|"&amp;F342,"")</f>
        <v/>
      </c>
      <c r="Z342" s="57" t="str">
        <f>IF(Y342="","",IF(COUNTIF(Y$6:Y341,Y342)=0,1,0))</f>
        <v/>
      </c>
      <c r="AA342" s="57" t="str">
        <f>IF(Y342="","",IF(Z342=1,COUNTIFS(A$6:A342,A342,Z$6:Z342,1),INDEX(AA$6:AA341,MATCH(Y342,Y$6:Y341,0))))</f>
        <v/>
      </c>
      <c r="AB342" s="57" t="str">
        <f>IF(B342="","",COUNTIF(B$6:B342,B342))</f>
        <v/>
      </c>
      <c r="AC342" s="57" t="str">
        <f>IF(B342="","",B342&amp;"#"&amp;AB342)</f>
        <v/>
      </c>
      <c r="AD342" s="57" t="str">
        <f>IF(Z342=1,A342&amp;AA342,"")</f>
        <v/>
      </c>
      <c r="AE342" s="57" t="str">
        <f>IF(B342="","",YEAR(C342))</f>
        <v/>
      </c>
      <c r="AF342" s="57" t="str">
        <f>IF(B342="","",MONTH(C342))</f>
        <v/>
      </c>
      <c r="AG342" s="57">
        <f>IF(ISNUMBER(C342),C342,0)</f>
        <v>0.0</v>
      </c>
      <c r="AH342" s="57" t="str">
        <f>IF(N(W342)&gt;0,COUNTIF(W$6:W342,"&gt;0"),"")</f>
        <v/>
      </c>
      <c r="AI342" s="57" t="str">
        <f>IF(Z342=1,COUNTIF(Z$6:Z342,1),"")</f>
        <v/>
      </c>
    </row>
    <row r="343">
      <c r="A343" s="54" t="n"/>
      <c r="B343" s="55" t="str">
        <f>IF(AA343="","",A343&amp;"-"&amp;RIGHT("000"&amp;AA343,4))</f>
        <v/>
      </c>
      <c r="C343" s="56" t="n"/>
      <c r="D343" s="54" t="n"/>
      <c r="E343" s="57" t="str">
        <f>IF(D343="","",IF(A343="BL",IFERROR(INDEX(cl_name,MATCH(D343,cl_code,0))&amp;"","Client inconnu"),IF(A343="BR",IFERROR(INDEX(fo_name,MATCH(D343,fo_code,0))&amp;"","Fournisseur inconnu"),IF(A343="BS",IF(ISNA(MATCH(D343,p_services,0)),"Service inconnu",D343&amp;""),""))))</f>
        <v/>
      </c>
      <c r="F343" s="58" t="n"/>
      <c r="G343" s="58" t="n"/>
      <c r="H343" s="59" t="n"/>
      <c r="I343" s="57" t="str">
        <f>IF(H343="","",IFERROR(INDEX(art_des,MATCH(H343,art_ref,0))&amp;"","Article inconnu"))</f>
        <v/>
      </c>
      <c r="J343" s="60" t="str">
        <f>IF(H343="","",IFERROR(INDEX(art_unit,MATCH(H343,art_ref,0))&amp;"",""))</f>
        <v/>
      </c>
      <c r="K343" s="59" t="n"/>
      <c r="L343" s="59" t="n"/>
      <c r="M343" s="61" t="str">
        <f>IF(OR(B343="",NOT(ISNUMBER(K343)),NOT(ISNUMBER(L343))),"",IF(OR(K343&lt;=0,L343&lt;=0),"",ROUND(L343-K343,6)))</f>
        <v/>
      </c>
      <c r="N343" s="58" t="n"/>
      <c r="O343" s="62" t="n"/>
      <c r="P343" s="63" t="str">
        <f>IF(OR(B343="",NOT(ISNUMBER(L343))),"",IF(L343&lt;=0,"",IFERROR(ROUND(L343*N(INDEX(art_w,MATCH(H343,art_ref,0))),3),"")))</f>
        <v/>
      </c>
      <c r="Q343" s="59" t="n"/>
      <c r="R343" s="54" t="n"/>
      <c r="S343" s="59" t="n"/>
      <c r="T343" s="59" t="n"/>
      <c r="U343" s="64" t="str">
        <f>IF(OR(B343="",H343=""),"",IFERROR(IF(A343="BL",IF(N(INDEX(art_price,MATCH(H343,art_ref,0)))=0,"",N(INDEX(art_price,MATCH(H343,art_ref,0)))),IF(N(INDEX(art_cost,MATCH(H343,art_ref,0)))=0,"",N(INDEX(art_cost,MATCH(H343,art_ref,0))))),""))</f>
        <v/>
      </c>
      <c r="V343" s="64" t="str">
        <f>IF(OR(U343="",NOT(ISNUMBER(L343))),"",IF(L343&lt;=0,"",ROUND(L343*U343,2)))</f>
        <v/>
      </c>
      <c r="W343" s="60" t="str">
        <f>IF(AND(B343&lt;&gt;"",A343&lt;&gt;"BS",F343&lt;&gt;"",H343&lt;&gt;"",ISNUMBER(K343),ISNUMBER(L343)),IF(AND(K343&gt;0,L343&gt;0,K343-L343&gt;0,COUNTIFS(A344:A$2005,A343,F344:F$2005,F343,H344:H$2005,H343,AA344:AA$2005,"&gt;0")=0),ROUND(K343-L343,6),""),"")</f>
        <v/>
      </c>
      <c r="X343" s="60" t="str">
        <f>IF(AND(A343="",C343="",D343="",H343="",L343=""),"",IF(A343="","Type manquant",IF(AND(A343&lt;&gt;"BL",A343&lt;&gt;"BR",A343&lt;&gt;"BS"),"Type inconnu (BL, BR ou BS)",IF(AG343=0,"Date manquante ou invalide",IF(D343="",IF(A343="BL","Client manquant",IF(A343="BR","Fournisseur manquant","Service manquant")),IF(IF(A343="BL",ISNA(MATCH(D343,cl_code,0)),IF(A343="BR",ISNA(MATCH(D343,fo_code,0)),ISNA(MATCH(D343,p_services,0)))),IF(A343="BL","Client inconnu",IF(A343="BR","Fournisseur inconnu","Service inconnu")),IF(H343="","Article manquant",IF(ISNA(MATCH(H343,art_ref,0)),"Article inconnu",IF(OR(NOT(ISNUMBER(L343)),N(L343)&lt;=0),"Quantité invalide",IF(AND(K343&lt;&gt;"",OR(NOT(ISNUMBER(K343)),N(K343)&lt;=0)),"Qté commandée invalide",IF(AG343&lt;SUMPRODUCT(MAX((A$6:A342=A343)*AG$6:AG342)),"Date antérieure au bon précédent",IF(AND(A343&lt;&gt;"BR",ISNUMBER(M343),N(M343)&gt;0),IF(A343="BL","Livré plus que commandé","Sorti plus que demandé"),"OK"))))))))))))</f>
        <v/>
      </c>
      <c r="Y343" s="57" t="str">
        <f>IF(AND(OR(A343="BL",A343="BR",A343="BS"),AG343&gt;0,D343&lt;&gt;""),A343&amp;"|"&amp;AG343&amp;"|"&amp;D343&amp;"|"&amp;F343,"")</f>
        <v/>
      </c>
      <c r="Z343" s="57" t="str">
        <f>IF(Y343="","",IF(COUNTIF(Y$6:Y342,Y343)=0,1,0))</f>
        <v/>
      </c>
      <c r="AA343" s="57" t="str">
        <f>IF(Y343="","",IF(Z343=1,COUNTIFS(A$6:A343,A343,Z$6:Z343,1),INDEX(AA$6:AA342,MATCH(Y343,Y$6:Y342,0))))</f>
        <v/>
      </c>
      <c r="AB343" s="57" t="str">
        <f>IF(B343="","",COUNTIF(B$6:B343,B343))</f>
        <v/>
      </c>
      <c r="AC343" s="57" t="str">
        <f>IF(B343="","",B343&amp;"#"&amp;AB343)</f>
        <v/>
      </c>
      <c r="AD343" s="57" t="str">
        <f>IF(Z343=1,A343&amp;AA343,"")</f>
        <v/>
      </c>
      <c r="AE343" s="57" t="str">
        <f>IF(B343="","",YEAR(C343))</f>
        <v/>
      </c>
      <c r="AF343" s="57" t="str">
        <f>IF(B343="","",MONTH(C343))</f>
        <v/>
      </c>
      <c r="AG343" s="57">
        <f>IF(ISNUMBER(C343),C343,0)</f>
        <v>0.0</v>
      </c>
      <c r="AH343" s="57" t="str">
        <f>IF(N(W343)&gt;0,COUNTIF(W$6:W343,"&gt;0"),"")</f>
        <v/>
      </c>
      <c r="AI343" s="57" t="str">
        <f>IF(Z343=1,COUNTIF(Z$6:Z343,1),"")</f>
        <v/>
      </c>
    </row>
    <row r="344">
      <c r="A344" s="54" t="n"/>
      <c r="B344" s="55" t="str">
        <f>IF(AA344="","",A344&amp;"-"&amp;RIGHT("000"&amp;AA344,4))</f>
        <v/>
      </c>
      <c r="C344" s="56" t="n"/>
      <c r="D344" s="54" t="n"/>
      <c r="E344" s="57" t="str">
        <f>IF(D344="","",IF(A344="BL",IFERROR(INDEX(cl_name,MATCH(D344,cl_code,0))&amp;"","Client inconnu"),IF(A344="BR",IFERROR(INDEX(fo_name,MATCH(D344,fo_code,0))&amp;"","Fournisseur inconnu"),IF(A344="BS",IF(ISNA(MATCH(D344,p_services,0)),"Service inconnu",D344&amp;""),""))))</f>
        <v/>
      </c>
      <c r="F344" s="58" t="n"/>
      <c r="G344" s="58" t="n"/>
      <c r="H344" s="59" t="n"/>
      <c r="I344" s="57" t="str">
        <f>IF(H344="","",IFERROR(INDEX(art_des,MATCH(H344,art_ref,0))&amp;"","Article inconnu"))</f>
        <v/>
      </c>
      <c r="J344" s="60" t="str">
        <f>IF(H344="","",IFERROR(INDEX(art_unit,MATCH(H344,art_ref,0))&amp;"",""))</f>
        <v/>
      </c>
      <c r="K344" s="59" t="n"/>
      <c r="L344" s="59" t="n"/>
      <c r="M344" s="61" t="str">
        <f>IF(OR(B344="",NOT(ISNUMBER(K344)),NOT(ISNUMBER(L344))),"",IF(OR(K344&lt;=0,L344&lt;=0),"",ROUND(L344-K344,6)))</f>
        <v/>
      </c>
      <c r="N344" s="58" t="n"/>
      <c r="O344" s="62" t="n"/>
      <c r="P344" s="63" t="str">
        <f>IF(OR(B344="",NOT(ISNUMBER(L344))),"",IF(L344&lt;=0,"",IFERROR(ROUND(L344*N(INDEX(art_w,MATCH(H344,art_ref,0))),3),"")))</f>
        <v/>
      </c>
      <c r="Q344" s="59" t="n"/>
      <c r="R344" s="54" t="n"/>
      <c r="S344" s="59" t="n"/>
      <c r="T344" s="59" t="n"/>
      <c r="U344" s="64" t="str">
        <f>IF(OR(B344="",H344=""),"",IFERROR(IF(A344="BL",IF(N(INDEX(art_price,MATCH(H344,art_ref,0)))=0,"",N(INDEX(art_price,MATCH(H344,art_ref,0)))),IF(N(INDEX(art_cost,MATCH(H344,art_ref,0)))=0,"",N(INDEX(art_cost,MATCH(H344,art_ref,0))))),""))</f>
        <v/>
      </c>
      <c r="V344" s="64" t="str">
        <f>IF(OR(U344="",NOT(ISNUMBER(L344))),"",IF(L344&lt;=0,"",ROUND(L344*U344,2)))</f>
        <v/>
      </c>
      <c r="W344" s="60" t="str">
        <f>IF(AND(B344&lt;&gt;"",A344&lt;&gt;"BS",F344&lt;&gt;"",H344&lt;&gt;"",ISNUMBER(K344),ISNUMBER(L344)),IF(AND(K344&gt;0,L344&gt;0,K344-L344&gt;0,COUNTIFS(A345:A$2005,A344,F345:F$2005,F344,H345:H$2005,H344,AA345:AA$2005,"&gt;0")=0),ROUND(K344-L344,6),""),"")</f>
        <v/>
      </c>
      <c r="X344" s="60" t="str">
        <f>IF(AND(A344="",C344="",D344="",H344="",L344=""),"",IF(A344="","Type manquant",IF(AND(A344&lt;&gt;"BL",A344&lt;&gt;"BR",A344&lt;&gt;"BS"),"Type inconnu (BL, BR ou BS)",IF(AG344=0,"Date manquante ou invalide",IF(D344="",IF(A344="BL","Client manquant",IF(A344="BR","Fournisseur manquant","Service manquant")),IF(IF(A344="BL",ISNA(MATCH(D344,cl_code,0)),IF(A344="BR",ISNA(MATCH(D344,fo_code,0)),ISNA(MATCH(D344,p_services,0)))),IF(A344="BL","Client inconnu",IF(A344="BR","Fournisseur inconnu","Service inconnu")),IF(H344="","Article manquant",IF(ISNA(MATCH(H344,art_ref,0)),"Article inconnu",IF(OR(NOT(ISNUMBER(L344)),N(L344)&lt;=0),"Quantité invalide",IF(AND(K344&lt;&gt;"",OR(NOT(ISNUMBER(K344)),N(K344)&lt;=0)),"Qté commandée invalide",IF(AG344&lt;SUMPRODUCT(MAX((A$6:A343=A344)*AG$6:AG343)),"Date antérieure au bon précédent",IF(AND(A344&lt;&gt;"BR",ISNUMBER(M344),N(M344)&gt;0),IF(A344="BL","Livré plus que commandé","Sorti plus que demandé"),"OK"))))))))))))</f>
        <v/>
      </c>
      <c r="Y344" s="57" t="str">
        <f>IF(AND(OR(A344="BL",A344="BR",A344="BS"),AG344&gt;0,D344&lt;&gt;""),A344&amp;"|"&amp;AG344&amp;"|"&amp;D344&amp;"|"&amp;F344,"")</f>
        <v/>
      </c>
      <c r="Z344" s="57" t="str">
        <f>IF(Y344="","",IF(COUNTIF(Y$6:Y343,Y344)=0,1,0))</f>
        <v/>
      </c>
      <c r="AA344" s="57" t="str">
        <f>IF(Y344="","",IF(Z344=1,COUNTIFS(A$6:A344,A344,Z$6:Z344,1),INDEX(AA$6:AA343,MATCH(Y344,Y$6:Y343,0))))</f>
        <v/>
      </c>
      <c r="AB344" s="57" t="str">
        <f>IF(B344="","",COUNTIF(B$6:B344,B344))</f>
        <v/>
      </c>
      <c r="AC344" s="57" t="str">
        <f>IF(B344="","",B344&amp;"#"&amp;AB344)</f>
        <v/>
      </c>
      <c r="AD344" s="57" t="str">
        <f>IF(Z344=1,A344&amp;AA344,"")</f>
        <v/>
      </c>
      <c r="AE344" s="57" t="str">
        <f>IF(B344="","",YEAR(C344))</f>
        <v/>
      </c>
      <c r="AF344" s="57" t="str">
        <f>IF(B344="","",MONTH(C344))</f>
        <v/>
      </c>
      <c r="AG344" s="57">
        <f>IF(ISNUMBER(C344),C344,0)</f>
        <v>0.0</v>
      </c>
      <c r="AH344" s="57" t="str">
        <f>IF(N(W344)&gt;0,COUNTIF(W$6:W344,"&gt;0"),"")</f>
        <v/>
      </c>
      <c r="AI344" s="57" t="str">
        <f>IF(Z344=1,COUNTIF(Z$6:Z344,1),"")</f>
        <v/>
      </c>
    </row>
    <row r="345">
      <c r="A345" s="54" t="n"/>
      <c r="B345" s="55" t="str">
        <f>IF(AA345="","",A345&amp;"-"&amp;RIGHT("000"&amp;AA345,4))</f>
        <v/>
      </c>
      <c r="C345" s="56" t="n"/>
      <c r="D345" s="54" t="n"/>
      <c r="E345" s="57" t="str">
        <f>IF(D345="","",IF(A345="BL",IFERROR(INDEX(cl_name,MATCH(D345,cl_code,0))&amp;"","Client inconnu"),IF(A345="BR",IFERROR(INDEX(fo_name,MATCH(D345,fo_code,0))&amp;"","Fournisseur inconnu"),IF(A345="BS",IF(ISNA(MATCH(D345,p_services,0)),"Service inconnu",D345&amp;""),""))))</f>
        <v/>
      </c>
      <c r="F345" s="58" t="n"/>
      <c r="G345" s="58" t="n"/>
      <c r="H345" s="59" t="n"/>
      <c r="I345" s="57" t="str">
        <f>IF(H345="","",IFERROR(INDEX(art_des,MATCH(H345,art_ref,0))&amp;"","Article inconnu"))</f>
        <v/>
      </c>
      <c r="J345" s="60" t="str">
        <f>IF(H345="","",IFERROR(INDEX(art_unit,MATCH(H345,art_ref,0))&amp;"",""))</f>
        <v/>
      </c>
      <c r="K345" s="59" t="n"/>
      <c r="L345" s="59" t="n"/>
      <c r="M345" s="61" t="str">
        <f>IF(OR(B345="",NOT(ISNUMBER(K345)),NOT(ISNUMBER(L345))),"",IF(OR(K345&lt;=0,L345&lt;=0),"",ROUND(L345-K345,6)))</f>
        <v/>
      </c>
      <c r="N345" s="58" t="n"/>
      <c r="O345" s="62" t="n"/>
      <c r="P345" s="63" t="str">
        <f>IF(OR(B345="",NOT(ISNUMBER(L345))),"",IF(L345&lt;=0,"",IFERROR(ROUND(L345*N(INDEX(art_w,MATCH(H345,art_ref,0))),3),"")))</f>
        <v/>
      </c>
      <c r="Q345" s="59" t="n"/>
      <c r="R345" s="54" t="n"/>
      <c r="S345" s="59" t="n"/>
      <c r="T345" s="59" t="n"/>
      <c r="U345" s="64" t="str">
        <f>IF(OR(B345="",H345=""),"",IFERROR(IF(A345="BL",IF(N(INDEX(art_price,MATCH(H345,art_ref,0)))=0,"",N(INDEX(art_price,MATCH(H345,art_ref,0)))),IF(N(INDEX(art_cost,MATCH(H345,art_ref,0)))=0,"",N(INDEX(art_cost,MATCH(H345,art_ref,0))))),""))</f>
        <v/>
      </c>
      <c r="V345" s="64" t="str">
        <f>IF(OR(U345="",NOT(ISNUMBER(L345))),"",IF(L345&lt;=0,"",ROUND(L345*U345,2)))</f>
        <v/>
      </c>
      <c r="W345" s="60" t="str">
        <f>IF(AND(B345&lt;&gt;"",A345&lt;&gt;"BS",F345&lt;&gt;"",H345&lt;&gt;"",ISNUMBER(K345),ISNUMBER(L345)),IF(AND(K345&gt;0,L345&gt;0,K345-L345&gt;0,COUNTIFS(A346:A$2005,A345,F346:F$2005,F345,H346:H$2005,H345,AA346:AA$2005,"&gt;0")=0),ROUND(K345-L345,6),""),"")</f>
        <v/>
      </c>
      <c r="X345" s="60" t="str">
        <f>IF(AND(A345="",C345="",D345="",H345="",L345=""),"",IF(A345="","Type manquant",IF(AND(A345&lt;&gt;"BL",A345&lt;&gt;"BR",A345&lt;&gt;"BS"),"Type inconnu (BL, BR ou BS)",IF(AG345=0,"Date manquante ou invalide",IF(D345="",IF(A345="BL","Client manquant",IF(A345="BR","Fournisseur manquant","Service manquant")),IF(IF(A345="BL",ISNA(MATCH(D345,cl_code,0)),IF(A345="BR",ISNA(MATCH(D345,fo_code,0)),ISNA(MATCH(D345,p_services,0)))),IF(A345="BL","Client inconnu",IF(A345="BR","Fournisseur inconnu","Service inconnu")),IF(H345="","Article manquant",IF(ISNA(MATCH(H345,art_ref,0)),"Article inconnu",IF(OR(NOT(ISNUMBER(L345)),N(L345)&lt;=0),"Quantité invalide",IF(AND(K345&lt;&gt;"",OR(NOT(ISNUMBER(K345)),N(K345)&lt;=0)),"Qté commandée invalide",IF(AG345&lt;SUMPRODUCT(MAX((A$6:A344=A345)*AG$6:AG344)),"Date antérieure au bon précédent",IF(AND(A345&lt;&gt;"BR",ISNUMBER(M345),N(M345)&gt;0),IF(A345="BL","Livré plus que commandé","Sorti plus que demandé"),"OK"))))))))))))</f>
        <v/>
      </c>
      <c r="Y345" s="57" t="str">
        <f>IF(AND(OR(A345="BL",A345="BR",A345="BS"),AG345&gt;0,D345&lt;&gt;""),A345&amp;"|"&amp;AG345&amp;"|"&amp;D345&amp;"|"&amp;F345,"")</f>
        <v/>
      </c>
      <c r="Z345" s="57" t="str">
        <f>IF(Y345="","",IF(COUNTIF(Y$6:Y344,Y345)=0,1,0))</f>
        <v/>
      </c>
      <c r="AA345" s="57" t="str">
        <f>IF(Y345="","",IF(Z345=1,COUNTIFS(A$6:A345,A345,Z$6:Z345,1),INDEX(AA$6:AA344,MATCH(Y345,Y$6:Y344,0))))</f>
        <v/>
      </c>
      <c r="AB345" s="57" t="str">
        <f>IF(B345="","",COUNTIF(B$6:B345,B345))</f>
        <v/>
      </c>
      <c r="AC345" s="57" t="str">
        <f>IF(B345="","",B345&amp;"#"&amp;AB345)</f>
        <v/>
      </c>
      <c r="AD345" s="57" t="str">
        <f>IF(Z345=1,A345&amp;AA345,"")</f>
        <v/>
      </c>
      <c r="AE345" s="57" t="str">
        <f>IF(B345="","",YEAR(C345))</f>
        <v/>
      </c>
      <c r="AF345" s="57" t="str">
        <f>IF(B345="","",MONTH(C345))</f>
        <v/>
      </c>
      <c r="AG345" s="57">
        <f>IF(ISNUMBER(C345),C345,0)</f>
        <v>0.0</v>
      </c>
      <c r="AH345" s="57" t="str">
        <f>IF(N(W345)&gt;0,COUNTIF(W$6:W345,"&gt;0"),"")</f>
        <v/>
      </c>
      <c r="AI345" s="57" t="str">
        <f>IF(Z345=1,COUNTIF(Z$6:Z345,1),"")</f>
        <v/>
      </c>
    </row>
    <row r="346">
      <c r="A346" s="54" t="n"/>
      <c r="B346" s="55" t="str">
        <f>IF(AA346="","",A346&amp;"-"&amp;RIGHT("000"&amp;AA346,4))</f>
        <v/>
      </c>
      <c r="C346" s="56" t="n"/>
      <c r="D346" s="54" t="n"/>
      <c r="E346" s="57" t="str">
        <f>IF(D346="","",IF(A346="BL",IFERROR(INDEX(cl_name,MATCH(D346,cl_code,0))&amp;"","Client inconnu"),IF(A346="BR",IFERROR(INDEX(fo_name,MATCH(D346,fo_code,0))&amp;"","Fournisseur inconnu"),IF(A346="BS",IF(ISNA(MATCH(D346,p_services,0)),"Service inconnu",D346&amp;""),""))))</f>
        <v/>
      </c>
      <c r="F346" s="58" t="n"/>
      <c r="G346" s="58" t="n"/>
      <c r="H346" s="59" t="n"/>
      <c r="I346" s="57" t="str">
        <f>IF(H346="","",IFERROR(INDEX(art_des,MATCH(H346,art_ref,0))&amp;"","Article inconnu"))</f>
        <v/>
      </c>
      <c r="J346" s="60" t="str">
        <f>IF(H346="","",IFERROR(INDEX(art_unit,MATCH(H346,art_ref,0))&amp;"",""))</f>
        <v/>
      </c>
      <c r="K346" s="59" t="n"/>
      <c r="L346" s="59" t="n"/>
      <c r="M346" s="61" t="str">
        <f>IF(OR(B346="",NOT(ISNUMBER(K346)),NOT(ISNUMBER(L346))),"",IF(OR(K346&lt;=0,L346&lt;=0),"",ROUND(L346-K346,6)))</f>
        <v/>
      </c>
      <c r="N346" s="58" t="n"/>
      <c r="O346" s="62" t="n"/>
      <c r="P346" s="63" t="str">
        <f>IF(OR(B346="",NOT(ISNUMBER(L346))),"",IF(L346&lt;=0,"",IFERROR(ROUND(L346*N(INDEX(art_w,MATCH(H346,art_ref,0))),3),"")))</f>
        <v/>
      </c>
      <c r="Q346" s="59" t="n"/>
      <c r="R346" s="54" t="n"/>
      <c r="S346" s="59" t="n"/>
      <c r="T346" s="59" t="n"/>
      <c r="U346" s="64" t="str">
        <f>IF(OR(B346="",H346=""),"",IFERROR(IF(A346="BL",IF(N(INDEX(art_price,MATCH(H346,art_ref,0)))=0,"",N(INDEX(art_price,MATCH(H346,art_ref,0)))),IF(N(INDEX(art_cost,MATCH(H346,art_ref,0)))=0,"",N(INDEX(art_cost,MATCH(H346,art_ref,0))))),""))</f>
        <v/>
      </c>
      <c r="V346" s="64" t="str">
        <f>IF(OR(U346="",NOT(ISNUMBER(L346))),"",IF(L346&lt;=0,"",ROUND(L346*U346,2)))</f>
        <v/>
      </c>
      <c r="W346" s="60" t="str">
        <f>IF(AND(B346&lt;&gt;"",A346&lt;&gt;"BS",F346&lt;&gt;"",H346&lt;&gt;"",ISNUMBER(K346),ISNUMBER(L346)),IF(AND(K346&gt;0,L346&gt;0,K346-L346&gt;0,COUNTIFS(A347:A$2005,A346,F347:F$2005,F346,H347:H$2005,H346,AA347:AA$2005,"&gt;0")=0),ROUND(K346-L346,6),""),"")</f>
        <v/>
      </c>
      <c r="X346" s="60" t="str">
        <f>IF(AND(A346="",C346="",D346="",H346="",L346=""),"",IF(A346="","Type manquant",IF(AND(A346&lt;&gt;"BL",A346&lt;&gt;"BR",A346&lt;&gt;"BS"),"Type inconnu (BL, BR ou BS)",IF(AG346=0,"Date manquante ou invalide",IF(D346="",IF(A346="BL","Client manquant",IF(A346="BR","Fournisseur manquant","Service manquant")),IF(IF(A346="BL",ISNA(MATCH(D346,cl_code,0)),IF(A346="BR",ISNA(MATCH(D346,fo_code,0)),ISNA(MATCH(D346,p_services,0)))),IF(A346="BL","Client inconnu",IF(A346="BR","Fournisseur inconnu","Service inconnu")),IF(H346="","Article manquant",IF(ISNA(MATCH(H346,art_ref,0)),"Article inconnu",IF(OR(NOT(ISNUMBER(L346)),N(L346)&lt;=0),"Quantité invalide",IF(AND(K346&lt;&gt;"",OR(NOT(ISNUMBER(K346)),N(K346)&lt;=0)),"Qté commandée invalide",IF(AG346&lt;SUMPRODUCT(MAX((A$6:A345=A346)*AG$6:AG345)),"Date antérieure au bon précédent",IF(AND(A346&lt;&gt;"BR",ISNUMBER(M346),N(M346)&gt;0),IF(A346="BL","Livré plus que commandé","Sorti plus que demandé"),"OK"))))))))))))</f>
        <v/>
      </c>
      <c r="Y346" s="57" t="str">
        <f>IF(AND(OR(A346="BL",A346="BR",A346="BS"),AG346&gt;0,D346&lt;&gt;""),A346&amp;"|"&amp;AG346&amp;"|"&amp;D346&amp;"|"&amp;F346,"")</f>
        <v/>
      </c>
      <c r="Z346" s="57" t="str">
        <f>IF(Y346="","",IF(COUNTIF(Y$6:Y345,Y346)=0,1,0))</f>
        <v/>
      </c>
      <c r="AA346" s="57" t="str">
        <f>IF(Y346="","",IF(Z346=1,COUNTIFS(A$6:A346,A346,Z$6:Z346,1),INDEX(AA$6:AA345,MATCH(Y346,Y$6:Y345,0))))</f>
        <v/>
      </c>
      <c r="AB346" s="57" t="str">
        <f>IF(B346="","",COUNTIF(B$6:B346,B346))</f>
        <v/>
      </c>
      <c r="AC346" s="57" t="str">
        <f>IF(B346="","",B346&amp;"#"&amp;AB346)</f>
        <v/>
      </c>
      <c r="AD346" s="57" t="str">
        <f>IF(Z346=1,A346&amp;AA346,"")</f>
        <v/>
      </c>
      <c r="AE346" s="57" t="str">
        <f>IF(B346="","",YEAR(C346))</f>
        <v/>
      </c>
      <c r="AF346" s="57" t="str">
        <f>IF(B346="","",MONTH(C346))</f>
        <v/>
      </c>
      <c r="AG346" s="57">
        <f>IF(ISNUMBER(C346),C346,0)</f>
        <v>0.0</v>
      </c>
      <c r="AH346" s="57" t="str">
        <f>IF(N(W346)&gt;0,COUNTIF(W$6:W346,"&gt;0"),"")</f>
        <v/>
      </c>
      <c r="AI346" s="57" t="str">
        <f>IF(Z346=1,COUNTIF(Z$6:Z346,1),"")</f>
        <v/>
      </c>
    </row>
    <row r="347">
      <c r="A347" s="54" t="n"/>
      <c r="B347" s="55" t="str">
        <f>IF(AA347="","",A347&amp;"-"&amp;RIGHT("000"&amp;AA347,4))</f>
        <v/>
      </c>
      <c r="C347" s="56" t="n"/>
      <c r="D347" s="54" t="n"/>
      <c r="E347" s="57" t="str">
        <f>IF(D347="","",IF(A347="BL",IFERROR(INDEX(cl_name,MATCH(D347,cl_code,0))&amp;"","Client inconnu"),IF(A347="BR",IFERROR(INDEX(fo_name,MATCH(D347,fo_code,0))&amp;"","Fournisseur inconnu"),IF(A347="BS",IF(ISNA(MATCH(D347,p_services,0)),"Service inconnu",D347&amp;""),""))))</f>
        <v/>
      </c>
      <c r="F347" s="58" t="n"/>
      <c r="G347" s="58" t="n"/>
      <c r="H347" s="59" t="n"/>
      <c r="I347" s="57" t="str">
        <f>IF(H347="","",IFERROR(INDEX(art_des,MATCH(H347,art_ref,0))&amp;"","Article inconnu"))</f>
        <v/>
      </c>
      <c r="J347" s="60" t="str">
        <f>IF(H347="","",IFERROR(INDEX(art_unit,MATCH(H347,art_ref,0))&amp;"",""))</f>
        <v/>
      </c>
      <c r="K347" s="59" t="n"/>
      <c r="L347" s="59" t="n"/>
      <c r="M347" s="61" t="str">
        <f>IF(OR(B347="",NOT(ISNUMBER(K347)),NOT(ISNUMBER(L347))),"",IF(OR(K347&lt;=0,L347&lt;=0),"",ROUND(L347-K347,6)))</f>
        <v/>
      </c>
      <c r="N347" s="58" t="n"/>
      <c r="O347" s="62" t="n"/>
      <c r="P347" s="63" t="str">
        <f>IF(OR(B347="",NOT(ISNUMBER(L347))),"",IF(L347&lt;=0,"",IFERROR(ROUND(L347*N(INDEX(art_w,MATCH(H347,art_ref,0))),3),"")))</f>
        <v/>
      </c>
      <c r="Q347" s="59" t="n"/>
      <c r="R347" s="54" t="n"/>
      <c r="S347" s="59" t="n"/>
      <c r="T347" s="59" t="n"/>
      <c r="U347" s="64" t="str">
        <f>IF(OR(B347="",H347=""),"",IFERROR(IF(A347="BL",IF(N(INDEX(art_price,MATCH(H347,art_ref,0)))=0,"",N(INDEX(art_price,MATCH(H347,art_ref,0)))),IF(N(INDEX(art_cost,MATCH(H347,art_ref,0)))=0,"",N(INDEX(art_cost,MATCH(H347,art_ref,0))))),""))</f>
        <v/>
      </c>
      <c r="V347" s="64" t="str">
        <f>IF(OR(U347="",NOT(ISNUMBER(L347))),"",IF(L347&lt;=0,"",ROUND(L347*U347,2)))</f>
        <v/>
      </c>
      <c r="W347" s="60" t="str">
        <f>IF(AND(B347&lt;&gt;"",A347&lt;&gt;"BS",F347&lt;&gt;"",H347&lt;&gt;"",ISNUMBER(K347),ISNUMBER(L347)),IF(AND(K347&gt;0,L347&gt;0,K347-L347&gt;0,COUNTIFS(A348:A$2005,A347,F348:F$2005,F347,H348:H$2005,H347,AA348:AA$2005,"&gt;0")=0),ROUND(K347-L347,6),""),"")</f>
        <v/>
      </c>
      <c r="X347" s="60" t="str">
        <f>IF(AND(A347="",C347="",D347="",H347="",L347=""),"",IF(A347="","Type manquant",IF(AND(A347&lt;&gt;"BL",A347&lt;&gt;"BR",A347&lt;&gt;"BS"),"Type inconnu (BL, BR ou BS)",IF(AG347=0,"Date manquante ou invalide",IF(D347="",IF(A347="BL","Client manquant",IF(A347="BR","Fournisseur manquant","Service manquant")),IF(IF(A347="BL",ISNA(MATCH(D347,cl_code,0)),IF(A347="BR",ISNA(MATCH(D347,fo_code,0)),ISNA(MATCH(D347,p_services,0)))),IF(A347="BL","Client inconnu",IF(A347="BR","Fournisseur inconnu","Service inconnu")),IF(H347="","Article manquant",IF(ISNA(MATCH(H347,art_ref,0)),"Article inconnu",IF(OR(NOT(ISNUMBER(L347)),N(L347)&lt;=0),"Quantité invalide",IF(AND(K347&lt;&gt;"",OR(NOT(ISNUMBER(K347)),N(K347)&lt;=0)),"Qté commandée invalide",IF(AG347&lt;SUMPRODUCT(MAX((A$6:A346=A347)*AG$6:AG346)),"Date antérieure au bon précédent",IF(AND(A347&lt;&gt;"BR",ISNUMBER(M347),N(M347)&gt;0),IF(A347="BL","Livré plus que commandé","Sorti plus que demandé"),"OK"))))))))))))</f>
        <v/>
      </c>
      <c r="Y347" s="57" t="str">
        <f>IF(AND(OR(A347="BL",A347="BR",A347="BS"),AG347&gt;0,D347&lt;&gt;""),A347&amp;"|"&amp;AG347&amp;"|"&amp;D347&amp;"|"&amp;F347,"")</f>
        <v/>
      </c>
      <c r="Z347" s="57" t="str">
        <f>IF(Y347="","",IF(COUNTIF(Y$6:Y346,Y347)=0,1,0))</f>
        <v/>
      </c>
      <c r="AA347" s="57" t="str">
        <f>IF(Y347="","",IF(Z347=1,COUNTIFS(A$6:A347,A347,Z$6:Z347,1),INDEX(AA$6:AA346,MATCH(Y347,Y$6:Y346,0))))</f>
        <v/>
      </c>
      <c r="AB347" s="57" t="str">
        <f>IF(B347="","",COUNTIF(B$6:B347,B347))</f>
        <v/>
      </c>
      <c r="AC347" s="57" t="str">
        <f>IF(B347="","",B347&amp;"#"&amp;AB347)</f>
        <v/>
      </c>
      <c r="AD347" s="57" t="str">
        <f>IF(Z347=1,A347&amp;AA347,"")</f>
        <v/>
      </c>
      <c r="AE347" s="57" t="str">
        <f>IF(B347="","",YEAR(C347))</f>
        <v/>
      </c>
      <c r="AF347" s="57" t="str">
        <f>IF(B347="","",MONTH(C347))</f>
        <v/>
      </c>
      <c r="AG347" s="57">
        <f>IF(ISNUMBER(C347),C347,0)</f>
        <v>0.0</v>
      </c>
      <c r="AH347" s="57" t="str">
        <f>IF(N(W347)&gt;0,COUNTIF(W$6:W347,"&gt;0"),"")</f>
        <v/>
      </c>
      <c r="AI347" s="57" t="str">
        <f>IF(Z347=1,COUNTIF(Z$6:Z347,1),"")</f>
        <v/>
      </c>
    </row>
    <row r="348">
      <c r="A348" s="54" t="n"/>
      <c r="B348" s="55" t="str">
        <f>IF(AA348="","",A348&amp;"-"&amp;RIGHT("000"&amp;AA348,4))</f>
        <v/>
      </c>
      <c r="C348" s="56" t="n"/>
      <c r="D348" s="54" t="n"/>
      <c r="E348" s="57" t="str">
        <f>IF(D348="","",IF(A348="BL",IFERROR(INDEX(cl_name,MATCH(D348,cl_code,0))&amp;"","Client inconnu"),IF(A348="BR",IFERROR(INDEX(fo_name,MATCH(D348,fo_code,0))&amp;"","Fournisseur inconnu"),IF(A348="BS",IF(ISNA(MATCH(D348,p_services,0)),"Service inconnu",D348&amp;""),""))))</f>
        <v/>
      </c>
      <c r="F348" s="58" t="n"/>
      <c r="G348" s="58" t="n"/>
      <c r="H348" s="59" t="n"/>
      <c r="I348" s="57" t="str">
        <f>IF(H348="","",IFERROR(INDEX(art_des,MATCH(H348,art_ref,0))&amp;"","Article inconnu"))</f>
        <v/>
      </c>
      <c r="J348" s="60" t="str">
        <f>IF(H348="","",IFERROR(INDEX(art_unit,MATCH(H348,art_ref,0))&amp;"",""))</f>
        <v/>
      </c>
      <c r="K348" s="59" t="n"/>
      <c r="L348" s="59" t="n"/>
      <c r="M348" s="61" t="str">
        <f>IF(OR(B348="",NOT(ISNUMBER(K348)),NOT(ISNUMBER(L348))),"",IF(OR(K348&lt;=0,L348&lt;=0),"",ROUND(L348-K348,6)))</f>
        <v/>
      </c>
      <c r="N348" s="58" t="n"/>
      <c r="O348" s="62" t="n"/>
      <c r="P348" s="63" t="str">
        <f>IF(OR(B348="",NOT(ISNUMBER(L348))),"",IF(L348&lt;=0,"",IFERROR(ROUND(L348*N(INDEX(art_w,MATCH(H348,art_ref,0))),3),"")))</f>
        <v/>
      </c>
      <c r="Q348" s="59" t="n"/>
      <c r="R348" s="54" t="n"/>
      <c r="S348" s="59" t="n"/>
      <c r="T348" s="59" t="n"/>
      <c r="U348" s="64" t="str">
        <f>IF(OR(B348="",H348=""),"",IFERROR(IF(A348="BL",IF(N(INDEX(art_price,MATCH(H348,art_ref,0)))=0,"",N(INDEX(art_price,MATCH(H348,art_ref,0)))),IF(N(INDEX(art_cost,MATCH(H348,art_ref,0)))=0,"",N(INDEX(art_cost,MATCH(H348,art_ref,0))))),""))</f>
        <v/>
      </c>
      <c r="V348" s="64" t="str">
        <f>IF(OR(U348="",NOT(ISNUMBER(L348))),"",IF(L348&lt;=0,"",ROUND(L348*U348,2)))</f>
        <v/>
      </c>
      <c r="W348" s="60" t="str">
        <f>IF(AND(B348&lt;&gt;"",A348&lt;&gt;"BS",F348&lt;&gt;"",H348&lt;&gt;"",ISNUMBER(K348),ISNUMBER(L348)),IF(AND(K348&gt;0,L348&gt;0,K348-L348&gt;0,COUNTIFS(A349:A$2005,A348,F349:F$2005,F348,H349:H$2005,H348,AA349:AA$2005,"&gt;0")=0),ROUND(K348-L348,6),""),"")</f>
        <v/>
      </c>
      <c r="X348" s="60" t="str">
        <f>IF(AND(A348="",C348="",D348="",H348="",L348=""),"",IF(A348="","Type manquant",IF(AND(A348&lt;&gt;"BL",A348&lt;&gt;"BR",A348&lt;&gt;"BS"),"Type inconnu (BL, BR ou BS)",IF(AG348=0,"Date manquante ou invalide",IF(D348="",IF(A348="BL","Client manquant",IF(A348="BR","Fournisseur manquant","Service manquant")),IF(IF(A348="BL",ISNA(MATCH(D348,cl_code,0)),IF(A348="BR",ISNA(MATCH(D348,fo_code,0)),ISNA(MATCH(D348,p_services,0)))),IF(A348="BL","Client inconnu",IF(A348="BR","Fournisseur inconnu","Service inconnu")),IF(H348="","Article manquant",IF(ISNA(MATCH(H348,art_ref,0)),"Article inconnu",IF(OR(NOT(ISNUMBER(L348)),N(L348)&lt;=0),"Quantité invalide",IF(AND(K348&lt;&gt;"",OR(NOT(ISNUMBER(K348)),N(K348)&lt;=0)),"Qté commandée invalide",IF(AG348&lt;SUMPRODUCT(MAX((A$6:A347=A348)*AG$6:AG347)),"Date antérieure au bon précédent",IF(AND(A348&lt;&gt;"BR",ISNUMBER(M348),N(M348)&gt;0),IF(A348="BL","Livré plus que commandé","Sorti plus que demandé"),"OK"))))))))))))</f>
        <v/>
      </c>
      <c r="Y348" s="57" t="str">
        <f>IF(AND(OR(A348="BL",A348="BR",A348="BS"),AG348&gt;0,D348&lt;&gt;""),A348&amp;"|"&amp;AG348&amp;"|"&amp;D348&amp;"|"&amp;F348,"")</f>
        <v/>
      </c>
      <c r="Z348" s="57" t="str">
        <f>IF(Y348="","",IF(COUNTIF(Y$6:Y347,Y348)=0,1,0))</f>
        <v/>
      </c>
      <c r="AA348" s="57" t="str">
        <f>IF(Y348="","",IF(Z348=1,COUNTIFS(A$6:A348,A348,Z$6:Z348,1),INDEX(AA$6:AA347,MATCH(Y348,Y$6:Y347,0))))</f>
        <v/>
      </c>
      <c r="AB348" s="57" t="str">
        <f>IF(B348="","",COUNTIF(B$6:B348,B348))</f>
        <v/>
      </c>
      <c r="AC348" s="57" t="str">
        <f>IF(B348="","",B348&amp;"#"&amp;AB348)</f>
        <v/>
      </c>
      <c r="AD348" s="57" t="str">
        <f>IF(Z348=1,A348&amp;AA348,"")</f>
        <v/>
      </c>
      <c r="AE348" s="57" t="str">
        <f>IF(B348="","",YEAR(C348))</f>
        <v/>
      </c>
      <c r="AF348" s="57" t="str">
        <f>IF(B348="","",MONTH(C348))</f>
        <v/>
      </c>
      <c r="AG348" s="57">
        <f>IF(ISNUMBER(C348),C348,0)</f>
        <v>0.0</v>
      </c>
      <c r="AH348" s="57" t="str">
        <f>IF(N(W348)&gt;0,COUNTIF(W$6:W348,"&gt;0"),"")</f>
        <v/>
      </c>
      <c r="AI348" s="57" t="str">
        <f>IF(Z348=1,COUNTIF(Z$6:Z348,1),"")</f>
        <v/>
      </c>
    </row>
    <row r="349">
      <c r="A349" s="54" t="n"/>
      <c r="B349" s="55" t="str">
        <f>IF(AA349="","",A349&amp;"-"&amp;RIGHT("000"&amp;AA349,4))</f>
        <v/>
      </c>
      <c r="C349" s="56" t="n"/>
      <c r="D349" s="54" t="n"/>
      <c r="E349" s="57" t="str">
        <f>IF(D349="","",IF(A349="BL",IFERROR(INDEX(cl_name,MATCH(D349,cl_code,0))&amp;"","Client inconnu"),IF(A349="BR",IFERROR(INDEX(fo_name,MATCH(D349,fo_code,0))&amp;"","Fournisseur inconnu"),IF(A349="BS",IF(ISNA(MATCH(D349,p_services,0)),"Service inconnu",D349&amp;""),""))))</f>
        <v/>
      </c>
      <c r="F349" s="58" t="n"/>
      <c r="G349" s="58" t="n"/>
      <c r="H349" s="59" t="n"/>
      <c r="I349" s="57" t="str">
        <f>IF(H349="","",IFERROR(INDEX(art_des,MATCH(H349,art_ref,0))&amp;"","Article inconnu"))</f>
        <v/>
      </c>
      <c r="J349" s="60" t="str">
        <f>IF(H349="","",IFERROR(INDEX(art_unit,MATCH(H349,art_ref,0))&amp;"",""))</f>
        <v/>
      </c>
      <c r="K349" s="59" t="n"/>
      <c r="L349" s="59" t="n"/>
      <c r="M349" s="61" t="str">
        <f>IF(OR(B349="",NOT(ISNUMBER(K349)),NOT(ISNUMBER(L349))),"",IF(OR(K349&lt;=0,L349&lt;=0),"",ROUND(L349-K349,6)))</f>
        <v/>
      </c>
      <c r="N349" s="58" t="n"/>
      <c r="O349" s="62" t="n"/>
      <c r="P349" s="63" t="str">
        <f>IF(OR(B349="",NOT(ISNUMBER(L349))),"",IF(L349&lt;=0,"",IFERROR(ROUND(L349*N(INDEX(art_w,MATCH(H349,art_ref,0))),3),"")))</f>
        <v/>
      </c>
      <c r="Q349" s="59" t="n"/>
      <c r="R349" s="54" t="n"/>
      <c r="S349" s="59" t="n"/>
      <c r="T349" s="59" t="n"/>
      <c r="U349" s="64" t="str">
        <f>IF(OR(B349="",H349=""),"",IFERROR(IF(A349="BL",IF(N(INDEX(art_price,MATCH(H349,art_ref,0)))=0,"",N(INDEX(art_price,MATCH(H349,art_ref,0)))),IF(N(INDEX(art_cost,MATCH(H349,art_ref,0)))=0,"",N(INDEX(art_cost,MATCH(H349,art_ref,0))))),""))</f>
        <v/>
      </c>
      <c r="V349" s="64" t="str">
        <f>IF(OR(U349="",NOT(ISNUMBER(L349))),"",IF(L349&lt;=0,"",ROUND(L349*U349,2)))</f>
        <v/>
      </c>
      <c r="W349" s="60" t="str">
        <f>IF(AND(B349&lt;&gt;"",A349&lt;&gt;"BS",F349&lt;&gt;"",H349&lt;&gt;"",ISNUMBER(K349),ISNUMBER(L349)),IF(AND(K349&gt;0,L349&gt;0,K349-L349&gt;0,COUNTIFS(A350:A$2005,A349,F350:F$2005,F349,H350:H$2005,H349,AA350:AA$2005,"&gt;0")=0),ROUND(K349-L349,6),""),"")</f>
        <v/>
      </c>
      <c r="X349" s="60" t="str">
        <f>IF(AND(A349="",C349="",D349="",H349="",L349=""),"",IF(A349="","Type manquant",IF(AND(A349&lt;&gt;"BL",A349&lt;&gt;"BR",A349&lt;&gt;"BS"),"Type inconnu (BL, BR ou BS)",IF(AG349=0,"Date manquante ou invalide",IF(D349="",IF(A349="BL","Client manquant",IF(A349="BR","Fournisseur manquant","Service manquant")),IF(IF(A349="BL",ISNA(MATCH(D349,cl_code,0)),IF(A349="BR",ISNA(MATCH(D349,fo_code,0)),ISNA(MATCH(D349,p_services,0)))),IF(A349="BL","Client inconnu",IF(A349="BR","Fournisseur inconnu","Service inconnu")),IF(H349="","Article manquant",IF(ISNA(MATCH(H349,art_ref,0)),"Article inconnu",IF(OR(NOT(ISNUMBER(L349)),N(L349)&lt;=0),"Quantité invalide",IF(AND(K349&lt;&gt;"",OR(NOT(ISNUMBER(K349)),N(K349)&lt;=0)),"Qté commandée invalide",IF(AG349&lt;SUMPRODUCT(MAX((A$6:A348=A349)*AG$6:AG348)),"Date antérieure au bon précédent",IF(AND(A349&lt;&gt;"BR",ISNUMBER(M349),N(M349)&gt;0),IF(A349="BL","Livré plus que commandé","Sorti plus que demandé"),"OK"))))))))))))</f>
        <v/>
      </c>
      <c r="Y349" s="57" t="str">
        <f>IF(AND(OR(A349="BL",A349="BR",A349="BS"),AG349&gt;0,D349&lt;&gt;""),A349&amp;"|"&amp;AG349&amp;"|"&amp;D349&amp;"|"&amp;F349,"")</f>
        <v/>
      </c>
      <c r="Z349" s="57" t="str">
        <f>IF(Y349="","",IF(COUNTIF(Y$6:Y348,Y349)=0,1,0))</f>
        <v/>
      </c>
      <c r="AA349" s="57" t="str">
        <f>IF(Y349="","",IF(Z349=1,COUNTIFS(A$6:A349,A349,Z$6:Z349,1),INDEX(AA$6:AA348,MATCH(Y349,Y$6:Y348,0))))</f>
        <v/>
      </c>
      <c r="AB349" s="57" t="str">
        <f>IF(B349="","",COUNTIF(B$6:B349,B349))</f>
        <v/>
      </c>
      <c r="AC349" s="57" t="str">
        <f>IF(B349="","",B349&amp;"#"&amp;AB349)</f>
        <v/>
      </c>
      <c r="AD349" s="57" t="str">
        <f>IF(Z349=1,A349&amp;AA349,"")</f>
        <v/>
      </c>
      <c r="AE349" s="57" t="str">
        <f>IF(B349="","",YEAR(C349))</f>
        <v/>
      </c>
      <c r="AF349" s="57" t="str">
        <f>IF(B349="","",MONTH(C349))</f>
        <v/>
      </c>
      <c r="AG349" s="57">
        <f>IF(ISNUMBER(C349),C349,0)</f>
        <v>0.0</v>
      </c>
      <c r="AH349" s="57" t="str">
        <f>IF(N(W349)&gt;0,COUNTIF(W$6:W349,"&gt;0"),"")</f>
        <v/>
      </c>
      <c r="AI349" s="57" t="str">
        <f>IF(Z349=1,COUNTIF(Z$6:Z349,1),"")</f>
        <v/>
      </c>
    </row>
    <row r="350">
      <c r="A350" s="54" t="n"/>
      <c r="B350" s="55" t="str">
        <f>IF(AA350="","",A350&amp;"-"&amp;RIGHT("000"&amp;AA350,4))</f>
        <v/>
      </c>
      <c r="C350" s="56" t="n"/>
      <c r="D350" s="54" t="n"/>
      <c r="E350" s="57" t="str">
        <f>IF(D350="","",IF(A350="BL",IFERROR(INDEX(cl_name,MATCH(D350,cl_code,0))&amp;"","Client inconnu"),IF(A350="BR",IFERROR(INDEX(fo_name,MATCH(D350,fo_code,0))&amp;"","Fournisseur inconnu"),IF(A350="BS",IF(ISNA(MATCH(D350,p_services,0)),"Service inconnu",D350&amp;""),""))))</f>
        <v/>
      </c>
      <c r="F350" s="58" t="n"/>
      <c r="G350" s="58" t="n"/>
      <c r="H350" s="59" t="n"/>
      <c r="I350" s="57" t="str">
        <f>IF(H350="","",IFERROR(INDEX(art_des,MATCH(H350,art_ref,0))&amp;"","Article inconnu"))</f>
        <v/>
      </c>
      <c r="J350" s="60" t="str">
        <f>IF(H350="","",IFERROR(INDEX(art_unit,MATCH(H350,art_ref,0))&amp;"",""))</f>
        <v/>
      </c>
      <c r="K350" s="59" t="n"/>
      <c r="L350" s="59" t="n"/>
      <c r="M350" s="61" t="str">
        <f>IF(OR(B350="",NOT(ISNUMBER(K350)),NOT(ISNUMBER(L350))),"",IF(OR(K350&lt;=0,L350&lt;=0),"",ROUND(L350-K350,6)))</f>
        <v/>
      </c>
      <c r="N350" s="58" t="n"/>
      <c r="O350" s="62" t="n"/>
      <c r="P350" s="63" t="str">
        <f>IF(OR(B350="",NOT(ISNUMBER(L350))),"",IF(L350&lt;=0,"",IFERROR(ROUND(L350*N(INDEX(art_w,MATCH(H350,art_ref,0))),3),"")))</f>
        <v/>
      </c>
      <c r="Q350" s="59" t="n"/>
      <c r="R350" s="54" t="n"/>
      <c r="S350" s="59" t="n"/>
      <c r="T350" s="59" t="n"/>
      <c r="U350" s="64" t="str">
        <f>IF(OR(B350="",H350=""),"",IFERROR(IF(A350="BL",IF(N(INDEX(art_price,MATCH(H350,art_ref,0)))=0,"",N(INDEX(art_price,MATCH(H350,art_ref,0)))),IF(N(INDEX(art_cost,MATCH(H350,art_ref,0)))=0,"",N(INDEX(art_cost,MATCH(H350,art_ref,0))))),""))</f>
        <v/>
      </c>
      <c r="V350" s="64" t="str">
        <f>IF(OR(U350="",NOT(ISNUMBER(L350))),"",IF(L350&lt;=0,"",ROUND(L350*U350,2)))</f>
        <v/>
      </c>
      <c r="W350" s="60" t="str">
        <f>IF(AND(B350&lt;&gt;"",A350&lt;&gt;"BS",F350&lt;&gt;"",H350&lt;&gt;"",ISNUMBER(K350),ISNUMBER(L350)),IF(AND(K350&gt;0,L350&gt;0,K350-L350&gt;0,COUNTIFS(A351:A$2005,A350,F351:F$2005,F350,H351:H$2005,H350,AA351:AA$2005,"&gt;0")=0),ROUND(K350-L350,6),""),"")</f>
        <v/>
      </c>
      <c r="X350" s="60" t="str">
        <f>IF(AND(A350="",C350="",D350="",H350="",L350=""),"",IF(A350="","Type manquant",IF(AND(A350&lt;&gt;"BL",A350&lt;&gt;"BR",A350&lt;&gt;"BS"),"Type inconnu (BL, BR ou BS)",IF(AG350=0,"Date manquante ou invalide",IF(D350="",IF(A350="BL","Client manquant",IF(A350="BR","Fournisseur manquant","Service manquant")),IF(IF(A350="BL",ISNA(MATCH(D350,cl_code,0)),IF(A350="BR",ISNA(MATCH(D350,fo_code,0)),ISNA(MATCH(D350,p_services,0)))),IF(A350="BL","Client inconnu",IF(A350="BR","Fournisseur inconnu","Service inconnu")),IF(H350="","Article manquant",IF(ISNA(MATCH(H350,art_ref,0)),"Article inconnu",IF(OR(NOT(ISNUMBER(L350)),N(L350)&lt;=0),"Quantité invalide",IF(AND(K350&lt;&gt;"",OR(NOT(ISNUMBER(K350)),N(K350)&lt;=0)),"Qté commandée invalide",IF(AG350&lt;SUMPRODUCT(MAX((A$6:A349=A350)*AG$6:AG349)),"Date antérieure au bon précédent",IF(AND(A350&lt;&gt;"BR",ISNUMBER(M350),N(M350)&gt;0),IF(A350="BL","Livré plus que commandé","Sorti plus que demandé"),"OK"))))))))))))</f>
        <v/>
      </c>
      <c r="Y350" s="57" t="str">
        <f>IF(AND(OR(A350="BL",A350="BR",A350="BS"),AG350&gt;0,D350&lt;&gt;""),A350&amp;"|"&amp;AG350&amp;"|"&amp;D350&amp;"|"&amp;F350,"")</f>
        <v/>
      </c>
      <c r="Z350" s="57" t="str">
        <f>IF(Y350="","",IF(COUNTIF(Y$6:Y349,Y350)=0,1,0))</f>
        <v/>
      </c>
      <c r="AA350" s="57" t="str">
        <f>IF(Y350="","",IF(Z350=1,COUNTIFS(A$6:A350,A350,Z$6:Z350,1),INDEX(AA$6:AA349,MATCH(Y350,Y$6:Y349,0))))</f>
        <v/>
      </c>
      <c r="AB350" s="57" t="str">
        <f>IF(B350="","",COUNTIF(B$6:B350,B350))</f>
        <v/>
      </c>
      <c r="AC350" s="57" t="str">
        <f>IF(B350="","",B350&amp;"#"&amp;AB350)</f>
        <v/>
      </c>
      <c r="AD350" s="57" t="str">
        <f>IF(Z350=1,A350&amp;AA350,"")</f>
        <v/>
      </c>
      <c r="AE350" s="57" t="str">
        <f>IF(B350="","",YEAR(C350))</f>
        <v/>
      </c>
      <c r="AF350" s="57" t="str">
        <f>IF(B350="","",MONTH(C350))</f>
        <v/>
      </c>
      <c r="AG350" s="57">
        <f>IF(ISNUMBER(C350),C350,0)</f>
        <v>0.0</v>
      </c>
      <c r="AH350" s="57" t="str">
        <f>IF(N(W350)&gt;0,COUNTIF(W$6:W350,"&gt;0"),"")</f>
        <v/>
      </c>
      <c r="AI350" s="57" t="str">
        <f>IF(Z350=1,COUNTIF(Z$6:Z350,1),"")</f>
        <v/>
      </c>
    </row>
    <row r="351">
      <c r="A351" s="54" t="n"/>
      <c r="B351" s="55" t="str">
        <f>IF(AA351="","",A351&amp;"-"&amp;RIGHT("000"&amp;AA351,4))</f>
        <v/>
      </c>
      <c r="C351" s="56" t="n"/>
      <c r="D351" s="54" t="n"/>
      <c r="E351" s="57" t="str">
        <f>IF(D351="","",IF(A351="BL",IFERROR(INDEX(cl_name,MATCH(D351,cl_code,0))&amp;"","Client inconnu"),IF(A351="BR",IFERROR(INDEX(fo_name,MATCH(D351,fo_code,0))&amp;"","Fournisseur inconnu"),IF(A351="BS",IF(ISNA(MATCH(D351,p_services,0)),"Service inconnu",D351&amp;""),""))))</f>
        <v/>
      </c>
      <c r="F351" s="58" t="n"/>
      <c r="G351" s="58" t="n"/>
      <c r="H351" s="59" t="n"/>
      <c r="I351" s="57" t="str">
        <f>IF(H351="","",IFERROR(INDEX(art_des,MATCH(H351,art_ref,0))&amp;"","Article inconnu"))</f>
        <v/>
      </c>
      <c r="J351" s="60" t="str">
        <f>IF(H351="","",IFERROR(INDEX(art_unit,MATCH(H351,art_ref,0))&amp;"",""))</f>
        <v/>
      </c>
      <c r="K351" s="59" t="n"/>
      <c r="L351" s="59" t="n"/>
      <c r="M351" s="61" t="str">
        <f>IF(OR(B351="",NOT(ISNUMBER(K351)),NOT(ISNUMBER(L351))),"",IF(OR(K351&lt;=0,L351&lt;=0),"",ROUND(L351-K351,6)))</f>
        <v/>
      </c>
      <c r="N351" s="58" t="n"/>
      <c r="O351" s="62" t="n"/>
      <c r="P351" s="63" t="str">
        <f>IF(OR(B351="",NOT(ISNUMBER(L351))),"",IF(L351&lt;=0,"",IFERROR(ROUND(L351*N(INDEX(art_w,MATCH(H351,art_ref,0))),3),"")))</f>
        <v/>
      </c>
      <c r="Q351" s="59" t="n"/>
      <c r="R351" s="54" t="n"/>
      <c r="S351" s="59" t="n"/>
      <c r="T351" s="59" t="n"/>
      <c r="U351" s="64" t="str">
        <f>IF(OR(B351="",H351=""),"",IFERROR(IF(A351="BL",IF(N(INDEX(art_price,MATCH(H351,art_ref,0)))=0,"",N(INDEX(art_price,MATCH(H351,art_ref,0)))),IF(N(INDEX(art_cost,MATCH(H351,art_ref,0)))=0,"",N(INDEX(art_cost,MATCH(H351,art_ref,0))))),""))</f>
        <v/>
      </c>
      <c r="V351" s="64" t="str">
        <f>IF(OR(U351="",NOT(ISNUMBER(L351))),"",IF(L351&lt;=0,"",ROUND(L351*U351,2)))</f>
        <v/>
      </c>
      <c r="W351" s="60" t="str">
        <f>IF(AND(B351&lt;&gt;"",A351&lt;&gt;"BS",F351&lt;&gt;"",H351&lt;&gt;"",ISNUMBER(K351),ISNUMBER(L351)),IF(AND(K351&gt;0,L351&gt;0,K351-L351&gt;0,COUNTIFS(A352:A$2005,A351,F352:F$2005,F351,H352:H$2005,H351,AA352:AA$2005,"&gt;0")=0),ROUND(K351-L351,6),""),"")</f>
        <v/>
      </c>
      <c r="X351" s="60" t="str">
        <f>IF(AND(A351="",C351="",D351="",H351="",L351=""),"",IF(A351="","Type manquant",IF(AND(A351&lt;&gt;"BL",A351&lt;&gt;"BR",A351&lt;&gt;"BS"),"Type inconnu (BL, BR ou BS)",IF(AG351=0,"Date manquante ou invalide",IF(D351="",IF(A351="BL","Client manquant",IF(A351="BR","Fournisseur manquant","Service manquant")),IF(IF(A351="BL",ISNA(MATCH(D351,cl_code,0)),IF(A351="BR",ISNA(MATCH(D351,fo_code,0)),ISNA(MATCH(D351,p_services,0)))),IF(A351="BL","Client inconnu",IF(A351="BR","Fournisseur inconnu","Service inconnu")),IF(H351="","Article manquant",IF(ISNA(MATCH(H351,art_ref,0)),"Article inconnu",IF(OR(NOT(ISNUMBER(L351)),N(L351)&lt;=0),"Quantité invalide",IF(AND(K351&lt;&gt;"",OR(NOT(ISNUMBER(K351)),N(K351)&lt;=0)),"Qté commandée invalide",IF(AG351&lt;SUMPRODUCT(MAX((A$6:A350=A351)*AG$6:AG350)),"Date antérieure au bon précédent",IF(AND(A351&lt;&gt;"BR",ISNUMBER(M351),N(M351)&gt;0),IF(A351="BL","Livré plus que commandé","Sorti plus que demandé"),"OK"))))))))))))</f>
        <v/>
      </c>
      <c r="Y351" s="57" t="str">
        <f>IF(AND(OR(A351="BL",A351="BR",A351="BS"),AG351&gt;0,D351&lt;&gt;""),A351&amp;"|"&amp;AG351&amp;"|"&amp;D351&amp;"|"&amp;F351,"")</f>
        <v/>
      </c>
      <c r="Z351" s="57" t="str">
        <f>IF(Y351="","",IF(COUNTIF(Y$6:Y350,Y351)=0,1,0))</f>
        <v/>
      </c>
      <c r="AA351" s="57" t="str">
        <f>IF(Y351="","",IF(Z351=1,COUNTIFS(A$6:A351,A351,Z$6:Z351,1),INDEX(AA$6:AA350,MATCH(Y351,Y$6:Y350,0))))</f>
        <v/>
      </c>
      <c r="AB351" s="57" t="str">
        <f>IF(B351="","",COUNTIF(B$6:B351,B351))</f>
        <v/>
      </c>
      <c r="AC351" s="57" t="str">
        <f>IF(B351="","",B351&amp;"#"&amp;AB351)</f>
        <v/>
      </c>
      <c r="AD351" s="57" t="str">
        <f>IF(Z351=1,A351&amp;AA351,"")</f>
        <v/>
      </c>
      <c r="AE351" s="57" t="str">
        <f>IF(B351="","",YEAR(C351))</f>
        <v/>
      </c>
      <c r="AF351" s="57" t="str">
        <f>IF(B351="","",MONTH(C351))</f>
        <v/>
      </c>
      <c r="AG351" s="57">
        <f>IF(ISNUMBER(C351),C351,0)</f>
        <v>0.0</v>
      </c>
      <c r="AH351" s="57" t="str">
        <f>IF(N(W351)&gt;0,COUNTIF(W$6:W351,"&gt;0"),"")</f>
        <v/>
      </c>
      <c r="AI351" s="57" t="str">
        <f>IF(Z351=1,COUNTIF(Z$6:Z351,1),"")</f>
        <v/>
      </c>
    </row>
    <row r="352">
      <c r="A352" s="54" t="n"/>
      <c r="B352" s="55" t="str">
        <f>IF(AA352="","",A352&amp;"-"&amp;RIGHT("000"&amp;AA352,4))</f>
        <v/>
      </c>
      <c r="C352" s="56" t="n"/>
      <c r="D352" s="54" t="n"/>
      <c r="E352" s="57" t="str">
        <f>IF(D352="","",IF(A352="BL",IFERROR(INDEX(cl_name,MATCH(D352,cl_code,0))&amp;"","Client inconnu"),IF(A352="BR",IFERROR(INDEX(fo_name,MATCH(D352,fo_code,0))&amp;"","Fournisseur inconnu"),IF(A352="BS",IF(ISNA(MATCH(D352,p_services,0)),"Service inconnu",D352&amp;""),""))))</f>
        <v/>
      </c>
      <c r="F352" s="58" t="n"/>
      <c r="G352" s="58" t="n"/>
      <c r="H352" s="59" t="n"/>
      <c r="I352" s="57" t="str">
        <f>IF(H352="","",IFERROR(INDEX(art_des,MATCH(H352,art_ref,0))&amp;"","Article inconnu"))</f>
        <v/>
      </c>
      <c r="J352" s="60" t="str">
        <f>IF(H352="","",IFERROR(INDEX(art_unit,MATCH(H352,art_ref,0))&amp;"",""))</f>
        <v/>
      </c>
      <c r="K352" s="59" t="n"/>
      <c r="L352" s="59" t="n"/>
      <c r="M352" s="61" t="str">
        <f>IF(OR(B352="",NOT(ISNUMBER(K352)),NOT(ISNUMBER(L352))),"",IF(OR(K352&lt;=0,L352&lt;=0),"",ROUND(L352-K352,6)))</f>
        <v/>
      </c>
      <c r="N352" s="58" t="n"/>
      <c r="O352" s="62" t="n"/>
      <c r="P352" s="63" t="str">
        <f>IF(OR(B352="",NOT(ISNUMBER(L352))),"",IF(L352&lt;=0,"",IFERROR(ROUND(L352*N(INDEX(art_w,MATCH(H352,art_ref,0))),3),"")))</f>
        <v/>
      </c>
      <c r="Q352" s="59" t="n"/>
      <c r="R352" s="54" t="n"/>
      <c r="S352" s="59" t="n"/>
      <c r="T352" s="59" t="n"/>
      <c r="U352" s="64" t="str">
        <f>IF(OR(B352="",H352=""),"",IFERROR(IF(A352="BL",IF(N(INDEX(art_price,MATCH(H352,art_ref,0)))=0,"",N(INDEX(art_price,MATCH(H352,art_ref,0)))),IF(N(INDEX(art_cost,MATCH(H352,art_ref,0)))=0,"",N(INDEX(art_cost,MATCH(H352,art_ref,0))))),""))</f>
        <v/>
      </c>
      <c r="V352" s="64" t="str">
        <f>IF(OR(U352="",NOT(ISNUMBER(L352))),"",IF(L352&lt;=0,"",ROUND(L352*U352,2)))</f>
        <v/>
      </c>
      <c r="W352" s="60" t="str">
        <f>IF(AND(B352&lt;&gt;"",A352&lt;&gt;"BS",F352&lt;&gt;"",H352&lt;&gt;"",ISNUMBER(K352),ISNUMBER(L352)),IF(AND(K352&gt;0,L352&gt;0,K352-L352&gt;0,COUNTIFS(A353:A$2005,A352,F353:F$2005,F352,H353:H$2005,H352,AA353:AA$2005,"&gt;0")=0),ROUND(K352-L352,6),""),"")</f>
        <v/>
      </c>
      <c r="X352" s="60" t="str">
        <f>IF(AND(A352="",C352="",D352="",H352="",L352=""),"",IF(A352="","Type manquant",IF(AND(A352&lt;&gt;"BL",A352&lt;&gt;"BR",A352&lt;&gt;"BS"),"Type inconnu (BL, BR ou BS)",IF(AG352=0,"Date manquante ou invalide",IF(D352="",IF(A352="BL","Client manquant",IF(A352="BR","Fournisseur manquant","Service manquant")),IF(IF(A352="BL",ISNA(MATCH(D352,cl_code,0)),IF(A352="BR",ISNA(MATCH(D352,fo_code,0)),ISNA(MATCH(D352,p_services,0)))),IF(A352="BL","Client inconnu",IF(A352="BR","Fournisseur inconnu","Service inconnu")),IF(H352="","Article manquant",IF(ISNA(MATCH(H352,art_ref,0)),"Article inconnu",IF(OR(NOT(ISNUMBER(L352)),N(L352)&lt;=0),"Quantité invalide",IF(AND(K352&lt;&gt;"",OR(NOT(ISNUMBER(K352)),N(K352)&lt;=0)),"Qté commandée invalide",IF(AG352&lt;SUMPRODUCT(MAX((A$6:A351=A352)*AG$6:AG351)),"Date antérieure au bon précédent",IF(AND(A352&lt;&gt;"BR",ISNUMBER(M352),N(M352)&gt;0),IF(A352="BL","Livré plus que commandé","Sorti plus que demandé"),"OK"))))))))))))</f>
        <v/>
      </c>
      <c r="Y352" s="57" t="str">
        <f>IF(AND(OR(A352="BL",A352="BR",A352="BS"),AG352&gt;0,D352&lt;&gt;""),A352&amp;"|"&amp;AG352&amp;"|"&amp;D352&amp;"|"&amp;F352,"")</f>
        <v/>
      </c>
      <c r="Z352" s="57" t="str">
        <f>IF(Y352="","",IF(COUNTIF(Y$6:Y351,Y352)=0,1,0))</f>
        <v/>
      </c>
      <c r="AA352" s="57" t="str">
        <f>IF(Y352="","",IF(Z352=1,COUNTIFS(A$6:A352,A352,Z$6:Z352,1),INDEX(AA$6:AA351,MATCH(Y352,Y$6:Y351,0))))</f>
        <v/>
      </c>
      <c r="AB352" s="57" t="str">
        <f>IF(B352="","",COUNTIF(B$6:B352,B352))</f>
        <v/>
      </c>
      <c r="AC352" s="57" t="str">
        <f>IF(B352="","",B352&amp;"#"&amp;AB352)</f>
        <v/>
      </c>
      <c r="AD352" s="57" t="str">
        <f>IF(Z352=1,A352&amp;AA352,"")</f>
        <v/>
      </c>
      <c r="AE352" s="57" t="str">
        <f>IF(B352="","",YEAR(C352))</f>
        <v/>
      </c>
      <c r="AF352" s="57" t="str">
        <f>IF(B352="","",MONTH(C352))</f>
        <v/>
      </c>
      <c r="AG352" s="57">
        <f>IF(ISNUMBER(C352),C352,0)</f>
        <v>0.0</v>
      </c>
      <c r="AH352" s="57" t="str">
        <f>IF(N(W352)&gt;0,COUNTIF(W$6:W352,"&gt;0"),"")</f>
        <v/>
      </c>
      <c r="AI352" s="57" t="str">
        <f>IF(Z352=1,COUNTIF(Z$6:Z352,1),"")</f>
        <v/>
      </c>
    </row>
    <row r="353">
      <c r="A353" s="54" t="n"/>
      <c r="B353" s="55" t="str">
        <f>IF(AA353="","",A353&amp;"-"&amp;RIGHT("000"&amp;AA353,4))</f>
        <v/>
      </c>
      <c r="C353" s="56" t="n"/>
      <c r="D353" s="54" t="n"/>
      <c r="E353" s="57" t="str">
        <f>IF(D353="","",IF(A353="BL",IFERROR(INDEX(cl_name,MATCH(D353,cl_code,0))&amp;"","Client inconnu"),IF(A353="BR",IFERROR(INDEX(fo_name,MATCH(D353,fo_code,0))&amp;"","Fournisseur inconnu"),IF(A353="BS",IF(ISNA(MATCH(D353,p_services,0)),"Service inconnu",D353&amp;""),""))))</f>
        <v/>
      </c>
      <c r="F353" s="58" t="n"/>
      <c r="G353" s="58" t="n"/>
      <c r="H353" s="59" t="n"/>
      <c r="I353" s="57" t="str">
        <f>IF(H353="","",IFERROR(INDEX(art_des,MATCH(H353,art_ref,0))&amp;"","Article inconnu"))</f>
        <v/>
      </c>
      <c r="J353" s="60" t="str">
        <f>IF(H353="","",IFERROR(INDEX(art_unit,MATCH(H353,art_ref,0))&amp;"",""))</f>
        <v/>
      </c>
      <c r="K353" s="59" t="n"/>
      <c r="L353" s="59" t="n"/>
      <c r="M353" s="61" t="str">
        <f>IF(OR(B353="",NOT(ISNUMBER(K353)),NOT(ISNUMBER(L353))),"",IF(OR(K353&lt;=0,L353&lt;=0),"",ROUND(L353-K353,6)))</f>
        <v/>
      </c>
      <c r="N353" s="58" t="n"/>
      <c r="O353" s="62" t="n"/>
      <c r="P353" s="63" t="str">
        <f>IF(OR(B353="",NOT(ISNUMBER(L353))),"",IF(L353&lt;=0,"",IFERROR(ROUND(L353*N(INDEX(art_w,MATCH(H353,art_ref,0))),3),"")))</f>
        <v/>
      </c>
      <c r="Q353" s="59" t="n"/>
      <c r="R353" s="54" t="n"/>
      <c r="S353" s="59" t="n"/>
      <c r="T353" s="59" t="n"/>
      <c r="U353" s="64" t="str">
        <f>IF(OR(B353="",H353=""),"",IFERROR(IF(A353="BL",IF(N(INDEX(art_price,MATCH(H353,art_ref,0)))=0,"",N(INDEX(art_price,MATCH(H353,art_ref,0)))),IF(N(INDEX(art_cost,MATCH(H353,art_ref,0)))=0,"",N(INDEX(art_cost,MATCH(H353,art_ref,0))))),""))</f>
        <v/>
      </c>
      <c r="V353" s="64" t="str">
        <f>IF(OR(U353="",NOT(ISNUMBER(L353))),"",IF(L353&lt;=0,"",ROUND(L353*U353,2)))</f>
        <v/>
      </c>
      <c r="W353" s="60" t="str">
        <f>IF(AND(B353&lt;&gt;"",A353&lt;&gt;"BS",F353&lt;&gt;"",H353&lt;&gt;"",ISNUMBER(K353),ISNUMBER(L353)),IF(AND(K353&gt;0,L353&gt;0,K353-L353&gt;0,COUNTIFS(A354:A$2005,A353,F354:F$2005,F353,H354:H$2005,H353,AA354:AA$2005,"&gt;0")=0),ROUND(K353-L353,6),""),"")</f>
        <v/>
      </c>
      <c r="X353" s="60" t="str">
        <f>IF(AND(A353="",C353="",D353="",H353="",L353=""),"",IF(A353="","Type manquant",IF(AND(A353&lt;&gt;"BL",A353&lt;&gt;"BR",A353&lt;&gt;"BS"),"Type inconnu (BL, BR ou BS)",IF(AG353=0,"Date manquante ou invalide",IF(D353="",IF(A353="BL","Client manquant",IF(A353="BR","Fournisseur manquant","Service manquant")),IF(IF(A353="BL",ISNA(MATCH(D353,cl_code,0)),IF(A353="BR",ISNA(MATCH(D353,fo_code,0)),ISNA(MATCH(D353,p_services,0)))),IF(A353="BL","Client inconnu",IF(A353="BR","Fournisseur inconnu","Service inconnu")),IF(H353="","Article manquant",IF(ISNA(MATCH(H353,art_ref,0)),"Article inconnu",IF(OR(NOT(ISNUMBER(L353)),N(L353)&lt;=0),"Quantité invalide",IF(AND(K353&lt;&gt;"",OR(NOT(ISNUMBER(K353)),N(K353)&lt;=0)),"Qté commandée invalide",IF(AG353&lt;SUMPRODUCT(MAX((A$6:A352=A353)*AG$6:AG352)),"Date antérieure au bon précédent",IF(AND(A353&lt;&gt;"BR",ISNUMBER(M353),N(M353)&gt;0),IF(A353="BL","Livré plus que commandé","Sorti plus que demandé"),"OK"))))))))))))</f>
        <v/>
      </c>
      <c r="Y353" s="57" t="str">
        <f>IF(AND(OR(A353="BL",A353="BR",A353="BS"),AG353&gt;0,D353&lt;&gt;""),A353&amp;"|"&amp;AG353&amp;"|"&amp;D353&amp;"|"&amp;F353,"")</f>
        <v/>
      </c>
      <c r="Z353" s="57" t="str">
        <f>IF(Y353="","",IF(COUNTIF(Y$6:Y352,Y353)=0,1,0))</f>
        <v/>
      </c>
      <c r="AA353" s="57" t="str">
        <f>IF(Y353="","",IF(Z353=1,COUNTIFS(A$6:A353,A353,Z$6:Z353,1),INDEX(AA$6:AA352,MATCH(Y353,Y$6:Y352,0))))</f>
        <v/>
      </c>
      <c r="AB353" s="57" t="str">
        <f>IF(B353="","",COUNTIF(B$6:B353,B353))</f>
        <v/>
      </c>
      <c r="AC353" s="57" t="str">
        <f>IF(B353="","",B353&amp;"#"&amp;AB353)</f>
        <v/>
      </c>
      <c r="AD353" s="57" t="str">
        <f>IF(Z353=1,A353&amp;AA353,"")</f>
        <v/>
      </c>
      <c r="AE353" s="57" t="str">
        <f>IF(B353="","",YEAR(C353))</f>
        <v/>
      </c>
      <c r="AF353" s="57" t="str">
        <f>IF(B353="","",MONTH(C353))</f>
        <v/>
      </c>
      <c r="AG353" s="57">
        <f>IF(ISNUMBER(C353),C353,0)</f>
        <v>0.0</v>
      </c>
      <c r="AH353" s="57" t="str">
        <f>IF(N(W353)&gt;0,COUNTIF(W$6:W353,"&gt;0"),"")</f>
        <v/>
      </c>
      <c r="AI353" s="57" t="str">
        <f>IF(Z353=1,COUNTIF(Z$6:Z353,1),"")</f>
        <v/>
      </c>
    </row>
    <row r="354">
      <c r="A354" s="54" t="n"/>
      <c r="B354" s="55" t="str">
        <f>IF(AA354="","",A354&amp;"-"&amp;RIGHT("000"&amp;AA354,4))</f>
        <v/>
      </c>
      <c r="C354" s="56" t="n"/>
      <c r="D354" s="54" t="n"/>
      <c r="E354" s="57" t="str">
        <f>IF(D354="","",IF(A354="BL",IFERROR(INDEX(cl_name,MATCH(D354,cl_code,0))&amp;"","Client inconnu"),IF(A354="BR",IFERROR(INDEX(fo_name,MATCH(D354,fo_code,0))&amp;"","Fournisseur inconnu"),IF(A354="BS",IF(ISNA(MATCH(D354,p_services,0)),"Service inconnu",D354&amp;""),""))))</f>
        <v/>
      </c>
      <c r="F354" s="58" t="n"/>
      <c r="G354" s="58" t="n"/>
      <c r="H354" s="59" t="n"/>
      <c r="I354" s="57" t="str">
        <f>IF(H354="","",IFERROR(INDEX(art_des,MATCH(H354,art_ref,0))&amp;"","Article inconnu"))</f>
        <v/>
      </c>
      <c r="J354" s="60" t="str">
        <f>IF(H354="","",IFERROR(INDEX(art_unit,MATCH(H354,art_ref,0))&amp;"",""))</f>
        <v/>
      </c>
      <c r="K354" s="59" t="n"/>
      <c r="L354" s="59" t="n"/>
      <c r="M354" s="61" t="str">
        <f>IF(OR(B354="",NOT(ISNUMBER(K354)),NOT(ISNUMBER(L354))),"",IF(OR(K354&lt;=0,L354&lt;=0),"",ROUND(L354-K354,6)))</f>
        <v/>
      </c>
      <c r="N354" s="58" t="n"/>
      <c r="O354" s="62" t="n"/>
      <c r="P354" s="63" t="str">
        <f>IF(OR(B354="",NOT(ISNUMBER(L354))),"",IF(L354&lt;=0,"",IFERROR(ROUND(L354*N(INDEX(art_w,MATCH(H354,art_ref,0))),3),"")))</f>
        <v/>
      </c>
      <c r="Q354" s="59" t="n"/>
      <c r="R354" s="54" t="n"/>
      <c r="S354" s="59" t="n"/>
      <c r="T354" s="59" t="n"/>
      <c r="U354" s="64" t="str">
        <f>IF(OR(B354="",H354=""),"",IFERROR(IF(A354="BL",IF(N(INDEX(art_price,MATCH(H354,art_ref,0)))=0,"",N(INDEX(art_price,MATCH(H354,art_ref,0)))),IF(N(INDEX(art_cost,MATCH(H354,art_ref,0)))=0,"",N(INDEX(art_cost,MATCH(H354,art_ref,0))))),""))</f>
        <v/>
      </c>
      <c r="V354" s="64" t="str">
        <f>IF(OR(U354="",NOT(ISNUMBER(L354))),"",IF(L354&lt;=0,"",ROUND(L354*U354,2)))</f>
        <v/>
      </c>
      <c r="W354" s="60" t="str">
        <f>IF(AND(B354&lt;&gt;"",A354&lt;&gt;"BS",F354&lt;&gt;"",H354&lt;&gt;"",ISNUMBER(K354),ISNUMBER(L354)),IF(AND(K354&gt;0,L354&gt;0,K354-L354&gt;0,COUNTIFS(A355:A$2005,A354,F355:F$2005,F354,H355:H$2005,H354,AA355:AA$2005,"&gt;0")=0),ROUND(K354-L354,6),""),"")</f>
        <v/>
      </c>
      <c r="X354" s="60" t="str">
        <f>IF(AND(A354="",C354="",D354="",H354="",L354=""),"",IF(A354="","Type manquant",IF(AND(A354&lt;&gt;"BL",A354&lt;&gt;"BR",A354&lt;&gt;"BS"),"Type inconnu (BL, BR ou BS)",IF(AG354=0,"Date manquante ou invalide",IF(D354="",IF(A354="BL","Client manquant",IF(A354="BR","Fournisseur manquant","Service manquant")),IF(IF(A354="BL",ISNA(MATCH(D354,cl_code,0)),IF(A354="BR",ISNA(MATCH(D354,fo_code,0)),ISNA(MATCH(D354,p_services,0)))),IF(A354="BL","Client inconnu",IF(A354="BR","Fournisseur inconnu","Service inconnu")),IF(H354="","Article manquant",IF(ISNA(MATCH(H354,art_ref,0)),"Article inconnu",IF(OR(NOT(ISNUMBER(L354)),N(L354)&lt;=0),"Quantité invalide",IF(AND(K354&lt;&gt;"",OR(NOT(ISNUMBER(K354)),N(K354)&lt;=0)),"Qté commandée invalide",IF(AG354&lt;SUMPRODUCT(MAX((A$6:A353=A354)*AG$6:AG353)),"Date antérieure au bon précédent",IF(AND(A354&lt;&gt;"BR",ISNUMBER(M354),N(M354)&gt;0),IF(A354="BL","Livré plus que commandé","Sorti plus que demandé"),"OK"))))))))))))</f>
        <v/>
      </c>
      <c r="Y354" s="57" t="str">
        <f>IF(AND(OR(A354="BL",A354="BR",A354="BS"),AG354&gt;0,D354&lt;&gt;""),A354&amp;"|"&amp;AG354&amp;"|"&amp;D354&amp;"|"&amp;F354,"")</f>
        <v/>
      </c>
      <c r="Z354" s="57" t="str">
        <f>IF(Y354="","",IF(COUNTIF(Y$6:Y353,Y354)=0,1,0))</f>
        <v/>
      </c>
      <c r="AA354" s="57" t="str">
        <f>IF(Y354="","",IF(Z354=1,COUNTIFS(A$6:A354,A354,Z$6:Z354,1),INDEX(AA$6:AA353,MATCH(Y354,Y$6:Y353,0))))</f>
        <v/>
      </c>
      <c r="AB354" s="57" t="str">
        <f>IF(B354="","",COUNTIF(B$6:B354,B354))</f>
        <v/>
      </c>
      <c r="AC354" s="57" t="str">
        <f>IF(B354="","",B354&amp;"#"&amp;AB354)</f>
        <v/>
      </c>
      <c r="AD354" s="57" t="str">
        <f>IF(Z354=1,A354&amp;AA354,"")</f>
        <v/>
      </c>
      <c r="AE354" s="57" t="str">
        <f>IF(B354="","",YEAR(C354))</f>
        <v/>
      </c>
      <c r="AF354" s="57" t="str">
        <f>IF(B354="","",MONTH(C354))</f>
        <v/>
      </c>
      <c r="AG354" s="57">
        <f>IF(ISNUMBER(C354),C354,0)</f>
        <v>0.0</v>
      </c>
      <c r="AH354" s="57" t="str">
        <f>IF(N(W354)&gt;0,COUNTIF(W$6:W354,"&gt;0"),"")</f>
        <v/>
      </c>
      <c r="AI354" s="57" t="str">
        <f>IF(Z354=1,COUNTIF(Z$6:Z354,1),"")</f>
        <v/>
      </c>
    </row>
    <row r="355">
      <c r="A355" s="54" t="n"/>
      <c r="B355" s="55" t="str">
        <f>IF(AA355="","",A355&amp;"-"&amp;RIGHT("000"&amp;AA355,4))</f>
        <v/>
      </c>
      <c r="C355" s="56" t="n"/>
      <c r="D355" s="54" t="n"/>
      <c r="E355" s="57" t="str">
        <f>IF(D355="","",IF(A355="BL",IFERROR(INDEX(cl_name,MATCH(D355,cl_code,0))&amp;"","Client inconnu"),IF(A355="BR",IFERROR(INDEX(fo_name,MATCH(D355,fo_code,0))&amp;"","Fournisseur inconnu"),IF(A355="BS",IF(ISNA(MATCH(D355,p_services,0)),"Service inconnu",D355&amp;""),""))))</f>
        <v/>
      </c>
      <c r="F355" s="58" t="n"/>
      <c r="G355" s="58" t="n"/>
      <c r="H355" s="59" t="n"/>
      <c r="I355" s="57" t="str">
        <f>IF(H355="","",IFERROR(INDEX(art_des,MATCH(H355,art_ref,0))&amp;"","Article inconnu"))</f>
        <v/>
      </c>
      <c r="J355" s="60" t="str">
        <f>IF(H355="","",IFERROR(INDEX(art_unit,MATCH(H355,art_ref,0))&amp;"",""))</f>
        <v/>
      </c>
      <c r="K355" s="59" t="n"/>
      <c r="L355" s="59" t="n"/>
      <c r="M355" s="61" t="str">
        <f>IF(OR(B355="",NOT(ISNUMBER(K355)),NOT(ISNUMBER(L355))),"",IF(OR(K355&lt;=0,L355&lt;=0),"",ROUND(L355-K355,6)))</f>
        <v/>
      </c>
      <c r="N355" s="58" t="n"/>
      <c r="O355" s="62" t="n"/>
      <c r="P355" s="63" t="str">
        <f>IF(OR(B355="",NOT(ISNUMBER(L355))),"",IF(L355&lt;=0,"",IFERROR(ROUND(L355*N(INDEX(art_w,MATCH(H355,art_ref,0))),3),"")))</f>
        <v/>
      </c>
      <c r="Q355" s="59" t="n"/>
      <c r="R355" s="54" t="n"/>
      <c r="S355" s="59" t="n"/>
      <c r="T355" s="59" t="n"/>
      <c r="U355" s="64" t="str">
        <f>IF(OR(B355="",H355=""),"",IFERROR(IF(A355="BL",IF(N(INDEX(art_price,MATCH(H355,art_ref,0)))=0,"",N(INDEX(art_price,MATCH(H355,art_ref,0)))),IF(N(INDEX(art_cost,MATCH(H355,art_ref,0)))=0,"",N(INDEX(art_cost,MATCH(H355,art_ref,0))))),""))</f>
        <v/>
      </c>
      <c r="V355" s="64" t="str">
        <f>IF(OR(U355="",NOT(ISNUMBER(L355))),"",IF(L355&lt;=0,"",ROUND(L355*U355,2)))</f>
        <v/>
      </c>
      <c r="W355" s="60" t="str">
        <f>IF(AND(B355&lt;&gt;"",A355&lt;&gt;"BS",F355&lt;&gt;"",H355&lt;&gt;"",ISNUMBER(K355),ISNUMBER(L355)),IF(AND(K355&gt;0,L355&gt;0,K355-L355&gt;0,COUNTIFS(A356:A$2005,A355,F356:F$2005,F355,H356:H$2005,H355,AA356:AA$2005,"&gt;0")=0),ROUND(K355-L355,6),""),"")</f>
        <v/>
      </c>
      <c r="X355" s="60" t="str">
        <f>IF(AND(A355="",C355="",D355="",H355="",L355=""),"",IF(A355="","Type manquant",IF(AND(A355&lt;&gt;"BL",A355&lt;&gt;"BR",A355&lt;&gt;"BS"),"Type inconnu (BL, BR ou BS)",IF(AG355=0,"Date manquante ou invalide",IF(D355="",IF(A355="BL","Client manquant",IF(A355="BR","Fournisseur manquant","Service manquant")),IF(IF(A355="BL",ISNA(MATCH(D355,cl_code,0)),IF(A355="BR",ISNA(MATCH(D355,fo_code,0)),ISNA(MATCH(D355,p_services,0)))),IF(A355="BL","Client inconnu",IF(A355="BR","Fournisseur inconnu","Service inconnu")),IF(H355="","Article manquant",IF(ISNA(MATCH(H355,art_ref,0)),"Article inconnu",IF(OR(NOT(ISNUMBER(L355)),N(L355)&lt;=0),"Quantité invalide",IF(AND(K355&lt;&gt;"",OR(NOT(ISNUMBER(K355)),N(K355)&lt;=0)),"Qté commandée invalide",IF(AG355&lt;SUMPRODUCT(MAX((A$6:A354=A355)*AG$6:AG354)),"Date antérieure au bon précédent",IF(AND(A355&lt;&gt;"BR",ISNUMBER(M355),N(M355)&gt;0),IF(A355="BL","Livré plus que commandé","Sorti plus que demandé"),"OK"))))))))))))</f>
        <v/>
      </c>
      <c r="Y355" s="57" t="str">
        <f>IF(AND(OR(A355="BL",A355="BR",A355="BS"),AG355&gt;0,D355&lt;&gt;""),A355&amp;"|"&amp;AG355&amp;"|"&amp;D355&amp;"|"&amp;F355,"")</f>
        <v/>
      </c>
      <c r="Z355" s="57" t="str">
        <f>IF(Y355="","",IF(COUNTIF(Y$6:Y354,Y355)=0,1,0))</f>
        <v/>
      </c>
      <c r="AA355" s="57" t="str">
        <f>IF(Y355="","",IF(Z355=1,COUNTIFS(A$6:A355,A355,Z$6:Z355,1),INDEX(AA$6:AA354,MATCH(Y355,Y$6:Y354,0))))</f>
        <v/>
      </c>
      <c r="AB355" s="57" t="str">
        <f>IF(B355="","",COUNTIF(B$6:B355,B355))</f>
        <v/>
      </c>
      <c r="AC355" s="57" t="str">
        <f>IF(B355="","",B355&amp;"#"&amp;AB355)</f>
        <v/>
      </c>
      <c r="AD355" s="57" t="str">
        <f>IF(Z355=1,A355&amp;AA355,"")</f>
        <v/>
      </c>
      <c r="AE355" s="57" t="str">
        <f>IF(B355="","",YEAR(C355))</f>
        <v/>
      </c>
      <c r="AF355" s="57" t="str">
        <f>IF(B355="","",MONTH(C355))</f>
        <v/>
      </c>
      <c r="AG355" s="57">
        <f>IF(ISNUMBER(C355),C355,0)</f>
        <v>0.0</v>
      </c>
      <c r="AH355" s="57" t="str">
        <f>IF(N(W355)&gt;0,COUNTIF(W$6:W355,"&gt;0"),"")</f>
        <v/>
      </c>
      <c r="AI355" s="57" t="str">
        <f>IF(Z355=1,COUNTIF(Z$6:Z355,1),"")</f>
        <v/>
      </c>
    </row>
    <row r="356">
      <c r="A356" s="54" t="n"/>
      <c r="B356" s="55" t="str">
        <f>IF(AA356="","",A356&amp;"-"&amp;RIGHT("000"&amp;AA356,4))</f>
        <v/>
      </c>
      <c r="C356" s="56" t="n"/>
      <c r="D356" s="54" t="n"/>
      <c r="E356" s="57" t="str">
        <f>IF(D356="","",IF(A356="BL",IFERROR(INDEX(cl_name,MATCH(D356,cl_code,0))&amp;"","Client inconnu"),IF(A356="BR",IFERROR(INDEX(fo_name,MATCH(D356,fo_code,0))&amp;"","Fournisseur inconnu"),IF(A356="BS",IF(ISNA(MATCH(D356,p_services,0)),"Service inconnu",D356&amp;""),""))))</f>
        <v/>
      </c>
      <c r="F356" s="58" t="n"/>
      <c r="G356" s="58" t="n"/>
      <c r="H356" s="59" t="n"/>
      <c r="I356" s="57" t="str">
        <f>IF(H356="","",IFERROR(INDEX(art_des,MATCH(H356,art_ref,0))&amp;"","Article inconnu"))</f>
        <v/>
      </c>
      <c r="J356" s="60" t="str">
        <f>IF(H356="","",IFERROR(INDEX(art_unit,MATCH(H356,art_ref,0))&amp;"",""))</f>
        <v/>
      </c>
      <c r="K356" s="59" t="n"/>
      <c r="L356" s="59" t="n"/>
      <c r="M356" s="61" t="str">
        <f>IF(OR(B356="",NOT(ISNUMBER(K356)),NOT(ISNUMBER(L356))),"",IF(OR(K356&lt;=0,L356&lt;=0),"",ROUND(L356-K356,6)))</f>
        <v/>
      </c>
      <c r="N356" s="58" t="n"/>
      <c r="O356" s="62" t="n"/>
      <c r="P356" s="63" t="str">
        <f>IF(OR(B356="",NOT(ISNUMBER(L356))),"",IF(L356&lt;=0,"",IFERROR(ROUND(L356*N(INDEX(art_w,MATCH(H356,art_ref,0))),3),"")))</f>
        <v/>
      </c>
      <c r="Q356" s="59" t="n"/>
      <c r="R356" s="54" t="n"/>
      <c r="S356" s="59" t="n"/>
      <c r="T356" s="59" t="n"/>
      <c r="U356" s="64" t="str">
        <f>IF(OR(B356="",H356=""),"",IFERROR(IF(A356="BL",IF(N(INDEX(art_price,MATCH(H356,art_ref,0)))=0,"",N(INDEX(art_price,MATCH(H356,art_ref,0)))),IF(N(INDEX(art_cost,MATCH(H356,art_ref,0)))=0,"",N(INDEX(art_cost,MATCH(H356,art_ref,0))))),""))</f>
        <v/>
      </c>
      <c r="V356" s="64" t="str">
        <f>IF(OR(U356="",NOT(ISNUMBER(L356))),"",IF(L356&lt;=0,"",ROUND(L356*U356,2)))</f>
        <v/>
      </c>
      <c r="W356" s="60" t="str">
        <f>IF(AND(B356&lt;&gt;"",A356&lt;&gt;"BS",F356&lt;&gt;"",H356&lt;&gt;"",ISNUMBER(K356),ISNUMBER(L356)),IF(AND(K356&gt;0,L356&gt;0,K356-L356&gt;0,COUNTIFS(A357:A$2005,A356,F357:F$2005,F356,H357:H$2005,H356,AA357:AA$2005,"&gt;0")=0),ROUND(K356-L356,6),""),"")</f>
        <v/>
      </c>
      <c r="X356" s="60" t="str">
        <f>IF(AND(A356="",C356="",D356="",H356="",L356=""),"",IF(A356="","Type manquant",IF(AND(A356&lt;&gt;"BL",A356&lt;&gt;"BR",A356&lt;&gt;"BS"),"Type inconnu (BL, BR ou BS)",IF(AG356=0,"Date manquante ou invalide",IF(D356="",IF(A356="BL","Client manquant",IF(A356="BR","Fournisseur manquant","Service manquant")),IF(IF(A356="BL",ISNA(MATCH(D356,cl_code,0)),IF(A356="BR",ISNA(MATCH(D356,fo_code,0)),ISNA(MATCH(D356,p_services,0)))),IF(A356="BL","Client inconnu",IF(A356="BR","Fournisseur inconnu","Service inconnu")),IF(H356="","Article manquant",IF(ISNA(MATCH(H356,art_ref,0)),"Article inconnu",IF(OR(NOT(ISNUMBER(L356)),N(L356)&lt;=0),"Quantité invalide",IF(AND(K356&lt;&gt;"",OR(NOT(ISNUMBER(K356)),N(K356)&lt;=0)),"Qté commandée invalide",IF(AG356&lt;SUMPRODUCT(MAX((A$6:A355=A356)*AG$6:AG355)),"Date antérieure au bon précédent",IF(AND(A356&lt;&gt;"BR",ISNUMBER(M356),N(M356)&gt;0),IF(A356="BL","Livré plus que commandé","Sorti plus que demandé"),"OK"))))))))))))</f>
        <v/>
      </c>
      <c r="Y356" s="57" t="str">
        <f>IF(AND(OR(A356="BL",A356="BR",A356="BS"),AG356&gt;0,D356&lt;&gt;""),A356&amp;"|"&amp;AG356&amp;"|"&amp;D356&amp;"|"&amp;F356,"")</f>
        <v/>
      </c>
      <c r="Z356" s="57" t="str">
        <f>IF(Y356="","",IF(COUNTIF(Y$6:Y355,Y356)=0,1,0))</f>
        <v/>
      </c>
      <c r="AA356" s="57" t="str">
        <f>IF(Y356="","",IF(Z356=1,COUNTIFS(A$6:A356,A356,Z$6:Z356,1),INDEX(AA$6:AA355,MATCH(Y356,Y$6:Y355,0))))</f>
        <v/>
      </c>
      <c r="AB356" s="57" t="str">
        <f>IF(B356="","",COUNTIF(B$6:B356,B356))</f>
        <v/>
      </c>
      <c r="AC356" s="57" t="str">
        <f>IF(B356="","",B356&amp;"#"&amp;AB356)</f>
        <v/>
      </c>
      <c r="AD356" s="57" t="str">
        <f>IF(Z356=1,A356&amp;AA356,"")</f>
        <v/>
      </c>
      <c r="AE356" s="57" t="str">
        <f>IF(B356="","",YEAR(C356))</f>
        <v/>
      </c>
      <c r="AF356" s="57" t="str">
        <f>IF(B356="","",MONTH(C356))</f>
        <v/>
      </c>
      <c r="AG356" s="57">
        <f>IF(ISNUMBER(C356),C356,0)</f>
        <v>0.0</v>
      </c>
      <c r="AH356" s="57" t="str">
        <f>IF(N(W356)&gt;0,COUNTIF(W$6:W356,"&gt;0"),"")</f>
        <v/>
      </c>
      <c r="AI356" s="57" t="str">
        <f>IF(Z356=1,COUNTIF(Z$6:Z356,1),"")</f>
        <v/>
      </c>
    </row>
    <row r="357">
      <c r="A357" s="54" t="n"/>
      <c r="B357" s="55" t="str">
        <f>IF(AA357="","",A357&amp;"-"&amp;RIGHT("000"&amp;AA357,4))</f>
        <v/>
      </c>
      <c r="C357" s="56" t="n"/>
      <c r="D357" s="54" t="n"/>
      <c r="E357" s="57" t="str">
        <f>IF(D357="","",IF(A357="BL",IFERROR(INDEX(cl_name,MATCH(D357,cl_code,0))&amp;"","Client inconnu"),IF(A357="BR",IFERROR(INDEX(fo_name,MATCH(D357,fo_code,0))&amp;"","Fournisseur inconnu"),IF(A357="BS",IF(ISNA(MATCH(D357,p_services,0)),"Service inconnu",D357&amp;""),""))))</f>
        <v/>
      </c>
      <c r="F357" s="58" t="n"/>
      <c r="G357" s="58" t="n"/>
      <c r="H357" s="59" t="n"/>
      <c r="I357" s="57" t="str">
        <f>IF(H357="","",IFERROR(INDEX(art_des,MATCH(H357,art_ref,0))&amp;"","Article inconnu"))</f>
        <v/>
      </c>
      <c r="J357" s="60" t="str">
        <f>IF(H357="","",IFERROR(INDEX(art_unit,MATCH(H357,art_ref,0))&amp;"",""))</f>
        <v/>
      </c>
      <c r="K357" s="59" t="n"/>
      <c r="L357" s="59" t="n"/>
      <c r="M357" s="61" t="str">
        <f>IF(OR(B357="",NOT(ISNUMBER(K357)),NOT(ISNUMBER(L357))),"",IF(OR(K357&lt;=0,L357&lt;=0),"",ROUND(L357-K357,6)))</f>
        <v/>
      </c>
      <c r="N357" s="58" t="n"/>
      <c r="O357" s="62" t="n"/>
      <c r="P357" s="63" t="str">
        <f>IF(OR(B357="",NOT(ISNUMBER(L357))),"",IF(L357&lt;=0,"",IFERROR(ROUND(L357*N(INDEX(art_w,MATCH(H357,art_ref,0))),3),"")))</f>
        <v/>
      </c>
      <c r="Q357" s="59" t="n"/>
      <c r="R357" s="54" t="n"/>
      <c r="S357" s="59" t="n"/>
      <c r="T357" s="59" t="n"/>
      <c r="U357" s="64" t="str">
        <f>IF(OR(B357="",H357=""),"",IFERROR(IF(A357="BL",IF(N(INDEX(art_price,MATCH(H357,art_ref,0)))=0,"",N(INDEX(art_price,MATCH(H357,art_ref,0)))),IF(N(INDEX(art_cost,MATCH(H357,art_ref,0)))=0,"",N(INDEX(art_cost,MATCH(H357,art_ref,0))))),""))</f>
        <v/>
      </c>
      <c r="V357" s="64" t="str">
        <f>IF(OR(U357="",NOT(ISNUMBER(L357))),"",IF(L357&lt;=0,"",ROUND(L357*U357,2)))</f>
        <v/>
      </c>
      <c r="W357" s="60" t="str">
        <f>IF(AND(B357&lt;&gt;"",A357&lt;&gt;"BS",F357&lt;&gt;"",H357&lt;&gt;"",ISNUMBER(K357),ISNUMBER(L357)),IF(AND(K357&gt;0,L357&gt;0,K357-L357&gt;0,COUNTIFS(A358:A$2005,A357,F358:F$2005,F357,H358:H$2005,H357,AA358:AA$2005,"&gt;0")=0),ROUND(K357-L357,6),""),"")</f>
        <v/>
      </c>
      <c r="X357" s="60" t="str">
        <f>IF(AND(A357="",C357="",D357="",H357="",L357=""),"",IF(A357="","Type manquant",IF(AND(A357&lt;&gt;"BL",A357&lt;&gt;"BR",A357&lt;&gt;"BS"),"Type inconnu (BL, BR ou BS)",IF(AG357=0,"Date manquante ou invalide",IF(D357="",IF(A357="BL","Client manquant",IF(A357="BR","Fournisseur manquant","Service manquant")),IF(IF(A357="BL",ISNA(MATCH(D357,cl_code,0)),IF(A357="BR",ISNA(MATCH(D357,fo_code,0)),ISNA(MATCH(D357,p_services,0)))),IF(A357="BL","Client inconnu",IF(A357="BR","Fournisseur inconnu","Service inconnu")),IF(H357="","Article manquant",IF(ISNA(MATCH(H357,art_ref,0)),"Article inconnu",IF(OR(NOT(ISNUMBER(L357)),N(L357)&lt;=0),"Quantité invalide",IF(AND(K357&lt;&gt;"",OR(NOT(ISNUMBER(K357)),N(K357)&lt;=0)),"Qté commandée invalide",IF(AG357&lt;SUMPRODUCT(MAX((A$6:A356=A357)*AG$6:AG356)),"Date antérieure au bon précédent",IF(AND(A357&lt;&gt;"BR",ISNUMBER(M357),N(M357)&gt;0),IF(A357="BL","Livré plus que commandé","Sorti plus que demandé"),"OK"))))))))))))</f>
        <v/>
      </c>
      <c r="Y357" s="57" t="str">
        <f>IF(AND(OR(A357="BL",A357="BR",A357="BS"),AG357&gt;0,D357&lt;&gt;""),A357&amp;"|"&amp;AG357&amp;"|"&amp;D357&amp;"|"&amp;F357,"")</f>
        <v/>
      </c>
      <c r="Z357" s="57" t="str">
        <f>IF(Y357="","",IF(COUNTIF(Y$6:Y356,Y357)=0,1,0))</f>
        <v/>
      </c>
      <c r="AA357" s="57" t="str">
        <f>IF(Y357="","",IF(Z357=1,COUNTIFS(A$6:A357,A357,Z$6:Z357,1),INDEX(AA$6:AA356,MATCH(Y357,Y$6:Y356,0))))</f>
        <v/>
      </c>
      <c r="AB357" s="57" t="str">
        <f>IF(B357="","",COUNTIF(B$6:B357,B357))</f>
        <v/>
      </c>
      <c r="AC357" s="57" t="str">
        <f>IF(B357="","",B357&amp;"#"&amp;AB357)</f>
        <v/>
      </c>
      <c r="AD357" s="57" t="str">
        <f>IF(Z357=1,A357&amp;AA357,"")</f>
        <v/>
      </c>
      <c r="AE357" s="57" t="str">
        <f>IF(B357="","",YEAR(C357))</f>
        <v/>
      </c>
      <c r="AF357" s="57" t="str">
        <f>IF(B357="","",MONTH(C357))</f>
        <v/>
      </c>
      <c r="AG357" s="57">
        <f>IF(ISNUMBER(C357),C357,0)</f>
        <v>0.0</v>
      </c>
      <c r="AH357" s="57" t="str">
        <f>IF(N(W357)&gt;0,COUNTIF(W$6:W357,"&gt;0"),"")</f>
        <v/>
      </c>
      <c r="AI357" s="57" t="str">
        <f>IF(Z357=1,COUNTIF(Z$6:Z357,1),"")</f>
        <v/>
      </c>
    </row>
    <row r="358">
      <c r="A358" s="54" t="n"/>
      <c r="B358" s="55" t="str">
        <f>IF(AA358="","",A358&amp;"-"&amp;RIGHT("000"&amp;AA358,4))</f>
        <v/>
      </c>
      <c r="C358" s="56" t="n"/>
      <c r="D358" s="54" t="n"/>
      <c r="E358" s="57" t="str">
        <f>IF(D358="","",IF(A358="BL",IFERROR(INDEX(cl_name,MATCH(D358,cl_code,0))&amp;"","Client inconnu"),IF(A358="BR",IFERROR(INDEX(fo_name,MATCH(D358,fo_code,0))&amp;"","Fournisseur inconnu"),IF(A358="BS",IF(ISNA(MATCH(D358,p_services,0)),"Service inconnu",D358&amp;""),""))))</f>
        <v/>
      </c>
      <c r="F358" s="58" t="n"/>
      <c r="G358" s="58" t="n"/>
      <c r="H358" s="59" t="n"/>
      <c r="I358" s="57" t="str">
        <f>IF(H358="","",IFERROR(INDEX(art_des,MATCH(H358,art_ref,0))&amp;"","Article inconnu"))</f>
        <v/>
      </c>
      <c r="J358" s="60" t="str">
        <f>IF(H358="","",IFERROR(INDEX(art_unit,MATCH(H358,art_ref,0))&amp;"",""))</f>
        <v/>
      </c>
      <c r="K358" s="59" t="n"/>
      <c r="L358" s="59" t="n"/>
      <c r="M358" s="61" t="str">
        <f>IF(OR(B358="",NOT(ISNUMBER(K358)),NOT(ISNUMBER(L358))),"",IF(OR(K358&lt;=0,L358&lt;=0),"",ROUND(L358-K358,6)))</f>
        <v/>
      </c>
      <c r="N358" s="58" t="n"/>
      <c r="O358" s="62" t="n"/>
      <c r="P358" s="63" t="str">
        <f>IF(OR(B358="",NOT(ISNUMBER(L358))),"",IF(L358&lt;=0,"",IFERROR(ROUND(L358*N(INDEX(art_w,MATCH(H358,art_ref,0))),3),"")))</f>
        <v/>
      </c>
      <c r="Q358" s="59" t="n"/>
      <c r="R358" s="54" t="n"/>
      <c r="S358" s="59" t="n"/>
      <c r="T358" s="59" t="n"/>
      <c r="U358" s="64" t="str">
        <f>IF(OR(B358="",H358=""),"",IFERROR(IF(A358="BL",IF(N(INDEX(art_price,MATCH(H358,art_ref,0)))=0,"",N(INDEX(art_price,MATCH(H358,art_ref,0)))),IF(N(INDEX(art_cost,MATCH(H358,art_ref,0)))=0,"",N(INDEX(art_cost,MATCH(H358,art_ref,0))))),""))</f>
        <v/>
      </c>
      <c r="V358" s="64" t="str">
        <f>IF(OR(U358="",NOT(ISNUMBER(L358))),"",IF(L358&lt;=0,"",ROUND(L358*U358,2)))</f>
        <v/>
      </c>
      <c r="W358" s="60" t="str">
        <f>IF(AND(B358&lt;&gt;"",A358&lt;&gt;"BS",F358&lt;&gt;"",H358&lt;&gt;"",ISNUMBER(K358),ISNUMBER(L358)),IF(AND(K358&gt;0,L358&gt;0,K358-L358&gt;0,COUNTIFS(A359:A$2005,A358,F359:F$2005,F358,H359:H$2005,H358,AA359:AA$2005,"&gt;0")=0),ROUND(K358-L358,6),""),"")</f>
        <v/>
      </c>
      <c r="X358" s="60" t="str">
        <f>IF(AND(A358="",C358="",D358="",H358="",L358=""),"",IF(A358="","Type manquant",IF(AND(A358&lt;&gt;"BL",A358&lt;&gt;"BR",A358&lt;&gt;"BS"),"Type inconnu (BL, BR ou BS)",IF(AG358=0,"Date manquante ou invalide",IF(D358="",IF(A358="BL","Client manquant",IF(A358="BR","Fournisseur manquant","Service manquant")),IF(IF(A358="BL",ISNA(MATCH(D358,cl_code,0)),IF(A358="BR",ISNA(MATCH(D358,fo_code,0)),ISNA(MATCH(D358,p_services,0)))),IF(A358="BL","Client inconnu",IF(A358="BR","Fournisseur inconnu","Service inconnu")),IF(H358="","Article manquant",IF(ISNA(MATCH(H358,art_ref,0)),"Article inconnu",IF(OR(NOT(ISNUMBER(L358)),N(L358)&lt;=0),"Quantité invalide",IF(AND(K358&lt;&gt;"",OR(NOT(ISNUMBER(K358)),N(K358)&lt;=0)),"Qté commandée invalide",IF(AG358&lt;SUMPRODUCT(MAX((A$6:A357=A358)*AG$6:AG357)),"Date antérieure au bon précédent",IF(AND(A358&lt;&gt;"BR",ISNUMBER(M358),N(M358)&gt;0),IF(A358="BL","Livré plus que commandé","Sorti plus que demandé"),"OK"))))))))))))</f>
        <v/>
      </c>
      <c r="Y358" s="57" t="str">
        <f>IF(AND(OR(A358="BL",A358="BR",A358="BS"),AG358&gt;0,D358&lt;&gt;""),A358&amp;"|"&amp;AG358&amp;"|"&amp;D358&amp;"|"&amp;F358,"")</f>
        <v/>
      </c>
      <c r="Z358" s="57" t="str">
        <f>IF(Y358="","",IF(COUNTIF(Y$6:Y357,Y358)=0,1,0))</f>
        <v/>
      </c>
      <c r="AA358" s="57" t="str">
        <f>IF(Y358="","",IF(Z358=1,COUNTIFS(A$6:A358,A358,Z$6:Z358,1),INDEX(AA$6:AA357,MATCH(Y358,Y$6:Y357,0))))</f>
        <v/>
      </c>
      <c r="AB358" s="57" t="str">
        <f>IF(B358="","",COUNTIF(B$6:B358,B358))</f>
        <v/>
      </c>
      <c r="AC358" s="57" t="str">
        <f>IF(B358="","",B358&amp;"#"&amp;AB358)</f>
        <v/>
      </c>
      <c r="AD358" s="57" t="str">
        <f>IF(Z358=1,A358&amp;AA358,"")</f>
        <v/>
      </c>
      <c r="AE358" s="57" t="str">
        <f>IF(B358="","",YEAR(C358))</f>
        <v/>
      </c>
      <c r="AF358" s="57" t="str">
        <f>IF(B358="","",MONTH(C358))</f>
        <v/>
      </c>
      <c r="AG358" s="57">
        <f>IF(ISNUMBER(C358),C358,0)</f>
        <v>0.0</v>
      </c>
      <c r="AH358" s="57" t="str">
        <f>IF(N(W358)&gt;0,COUNTIF(W$6:W358,"&gt;0"),"")</f>
        <v/>
      </c>
      <c r="AI358" s="57" t="str">
        <f>IF(Z358=1,COUNTIF(Z$6:Z358,1),"")</f>
        <v/>
      </c>
    </row>
    <row r="359">
      <c r="A359" s="54" t="n"/>
      <c r="B359" s="55" t="str">
        <f>IF(AA359="","",A359&amp;"-"&amp;RIGHT("000"&amp;AA359,4))</f>
        <v/>
      </c>
      <c r="C359" s="56" t="n"/>
      <c r="D359" s="54" t="n"/>
      <c r="E359" s="57" t="str">
        <f>IF(D359="","",IF(A359="BL",IFERROR(INDEX(cl_name,MATCH(D359,cl_code,0))&amp;"","Client inconnu"),IF(A359="BR",IFERROR(INDEX(fo_name,MATCH(D359,fo_code,0))&amp;"","Fournisseur inconnu"),IF(A359="BS",IF(ISNA(MATCH(D359,p_services,0)),"Service inconnu",D359&amp;""),""))))</f>
        <v/>
      </c>
      <c r="F359" s="58" t="n"/>
      <c r="G359" s="58" t="n"/>
      <c r="H359" s="59" t="n"/>
      <c r="I359" s="57" t="str">
        <f>IF(H359="","",IFERROR(INDEX(art_des,MATCH(H359,art_ref,0))&amp;"","Article inconnu"))</f>
        <v/>
      </c>
      <c r="J359" s="60" t="str">
        <f>IF(H359="","",IFERROR(INDEX(art_unit,MATCH(H359,art_ref,0))&amp;"",""))</f>
        <v/>
      </c>
      <c r="K359" s="59" t="n"/>
      <c r="L359" s="59" t="n"/>
      <c r="M359" s="61" t="str">
        <f>IF(OR(B359="",NOT(ISNUMBER(K359)),NOT(ISNUMBER(L359))),"",IF(OR(K359&lt;=0,L359&lt;=0),"",ROUND(L359-K359,6)))</f>
        <v/>
      </c>
      <c r="N359" s="58" t="n"/>
      <c r="O359" s="62" t="n"/>
      <c r="P359" s="63" t="str">
        <f>IF(OR(B359="",NOT(ISNUMBER(L359))),"",IF(L359&lt;=0,"",IFERROR(ROUND(L359*N(INDEX(art_w,MATCH(H359,art_ref,0))),3),"")))</f>
        <v/>
      </c>
      <c r="Q359" s="59" t="n"/>
      <c r="R359" s="54" t="n"/>
      <c r="S359" s="59" t="n"/>
      <c r="T359" s="59" t="n"/>
      <c r="U359" s="64" t="str">
        <f>IF(OR(B359="",H359=""),"",IFERROR(IF(A359="BL",IF(N(INDEX(art_price,MATCH(H359,art_ref,0)))=0,"",N(INDEX(art_price,MATCH(H359,art_ref,0)))),IF(N(INDEX(art_cost,MATCH(H359,art_ref,0)))=0,"",N(INDEX(art_cost,MATCH(H359,art_ref,0))))),""))</f>
        <v/>
      </c>
      <c r="V359" s="64" t="str">
        <f>IF(OR(U359="",NOT(ISNUMBER(L359))),"",IF(L359&lt;=0,"",ROUND(L359*U359,2)))</f>
        <v/>
      </c>
      <c r="W359" s="60" t="str">
        <f>IF(AND(B359&lt;&gt;"",A359&lt;&gt;"BS",F359&lt;&gt;"",H359&lt;&gt;"",ISNUMBER(K359),ISNUMBER(L359)),IF(AND(K359&gt;0,L359&gt;0,K359-L359&gt;0,COUNTIFS(A360:A$2005,A359,F360:F$2005,F359,H360:H$2005,H359,AA360:AA$2005,"&gt;0")=0),ROUND(K359-L359,6),""),"")</f>
        <v/>
      </c>
      <c r="X359" s="60" t="str">
        <f>IF(AND(A359="",C359="",D359="",H359="",L359=""),"",IF(A359="","Type manquant",IF(AND(A359&lt;&gt;"BL",A359&lt;&gt;"BR",A359&lt;&gt;"BS"),"Type inconnu (BL, BR ou BS)",IF(AG359=0,"Date manquante ou invalide",IF(D359="",IF(A359="BL","Client manquant",IF(A359="BR","Fournisseur manquant","Service manquant")),IF(IF(A359="BL",ISNA(MATCH(D359,cl_code,0)),IF(A359="BR",ISNA(MATCH(D359,fo_code,0)),ISNA(MATCH(D359,p_services,0)))),IF(A359="BL","Client inconnu",IF(A359="BR","Fournisseur inconnu","Service inconnu")),IF(H359="","Article manquant",IF(ISNA(MATCH(H359,art_ref,0)),"Article inconnu",IF(OR(NOT(ISNUMBER(L359)),N(L359)&lt;=0),"Quantité invalide",IF(AND(K359&lt;&gt;"",OR(NOT(ISNUMBER(K359)),N(K359)&lt;=0)),"Qté commandée invalide",IF(AG359&lt;SUMPRODUCT(MAX((A$6:A358=A359)*AG$6:AG358)),"Date antérieure au bon précédent",IF(AND(A359&lt;&gt;"BR",ISNUMBER(M359),N(M359)&gt;0),IF(A359="BL","Livré plus que commandé","Sorti plus que demandé"),"OK"))))))))))))</f>
        <v/>
      </c>
      <c r="Y359" s="57" t="str">
        <f>IF(AND(OR(A359="BL",A359="BR",A359="BS"),AG359&gt;0,D359&lt;&gt;""),A359&amp;"|"&amp;AG359&amp;"|"&amp;D359&amp;"|"&amp;F359,"")</f>
        <v/>
      </c>
      <c r="Z359" s="57" t="str">
        <f>IF(Y359="","",IF(COUNTIF(Y$6:Y358,Y359)=0,1,0))</f>
        <v/>
      </c>
      <c r="AA359" s="57" t="str">
        <f>IF(Y359="","",IF(Z359=1,COUNTIFS(A$6:A359,A359,Z$6:Z359,1),INDEX(AA$6:AA358,MATCH(Y359,Y$6:Y358,0))))</f>
        <v/>
      </c>
      <c r="AB359" s="57" t="str">
        <f>IF(B359="","",COUNTIF(B$6:B359,B359))</f>
        <v/>
      </c>
      <c r="AC359" s="57" t="str">
        <f>IF(B359="","",B359&amp;"#"&amp;AB359)</f>
        <v/>
      </c>
      <c r="AD359" s="57" t="str">
        <f>IF(Z359=1,A359&amp;AA359,"")</f>
        <v/>
      </c>
      <c r="AE359" s="57" t="str">
        <f>IF(B359="","",YEAR(C359))</f>
        <v/>
      </c>
      <c r="AF359" s="57" t="str">
        <f>IF(B359="","",MONTH(C359))</f>
        <v/>
      </c>
      <c r="AG359" s="57">
        <f>IF(ISNUMBER(C359),C359,0)</f>
        <v>0.0</v>
      </c>
      <c r="AH359" s="57" t="str">
        <f>IF(N(W359)&gt;0,COUNTIF(W$6:W359,"&gt;0"),"")</f>
        <v/>
      </c>
      <c r="AI359" s="57" t="str">
        <f>IF(Z359=1,COUNTIF(Z$6:Z359,1),"")</f>
        <v/>
      </c>
    </row>
    <row r="360">
      <c r="A360" s="54" t="n"/>
      <c r="B360" s="55" t="str">
        <f>IF(AA360="","",A360&amp;"-"&amp;RIGHT("000"&amp;AA360,4))</f>
        <v/>
      </c>
      <c r="C360" s="56" t="n"/>
      <c r="D360" s="54" t="n"/>
      <c r="E360" s="57" t="str">
        <f>IF(D360="","",IF(A360="BL",IFERROR(INDEX(cl_name,MATCH(D360,cl_code,0))&amp;"","Client inconnu"),IF(A360="BR",IFERROR(INDEX(fo_name,MATCH(D360,fo_code,0))&amp;"","Fournisseur inconnu"),IF(A360="BS",IF(ISNA(MATCH(D360,p_services,0)),"Service inconnu",D360&amp;""),""))))</f>
        <v/>
      </c>
      <c r="F360" s="58" t="n"/>
      <c r="G360" s="58" t="n"/>
      <c r="H360" s="59" t="n"/>
      <c r="I360" s="57" t="str">
        <f>IF(H360="","",IFERROR(INDEX(art_des,MATCH(H360,art_ref,0))&amp;"","Article inconnu"))</f>
        <v/>
      </c>
      <c r="J360" s="60" t="str">
        <f>IF(H360="","",IFERROR(INDEX(art_unit,MATCH(H360,art_ref,0))&amp;"",""))</f>
        <v/>
      </c>
      <c r="K360" s="59" t="n"/>
      <c r="L360" s="59" t="n"/>
      <c r="M360" s="61" t="str">
        <f>IF(OR(B360="",NOT(ISNUMBER(K360)),NOT(ISNUMBER(L360))),"",IF(OR(K360&lt;=0,L360&lt;=0),"",ROUND(L360-K360,6)))</f>
        <v/>
      </c>
      <c r="N360" s="58" t="n"/>
      <c r="O360" s="62" t="n"/>
      <c r="P360" s="63" t="str">
        <f>IF(OR(B360="",NOT(ISNUMBER(L360))),"",IF(L360&lt;=0,"",IFERROR(ROUND(L360*N(INDEX(art_w,MATCH(H360,art_ref,0))),3),"")))</f>
        <v/>
      </c>
      <c r="Q360" s="59" t="n"/>
      <c r="R360" s="54" t="n"/>
      <c r="S360" s="59" t="n"/>
      <c r="T360" s="59" t="n"/>
      <c r="U360" s="64" t="str">
        <f>IF(OR(B360="",H360=""),"",IFERROR(IF(A360="BL",IF(N(INDEX(art_price,MATCH(H360,art_ref,0)))=0,"",N(INDEX(art_price,MATCH(H360,art_ref,0)))),IF(N(INDEX(art_cost,MATCH(H360,art_ref,0)))=0,"",N(INDEX(art_cost,MATCH(H360,art_ref,0))))),""))</f>
        <v/>
      </c>
      <c r="V360" s="64" t="str">
        <f>IF(OR(U360="",NOT(ISNUMBER(L360))),"",IF(L360&lt;=0,"",ROUND(L360*U360,2)))</f>
        <v/>
      </c>
      <c r="W360" s="60" t="str">
        <f>IF(AND(B360&lt;&gt;"",A360&lt;&gt;"BS",F360&lt;&gt;"",H360&lt;&gt;"",ISNUMBER(K360),ISNUMBER(L360)),IF(AND(K360&gt;0,L360&gt;0,K360-L360&gt;0,COUNTIFS(A361:A$2005,A360,F361:F$2005,F360,H361:H$2005,H360,AA361:AA$2005,"&gt;0")=0),ROUND(K360-L360,6),""),"")</f>
        <v/>
      </c>
      <c r="X360" s="60" t="str">
        <f>IF(AND(A360="",C360="",D360="",H360="",L360=""),"",IF(A360="","Type manquant",IF(AND(A360&lt;&gt;"BL",A360&lt;&gt;"BR",A360&lt;&gt;"BS"),"Type inconnu (BL, BR ou BS)",IF(AG360=0,"Date manquante ou invalide",IF(D360="",IF(A360="BL","Client manquant",IF(A360="BR","Fournisseur manquant","Service manquant")),IF(IF(A360="BL",ISNA(MATCH(D360,cl_code,0)),IF(A360="BR",ISNA(MATCH(D360,fo_code,0)),ISNA(MATCH(D360,p_services,0)))),IF(A360="BL","Client inconnu",IF(A360="BR","Fournisseur inconnu","Service inconnu")),IF(H360="","Article manquant",IF(ISNA(MATCH(H360,art_ref,0)),"Article inconnu",IF(OR(NOT(ISNUMBER(L360)),N(L360)&lt;=0),"Quantité invalide",IF(AND(K360&lt;&gt;"",OR(NOT(ISNUMBER(K360)),N(K360)&lt;=0)),"Qté commandée invalide",IF(AG360&lt;SUMPRODUCT(MAX((A$6:A359=A360)*AG$6:AG359)),"Date antérieure au bon précédent",IF(AND(A360&lt;&gt;"BR",ISNUMBER(M360),N(M360)&gt;0),IF(A360="BL","Livré plus que commandé","Sorti plus que demandé"),"OK"))))))))))))</f>
        <v/>
      </c>
      <c r="Y360" s="57" t="str">
        <f>IF(AND(OR(A360="BL",A360="BR",A360="BS"),AG360&gt;0,D360&lt;&gt;""),A360&amp;"|"&amp;AG360&amp;"|"&amp;D360&amp;"|"&amp;F360,"")</f>
        <v/>
      </c>
      <c r="Z360" s="57" t="str">
        <f>IF(Y360="","",IF(COUNTIF(Y$6:Y359,Y360)=0,1,0))</f>
        <v/>
      </c>
      <c r="AA360" s="57" t="str">
        <f>IF(Y360="","",IF(Z360=1,COUNTIFS(A$6:A360,A360,Z$6:Z360,1),INDEX(AA$6:AA359,MATCH(Y360,Y$6:Y359,0))))</f>
        <v/>
      </c>
      <c r="AB360" s="57" t="str">
        <f>IF(B360="","",COUNTIF(B$6:B360,B360))</f>
        <v/>
      </c>
      <c r="AC360" s="57" t="str">
        <f>IF(B360="","",B360&amp;"#"&amp;AB360)</f>
        <v/>
      </c>
      <c r="AD360" s="57" t="str">
        <f>IF(Z360=1,A360&amp;AA360,"")</f>
        <v/>
      </c>
      <c r="AE360" s="57" t="str">
        <f>IF(B360="","",YEAR(C360))</f>
        <v/>
      </c>
      <c r="AF360" s="57" t="str">
        <f>IF(B360="","",MONTH(C360))</f>
        <v/>
      </c>
      <c r="AG360" s="57">
        <f>IF(ISNUMBER(C360),C360,0)</f>
        <v>0.0</v>
      </c>
      <c r="AH360" s="57" t="str">
        <f>IF(N(W360)&gt;0,COUNTIF(W$6:W360,"&gt;0"),"")</f>
        <v/>
      </c>
      <c r="AI360" s="57" t="str">
        <f>IF(Z360=1,COUNTIF(Z$6:Z360,1),"")</f>
        <v/>
      </c>
    </row>
    <row r="361">
      <c r="A361" s="54" t="n"/>
      <c r="B361" s="55" t="str">
        <f>IF(AA361="","",A361&amp;"-"&amp;RIGHT("000"&amp;AA361,4))</f>
        <v/>
      </c>
      <c r="C361" s="56" t="n"/>
      <c r="D361" s="54" t="n"/>
      <c r="E361" s="57" t="str">
        <f>IF(D361="","",IF(A361="BL",IFERROR(INDEX(cl_name,MATCH(D361,cl_code,0))&amp;"","Client inconnu"),IF(A361="BR",IFERROR(INDEX(fo_name,MATCH(D361,fo_code,0))&amp;"","Fournisseur inconnu"),IF(A361="BS",IF(ISNA(MATCH(D361,p_services,0)),"Service inconnu",D361&amp;""),""))))</f>
        <v/>
      </c>
      <c r="F361" s="58" t="n"/>
      <c r="G361" s="58" t="n"/>
      <c r="H361" s="59" t="n"/>
      <c r="I361" s="57" t="str">
        <f>IF(H361="","",IFERROR(INDEX(art_des,MATCH(H361,art_ref,0))&amp;"","Article inconnu"))</f>
        <v/>
      </c>
      <c r="J361" s="60" t="str">
        <f>IF(H361="","",IFERROR(INDEX(art_unit,MATCH(H361,art_ref,0))&amp;"",""))</f>
        <v/>
      </c>
      <c r="K361" s="59" t="n"/>
      <c r="L361" s="59" t="n"/>
      <c r="M361" s="61" t="str">
        <f>IF(OR(B361="",NOT(ISNUMBER(K361)),NOT(ISNUMBER(L361))),"",IF(OR(K361&lt;=0,L361&lt;=0),"",ROUND(L361-K361,6)))</f>
        <v/>
      </c>
      <c r="N361" s="58" t="n"/>
      <c r="O361" s="62" t="n"/>
      <c r="P361" s="63" t="str">
        <f>IF(OR(B361="",NOT(ISNUMBER(L361))),"",IF(L361&lt;=0,"",IFERROR(ROUND(L361*N(INDEX(art_w,MATCH(H361,art_ref,0))),3),"")))</f>
        <v/>
      </c>
      <c r="Q361" s="59" t="n"/>
      <c r="R361" s="54" t="n"/>
      <c r="S361" s="59" t="n"/>
      <c r="T361" s="59" t="n"/>
      <c r="U361" s="64" t="str">
        <f>IF(OR(B361="",H361=""),"",IFERROR(IF(A361="BL",IF(N(INDEX(art_price,MATCH(H361,art_ref,0)))=0,"",N(INDEX(art_price,MATCH(H361,art_ref,0)))),IF(N(INDEX(art_cost,MATCH(H361,art_ref,0)))=0,"",N(INDEX(art_cost,MATCH(H361,art_ref,0))))),""))</f>
        <v/>
      </c>
      <c r="V361" s="64" t="str">
        <f>IF(OR(U361="",NOT(ISNUMBER(L361))),"",IF(L361&lt;=0,"",ROUND(L361*U361,2)))</f>
        <v/>
      </c>
      <c r="W361" s="60" t="str">
        <f>IF(AND(B361&lt;&gt;"",A361&lt;&gt;"BS",F361&lt;&gt;"",H361&lt;&gt;"",ISNUMBER(K361),ISNUMBER(L361)),IF(AND(K361&gt;0,L361&gt;0,K361-L361&gt;0,COUNTIFS(A362:A$2005,A361,F362:F$2005,F361,H362:H$2005,H361,AA362:AA$2005,"&gt;0")=0),ROUND(K361-L361,6),""),"")</f>
        <v/>
      </c>
      <c r="X361" s="60" t="str">
        <f>IF(AND(A361="",C361="",D361="",H361="",L361=""),"",IF(A361="","Type manquant",IF(AND(A361&lt;&gt;"BL",A361&lt;&gt;"BR",A361&lt;&gt;"BS"),"Type inconnu (BL, BR ou BS)",IF(AG361=0,"Date manquante ou invalide",IF(D361="",IF(A361="BL","Client manquant",IF(A361="BR","Fournisseur manquant","Service manquant")),IF(IF(A361="BL",ISNA(MATCH(D361,cl_code,0)),IF(A361="BR",ISNA(MATCH(D361,fo_code,0)),ISNA(MATCH(D361,p_services,0)))),IF(A361="BL","Client inconnu",IF(A361="BR","Fournisseur inconnu","Service inconnu")),IF(H361="","Article manquant",IF(ISNA(MATCH(H361,art_ref,0)),"Article inconnu",IF(OR(NOT(ISNUMBER(L361)),N(L361)&lt;=0),"Quantité invalide",IF(AND(K361&lt;&gt;"",OR(NOT(ISNUMBER(K361)),N(K361)&lt;=0)),"Qté commandée invalide",IF(AG361&lt;SUMPRODUCT(MAX((A$6:A360=A361)*AG$6:AG360)),"Date antérieure au bon précédent",IF(AND(A361&lt;&gt;"BR",ISNUMBER(M361),N(M361)&gt;0),IF(A361="BL","Livré plus que commandé","Sorti plus que demandé"),"OK"))))))))))))</f>
        <v/>
      </c>
      <c r="Y361" s="57" t="str">
        <f>IF(AND(OR(A361="BL",A361="BR",A361="BS"),AG361&gt;0,D361&lt;&gt;""),A361&amp;"|"&amp;AG361&amp;"|"&amp;D361&amp;"|"&amp;F361,"")</f>
        <v/>
      </c>
      <c r="Z361" s="57" t="str">
        <f>IF(Y361="","",IF(COUNTIF(Y$6:Y360,Y361)=0,1,0))</f>
        <v/>
      </c>
      <c r="AA361" s="57" t="str">
        <f>IF(Y361="","",IF(Z361=1,COUNTIFS(A$6:A361,A361,Z$6:Z361,1),INDEX(AA$6:AA360,MATCH(Y361,Y$6:Y360,0))))</f>
        <v/>
      </c>
      <c r="AB361" s="57" t="str">
        <f>IF(B361="","",COUNTIF(B$6:B361,B361))</f>
        <v/>
      </c>
      <c r="AC361" s="57" t="str">
        <f>IF(B361="","",B361&amp;"#"&amp;AB361)</f>
        <v/>
      </c>
      <c r="AD361" s="57" t="str">
        <f>IF(Z361=1,A361&amp;AA361,"")</f>
        <v/>
      </c>
      <c r="AE361" s="57" t="str">
        <f>IF(B361="","",YEAR(C361))</f>
        <v/>
      </c>
      <c r="AF361" s="57" t="str">
        <f>IF(B361="","",MONTH(C361))</f>
        <v/>
      </c>
      <c r="AG361" s="57">
        <f>IF(ISNUMBER(C361),C361,0)</f>
        <v>0.0</v>
      </c>
      <c r="AH361" s="57" t="str">
        <f>IF(N(W361)&gt;0,COUNTIF(W$6:W361,"&gt;0"),"")</f>
        <v/>
      </c>
      <c r="AI361" s="57" t="str">
        <f>IF(Z361=1,COUNTIF(Z$6:Z361,1),"")</f>
        <v/>
      </c>
    </row>
    <row r="362">
      <c r="A362" s="54" t="n"/>
      <c r="B362" s="55" t="str">
        <f>IF(AA362="","",A362&amp;"-"&amp;RIGHT("000"&amp;AA362,4))</f>
        <v/>
      </c>
      <c r="C362" s="56" t="n"/>
      <c r="D362" s="54" t="n"/>
      <c r="E362" s="57" t="str">
        <f>IF(D362="","",IF(A362="BL",IFERROR(INDEX(cl_name,MATCH(D362,cl_code,0))&amp;"","Client inconnu"),IF(A362="BR",IFERROR(INDEX(fo_name,MATCH(D362,fo_code,0))&amp;"","Fournisseur inconnu"),IF(A362="BS",IF(ISNA(MATCH(D362,p_services,0)),"Service inconnu",D362&amp;""),""))))</f>
        <v/>
      </c>
      <c r="F362" s="58" t="n"/>
      <c r="G362" s="58" t="n"/>
      <c r="H362" s="59" t="n"/>
      <c r="I362" s="57" t="str">
        <f>IF(H362="","",IFERROR(INDEX(art_des,MATCH(H362,art_ref,0))&amp;"","Article inconnu"))</f>
        <v/>
      </c>
      <c r="J362" s="60" t="str">
        <f>IF(H362="","",IFERROR(INDEX(art_unit,MATCH(H362,art_ref,0))&amp;"",""))</f>
        <v/>
      </c>
      <c r="K362" s="59" t="n"/>
      <c r="L362" s="59" t="n"/>
      <c r="M362" s="61" t="str">
        <f>IF(OR(B362="",NOT(ISNUMBER(K362)),NOT(ISNUMBER(L362))),"",IF(OR(K362&lt;=0,L362&lt;=0),"",ROUND(L362-K362,6)))</f>
        <v/>
      </c>
      <c r="N362" s="58" t="n"/>
      <c r="O362" s="62" t="n"/>
      <c r="P362" s="63" t="str">
        <f>IF(OR(B362="",NOT(ISNUMBER(L362))),"",IF(L362&lt;=0,"",IFERROR(ROUND(L362*N(INDEX(art_w,MATCH(H362,art_ref,0))),3),"")))</f>
        <v/>
      </c>
      <c r="Q362" s="59" t="n"/>
      <c r="R362" s="54" t="n"/>
      <c r="S362" s="59" t="n"/>
      <c r="T362" s="59" t="n"/>
      <c r="U362" s="64" t="str">
        <f>IF(OR(B362="",H362=""),"",IFERROR(IF(A362="BL",IF(N(INDEX(art_price,MATCH(H362,art_ref,0)))=0,"",N(INDEX(art_price,MATCH(H362,art_ref,0)))),IF(N(INDEX(art_cost,MATCH(H362,art_ref,0)))=0,"",N(INDEX(art_cost,MATCH(H362,art_ref,0))))),""))</f>
        <v/>
      </c>
      <c r="V362" s="64" t="str">
        <f>IF(OR(U362="",NOT(ISNUMBER(L362))),"",IF(L362&lt;=0,"",ROUND(L362*U362,2)))</f>
        <v/>
      </c>
      <c r="W362" s="60" t="str">
        <f>IF(AND(B362&lt;&gt;"",A362&lt;&gt;"BS",F362&lt;&gt;"",H362&lt;&gt;"",ISNUMBER(K362),ISNUMBER(L362)),IF(AND(K362&gt;0,L362&gt;0,K362-L362&gt;0,COUNTIFS(A363:A$2005,A362,F363:F$2005,F362,H363:H$2005,H362,AA363:AA$2005,"&gt;0")=0),ROUND(K362-L362,6),""),"")</f>
        <v/>
      </c>
      <c r="X362" s="60" t="str">
        <f>IF(AND(A362="",C362="",D362="",H362="",L362=""),"",IF(A362="","Type manquant",IF(AND(A362&lt;&gt;"BL",A362&lt;&gt;"BR",A362&lt;&gt;"BS"),"Type inconnu (BL, BR ou BS)",IF(AG362=0,"Date manquante ou invalide",IF(D362="",IF(A362="BL","Client manquant",IF(A362="BR","Fournisseur manquant","Service manquant")),IF(IF(A362="BL",ISNA(MATCH(D362,cl_code,0)),IF(A362="BR",ISNA(MATCH(D362,fo_code,0)),ISNA(MATCH(D362,p_services,0)))),IF(A362="BL","Client inconnu",IF(A362="BR","Fournisseur inconnu","Service inconnu")),IF(H362="","Article manquant",IF(ISNA(MATCH(H362,art_ref,0)),"Article inconnu",IF(OR(NOT(ISNUMBER(L362)),N(L362)&lt;=0),"Quantité invalide",IF(AND(K362&lt;&gt;"",OR(NOT(ISNUMBER(K362)),N(K362)&lt;=0)),"Qté commandée invalide",IF(AG362&lt;SUMPRODUCT(MAX((A$6:A361=A362)*AG$6:AG361)),"Date antérieure au bon précédent",IF(AND(A362&lt;&gt;"BR",ISNUMBER(M362),N(M362)&gt;0),IF(A362="BL","Livré plus que commandé","Sorti plus que demandé"),"OK"))))))))))))</f>
        <v/>
      </c>
      <c r="Y362" s="57" t="str">
        <f>IF(AND(OR(A362="BL",A362="BR",A362="BS"),AG362&gt;0,D362&lt;&gt;""),A362&amp;"|"&amp;AG362&amp;"|"&amp;D362&amp;"|"&amp;F362,"")</f>
        <v/>
      </c>
      <c r="Z362" s="57" t="str">
        <f>IF(Y362="","",IF(COUNTIF(Y$6:Y361,Y362)=0,1,0))</f>
        <v/>
      </c>
      <c r="AA362" s="57" t="str">
        <f>IF(Y362="","",IF(Z362=1,COUNTIFS(A$6:A362,A362,Z$6:Z362,1),INDEX(AA$6:AA361,MATCH(Y362,Y$6:Y361,0))))</f>
        <v/>
      </c>
      <c r="AB362" s="57" t="str">
        <f>IF(B362="","",COUNTIF(B$6:B362,B362))</f>
        <v/>
      </c>
      <c r="AC362" s="57" t="str">
        <f>IF(B362="","",B362&amp;"#"&amp;AB362)</f>
        <v/>
      </c>
      <c r="AD362" s="57" t="str">
        <f>IF(Z362=1,A362&amp;AA362,"")</f>
        <v/>
      </c>
      <c r="AE362" s="57" t="str">
        <f>IF(B362="","",YEAR(C362))</f>
        <v/>
      </c>
      <c r="AF362" s="57" t="str">
        <f>IF(B362="","",MONTH(C362))</f>
        <v/>
      </c>
      <c r="AG362" s="57">
        <f>IF(ISNUMBER(C362),C362,0)</f>
        <v>0.0</v>
      </c>
      <c r="AH362" s="57" t="str">
        <f>IF(N(W362)&gt;0,COUNTIF(W$6:W362,"&gt;0"),"")</f>
        <v/>
      </c>
      <c r="AI362" s="57" t="str">
        <f>IF(Z362=1,COUNTIF(Z$6:Z362,1),"")</f>
        <v/>
      </c>
    </row>
    <row r="363">
      <c r="A363" s="54" t="n"/>
      <c r="B363" s="55" t="str">
        <f>IF(AA363="","",A363&amp;"-"&amp;RIGHT("000"&amp;AA363,4))</f>
        <v/>
      </c>
      <c r="C363" s="56" t="n"/>
      <c r="D363" s="54" t="n"/>
      <c r="E363" s="57" t="str">
        <f>IF(D363="","",IF(A363="BL",IFERROR(INDEX(cl_name,MATCH(D363,cl_code,0))&amp;"","Client inconnu"),IF(A363="BR",IFERROR(INDEX(fo_name,MATCH(D363,fo_code,0))&amp;"","Fournisseur inconnu"),IF(A363="BS",IF(ISNA(MATCH(D363,p_services,0)),"Service inconnu",D363&amp;""),""))))</f>
        <v/>
      </c>
      <c r="F363" s="58" t="n"/>
      <c r="G363" s="58" t="n"/>
      <c r="H363" s="59" t="n"/>
      <c r="I363" s="57" t="str">
        <f>IF(H363="","",IFERROR(INDEX(art_des,MATCH(H363,art_ref,0))&amp;"","Article inconnu"))</f>
        <v/>
      </c>
      <c r="J363" s="60" t="str">
        <f>IF(H363="","",IFERROR(INDEX(art_unit,MATCH(H363,art_ref,0))&amp;"",""))</f>
        <v/>
      </c>
      <c r="K363" s="59" t="n"/>
      <c r="L363" s="59" t="n"/>
      <c r="M363" s="61" t="str">
        <f>IF(OR(B363="",NOT(ISNUMBER(K363)),NOT(ISNUMBER(L363))),"",IF(OR(K363&lt;=0,L363&lt;=0),"",ROUND(L363-K363,6)))</f>
        <v/>
      </c>
      <c r="N363" s="58" t="n"/>
      <c r="O363" s="62" t="n"/>
      <c r="P363" s="63" t="str">
        <f>IF(OR(B363="",NOT(ISNUMBER(L363))),"",IF(L363&lt;=0,"",IFERROR(ROUND(L363*N(INDEX(art_w,MATCH(H363,art_ref,0))),3),"")))</f>
        <v/>
      </c>
      <c r="Q363" s="59" t="n"/>
      <c r="R363" s="54" t="n"/>
      <c r="S363" s="59" t="n"/>
      <c r="T363" s="59" t="n"/>
      <c r="U363" s="64" t="str">
        <f>IF(OR(B363="",H363=""),"",IFERROR(IF(A363="BL",IF(N(INDEX(art_price,MATCH(H363,art_ref,0)))=0,"",N(INDEX(art_price,MATCH(H363,art_ref,0)))),IF(N(INDEX(art_cost,MATCH(H363,art_ref,0)))=0,"",N(INDEX(art_cost,MATCH(H363,art_ref,0))))),""))</f>
        <v/>
      </c>
      <c r="V363" s="64" t="str">
        <f>IF(OR(U363="",NOT(ISNUMBER(L363))),"",IF(L363&lt;=0,"",ROUND(L363*U363,2)))</f>
        <v/>
      </c>
      <c r="W363" s="60" t="str">
        <f>IF(AND(B363&lt;&gt;"",A363&lt;&gt;"BS",F363&lt;&gt;"",H363&lt;&gt;"",ISNUMBER(K363),ISNUMBER(L363)),IF(AND(K363&gt;0,L363&gt;0,K363-L363&gt;0,COUNTIFS(A364:A$2005,A363,F364:F$2005,F363,H364:H$2005,H363,AA364:AA$2005,"&gt;0")=0),ROUND(K363-L363,6),""),"")</f>
        <v/>
      </c>
      <c r="X363" s="60" t="str">
        <f>IF(AND(A363="",C363="",D363="",H363="",L363=""),"",IF(A363="","Type manquant",IF(AND(A363&lt;&gt;"BL",A363&lt;&gt;"BR",A363&lt;&gt;"BS"),"Type inconnu (BL, BR ou BS)",IF(AG363=0,"Date manquante ou invalide",IF(D363="",IF(A363="BL","Client manquant",IF(A363="BR","Fournisseur manquant","Service manquant")),IF(IF(A363="BL",ISNA(MATCH(D363,cl_code,0)),IF(A363="BR",ISNA(MATCH(D363,fo_code,0)),ISNA(MATCH(D363,p_services,0)))),IF(A363="BL","Client inconnu",IF(A363="BR","Fournisseur inconnu","Service inconnu")),IF(H363="","Article manquant",IF(ISNA(MATCH(H363,art_ref,0)),"Article inconnu",IF(OR(NOT(ISNUMBER(L363)),N(L363)&lt;=0),"Quantité invalide",IF(AND(K363&lt;&gt;"",OR(NOT(ISNUMBER(K363)),N(K363)&lt;=0)),"Qté commandée invalide",IF(AG363&lt;SUMPRODUCT(MAX((A$6:A362=A363)*AG$6:AG362)),"Date antérieure au bon précédent",IF(AND(A363&lt;&gt;"BR",ISNUMBER(M363),N(M363)&gt;0),IF(A363="BL","Livré plus que commandé","Sorti plus que demandé"),"OK"))))))))))))</f>
        <v/>
      </c>
      <c r="Y363" s="57" t="str">
        <f>IF(AND(OR(A363="BL",A363="BR",A363="BS"),AG363&gt;0,D363&lt;&gt;""),A363&amp;"|"&amp;AG363&amp;"|"&amp;D363&amp;"|"&amp;F363,"")</f>
        <v/>
      </c>
      <c r="Z363" s="57" t="str">
        <f>IF(Y363="","",IF(COUNTIF(Y$6:Y362,Y363)=0,1,0))</f>
        <v/>
      </c>
      <c r="AA363" s="57" t="str">
        <f>IF(Y363="","",IF(Z363=1,COUNTIFS(A$6:A363,A363,Z$6:Z363,1),INDEX(AA$6:AA362,MATCH(Y363,Y$6:Y362,0))))</f>
        <v/>
      </c>
      <c r="AB363" s="57" t="str">
        <f>IF(B363="","",COUNTIF(B$6:B363,B363))</f>
        <v/>
      </c>
      <c r="AC363" s="57" t="str">
        <f>IF(B363="","",B363&amp;"#"&amp;AB363)</f>
        <v/>
      </c>
      <c r="AD363" s="57" t="str">
        <f>IF(Z363=1,A363&amp;AA363,"")</f>
        <v/>
      </c>
      <c r="AE363" s="57" t="str">
        <f>IF(B363="","",YEAR(C363))</f>
        <v/>
      </c>
      <c r="AF363" s="57" t="str">
        <f>IF(B363="","",MONTH(C363))</f>
        <v/>
      </c>
      <c r="AG363" s="57">
        <f>IF(ISNUMBER(C363),C363,0)</f>
        <v>0.0</v>
      </c>
      <c r="AH363" s="57" t="str">
        <f>IF(N(W363)&gt;0,COUNTIF(W$6:W363,"&gt;0"),"")</f>
        <v/>
      </c>
      <c r="AI363" s="57" t="str">
        <f>IF(Z363=1,COUNTIF(Z$6:Z363,1),"")</f>
        <v/>
      </c>
    </row>
    <row r="364">
      <c r="A364" s="54" t="n"/>
      <c r="B364" s="55" t="str">
        <f>IF(AA364="","",A364&amp;"-"&amp;RIGHT("000"&amp;AA364,4))</f>
        <v/>
      </c>
      <c r="C364" s="56" t="n"/>
      <c r="D364" s="54" t="n"/>
      <c r="E364" s="57" t="str">
        <f>IF(D364="","",IF(A364="BL",IFERROR(INDEX(cl_name,MATCH(D364,cl_code,0))&amp;"","Client inconnu"),IF(A364="BR",IFERROR(INDEX(fo_name,MATCH(D364,fo_code,0))&amp;"","Fournisseur inconnu"),IF(A364="BS",IF(ISNA(MATCH(D364,p_services,0)),"Service inconnu",D364&amp;""),""))))</f>
        <v/>
      </c>
      <c r="F364" s="58" t="n"/>
      <c r="G364" s="58" t="n"/>
      <c r="H364" s="59" t="n"/>
      <c r="I364" s="57" t="str">
        <f>IF(H364="","",IFERROR(INDEX(art_des,MATCH(H364,art_ref,0))&amp;"","Article inconnu"))</f>
        <v/>
      </c>
      <c r="J364" s="60" t="str">
        <f>IF(H364="","",IFERROR(INDEX(art_unit,MATCH(H364,art_ref,0))&amp;"",""))</f>
        <v/>
      </c>
      <c r="K364" s="59" t="n"/>
      <c r="L364" s="59" t="n"/>
      <c r="M364" s="61" t="str">
        <f>IF(OR(B364="",NOT(ISNUMBER(K364)),NOT(ISNUMBER(L364))),"",IF(OR(K364&lt;=0,L364&lt;=0),"",ROUND(L364-K364,6)))</f>
        <v/>
      </c>
      <c r="N364" s="58" t="n"/>
      <c r="O364" s="62" t="n"/>
      <c r="P364" s="63" t="str">
        <f>IF(OR(B364="",NOT(ISNUMBER(L364))),"",IF(L364&lt;=0,"",IFERROR(ROUND(L364*N(INDEX(art_w,MATCH(H364,art_ref,0))),3),"")))</f>
        <v/>
      </c>
      <c r="Q364" s="59" t="n"/>
      <c r="R364" s="54" t="n"/>
      <c r="S364" s="59" t="n"/>
      <c r="T364" s="59" t="n"/>
      <c r="U364" s="64" t="str">
        <f>IF(OR(B364="",H364=""),"",IFERROR(IF(A364="BL",IF(N(INDEX(art_price,MATCH(H364,art_ref,0)))=0,"",N(INDEX(art_price,MATCH(H364,art_ref,0)))),IF(N(INDEX(art_cost,MATCH(H364,art_ref,0)))=0,"",N(INDEX(art_cost,MATCH(H364,art_ref,0))))),""))</f>
        <v/>
      </c>
      <c r="V364" s="64" t="str">
        <f>IF(OR(U364="",NOT(ISNUMBER(L364))),"",IF(L364&lt;=0,"",ROUND(L364*U364,2)))</f>
        <v/>
      </c>
      <c r="W364" s="60" t="str">
        <f>IF(AND(B364&lt;&gt;"",A364&lt;&gt;"BS",F364&lt;&gt;"",H364&lt;&gt;"",ISNUMBER(K364),ISNUMBER(L364)),IF(AND(K364&gt;0,L364&gt;0,K364-L364&gt;0,COUNTIFS(A365:A$2005,A364,F365:F$2005,F364,H365:H$2005,H364,AA365:AA$2005,"&gt;0")=0),ROUND(K364-L364,6),""),"")</f>
        <v/>
      </c>
      <c r="X364" s="60" t="str">
        <f>IF(AND(A364="",C364="",D364="",H364="",L364=""),"",IF(A364="","Type manquant",IF(AND(A364&lt;&gt;"BL",A364&lt;&gt;"BR",A364&lt;&gt;"BS"),"Type inconnu (BL, BR ou BS)",IF(AG364=0,"Date manquante ou invalide",IF(D364="",IF(A364="BL","Client manquant",IF(A364="BR","Fournisseur manquant","Service manquant")),IF(IF(A364="BL",ISNA(MATCH(D364,cl_code,0)),IF(A364="BR",ISNA(MATCH(D364,fo_code,0)),ISNA(MATCH(D364,p_services,0)))),IF(A364="BL","Client inconnu",IF(A364="BR","Fournisseur inconnu","Service inconnu")),IF(H364="","Article manquant",IF(ISNA(MATCH(H364,art_ref,0)),"Article inconnu",IF(OR(NOT(ISNUMBER(L364)),N(L364)&lt;=0),"Quantité invalide",IF(AND(K364&lt;&gt;"",OR(NOT(ISNUMBER(K364)),N(K364)&lt;=0)),"Qté commandée invalide",IF(AG364&lt;SUMPRODUCT(MAX((A$6:A363=A364)*AG$6:AG363)),"Date antérieure au bon précédent",IF(AND(A364&lt;&gt;"BR",ISNUMBER(M364),N(M364)&gt;0),IF(A364="BL","Livré plus que commandé","Sorti plus que demandé"),"OK"))))))))))))</f>
        <v/>
      </c>
      <c r="Y364" s="57" t="str">
        <f>IF(AND(OR(A364="BL",A364="BR",A364="BS"),AG364&gt;0,D364&lt;&gt;""),A364&amp;"|"&amp;AG364&amp;"|"&amp;D364&amp;"|"&amp;F364,"")</f>
        <v/>
      </c>
      <c r="Z364" s="57" t="str">
        <f>IF(Y364="","",IF(COUNTIF(Y$6:Y363,Y364)=0,1,0))</f>
        <v/>
      </c>
      <c r="AA364" s="57" t="str">
        <f>IF(Y364="","",IF(Z364=1,COUNTIFS(A$6:A364,A364,Z$6:Z364,1),INDEX(AA$6:AA363,MATCH(Y364,Y$6:Y363,0))))</f>
        <v/>
      </c>
      <c r="AB364" s="57" t="str">
        <f>IF(B364="","",COUNTIF(B$6:B364,B364))</f>
        <v/>
      </c>
      <c r="AC364" s="57" t="str">
        <f>IF(B364="","",B364&amp;"#"&amp;AB364)</f>
        <v/>
      </c>
      <c r="AD364" s="57" t="str">
        <f>IF(Z364=1,A364&amp;AA364,"")</f>
        <v/>
      </c>
      <c r="AE364" s="57" t="str">
        <f>IF(B364="","",YEAR(C364))</f>
        <v/>
      </c>
      <c r="AF364" s="57" t="str">
        <f>IF(B364="","",MONTH(C364))</f>
        <v/>
      </c>
      <c r="AG364" s="57">
        <f>IF(ISNUMBER(C364),C364,0)</f>
        <v>0.0</v>
      </c>
      <c r="AH364" s="57" t="str">
        <f>IF(N(W364)&gt;0,COUNTIF(W$6:W364,"&gt;0"),"")</f>
        <v/>
      </c>
      <c r="AI364" s="57" t="str">
        <f>IF(Z364=1,COUNTIF(Z$6:Z364,1),"")</f>
        <v/>
      </c>
    </row>
    <row r="365">
      <c r="A365" s="54" t="n"/>
      <c r="B365" s="55" t="str">
        <f>IF(AA365="","",A365&amp;"-"&amp;RIGHT("000"&amp;AA365,4))</f>
        <v/>
      </c>
      <c r="C365" s="56" t="n"/>
      <c r="D365" s="54" t="n"/>
      <c r="E365" s="57" t="str">
        <f>IF(D365="","",IF(A365="BL",IFERROR(INDEX(cl_name,MATCH(D365,cl_code,0))&amp;"","Client inconnu"),IF(A365="BR",IFERROR(INDEX(fo_name,MATCH(D365,fo_code,0))&amp;"","Fournisseur inconnu"),IF(A365="BS",IF(ISNA(MATCH(D365,p_services,0)),"Service inconnu",D365&amp;""),""))))</f>
        <v/>
      </c>
      <c r="F365" s="58" t="n"/>
      <c r="G365" s="58" t="n"/>
      <c r="H365" s="59" t="n"/>
      <c r="I365" s="57" t="str">
        <f>IF(H365="","",IFERROR(INDEX(art_des,MATCH(H365,art_ref,0))&amp;"","Article inconnu"))</f>
        <v/>
      </c>
      <c r="J365" s="60" t="str">
        <f>IF(H365="","",IFERROR(INDEX(art_unit,MATCH(H365,art_ref,0))&amp;"",""))</f>
        <v/>
      </c>
      <c r="K365" s="59" t="n"/>
      <c r="L365" s="59" t="n"/>
      <c r="M365" s="61" t="str">
        <f>IF(OR(B365="",NOT(ISNUMBER(K365)),NOT(ISNUMBER(L365))),"",IF(OR(K365&lt;=0,L365&lt;=0),"",ROUND(L365-K365,6)))</f>
        <v/>
      </c>
      <c r="N365" s="58" t="n"/>
      <c r="O365" s="62" t="n"/>
      <c r="P365" s="63" t="str">
        <f>IF(OR(B365="",NOT(ISNUMBER(L365))),"",IF(L365&lt;=0,"",IFERROR(ROUND(L365*N(INDEX(art_w,MATCH(H365,art_ref,0))),3),"")))</f>
        <v/>
      </c>
      <c r="Q365" s="59" t="n"/>
      <c r="R365" s="54" t="n"/>
      <c r="S365" s="59" t="n"/>
      <c r="T365" s="59" t="n"/>
      <c r="U365" s="64" t="str">
        <f>IF(OR(B365="",H365=""),"",IFERROR(IF(A365="BL",IF(N(INDEX(art_price,MATCH(H365,art_ref,0)))=0,"",N(INDEX(art_price,MATCH(H365,art_ref,0)))),IF(N(INDEX(art_cost,MATCH(H365,art_ref,0)))=0,"",N(INDEX(art_cost,MATCH(H365,art_ref,0))))),""))</f>
        <v/>
      </c>
      <c r="V365" s="64" t="str">
        <f>IF(OR(U365="",NOT(ISNUMBER(L365))),"",IF(L365&lt;=0,"",ROUND(L365*U365,2)))</f>
        <v/>
      </c>
      <c r="W365" s="60" t="str">
        <f>IF(AND(B365&lt;&gt;"",A365&lt;&gt;"BS",F365&lt;&gt;"",H365&lt;&gt;"",ISNUMBER(K365),ISNUMBER(L365)),IF(AND(K365&gt;0,L365&gt;0,K365-L365&gt;0,COUNTIFS(A366:A$2005,A365,F366:F$2005,F365,H366:H$2005,H365,AA366:AA$2005,"&gt;0")=0),ROUND(K365-L365,6),""),"")</f>
        <v/>
      </c>
      <c r="X365" s="60" t="str">
        <f>IF(AND(A365="",C365="",D365="",H365="",L365=""),"",IF(A365="","Type manquant",IF(AND(A365&lt;&gt;"BL",A365&lt;&gt;"BR",A365&lt;&gt;"BS"),"Type inconnu (BL, BR ou BS)",IF(AG365=0,"Date manquante ou invalide",IF(D365="",IF(A365="BL","Client manquant",IF(A365="BR","Fournisseur manquant","Service manquant")),IF(IF(A365="BL",ISNA(MATCH(D365,cl_code,0)),IF(A365="BR",ISNA(MATCH(D365,fo_code,0)),ISNA(MATCH(D365,p_services,0)))),IF(A365="BL","Client inconnu",IF(A365="BR","Fournisseur inconnu","Service inconnu")),IF(H365="","Article manquant",IF(ISNA(MATCH(H365,art_ref,0)),"Article inconnu",IF(OR(NOT(ISNUMBER(L365)),N(L365)&lt;=0),"Quantité invalide",IF(AND(K365&lt;&gt;"",OR(NOT(ISNUMBER(K365)),N(K365)&lt;=0)),"Qté commandée invalide",IF(AG365&lt;SUMPRODUCT(MAX((A$6:A364=A365)*AG$6:AG364)),"Date antérieure au bon précédent",IF(AND(A365&lt;&gt;"BR",ISNUMBER(M365),N(M365)&gt;0),IF(A365="BL","Livré plus que commandé","Sorti plus que demandé"),"OK"))))))))))))</f>
        <v/>
      </c>
      <c r="Y365" s="57" t="str">
        <f>IF(AND(OR(A365="BL",A365="BR",A365="BS"),AG365&gt;0,D365&lt;&gt;""),A365&amp;"|"&amp;AG365&amp;"|"&amp;D365&amp;"|"&amp;F365,"")</f>
        <v/>
      </c>
      <c r="Z365" s="57" t="str">
        <f>IF(Y365="","",IF(COUNTIF(Y$6:Y364,Y365)=0,1,0))</f>
        <v/>
      </c>
      <c r="AA365" s="57" t="str">
        <f>IF(Y365="","",IF(Z365=1,COUNTIFS(A$6:A365,A365,Z$6:Z365,1),INDEX(AA$6:AA364,MATCH(Y365,Y$6:Y364,0))))</f>
        <v/>
      </c>
      <c r="AB365" s="57" t="str">
        <f>IF(B365="","",COUNTIF(B$6:B365,B365))</f>
        <v/>
      </c>
      <c r="AC365" s="57" t="str">
        <f>IF(B365="","",B365&amp;"#"&amp;AB365)</f>
        <v/>
      </c>
      <c r="AD365" s="57" t="str">
        <f>IF(Z365=1,A365&amp;AA365,"")</f>
        <v/>
      </c>
      <c r="AE365" s="57" t="str">
        <f>IF(B365="","",YEAR(C365))</f>
        <v/>
      </c>
      <c r="AF365" s="57" t="str">
        <f>IF(B365="","",MONTH(C365))</f>
        <v/>
      </c>
      <c r="AG365" s="57">
        <f>IF(ISNUMBER(C365),C365,0)</f>
        <v>0.0</v>
      </c>
      <c r="AH365" s="57" t="str">
        <f>IF(N(W365)&gt;0,COUNTIF(W$6:W365,"&gt;0"),"")</f>
        <v/>
      </c>
      <c r="AI365" s="57" t="str">
        <f>IF(Z365=1,COUNTIF(Z$6:Z365,1),"")</f>
        <v/>
      </c>
    </row>
    <row r="366">
      <c r="A366" s="54" t="n"/>
      <c r="B366" s="55" t="str">
        <f>IF(AA366="","",A366&amp;"-"&amp;RIGHT("000"&amp;AA366,4))</f>
        <v/>
      </c>
      <c r="C366" s="56" t="n"/>
      <c r="D366" s="54" t="n"/>
      <c r="E366" s="57" t="str">
        <f>IF(D366="","",IF(A366="BL",IFERROR(INDEX(cl_name,MATCH(D366,cl_code,0))&amp;"","Client inconnu"),IF(A366="BR",IFERROR(INDEX(fo_name,MATCH(D366,fo_code,0))&amp;"","Fournisseur inconnu"),IF(A366="BS",IF(ISNA(MATCH(D366,p_services,0)),"Service inconnu",D366&amp;""),""))))</f>
        <v/>
      </c>
      <c r="F366" s="58" t="n"/>
      <c r="G366" s="58" t="n"/>
      <c r="H366" s="59" t="n"/>
      <c r="I366" s="57" t="str">
        <f>IF(H366="","",IFERROR(INDEX(art_des,MATCH(H366,art_ref,0))&amp;"","Article inconnu"))</f>
        <v/>
      </c>
      <c r="J366" s="60" t="str">
        <f>IF(H366="","",IFERROR(INDEX(art_unit,MATCH(H366,art_ref,0))&amp;"",""))</f>
        <v/>
      </c>
      <c r="K366" s="59" t="n"/>
      <c r="L366" s="59" t="n"/>
      <c r="M366" s="61" t="str">
        <f>IF(OR(B366="",NOT(ISNUMBER(K366)),NOT(ISNUMBER(L366))),"",IF(OR(K366&lt;=0,L366&lt;=0),"",ROUND(L366-K366,6)))</f>
        <v/>
      </c>
      <c r="N366" s="58" t="n"/>
      <c r="O366" s="62" t="n"/>
      <c r="P366" s="63" t="str">
        <f>IF(OR(B366="",NOT(ISNUMBER(L366))),"",IF(L366&lt;=0,"",IFERROR(ROUND(L366*N(INDEX(art_w,MATCH(H366,art_ref,0))),3),"")))</f>
        <v/>
      </c>
      <c r="Q366" s="59" t="n"/>
      <c r="R366" s="54" t="n"/>
      <c r="S366" s="59" t="n"/>
      <c r="T366" s="59" t="n"/>
      <c r="U366" s="64" t="str">
        <f>IF(OR(B366="",H366=""),"",IFERROR(IF(A366="BL",IF(N(INDEX(art_price,MATCH(H366,art_ref,0)))=0,"",N(INDEX(art_price,MATCH(H366,art_ref,0)))),IF(N(INDEX(art_cost,MATCH(H366,art_ref,0)))=0,"",N(INDEX(art_cost,MATCH(H366,art_ref,0))))),""))</f>
        <v/>
      </c>
      <c r="V366" s="64" t="str">
        <f>IF(OR(U366="",NOT(ISNUMBER(L366))),"",IF(L366&lt;=0,"",ROUND(L366*U366,2)))</f>
        <v/>
      </c>
      <c r="W366" s="60" t="str">
        <f>IF(AND(B366&lt;&gt;"",A366&lt;&gt;"BS",F366&lt;&gt;"",H366&lt;&gt;"",ISNUMBER(K366),ISNUMBER(L366)),IF(AND(K366&gt;0,L366&gt;0,K366-L366&gt;0,COUNTIFS(A367:A$2005,A366,F367:F$2005,F366,H367:H$2005,H366,AA367:AA$2005,"&gt;0")=0),ROUND(K366-L366,6),""),"")</f>
        <v/>
      </c>
      <c r="X366" s="60" t="str">
        <f>IF(AND(A366="",C366="",D366="",H366="",L366=""),"",IF(A366="","Type manquant",IF(AND(A366&lt;&gt;"BL",A366&lt;&gt;"BR",A366&lt;&gt;"BS"),"Type inconnu (BL, BR ou BS)",IF(AG366=0,"Date manquante ou invalide",IF(D366="",IF(A366="BL","Client manquant",IF(A366="BR","Fournisseur manquant","Service manquant")),IF(IF(A366="BL",ISNA(MATCH(D366,cl_code,0)),IF(A366="BR",ISNA(MATCH(D366,fo_code,0)),ISNA(MATCH(D366,p_services,0)))),IF(A366="BL","Client inconnu",IF(A366="BR","Fournisseur inconnu","Service inconnu")),IF(H366="","Article manquant",IF(ISNA(MATCH(H366,art_ref,0)),"Article inconnu",IF(OR(NOT(ISNUMBER(L366)),N(L366)&lt;=0),"Quantité invalide",IF(AND(K366&lt;&gt;"",OR(NOT(ISNUMBER(K366)),N(K366)&lt;=0)),"Qté commandée invalide",IF(AG366&lt;SUMPRODUCT(MAX((A$6:A365=A366)*AG$6:AG365)),"Date antérieure au bon précédent",IF(AND(A366&lt;&gt;"BR",ISNUMBER(M366),N(M366)&gt;0),IF(A366="BL","Livré plus que commandé","Sorti plus que demandé"),"OK"))))))))))))</f>
        <v/>
      </c>
      <c r="Y366" s="57" t="str">
        <f>IF(AND(OR(A366="BL",A366="BR",A366="BS"),AG366&gt;0,D366&lt;&gt;""),A366&amp;"|"&amp;AG366&amp;"|"&amp;D366&amp;"|"&amp;F366,"")</f>
        <v/>
      </c>
      <c r="Z366" s="57" t="str">
        <f>IF(Y366="","",IF(COUNTIF(Y$6:Y365,Y366)=0,1,0))</f>
        <v/>
      </c>
      <c r="AA366" s="57" t="str">
        <f>IF(Y366="","",IF(Z366=1,COUNTIFS(A$6:A366,A366,Z$6:Z366,1),INDEX(AA$6:AA365,MATCH(Y366,Y$6:Y365,0))))</f>
        <v/>
      </c>
      <c r="AB366" s="57" t="str">
        <f>IF(B366="","",COUNTIF(B$6:B366,B366))</f>
        <v/>
      </c>
      <c r="AC366" s="57" t="str">
        <f>IF(B366="","",B366&amp;"#"&amp;AB366)</f>
        <v/>
      </c>
      <c r="AD366" s="57" t="str">
        <f>IF(Z366=1,A366&amp;AA366,"")</f>
        <v/>
      </c>
      <c r="AE366" s="57" t="str">
        <f>IF(B366="","",YEAR(C366))</f>
        <v/>
      </c>
      <c r="AF366" s="57" t="str">
        <f>IF(B366="","",MONTH(C366))</f>
        <v/>
      </c>
      <c r="AG366" s="57">
        <f>IF(ISNUMBER(C366),C366,0)</f>
        <v>0.0</v>
      </c>
      <c r="AH366" s="57" t="str">
        <f>IF(N(W366)&gt;0,COUNTIF(W$6:W366,"&gt;0"),"")</f>
        <v/>
      </c>
      <c r="AI366" s="57" t="str">
        <f>IF(Z366=1,COUNTIF(Z$6:Z366,1),"")</f>
        <v/>
      </c>
    </row>
    <row r="367">
      <c r="A367" s="54" t="n"/>
      <c r="B367" s="55" t="str">
        <f>IF(AA367="","",A367&amp;"-"&amp;RIGHT("000"&amp;AA367,4))</f>
        <v/>
      </c>
      <c r="C367" s="56" t="n"/>
      <c r="D367" s="54" t="n"/>
      <c r="E367" s="57" t="str">
        <f>IF(D367="","",IF(A367="BL",IFERROR(INDEX(cl_name,MATCH(D367,cl_code,0))&amp;"","Client inconnu"),IF(A367="BR",IFERROR(INDEX(fo_name,MATCH(D367,fo_code,0))&amp;"","Fournisseur inconnu"),IF(A367="BS",IF(ISNA(MATCH(D367,p_services,0)),"Service inconnu",D367&amp;""),""))))</f>
        <v/>
      </c>
      <c r="F367" s="58" t="n"/>
      <c r="G367" s="58" t="n"/>
      <c r="H367" s="59" t="n"/>
      <c r="I367" s="57" t="str">
        <f>IF(H367="","",IFERROR(INDEX(art_des,MATCH(H367,art_ref,0))&amp;"","Article inconnu"))</f>
        <v/>
      </c>
      <c r="J367" s="60" t="str">
        <f>IF(H367="","",IFERROR(INDEX(art_unit,MATCH(H367,art_ref,0))&amp;"",""))</f>
        <v/>
      </c>
      <c r="K367" s="59" t="n"/>
      <c r="L367" s="59" t="n"/>
      <c r="M367" s="61" t="str">
        <f>IF(OR(B367="",NOT(ISNUMBER(K367)),NOT(ISNUMBER(L367))),"",IF(OR(K367&lt;=0,L367&lt;=0),"",ROUND(L367-K367,6)))</f>
        <v/>
      </c>
      <c r="N367" s="58" t="n"/>
      <c r="O367" s="62" t="n"/>
      <c r="P367" s="63" t="str">
        <f>IF(OR(B367="",NOT(ISNUMBER(L367))),"",IF(L367&lt;=0,"",IFERROR(ROUND(L367*N(INDEX(art_w,MATCH(H367,art_ref,0))),3),"")))</f>
        <v/>
      </c>
      <c r="Q367" s="59" t="n"/>
      <c r="R367" s="54" t="n"/>
      <c r="S367" s="59" t="n"/>
      <c r="T367" s="59" t="n"/>
      <c r="U367" s="64" t="str">
        <f>IF(OR(B367="",H367=""),"",IFERROR(IF(A367="BL",IF(N(INDEX(art_price,MATCH(H367,art_ref,0)))=0,"",N(INDEX(art_price,MATCH(H367,art_ref,0)))),IF(N(INDEX(art_cost,MATCH(H367,art_ref,0)))=0,"",N(INDEX(art_cost,MATCH(H367,art_ref,0))))),""))</f>
        <v/>
      </c>
      <c r="V367" s="64" t="str">
        <f>IF(OR(U367="",NOT(ISNUMBER(L367))),"",IF(L367&lt;=0,"",ROUND(L367*U367,2)))</f>
        <v/>
      </c>
      <c r="W367" s="60" t="str">
        <f>IF(AND(B367&lt;&gt;"",A367&lt;&gt;"BS",F367&lt;&gt;"",H367&lt;&gt;"",ISNUMBER(K367),ISNUMBER(L367)),IF(AND(K367&gt;0,L367&gt;0,K367-L367&gt;0,COUNTIFS(A368:A$2005,A367,F368:F$2005,F367,H368:H$2005,H367,AA368:AA$2005,"&gt;0")=0),ROUND(K367-L367,6),""),"")</f>
        <v/>
      </c>
      <c r="X367" s="60" t="str">
        <f>IF(AND(A367="",C367="",D367="",H367="",L367=""),"",IF(A367="","Type manquant",IF(AND(A367&lt;&gt;"BL",A367&lt;&gt;"BR",A367&lt;&gt;"BS"),"Type inconnu (BL, BR ou BS)",IF(AG367=0,"Date manquante ou invalide",IF(D367="",IF(A367="BL","Client manquant",IF(A367="BR","Fournisseur manquant","Service manquant")),IF(IF(A367="BL",ISNA(MATCH(D367,cl_code,0)),IF(A367="BR",ISNA(MATCH(D367,fo_code,0)),ISNA(MATCH(D367,p_services,0)))),IF(A367="BL","Client inconnu",IF(A367="BR","Fournisseur inconnu","Service inconnu")),IF(H367="","Article manquant",IF(ISNA(MATCH(H367,art_ref,0)),"Article inconnu",IF(OR(NOT(ISNUMBER(L367)),N(L367)&lt;=0),"Quantité invalide",IF(AND(K367&lt;&gt;"",OR(NOT(ISNUMBER(K367)),N(K367)&lt;=0)),"Qté commandée invalide",IF(AG367&lt;SUMPRODUCT(MAX((A$6:A366=A367)*AG$6:AG366)),"Date antérieure au bon précédent",IF(AND(A367&lt;&gt;"BR",ISNUMBER(M367),N(M367)&gt;0),IF(A367="BL","Livré plus que commandé","Sorti plus que demandé"),"OK"))))))))))))</f>
        <v/>
      </c>
      <c r="Y367" s="57" t="str">
        <f>IF(AND(OR(A367="BL",A367="BR",A367="BS"),AG367&gt;0,D367&lt;&gt;""),A367&amp;"|"&amp;AG367&amp;"|"&amp;D367&amp;"|"&amp;F367,"")</f>
        <v/>
      </c>
      <c r="Z367" s="57" t="str">
        <f>IF(Y367="","",IF(COUNTIF(Y$6:Y366,Y367)=0,1,0))</f>
        <v/>
      </c>
      <c r="AA367" s="57" t="str">
        <f>IF(Y367="","",IF(Z367=1,COUNTIFS(A$6:A367,A367,Z$6:Z367,1),INDEX(AA$6:AA366,MATCH(Y367,Y$6:Y366,0))))</f>
        <v/>
      </c>
      <c r="AB367" s="57" t="str">
        <f>IF(B367="","",COUNTIF(B$6:B367,B367))</f>
        <v/>
      </c>
      <c r="AC367" s="57" t="str">
        <f>IF(B367="","",B367&amp;"#"&amp;AB367)</f>
        <v/>
      </c>
      <c r="AD367" s="57" t="str">
        <f>IF(Z367=1,A367&amp;AA367,"")</f>
        <v/>
      </c>
      <c r="AE367" s="57" t="str">
        <f>IF(B367="","",YEAR(C367))</f>
        <v/>
      </c>
      <c r="AF367" s="57" t="str">
        <f>IF(B367="","",MONTH(C367))</f>
        <v/>
      </c>
      <c r="AG367" s="57">
        <f>IF(ISNUMBER(C367),C367,0)</f>
        <v>0.0</v>
      </c>
      <c r="AH367" s="57" t="str">
        <f>IF(N(W367)&gt;0,COUNTIF(W$6:W367,"&gt;0"),"")</f>
        <v/>
      </c>
      <c r="AI367" s="57" t="str">
        <f>IF(Z367=1,COUNTIF(Z$6:Z367,1),"")</f>
        <v/>
      </c>
    </row>
    <row r="368">
      <c r="A368" s="54" t="n"/>
      <c r="B368" s="55" t="str">
        <f>IF(AA368="","",A368&amp;"-"&amp;RIGHT("000"&amp;AA368,4))</f>
        <v/>
      </c>
      <c r="C368" s="56" t="n"/>
      <c r="D368" s="54" t="n"/>
      <c r="E368" s="57" t="str">
        <f>IF(D368="","",IF(A368="BL",IFERROR(INDEX(cl_name,MATCH(D368,cl_code,0))&amp;"","Client inconnu"),IF(A368="BR",IFERROR(INDEX(fo_name,MATCH(D368,fo_code,0))&amp;"","Fournisseur inconnu"),IF(A368="BS",IF(ISNA(MATCH(D368,p_services,0)),"Service inconnu",D368&amp;""),""))))</f>
        <v/>
      </c>
      <c r="F368" s="58" t="n"/>
      <c r="G368" s="58" t="n"/>
      <c r="H368" s="59" t="n"/>
      <c r="I368" s="57" t="str">
        <f>IF(H368="","",IFERROR(INDEX(art_des,MATCH(H368,art_ref,0))&amp;"","Article inconnu"))</f>
        <v/>
      </c>
      <c r="J368" s="60" t="str">
        <f>IF(H368="","",IFERROR(INDEX(art_unit,MATCH(H368,art_ref,0))&amp;"",""))</f>
        <v/>
      </c>
      <c r="K368" s="59" t="n"/>
      <c r="L368" s="59" t="n"/>
      <c r="M368" s="61" t="str">
        <f>IF(OR(B368="",NOT(ISNUMBER(K368)),NOT(ISNUMBER(L368))),"",IF(OR(K368&lt;=0,L368&lt;=0),"",ROUND(L368-K368,6)))</f>
        <v/>
      </c>
      <c r="N368" s="58" t="n"/>
      <c r="O368" s="62" t="n"/>
      <c r="P368" s="63" t="str">
        <f>IF(OR(B368="",NOT(ISNUMBER(L368))),"",IF(L368&lt;=0,"",IFERROR(ROUND(L368*N(INDEX(art_w,MATCH(H368,art_ref,0))),3),"")))</f>
        <v/>
      </c>
      <c r="Q368" s="59" t="n"/>
      <c r="R368" s="54" t="n"/>
      <c r="S368" s="59" t="n"/>
      <c r="T368" s="59" t="n"/>
      <c r="U368" s="64" t="str">
        <f>IF(OR(B368="",H368=""),"",IFERROR(IF(A368="BL",IF(N(INDEX(art_price,MATCH(H368,art_ref,0)))=0,"",N(INDEX(art_price,MATCH(H368,art_ref,0)))),IF(N(INDEX(art_cost,MATCH(H368,art_ref,0)))=0,"",N(INDEX(art_cost,MATCH(H368,art_ref,0))))),""))</f>
        <v/>
      </c>
      <c r="V368" s="64" t="str">
        <f>IF(OR(U368="",NOT(ISNUMBER(L368))),"",IF(L368&lt;=0,"",ROUND(L368*U368,2)))</f>
        <v/>
      </c>
      <c r="W368" s="60" t="str">
        <f>IF(AND(B368&lt;&gt;"",A368&lt;&gt;"BS",F368&lt;&gt;"",H368&lt;&gt;"",ISNUMBER(K368),ISNUMBER(L368)),IF(AND(K368&gt;0,L368&gt;0,K368-L368&gt;0,COUNTIFS(A369:A$2005,A368,F369:F$2005,F368,H369:H$2005,H368,AA369:AA$2005,"&gt;0")=0),ROUND(K368-L368,6),""),"")</f>
        <v/>
      </c>
      <c r="X368" s="60" t="str">
        <f>IF(AND(A368="",C368="",D368="",H368="",L368=""),"",IF(A368="","Type manquant",IF(AND(A368&lt;&gt;"BL",A368&lt;&gt;"BR",A368&lt;&gt;"BS"),"Type inconnu (BL, BR ou BS)",IF(AG368=0,"Date manquante ou invalide",IF(D368="",IF(A368="BL","Client manquant",IF(A368="BR","Fournisseur manquant","Service manquant")),IF(IF(A368="BL",ISNA(MATCH(D368,cl_code,0)),IF(A368="BR",ISNA(MATCH(D368,fo_code,0)),ISNA(MATCH(D368,p_services,0)))),IF(A368="BL","Client inconnu",IF(A368="BR","Fournisseur inconnu","Service inconnu")),IF(H368="","Article manquant",IF(ISNA(MATCH(H368,art_ref,0)),"Article inconnu",IF(OR(NOT(ISNUMBER(L368)),N(L368)&lt;=0),"Quantité invalide",IF(AND(K368&lt;&gt;"",OR(NOT(ISNUMBER(K368)),N(K368)&lt;=0)),"Qté commandée invalide",IF(AG368&lt;SUMPRODUCT(MAX((A$6:A367=A368)*AG$6:AG367)),"Date antérieure au bon précédent",IF(AND(A368&lt;&gt;"BR",ISNUMBER(M368),N(M368)&gt;0),IF(A368="BL","Livré plus que commandé","Sorti plus que demandé"),"OK"))))))))))))</f>
        <v/>
      </c>
      <c r="Y368" s="57" t="str">
        <f>IF(AND(OR(A368="BL",A368="BR",A368="BS"),AG368&gt;0,D368&lt;&gt;""),A368&amp;"|"&amp;AG368&amp;"|"&amp;D368&amp;"|"&amp;F368,"")</f>
        <v/>
      </c>
      <c r="Z368" s="57" t="str">
        <f>IF(Y368="","",IF(COUNTIF(Y$6:Y367,Y368)=0,1,0))</f>
        <v/>
      </c>
      <c r="AA368" s="57" t="str">
        <f>IF(Y368="","",IF(Z368=1,COUNTIFS(A$6:A368,A368,Z$6:Z368,1),INDEX(AA$6:AA367,MATCH(Y368,Y$6:Y367,0))))</f>
        <v/>
      </c>
      <c r="AB368" s="57" t="str">
        <f>IF(B368="","",COUNTIF(B$6:B368,B368))</f>
        <v/>
      </c>
      <c r="AC368" s="57" t="str">
        <f>IF(B368="","",B368&amp;"#"&amp;AB368)</f>
        <v/>
      </c>
      <c r="AD368" s="57" t="str">
        <f>IF(Z368=1,A368&amp;AA368,"")</f>
        <v/>
      </c>
      <c r="AE368" s="57" t="str">
        <f>IF(B368="","",YEAR(C368))</f>
        <v/>
      </c>
      <c r="AF368" s="57" t="str">
        <f>IF(B368="","",MONTH(C368))</f>
        <v/>
      </c>
      <c r="AG368" s="57">
        <f>IF(ISNUMBER(C368),C368,0)</f>
        <v>0.0</v>
      </c>
      <c r="AH368" s="57" t="str">
        <f>IF(N(W368)&gt;0,COUNTIF(W$6:W368,"&gt;0"),"")</f>
        <v/>
      </c>
      <c r="AI368" s="57" t="str">
        <f>IF(Z368=1,COUNTIF(Z$6:Z368,1),"")</f>
        <v/>
      </c>
    </row>
    <row r="369">
      <c r="A369" s="54" t="n"/>
      <c r="B369" s="55" t="str">
        <f>IF(AA369="","",A369&amp;"-"&amp;RIGHT("000"&amp;AA369,4))</f>
        <v/>
      </c>
      <c r="C369" s="56" t="n"/>
      <c r="D369" s="54" t="n"/>
      <c r="E369" s="57" t="str">
        <f>IF(D369="","",IF(A369="BL",IFERROR(INDEX(cl_name,MATCH(D369,cl_code,0))&amp;"","Client inconnu"),IF(A369="BR",IFERROR(INDEX(fo_name,MATCH(D369,fo_code,0))&amp;"","Fournisseur inconnu"),IF(A369="BS",IF(ISNA(MATCH(D369,p_services,0)),"Service inconnu",D369&amp;""),""))))</f>
        <v/>
      </c>
      <c r="F369" s="58" t="n"/>
      <c r="G369" s="58" t="n"/>
      <c r="H369" s="59" t="n"/>
      <c r="I369" s="57" t="str">
        <f>IF(H369="","",IFERROR(INDEX(art_des,MATCH(H369,art_ref,0))&amp;"","Article inconnu"))</f>
        <v/>
      </c>
      <c r="J369" s="60" t="str">
        <f>IF(H369="","",IFERROR(INDEX(art_unit,MATCH(H369,art_ref,0))&amp;"",""))</f>
        <v/>
      </c>
      <c r="K369" s="59" t="n"/>
      <c r="L369" s="59" t="n"/>
      <c r="M369" s="61" t="str">
        <f>IF(OR(B369="",NOT(ISNUMBER(K369)),NOT(ISNUMBER(L369))),"",IF(OR(K369&lt;=0,L369&lt;=0),"",ROUND(L369-K369,6)))</f>
        <v/>
      </c>
      <c r="N369" s="58" t="n"/>
      <c r="O369" s="62" t="n"/>
      <c r="P369" s="63" t="str">
        <f>IF(OR(B369="",NOT(ISNUMBER(L369))),"",IF(L369&lt;=0,"",IFERROR(ROUND(L369*N(INDEX(art_w,MATCH(H369,art_ref,0))),3),"")))</f>
        <v/>
      </c>
      <c r="Q369" s="59" t="n"/>
      <c r="R369" s="54" t="n"/>
      <c r="S369" s="59" t="n"/>
      <c r="T369" s="59" t="n"/>
      <c r="U369" s="64" t="str">
        <f>IF(OR(B369="",H369=""),"",IFERROR(IF(A369="BL",IF(N(INDEX(art_price,MATCH(H369,art_ref,0)))=0,"",N(INDEX(art_price,MATCH(H369,art_ref,0)))),IF(N(INDEX(art_cost,MATCH(H369,art_ref,0)))=0,"",N(INDEX(art_cost,MATCH(H369,art_ref,0))))),""))</f>
        <v/>
      </c>
      <c r="V369" s="64" t="str">
        <f>IF(OR(U369="",NOT(ISNUMBER(L369))),"",IF(L369&lt;=0,"",ROUND(L369*U369,2)))</f>
        <v/>
      </c>
      <c r="W369" s="60" t="str">
        <f>IF(AND(B369&lt;&gt;"",A369&lt;&gt;"BS",F369&lt;&gt;"",H369&lt;&gt;"",ISNUMBER(K369),ISNUMBER(L369)),IF(AND(K369&gt;0,L369&gt;0,K369-L369&gt;0,COUNTIFS(A370:A$2005,A369,F370:F$2005,F369,H370:H$2005,H369,AA370:AA$2005,"&gt;0")=0),ROUND(K369-L369,6),""),"")</f>
        <v/>
      </c>
      <c r="X369" s="60" t="str">
        <f>IF(AND(A369="",C369="",D369="",H369="",L369=""),"",IF(A369="","Type manquant",IF(AND(A369&lt;&gt;"BL",A369&lt;&gt;"BR",A369&lt;&gt;"BS"),"Type inconnu (BL, BR ou BS)",IF(AG369=0,"Date manquante ou invalide",IF(D369="",IF(A369="BL","Client manquant",IF(A369="BR","Fournisseur manquant","Service manquant")),IF(IF(A369="BL",ISNA(MATCH(D369,cl_code,0)),IF(A369="BR",ISNA(MATCH(D369,fo_code,0)),ISNA(MATCH(D369,p_services,0)))),IF(A369="BL","Client inconnu",IF(A369="BR","Fournisseur inconnu","Service inconnu")),IF(H369="","Article manquant",IF(ISNA(MATCH(H369,art_ref,0)),"Article inconnu",IF(OR(NOT(ISNUMBER(L369)),N(L369)&lt;=0),"Quantité invalide",IF(AND(K369&lt;&gt;"",OR(NOT(ISNUMBER(K369)),N(K369)&lt;=0)),"Qté commandée invalide",IF(AG369&lt;SUMPRODUCT(MAX((A$6:A368=A369)*AG$6:AG368)),"Date antérieure au bon précédent",IF(AND(A369&lt;&gt;"BR",ISNUMBER(M369),N(M369)&gt;0),IF(A369="BL","Livré plus que commandé","Sorti plus que demandé"),"OK"))))))))))))</f>
        <v/>
      </c>
      <c r="Y369" s="57" t="str">
        <f>IF(AND(OR(A369="BL",A369="BR",A369="BS"),AG369&gt;0,D369&lt;&gt;""),A369&amp;"|"&amp;AG369&amp;"|"&amp;D369&amp;"|"&amp;F369,"")</f>
        <v/>
      </c>
      <c r="Z369" s="57" t="str">
        <f>IF(Y369="","",IF(COUNTIF(Y$6:Y368,Y369)=0,1,0))</f>
        <v/>
      </c>
      <c r="AA369" s="57" t="str">
        <f>IF(Y369="","",IF(Z369=1,COUNTIFS(A$6:A369,A369,Z$6:Z369,1),INDEX(AA$6:AA368,MATCH(Y369,Y$6:Y368,0))))</f>
        <v/>
      </c>
      <c r="AB369" s="57" t="str">
        <f>IF(B369="","",COUNTIF(B$6:B369,B369))</f>
        <v/>
      </c>
      <c r="AC369" s="57" t="str">
        <f>IF(B369="","",B369&amp;"#"&amp;AB369)</f>
        <v/>
      </c>
      <c r="AD369" s="57" t="str">
        <f>IF(Z369=1,A369&amp;AA369,"")</f>
        <v/>
      </c>
      <c r="AE369" s="57" t="str">
        <f>IF(B369="","",YEAR(C369))</f>
        <v/>
      </c>
      <c r="AF369" s="57" t="str">
        <f>IF(B369="","",MONTH(C369))</f>
        <v/>
      </c>
      <c r="AG369" s="57">
        <f>IF(ISNUMBER(C369),C369,0)</f>
        <v>0.0</v>
      </c>
      <c r="AH369" s="57" t="str">
        <f>IF(N(W369)&gt;0,COUNTIF(W$6:W369,"&gt;0"),"")</f>
        <v/>
      </c>
      <c r="AI369" s="57" t="str">
        <f>IF(Z369=1,COUNTIF(Z$6:Z369,1),"")</f>
        <v/>
      </c>
    </row>
    <row r="370">
      <c r="A370" s="54" t="n"/>
      <c r="B370" s="55" t="str">
        <f>IF(AA370="","",A370&amp;"-"&amp;RIGHT("000"&amp;AA370,4))</f>
        <v/>
      </c>
      <c r="C370" s="56" t="n"/>
      <c r="D370" s="54" t="n"/>
      <c r="E370" s="57" t="str">
        <f>IF(D370="","",IF(A370="BL",IFERROR(INDEX(cl_name,MATCH(D370,cl_code,0))&amp;"","Client inconnu"),IF(A370="BR",IFERROR(INDEX(fo_name,MATCH(D370,fo_code,0))&amp;"","Fournisseur inconnu"),IF(A370="BS",IF(ISNA(MATCH(D370,p_services,0)),"Service inconnu",D370&amp;""),""))))</f>
        <v/>
      </c>
      <c r="F370" s="58" t="n"/>
      <c r="G370" s="58" t="n"/>
      <c r="H370" s="59" t="n"/>
      <c r="I370" s="57" t="str">
        <f>IF(H370="","",IFERROR(INDEX(art_des,MATCH(H370,art_ref,0))&amp;"","Article inconnu"))</f>
        <v/>
      </c>
      <c r="J370" s="60" t="str">
        <f>IF(H370="","",IFERROR(INDEX(art_unit,MATCH(H370,art_ref,0))&amp;"",""))</f>
        <v/>
      </c>
      <c r="K370" s="59" t="n"/>
      <c r="L370" s="59" t="n"/>
      <c r="M370" s="61" t="str">
        <f>IF(OR(B370="",NOT(ISNUMBER(K370)),NOT(ISNUMBER(L370))),"",IF(OR(K370&lt;=0,L370&lt;=0),"",ROUND(L370-K370,6)))</f>
        <v/>
      </c>
      <c r="N370" s="58" t="n"/>
      <c r="O370" s="62" t="n"/>
      <c r="P370" s="63" t="str">
        <f>IF(OR(B370="",NOT(ISNUMBER(L370))),"",IF(L370&lt;=0,"",IFERROR(ROUND(L370*N(INDEX(art_w,MATCH(H370,art_ref,0))),3),"")))</f>
        <v/>
      </c>
      <c r="Q370" s="59" t="n"/>
      <c r="R370" s="54" t="n"/>
      <c r="S370" s="59" t="n"/>
      <c r="T370" s="59" t="n"/>
      <c r="U370" s="64" t="str">
        <f>IF(OR(B370="",H370=""),"",IFERROR(IF(A370="BL",IF(N(INDEX(art_price,MATCH(H370,art_ref,0)))=0,"",N(INDEX(art_price,MATCH(H370,art_ref,0)))),IF(N(INDEX(art_cost,MATCH(H370,art_ref,0)))=0,"",N(INDEX(art_cost,MATCH(H370,art_ref,0))))),""))</f>
        <v/>
      </c>
      <c r="V370" s="64" t="str">
        <f>IF(OR(U370="",NOT(ISNUMBER(L370))),"",IF(L370&lt;=0,"",ROUND(L370*U370,2)))</f>
        <v/>
      </c>
      <c r="W370" s="60" t="str">
        <f>IF(AND(B370&lt;&gt;"",A370&lt;&gt;"BS",F370&lt;&gt;"",H370&lt;&gt;"",ISNUMBER(K370),ISNUMBER(L370)),IF(AND(K370&gt;0,L370&gt;0,K370-L370&gt;0,COUNTIFS(A371:A$2005,A370,F371:F$2005,F370,H371:H$2005,H370,AA371:AA$2005,"&gt;0")=0),ROUND(K370-L370,6),""),"")</f>
        <v/>
      </c>
      <c r="X370" s="60" t="str">
        <f>IF(AND(A370="",C370="",D370="",H370="",L370=""),"",IF(A370="","Type manquant",IF(AND(A370&lt;&gt;"BL",A370&lt;&gt;"BR",A370&lt;&gt;"BS"),"Type inconnu (BL, BR ou BS)",IF(AG370=0,"Date manquante ou invalide",IF(D370="",IF(A370="BL","Client manquant",IF(A370="BR","Fournisseur manquant","Service manquant")),IF(IF(A370="BL",ISNA(MATCH(D370,cl_code,0)),IF(A370="BR",ISNA(MATCH(D370,fo_code,0)),ISNA(MATCH(D370,p_services,0)))),IF(A370="BL","Client inconnu",IF(A370="BR","Fournisseur inconnu","Service inconnu")),IF(H370="","Article manquant",IF(ISNA(MATCH(H370,art_ref,0)),"Article inconnu",IF(OR(NOT(ISNUMBER(L370)),N(L370)&lt;=0),"Quantité invalide",IF(AND(K370&lt;&gt;"",OR(NOT(ISNUMBER(K370)),N(K370)&lt;=0)),"Qté commandée invalide",IF(AG370&lt;SUMPRODUCT(MAX((A$6:A369=A370)*AG$6:AG369)),"Date antérieure au bon précédent",IF(AND(A370&lt;&gt;"BR",ISNUMBER(M370),N(M370)&gt;0),IF(A370="BL","Livré plus que commandé","Sorti plus que demandé"),"OK"))))))))))))</f>
        <v/>
      </c>
      <c r="Y370" s="57" t="str">
        <f>IF(AND(OR(A370="BL",A370="BR",A370="BS"),AG370&gt;0,D370&lt;&gt;""),A370&amp;"|"&amp;AG370&amp;"|"&amp;D370&amp;"|"&amp;F370,"")</f>
        <v/>
      </c>
      <c r="Z370" s="57" t="str">
        <f>IF(Y370="","",IF(COUNTIF(Y$6:Y369,Y370)=0,1,0))</f>
        <v/>
      </c>
      <c r="AA370" s="57" t="str">
        <f>IF(Y370="","",IF(Z370=1,COUNTIFS(A$6:A370,A370,Z$6:Z370,1),INDEX(AA$6:AA369,MATCH(Y370,Y$6:Y369,0))))</f>
        <v/>
      </c>
      <c r="AB370" s="57" t="str">
        <f>IF(B370="","",COUNTIF(B$6:B370,B370))</f>
        <v/>
      </c>
      <c r="AC370" s="57" t="str">
        <f>IF(B370="","",B370&amp;"#"&amp;AB370)</f>
        <v/>
      </c>
      <c r="AD370" s="57" t="str">
        <f>IF(Z370=1,A370&amp;AA370,"")</f>
        <v/>
      </c>
      <c r="AE370" s="57" t="str">
        <f>IF(B370="","",YEAR(C370))</f>
        <v/>
      </c>
      <c r="AF370" s="57" t="str">
        <f>IF(B370="","",MONTH(C370))</f>
        <v/>
      </c>
      <c r="AG370" s="57">
        <f>IF(ISNUMBER(C370),C370,0)</f>
        <v>0.0</v>
      </c>
      <c r="AH370" s="57" t="str">
        <f>IF(N(W370)&gt;0,COUNTIF(W$6:W370,"&gt;0"),"")</f>
        <v/>
      </c>
      <c r="AI370" s="57" t="str">
        <f>IF(Z370=1,COUNTIF(Z$6:Z370,1),"")</f>
        <v/>
      </c>
    </row>
    <row r="371">
      <c r="A371" s="54" t="n"/>
      <c r="B371" s="55" t="str">
        <f>IF(AA371="","",A371&amp;"-"&amp;RIGHT("000"&amp;AA371,4))</f>
        <v/>
      </c>
      <c r="C371" s="56" t="n"/>
      <c r="D371" s="54" t="n"/>
      <c r="E371" s="57" t="str">
        <f>IF(D371="","",IF(A371="BL",IFERROR(INDEX(cl_name,MATCH(D371,cl_code,0))&amp;"","Client inconnu"),IF(A371="BR",IFERROR(INDEX(fo_name,MATCH(D371,fo_code,0))&amp;"","Fournisseur inconnu"),IF(A371="BS",IF(ISNA(MATCH(D371,p_services,0)),"Service inconnu",D371&amp;""),""))))</f>
        <v/>
      </c>
      <c r="F371" s="58" t="n"/>
      <c r="G371" s="58" t="n"/>
      <c r="H371" s="59" t="n"/>
      <c r="I371" s="57" t="str">
        <f>IF(H371="","",IFERROR(INDEX(art_des,MATCH(H371,art_ref,0))&amp;"","Article inconnu"))</f>
        <v/>
      </c>
      <c r="J371" s="60" t="str">
        <f>IF(H371="","",IFERROR(INDEX(art_unit,MATCH(H371,art_ref,0))&amp;"",""))</f>
        <v/>
      </c>
      <c r="K371" s="59" t="n"/>
      <c r="L371" s="59" t="n"/>
      <c r="M371" s="61" t="str">
        <f>IF(OR(B371="",NOT(ISNUMBER(K371)),NOT(ISNUMBER(L371))),"",IF(OR(K371&lt;=0,L371&lt;=0),"",ROUND(L371-K371,6)))</f>
        <v/>
      </c>
      <c r="N371" s="58" t="n"/>
      <c r="O371" s="62" t="n"/>
      <c r="P371" s="63" t="str">
        <f>IF(OR(B371="",NOT(ISNUMBER(L371))),"",IF(L371&lt;=0,"",IFERROR(ROUND(L371*N(INDEX(art_w,MATCH(H371,art_ref,0))),3),"")))</f>
        <v/>
      </c>
      <c r="Q371" s="59" t="n"/>
      <c r="R371" s="54" t="n"/>
      <c r="S371" s="59" t="n"/>
      <c r="T371" s="59" t="n"/>
      <c r="U371" s="64" t="str">
        <f>IF(OR(B371="",H371=""),"",IFERROR(IF(A371="BL",IF(N(INDEX(art_price,MATCH(H371,art_ref,0)))=0,"",N(INDEX(art_price,MATCH(H371,art_ref,0)))),IF(N(INDEX(art_cost,MATCH(H371,art_ref,0)))=0,"",N(INDEX(art_cost,MATCH(H371,art_ref,0))))),""))</f>
        <v/>
      </c>
      <c r="V371" s="64" t="str">
        <f>IF(OR(U371="",NOT(ISNUMBER(L371))),"",IF(L371&lt;=0,"",ROUND(L371*U371,2)))</f>
        <v/>
      </c>
      <c r="W371" s="60" t="str">
        <f>IF(AND(B371&lt;&gt;"",A371&lt;&gt;"BS",F371&lt;&gt;"",H371&lt;&gt;"",ISNUMBER(K371),ISNUMBER(L371)),IF(AND(K371&gt;0,L371&gt;0,K371-L371&gt;0,COUNTIFS(A372:A$2005,A371,F372:F$2005,F371,H372:H$2005,H371,AA372:AA$2005,"&gt;0")=0),ROUND(K371-L371,6),""),"")</f>
        <v/>
      </c>
      <c r="X371" s="60" t="str">
        <f>IF(AND(A371="",C371="",D371="",H371="",L371=""),"",IF(A371="","Type manquant",IF(AND(A371&lt;&gt;"BL",A371&lt;&gt;"BR",A371&lt;&gt;"BS"),"Type inconnu (BL, BR ou BS)",IF(AG371=0,"Date manquante ou invalide",IF(D371="",IF(A371="BL","Client manquant",IF(A371="BR","Fournisseur manquant","Service manquant")),IF(IF(A371="BL",ISNA(MATCH(D371,cl_code,0)),IF(A371="BR",ISNA(MATCH(D371,fo_code,0)),ISNA(MATCH(D371,p_services,0)))),IF(A371="BL","Client inconnu",IF(A371="BR","Fournisseur inconnu","Service inconnu")),IF(H371="","Article manquant",IF(ISNA(MATCH(H371,art_ref,0)),"Article inconnu",IF(OR(NOT(ISNUMBER(L371)),N(L371)&lt;=0),"Quantité invalide",IF(AND(K371&lt;&gt;"",OR(NOT(ISNUMBER(K371)),N(K371)&lt;=0)),"Qté commandée invalide",IF(AG371&lt;SUMPRODUCT(MAX((A$6:A370=A371)*AG$6:AG370)),"Date antérieure au bon précédent",IF(AND(A371&lt;&gt;"BR",ISNUMBER(M371),N(M371)&gt;0),IF(A371="BL","Livré plus que commandé","Sorti plus que demandé"),"OK"))))))))))))</f>
        <v/>
      </c>
      <c r="Y371" s="57" t="str">
        <f>IF(AND(OR(A371="BL",A371="BR",A371="BS"),AG371&gt;0,D371&lt;&gt;""),A371&amp;"|"&amp;AG371&amp;"|"&amp;D371&amp;"|"&amp;F371,"")</f>
        <v/>
      </c>
      <c r="Z371" s="57" t="str">
        <f>IF(Y371="","",IF(COUNTIF(Y$6:Y370,Y371)=0,1,0))</f>
        <v/>
      </c>
      <c r="AA371" s="57" t="str">
        <f>IF(Y371="","",IF(Z371=1,COUNTIFS(A$6:A371,A371,Z$6:Z371,1),INDEX(AA$6:AA370,MATCH(Y371,Y$6:Y370,0))))</f>
        <v/>
      </c>
      <c r="AB371" s="57" t="str">
        <f>IF(B371="","",COUNTIF(B$6:B371,B371))</f>
        <v/>
      </c>
      <c r="AC371" s="57" t="str">
        <f>IF(B371="","",B371&amp;"#"&amp;AB371)</f>
        <v/>
      </c>
      <c r="AD371" s="57" t="str">
        <f>IF(Z371=1,A371&amp;AA371,"")</f>
        <v/>
      </c>
      <c r="AE371" s="57" t="str">
        <f>IF(B371="","",YEAR(C371))</f>
        <v/>
      </c>
      <c r="AF371" s="57" t="str">
        <f>IF(B371="","",MONTH(C371))</f>
        <v/>
      </c>
      <c r="AG371" s="57">
        <f>IF(ISNUMBER(C371),C371,0)</f>
        <v>0.0</v>
      </c>
      <c r="AH371" s="57" t="str">
        <f>IF(N(W371)&gt;0,COUNTIF(W$6:W371,"&gt;0"),"")</f>
        <v/>
      </c>
      <c r="AI371" s="57" t="str">
        <f>IF(Z371=1,COUNTIF(Z$6:Z371,1),"")</f>
        <v/>
      </c>
    </row>
    <row r="372">
      <c r="A372" s="54" t="n"/>
      <c r="B372" s="55" t="str">
        <f>IF(AA372="","",A372&amp;"-"&amp;RIGHT("000"&amp;AA372,4))</f>
        <v/>
      </c>
      <c r="C372" s="56" t="n"/>
      <c r="D372" s="54" t="n"/>
      <c r="E372" s="57" t="str">
        <f>IF(D372="","",IF(A372="BL",IFERROR(INDEX(cl_name,MATCH(D372,cl_code,0))&amp;"","Client inconnu"),IF(A372="BR",IFERROR(INDEX(fo_name,MATCH(D372,fo_code,0))&amp;"","Fournisseur inconnu"),IF(A372="BS",IF(ISNA(MATCH(D372,p_services,0)),"Service inconnu",D372&amp;""),""))))</f>
        <v/>
      </c>
      <c r="F372" s="58" t="n"/>
      <c r="G372" s="58" t="n"/>
      <c r="H372" s="59" t="n"/>
      <c r="I372" s="57" t="str">
        <f>IF(H372="","",IFERROR(INDEX(art_des,MATCH(H372,art_ref,0))&amp;"","Article inconnu"))</f>
        <v/>
      </c>
      <c r="J372" s="60" t="str">
        <f>IF(H372="","",IFERROR(INDEX(art_unit,MATCH(H372,art_ref,0))&amp;"",""))</f>
        <v/>
      </c>
      <c r="K372" s="59" t="n"/>
      <c r="L372" s="59" t="n"/>
      <c r="M372" s="61" t="str">
        <f>IF(OR(B372="",NOT(ISNUMBER(K372)),NOT(ISNUMBER(L372))),"",IF(OR(K372&lt;=0,L372&lt;=0),"",ROUND(L372-K372,6)))</f>
        <v/>
      </c>
      <c r="N372" s="58" t="n"/>
      <c r="O372" s="62" t="n"/>
      <c r="P372" s="63" t="str">
        <f>IF(OR(B372="",NOT(ISNUMBER(L372))),"",IF(L372&lt;=0,"",IFERROR(ROUND(L372*N(INDEX(art_w,MATCH(H372,art_ref,0))),3),"")))</f>
        <v/>
      </c>
      <c r="Q372" s="59" t="n"/>
      <c r="R372" s="54" t="n"/>
      <c r="S372" s="59" t="n"/>
      <c r="T372" s="59" t="n"/>
      <c r="U372" s="64" t="str">
        <f>IF(OR(B372="",H372=""),"",IFERROR(IF(A372="BL",IF(N(INDEX(art_price,MATCH(H372,art_ref,0)))=0,"",N(INDEX(art_price,MATCH(H372,art_ref,0)))),IF(N(INDEX(art_cost,MATCH(H372,art_ref,0)))=0,"",N(INDEX(art_cost,MATCH(H372,art_ref,0))))),""))</f>
        <v/>
      </c>
      <c r="V372" s="64" t="str">
        <f>IF(OR(U372="",NOT(ISNUMBER(L372))),"",IF(L372&lt;=0,"",ROUND(L372*U372,2)))</f>
        <v/>
      </c>
      <c r="W372" s="60" t="str">
        <f>IF(AND(B372&lt;&gt;"",A372&lt;&gt;"BS",F372&lt;&gt;"",H372&lt;&gt;"",ISNUMBER(K372),ISNUMBER(L372)),IF(AND(K372&gt;0,L372&gt;0,K372-L372&gt;0,COUNTIFS(A373:A$2005,A372,F373:F$2005,F372,H373:H$2005,H372,AA373:AA$2005,"&gt;0")=0),ROUND(K372-L372,6),""),"")</f>
        <v/>
      </c>
      <c r="X372" s="60" t="str">
        <f>IF(AND(A372="",C372="",D372="",H372="",L372=""),"",IF(A372="","Type manquant",IF(AND(A372&lt;&gt;"BL",A372&lt;&gt;"BR",A372&lt;&gt;"BS"),"Type inconnu (BL, BR ou BS)",IF(AG372=0,"Date manquante ou invalide",IF(D372="",IF(A372="BL","Client manquant",IF(A372="BR","Fournisseur manquant","Service manquant")),IF(IF(A372="BL",ISNA(MATCH(D372,cl_code,0)),IF(A372="BR",ISNA(MATCH(D372,fo_code,0)),ISNA(MATCH(D372,p_services,0)))),IF(A372="BL","Client inconnu",IF(A372="BR","Fournisseur inconnu","Service inconnu")),IF(H372="","Article manquant",IF(ISNA(MATCH(H372,art_ref,0)),"Article inconnu",IF(OR(NOT(ISNUMBER(L372)),N(L372)&lt;=0),"Quantité invalide",IF(AND(K372&lt;&gt;"",OR(NOT(ISNUMBER(K372)),N(K372)&lt;=0)),"Qté commandée invalide",IF(AG372&lt;SUMPRODUCT(MAX((A$6:A371=A372)*AG$6:AG371)),"Date antérieure au bon précédent",IF(AND(A372&lt;&gt;"BR",ISNUMBER(M372),N(M372)&gt;0),IF(A372="BL","Livré plus que commandé","Sorti plus que demandé"),"OK"))))))))))))</f>
        <v/>
      </c>
      <c r="Y372" s="57" t="str">
        <f>IF(AND(OR(A372="BL",A372="BR",A372="BS"),AG372&gt;0,D372&lt;&gt;""),A372&amp;"|"&amp;AG372&amp;"|"&amp;D372&amp;"|"&amp;F372,"")</f>
        <v/>
      </c>
      <c r="Z372" s="57" t="str">
        <f>IF(Y372="","",IF(COUNTIF(Y$6:Y371,Y372)=0,1,0))</f>
        <v/>
      </c>
      <c r="AA372" s="57" t="str">
        <f>IF(Y372="","",IF(Z372=1,COUNTIFS(A$6:A372,A372,Z$6:Z372,1),INDEX(AA$6:AA371,MATCH(Y372,Y$6:Y371,0))))</f>
        <v/>
      </c>
      <c r="AB372" s="57" t="str">
        <f>IF(B372="","",COUNTIF(B$6:B372,B372))</f>
        <v/>
      </c>
      <c r="AC372" s="57" t="str">
        <f>IF(B372="","",B372&amp;"#"&amp;AB372)</f>
        <v/>
      </c>
      <c r="AD372" s="57" t="str">
        <f>IF(Z372=1,A372&amp;AA372,"")</f>
        <v/>
      </c>
      <c r="AE372" s="57" t="str">
        <f>IF(B372="","",YEAR(C372))</f>
        <v/>
      </c>
      <c r="AF372" s="57" t="str">
        <f>IF(B372="","",MONTH(C372))</f>
        <v/>
      </c>
      <c r="AG372" s="57">
        <f>IF(ISNUMBER(C372),C372,0)</f>
        <v>0.0</v>
      </c>
      <c r="AH372" s="57" t="str">
        <f>IF(N(W372)&gt;0,COUNTIF(W$6:W372,"&gt;0"),"")</f>
        <v/>
      </c>
      <c r="AI372" s="57" t="str">
        <f>IF(Z372=1,COUNTIF(Z$6:Z372,1),"")</f>
        <v/>
      </c>
    </row>
    <row r="373">
      <c r="A373" s="54" t="n"/>
      <c r="B373" s="55" t="str">
        <f>IF(AA373="","",A373&amp;"-"&amp;RIGHT("000"&amp;AA373,4))</f>
        <v/>
      </c>
      <c r="C373" s="56" t="n"/>
      <c r="D373" s="54" t="n"/>
      <c r="E373" s="57" t="str">
        <f>IF(D373="","",IF(A373="BL",IFERROR(INDEX(cl_name,MATCH(D373,cl_code,0))&amp;"","Client inconnu"),IF(A373="BR",IFERROR(INDEX(fo_name,MATCH(D373,fo_code,0))&amp;"","Fournisseur inconnu"),IF(A373="BS",IF(ISNA(MATCH(D373,p_services,0)),"Service inconnu",D373&amp;""),""))))</f>
        <v/>
      </c>
      <c r="F373" s="58" t="n"/>
      <c r="G373" s="58" t="n"/>
      <c r="H373" s="59" t="n"/>
      <c r="I373" s="57" t="str">
        <f>IF(H373="","",IFERROR(INDEX(art_des,MATCH(H373,art_ref,0))&amp;"","Article inconnu"))</f>
        <v/>
      </c>
      <c r="J373" s="60" t="str">
        <f>IF(H373="","",IFERROR(INDEX(art_unit,MATCH(H373,art_ref,0))&amp;"",""))</f>
        <v/>
      </c>
      <c r="K373" s="59" t="n"/>
      <c r="L373" s="59" t="n"/>
      <c r="M373" s="61" t="str">
        <f>IF(OR(B373="",NOT(ISNUMBER(K373)),NOT(ISNUMBER(L373))),"",IF(OR(K373&lt;=0,L373&lt;=0),"",ROUND(L373-K373,6)))</f>
        <v/>
      </c>
      <c r="N373" s="58" t="n"/>
      <c r="O373" s="62" t="n"/>
      <c r="P373" s="63" t="str">
        <f>IF(OR(B373="",NOT(ISNUMBER(L373))),"",IF(L373&lt;=0,"",IFERROR(ROUND(L373*N(INDEX(art_w,MATCH(H373,art_ref,0))),3),"")))</f>
        <v/>
      </c>
      <c r="Q373" s="59" t="n"/>
      <c r="R373" s="54" t="n"/>
      <c r="S373" s="59" t="n"/>
      <c r="T373" s="59" t="n"/>
      <c r="U373" s="64" t="str">
        <f>IF(OR(B373="",H373=""),"",IFERROR(IF(A373="BL",IF(N(INDEX(art_price,MATCH(H373,art_ref,0)))=0,"",N(INDEX(art_price,MATCH(H373,art_ref,0)))),IF(N(INDEX(art_cost,MATCH(H373,art_ref,0)))=0,"",N(INDEX(art_cost,MATCH(H373,art_ref,0))))),""))</f>
        <v/>
      </c>
      <c r="V373" s="64" t="str">
        <f>IF(OR(U373="",NOT(ISNUMBER(L373))),"",IF(L373&lt;=0,"",ROUND(L373*U373,2)))</f>
        <v/>
      </c>
      <c r="W373" s="60" t="str">
        <f>IF(AND(B373&lt;&gt;"",A373&lt;&gt;"BS",F373&lt;&gt;"",H373&lt;&gt;"",ISNUMBER(K373),ISNUMBER(L373)),IF(AND(K373&gt;0,L373&gt;0,K373-L373&gt;0,COUNTIFS(A374:A$2005,A373,F374:F$2005,F373,H374:H$2005,H373,AA374:AA$2005,"&gt;0")=0),ROUND(K373-L373,6),""),"")</f>
        <v/>
      </c>
      <c r="X373" s="60" t="str">
        <f>IF(AND(A373="",C373="",D373="",H373="",L373=""),"",IF(A373="","Type manquant",IF(AND(A373&lt;&gt;"BL",A373&lt;&gt;"BR",A373&lt;&gt;"BS"),"Type inconnu (BL, BR ou BS)",IF(AG373=0,"Date manquante ou invalide",IF(D373="",IF(A373="BL","Client manquant",IF(A373="BR","Fournisseur manquant","Service manquant")),IF(IF(A373="BL",ISNA(MATCH(D373,cl_code,0)),IF(A373="BR",ISNA(MATCH(D373,fo_code,0)),ISNA(MATCH(D373,p_services,0)))),IF(A373="BL","Client inconnu",IF(A373="BR","Fournisseur inconnu","Service inconnu")),IF(H373="","Article manquant",IF(ISNA(MATCH(H373,art_ref,0)),"Article inconnu",IF(OR(NOT(ISNUMBER(L373)),N(L373)&lt;=0),"Quantité invalide",IF(AND(K373&lt;&gt;"",OR(NOT(ISNUMBER(K373)),N(K373)&lt;=0)),"Qté commandée invalide",IF(AG373&lt;SUMPRODUCT(MAX((A$6:A372=A373)*AG$6:AG372)),"Date antérieure au bon précédent",IF(AND(A373&lt;&gt;"BR",ISNUMBER(M373),N(M373)&gt;0),IF(A373="BL","Livré plus que commandé","Sorti plus que demandé"),"OK"))))))))))))</f>
        <v/>
      </c>
      <c r="Y373" s="57" t="str">
        <f>IF(AND(OR(A373="BL",A373="BR",A373="BS"),AG373&gt;0,D373&lt;&gt;""),A373&amp;"|"&amp;AG373&amp;"|"&amp;D373&amp;"|"&amp;F373,"")</f>
        <v/>
      </c>
      <c r="Z373" s="57" t="str">
        <f>IF(Y373="","",IF(COUNTIF(Y$6:Y372,Y373)=0,1,0))</f>
        <v/>
      </c>
      <c r="AA373" s="57" t="str">
        <f>IF(Y373="","",IF(Z373=1,COUNTIFS(A$6:A373,A373,Z$6:Z373,1),INDEX(AA$6:AA372,MATCH(Y373,Y$6:Y372,0))))</f>
        <v/>
      </c>
      <c r="AB373" s="57" t="str">
        <f>IF(B373="","",COUNTIF(B$6:B373,B373))</f>
        <v/>
      </c>
      <c r="AC373" s="57" t="str">
        <f>IF(B373="","",B373&amp;"#"&amp;AB373)</f>
        <v/>
      </c>
      <c r="AD373" s="57" t="str">
        <f>IF(Z373=1,A373&amp;AA373,"")</f>
        <v/>
      </c>
      <c r="AE373" s="57" t="str">
        <f>IF(B373="","",YEAR(C373))</f>
        <v/>
      </c>
      <c r="AF373" s="57" t="str">
        <f>IF(B373="","",MONTH(C373))</f>
        <v/>
      </c>
      <c r="AG373" s="57">
        <f>IF(ISNUMBER(C373),C373,0)</f>
        <v>0.0</v>
      </c>
      <c r="AH373" s="57" t="str">
        <f>IF(N(W373)&gt;0,COUNTIF(W$6:W373,"&gt;0"),"")</f>
        <v/>
      </c>
      <c r="AI373" s="57" t="str">
        <f>IF(Z373=1,COUNTIF(Z$6:Z373,1),"")</f>
        <v/>
      </c>
    </row>
    <row r="374">
      <c r="A374" s="54" t="n"/>
      <c r="B374" s="55" t="str">
        <f>IF(AA374="","",A374&amp;"-"&amp;RIGHT("000"&amp;AA374,4))</f>
        <v/>
      </c>
      <c r="C374" s="56" t="n"/>
      <c r="D374" s="54" t="n"/>
      <c r="E374" s="57" t="str">
        <f>IF(D374="","",IF(A374="BL",IFERROR(INDEX(cl_name,MATCH(D374,cl_code,0))&amp;"","Client inconnu"),IF(A374="BR",IFERROR(INDEX(fo_name,MATCH(D374,fo_code,0))&amp;"","Fournisseur inconnu"),IF(A374="BS",IF(ISNA(MATCH(D374,p_services,0)),"Service inconnu",D374&amp;""),""))))</f>
        <v/>
      </c>
      <c r="F374" s="58" t="n"/>
      <c r="G374" s="58" t="n"/>
      <c r="H374" s="59" t="n"/>
      <c r="I374" s="57" t="str">
        <f>IF(H374="","",IFERROR(INDEX(art_des,MATCH(H374,art_ref,0))&amp;"","Article inconnu"))</f>
        <v/>
      </c>
      <c r="J374" s="60" t="str">
        <f>IF(H374="","",IFERROR(INDEX(art_unit,MATCH(H374,art_ref,0))&amp;"",""))</f>
        <v/>
      </c>
      <c r="K374" s="59" t="n"/>
      <c r="L374" s="59" t="n"/>
      <c r="M374" s="61" t="str">
        <f>IF(OR(B374="",NOT(ISNUMBER(K374)),NOT(ISNUMBER(L374))),"",IF(OR(K374&lt;=0,L374&lt;=0),"",ROUND(L374-K374,6)))</f>
        <v/>
      </c>
      <c r="N374" s="58" t="n"/>
      <c r="O374" s="62" t="n"/>
      <c r="P374" s="63" t="str">
        <f>IF(OR(B374="",NOT(ISNUMBER(L374))),"",IF(L374&lt;=0,"",IFERROR(ROUND(L374*N(INDEX(art_w,MATCH(H374,art_ref,0))),3),"")))</f>
        <v/>
      </c>
      <c r="Q374" s="59" t="n"/>
      <c r="R374" s="54" t="n"/>
      <c r="S374" s="59" t="n"/>
      <c r="T374" s="59" t="n"/>
      <c r="U374" s="64" t="str">
        <f>IF(OR(B374="",H374=""),"",IFERROR(IF(A374="BL",IF(N(INDEX(art_price,MATCH(H374,art_ref,0)))=0,"",N(INDEX(art_price,MATCH(H374,art_ref,0)))),IF(N(INDEX(art_cost,MATCH(H374,art_ref,0)))=0,"",N(INDEX(art_cost,MATCH(H374,art_ref,0))))),""))</f>
        <v/>
      </c>
      <c r="V374" s="64" t="str">
        <f>IF(OR(U374="",NOT(ISNUMBER(L374))),"",IF(L374&lt;=0,"",ROUND(L374*U374,2)))</f>
        <v/>
      </c>
      <c r="W374" s="60" t="str">
        <f>IF(AND(B374&lt;&gt;"",A374&lt;&gt;"BS",F374&lt;&gt;"",H374&lt;&gt;"",ISNUMBER(K374),ISNUMBER(L374)),IF(AND(K374&gt;0,L374&gt;0,K374-L374&gt;0,COUNTIFS(A375:A$2005,A374,F375:F$2005,F374,H375:H$2005,H374,AA375:AA$2005,"&gt;0")=0),ROUND(K374-L374,6),""),"")</f>
        <v/>
      </c>
      <c r="X374" s="60" t="str">
        <f>IF(AND(A374="",C374="",D374="",H374="",L374=""),"",IF(A374="","Type manquant",IF(AND(A374&lt;&gt;"BL",A374&lt;&gt;"BR",A374&lt;&gt;"BS"),"Type inconnu (BL, BR ou BS)",IF(AG374=0,"Date manquante ou invalide",IF(D374="",IF(A374="BL","Client manquant",IF(A374="BR","Fournisseur manquant","Service manquant")),IF(IF(A374="BL",ISNA(MATCH(D374,cl_code,0)),IF(A374="BR",ISNA(MATCH(D374,fo_code,0)),ISNA(MATCH(D374,p_services,0)))),IF(A374="BL","Client inconnu",IF(A374="BR","Fournisseur inconnu","Service inconnu")),IF(H374="","Article manquant",IF(ISNA(MATCH(H374,art_ref,0)),"Article inconnu",IF(OR(NOT(ISNUMBER(L374)),N(L374)&lt;=0),"Quantité invalide",IF(AND(K374&lt;&gt;"",OR(NOT(ISNUMBER(K374)),N(K374)&lt;=0)),"Qté commandée invalide",IF(AG374&lt;SUMPRODUCT(MAX((A$6:A373=A374)*AG$6:AG373)),"Date antérieure au bon précédent",IF(AND(A374&lt;&gt;"BR",ISNUMBER(M374),N(M374)&gt;0),IF(A374="BL","Livré plus que commandé","Sorti plus que demandé"),"OK"))))))))))))</f>
        <v/>
      </c>
      <c r="Y374" s="57" t="str">
        <f>IF(AND(OR(A374="BL",A374="BR",A374="BS"),AG374&gt;0,D374&lt;&gt;""),A374&amp;"|"&amp;AG374&amp;"|"&amp;D374&amp;"|"&amp;F374,"")</f>
        <v/>
      </c>
      <c r="Z374" s="57" t="str">
        <f>IF(Y374="","",IF(COUNTIF(Y$6:Y373,Y374)=0,1,0))</f>
        <v/>
      </c>
      <c r="AA374" s="57" t="str">
        <f>IF(Y374="","",IF(Z374=1,COUNTIFS(A$6:A374,A374,Z$6:Z374,1),INDEX(AA$6:AA373,MATCH(Y374,Y$6:Y373,0))))</f>
        <v/>
      </c>
      <c r="AB374" s="57" t="str">
        <f>IF(B374="","",COUNTIF(B$6:B374,B374))</f>
        <v/>
      </c>
      <c r="AC374" s="57" t="str">
        <f>IF(B374="","",B374&amp;"#"&amp;AB374)</f>
        <v/>
      </c>
      <c r="AD374" s="57" t="str">
        <f>IF(Z374=1,A374&amp;AA374,"")</f>
        <v/>
      </c>
      <c r="AE374" s="57" t="str">
        <f>IF(B374="","",YEAR(C374))</f>
        <v/>
      </c>
      <c r="AF374" s="57" t="str">
        <f>IF(B374="","",MONTH(C374))</f>
        <v/>
      </c>
      <c r="AG374" s="57">
        <f>IF(ISNUMBER(C374),C374,0)</f>
        <v>0.0</v>
      </c>
      <c r="AH374" s="57" t="str">
        <f>IF(N(W374)&gt;0,COUNTIF(W$6:W374,"&gt;0"),"")</f>
        <v/>
      </c>
      <c r="AI374" s="57" t="str">
        <f>IF(Z374=1,COUNTIF(Z$6:Z374,1),"")</f>
        <v/>
      </c>
    </row>
    <row r="375">
      <c r="A375" s="54" t="n"/>
      <c r="B375" s="55" t="str">
        <f>IF(AA375="","",A375&amp;"-"&amp;RIGHT("000"&amp;AA375,4))</f>
        <v/>
      </c>
      <c r="C375" s="56" t="n"/>
      <c r="D375" s="54" t="n"/>
      <c r="E375" s="57" t="str">
        <f>IF(D375="","",IF(A375="BL",IFERROR(INDEX(cl_name,MATCH(D375,cl_code,0))&amp;"","Client inconnu"),IF(A375="BR",IFERROR(INDEX(fo_name,MATCH(D375,fo_code,0))&amp;"","Fournisseur inconnu"),IF(A375="BS",IF(ISNA(MATCH(D375,p_services,0)),"Service inconnu",D375&amp;""),""))))</f>
        <v/>
      </c>
      <c r="F375" s="58" t="n"/>
      <c r="G375" s="58" t="n"/>
      <c r="H375" s="59" t="n"/>
      <c r="I375" s="57" t="str">
        <f>IF(H375="","",IFERROR(INDEX(art_des,MATCH(H375,art_ref,0))&amp;"","Article inconnu"))</f>
        <v/>
      </c>
      <c r="J375" s="60" t="str">
        <f>IF(H375="","",IFERROR(INDEX(art_unit,MATCH(H375,art_ref,0))&amp;"",""))</f>
        <v/>
      </c>
      <c r="K375" s="59" t="n"/>
      <c r="L375" s="59" t="n"/>
      <c r="M375" s="61" t="str">
        <f>IF(OR(B375="",NOT(ISNUMBER(K375)),NOT(ISNUMBER(L375))),"",IF(OR(K375&lt;=0,L375&lt;=0),"",ROUND(L375-K375,6)))</f>
        <v/>
      </c>
      <c r="N375" s="58" t="n"/>
      <c r="O375" s="62" t="n"/>
      <c r="P375" s="63" t="str">
        <f>IF(OR(B375="",NOT(ISNUMBER(L375))),"",IF(L375&lt;=0,"",IFERROR(ROUND(L375*N(INDEX(art_w,MATCH(H375,art_ref,0))),3),"")))</f>
        <v/>
      </c>
      <c r="Q375" s="59" t="n"/>
      <c r="R375" s="54" t="n"/>
      <c r="S375" s="59" t="n"/>
      <c r="T375" s="59" t="n"/>
      <c r="U375" s="64" t="str">
        <f>IF(OR(B375="",H375=""),"",IFERROR(IF(A375="BL",IF(N(INDEX(art_price,MATCH(H375,art_ref,0)))=0,"",N(INDEX(art_price,MATCH(H375,art_ref,0)))),IF(N(INDEX(art_cost,MATCH(H375,art_ref,0)))=0,"",N(INDEX(art_cost,MATCH(H375,art_ref,0))))),""))</f>
        <v/>
      </c>
      <c r="V375" s="64" t="str">
        <f>IF(OR(U375="",NOT(ISNUMBER(L375))),"",IF(L375&lt;=0,"",ROUND(L375*U375,2)))</f>
        <v/>
      </c>
      <c r="W375" s="60" t="str">
        <f>IF(AND(B375&lt;&gt;"",A375&lt;&gt;"BS",F375&lt;&gt;"",H375&lt;&gt;"",ISNUMBER(K375),ISNUMBER(L375)),IF(AND(K375&gt;0,L375&gt;0,K375-L375&gt;0,COUNTIFS(A376:A$2005,A375,F376:F$2005,F375,H376:H$2005,H375,AA376:AA$2005,"&gt;0")=0),ROUND(K375-L375,6),""),"")</f>
        <v/>
      </c>
      <c r="X375" s="60" t="str">
        <f>IF(AND(A375="",C375="",D375="",H375="",L375=""),"",IF(A375="","Type manquant",IF(AND(A375&lt;&gt;"BL",A375&lt;&gt;"BR",A375&lt;&gt;"BS"),"Type inconnu (BL, BR ou BS)",IF(AG375=0,"Date manquante ou invalide",IF(D375="",IF(A375="BL","Client manquant",IF(A375="BR","Fournisseur manquant","Service manquant")),IF(IF(A375="BL",ISNA(MATCH(D375,cl_code,0)),IF(A375="BR",ISNA(MATCH(D375,fo_code,0)),ISNA(MATCH(D375,p_services,0)))),IF(A375="BL","Client inconnu",IF(A375="BR","Fournisseur inconnu","Service inconnu")),IF(H375="","Article manquant",IF(ISNA(MATCH(H375,art_ref,0)),"Article inconnu",IF(OR(NOT(ISNUMBER(L375)),N(L375)&lt;=0),"Quantité invalide",IF(AND(K375&lt;&gt;"",OR(NOT(ISNUMBER(K375)),N(K375)&lt;=0)),"Qté commandée invalide",IF(AG375&lt;SUMPRODUCT(MAX((A$6:A374=A375)*AG$6:AG374)),"Date antérieure au bon précédent",IF(AND(A375&lt;&gt;"BR",ISNUMBER(M375),N(M375)&gt;0),IF(A375="BL","Livré plus que commandé","Sorti plus que demandé"),"OK"))))))))))))</f>
        <v/>
      </c>
      <c r="Y375" s="57" t="str">
        <f>IF(AND(OR(A375="BL",A375="BR",A375="BS"),AG375&gt;0,D375&lt;&gt;""),A375&amp;"|"&amp;AG375&amp;"|"&amp;D375&amp;"|"&amp;F375,"")</f>
        <v/>
      </c>
      <c r="Z375" s="57" t="str">
        <f>IF(Y375="","",IF(COUNTIF(Y$6:Y374,Y375)=0,1,0))</f>
        <v/>
      </c>
      <c r="AA375" s="57" t="str">
        <f>IF(Y375="","",IF(Z375=1,COUNTIFS(A$6:A375,A375,Z$6:Z375,1),INDEX(AA$6:AA374,MATCH(Y375,Y$6:Y374,0))))</f>
        <v/>
      </c>
      <c r="AB375" s="57" t="str">
        <f>IF(B375="","",COUNTIF(B$6:B375,B375))</f>
        <v/>
      </c>
      <c r="AC375" s="57" t="str">
        <f>IF(B375="","",B375&amp;"#"&amp;AB375)</f>
        <v/>
      </c>
      <c r="AD375" s="57" t="str">
        <f>IF(Z375=1,A375&amp;AA375,"")</f>
        <v/>
      </c>
      <c r="AE375" s="57" t="str">
        <f>IF(B375="","",YEAR(C375))</f>
        <v/>
      </c>
      <c r="AF375" s="57" t="str">
        <f>IF(B375="","",MONTH(C375))</f>
        <v/>
      </c>
      <c r="AG375" s="57">
        <f>IF(ISNUMBER(C375),C375,0)</f>
        <v>0.0</v>
      </c>
      <c r="AH375" s="57" t="str">
        <f>IF(N(W375)&gt;0,COUNTIF(W$6:W375,"&gt;0"),"")</f>
        <v/>
      </c>
      <c r="AI375" s="57" t="str">
        <f>IF(Z375=1,COUNTIF(Z$6:Z375,1),"")</f>
        <v/>
      </c>
    </row>
    <row r="376">
      <c r="A376" s="54" t="n"/>
      <c r="B376" s="55" t="str">
        <f>IF(AA376="","",A376&amp;"-"&amp;RIGHT("000"&amp;AA376,4))</f>
        <v/>
      </c>
      <c r="C376" s="56" t="n"/>
      <c r="D376" s="54" t="n"/>
      <c r="E376" s="57" t="str">
        <f>IF(D376="","",IF(A376="BL",IFERROR(INDEX(cl_name,MATCH(D376,cl_code,0))&amp;"","Client inconnu"),IF(A376="BR",IFERROR(INDEX(fo_name,MATCH(D376,fo_code,0))&amp;"","Fournisseur inconnu"),IF(A376="BS",IF(ISNA(MATCH(D376,p_services,0)),"Service inconnu",D376&amp;""),""))))</f>
        <v/>
      </c>
      <c r="F376" s="58" t="n"/>
      <c r="G376" s="58" t="n"/>
      <c r="H376" s="59" t="n"/>
      <c r="I376" s="57" t="str">
        <f>IF(H376="","",IFERROR(INDEX(art_des,MATCH(H376,art_ref,0))&amp;"","Article inconnu"))</f>
        <v/>
      </c>
      <c r="J376" s="60" t="str">
        <f>IF(H376="","",IFERROR(INDEX(art_unit,MATCH(H376,art_ref,0))&amp;"",""))</f>
        <v/>
      </c>
      <c r="K376" s="59" t="n"/>
      <c r="L376" s="59" t="n"/>
      <c r="M376" s="61" t="str">
        <f>IF(OR(B376="",NOT(ISNUMBER(K376)),NOT(ISNUMBER(L376))),"",IF(OR(K376&lt;=0,L376&lt;=0),"",ROUND(L376-K376,6)))</f>
        <v/>
      </c>
      <c r="N376" s="58" t="n"/>
      <c r="O376" s="62" t="n"/>
      <c r="P376" s="63" t="str">
        <f>IF(OR(B376="",NOT(ISNUMBER(L376))),"",IF(L376&lt;=0,"",IFERROR(ROUND(L376*N(INDEX(art_w,MATCH(H376,art_ref,0))),3),"")))</f>
        <v/>
      </c>
      <c r="Q376" s="59" t="n"/>
      <c r="R376" s="54" t="n"/>
      <c r="S376" s="59" t="n"/>
      <c r="T376" s="59" t="n"/>
      <c r="U376" s="64" t="str">
        <f>IF(OR(B376="",H376=""),"",IFERROR(IF(A376="BL",IF(N(INDEX(art_price,MATCH(H376,art_ref,0)))=0,"",N(INDEX(art_price,MATCH(H376,art_ref,0)))),IF(N(INDEX(art_cost,MATCH(H376,art_ref,0)))=0,"",N(INDEX(art_cost,MATCH(H376,art_ref,0))))),""))</f>
        <v/>
      </c>
      <c r="V376" s="64" t="str">
        <f>IF(OR(U376="",NOT(ISNUMBER(L376))),"",IF(L376&lt;=0,"",ROUND(L376*U376,2)))</f>
        <v/>
      </c>
      <c r="W376" s="60" t="str">
        <f>IF(AND(B376&lt;&gt;"",A376&lt;&gt;"BS",F376&lt;&gt;"",H376&lt;&gt;"",ISNUMBER(K376),ISNUMBER(L376)),IF(AND(K376&gt;0,L376&gt;0,K376-L376&gt;0,COUNTIFS(A377:A$2005,A376,F377:F$2005,F376,H377:H$2005,H376,AA377:AA$2005,"&gt;0")=0),ROUND(K376-L376,6),""),"")</f>
        <v/>
      </c>
      <c r="X376" s="60" t="str">
        <f>IF(AND(A376="",C376="",D376="",H376="",L376=""),"",IF(A376="","Type manquant",IF(AND(A376&lt;&gt;"BL",A376&lt;&gt;"BR",A376&lt;&gt;"BS"),"Type inconnu (BL, BR ou BS)",IF(AG376=0,"Date manquante ou invalide",IF(D376="",IF(A376="BL","Client manquant",IF(A376="BR","Fournisseur manquant","Service manquant")),IF(IF(A376="BL",ISNA(MATCH(D376,cl_code,0)),IF(A376="BR",ISNA(MATCH(D376,fo_code,0)),ISNA(MATCH(D376,p_services,0)))),IF(A376="BL","Client inconnu",IF(A376="BR","Fournisseur inconnu","Service inconnu")),IF(H376="","Article manquant",IF(ISNA(MATCH(H376,art_ref,0)),"Article inconnu",IF(OR(NOT(ISNUMBER(L376)),N(L376)&lt;=0),"Quantité invalide",IF(AND(K376&lt;&gt;"",OR(NOT(ISNUMBER(K376)),N(K376)&lt;=0)),"Qté commandée invalide",IF(AG376&lt;SUMPRODUCT(MAX((A$6:A375=A376)*AG$6:AG375)),"Date antérieure au bon précédent",IF(AND(A376&lt;&gt;"BR",ISNUMBER(M376),N(M376)&gt;0),IF(A376="BL","Livré plus que commandé","Sorti plus que demandé"),"OK"))))))))))))</f>
        <v/>
      </c>
      <c r="Y376" s="57" t="str">
        <f>IF(AND(OR(A376="BL",A376="BR",A376="BS"),AG376&gt;0,D376&lt;&gt;""),A376&amp;"|"&amp;AG376&amp;"|"&amp;D376&amp;"|"&amp;F376,"")</f>
        <v/>
      </c>
      <c r="Z376" s="57" t="str">
        <f>IF(Y376="","",IF(COUNTIF(Y$6:Y375,Y376)=0,1,0))</f>
        <v/>
      </c>
      <c r="AA376" s="57" t="str">
        <f>IF(Y376="","",IF(Z376=1,COUNTIFS(A$6:A376,A376,Z$6:Z376,1),INDEX(AA$6:AA375,MATCH(Y376,Y$6:Y375,0))))</f>
        <v/>
      </c>
      <c r="AB376" s="57" t="str">
        <f>IF(B376="","",COUNTIF(B$6:B376,B376))</f>
        <v/>
      </c>
      <c r="AC376" s="57" t="str">
        <f>IF(B376="","",B376&amp;"#"&amp;AB376)</f>
        <v/>
      </c>
      <c r="AD376" s="57" t="str">
        <f>IF(Z376=1,A376&amp;AA376,"")</f>
        <v/>
      </c>
      <c r="AE376" s="57" t="str">
        <f>IF(B376="","",YEAR(C376))</f>
        <v/>
      </c>
      <c r="AF376" s="57" t="str">
        <f>IF(B376="","",MONTH(C376))</f>
        <v/>
      </c>
      <c r="AG376" s="57">
        <f>IF(ISNUMBER(C376),C376,0)</f>
        <v>0.0</v>
      </c>
      <c r="AH376" s="57" t="str">
        <f>IF(N(W376)&gt;0,COUNTIF(W$6:W376,"&gt;0"),"")</f>
        <v/>
      </c>
      <c r="AI376" s="57" t="str">
        <f>IF(Z376=1,COUNTIF(Z$6:Z376,1),"")</f>
        <v/>
      </c>
    </row>
    <row r="377">
      <c r="A377" s="54" t="n"/>
      <c r="B377" s="55" t="str">
        <f>IF(AA377="","",A377&amp;"-"&amp;RIGHT("000"&amp;AA377,4))</f>
        <v/>
      </c>
      <c r="C377" s="56" t="n"/>
      <c r="D377" s="54" t="n"/>
      <c r="E377" s="57" t="str">
        <f>IF(D377="","",IF(A377="BL",IFERROR(INDEX(cl_name,MATCH(D377,cl_code,0))&amp;"","Client inconnu"),IF(A377="BR",IFERROR(INDEX(fo_name,MATCH(D377,fo_code,0))&amp;"","Fournisseur inconnu"),IF(A377="BS",IF(ISNA(MATCH(D377,p_services,0)),"Service inconnu",D377&amp;""),""))))</f>
        <v/>
      </c>
      <c r="F377" s="58" t="n"/>
      <c r="G377" s="58" t="n"/>
      <c r="H377" s="59" t="n"/>
      <c r="I377" s="57" t="str">
        <f>IF(H377="","",IFERROR(INDEX(art_des,MATCH(H377,art_ref,0))&amp;"","Article inconnu"))</f>
        <v/>
      </c>
      <c r="J377" s="60" t="str">
        <f>IF(H377="","",IFERROR(INDEX(art_unit,MATCH(H377,art_ref,0))&amp;"",""))</f>
        <v/>
      </c>
      <c r="K377" s="59" t="n"/>
      <c r="L377" s="59" t="n"/>
      <c r="M377" s="61" t="str">
        <f>IF(OR(B377="",NOT(ISNUMBER(K377)),NOT(ISNUMBER(L377))),"",IF(OR(K377&lt;=0,L377&lt;=0),"",ROUND(L377-K377,6)))</f>
        <v/>
      </c>
      <c r="N377" s="58" t="n"/>
      <c r="O377" s="62" t="n"/>
      <c r="P377" s="63" t="str">
        <f>IF(OR(B377="",NOT(ISNUMBER(L377))),"",IF(L377&lt;=0,"",IFERROR(ROUND(L377*N(INDEX(art_w,MATCH(H377,art_ref,0))),3),"")))</f>
        <v/>
      </c>
      <c r="Q377" s="59" t="n"/>
      <c r="R377" s="54" t="n"/>
      <c r="S377" s="59" t="n"/>
      <c r="T377" s="59" t="n"/>
      <c r="U377" s="64" t="str">
        <f>IF(OR(B377="",H377=""),"",IFERROR(IF(A377="BL",IF(N(INDEX(art_price,MATCH(H377,art_ref,0)))=0,"",N(INDEX(art_price,MATCH(H377,art_ref,0)))),IF(N(INDEX(art_cost,MATCH(H377,art_ref,0)))=0,"",N(INDEX(art_cost,MATCH(H377,art_ref,0))))),""))</f>
        <v/>
      </c>
      <c r="V377" s="64" t="str">
        <f>IF(OR(U377="",NOT(ISNUMBER(L377))),"",IF(L377&lt;=0,"",ROUND(L377*U377,2)))</f>
        <v/>
      </c>
      <c r="W377" s="60" t="str">
        <f>IF(AND(B377&lt;&gt;"",A377&lt;&gt;"BS",F377&lt;&gt;"",H377&lt;&gt;"",ISNUMBER(K377),ISNUMBER(L377)),IF(AND(K377&gt;0,L377&gt;0,K377-L377&gt;0,COUNTIFS(A378:A$2005,A377,F378:F$2005,F377,H378:H$2005,H377,AA378:AA$2005,"&gt;0")=0),ROUND(K377-L377,6),""),"")</f>
        <v/>
      </c>
      <c r="X377" s="60" t="str">
        <f>IF(AND(A377="",C377="",D377="",H377="",L377=""),"",IF(A377="","Type manquant",IF(AND(A377&lt;&gt;"BL",A377&lt;&gt;"BR",A377&lt;&gt;"BS"),"Type inconnu (BL, BR ou BS)",IF(AG377=0,"Date manquante ou invalide",IF(D377="",IF(A377="BL","Client manquant",IF(A377="BR","Fournisseur manquant","Service manquant")),IF(IF(A377="BL",ISNA(MATCH(D377,cl_code,0)),IF(A377="BR",ISNA(MATCH(D377,fo_code,0)),ISNA(MATCH(D377,p_services,0)))),IF(A377="BL","Client inconnu",IF(A377="BR","Fournisseur inconnu","Service inconnu")),IF(H377="","Article manquant",IF(ISNA(MATCH(H377,art_ref,0)),"Article inconnu",IF(OR(NOT(ISNUMBER(L377)),N(L377)&lt;=0),"Quantité invalide",IF(AND(K377&lt;&gt;"",OR(NOT(ISNUMBER(K377)),N(K377)&lt;=0)),"Qté commandée invalide",IF(AG377&lt;SUMPRODUCT(MAX((A$6:A376=A377)*AG$6:AG376)),"Date antérieure au bon précédent",IF(AND(A377&lt;&gt;"BR",ISNUMBER(M377),N(M377)&gt;0),IF(A377="BL","Livré plus que commandé","Sorti plus que demandé"),"OK"))))))))))))</f>
        <v/>
      </c>
      <c r="Y377" s="57" t="str">
        <f>IF(AND(OR(A377="BL",A377="BR",A377="BS"),AG377&gt;0,D377&lt;&gt;""),A377&amp;"|"&amp;AG377&amp;"|"&amp;D377&amp;"|"&amp;F377,"")</f>
        <v/>
      </c>
      <c r="Z377" s="57" t="str">
        <f>IF(Y377="","",IF(COUNTIF(Y$6:Y376,Y377)=0,1,0))</f>
        <v/>
      </c>
      <c r="AA377" s="57" t="str">
        <f>IF(Y377="","",IF(Z377=1,COUNTIFS(A$6:A377,A377,Z$6:Z377,1),INDEX(AA$6:AA376,MATCH(Y377,Y$6:Y376,0))))</f>
        <v/>
      </c>
      <c r="AB377" s="57" t="str">
        <f>IF(B377="","",COUNTIF(B$6:B377,B377))</f>
        <v/>
      </c>
      <c r="AC377" s="57" t="str">
        <f>IF(B377="","",B377&amp;"#"&amp;AB377)</f>
        <v/>
      </c>
      <c r="AD377" s="57" t="str">
        <f>IF(Z377=1,A377&amp;AA377,"")</f>
        <v/>
      </c>
      <c r="AE377" s="57" t="str">
        <f>IF(B377="","",YEAR(C377))</f>
        <v/>
      </c>
      <c r="AF377" s="57" t="str">
        <f>IF(B377="","",MONTH(C377))</f>
        <v/>
      </c>
      <c r="AG377" s="57">
        <f>IF(ISNUMBER(C377),C377,0)</f>
        <v>0.0</v>
      </c>
      <c r="AH377" s="57" t="str">
        <f>IF(N(W377)&gt;0,COUNTIF(W$6:W377,"&gt;0"),"")</f>
        <v/>
      </c>
      <c r="AI377" s="57" t="str">
        <f>IF(Z377=1,COUNTIF(Z$6:Z377,1),"")</f>
        <v/>
      </c>
    </row>
    <row r="378">
      <c r="A378" s="54" t="n"/>
      <c r="B378" s="55" t="str">
        <f>IF(AA378="","",A378&amp;"-"&amp;RIGHT("000"&amp;AA378,4))</f>
        <v/>
      </c>
      <c r="C378" s="56" t="n"/>
      <c r="D378" s="54" t="n"/>
      <c r="E378" s="57" t="str">
        <f>IF(D378="","",IF(A378="BL",IFERROR(INDEX(cl_name,MATCH(D378,cl_code,0))&amp;"","Client inconnu"),IF(A378="BR",IFERROR(INDEX(fo_name,MATCH(D378,fo_code,0))&amp;"","Fournisseur inconnu"),IF(A378="BS",IF(ISNA(MATCH(D378,p_services,0)),"Service inconnu",D378&amp;""),""))))</f>
        <v/>
      </c>
      <c r="F378" s="58" t="n"/>
      <c r="G378" s="58" t="n"/>
      <c r="H378" s="59" t="n"/>
      <c r="I378" s="57" t="str">
        <f>IF(H378="","",IFERROR(INDEX(art_des,MATCH(H378,art_ref,0))&amp;"","Article inconnu"))</f>
        <v/>
      </c>
      <c r="J378" s="60" t="str">
        <f>IF(H378="","",IFERROR(INDEX(art_unit,MATCH(H378,art_ref,0))&amp;"",""))</f>
        <v/>
      </c>
      <c r="K378" s="59" t="n"/>
      <c r="L378" s="59" t="n"/>
      <c r="M378" s="61" t="str">
        <f>IF(OR(B378="",NOT(ISNUMBER(K378)),NOT(ISNUMBER(L378))),"",IF(OR(K378&lt;=0,L378&lt;=0),"",ROUND(L378-K378,6)))</f>
        <v/>
      </c>
      <c r="N378" s="58" t="n"/>
      <c r="O378" s="62" t="n"/>
      <c r="P378" s="63" t="str">
        <f>IF(OR(B378="",NOT(ISNUMBER(L378))),"",IF(L378&lt;=0,"",IFERROR(ROUND(L378*N(INDEX(art_w,MATCH(H378,art_ref,0))),3),"")))</f>
        <v/>
      </c>
      <c r="Q378" s="59" t="n"/>
      <c r="R378" s="54" t="n"/>
      <c r="S378" s="59" t="n"/>
      <c r="T378" s="59" t="n"/>
      <c r="U378" s="64" t="str">
        <f>IF(OR(B378="",H378=""),"",IFERROR(IF(A378="BL",IF(N(INDEX(art_price,MATCH(H378,art_ref,0)))=0,"",N(INDEX(art_price,MATCH(H378,art_ref,0)))),IF(N(INDEX(art_cost,MATCH(H378,art_ref,0)))=0,"",N(INDEX(art_cost,MATCH(H378,art_ref,0))))),""))</f>
        <v/>
      </c>
      <c r="V378" s="64" t="str">
        <f>IF(OR(U378="",NOT(ISNUMBER(L378))),"",IF(L378&lt;=0,"",ROUND(L378*U378,2)))</f>
        <v/>
      </c>
      <c r="W378" s="60" t="str">
        <f>IF(AND(B378&lt;&gt;"",A378&lt;&gt;"BS",F378&lt;&gt;"",H378&lt;&gt;"",ISNUMBER(K378),ISNUMBER(L378)),IF(AND(K378&gt;0,L378&gt;0,K378-L378&gt;0,COUNTIFS(A379:A$2005,A378,F379:F$2005,F378,H379:H$2005,H378,AA379:AA$2005,"&gt;0")=0),ROUND(K378-L378,6),""),"")</f>
        <v/>
      </c>
      <c r="X378" s="60" t="str">
        <f>IF(AND(A378="",C378="",D378="",H378="",L378=""),"",IF(A378="","Type manquant",IF(AND(A378&lt;&gt;"BL",A378&lt;&gt;"BR",A378&lt;&gt;"BS"),"Type inconnu (BL, BR ou BS)",IF(AG378=0,"Date manquante ou invalide",IF(D378="",IF(A378="BL","Client manquant",IF(A378="BR","Fournisseur manquant","Service manquant")),IF(IF(A378="BL",ISNA(MATCH(D378,cl_code,0)),IF(A378="BR",ISNA(MATCH(D378,fo_code,0)),ISNA(MATCH(D378,p_services,0)))),IF(A378="BL","Client inconnu",IF(A378="BR","Fournisseur inconnu","Service inconnu")),IF(H378="","Article manquant",IF(ISNA(MATCH(H378,art_ref,0)),"Article inconnu",IF(OR(NOT(ISNUMBER(L378)),N(L378)&lt;=0),"Quantité invalide",IF(AND(K378&lt;&gt;"",OR(NOT(ISNUMBER(K378)),N(K378)&lt;=0)),"Qté commandée invalide",IF(AG378&lt;SUMPRODUCT(MAX((A$6:A377=A378)*AG$6:AG377)),"Date antérieure au bon précédent",IF(AND(A378&lt;&gt;"BR",ISNUMBER(M378),N(M378)&gt;0),IF(A378="BL","Livré plus que commandé","Sorti plus que demandé"),"OK"))))))))))))</f>
        <v/>
      </c>
      <c r="Y378" s="57" t="str">
        <f>IF(AND(OR(A378="BL",A378="BR",A378="BS"),AG378&gt;0,D378&lt;&gt;""),A378&amp;"|"&amp;AG378&amp;"|"&amp;D378&amp;"|"&amp;F378,"")</f>
        <v/>
      </c>
      <c r="Z378" s="57" t="str">
        <f>IF(Y378="","",IF(COUNTIF(Y$6:Y377,Y378)=0,1,0))</f>
        <v/>
      </c>
      <c r="AA378" s="57" t="str">
        <f>IF(Y378="","",IF(Z378=1,COUNTIFS(A$6:A378,A378,Z$6:Z378,1),INDEX(AA$6:AA377,MATCH(Y378,Y$6:Y377,0))))</f>
        <v/>
      </c>
      <c r="AB378" s="57" t="str">
        <f>IF(B378="","",COUNTIF(B$6:B378,B378))</f>
        <v/>
      </c>
      <c r="AC378" s="57" t="str">
        <f>IF(B378="","",B378&amp;"#"&amp;AB378)</f>
        <v/>
      </c>
      <c r="AD378" s="57" t="str">
        <f>IF(Z378=1,A378&amp;AA378,"")</f>
        <v/>
      </c>
      <c r="AE378" s="57" t="str">
        <f>IF(B378="","",YEAR(C378))</f>
        <v/>
      </c>
      <c r="AF378" s="57" t="str">
        <f>IF(B378="","",MONTH(C378))</f>
        <v/>
      </c>
      <c r="AG378" s="57">
        <f>IF(ISNUMBER(C378),C378,0)</f>
        <v>0.0</v>
      </c>
      <c r="AH378" s="57" t="str">
        <f>IF(N(W378)&gt;0,COUNTIF(W$6:W378,"&gt;0"),"")</f>
        <v/>
      </c>
      <c r="AI378" s="57" t="str">
        <f>IF(Z378=1,COUNTIF(Z$6:Z378,1),"")</f>
        <v/>
      </c>
    </row>
    <row r="379">
      <c r="A379" s="54" t="n"/>
      <c r="B379" s="55" t="str">
        <f>IF(AA379="","",A379&amp;"-"&amp;RIGHT("000"&amp;AA379,4))</f>
        <v/>
      </c>
      <c r="C379" s="56" t="n"/>
      <c r="D379" s="54" t="n"/>
      <c r="E379" s="57" t="str">
        <f>IF(D379="","",IF(A379="BL",IFERROR(INDEX(cl_name,MATCH(D379,cl_code,0))&amp;"","Client inconnu"),IF(A379="BR",IFERROR(INDEX(fo_name,MATCH(D379,fo_code,0))&amp;"","Fournisseur inconnu"),IF(A379="BS",IF(ISNA(MATCH(D379,p_services,0)),"Service inconnu",D379&amp;""),""))))</f>
        <v/>
      </c>
      <c r="F379" s="58" t="n"/>
      <c r="G379" s="58" t="n"/>
      <c r="H379" s="59" t="n"/>
      <c r="I379" s="57" t="str">
        <f>IF(H379="","",IFERROR(INDEX(art_des,MATCH(H379,art_ref,0))&amp;"","Article inconnu"))</f>
        <v/>
      </c>
      <c r="J379" s="60" t="str">
        <f>IF(H379="","",IFERROR(INDEX(art_unit,MATCH(H379,art_ref,0))&amp;"",""))</f>
        <v/>
      </c>
      <c r="K379" s="59" t="n"/>
      <c r="L379" s="59" t="n"/>
      <c r="M379" s="61" t="str">
        <f>IF(OR(B379="",NOT(ISNUMBER(K379)),NOT(ISNUMBER(L379))),"",IF(OR(K379&lt;=0,L379&lt;=0),"",ROUND(L379-K379,6)))</f>
        <v/>
      </c>
      <c r="N379" s="58" t="n"/>
      <c r="O379" s="62" t="n"/>
      <c r="P379" s="63" t="str">
        <f>IF(OR(B379="",NOT(ISNUMBER(L379))),"",IF(L379&lt;=0,"",IFERROR(ROUND(L379*N(INDEX(art_w,MATCH(H379,art_ref,0))),3),"")))</f>
        <v/>
      </c>
      <c r="Q379" s="59" t="n"/>
      <c r="R379" s="54" t="n"/>
      <c r="S379" s="59" t="n"/>
      <c r="T379" s="59" t="n"/>
      <c r="U379" s="64" t="str">
        <f>IF(OR(B379="",H379=""),"",IFERROR(IF(A379="BL",IF(N(INDEX(art_price,MATCH(H379,art_ref,0)))=0,"",N(INDEX(art_price,MATCH(H379,art_ref,0)))),IF(N(INDEX(art_cost,MATCH(H379,art_ref,0)))=0,"",N(INDEX(art_cost,MATCH(H379,art_ref,0))))),""))</f>
        <v/>
      </c>
      <c r="V379" s="64" t="str">
        <f>IF(OR(U379="",NOT(ISNUMBER(L379))),"",IF(L379&lt;=0,"",ROUND(L379*U379,2)))</f>
        <v/>
      </c>
      <c r="W379" s="60" t="str">
        <f>IF(AND(B379&lt;&gt;"",A379&lt;&gt;"BS",F379&lt;&gt;"",H379&lt;&gt;"",ISNUMBER(K379),ISNUMBER(L379)),IF(AND(K379&gt;0,L379&gt;0,K379-L379&gt;0,COUNTIFS(A380:A$2005,A379,F380:F$2005,F379,H380:H$2005,H379,AA380:AA$2005,"&gt;0")=0),ROUND(K379-L379,6),""),"")</f>
        <v/>
      </c>
      <c r="X379" s="60" t="str">
        <f>IF(AND(A379="",C379="",D379="",H379="",L379=""),"",IF(A379="","Type manquant",IF(AND(A379&lt;&gt;"BL",A379&lt;&gt;"BR",A379&lt;&gt;"BS"),"Type inconnu (BL, BR ou BS)",IF(AG379=0,"Date manquante ou invalide",IF(D379="",IF(A379="BL","Client manquant",IF(A379="BR","Fournisseur manquant","Service manquant")),IF(IF(A379="BL",ISNA(MATCH(D379,cl_code,0)),IF(A379="BR",ISNA(MATCH(D379,fo_code,0)),ISNA(MATCH(D379,p_services,0)))),IF(A379="BL","Client inconnu",IF(A379="BR","Fournisseur inconnu","Service inconnu")),IF(H379="","Article manquant",IF(ISNA(MATCH(H379,art_ref,0)),"Article inconnu",IF(OR(NOT(ISNUMBER(L379)),N(L379)&lt;=0),"Quantité invalide",IF(AND(K379&lt;&gt;"",OR(NOT(ISNUMBER(K379)),N(K379)&lt;=0)),"Qté commandée invalide",IF(AG379&lt;SUMPRODUCT(MAX((A$6:A378=A379)*AG$6:AG378)),"Date antérieure au bon précédent",IF(AND(A379&lt;&gt;"BR",ISNUMBER(M379),N(M379)&gt;0),IF(A379="BL","Livré plus que commandé","Sorti plus que demandé"),"OK"))))))))))))</f>
        <v/>
      </c>
      <c r="Y379" s="57" t="str">
        <f>IF(AND(OR(A379="BL",A379="BR",A379="BS"),AG379&gt;0,D379&lt;&gt;""),A379&amp;"|"&amp;AG379&amp;"|"&amp;D379&amp;"|"&amp;F379,"")</f>
        <v/>
      </c>
      <c r="Z379" s="57" t="str">
        <f>IF(Y379="","",IF(COUNTIF(Y$6:Y378,Y379)=0,1,0))</f>
        <v/>
      </c>
      <c r="AA379" s="57" t="str">
        <f>IF(Y379="","",IF(Z379=1,COUNTIFS(A$6:A379,A379,Z$6:Z379,1),INDEX(AA$6:AA378,MATCH(Y379,Y$6:Y378,0))))</f>
        <v/>
      </c>
      <c r="AB379" s="57" t="str">
        <f>IF(B379="","",COUNTIF(B$6:B379,B379))</f>
        <v/>
      </c>
      <c r="AC379" s="57" t="str">
        <f>IF(B379="","",B379&amp;"#"&amp;AB379)</f>
        <v/>
      </c>
      <c r="AD379" s="57" t="str">
        <f>IF(Z379=1,A379&amp;AA379,"")</f>
        <v/>
      </c>
      <c r="AE379" s="57" t="str">
        <f>IF(B379="","",YEAR(C379))</f>
        <v/>
      </c>
      <c r="AF379" s="57" t="str">
        <f>IF(B379="","",MONTH(C379))</f>
        <v/>
      </c>
      <c r="AG379" s="57">
        <f>IF(ISNUMBER(C379),C379,0)</f>
        <v>0.0</v>
      </c>
      <c r="AH379" s="57" t="str">
        <f>IF(N(W379)&gt;0,COUNTIF(W$6:W379,"&gt;0"),"")</f>
        <v/>
      </c>
      <c r="AI379" s="57" t="str">
        <f>IF(Z379=1,COUNTIF(Z$6:Z379,1),"")</f>
        <v/>
      </c>
    </row>
    <row r="380">
      <c r="A380" s="54" t="n"/>
      <c r="B380" s="55" t="str">
        <f>IF(AA380="","",A380&amp;"-"&amp;RIGHT("000"&amp;AA380,4))</f>
        <v/>
      </c>
      <c r="C380" s="56" t="n"/>
      <c r="D380" s="54" t="n"/>
      <c r="E380" s="57" t="str">
        <f>IF(D380="","",IF(A380="BL",IFERROR(INDEX(cl_name,MATCH(D380,cl_code,0))&amp;"","Client inconnu"),IF(A380="BR",IFERROR(INDEX(fo_name,MATCH(D380,fo_code,0))&amp;"","Fournisseur inconnu"),IF(A380="BS",IF(ISNA(MATCH(D380,p_services,0)),"Service inconnu",D380&amp;""),""))))</f>
        <v/>
      </c>
      <c r="F380" s="58" t="n"/>
      <c r="G380" s="58" t="n"/>
      <c r="H380" s="59" t="n"/>
      <c r="I380" s="57" t="str">
        <f>IF(H380="","",IFERROR(INDEX(art_des,MATCH(H380,art_ref,0))&amp;"","Article inconnu"))</f>
        <v/>
      </c>
      <c r="J380" s="60" t="str">
        <f>IF(H380="","",IFERROR(INDEX(art_unit,MATCH(H380,art_ref,0))&amp;"",""))</f>
        <v/>
      </c>
      <c r="K380" s="59" t="n"/>
      <c r="L380" s="59" t="n"/>
      <c r="M380" s="61" t="str">
        <f>IF(OR(B380="",NOT(ISNUMBER(K380)),NOT(ISNUMBER(L380))),"",IF(OR(K380&lt;=0,L380&lt;=0),"",ROUND(L380-K380,6)))</f>
        <v/>
      </c>
      <c r="N380" s="58" t="n"/>
      <c r="O380" s="62" t="n"/>
      <c r="P380" s="63" t="str">
        <f>IF(OR(B380="",NOT(ISNUMBER(L380))),"",IF(L380&lt;=0,"",IFERROR(ROUND(L380*N(INDEX(art_w,MATCH(H380,art_ref,0))),3),"")))</f>
        <v/>
      </c>
      <c r="Q380" s="59" t="n"/>
      <c r="R380" s="54" t="n"/>
      <c r="S380" s="59" t="n"/>
      <c r="T380" s="59" t="n"/>
      <c r="U380" s="64" t="str">
        <f>IF(OR(B380="",H380=""),"",IFERROR(IF(A380="BL",IF(N(INDEX(art_price,MATCH(H380,art_ref,0)))=0,"",N(INDEX(art_price,MATCH(H380,art_ref,0)))),IF(N(INDEX(art_cost,MATCH(H380,art_ref,0)))=0,"",N(INDEX(art_cost,MATCH(H380,art_ref,0))))),""))</f>
        <v/>
      </c>
      <c r="V380" s="64" t="str">
        <f>IF(OR(U380="",NOT(ISNUMBER(L380))),"",IF(L380&lt;=0,"",ROUND(L380*U380,2)))</f>
        <v/>
      </c>
      <c r="W380" s="60" t="str">
        <f>IF(AND(B380&lt;&gt;"",A380&lt;&gt;"BS",F380&lt;&gt;"",H380&lt;&gt;"",ISNUMBER(K380),ISNUMBER(L380)),IF(AND(K380&gt;0,L380&gt;0,K380-L380&gt;0,COUNTIFS(A381:A$2005,A380,F381:F$2005,F380,H381:H$2005,H380,AA381:AA$2005,"&gt;0")=0),ROUND(K380-L380,6),""),"")</f>
        <v/>
      </c>
      <c r="X380" s="60" t="str">
        <f>IF(AND(A380="",C380="",D380="",H380="",L380=""),"",IF(A380="","Type manquant",IF(AND(A380&lt;&gt;"BL",A380&lt;&gt;"BR",A380&lt;&gt;"BS"),"Type inconnu (BL, BR ou BS)",IF(AG380=0,"Date manquante ou invalide",IF(D380="",IF(A380="BL","Client manquant",IF(A380="BR","Fournisseur manquant","Service manquant")),IF(IF(A380="BL",ISNA(MATCH(D380,cl_code,0)),IF(A380="BR",ISNA(MATCH(D380,fo_code,0)),ISNA(MATCH(D380,p_services,0)))),IF(A380="BL","Client inconnu",IF(A380="BR","Fournisseur inconnu","Service inconnu")),IF(H380="","Article manquant",IF(ISNA(MATCH(H380,art_ref,0)),"Article inconnu",IF(OR(NOT(ISNUMBER(L380)),N(L380)&lt;=0),"Quantité invalide",IF(AND(K380&lt;&gt;"",OR(NOT(ISNUMBER(K380)),N(K380)&lt;=0)),"Qté commandée invalide",IF(AG380&lt;SUMPRODUCT(MAX((A$6:A379=A380)*AG$6:AG379)),"Date antérieure au bon précédent",IF(AND(A380&lt;&gt;"BR",ISNUMBER(M380),N(M380)&gt;0),IF(A380="BL","Livré plus que commandé","Sorti plus que demandé"),"OK"))))))))))))</f>
        <v/>
      </c>
      <c r="Y380" s="57" t="str">
        <f>IF(AND(OR(A380="BL",A380="BR",A380="BS"),AG380&gt;0,D380&lt;&gt;""),A380&amp;"|"&amp;AG380&amp;"|"&amp;D380&amp;"|"&amp;F380,"")</f>
        <v/>
      </c>
      <c r="Z380" s="57" t="str">
        <f>IF(Y380="","",IF(COUNTIF(Y$6:Y379,Y380)=0,1,0))</f>
        <v/>
      </c>
      <c r="AA380" s="57" t="str">
        <f>IF(Y380="","",IF(Z380=1,COUNTIFS(A$6:A380,A380,Z$6:Z380,1),INDEX(AA$6:AA379,MATCH(Y380,Y$6:Y379,0))))</f>
        <v/>
      </c>
      <c r="AB380" s="57" t="str">
        <f>IF(B380="","",COUNTIF(B$6:B380,B380))</f>
        <v/>
      </c>
      <c r="AC380" s="57" t="str">
        <f>IF(B380="","",B380&amp;"#"&amp;AB380)</f>
        <v/>
      </c>
      <c r="AD380" s="57" t="str">
        <f>IF(Z380=1,A380&amp;AA380,"")</f>
        <v/>
      </c>
      <c r="AE380" s="57" t="str">
        <f>IF(B380="","",YEAR(C380))</f>
        <v/>
      </c>
      <c r="AF380" s="57" t="str">
        <f>IF(B380="","",MONTH(C380))</f>
        <v/>
      </c>
      <c r="AG380" s="57">
        <f>IF(ISNUMBER(C380),C380,0)</f>
        <v>0.0</v>
      </c>
      <c r="AH380" s="57" t="str">
        <f>IF(N(W380)&gt;0,COUNTIF(W$6:W380,"&gt;0"),"")</f>
        <v/>
      </c>
      <c r="AI380" s="57" t="str">
        <f>IF(Z380=1,COUNTIF(Z$6:Z380,1),"")</f>
        <v/>
      </c>
    </row>
    <row r="381">
      <c r="A381" s="54" t="n"/>
      <c r="B381" s="55" t="str">
        <f>IF(AA381="","",A381&amp;"-"&amp;RIGHT("000"&amp;AA381,4))</f>
        <v/>
      </c>
      <c r="C381" s="56" t="n"/>
      <c r="D381" s="54" t="n"/>
      <c r="E381" s="57" t="str">
        <f>IF(D381="","",IF(A381="BL",IFERROR(INDEX(cl_name,MATCH(D381,cl_code,0))&amp;"","Client inconnu"),IF(A381="BR",IFERROR(INDEX(fo_name,MATCH(D381,fo_code,0))&amp;"","Fournisseur inconnu"),IF(A381="BS",IF(ISNA(MATCH(D381,p_services,0)),"Service inconnu",D381&amp;""),""))))</f>
        <v/>
      </c>
      <c r="F381" s="58" t="n"/>
      <c r="G381" s="58" t="n"/>
      <c r="H381" s="59" t="n"/>
      <c r="I381" s="57" t="str">
        <f>IF(H381="","",IFERROR(INDEX(art_des,MATCH(H381,art_ref,0))&amp;"","Article inconnu"))</f>
        <v/>
      </c>
      <c r="J381" s="60" t="str">
        <f>IF(H381="","",IFERROR(INDEX(art_unit,MATCH(H381,art_ref,0))&amp;"",""))</f>
        <v/>
      </c>
      <c r="K381" s="59" t="n"/>
      <c r="L381" s="59" t="n"/>
      <c r="M381" s="61" t="str">
        <f>IF(OR(B381="",NOT(ISNUMBER(K381)),NOT(ISNUMBER(L381))),"",IF(OR(K381&lt;=0,L381&lt;=0),"",ROUND(L381-K381,6)))</f>
        <v/>
      </c>
      <c r="N381" s="58" t="n"/>
      <c r="O381" s="62" t="n"/>
      <c r="P381" s="63" t="str">
        <f>IF(OR(B381="",NOT(ISNUMBER(L381))),"",IF(L381&lt;=0,"",IFERROR(ROUND(L381*N(INDEX(art_w,MATCH(H381,art_ref,0))),3),"")))</f>
        <v/>
      </c>
      <c r="Q381" s="59" t="n"/>
      <c r="R381" s="54" t="n"/>
      <c r="S381" s="59" t="n"/>
      <c r="T381" s="59" t="n"/>
      <c r="U381" s="64" t="str">
        <f>IF(OR(B381="",H381=""),"",IFERROR(IF(A381="BL",IF(N(INDEX(art_price,MATCH(H381,art_ref,0)))=0,"",N(INDEX(art_price,MATCH(H381,art_ref,0)))),IF(N(INDEX(art_cost,MATCH(H381,art_ref,0)))=0,"",N(INDEX(art_cost,MATCH(H381,art_ref,0))))),""))</f>
        <v/>
      </c>
      <c r="V381" s="64" t="str">
        <f>IF(OR(U381="",NOT(ISNUMBER(L381))),"",IF(L381&lt;=0,"",ROUND(L381*U381,2)))</f>
        <v/>
      </c>
      <c r="W381" s="60" t="str">
        <f>IF(AND(B381&lt;&gt;"",A381&lt;&gt;"BS",F381&lt;&gt;"",H381&lt;&gt;"",ISNUMBER(K381),ISNUMBER(L381)),IF(AND(K381&gt;0,L381&gt;0,K381-L381&gt;0,COUNTIFS(A382:A$2005,A381,F382:F$2005,F381,H382:H$2005,H381,AA382:AA$2005,"&gt;0")=0),ROUND(K381-L381,6),""),"")</f>
        <v/>
      </c>
      <c r="X381" s="60" t="str">
        <f>IF(AND(A381="",C381="",D381="",H381="",L381=""),"",IF(A381="","Type manquant",IF(AND(A381&lt;&gt;"BL",A381&lt;&gt;"BR",A381&lt;&gt;"BS"),"Type inconnu (BL, BR ou BS)",IF(AG381=0,"Date manquante ou invalide",IF(D381="",IF(A381="BL","Client manquant",IF(A381="BR","Fournisseur manquant","Service manquant")),IF(IF(A381="BL",ISNA(MATCH(D381,cl_code,0)),IF(A381="BR",ISNA(MATCH(D381,fo_code,0)),ISNA(MATCH(D381,p_services,0)))),IF(A381="BL","Client inconnu",IF(A381="BR","Fournisseur inconnu","Service inconnu")),IF(H381="","Article manquant",IF(ISNA(MATCH(H381,art_ref,0)),"Article inconnu",IF(OR(NOT(ISNUMBER(L381)),N(L381)&lt;=0),"Quantité invalide",IF(AND(K381&lt;&gt;"",OR(NOT(ISNUMBER(K381)),N(K381)&lt;=0)),"Qté commandée invalide",IF(AG381&lt;SUMPRODUCT(MAX((A$6:A380=A381)*AG$6:AG380)),"Date antérieure au bon précédent",IF(AND(A381&lt;&gt;"BR",ISNUMBER(M381),N(M381)&gt;0),IF(A381="BL","Livré plus que commandé","Sorti plus que demandé"),"OK"))))))))))))</f>
        <v/>
      </c>
      <c r="Y381" s="57" t="str">
        <f>IF(AND(OR(A381="BL",A381="BR",A381="BS"),AG381&gt;0,D381&lt;&gt;""),A381&amp;"|"&amp;AG381&amp;"|"&amp;D381&amp;"|"&amp;F381,"")</f>
        <v/>
      </c>
      <c r="Z381" s="57" t="str">
        <f>IF(Y381="","",IF(COUNTIF(Y$6:Y380,Y381)=0,1,0))</f>
        <v/>
      </c>
      <c r="AA381" s="57" t="str">
        <f>IF(Y381="","",IF(Z381=1,COUNTIFS(A$6:A381,A381,Z$6:Z381,1),INDEX(AA$6:AA380,MATCH(Y381,Y$6:Y380,0))))</f>
        <v/>
      </c>
      <c r="AB381" s="57" t="str">
        <f>IF(B381="","",COUNTIF(B$6:B381,B381))</f>
        <v/>
      </c>
      <c r="AC381" s="57" t="str">
        <f>IF(B381="","",B381&amp;"#"&amp;AB381)</f>
        <v/>
      </c>
      <c r="AD381" s="57" t="str">
        <f>IF(Z381=1,A381&amp;AA381,"")</f>
        <v/>
      </c>
      <c r="AE381" s="57" t="str">
        <f>IF(B381="","",YEAR(C381))</f>
        <v/>
      </c>
      <c r="AF381" s="57" t="str">
        <f>IF(B381="","",MONTH(C381))</f>
        <v/>
      </c>
      <c r="AG381" s="57">
        <f>IF(ISNUMBER(C381),C381,0)</f>
        <v>0.0</v>
      </c>
      <c r="AH381" s="57" t="str">
        <f>IF(N(W381)&gt;0,COUNTIF(W$6:W381,"&gt;0"),"")</f>
        <v/>
      </c>
      <c r="AI381" s="57" t="str">
        <f>IF(Z381=1,COUNTIF(Z$6:Z381,1),"")</f>
        <v/>
      </c>
    </row>
    <row r="382">
      <c r="A382" s="54" t="n"/>
      <c r="B382" s="55" t="str">
        <f>IF(AA382="","",A382&amp;"-"&amp;RIGHT("000"&amp;AA382,4))</f>
        <v/>
      </c>
      <c r="C382" s="56" t="n"/>
      <c r="D382" s="54" t="n"/>
      <c r="E382" s="57" t="str">
        <f>IF(D382="","",IF(A382="BL",IFERROR(INDEX(cl_name,MATCH(D382,cl_code,0))&amp;"","Client inconnu"),IF(A382="BR",IFERROR(INDEX(fo_name,MATCH(D382,fo_code,0))&amp;"","Fournisseur inconnu"),IF(A382="BS",IF(ISNA(MATCH(D382,p_services,0)),"Service inconnu",D382&amp;""),""))))</f>
        <v/>
      </c>
      <c r="F382" s="58" t="n"/>
      <c r="G382" s="58" t="n"/>
      <c r="H382" s="59" t="n"/>
      <c r="I382" s="57" t="str">
        <f>IF(H382="","",IFERROR(INDEX(art_des,MATCH(H382,art_ref,0))&amp;"","Article inconnu"))</f>
        <v/>
      </c>
      <c r="J382" s="60" t="str">
        <f>IF(H382="","",IFERROR(INDEX(art_unit,MATCH(H382,art_ref,0))&amp;"",""))</f>
        <v/>
      </c>
      <c r="K382" s="59" t="n"/>
      <c r="L382" s="59" t="n"/>
      <c r="M382" s="61" t="str">
        <f>IF(OR(B382="",NOT(ISNUMBER(K382)),NOT(ISNUMBER(L382))),"",IF(OR(K382&lt;=0,L382&lt;=0),"",ROUND(L382-K382,6)))</f>
        <v/>
      </c>
      <c r="N382" s="58" t="n"/>
      <c r="O382" s="62" t="n"/>
      <c r="P382" s="63" t="str">
        <f>IF(OR(B382="",NOT(ISNUMBER(L382))),"",IF(L382&lt;=0,"",IFERROR(ROUND(L382*N(INDEX(art_w,MATCH(H382,art_ref,0))),3),"")))</f>
        <v/>
      </c>
      <c r="Q382" s="59" t="n"/>
      <c r="R382" s="54" t="n"/>
      <c r="S382" s="59" t="n"/>
      <c r="T382" s="59" t="n"/>
      <c r="U382" s="64" t="str">
        <f>IF(OR(B382="",H382=""),"",IFERROR(IF(A382="BL",IF(N(INDEX(art_price,MATCH(H382,art_ref,0)))=0,"",N(INDEX(art_price,MATCH(H382,art_ref,0)))),IF(N(INDEX(art_cost,MATCH(H382,art_ref,0)))=0,"",N(INDEX(art_cost,MATCH(H382,art_ref,0))))),""))</f>
        <v/>
      </c>
      <c r="V382" s="64" t="str">
        <f>IF(OR(U382="",NOT(ISNUMBER(L382))),"",IF(L382&lt;=0,"",ROUND(L382*U382,2)))</f>
        <v/>
      </c>
      <c r="W382" s="60" t="str">
        <f>IF(AND(B382&lt;&gt;"",A382&lt;&gt;"BS",F382&lt;&gt;"",H382&lt;&gt;"",ISNUMBER(K382),ISNUMBER(L382)),IF(AND(K382&gt;0,L382&gt;0,K382-L382&gt;0,COUNTIFS(A383:A$2005,A382,F383:F$2005,F382,H383:H$2005,H382,AA383:AA$2005,"&gt;0")=0),ROUND(K382-L382,6),""),"")</f>
        <v/>
      </c>
      <c r="X382" s="60" t="str">
        <f>IF(AND(A382="",C382="",D382="",H382="",L382=""),"",IF(A382="","Type manquant",IF(AND(A382&lt;&gt;"BL",A382&lt;&gt;"BR",A382&lt;&gt;"BS"),"Type inconnu (BL, BR ou BS)",IF(AG382=0,"Date manquante ou invalide",IF(D382="",IF(A382="BL","Client manquant",IF(A382="BR","Fournisseur manquant","Service manquant")),IF(IF(A382="BL",ISNA(MATCH(D382,cl_code,0)),IF(A382="BR",ISNA(MATCH(D382,fo_code,0)),ISNA(MATCH(D382,p_services,0)))),IF(A382="BL","Client inconnu",IF(A382="BR","Fournisseur inconnu","Service inconnu")),IF(H382="","Article manquant",IF(ISNA(MATCH(H382,art_ref,0)),"Article inconnu",IF(OR(NOT(ISNUMBER(L382)),N(L382)&lt;=0),"Quantité invalide",IF(AND(K382&lt;&gt;"",OR(NOT(ISNUMBER(K382)),N(K382)&lt;=0)),"Qté commandée invalide",IF(AG382&lt;SUMPRODUCT(MAX((A$6:A381=A382)*AG$6:AG381)),"Date antérieure au bon précédent",IF(AND(A382&lt;&gt;"BR",ISNUMBER(M382),N(M382)&gt;0),IF(A382="BL","Livré plus que commandé","Sorti plus que demandé"),"OK"))))))))))))</f>
        <v/>
      </c>
      <c r="Y382" s="57" t="str">
        <f>IF(AND(OR(A382="BL",A382="BR",A382="BS"),AG382&gt;0,D382&lt;&gt;""),A382&amp;"|"&amp;AG382&amp;"|"&amp;D382&amp;"|"&amp;F382,"")</f>
        <v/>
      </c>
      <c r="Z382" s="57" t="str">
        <f>IF(Y382="","",IF(COUNTIF(Y$6:Y381,Y382)=0,1,0))</f>
        <v/>
      </c>
      <c r="AA382" s="57" t="str">
        <f>IF(Y382="","",IF(Z382=1,COUNTIFS(A$6:A382,A382,Z$6:Z382,1),INDEX(AA$6:AA381,MATCH(Y382,Y$6:Y381,0))))</f>
        <v/>
      </c>
      <c r="AB382" s="57" t="str">
        <f>IF(B382="","",COUNTIF(B$6:B382,B382))</f>
        <v/>
      </c>
      <c r="AC382" s="57" t="str">
        <f>IF(B382="","",B382&amp;"#"&amp;AB382)</f>
        <v/>
      </c>
      <c r="AD382" s="57" t="str">
        <f>IF(Z382=1,A382&amp;AA382,"")</f>
        <v/>
      </c>
      <c r="AE382" s="57" t="str">
        <f>IF(B382="","",YEAR(C382))</f>
        <v/>
      </c>
      <c r="AF382" s="57" t="str">
        <f>IF(B382="","",MONTH(C382))</f>
        <v/>
      </c>
      <c r="AG382" s="57">
        <f>IF(ISNUMBER(C382),C382,0)</f>
        <v>0.0</v>
      </c>
      <c r="AH382" s="57" t="str">
        <f>IF(N(W382)&gt;0,COUNTIF(W$6:W382,"&gt;0"),"")</f>
        <v/>
      </c>
      <c r="AI382" s="57" t="str">
        <f>IF(Z382=1,COUNTIF(Z$6:Z382,1),"")</f>
        <v/>
      </c>
    </row>
    <row r="383">
      <c r="A383" s="54" t="n"/>
      <c r="B383" s="55" t="str">
        <f>IF(AA383="","",A383&amp;"-"&amp;RIGHT("000"&amp;AA383,4))</f>
        <v/>
      </c>
      <c r="C383" s="56" t="n"/>
      <c r="D383" s="54" t="n"/>
      <c r="E383" s="57" t="str">
        <f>IF(D383="","",IF(A383="BL",IFERROR(INDEX(cl_name,MATCH(D383,cl_code,0))&amp;"","Client inconnu"),IF(A383="BR",IFERROR(INDEX(fo_name,MATCH(D383,fo_code,0))&amp;"","Fournisseur inconnu"),IF(A383="BS",IF(ISNA(MATCH(D383,p_services,0)),"Service inconnu",D383&amp;""),""))))</f>
        <v/>
      </c>
      <c r="F383" s="58" t="n"/>
      <c r="G383" s="58" t="n"/>
      <c r="H383" s="59" t="n"/>
      <c r="I383" s="57" t="str">
        <f>IF(H383="","",IFERROR(INDEX(art_des,MATCH(H383,art_ref,0))&amp;"","Article inconnu"))</f>
        <v/>
      </c>
      <c r="J383" s="60" t="str">
        <f>IF(H383="","",IFERROR(INDEX(art_unit,MATCH(H383,art_ref,0))&amp;"",""))</f>
        <v/>
      </c>
      <c r="K383" s="59" t="n"/>
      <c r="L383" s="59" t="n"/>
      <c r="M383" s="61" t="str">
        <f>IF(OR(B383="",NOT(ISNUMBER(K383)),NOT(ISNUMBER(L383))),"",IF(OR(K383&lt;=0,L383&lt;=0),"",ROUND(L383-K383,6)))</f>
        <v/>
      </c>
      <c r="N383" s="58" t="n"/>
      <c r="O383" s="62" t="n"/>
      <c r="P383" s="63" t="str">
        <f>IF(OR(B383="",NOT(ISNUMBER(L383))),"",IF(L383&lt;=0,"",IFERROR(ROUND(L383*N(INDEX(art_w,MATCH(H383,art_ref,0))),3),"")))</f>
        <v/>
      </c>
      <c r="Q383" s="59" t="n"/>
      <c r="R383" s="54" t="n"/>
      <c r="S383" s="59" t="n"/>
      <c r="T383" s="59" t="n"/>
      <c r="U383" s="64" t="str">
        <f>IF(OR(B383="",H383=""),"",IFERROR(IF(A383="BL",IF(N(INDEX(art_price,MATCH(H383,art_ref,0)))=0,"",N(INDEX(art_price,MATCH(H383,art_ref,0)))),IF(N(INDEX(art_cost,MATCH(H383,art_ref,0)))=0,"",N(INDEX(art_cost,MATCH(H383,art_ref,0))))),""))</f>
        <v/>
      </c>
      <c r="V383" s="64" t="str">
        <f>IF(OR(U383="",NOT(ISNUMBER(L383))),"",IF(L383&lt;=0,"",ROUND(L383*U383,2)))</f>
        <v/>
      </c>
      <c r="W383" s="60" t="str">
        <f>IF(AND(B383&lt;&gt;"",A383&lt;&gt;"BS",F383&lt;&gt;"",H383&lt;&gt;"",ISNUMBER(K383),ISNUMBER(L383)),IF(AND(K383&gt;0,L383&gt;0,K383-L383&gt;0,COUNTIFS(A384:A$2005,A383,F384:F$2005,F383,H384:H$2005,H383,AA384:AA$2005,"&gt;0")=0),ROUND(K383-L383,6),""),"")</f>
        <v/>
      </c>
      <c r="X383" s="60" t="str">
        <f>IF(AND(A383="",C383="",D383="",H383="",L383=""),"",IF(A383="","Type manquant",IF(AND(A383&lt;&gt;"BL",A383&lt;&gt;"BR",A383&lt;&gt;"BS"),"Type inconnu (BL, BR ou BS)",IF(AG383=0,"Date manquante ou invalide",IF(D383="",IF(A383="BL","Client manquant",IF(A383="BR","Fournisseur manquant","Service manquant")),IF(IF(A383="BL",ISNA(MATCH(D383,cl_code,0)),IF(A383="BR",ISNA(MATCH(D383,fo_code,0)),ISNA(MATCH(D383,p_services,0)))),IF(A383="BL","Client inconnu",IF(A383="BR","Fournisseur inconnu","Service inconnu")),IF(H383="","Article manquant",IF(ISNA(MATCH(H383,art_ref,0)),"Article inconnu",IF(OR(NOT(ISNUMBER(L383)),N(L383)&lt;=0),"Quantité invalide",IF(AND(K383&lt;&gt;"",OR(NOT(ISNUMBER(K383)),N(K383)&lt;=0)),"Qté commandée invalide",IF(AG383&lt;SUMPRODUCT(MAX((A$6:A382=A383)*AG$6:AG382)),"Date antérieure au bon précédent",IF(AND(A383&lt;&gt;"BR",ISNUMBER(M383),N(M383)&gt;0),IF(A383="BL","Livré plus que commandé","Sorti plus que demandé"),"OK"))))))))))))</f>
        <v/>
      </c>
      <c r="Y383" s="57" t="str">
        <f>IF(AND(OR(A383="BL",A383="BR",A383="BS"),AG383&gt;0,D383&lt;&gt;""),A383&amp;"|"&amp;AG383&amp;"|"&amp;D383&amp;"|"&amp;F383,"")</f>
        <v/>
      </c>
      <c r="Z383" s="57" t="str">
        <f>IF(Y383="","",IF(COUNTIF(Y$6:Y382,Y383)=0,1,0))</f>
        <v/>
      </c>
      <c r="AA383" s="57" t="str">
        <f>IF(Y383="","",IF(Z383=1,COUNTIFS(A$6:A383,A383,Z$6:Z383,1),INDEX(AA$6:AA382,MATCH(Y383,Y$6:Y382,0))))</f>
        <v/>
      </c>
      <c r="AB383" s="57" t="str">
        <f>IF(B383="","",COUNTIF(B$6:B383,B383))</f>
        <v/>
      </c>
      <c r="AC383" s="57" t="str">
        <f>IF(B383="","",B383&amp;"#"&amp;AB383)</f>
        <v/>
      </c>
      <c r="AD383" s="57" t="str">
        <f>IF(Z383=1,A383&amp;AA383,"")</f>
        <v/>
      </c>
      <c r="AE383" s="57" t="str">
        <f>IF(B383="","",YEAR(C383))</f>
        <v/>
      </c>
      <c r="AF383" s="57" t="str">
        <f>IF(B383="","",MONTH(C383))</f>
        <v/>
      </c>
      <c r="AG383" s="57">
        <f>IF(ISNUMBER(C383),C383,0)</f>
        <v>0.0</v>
      </c>
      <c r="AH383" s="57" t="str">
        <f>IF(N(W383)&gt;0,COUNTIF(W$6:W383,"&gt;0"),"")</f>
        <v/>
      </c>
      <c r="AI383" s="57" t="str">
        <f>IF(Z383=1,COUNTIF(Z$6:Z383,1),"")</f>
        <v/>
      </c>
    </row>
    <row r="384">
      <c r="A384" s="54" t="n"/>
      <c r="B384" s="55" t="str">
        <f>IF(AA384="","",A384&amp;"-"&amp;RIGHT("000"&amp;AA384,4))</f>
        <v/>
      </c>
      <c r="C384" s="56" t="n"/>
      <c r="D384" s="54" t="n"/>
      <c r="E384" s="57" t="str">
        <f>IF(D384="","",IF(A384="BL",IFERROR(INDEX(cl_name,MATCH(D384,cl_code,0))&amp;"","Client inconnu"),IF(A384="BR",IFERROR(INDEX(fo_name,MATCH(D384,fo_code,0))&amp;"","Fournisseur inconnu"),IF(A384="BS",IF(ISNA(MATCH(D384,p_services,0)),"Service inconnu",D384&amp;""),""))))</f>
        <v/>
      </c>
      <c r="F384" s="58" t="n"/>
      <c r="G384" s="58" t="n"/>
      <c r="H384" s="59" t="n"/>
      <c r="I384" s="57" t="str">
        <f>IF(H384="","",IFERROR(INDEX(art_des,MATCH(H384,art_ref,0))&amp;"","Article inconnu"))</f>
        <v/>
      </c>
      <c r="J384" s="60" t="str">
        <f>IF(H384="","",IFERROR(INDEX(art_unit,MATCH(H384,art_ref,0))&amp;"",""))</f>
        <v/>
      </c>
      <c r="K384" s="59" t="n"/>
      <c r="L384" s="59" t="n"/>
      <c r="M384" s="61" t="str">
        <f>IF(OR(B384="",NOT(ISNUMBER(K384)),NOT(ISNUMBER(L384))),"",IF(OR(K384&lt;=0,L384&lt;=0),"",ROUND(L384-K384,6)))</f>
        <v/>
      </c>
      <c r="N384" s="58" t="n"/>
      <c r="O384" s="62" t="n"/>
      <c r="P384" s="63" t="str">
        <f>IF(OR(B384="",NOT(ISNUMBER(L384))),"",IF(L384&lt;=0,"",IFERROR(ROUND(L384*N(INDEX(art_w,MATCH(H384,art_ref,0))),3),"")))</f>
        <v/>
      </c>
      <c r="Q384" s="59" t="n"/>
      <c r="R384" s="54" t="n"/>
      <c r="S384" s="59" t="n"/>
      <c r="T384" s="59" t="n"/>
      <c r="U384" s="64" t="str">
        <f>IF(OR(B384="",H384=""),"",IFERROR(IF(A384="BL",IF(N(INDEX(art_price,MATCH(H384,art_ref,0)))=0,"",N(INDEX(art_price,MATCH(H384,art_ref,0)))),IF(N(INDEX(art_cost,MATCH(H384,art_ref,0)))=0,"",N(INDEX(art_cost,MATCH(H384,art_ref,0))))),""))</f>
        <v/>
      </c>
      <c r="V384" s="64" t="str">
        <f>IF(OR(U384="",NOT(ISNUMBER(L384))),"",IF(L384&lt;=0,"",ROUND(L384*U384,2)))</f>
        <v/>
      </c>
      <c r="W384" s="60" t="str">
        <f>IF(AND(B384&lt;&gt;"",A384&lt;&gt;"BS",F384&lt;&gt;"",H384&lt;&gt;"",ISNUMBER(K384),ISNUMBER(L384)),IF(AND(K384&gt;0,L384&gt;0,K384-L384&gt;0,COUNTIFS(A385:A$2005,A384,F385:F$2005,F384,H385:H$2005,H384,AA385:AA$2005,"&gt;0")=0),ROUND(K384-L384,6),""),"")</f>
        <v/>
      </c>
      <c r="X384" s="60" t="str">
        <f>IF(AND(A384="",C384="",D384="",H384="",L384=""),"",IF(A384="","Type manquant",IF(AND(A384&lt;&gt;"BL",A384&lt;&gt;"BR",A384&lt;&gt;"BS"),"Type inconnu (BL, BR ou BS)",IF(AG384=0,"Date manquante ou invalide",IF(D384="",IF(A384="BL","Client manquant",IF(A384="BR","Fournisseur manquant","Service manquant")),IF(IF(A384="BL",ISNA(MATCH(D384,cl_code,0)),IF(A384="BR",ISNA(MATCH(D384,fo_code,0)),ISNA(MATCH(D384,p_services,0)))),IF(A384="BL","Client inconnu",IF(A384="BR","Fournisseur inconnu","Service inconnu")),IF(H384="","Article manquant",IF(ISNA(MATCH(H384,art_ref,0)),"Article inconnu",IF(OR(NOT(ISNUMBER(L384)),N(L384)&lt;=0),"Quantité invalide",IF(AND(K384&lt;&gt;"",OR(NOT(ISNUMBER(K384)),N(K384)&lt;=0)),"Qté commandée invalide",IF(AG384&lt;SUMPRODUCT(MAX((A$6:A383=A384)*AG$6:AG383)),"Date antérieure au bon précédent",IF(AND(A384&lt;&gt;"BR",ISNUMBER(M384),N(M384)&gt;0),IF(A384="BL","Livré plus que commandé","Sorti plus que demandé"),"OK"))))))))))))</f>
        <v/>
      </c>
      <c r="Y384" s="57" t="str">
        <f>IF(AND(OR(A384="BL",A384="BR",A384="BS"),AG384&gt;0,D384&lt;&gt;""),A384&amp;"|"&amp;AG384&amp;"|"&amp;D384&amp;"|"&amp;F384,"")</f>
        <v/>
      </c>
      <c r="Z384" s="57" t="str">
        <f>IF(Y384="","",IF(COUNTIF(Y$6:Y383,Y384)=0,1,0))</f>
        <v/>
      </c>
      <c r="AA384" s="57" t="str">
        <f>IF(Y384="","",IF(Z384=1,COUNTIFS(A$6:A384,A384,Z$6:Z384,1),INDEX(AA$6:AA383,MATCH(Y384,Y$6:Y383,0))))</f>
        <v/>
      </c>
      <c r="AB384" s="57" t="str">
        <f>IF(B384="","",COUNTIF(B$6:B384,B384))</f>
        <v/>
      </c>
      <c r="AC384" s="57" t="str">
        <f>IF(B384="","",B384&amp;"#"&amp;AB384)</f>
        <v/>
      </c>
      <c r="AD384" s="57" t="str">
        <f>IF(Z384=1,A384&amp;AA384,"")</f>
        <v/>
      </c>
      <c r="AE384" s="57" t="str">
        <f>IF(B384="","",YEAR(C384))</f>
        <v/>
      </c>
      <c r="AF384" s="57" t="str">
        <f>IF(B384="","",MONTH(C384))</f>
        <v/>
      </c>
      <c r="AG384" s="57">
        <f>IF(ISNUMBER(C384),C384,0)</f>
        <v>0.0</v>
      </c>
      <c r="AH384" s="57" t="str">
        <f>IF(N(W384)&gt;0,COUNTIF(W$6:W384,"&gt;0"),"")</f>
        <v/>
      </c>
      <c r="AI384" s="57" t="str">
        <f>IF(Z384=1,COUNTIF(Z$6:Z384,1),"")</f>
        <v/>
      </c>
    </row>
    <row r="385">
      <c r="A385" s="54" t="n"/>
      <c r="B385" s="55" t="str">
        <f>IF(AA385="","",A385&amp;"-"&amp;RIGHT("000"&amp;AA385,4))</f>
        <v/>
      </c>
      <c r="C385" s="56" t="n"/>
      <c r="D385" s="54" t="n"/>
      <c r="E385" s="57" t="str">
        <f>IF(D385="","",IF(A385="BL",IFERROR(INDEX(cl_name,MATCH(D385,cl_code,0))&amp;"","Client inconnu"),IF(A385="BR",IFERROR(INDEX(fo_name,MATCH(D385,fo_code,0))&amp;"","Fournisseur inconnu"),IF(A385="BS",IF(ISNA(MATCH(D385,p_services,0)),"Service inconnu",D385&amp;""),""))))</f>
        <v/>
      </c>
      <c r="F385" s="58" t="n"/>
      <c r="G385" s="58" t="n"/>
      <c r="H385" s="59" t="n"/>
      <c r="I385" s="57" t="str">
        <f>IF(H385="","",IFERROR(INDEX(art_des,MATCH(H385,art_ref,0))&amp;"","Article inconnu"))</f>
        <v/>
      </c>
      <c r="J385" s="60" t="str">
        <f>IF(H385="","",IFERROR(INDEX(art_unit,MATCH(H385,art_ref,0))&amp;"",""))</f>
        <v/>
      </c>
      <c r="K385" s="59" t="n"/>
      <c r="L385" s="59" t="n"/>
      <c r="M385" s="61" t="str">
        <f>IF(OR(B385="",NOT(ISNUMBER(K385)),NOT(ISNUMBER(L385))),"",IF(OR(K385&lt;=0,L385&lt;=0),"",ROUND(L385-K385,6)))</f>
        <v/>
      </c>
      <c r="N385" s="58" t="n"/>
      <c r="O385" s="62" t="n"/>
      <c r="P385" s="63" t="str">
        <f>IF(OR(B385="",NOT(ISNUMBER(L385))),"",IF(L385&lt;=0,"",IFERROR(ROUND(L385*N(INDEX(art_w,MATCH(H385,art_ref,0))),3),"")))</f>
        <v/>
      </c>
      <c r="Q385" s="59" t="n"/>
      <c r="R385" s="54" t="n"/>
      <c r="S385" s="59" t="n"/>
      <c r="T385" s="59" t="n"/>
      <c r="U385" s="64" t="str">
        <f>IF(OR(B385="",H385=""),"",IFERROR(IF(A385="BL",IF(N(INDEX(art_price,MATCH(H385,art_ref,0)))=0,"",N(INDEX(art_price,MATCH(H385,art_ref,0)))),IF(N(INDEX(art_cost,MATCH(H385,art_ref,0)))=0,"",N(INDEX(art_cost,MATCH(H385,art_ref,0))))),""))</f>
        <v/>
      </c>
      <c r="V385" s="64" t="str">
        <f>IF(OR(U385="",NOT(ISNUMBER(L385))),"",IF(L385&lt;=0,"",ROUND(L385*U385,2)))</f>
        <v/>
      </c>
      <c r="W385" s="60" t="str">
        <f>IF(AND(B385&lt;&gt;"",A385&lt;&gt;"BS",F385&lt;&gt;"",H385&lt;&gt;"",ISNUMBER(K385),ISNUMBER(L385)),IF(AND(K385&gt;0,L385&gt;0,K385-L385&gt;0,COUNTIFS(A386:A$2005,A385,F386:F$2005,F385,H386:H$2005,H385,AA386:AA$2005,"&gt;0")=0),ROUND(K385-L385,6),""),"")</f>
        <v/>
      </c>
      <c r="X385" s="60" t="str">
        <f>IF(AND(A385="",C385="",D385="",H385="",L385=""),"",IF(A385="","Type manquant",IF(AND(A385&lt;&gt;"BL",A385&lt;&gt;"BR",A385&lt;&gt;"BS"),"Type inconnu (BL, BR ou BS)",IF(AG385=0,"Date manquante ou invalide",IF(D385="",IF(A385="BL","Client manquant",IF(A385="BR","Fournisseur manquant","Service manquant")),IF(IF(A385="BL",ISNA(MATCH(D385,cl_code,0)),IF(A385="BR",ISNA(MATCH(D385,fo_code,0)),ISNA(MATCH(D385,p_services,0)))),IF(A385="BL","Client inconnu",IF(A385="BR","Fournisseur inconnu","Service inconnu")),IF(H385="","Article manquant",IF(ISNA(MATCH(H385,art_ref,0)),"Article inconnu",IF(OR(NOT(ISNUMBER(L385)),N(L385)&lt;=0),"Quantité invalide",IF(AND(K385&lt;&gt;"",OR(NOT(ISNUMBER(K385)),N(K385)&lt;=0)),"Qté commandée invalide",IF(AG385&lt;SUMPRODUCT(MAX((A$6:A384=A385)*AG$6:AG384)),"Date antérieure au bon précédent",IF(AND(A385&lt;&gt;"BR",ISNUMBER(M385),N(M385)&gt;0),IF(A385="BL","Livré plus que commandé","Sorti plus que demandé"),"OK"))))))))))))</f>
        <v/>
      </c>
      <c r="Y385" s="57" t="str">
        <f>IF(AND(OR(A385="BL",A385="BR",A385="BS"),AG385&gt;0,D385&lt;&gt;""),A385&amp;"|"&amp;AG385&amp;"|"&amp;D385&amp;"|"&amp;F385,"")</f>
        <v/>
      </c>
      <c r="Z385" s="57" t="str">
        <f>IF(Y385="","",IF(COUNTIF(Y$6:Y384,Y385)=0,1,0))</f>
        <v/>
      </c>
      <c r="AA385" s="57" t="str">
        <f>IF(Y385="","",IF(Z385=1,COUNTIFS(A$6:A385,A385,Z$6:Z385,1),INDEX(AA$6:AA384,MATCH(Y385,Y$6:Y384,0))))</f>
        <v/>
      </c>
      <c r="AB385" s="57" t="str">
        <f>IF(B385="","",COUNTIF(B$6:B385,B385))</f>
        <v/>
      </c>
      <c r="AC385" s="57" t="str">
        <f>IF(B385="","",B385&amp;"#"&amp;AB385)</f>
        <v/>
      </c>
      <c r="AD385" s="57" t="str">
        <f>IF(Z385=1,A385&amp;AA385,"")</f>
        <v/>
      </c>
      <c r="AE385" s="57" t="str">
        <f>IF(B385="","",YEAR(C385))</f>
        <v/>
      </c>
      <c r="AF385" s="57" t="str">
        <f>IF(B385="","",MONTH(C385))</f>
        <v/>
      </c>
      <c r="AG385" s="57">
        <f>IF(ISNUMBER(C385),C385,0)</f>
        <v>0.0</v>
      </c>
      <c r="AH385" s="57" t="str">
        <f>IF(N(W385)&gt;0,COUNTIF(W$6:W385,"&gt;0"),"")</f>
        <v/>
      </c>
      <c r="AI385" s="57" t="str">
        <f>IF(Z385=1,COUNTIF(Z$6:Z385,1),"")</f>
        <v/>
      </c>
    </row>
    <row r="386">
      <c r="A386" s="54" t="n"/>
      <c r="B386" s="55" t="str">
        <f>IF(AA386="","",A386&amp;"-"&amp;RIGHT("000"&amp;AA386,4))</f>
        <v/>
      </c>
      <c r="C386" s="56" t="n"/>
      <c r="D386" s="54" t="n"/>
      <c r="E386" s="57" t="str">
        <f>IF(D386="","",IF(A386="BL",IFERROR(INDEX(cl_name,MATCH(D386,cl_code,0))&amp;"","Client inconnu"),IF(A386="BR",IFERROR(INDEX(fo_name,MATCH(D386,fo_code,0))&amp;"","Fournisseur inconnu"),IF(A386="BS",IF(ISNA(MATCH(D386,p_services,0)),"Service inconnu",D386&amp;""),""))))</f>
        <v/>
      </c>
      <c r="F386" s="58" t="n"/>
      <c r="G386" s="58" t="n"/>
      <c r="H386" s="59" t="n"/>
      <c r="I386" s="57" t="str">
        <f>IF(H386="","",IFERROR(INDEX(art_des,MATCH(H386,art_ref,0))&amp;"","Article inconnu"))</f>
        <v/>
      </c>
      <c r="J386" s="60" t="str">
        <f>IF(H386="","",IFERROR(INDEX(art_unit,MATCH(H386,art_ref,0))&amp;"",""))</f>
        <v/>
      </c>
      <c r="K386" s="59" t="n"/>
      <c r="L386" s="59" t="n"/>
      <c r="M386" s="61" t="str">
        <f>IF(OR(B386="",NOT(ISNUMBER(K386)),NOT(ISNUMBER(L386))),"",IF(OR(K386&lt;=0,L386&lt;=0),"",ROUND(L386-K386,6)))</f>
        <v/>
      </c>
      <c r="N386" s="58" t="n"/>
      <c r="O386" s="62" t="n"/>
      <c r="P386" s="63" t="str">
        <f>IF(OR(B386="",NOT(ISNUMBER(L386))),"",IF(L386&lt;=0,"",IFERROR(ROUND(L386*N(INDEX(art_w,MATCH(H386,art_ref,0))),3),"")))</f>
        <v/>
      </c>
      <c r="Q386" s="59" t="n"/>
      <c r="R386" s="54" t="n"/>
      <c r="S386" s="59" t="n"/>
      <c r="T386" s="59" t="n"/>
      <c r="U386" s="64" t="str">
        <f>IF(OR(B386="",H386=""),"",IFERROR(IF(A386="BL",IF(N(INDEX(art_price,MATCH(H386,art_ref,0)))=0,"",N(INDEX(art_price,MATCH(H386,art_ref,0)))),IF(N(INDEX(art_cost,MATCH(H386,art_ref,0)))=0,"",N(INDEX(art_cost,MATCH(H386,art_ref,0))))),""))</f>
        <v/>
      </c>
      <c r="V386" s="64" t="str">
        <f>IF(OR(U386="",NOT(ISNUMBER(L386))),"",IF(L386&lt;=0,"",ROUND(L386*U386,2)))</f>
        <v/>
      </c>
      <c r="W386" s="60" t="str">
        <f>IF(AND(B386&lt;&gt;"",A386&lt;&gt;"BS",F386&lt;&gt;"",H386&lt;&gt;"",ISNUMBER(K386),ISNUMBER(L386)),IF(AND(K386&gt;0,L386&gt;0,K386-L386&gt;0,COUNTIFS(A387:A$2005,A386,F387:F$2005,F386,H387:H$2005,H386,AA387:AA$2005,"&gt;0")=0),ROUND(K386-L386,6),""),"")</f>
        <v/>
      </c>
      <c r="X386" s="60" t="str">
        <f>IF(AND(A386="",C386="",D386="",H386="",L386=""),"",IF(A386="","Type manquant",IF(AND(A386&lt;&gt;"BL",A386&lt;&gt;"BR",A386&lt;&gt;"BS"),"Type inconnu (BL, BR ou BS)",IF(AG386=0,"Date manquante ou invalide",IF(D386="",IF(A386="BL","Client manquant",IF(A386="BR","Fournisseur manquant","Service manquant")),IF(IF(A386="BL",ISNA(MATCH(D386,cl_code,0)),IF(A386="BR",ISNA(MATCH(D386,fo_code,0)),ISNA(MATCH(D386,p_services,0)))),IF(A386="BL","Client inconnu",IF(A386="BR","Fournisseur inconnu","Service inconnu")),IF(H386="","Article manquant",IF(ISNA(MATCH(H386,art_ref,0)),"Article inconnu",IF(OR(NOT(ISNUMBER(L386)),N(L386)&lt;=0),"Quantité invalide",IF(AND(K386&lt;&gt;"",OR(NOT(ISNUMBER(K386)),N(K386)&lt;=0)),"Qté commandée invalide",IF(AG386&lt;SUMPRODUCT(MAX((A$6:A385=A386)*AG$6:AG385)),"Date antérieure au bon précédent",IF(AND(A386&lt;&gt;"BR",ISNUMBER(M386),N(M386)&gt;0),IF(A386="BL","Livré plus que commandé","Sorti plus que demandé"),"OK"))))))))))))</f>
        <v/>
      </c>
      <c r="Y386" s="57" t="str">
        <f>IF(AND(OR(A386="BL",A386="BR",A386="BS"),AG386&gt;0,D386&lt;&gt;""),A386&amp;"|"&amp;AG386&amp;"|"&amp;D386&amp;"|"&amp;F386,"")</f>
        <v/>
      </c>
      <c r="Z386" s="57" t="str">
        <f>IF(Y386="","",IF(COUNTIF(Y$6:Y385,Y386)=0,1,0))</f>
        <v/>
      </c>
      <c r="AA386" s="57" t="str">
        <f>IF(Y386="","",IF(Z386=1,COUNTIFS(A$6:A386,A386,Z$6:Z386,1),INDEX(AA$6:AA385,MATCH(Y386,Y$6:Y385,0))))</f>
        <v/>
      </c>
      <c r="AB386" s="57" t="str">
        <f>IF(B386="","",COUNTIF(B$6:B386,B386))</f>
        <v/>
      </c>
      <c r="AC386" s="57" t="str">
        <f>IF(B386="","",B386&amp;"#"&amp;AB386)</f>
        <v/>
      </c>
      <c r="AD386" s="57" t="str">
        <f>IF(Z386=1,A386&amp;AA386,"")</f>
        <v/>
      </c>
      <c r="AE386" s="57" t="str">
        <f>IF(B386="","",YEAR(C386))</f>
        <v/>
      </c>
      <c r="AF386" s="57" t="str">
        <f>IF(B386="","",MONTH(C386))</f>
        <v/>
      </c>
      <c r="AG386" s="57">
        <f>IF(ISNUMBER(C386),C386,0)</f>
        <v>0.0</v>
      </c>
      <c r="AH386" s="57" t="str">
        <f>IF(N(W386)&gt;0,COUNTIF(W$6:W386,"&gt;0"),"")</f>
        <v/>
      </c>
      <c r="AI386" s="57" t="str">
        <f>IF(Z386=1,COUNTIF(Z$6:Z386,1),"")</f>
        <v/>
      </c>
    </row>
    <row r="387">
      <c r="A387" s="54" t="n"/>
      <c r="B387" s="55" t="str">
        <f>IF(AA387="","",A387&amp;"-"&amp;RIGHT("000"&amp;AA387,4))</f>
        <v/>
      </c>
      <c r="C387" s="56" t="n"/>
      <c r="D387" s="54" t="n"/>
      <c r="E387" s="57" t="str">
        <f>IF(D387="","",IF(A387="BL",IFERROR(INDEX(cl_name,MATCH(D387,cl_code,0))&amp;"","Client inconnu"),IF(A387="BR",IFERROR(INDEX(fo_name,MATCH(D387,fo_code,0))&amp;"","Fournisseur inconnu"),IF(A387="BS",IF(ISNA(MATCH(D387,p_services,0)),"Service inconnu",D387&amp;""),""))))</f>
        <v/>
      </c>
      <c r="F387" s="58" t="n"/>
      <c r="G387" s="58" t="n"/>
      <c r="H387" s="59" t="n"/>
      <c r="I387" s="57" t="str">
        <f>IF(H387="","",IFERROR(INDEX(art_des,MATCH(H387,art_ref,0))&amp;"","Article inconnu"))</f>
        <v/>
      </c>
      <c r="J387" s="60" t="str">
        <f>IF(H387="","",IFERROR(INDEX(art_unit,MATCH(H387,art_ref,0))&amp;"",""))</f>
        <v/>
      </c>
      <c r="K387" s="59" t="n"/>
      <c r="L387" s="59" t="n"/>
      <c r="M387" s="61" t="str">
        <f>IF(OR(B387="",NOT(ISNUMBER(K387)),NOT(ISNUMBER(L387))),"",IF(OR(K387&lt;=0,L387&lt;=0),"",ROUND(L387-K387,6)))</f>
        <v/>
      </c>
      <c r="N387" s="58" t="n"/>
      <c r="O387" s="62" t="n"/>
      <c r="P387" s="63" t="str">
        <f>IF(OR(B387="",NOT(ISNUMBER(L387))),"",IF(L387&lt;=0,"",IFERROR(ROUND(L387*N(INDEX(art_w,MATCH(H387,art_ref,0))),3),"")))</f>
        <v/>
      </c>
      <c r="Q387" s="59" t="n"/>
      <c r="R387" s="54" t="n"/>
      <c r="S387" s="59" t="n"/>
      <c r="T387" s="59" t="n"/>
      <c r="U387" s="64" t="str">
        <f>IF(OR(B387="",H387=""),"",IFERROR(IF(A387="BL",IF(N(INDEX(art_price,MATCH(H387,art_ref,0)))=0,"",N(INDEX(art_price,MATCH(H387,art_ref,0)))),IF(N(INDEX(art_cost,MATCH(H387,art_ref,0)))=0,"",N(INDEX(art_cost,MATCH(H387,art_ref,0))))),""))</f>
        <v/>
      </c>
      <c r="V387" s="64" t="str">
        <f>IF(OR(U387="",NOT(ISNUMBER(L387))),"",IF(L387&lt;=0,"",ROUND(L387*U387,2)))</f>
        <v/>
      </c>
      <c r="W387" s="60" t="str">
        <f>IF(AND(B387&lt;&gt;"",A387&lt;&gt;"BS",F387&lt;&gt;"",H387&lt;&gt;"",ISNUMBER(K387),ISNUMBER(L387)),IF(AND(K387&gt;0,L387&gt;0,K387-L387&gt;0,COUNTIFS(A388:A$2005,A387,F388:F$2005,F387,H388:H$2005,H387,AA388:AA$2005,"&gt;0")=0),ROUND(K387-L387,6),""),"")</f>
        <v/>
      </c>
      <c r="X387" s="60" t="str">
        <f>IF(AND(A387="",C387="",D387="",H387="",L387=""),"",IF(A387="","Type manquant",IF(AND(A387&lt;&gt;"BL",A387&lt;&gt;"BR",A387&lt;&gt;"BS"),"Type inconnu (BL, BR ou BS)",IF(AG387=0,"Date manquante ou invalide",IF(D387="",IF(A387="BL","Client manquant",IF(A387="BR","Fournisseur manquant","Service manquant")),IF(IF(A387="BL",ISNA(MATCH(D387,cl_code,0)),IF(A387="BR",ISNA(MATCH(D387,fo_code,0)),ISNA(MATCH(D387,p_services,0)))),IF(A387="BL","Client inconnu",IF(A387="BR","Fournisseur inconnu","Service inconnu")),IF(H387="","Article manquant",IF(ISNA(MATCH(H387,art_ref,0)),"Article inconnu",IF(OR(NOT(ISNUMBER(L387)),N(L387)&lt;=0),"Quantité invalide",IF(AND(K387&lt;&gt;"",OR(NOT(ISNUMBER(K387)),N(K387)&lt;=0)),"Qté commandée invalide",IF(AG387&lt;SUMPRODUCT(MAX((A$6:A386=A387)*AG$6:AG386)),"Date antérieure au bon précédent",IF(AND(A387&lt;&gt;"BR",ISNUMBER(M387),N(M387)&gt;0),IF(A387="BL","Livré plus que commandé","Sorti plus que demandé"),"OK"))))))))))))</f>
        <v/>
      </c>
      <c r="Y387" s="57" t="str">
        <f>IF(AND(OR(A387="BL",A387="BR",A387="BS"),AG387&gt;0,D387&lt;&gt;""),A387&amp;"|"&amp;AG387&amp;"|"&amp;D387&amp;"|"&amp;F387,"")</f>
        <v/>
      </c>
      <c r="Z387" s="57" t="str">
        <f>IF(Y387="","",IF(COUNTIF(Y$6:Y386,Y387)=0,1,0))</f>
        <v/>
      </c>
      <c r="AA387" s="57" t="str">
        <f>IF(Y387="","",IF(Z387=1,COUNTIFS(A$6:A387,A387,Z$6:Z387,1),INDEX(AA$6:AA386,MATCH(Y387,Y$6:Y386,0))))</f>
        <v/>
      </c>
      <c r="AB387" s="57" t="str">
        <f>IF(B387="","",COUNTIF(B$6:B387,B387))</f>
        <v/>
      </c>
      <c r="AC387" s="57" t="str">
        <f>IF(B387="","",B387&amp;"#"&amp;AB387)</f>
        <v/>
      </c>
      <c r="AD387" s="57" t="str">
        <f>IF(Z387=1,A387&amp;AA387,"")</f>
        <v/>
      </c>
      <c r="AE387" s="57" t="str">
        <f>IF(B387="","",YEAR(C387))</f>
        <v/>
      </c>
      <c r="AF387" s="57" t="str">
        <f>IF(B387="","",MONTH(C387))</f>
        <v/>
      </c>
      <c r="AG387" s="57">
        <f>IF(ISNUMBER(C387),C387,0)</f>
        <v>0.0</v>
      </c>
      <c r="AH387" s="57" t="str">
        <f>IF(N(W387)&gt;0,COUNTIF(W$6:W387,"&gt;0"),"")</f>
        <v/>
      </c>
      <c r="AI387" s="57" t="str">
        <f>IF(Z387=1,COUNTIF(Z$6:Z387,1),"")</f>
        <v/>
      </c>
    </row>
    <row r="388">
      <c r="A388" s="54" t="n"/>
      <c r="B388" s="55" t="str">
        <f>IF(AA388="","",A388&amp;"-"&amp;RIGHT("000"&amp;AA388,4))</f>
        <v/>
      </c>
      <c r="C388" s="56" t="n"/>
      <c r="D388" s="54" t="n"/>
      <c r="E388" s="57" t="str">
        <f>IF(D388="","",IF(A388="BL",IFERROR(INDEX(cl_name,MATCH(D388,cl_code,0))&amp;"","Client inconnu"),IF(A388="BR",IFERROR(INDEX(fo_name,MATCH(D388,fo_code,0))&amp;"","Fournisseur inconnu"),IF(A388="BS",IF(ISNA(MATCH(D388,p_services,0)),"Service inconnu",D388&amp;""),""))))</f>
        <v/>
      </c>
      <c r="F388" s="58" t="n"/>
      <c r="G388" s="58" t="n"/>
      <c r="H388" s="59" t="n"/>
      <c r="I388" s="57" t="str">
        <f>IF(H388="","",IFERROR(INDEX(art_des,MATCH(H388,art_ref,0))&amp;"","Article inconnu"))</f>
        <v/>
      </c>
      <c r="J388" s="60" t="str">
        <f>IF(H388="","",IFERROR(INDEX(art_unit,MATCH(H388,art_ref,0))&amp;"",""))</f>
        <v/>
      </c>
      <c r="K388" s="59" t="n"/>
      <c r="L388" s="59" t="n"/>
      <c r="M388" s="61" t="str">
        <f>IF(OR(B388="",NOT(ISNUMBER(K388)),NOT(ISNUMBER(L388))),"",IF(OR(K388&lt;=0,L388&lt;=0),"",ROUND(L388-K388,6)))</f>
        <v/>
      </c>
      <c r="N388" s="58" t="n"/>
      <c r="O388" s="62" t="n"/>
      <c r="P388" s="63" t="str">
        <f>IF(OR(B388="",NOT(ISNUMBER(L388))),"",IF(L388&lt;=0,"",IFERROR(ROUND(L388*N(INDEX(art_w,MATCH(H388,art_ref,0))),3),"")))</f>
        <v/>
      </c>
      <c r="Q388" s="59" t="n"/>
      <c r="R388" s="54" t="n"/>
      <c r="S388" s="59" t="n"/>
      <c r="T388" s="59" t="n"/>
      <c r="U388" s="64" t="str">
        <f>IF(OR(B388="",H388=""),"",IFERROR(IF(A388="BL",IF(N(INDEX(art_price,MATCH(H388,art_ref,0)))=0,"",N(INDEX(art_price,MATCH(H388,art_ref,0)))),IF(N(INDEX(art_cost,MATCH(H388,art_ref,0)))=0,"",N(INDEX(art_cost,MATCH(H388,art_ref,0))))),""))</f>
        <v/>
      </c>
      <c r="V388" s="64" t="str">
        <f>IF(OR(U388="",NOT(ISNUMBER(L388))),"",IF(L388&lt;=0,"",ROUND(L388*U388,2)))</f>
        <v/>
      </c>
      <c r="W388" s="60" t="str">
        <f>IF(AND(B388&lt;&gt;"",A388&lt;&gt;"BS",F388&lt;&gt;"",H388&lt;&gt;"",ISNUMBER(K388),ISNUMBER(L388)),IF(AND(K388&gt;0,L388&gt;0,K388-L388&gt;0,COUNTIFS(A389:A$2005,A388,F389:F$2005,F388,H389:H$2005,H388,AA389:AA$2005,"&gt;0")=0),ROUND(K388-L388,6),""),"")</f>
        <v/>
      </c>
      <c r="X388" s="60" t="str">
        <f>IF(AND(A388="",C388="",D388="",H388="",L388=""),"",IF(A388="","Type manquant",IF(AND(A388&lt;&gt;"BL",A388&lt;&gt;"BR",A388&lt;&gt;"BS"),"Type inconnu (BL, BR ou BS)",IF(AG388=0,"Date manquante ou invalide",IF(D388="",IF(A388="BL","Client manquant",IF(A388="BR","Fournisseur manquant","Service manquant")),IF(IF(A388="BL",ISNA(MATCH(D388,cl_code,0)),IF(A388="BR",ISNA(MATCH(D388,fo_code,0)),ISNA(MATCH(D388,p_services,0)))),IF(A388="BL","Client inconnu",IF(A388="BR","Fournisseur inconnu","Service inconnu")),IF(H388="","Article manquant",IF(ISNA(MATCH(H388,art_ref,0)),"Article inconnu",IF(OR(NOT(ISNUMBER(L388)),N(L388)&lt;=0),"Quantité invalide",IF(AND(K388&lt;&gt;"",OR(NOT(ISNUMBER(K388)),N(K388)&lt;=0)),"Qté commandée invalide",IF(AG388&lt;SUMPRODUCT(MAX((A$6:A387=A388)*AG$6:AG387)),"Date antérieure au bon précédent",IF(AND(A388&lt;&gt;"BR",ISNUMBER(M388),N(M388)&gt;0),IF(A388="BL","Livré plus que commandé","Sorti plus que demandé"),"OK"))))))))))))</f>
        <v/>
      </c>
      <c r="Y388" s="57" t="str">
        <f>IF(AND(OR(A388="BL",A388="BR",A388="BS"),AG388&gt;0,D388&lt;&gt;""),A388&amp;"|"&amp;AG388&amp;"|"&amp;D388&amp;"|"&amp;F388,"")</f>
        <v/>
      </c>
      <c r="Z388" s="57" t="str">
        <f>IF(Y388="","",IF(COUNTIF(Y$6:Y387,Y388)=0,1,0))</f>
        <v/>
      </c>
      <c r="AA388" s="57" t="str">
        <f>IF(Y388="","",IF(Z388=1,COUNTIFS(A$6:A388,A388,Z$6:Z388,1),INDEX(AA$6:AA387,MATCH(Y388,Y$6:Y387,0))))</f>
        <v/>
      </c>
      <c r="AB388" s="57" t="str">
        <f>IF(B388="","",COUNTIF(B$6:B388,B388))</f>
        <v/>
      </c>
      <c r="AC388" s="57" t="str">
        <f>IF(B388="","",B388&amp;"#"&amp;AB388)</f>
        <v/>
      </c>
      <c r="AD388" s="57" t="str">
        <f>IF(Z388=1,A388&amp;AA388,"")</f>
        <v/>
      </c>
      <c r="AE388" s="57" t="str">
        <f>IF(B388="","",YEAR(C388))</f>
        <v/>
      </c>
      <c r="AF388" s="57" t="str">
        <f>IF(B388="","",MONTH(C388))</f>
        <v/>
      </c>
      <c r="AG388" s="57">
        <f>IF(ISNUMBER(C388),C388,0)</f>
        <v>0.0</v>
      </c>
      <c r="AH388" s="57" t="str">
        <f>IF(N(W388)&gt;0,COUNTIF(W$6:W388,"&gt;0"),"")</f>
        <v/>
      </c>
      <c r="AI388" s="57" t="str">
        <f>IF(Z388=1,COUNTIF(Z$6:Z388,1),"")</f>
        <v/>
      </c>
    </row>
    <row r="389">
      <c r="A389" s="54" t="n"/>
      <c r="B389" s="55" t="str">
        <f>IF(AA389="","",A389&amp;"-"&amp;RIGHT("000"&amp;AA389,4))</f>
        <v/>
      </c>
      <c r="C389" s="56" t="n"/>
      <c r="D389" s="54" t="n"/>
      <c r="E389" s="57" t="str">
        <f>IF(D389="","",IF(A389="BL",IFERROR(INDEX(cl_name,MATCH(D389,cl_code,0))&amp;"","Client inconnu"),IF(A389="BR",IFERROR(INDEX(fo_name,MATCH(D389,fo_code,0))&amp;"","Fournisseur inconnu"),IF(A389="BS",IF(ISNA(MATCH(D389,p_services,0)),"Service inconnu",D389&amp;""),""))))</f>
        <v/>
      </c>
      <c r="F389" s="58" t="n"/>
      <c r="G389" s="58" t="n"/>
      <c r="H389" s="59" t="n"/>
      <c r="I389" s="57" t="str">
        <f>IF(H389="","",IFERROR(INDEX(art_des,MATCH(H389,art_ref,0))&amp;"","Article inconnu"))</f>
        <v/>
      </c>
      <c r="J389" s="60" t="str">
        <f>IF(H389="","",IFERROR(INDEX(art_unit,MATCH(H389,art_ref,0))&amp;"",""))</f>
        <v/>
      </c>
      <c r="K389" s="59" t="n"/>
      <c r="L389" s="59" t="n"/>
      <c r="M389" s="61" t="str">
        <f>IF(OR(B389="",NOT(ISNUMBER(K389)),NOT(ISNUMBER(L389))),"",IF(OR(K389&lt;=0,L389&lt;=0),"",ROUND(L389-K389,6)))</f>
        <v/>
      </c>
      <c r="N389" s="58" t="n"/>
      <c r="O389" s="62" t="n"/>
      <c r="P389" s="63" t="str">
        <f>IF(OR(B389="",NOT(ISNUMBER(L389))),"",IF(L389&lt;=0,"",IFERROR(ROUND(L389*N(INDEX(art_w,MATCH(H389,art_ref,0))),3),"")))</f>
        <v/>
      </c>
      <c r="Q389" s="59" t="n"/>
      <c r="R389" s="54" t="n"/>
      <c r="S389" s="59" t="n"/>
      <c r="T389" s="59" t="n"/>
      <c r="U389" s="64" t="str">
        <f>IF(OR(B389="",H389=""),"",IFERROR(IF(A389="BL",IF(N(INDEX(art_price,MATCH(H389,art_ref,0)))=0,"",N(INDEX(art_price,MATCH(H389,art_ref,0)))),IF(N(INDEX(art_cost,MATCH(H389,art_ref,0)))=0,"",N(INDEX(art_cost,MATCH(H389,art_ref,0))))),""))</f>
        <v/>
      </c>
      <c r="V389" s="64" t="str">
        <f>IF(OR(U389="",NOT(ISNUMBER(L389))),"",IF(L389&lt;=0,"",ROUND(L389*U389,2)))</f>
        <v/>
      </c>
      <c r="W389" s="60" t="str">
        <f>IF(AND(B389&lt;&gt;"",A389&lt;&gt;"BS",F389&lt;&gt;"",H389&lt;&gt;"",ISNUMBER(K389),ISNUMBER(L389)),IF(AND(K389&gt;0,L389&gt;0,K389-L389&gt;0,COUNTIFS(A390:A$2005,A389,F390:F$2005,F389,H390:H$2005,H389,AA390:AA$2005,"&gt;0")=0),ROUND(K389-L389,6),""),"")</f>
        <v/>
      </c>
      <c r="X389" s="60" t="str">
        <f>IF(AND(A389="",C389="",D389="",H389="",L389=""),"",IF(A389="","Type manquant",IF(AND(A389&lt;&gt;"BL",A389&lt;&gt;"BR",A389&lt;&gt;"BS"),"Type inconnu (BL, BR ou BS)",IF(AG389=0,"Date manquante ou invalide",IF(D389="",IF(A389="BL","Client manquant",IF(A389="BR","Fournisseur manquant","Service manquant")),IF(IF(A389="BL",ISNA(MATCH(D389,cl_code,0)),IF(A389="BR",ISNA(MATCH(D389,fo_code,0)),ISNA(MATCH(D389,p_services,0)))),IF(A389="BL","Client inconnu",IF(A389="BR","Fournisseur inconnu","Service inconnu")),IF(H389="","Article manquant",IF(ISNA(MATCH(H389,art_ref,0)),"Article inconnu",IF(OR(NOT(ISNUMBER(L389)),N(L389)&lt;=0),"Quantité invalide",IF(AND(K389&lt;&gt;"",OR(NOT(ISNUMBER(K389)),N(K389)&lt;=0)),"Qté commandée invalide",IF(AG389&lt;SUMPRODUCT(MAX((A$6:A388=A389)*AG$6:AG388)),"Date antérieure au bon précédent",IF(AND(A389&lt;&gt;"BR",ISNUMBER(M389),N(M389)&gt;0),IF(A389="BL","Livré plus que commandé","Sorti plus que demandé"),"OK"))))))))))))</f>
        <v/>
      </c>
      <c r="Y389" s="57" t="str">
        <f>IF(AND(OR(A389="BL",A389="BR",A389="BS"),AG389&gt;0,D389&lt;&gt;""),A389&amp;"|"&amp;AG389&amp;"|"&amp;D389&amp;"|"&amp;F389,"")</f>
        <v/>
      </c>
      <c r="Z389" s="57" t="str">
        <f>IF(Y389="","",IF(COUNTIF(Y$6:Y388,Y389)=0,1,0))</f>
        <v/>
      </c>
      <c r="AA389" s="57" t="str">
        <f>IF(Y389="","",IF(Z389=1,COUNTIFS(A$6:A389,A389,Z$6:Z389,1),INDEX(AA$6:AA388,MATCH(Y389,Y$6:Y388,0))))</f>
        <v/>
      </c>
      <c r="AB389" s="57" t="str">
        <f>IF(B389="","",COUNTIF(B$6:B389,B389))</f>
        <v/>
      </c>
      <c r="AC389" s="57" t="str">
        <f>IF(B389="","",B389&amp;"#"&amp;AB389)</f>
        <v/>
      </c>
      <c r="AD389" s="57" t="str">
        <f>IF(Z389=1,A389&amp;AA389,"")</f>
        <v/>
      </c>
      <c r="AE389" s="57" t="str">
        <f>IF(B389="","",YEAR(C389))</f>
        <v/>
      </c>
      <c r="AF389" s="57" t="str">
        <f>IF(B389="","",MONTH(C389))</f>
        <v/>
      </c>
      <c r="AG389" s="57">
        <f>IF(ISNUMBER(C389),C389,0)</f>
        <v>0.0</v>
      </c>
      <c r="AH389" s="57" t="str">
        <f>IF(N(W389)&gt;0,COUNTIF(W$6:W389,"&gt;0"),"")</f>
        <v/>
      </c>
      <c r="AI389" s="57" t="str">
        <f>IF(Z389=1,COUNTIF(Z$6:Z389,1),"")</f>
        <v/>
      </c>
    </row>
    <row r="390">
      <c r="A390" s="54" t="n"/>
      <c r="B390" s="55" t="str">
        <f>IF(AA390="","",A390&amp;"-"&amp;RIGHT("000"&amp;AA390,4))</f>
        <v/>
      </c>
      <c r="C390" s="56" t="n"/>
      <c r="D390" s="54" t="n"/>
      <c r="E390" s="57" t="str">
        <f>IF(D390="","",IF(A390="BL",IFERROR(INDEX(cl_name,MATCH(D390,cl_code,0))&amp;"","Client inconnu"),IF(A390="BR",IFERROR(INDEX(fo_name,MATCH(D390,fo_code,0))&amp;"","Fournisseur inconnu"),IF(A390="BS",IF(ISNA(MATCH(D390,p_services,0)),"Service inconnu",D390&amp;""),""))))</f>
        <v/>
      </c>
      <c r="F390" s="58" t="n"/>
      <c r="G390" s="58" t="n"/>
      <c r="H390" s="59" t="n"/>
      <c r="I390" s="57" t="str">
        <f>IF(H390="","",IFERROR(INDEX(art_des,MATCH(H390,art_ref,0))&amp;"","Article inconnu"))</f>
        <v/>
      </c>
      <c r="J390" s="60" t="str">
        <f>IF(H390="","",IFERROR(INDEX(art_unit,MATCH(H390,art_ref,0))&amp;"",""))</f>
        <v/>
      </c>
      <c r="K390" s="59" t="n"/>
      <c r="L390" s="59" t="n"/>
      <c r="M390" s="61" t="str">
        <f>IF(OR(B390="",NOT(ISNUMBER(K390)),NOT(ISNUMBER(L390))),"",IF(OR(K390&lt;=0,L390&lt;=0),"",ROUND(L390-K390,6)))</f>
        <v/>
      </c>
      <c r="N390" s="58" t="n"/>
      <c r="O390" s="62" t="n"/>
      <c r="P390" s="63" t="str">
        <f>IF(OR(B390="",NOT(ISNUMBER(L390))),"",IF(L390&lt;=0,"",IFERROR(ROUND(L390*N(INDEX(art_w,MATCH(H390,art_ref,0))),3),"")))</f>
        <v/>
      </c>
      <c r="Q390" s="59" t="n"/>
      <c r="R390" s="54" t="n"/>
      <c r="S390" s="59" t="n"/>
      <c r="T390" s="59" t="n"/>
      <c r="U390" s="64" t="str">
        <f>IF(OR(B390="",H390=""),"",IFERROR(IF(A390="BL",IF(N(INDEX(art_price,MATCH(H390,art_ref,0)))=0,"",N(INDEX(art_price,MATCH(H390,art_ref,0)))),IF(N(INDEX(art_cost,MATCH(H390,art_ref,0)))=0,"",N(INDEX(art_cost,MATCH(H390,art_ref,0))))),""))</f>
        <v/>
      </c>
      <c r="V390" s="64" t="str">
        <f>IF(OR(U390="",NOT(ISNUMBER(L390))),"",IF(L390&lt;=0,"",ROUND(L390*U390,2)))</f>
        <v/>
      </c>
      <c r="W390" s="60" t="str">
        <f>IF(AND(B390&lt;&gt;"",A390&lt;&gt;"BS",F390&lt;&gt;"",H390&lt;&gt;"",ISNUMBER(K390),ISNUMBER(L390)),IF(AND(K390&gt;0,L390&gt;0,K390-L390&gt;0,COUNTIFS(A391:A$2005,A390,F391:F$2005,F390,H391:H$2005,H390,AA391:AA$2005,"&gt;0")=0),ROUND(K390-L390,6),""),"")</f>
        <v/>
      </c>
      <c r="X390" s="60" t="str">
        <f>IF(AND(A390="",C390="",D390="",H390="",L390=""),"",IF(A390="","Type manquant",IF(AND(A390&lt;&gt;"BL",A390&lt;&gt;"BR",A390&lt;&gt;"BS"),"Type inconnu (BL, BR ou BS)",IF(AG390=0,"Date manquante ou invalide",IF(D390="",IF(A390="BL","Client manquant",IF(A390="BR","Fournisseur manquant","Service manquant")),IF(IF(A390="BL",ISNA(MATCH(D390,cl_code,0)),IF(A390="BR",ISNA(MATCH(D390,fo_code,0)),ISNA(MATCH(D390,p_services,0)))),IF(A390="BL","Client inconnu",IF(A390="BR","Fournisseur inconnu","Service inconnu")),IF(H390="","Article manquant",IF(ISNA(MATCH(H390,art_ref,0)),"Article inconnu",IF(OR(NOT(ISNUMBER(L390)),N(L390)&lt;=0),"Quantité invalide",IF(AND(K390&lt;&gt;"",OR(NOT(ISNUMBER(K390)),N(K390)&lt;=0)),"Qté commandée invalide",IF(AG390&lt;SUMPRODUCT(MAX((A$6:A389=A390)*AG$6:AG389)),"Date antérieure au bon précédent",IF(AND(A390&lt;&gt;"BR",ISNUMBER(M390),N(M390)&gt;0),IF(A390="BL","Livré plus que commandé","Sorti plus que demandé"),"OK"))))))))))))</f>
        <v/>
      </c>
      <c r="Y390" s="57" t="str">
        <f>IF(AND(OR(A390="BL",A390="BR",A390="BS"),AG390&gt;0,D390&lt;&gt;""),A390&amp;"|"&amp;AG390&amp;"|"&amp;D390&amp;"|"&amp;F390,"")</f>
        <v/>
      </c>
      <c r="Z390" s="57" t="str">
        <f>IF(Y390="","",IF(COUNTIF(Y$6:Y389,Y390)=0,1,0))</f>
        <v/>
      </c>
      <c r="AA390" s="57" t="str">
        <f>IF(Y390="","",IF(Z390=1,COUNTIFS(A$6:A390,A390,Z$6:Z390,1),INDEX(AA$6:AA389,MATCH(Y390,Y$6:Y389,0))))</f>
        <v/>
      </c>
      <c r="AB390" s="57" t="str">
        <f>IF(B390="","",COUNTIF(B$6:B390,B390))</f>
        <v/>
      </c>
      <c r="AC390" s="57" t="str">
        <f>IF(B390="","",B390&amp;"#"&amp;AB390)</f>
        <v/>
      </c>
      <c r="AD390" s="57" t="str">
        <f>IF(Z390=1,A390&amp;AA390,"")</f>
        <v/>
      </c>
      <c r="AE390" s="57" t="str">
        <f>IF(B390="","",YEAR(C390))</f>
        <v/>
      </c>
      <c r="AF390" s="57" t="str">
        <f>IF(B390="","",MONTH(C390))</f>
        <v/>
      </c>
      <c r="AG390" s="57">
        <f>IF(ISNUMBER(C390),C390,0)</f>
        <v>0.0</v>
      </c>
      <c r="AH390" s="57" t="str">
        <f>IF(N(W390)&gt;0,COUNTIF(W$6:W390,"&gt;0"),"")</f>
        <v/>
      </c>
      <c r="AI390" s="57" t="str">
        <f>IF(Z390=1,COUNTIF(Z$6:Z390,1),"")</f>
        <v/>
      </c>
    </row>
    <row r="391">
      <c r="A391" s="54" t="n"/>
      <c r="B391" s="55" t="str">
        <f>IF(AA391="","",A391&amp;"-"&amp;RIGHT("000"&amp;AA391,4))</f>
        <v/>
      </c>
      <c r="C391" s="56" t="n"/>
      <c r="D391" s="54" t="n"/>
      <c r="E391" s="57" t="str">
        <f>IF(D391="","",IF(A391="BL",IFERROR(INDEX(cl_name,MATCH(D391,cl_code,0))&amp;"","Client inconnu"),IF(A391="BR",IFERROR(INDEX(fo_name,MATCH(D391,fo_code,0))&amp;"","Fournisseur inconnu"),IF(A391="BS",IF(ISNA(MATCH(D391,p_services,0)),"Service inconnu",D391&amp;""),""))))</f>
        <v/>
      </c>
      <c r="F391" s="58" t="n"/>
      <c r="G391" s="58" t="n"/>
      <c r="H391" s="59" t="n"/>
      <c r="I391" s="57" t="str">
        <f>IF(H391="","",IFERROR(INDEX(art_des,MATCH(H391,art_ref,0))&amp;"","Article inconnu"))</f>
        <v/>
      </c>
      <c r="J391" s="60" t="str">
        <f>IF(H391="","",IFERROR(INDEX(art_unit,MATCH(H391,art_ref,0))&amp;"",""))</f>
        <v/>
      </c>
      <c r="K391" s="59" t="n"/>
      <c r="L391" s="59" t="n"/>
      <c r="M391" s="61" t="str">
        <f>IF(OR(B391="",NOT(ISNUMBER(K391)),NOT(ISNUMBER(L391))),"",IF(OR(K391&lt;=0,L391&lt;=0),"",ROUND(L391-K391,6)))</f>
        <v/>
      </c>
      <c r="N391" s="58" t="n"/>
      <c r="O391" s="62" t="n"/>
      <c r="P391" s="63" t="str">
        <f>IF(OR(B391="",NOT(ISNUMBER(L391))),"",IF(L391&lt;=0,"",IFERROR(ROUND(L391*N(INDEX(art_w,MATCH(H391,art_ref,0))),3),"")))</f>
        <v/>
      </c>
      <c r="Q391" s="59" t="n"/>
      <c r="R391" s="54" t="n"/>
      <c r="S391" s="59" t="n"/>
      <c r="T391" s="59" t="n"/>
      <c r="U391" s="64" t="str">
        <f>IF(OR(B391="",H391=""),"",IFERROR(IF(A391="BL",IF(N(INDEX(art_price,MATCH(H391,art_ref,0)))=0,"",N(INDEX(art_price,MATCH(H391,art_ref,0)))),IF(N(INDEX(art_cost,MATCH(H391,art_ref,0)))=0,"",N(INDEX(art_cost,MATCH(H391,art_ref,0))))),""))</f>
        <v/>
      </c>
      <c r="V391" s="64" t="str">
        <f>IF(OR(U391="",NOT(ISNUMBER(L391))),"",IF(L391&lt;=0,"",ROUND(L391*U391,2)))</f>
        <v/>
      </c>
      <c r="W391" s="60" t="str">
        <f>IF(AND(B391&lt;&gt;"",A391&lt;&gt;"BS",F391&lt;&gt;"",H391&lt;&gt;"",ISNUMBER(K391),ISNUMBER(L391)),IF(AND(K391&gt;0,L391&gt;0,K391-L391&gt;0,COUNTIFS(A392:A$2005,A391,F392:F$2005,F391,H392:H$2005,H391,AA392:AA$2005,"&gt;0")=0),ROUND(K391-L391,6),""),"")</f>
        <v/>
      </c>
      <c r="X391" s="60" t="str">
        <f>IF(AND(A391="",C391="",D391="",H391="",L391=""),"",IF(A391="","Type manquant",IF(AND(A391&lt;&gt;"BL",A391&lt;&gt;"BR",A391&lt;&gt;"BS"),"Type inconnu (BL, BR ou BS)",IF(AG391=0,"Date manquante ou invalide",IF(D391="",IF(A391="BL","Client manquant",IF(A391="BR","Fournisseur manquant","Service manquant")),IF(IF(A391="BL",ISNA(MATCH(D391,cl_code,0)),IF(A391="BR",ISNA(MATCH(D391,fo_code,0)),ISNA(MATCH(D391,p_services,0)))),IF(A391="BL","Client inconnu",IF(A391="BR","Fournisseur inconnu","Service inconnu")),IF(H391="","Article manquant",IF(ISNA(MATCH(H391,art_ref,0)),"Article inconnu",IF(OR(NOT(ISNUMBER(L391)),N(L391)&lt;=0),"Quantité invalide",IF(AND(K391&lt;&gt;"",OR(NOT(ISNUMBER(K391)),N(K391)&lt;=0)),"Qté commandée invalide",IF(AG391&lt;SUMPRODUCT(MAX((A$6:A390=A391)*AG$6:AG390)),"Date antérieure au bon précédent",IF(AND(A391&lt;&gt;"BR",ISNUMBER(M391),N(M391)&gt;0),IF(A391="BL","Livré plus que commandé","Sorti plus que demandé"),"OK"))))))))))))</f>
        <v/>
      </c>
      <c r="Y391" s="57" t="str">
        <f>IF(AND(OR(A391="BL",A391="BR",A391="BS"),AG391&gt;0,D391&lt;&gt;""),A391&amp;"|"&amp;AG391&amp;"|"&amp;D391&amp;"|"&amp;F391,"")</f>
        <v/>
      </c>
      <c r="Z391" s="57" t="str">
        <f>IF(Y391="","",IF(COUNTIF(Y$6:Y390,Y391)=0,1,0))</f>
        <v/>
      </c>
      <c r="AA391" s="57" t="str">
        <f>IF(Y391="","",IF(Z391=1,COUNTIFS(A$6:A391,A391,Z$6:Z391,1),INDEX(AA$6:AA390,MATCH(Y391,Y$6:Y390,0))))</f>
        <v/>
      </c>
      <c r="AB391" s="57" t="str">
        <f>IF(B391="","",COUNTIF(B$6:B391,B391))</f>
        <v/>
      </c>
      <c r="AC391" s="57" t="str">
        <f>IF(B391="","",B391&amp;"#"&amp;AB391)</f>
        <v/>
      </c>
      <c r="AD391" s="57" t="str">
        <f>IF(Z391=1,A391&amp;AA391,"")</f>
        <v/>
      </c>
      <c r="AE391" s="57" t="str">
        <f>IF(B391="","",YEAR(C391))</f>
        <v/>
      </c>
      <c r="AF391" s="57" t="str">
        <f>IF(B391="","",MONTH(C391))</f>
        <v/>
      </c>
      <c r="AG391" s="57">
        <f>IF(ISNUMBER(C391),C391,0)</f>
        <v>0.0</v>
      </c>
      <c r="AH391" s="57" t="str">
        <f>IF(N(W391)&gt;0,COUNTIF(W$6:W391,"&gt;0"),"")</f>
        <v/>
      </c>
      <c r="AI391" s="57" t="str">
        <f>IF(Z391=1,COUNTIF(Z$6:Z391,1),"")</f>
        <v/>
      </c>
    </row>
    <row r="392">
      <c r="A392" s="54" t="n"/>
      <c r="B392" s="55" t="str">
        <f>IF(AA392="","",A392&amp;"-"&amp;RIGHT("000"&amp;AA392,4))</f>
        <v/>
      </c>
      <c r="C392" s="56" t="n"/>
      <c r="D392" s="54" t="n"/>
      <c r="E392" s="57" t="str">
        <f>IF(D392="","",IF(A392="BL",IFERROR(INDEX(cl_name,MATCH(D392,cl_code,0))&amp;"","Client inconnu"),IF(A392="BR",IFERROR(INDEX(fo_name,MATCH(D392,fo_code,0))&amp;"","Fournisseur inconnu"),IF(A392="BS",IF(ISNA(MATCH(D392,p_services,0)),"Service inconnu",D392&amp;""),""))))</f>
        <v/>
      </c>
      <c r="F392" s="58" t="n"/>
      <c r="G392" s="58" t="n"/>
      <c r="H392" s="59" t="n"/>
      <c r="I392" s="57" t="str">
        <f>IF(H392="","",IFERROR(INDEX(art_des,MATCH(H392,art_ref,0))&amp;"","Article inconnu"))</f>
        <v/>
      </c>
      <c r="J392" s="60" t="str">
        <f>IF(H392="","",IFERROR(INDEX(art_unit,MATCH(H392,art_ref,0))&amp;"",""))</f>
        <v/>
      </c>
      <c r="K392" s="59" t="n"/>
      <c r="L392" s="59" t="n"/>
      <c r="M392" s="61" t="str">
        <f>IF(OR(B392="",NOT(ISNUMBER(K392)),NOT(ISNUMBER(L392))),"",IF(OR(K392&lt;=0,L392&lt;=0),"",ROUND(L392-K392,6)))</f>
        <v/>
      </c>
      <c r="N392" s="58" t="n"/>
      <c r="O392" s="62" t="n"/>
      <c r="P392" s="63" t="str">
        <f>IF(OR(B392="",NOT(ISNUMBER(L392))),"",IF(L392&lt;=0,"",IFERROR(ROUND(L392*N(INDEX(art_w,MATCH(H392,art_ref,0))),3),"")))</f>
        <v/>
      </c>
      <c r="Q392" s="59" t="n"/>
      <c r="R392" s="54" t="n"/>
      <c r="S392" s="59" t="n"/>
      <c r="T392" s="59" t="n"/>
      <c r="U392" s="64" t="str">
        <f>IF(OR(B392="",H392=""),"",IFERROR(IF(A392="BL",IF(N(INDEX(art_price,MATCH(H392,art_ref,0)))=0,"",N(INDEX(art_price,MATCH(H392,art_ref,0)))),IF(N(INDEX(art_cost,MATCH(H392,art_ref,0)))=0,"",N(INDEX(art_cost,MATCH(H392,art_ref,0))))),""))</f>
        <v/>
      </c>
      <c r="V392" s="64" t="str">
        <f>IF(OR(U392="",NOT(ISNUMBER(L392))),"",IF(L392&lt;=0,"",ROUND(L392*U392,2)))</f>
        <v/>
      </c>
      <c r="W392" s="60" t="str">
        <f>IF(AND(B392&lt;&gt;"",A392&lt;&gt;"BS",F392&lt;&gt;"",H392&lt;&gt;"",ISNUMBER(K392),ISNUMBER(L392)),IF(AND(K392&gt;0,L392&gt;0,K392-L392&gt;0,COUNTIFS(A393:A$2005,A392,F393:F$2005,F392,H393:H$2005,H392,AA393:AA$2005,"&gt;0")=0),ROUND(K392-L392,6),""),"")</f>
        <v/>
      </c>
      <c r="X392" s="60" t="str">
        <f>IF(AND(A392="",C392="",D392="",H392="",L392=""),"",IF(A392="","Type manquant",IF(AND(A392&lt;&gt;"BL",A392&lt;&gt;"BR",A392&lt;&gt;"BS"),"Type inconnu (BL, BR ou BS)",IF(AG392=0,"Date manquante ou invalide",IF(D392="",IF(A392="BL","Client manquant",IF(A392="BR","Fournisseur manquant","Service manquant")),IF(IF(A392="BL",ISNA(MATCH(D392,cl_code,0)),IF(A392="BR",ISNA(MATCH(D392,fo_code,0)),ISNA(MATCH(D392,p_services,0)))),IF(A392="BL","Client inconnu",IF(A392="BR","Fournisseur inconnu","Service inconnu")),IF(H392="","Article manquant",IF(ISNA(MATCH(H392,art_ref,0)),"Article inconnu",IF(OR(NOT(ISNUMBER(L392)),N(L392)&lt;=0),"Quantité invalide",IF(AND(K392&lt;&gt;"",OR(NOT(ISNUMBER(K392)),N(K392)&lt;=0)),"Qté commandée invalide",IF(AG392&lt;SUMPRODUCT(MAX((A$6:A391=A392)*AG$6:AG391)),"Date antérieure au bon précédent",IF(AND(A392&lt;&gt;"BR",ISNUMBER(M392),N(M392)&gt;0),IF(A392="BL","Livré plus que commandé","Sorti plus que demandé"),"OK"))))))))))))</f>
        <v/>
      </c>
      <c r="Y392" s="57" t="str">
        <f>IF(AND(OR(A392="BL",A392="BR",A392="BS"),AG392&gt;0,D392&lt;&gt;""),A392&amp;"|"&amp;AG392&amp;"|"&amp;D392&amp;"|"&amp;F392,"")</f>
        <v/>
      </c>
      <c r="Z392" s="57" t="str">
        <f>IF(Y392="","",IF(COUNTIF(Y$6:Y391,Y392)=0,1,0))</f>
        <v/>
      </c>
      <c r="AA392" s="57" t="str">
        <f>IF(Y392="","",IF(Z392=1,COUNTIFS(A$6:A392,A392,Z$6:Z392,1),INDEX(AA$6:AA391,MATCH(Y392,Y$6:Y391,0))))</f>
        <v/>
      </c>
      <c r="AB392" s="57" t="str">
        <f>IF(B392="","",COUNTIF(B$6:B392,B392))</f>
        <v/>
      </c>
      <c r="AC392" s="57" t="str">
        <f>IF(B392="","",B392&amp;"#"&amp;AB392)</f>
        <v/>
      </c>
      <c r="AD392" s="57" t="str">
        <f>IF(Z392=1,A392&amp;AA392,"")</f>
        <v/>
      </c>
      <c r="AE392" s="57" t="str">
        <f>IF(B392="","",YEAR(C392))</f>
        <v/>
      </c>
      <c r="AF392" s="57" t="str">
        <f>IF(B392="","",MONTH(C392))</f>
        <v/>
      </c>
      <c r="AG392" s="57">
        <f>IF(ISNUMBER(C392),C392,0)</f>
        <v>0.0</v>
      </c>
      <c r="AH392" s="57" t="str">
        <f>IF(N(W392)&gt;0,COUNTIF(W$6:W392,"&gt;0"),"")</f>
        <v/>
      </c>
      <c r="AI392" s="57" t="str">
        <f>IF(Z392=1,COUNTIF(Z$6:Z392,1),"")</f>
        <v/>
      </c>
    </row>
    <row r="393">
      <c r="A393" s="54" t="n"/>
      <c r="B393" s="55" t="str">
        <f>IF(AA393="","",A393&amp;"-"&amp;RIGHT("000"&amp;AA393,4))</f>
        <v/>
      </c>
      <c r="C393" s="56" t="n"/>
      <c r="D393" s="54" t="n"/>
      <c r="E393" s="57" t="str">
        <f>IF(D393="","",IF(A393="BL",IFERROR(INDEX(cl_name,MATCH(D393,cl_code,0))&amp;"","Client inconnu"),IF(A393="BR",IFERROR(INDEX(fo_name,MATCH(D393,fo_code,0))&amp;"","Fournisseur inconnu"),IF(A393="BS",IF(ISNA(MATCH(D393,p_services,0)),"Service inconnu",D393&amp;""),""))))</f>
        <v/>
      </c>
      <c r="F393" s="58" t="n"/>
      <c r="G393" s="58" t="n"/>
      <c r="H393" s="59" t="n"/>
      <c r="I393" s="57" t="str">
        <f>IF(H393="","",IFERROR(INDEX(art_des,MATCH(H393,art_ref,0))&amp;"","Article inconnu"))</f>
        <v/>
      </c>
      <c r="J393" s="60" t="str">
        <f>IF(H393="","",IFERROR(INDEX(art_unit,MATCH(H393,art_ref,0))&amp;"",""))</f>
        <v/>
      </c>
      <c r="K393" s="59" t="n"/>
      <c r="L393" s="59" t="n"/>
      <c r="M393" s="61" t="str">
        <f>IF(OR(B393="",NOT(ISNUMBER(K393)),NOT(ISNUMBER(L393))),"",IF(OR(K393&lt;=0,L393&lt;=0),"",ROUND(L393-K393,6)))</f>
        <v/>
      </c>
      <c r="N393" s="58" t="n"/>
      <c r="O393" s="62" t="n"/>
      <c r="P393" s="63" t="str">
        <f>IF(OR(B393="",NOT(ISNUMBER(L393))),"",IF(L393&lt;=0,"",IFERROR(ROUND(L393*N(INDEX(art_w,MATCH(H393,art_ref,0))),3),"")))</f>
        <v/>
      </c>
      <c r="Q393" s="59" t="n"/>
      <c r="R393" s="54" t="n"/>
      <c r="S393" s="59" t="n"/>
      <c r="T393" s="59" t="n"/>
      <c r="U393" s="64" t="str">
        <f>IF(OR(B393="",H393=""),"",IFERROR(IF(A393="BL",IF(N(INDEX(art_price,MATCH(H393,art_ref,0)))=0,"",N(INDEX(art_price,MATCH(H393,art_ref,0)))),IF(N(INDEX(art_cost,MATCH(H393,art_ref,0)))=0,"",N(INDEX(art_cost,MATCH(H393,art_ref,0))))),""))</f>
        <v/>
      </c>
      <c r="V393" s="64" t="str">
        <f>IF(OR(U393="",NOT(ISNUMBER(L393))),"",IF(L393&lt;=0,"",ROUND(L393*U393,2)))</f>
        <v/>
      </c>
      <c r="W393" s="60" t="str">
        <f>IF(AND(B393&lt;&gt;"",A393&lt;&gt;"BS",F393&lt;&gt;"",H393&lt;&gt;"",ISNUMBER(K393),ISNUMBER(L393)),IF(AND(K393&gt;0,L393&gt;0,K393-L393&gt;0,COUNTIFS(A394:A$2005,A393,F394:F$2005,F393,H394:H$2005,H393,AA394:AA$2005,"&gt;0")=0),ROUND(K393-L393,6),""),"")</f>
        <v/>
      </c>
      <c r="X393" s="60" t="str">
        <f>IF(AND(A393="",C393="",D393="",H393="",L393=""),"",IF(A393="","Type manquant",IF(AND(A393&lt;&gt;"BL",A393&lt;&gt;"BR",A393&lt;&gt;"BS"),"Type inconnu (BL, BR ou BS)",IF(AG393=0,"Date manquante ou invalide",IF(D393="",IF(A393="BL","Client manquant",IF(A393="BR","Fournisseur manquant","Service manquant")),IF(IF(A393="BL",ISNA(MATCH(D393,cl_code,0)),IF(A393="BR",ISNA(MATCH(D393,fo_code,0)),ISNA(MATCH(D393,p_services,0)))),IF(A393="BL","Client inconnu",IF(A393="BR","Fournisseur inconnu","Service inconnu")),IF(H393="","Article manquant",IF(ISNA(MATCH(H393,art_ref,0)),"Article inconnu",IF(OR(NOT(ISNUMBER(L393)),N(L393)&lt;=0),"Quantité invalide",IF(AND(K393&lt;&gt;"",OR(NOT(ISNUMBER(K393)),N(K393)&lt;=0)),"Qté commandée invalide",IF(AG393&lt;SUMPRODUCT(MAX((A$6:A392=A393)*AG$6:AG392)),"Date antérieure au bon précédent",IF(AND(A393&lt;&gt;"BR",ISNUMBER(M393),N(M393)&gt;0),IF(A393="BL","Livré plus que commandé","Sorti plus que demandé"),"OK"))))))))))))</f>
        <v/>
      </c>
      <c r="Y393" s="57" t="str">
        <f>IF(AND(OR(A393="BL",A393="BR",A393="BS"),AG393&gt;0,D393&lt;&gt;""),A393&amp;"|"&amp;AG393&amp;"|"&amp;D393&amp;"|"&amp;F393,"")</f>
        <v/>
      </c>
      <c r="Z393" s="57" t="str">
        <f>IF(Y393="","",IF(COUNTIF(Y$6:Y392,Y393)=0,1,0))</f>
        <v/>
      </c>
      <c r="AA393" s="57" t="str">
        <f>IF(Y393="","",IF(Z393=1,COUNTIFS(A$6:A393,A393,Z$6:Z393,1),INDEX(AA$6:AA392,MATCH(Y393,Y$6:Y392,0))))</f>
        <v/>
      </c>
      <c r="AB393" s="57" t="str">
        <f>IF(B393="","",COUNTIF(B$6:B393,B393))</f>
        <v/>
      </c>
      <c r="AC393" s="57" t="str">
        <f>IF(B393="","",B393&amp;"#"&amp;AB393)</f>
        <v/>
      </c>
      <c r="AD393" s="57" t="str">
        <f>IF(Z393=1,A393&amp;AA393,"")</f>
        <v/>
      </c>
      <c r="AE393" s="57" t="str">
        <f>IF(B393="","",YEAR(C393))</f>
        <v/>
      </c>
      <c r="AF393" s="57" t="str">
        <f>IF(B393="","",MONTH(C393))</f>
        <v/>
      </c>
      <c r="AG393" s="57">
        <f>IF(ISNUMBER(C393),C393,0)</f>
        <v>0.0</v>
      </c>
      <c r="AH393" s="57" t="str">
        <f>IF(N(W393)&gt;0,COUNTIF(W$6:W393,"&gt;0"),"")</f>
        <v/>
      </c>
      <c r="AI393" s="57" t="str">
        <f>IF(Z393=1,COUNTIF(Z$6:Z393,1),"")</f>
        <v/>
      </c>
    </row>
    <row r="394">
      <c r="A394" s="54" t="n"/>
      <c r="B394" s="55" t="str">
        <f>IF(AA394="","",A394&amp;"-"&amp;RIGHT("000"&amp;AA394,4))</f>
        <v/>
      </c>
      <c r="C394" s="56" t="n"/>
      <c r="D394" s="54" t="n"/>
      <c r="E394" s="57" t="str">
        <f>IF(D394="","",IF(A394="BL",IFERROR(INDEX(cl_name,MATCH(D394,cl_code,0))&amp;"","Client inconnu"),IF(A394="BR",IFERROR(INDEX(fo_name,MATCH(D394,fo_code,0))&amp;"","Fournisseur inconnu"),IF(A394="BS",IF(ISNA(MATCH(D394,p_services,0)),"Service inconnu",D394&amp;""),""))))</f>
        <v/>
      </c>
      <c r="F394" s="58" t="n"/>
      <c r="G394" s="58" t="n"/>
      <c r="H394" s="59" t="n"/>
      <c r="I394" s="57" t="str">
        <f>IF(H394="","",IFERROR(INDEX(art_des,MATCH(H394,art_ref,0))&amp;"","Article inconnu"))</f>
        <v/>
      </c>
      <c r="J394" s="60" t="str">
        <f>IF(H394="","",IFERROR(INDEX(art_unit,MATCH(H394,art_ref,0))&amp;"",""))</f>
        <v/>
      </c>
      <c r="K394" s="59" t="n"/>
      <c r="L394" s="59" t="n"/>
      <c r="M394" s="61" t="str">
        <f>IF(OR(B394="",NOT(ISNUMBER(K394)),NOT(ISNUMBER(L394))),"",IF(OR(K394&lt;=0,L394&lt;=0),"",ROUND(L394-K394,6)))</f>
        <v/>
      </c>
      <c r="N394" s="58" t="n"/>
      <c r="O394" s="62" t="n"/>
      <c r="P394" s="63" t="str">
        <f>IF(OR(B394="",NOT(ISNUMBER(L394))),"",IF(L394&lt;=0,"",IFERROR(ROUND(L394*N(INDEX(art_w,MATCH(H394,art_ref,0))),3),"")))</f>
        <v/>
      </c>
      <c r="Q394" s="59" t="n"/>
      <c r="R394" s="54" t="n"/>
      <c r="S394" s="59" t="n"/>
      <c r="T394" s="59" t="n"/>
      <c r="U394" s="64" t="str">
        <f>IF(OR(B394="",H394=""),"",IFERROR(IF(A394="BL",IF(N(INDEX(art_price,MATCH(H394,art_ref,0)))=0,"",N(INDEX(art_price,MATCH(H394,art_ref,0)))),IF(N(INDEX(art_cost,MATCH(H394,art_ref,0)))=0,"",N(INDEX(art_cost,MATCH(H394,art_ref,0))))),""))</f>
        <v/>
      </c>
      <c r="V394" s="64" t="str">
        <f>IF(OR(U394="",NOT(ISNUMBER(L394))),"",IF(L394&lt;=0,"",ROUND(L394*U394,2)))</f>
        <v/>
      </c>
      <c r="W394" s="60" t="str">
        <f>IF(AND(B394&lt;&gt;"",A394&lt;&gt;"BS",F394&lt;&gt;"",H394&lt;&gt;"",ISNUMBER(K394),ISNUMBER(L394)),IF(AND(K394&gt;0,L394&gt;0,K394-L394&gt;0,COUNTIFS(A395:A$2005,A394,F395:F$2005,F394,H395:H$2005,H394,AA395:AA$2005,"&gt;0")=0),ROUND(K394-L394,6),""),"")</f>
        <v/>
      </c>
      <c r="X394" s="60" t="str">
        <f>IF(AND(A394="",C394="",D394="",H394="",L394=""),"",IF(A394="","Type manquant",IF(AND(A394&lt;&gt;"BL",A394&lt;&gt;"BR",A394&lt;&gt;"BS"),"Type inconnu (BL, BR ou BS)",IF(AG394=0,"Date manquante ou invalide",IF(D394="",IF(A394="BL","Client manquant",IF(A394="BR","Fournisseur manquant","Service manquant")),IF(IF(A394="BL",ISNA(MATCH(D394,cl_code,0)),IF(A394="BR",ISNA(MATCH(D394,fo_code,0)),ISNA(MATCH(D394,p_services,0)))),IF(A394="BL","Client inconnu",IF(A394="BR","Fournisseur inconnu","Service inconnu")),IF(H394="","Article manquant",IF(ISNA(MATCH(H394,art_ref,0)),"Article inconnu",IF(OR(NOT(ISNUMBER(L394)),N(L394)&lt;=0),"Quantité invalide",IF(AND(K394&lt;&gt;"",OR(NOT(ISNUMBER(K394)),N(K394)&lt;=0)),"Qté commandée invalide",IF(AG394&lt;SUMPRODUCT(MAX((A$6:A393=A394)*AG$6:AG393)),"Date antérieure au bon précédent",IF(AND(A394&lt;&gt;"BR",ISNUMBER(M394),N(M394)&gt;0),IF(A394="BL","Livré plus que commandé","Sorti plus que demandé"),"OK"))))))))))))</f>
        <v/>
      </c>
      <c r="Y394" s="57" t="str">
        <f>IF(AND(OR(A394="BL",A394="BR",A394="BS"),AG394&gt;0,D394&lt;&gt;""),A394&amp;"|"&amp;AG394&amp;"|"&amp;D394&amp;"|"&amp;F394,"")</f>
        <v/>
      </c>
      <c r="Z394" s="57" t="str">
        <f>IF(Y394="","",IF(COUNTIF(Y$6:Y393,Y394)=0,1,0))</f>
        <v/>
      </c>
      <c r="AA394" s="57" t="str">
        <f>IF(Y394="","",IF(Z394=1,COUNTIFS(A$6:A394,A394,Z$6:Z394,1),INDEX(AA$6:AA393,MATCH(Y394,Y$6:Y393,0))))</f>
        <v/>
      </c>
      <c r="AB394" s="57" t="str">
        <f>IF(B394="","",COUNTIF(B$6:B394,B394))</f>
        <v/>
      </c>
      <c r="AC394" s="57" t="str">
        <f>IF(B394="","",B394&amp;"#"&amp;AB394)</f>
        <v/>
      </c>
      <c r="AD394" s="57" t="str">
        <f>IF(Z394=1,A394&amp;AA394,"")</f>
        <v/>
      </c>
      <c r="AE394" s="57" t="str">
        <f>IF(B394="","",YEAR(C394))</f>
        <v/>
      </c>
      <c r="AF394" s="57" t="str">
        <f>IF(B394="","",MONTH(C394))</f>
        <v/>
      </c>
      <c r="AG394" s="57">
        <f>IF(ISNUMBER(C394),C394,0)</f>
        <v>0.0</v>
      </c>
      <c r="AH394" s="57" t="str">
        <f>IF(N(W394)&gt;0,COUNTIF(W$6:W394,"&gt;0"),"")</f>
        <v/>
      </c>
      <c r="AI394" s="57" t="str">
        <f>IF(Z394=1,COUNTIF(Z$6:Z394,1),"")</f>
        <v/>
      </c>
    </row>
    <row r="395">
      <c r="A395" s="54" t="n"/>
      <c r="B395" s="55" t="str">
        <f>IF(AA395="","",A395&amp;"-"&amp;RIGHT("000"&amp;AA395,4))</f>
        <v/>
      </c>
      <c r="C395" s="56" t="n"/>
      <c r="D395" s="54" t="n"/>
      <c r="E395" s="57" t="str">
        <f>IF(D395="","",IF(A395="BL",IFERROR(INDEX(cl_name,MATCH(D395,cl_code,0))&amp;"","Client inconnu"),IF(A395="BR",IFERROR(INDEX(fo_name,MATCH(D395,fo_code,0))&amp;"","Fournisseur inconnu"),IF(A395="BS",IF(ISNA(MATCH(D395,p_services,0)),"Service inconnu",D395&amp;""),""))))</f>
        <v/>
      </c>
      <c r="F395" s="58" t="n"/>
      <c r="G395" s="58" t="n"/>
      <c r="H395" s="59" t="n"/>
      <c r="I395" s="57" t="str">
        <f>IF(H395="","",IFERROR(INDEX(art_des,MATCH(H395,art_ref,0))&amp;"","Article inconnu"))</f>
        <v/>
      </c>
      <c r="J395" s="60" t="str">
        <f>IF(H395="","",IFERROR(INDEX(art_unit,MATCH(H395,art_ref,0))&amp;"",""))</f>
        <v/>
      </c>
      <c r="K395" s="59" t="n"/>
      <c r="L395" s="59" t="n"/>
      <c r="M395" s="61" t="str">
        <f>IF(OR(B395="",NOT(ISNUMBER(K395)),NOT(ISNUMBER(L395))),"",IF(OR(K395&lt;=0,L395&lt;=0),"",ROUND(L395-K395,6)))</f>
        <v/>
      </c>
      <c r="N395" s="58" t="n"/>
      <c r="O395" s="62" t="n"/>
      <c r="P395" s="63" t="str">
        <f>IF(OR(B395="",NOT(ISNUMBER(L395))),"",IF(L395&lt;=0,"",IFERROR(ROUND(L395*N(INDEX(art_w,MATCH(H395,art_ref,0))),3),"")))</f>
        <v/>
      </c>
      <c r="Q395" s="59" t="n"/>
      <c r="R395" s="54" t="n"/>
      <c r="S395" s="59" t="n"/>
      <c r="T395" s="59" t="n"/>
      <c r="U395" s="64" t="str">
        <f>IF(OR(B395="",H395=""),"",IFERROR(IF(A395="BL",IF(N(INDEX(art_price,MATCH(H395,art_ref,0)))=0,"",N(INDEX(art_price,MATCH(H395,art_ref,0)))),IF(N(INDEX(art_cost,MATCH(H395,art_ref,0)))=0,"",N(INDEX(art_cost,MATCH(H395,art_ref,0))))),""))</f>
        <v/>
      </c>
      <c r="V395" s="64" t="str">
        <f>IF(OR(U395="",NOT(ISNUMBER(L395))),"",IF(L395&lt;=0,"",ROUND(L395*U395,2)))</f>
        <v/>
      </c>
      <c r="W395" s="60" t="str">
        <f>IF(AND(B395&lt;&gt;"",A395&lt;&gt;"BS",F395&lt;&gt;"",H395&lt;&gt;"",ISNUMBER(K395),ISNUMBER(L395)),IF(AND(K395&gt;0,L395&gt;0,K395-L395&gt;0,COUNTIFS(A396:A$2005,A395,F396:F$2005,F395,H396:H$2005,H395,AA396:AA$2005,"&gt;0")=0),ROUND(K395-L395,6),""),"")</f>
        <v/>
      </c>
      <c r="X395" s="60" t="str">
        <f>IF(AND(A395="",C395="",D395="",H395="",L395=""),"",IF(A395="","Type manquant",IF(AND(A395&lt;&gt;"BL",A395&lt;&gt;"BR",A395&lt;&gt;"BS"),"Type inconnu (BL, BR ou BS)",IF(AG395=0,"Date manquante ou invalide",IF(D395="",IF(A395="BL","Client manquant",IF(A395="BR","Fournisseur manquant","Service manquant")),IF(IF(A395="BL",ISNA(MATCH(D395,cl_code,0)),IF(A395="BR",ISNA(MATCH(D395,fo_code,0)),ISNA(MATCH(D395,p_services,0)))),IF(A395="BL","Client inconnu",IF(A395="BR","Fournisseur inconnu","Service inconnu")),IF(H395="","Article manquant",IF(ISNA(MATCH(H395,art_ref,0)),"Article inconnu",IF(OR(NOT(ISNUMBER(L395)),N(L395)&lt;=0),"Quantité invalide",IF(AND(K395&lt;&gt;"",OR(NOT(ISNUMBER(K395)),N(K395)&lt;=0)),"Qté commandée invalide",IF(AG395&lt;SUMPRODUCT(MAX((A$6:A394=A395)*AG$6:AG394)),"Date antérieure au bon précédent",IF(AND(A395&lt;&gt;"BR",ISNUMBER(M395),N(M395)&gt;0),IF(A395="BL","Livré plus que commandé","Sorti plus que demandé"),"OK"))))))))))))</f>
        <v/>
      </c>
      <c r="Y395" s="57" t="str">
        <f>IF(AND(OR(A395="BL",A395="BR",A395="BS"),AG395&gt;0,D395&lt;&gt;""),A395&amp;"|"&amp;AG395&amp;"|"&amp;D395&amp;"|"&amp;F395,"")</f>
        <v/>
      </c>
      <c r="Z395" s="57" t="str">
        <f>IF(Y395="","",IF(COUNTIF(Y$6:Y394,Y395)=0,1,0))</f>
        <v/>
      </c>
      <c r="AA395" s="57" t="str">
        <f>IF(Y395="","",IF(Z395=1,COUNTIFS(A$6:A395,A395,Z$6:Z395,1),INDEX(AA$6:AA394,MATCH(Y395,Y$6:Y394,0))))</f>
        <v/>
      </c>
      <c r="AB395" s="57" t="str">
        <f>IF(B395="","",COUNTIF(B$6:B395,B395))</f>
        <v/>
      </c>
      <c r="AC395" s="57" t="str">
        <f>IF(B395="","",B395&amp;"#"&amp;AB395)</f>
        <v/>
      </c>
      <c r="AD395" s="57" t="str">
        <f>IF(Z395=1,A395&amp;AA395,"")</f>
        <v/>
      </c>
      <c r="AE395" s="57" t="str">
        <f>IF(B395="","",YEAR(C395))</f>
        <v/>
      </c>
      <c r="AF395" s="57" t="str">
        <f>IF(B395="","",MONTH(C395))</f>
        <v/>
      </c>
      <c r="AG395" s="57">
        <f>IF(ISNUMBER(C395),C395,0)</f>
        <v>0.0</v>
      </c>
      <c r="AH395" s="57" t="str">
        <f>IF(N(W395)&gt;0,COUNTIF(W$6:W395,"&gt;0"),"")</f>
        <v/>
      </c>
      <c r="AI395" s="57" t="str">
        <f>IF(Z395=1,COUNTIF(Z$6:Z395,1),"")</f>
        <v/>
      </c>
    </row>
    <row r="396">
      <c r="A396" s="54" t="n"/>
      <c r="B396" s="55" t="str">
        <f>IF(AA396="","",A396&amp;"-"&amp;RIGHT("000"&amp;AA396,4))</f>
        <v/>
      </c>
      <c r="C396" s="56" t="n"/>
      <c r="D396" s="54" t="n"/>
      <c r="E396" s="57" t="str">
        <f>IF(D396="","",IF(A396="BL",IFERROR(INDEX(cl_name,MATCH(D396,cl_code,0))&amp;"","Client inconnu"),IF(A396="BR",IFERROR(INDEX(fo_name,MATCH(D396,fo_code,0))&amp;"","Fournisseur inconnu"),IF(A396="BS",IF(ISNA(MATCH(D396,p_services,0)),"Service inconnu",D396&amp;""),""))))</f>
        <v/>
      </c>
      <c r="F396" s="58" t="n"/>
      <c r="G396" s="58" t="n"/>
      <c r="H396" s="59" t="n"/>
      <c r="I396" s="57" t="str">
        <f>IF(H396="","",IFERROR(INDEX(art_des,MATCH(H396,art_ref,0))&amp;"","Article inconnu"))</f>
        <v/>
      </c>
      <c r="J396" s="60" t="str">
        <f>IF(H396="","",IFERROR(INDEX(art_unit,MATCH(H396,art_ref,0))&amp;"",""))</f>
        <v/>
      </c>
      <c r="K396" s="59" t="n"/>
      <c r="L396" s="59" t="n"/>
      <c r="M396" s="61" t="str">
        <f>IF(OR(B396="",NOT(ISNUMBER(K396)),NOT(ISNUMBER(L396))),"",IF(OR(K396&lt;=0,L396&lt;=0),"",ROUND(L396-K396,6)))</f>
        <v/>
      </c>
      <c r="N396" s="58" t="n"/>
      <c r="O396" s="62" t="n"/>
      <c r="P396" s="63" t="str">
        <f>IF(OR(B396="",NOT(ISNUMBER(L396))),"",IF(L396&lt;=0,"",IFERROR(ROUND(L396*N(INDEX(art_w,MATCH(H396,art_ref,0))),3),"")))</f>
        <v/>
      </c>
      <c r="Q396" s="59" t="n"/>
      <c r="R396" s="54" t="n"/>
      <c r="S396" s="59" t="n"/>
      <c r="T396" s="59" t="n"/>
      <c r="U396" s="64" t="str">
        <f>IF(OR(B396="",H396=""),"",IFERROR(IF(A396="BL",IF(N(INDEX(art_price,MATCH(H396,art_ref,0)))=0,"",N(INDEX(art_price,MATCH(H396,art_ref,0)))),IF(N(INDEX(art_cost,MATCH(H396,art_ref,0)))=0,"",N(INDEX(art_cost,MATCH(H396,art_ref,0))))),""))</f>
        <v/>
      </c>
      <c r="V396" s="64" t="str">
        <f>IF(OR(U396="",NOT(ISNUMBER(L396))),"",IF(L396&lt;=0,"",ROUND(L396*U396,2)))</f>
        <v/>
      </c>
      <c r="W396" s="60" t="str">
        <f>IF(AND(B396&lt;&gt;"",A396&lt;&gt;"BS",F396&lt;&gt;"",H396&lt;&gt;"",ISNUMBER(K396),ISNUMBER(L396)),IF(AND(K396&gt;0,L396&gt;0,K396-L396&gt;0,COUNTIFS(A397:A$2005,A396,F397:F$2005,F396,H397:H$2005,H396,AA397:AA$2005,"&gt;0")=0),ROUND(K396-L396,6),""),"")</f>
        <v/>
      </c>
      <c r="X396" s="60" t="str">
        <f>IF(AND(A396="",C396="",D396="",H396="",L396=""),"",IF(A396="","Type manquant",IF(AND(A396&lt;&gt;"BL",A396&lt;&gt;"BR",A396&lt;&gt;"BS"),"Type inconnu (BL, BR ou BS)",IF(AG396=0,"Date manquante ou invalide",IF(D396="",IF(A396="BL","Client manquant",IF(A396="BR","Fournisseur manquant","Service manquant")),IF(IF(A396="BL",ISNA(MATCH(D396,cl_code,0)),IF(A396="BR",ISNA(MATCH(D396,fo_code,0)),ISNA(MATCH(D396,p_services,0)))),IF(A396="BL","Client inconnu",IF(A396="BR","Fournisseur inconnu","Service inconnu")),IF(H396="","Article manquant",IF(ISNA(MATCH(H396,art_ref,0)),"Article inconnu",IF(OR(NOT(ISNUMBER(L396)),N(L396)&lt;=0),"Quantité invalide",IF(AND(K396&lt;&gt;"",OR(NOT(ISNUMBER(K396)),N(K396)&lt;=0)),"Qté commandée invalide",IF(AG396&lt;SUMPRODUCT(MAX((A$6:A395=A396)*AG$6:AG395)),"Date antérieure au bon précédent",IF(AND(A396&lt;&gt;"BR",ISNUMBER(M396),N(M396)&gt;0),IF(A396="BL","Livré plus que commandé","Sorti plus que demandé"),"OK"))))))))))))</f>
        <v/>
      </c>
      <c r="Y396" s="57" t="str">
        <f>IF(AND(OR(A396="BL",A396="BR",A396="BS"),AG396&gt;0,D396&lt;&gt;""),A396&amp;"|"&amp;AG396&amp;"|"&amp;D396&amp;"|"&amp;F396,"")</f>
        <v/>
      </c>
      <c r="Z396" s="57" t="str">
        <f>IF(Y396="","",IF(COUNTIF(Y$6:Y395,Y396)=0,1,0))</f>
        <v/>
      </c>
      <c r="AA396" s="57" t="str">
        <f>IF(Y396="","",IF(Z396=1,COUNTIFS(A$6:A396,A396,Z$6:Z396,1),INDEX(AA$6:AA395,MATCH(Y396,Y$6:Y395,0))))</f>
        <v/>
      </c>
      <c r="AB396" s="57" t="str">
        <f>IF(B396="","",COUNTIF(B$6:B396,B396))</f>
        <v/>
      </c>
      <c r="AC396" s="57" t="str">
        <f>IF(B396="","",B396&amp;"#"&amp;AB396)</f>
        <v/>
      </c>
      <c r="AD396" s="57" t="str">
        <f>IF(Z396=1,A396&amp;AA396,"")</f>
        <v/>
      </c>
      <c r="AE396" s="57" t="str">
        <f>IF(B396="","",YEAR(C396))</f>
        <v/>
      </c>
      <c r="AF396" s="57" t="str">
        <f>IF(B396="","",MONTH(C396))</f>
        <v/>
      </c>
      <c r="AG396" s="57">
        <f>IF(ISNUMBER(C396),C396,0)</f>
        <v>0.0</v>
      </c>
      <c r="AH396" s="57" t="str">
        <f>IF(N(W396)&gt;0,COUNTIF(W$6:W396,"&gt;0"),"")</f>
        <v/>
      </c>
      <c r="AI396" s="57" t="str">
        <f>IF(Z396=1,COUNTIF(Z$6:Z396,1),"")</f>
        <v/>
      </c>
    </row>
    <row r="397">
      <c r="A397" s="54" t="n"/>
      <c r="B397" s="55" t="str">
        <f>IF(AA397="","",A397&amp;"-"&amp;RIGHT("000"&amp;AA397,4))</f>
        <v/>
      </c>
      <c r="C397" s="56" t="n"/>
      <c r="D397" s="54" t="n"/>
      <c r="E397" s="57" t="str">
        <f>IF(D397="","",IF(A397="BL",IFERROR(INDEX(cl_name,MATCH(D397,cl_code,0))&amp;"","Client inconnu"),IF(A397="BR",IFERROR(INDEX(fo_name,MATCH(D397,fo_code,0))&amp;"","Fournisseur inconnu"),IF(A397="BS",IF(ISNA(MATCH(D397,p_services,0)),"Service inconnu",D397&amp;""),""))))</f>
        <v/>
      </c>
      <c r="F397" s="58" t="n"/>
      <c r="G397" s="58" t="n"/>
      <c r="H397" s="59" t="n"/>
      <c r="I397" s="57" t="str">
        <f>IF(H397="","",IFERROR(INDEX(art_des,MATCH(H397,art_ref,0))&amp;"","Article inconnu"))</f>
        <v/>
      </c>
      <c r="J397" s="60" t="str">
        <f>IF(H397="","",IFERROR(INDEX(art_unit,MATCH(H397,art_ref,0))&amp;"",""))</f>
        <v/>
      </c>
      <c r="K397" s="59" t="n"/>
      <c r="L397" s="59" t="n"/>
      <c r="M397" s="61" t="str">
        <f>IF(OR(B397="",NOT(ISNUMBER(K397)),NOT(ISNUMBER(L397))),"",IF(OR(K397&lt;=0,L397&lt;=0),"",ROUND(L397-K397,6)))</f>
        <v/>
      </c>
      <c r="N397" s="58" t="n"/>
      <c r="O397" s="62" t="n"/>
      <c r="P397" s="63" t="str">
        <f>IF(OR(B397="",NOT(ISNUMBER(L397))),"",IF(L397&lt;=0,"",IFERROR(ROUND(L397*N(INDEX(art_w,MATCH(H397,art_ref,0))),3),"")))</f>
        <v/>
      </c>
      <c r="Q397" s="59" t="n"/>
      <c r="R397" s="54" t="n"/>
      <c r="S397" s="59" t="n"/>
      <c r="T397" s="59" t="n"/>
      <c r="U397" s="64" t="str">
        <f>IF(OR(B397="",H397=""),"",IFERROR(IF(A397="BL",IF(N(INDEX(art_price,MATCH(H397,art_ref,0)))=0,"",N(INDEX(art_price,MATCH(H397,art_ref,0)))),IF(N(INDEX(art_cost,MATCH(H397,art_ref,0)))=0,"",N(INDEX(art_cost,MATCH(H397,art_ref,0))))),""))</f>
        <v/>
      </c>
      <c r="V397" s="64" t="str">
        <f>IF(OR(U397="",NOT(ISNUMBER(L397))),"",IF(L397&lt;=0,"",ROUND(L397*U397,2)))</f>
        <v/>
      </c>
      <c r="W397" s="60" t="str">
        <f>IF(AND(B397&lt;&gt;"",A397&lt;&gt;"BS",F397&lt;&gt;"",H397&lt;&gt;"",ISNUMBER(K397),ISNUMBER(L397)),IF(AND(K397&gt;0,L397&gt;0,K397-L397&gt;0,COUNTIFS(A398:A$2005,A397,F398:F$2005,F397,H398:H$2005,H397,AA398:AA$2005,"&gt;0")=0),ROUND(K397-L397,6),""),"")</f>
        <v/>
      </c>
      <c r="X397" s="60" t="str">
        <f>IF(AND(A397="",C397="",D397="",H397="",L397=""),"",IF(A397="","Type manquant",IF(AND(A397&lt;&gt;"BL",A397&lt;&gt;"BR",A397&lt;&gt;"BS"),"Type inconnu (BL, BR ou BS)",IF(AG397=0,"Date manquante ou invalide",IF(D397="",IF(A397="BL","Client manquant",IF(A397="BR","Fournisseur manquant","Service manquant")),IF(IF(A397="BL",ISNA(MATCH(D397,cl_code,0)),IF(A397="BR",ISNA(MATCH(D397,fo_code,0)),ISNA(MATCH(D397,p_services,0)))),IF(A397="BL","Client inconnu",IF(A397="BR","Fournisseur inconnu","Service inconnu")),IF(H397="","Article manquant",IF(ISNA(MATCH(H397,art_ref,0)),"Article inconnu",IF(OR(NOT(ISNUMBER(L397)),N(L397)&lt;=0),"Quantité invalide",IF(AND(K397&lt;&gt;"",OR(NOT(ISNUMBER(K397)),N(K397)&lt;=0)),"Qté commandée invalide",IF(AG397&lt;SUMPRODUCT(MAX((A$6:A396=A397)*AG$6:AG396)),"Date antérieure au bon précédent",IF(AND(A397&lt;&gt;"BR",ISNUMBER(M397),N(M397)&gt;0),IF(A397="BL","Livré plus que commandé","Sorti plus que demandé"),"OK"))))))))))))</f>
        <v/>
      </c>
      <c r="Y397" s="57" t="str">
        <f>IF(AND(OR(A397="BL",A397="BR",A397="BS"),AG397&gt;0,D397&lt;&gt;""),A397&amp;"|"&amp;AG397&amp;"|"&amp;D397&amp;"|"&amp;F397,"")</f>
        <v/>
      </c>
      <c r="Z397" s="57" t="str">
        <f>IF(Y397="","",IF(COUNTIF(Y$6:Y396,Y397)=0,1,0))</f>
        <v/>
      </c>
      <c r="AA397" s="57" t="str">
        <f>IF(Y397="","",IF(Z397=1,COUNTIFS(A$6:A397,A397,Z$6:Z397,1),INDEX(AA$6:AA396,MATCH(Y397,Y$6:Y396,0))))</f>
        <v/>
      </c>
      <c r="AB397" s="57" t="str">
        <f>IF(B397="","",COUNTIF(B$6:B397,B397))</f>
        <v/>
      </c>
      <c r="AC397" s="57" t="str">
        <f>IF(B397="","",B397&amp;"#"&amp;AB397)</f>
        <v/>
      </c>
      <c r="AD397" s="57" t="str">
        <f>IF(Z397=1,A397&amp;AA397,"")</f>
        <v/>
      </c>
      <c r="AE397" s="57" t="str">
        <f>IF(B397="","",YEAR(C397))</f>
        <v/>
      </c>
      <c r="AF397" s="57" t="str">
        <f>IF(B397="","",MONTH(C397))</f>
        <v/>
      </c>
      <c r="AG397" s="57">
        <f>IF(ISNUMBER(C397),C397,0)</f>
        <v>0.0</v>
      </c>
      <c r="AH397" s="57" t="str">
        <f>IF(N(W397)&gt;0,COUNTIF(W$6:W397,"&gt;0"),"")</f>
        <v/>
      </c>
      <c r="AI397" s="57" t="str">
        <f>IF(Z397=1,COUNTIF(Z$6:Z397,1),"")</f>
        <v/>
      </c>
    </row>
    <row r="398">
      <c r="A398" s="54" t="n"/>
      <c r="B398" s="55" t="str">
        <f>IF(AA398="","",A398&amp;"-"&amp;RIGHT("000"&amp;AA398,4))</f>
        <v/>
      </c>
      <c r="C398" s="56" t="n"/>
      <c r="D398" s="54" t="n"/>
      <c r="E398" s="57" t="str">
        <f>IF(D398="","",IF(A398="BL",IFERROR(INDEX(cl_name,MATCH(D398,cl_code,0))&amp;"","Client inconnu"),IF(A398="BR",IFERROR(INDEX(fo_name,MATCH(D398,fo_code,0))&amp;"","Fournisseur inconnu"),IF(A398="BS",IF(ISNA(MATCH(D398,p_services,0)),"Service inconnu",D398&amp;""),""))))</f>
        <v/>
      </c>
      <c r="F398" s="58" t="n"/>
      <c r="G398" s="58" t="n"/>
      <c r="H398" s="59" t="n"/>
      <c r="I398" s="57" t="str">
        <f>IF(H398="","",IFERROR(INDEX(art_des,MATCH(H398,art_ref,0))&amp;"","Article inconnu"))</f>
        <v/>
      </c>
      <c r="J398" s="60" t="str">
        <f>IF(H398="","",IFERROR(INDEX(art_unit,MATCH(H398,art_ref,0))&amp;"",""))</f>
        <v/>
      </c>
      <c r="K398" s="59" t="n"/>
      <c r="L398" s="59" t="n"/>
      <c r="M398" s="61" t="str">
        <f>IF(OR(B398="",NOT(ISNUMBER(K398)),NOT(ISNUMBER(L398))),"",IF(OR(K398&lt;=0,L398&lt;=0),"",ROUND(L398-K398,6)))</f>
        <v/>
      </c>
      <c r="N398" s="58" t="n"/>
      <c r="O398" s="62" t="n"/>
      <c r="P398" s="63" t="str">
        <f>IF(OR(B398="",NOT(ISNUMBER(L398))),"",IF(L398&lt;=0,"",IFERROR(ROUND(L398*N(INDEX(art_w,MATCH(H398,art_ref,0))),3),"")))</f>
        <v/>
      </c>
      <c r="Q398" s="59" t="n"/>
      <c r="R398" s="54" t="n"/>
      <c r="S398" s="59" t="n"/>
      <c r="T398" s="59" t="n"/>
      <c r="U398" s="64" t="str">
        <f>IF(OR(B398="",H398=""),"",IFERROR(IF(A398="BL",IF(N(INDEX(art_price,MATCH(H398,art_ref,0)))=0,"",N(INDEX(art_price,MATCH(H398,art_ref,0)))),IF(N(INDEX(art_cost,MATCH(H398,art_ref,0)))=0,"",N(INDEX(art_cost,MATCH(H398,art_ref,0))))),""))</f>
        <v/>
      </c>
      <c r="V398" s="64" t="str">
        <f>IF(OR(U398="",NOT(ISNUMBER(L398))),"",IF(L398&lt;=0,"",ROUND(L398*U398,2)))</f>
        <v/>
      </c>
      <c r="W398" s="60" t="str">
        <f>IF(AND(B398&lt;&gt;"",A398&lt;&gt;"BS",F398&lt;&gt;"",H398&lt;&gt;"",ISNUMBER(K398),ISNUMBER(L398)),IF(AND(K398&gt;0,L398&gt;0,K398-L398&gt;0,COUNTIFS(A399:A$2005,A398,F399:F$2005,F398,H399:H$2005,H398,AA399:AA$2005,"&gt;0")=0),ROUND(K398-L398,6),""),"")</f>
        <v/>
      </c>
      <c r="X398" s="60" t="str">
        <f>IF(AND(A398="",C398="",D398="",H398="",L398=""),"",IF(A398="","Type manquant",IF(AND(A398&lt;&gt;"BL",A398&lt;&gt;"BR",A398&lt;&gt;"BS"),"Type inconnu (BL, BR ou BS)",IF(AG398=0,"Date manquante ou invalide",IF(D398="",IF(A398="BL","Client manquant",IF(A398="BR","Fournisseur manquant","Service manquant")),IF(IF(A398="BL",ISNA(MATCH(D398,cl_code,0)),IF(A398="BR",ISNA(MATCH(D398,fo_code,0)),ISNA(MATCH(D398,p_services,0)))),IF(A398="BL","Client inconnu",IF(A398="BR","Fournisseur inconnu","Service inconnu")),IF(H398="","Article manquant",IF(ISNA(MATCH(H398,art_ref,0)),"Article inconnu",IF(OR(NOT(ISNUMBER(L398)),N(L398)&lt;=0),"Quantité invalide",IF(AND(K398&lt;&gt;"",OR(NOT(ISNUMBER(K398)),N(K398)&lt;=0)),"Qté commandée invalide",IF(AG398&lt;SUMPRODUCT(MAX((A$6:A397=A398)*AG$6:AG397)),"Date antérieure au bon précédent",IF(AND(A398&lt;&gt;"BR",ISNUMBER(M398),N(M398)&gt;0),IF(A398="BL","Livré plus que commandé","Sorti plus que demandé"),"OK"))))))))))))</f>
        <v/>
      </c>
      <c r="Y398" s="57" t="str">
        <f>IF(AND(OR(A398="BL",A398="BR",A398="BS"),AG398&gt;0,D398&lt;&gt;""),A398&amp;"|"&amp;AG398&amp;"|"&amp;D398&amp;"|"&amp;F398,"")</f>
        <v/>
      </c>
      <c r="Z398" s="57" t="str">
        <f>IF(Y398="","",IF(COUNTIF(Y$6:Y397,Y398)=0,1,0))</f>
        <v/>
      </c>
      <c r="AA398" s="57" t="str">
        <f>IF(Y398="","",IF(Z398=1,COUNTIFS(A$6:A398,A398,Z$6:Z398,1),INDEX(AA$6:AA397,MATCH(Y398,Y$6:Y397,0))))</f>
        <v/>
      </c>
      <c r="AB398" s="57" t="str">
        <f>IF(B398="","",COUNTIF(B$6:B398,B398))</f>
        <v/>
      </c>
      <c r="AC398" s="57" t="str">
        <f>IF(B398="","",B398&amp;"#"&amp;AB398)</f>
        <v/>
      </c>
      <c r="AD398" s="57" t="str">
        <f>IF(Z398=1,A398&amp;AA398,"")</f>
        <v/>
      </c>
      <c r="AE398" s="57" t="str">
        <f>IF(B398="","",YEAR(C398))</f>
        <v/>
      </c>
      <c r="AF398" s="57" t="str">
        <f>IF(B398="","",MONTH(C398))</f>
        <v/>
      </c>
      <c r="AG398" s="57">
        <f>IF(ISNUMBER(C398),C398,0)</f>
        <v>0.0</v>
      </c>
      <c r="AH398" s="57" t="str">
        <f>IF(N(W398)&gt;0,COUNTIF(W$6:W398,"&gt;0"),"")</f>
        <v/>
      </c>
      <c r="AI398" s="57" t="str">
        <f>IF(Z398=1,COUNTIF(Z$6:Z398,1),"")</f>
        <v/>
      </c>
    </row>
    <row r="399">
      <c r="A399" s="54" t="n"/>
      <c r="B399" s="55" t="str">
        <f>IF(AA399="","",A399&amp;"-"&amp;RIGHT("000"&amp;AA399,4))</f>
        <v/>
      </c>
      <c r="C399" s="56" t="n"/>
      <c r="D399" s="54" t="n"/>
      <c r="E399" s="57" t="str">
        <f>IF(D399="","",IF(A399="BL",IFERROR(INDEX(cl_name,MATCH(D399,cl_code,0))&amp;"","Client inconnu"),IF(A399="BR",IFERROR(INDEX(fo_name,MATCH(D399,fo_code,0))&amp;"","Fournisseur inconnu"),IF(A399="BS",IF(ISNA(MATCH(D399,p_services,0)),"Service inconnu",D399&amp;""),""))))</f>
        <v/>
      </c>
      <c r="F399" s="58" t="n"/>
      <c r="G399" s="58" t="n"/>
      <c r="H399" s="59" t="n"/>
      <c r="I399" s="57" t="str">
        <f>IF(H399="","",IFERROR(INDEX(art_des,MATCH(H399,art_ref,0))&amp;"","Article inconnu"))</f>
        <v/>
      </c>
      <c r="J399" s="60" t="str">
        <f>IF(H399="","",IFERROR(INDEX(art_unit,MATCH(H399,art_ref,0))&amp;"",""))</f>
        <v/>
      </c>
      <c r="K399" s="59" t="n"/>
      <c r="L399" s="59" t="n"/>
      <c r="M399" s="61" t="str">
        <f>IF(OR(B399="",NOT(ISNUMBER(K399)),NOT(ISNUMBER(L399))),"",IF(OR(K399&lt;=0,L399&lt;=0),"",ROUND(L399-K399,6)))</f>
        <v/>
      </c>
      <c r="N399" s="58" t="n"/>
      <c r="O399" s="62" t="n"/>
      <c r="P399" s="63" t="str">
        <f>IF(OR(B399="",NOT(ISNUMBER(L399))),"",IF(L399&lt;=0,"",IFERROR(ROUND(L399*N(INDEX(art_w,MATCH(H399,art_ref,0))),3),"")))</f>
        <v/>
      </c>
      <c r="Q399" s="59" t="n"/>
      <c r="R399" s="54" t="n"/>
      <c r="S399" s="59" t="n"/>
      <c r="T399" s="59" t="n"/>
      <c r="U399" s="64" t="str">
        <f>IF(OR(B399="",H399=""),"",IFERROR(IF(A399="BL",IF(N(INDEX(art_price,MATCH(H399,art_ref,0)))=0,"",N(INDEX(art_price,MATCH(H399,art_ref,0)))),IF(N(INDEX(art_cost,MATCH(H399,art_ref,0)))=0,"",N(INDEX(art_cost,MATCH(H399,art_ref,0))))),""))</f>
        <v/>
      </c>
      <c r="V399" s="64" t="str">
        <f>IF(OR(U399="",NOT(ISNUMBER(L399))),"",IF(L399&lt;=0,"",ROUND(L399*U399,2)))</f>
        <v/>
      </c>
      <c r="W399" s="60" t="str">
        <f>IF(AND(B399&lt;&gt;"",A399&lt;&gt;"BS",F399&lt;&gt;"",H399&lt;&gt;"",ISNUMBER(K399),ISNUMBER(L399)),IF(AND(K399&gt;0,L399&gt;0,K399-L399&gt;0,COUNTIFS(A400:A$2005,A399,F400:F$2005,F399,H400:H$2005,H399,AA400:AA$2005,"&gt;0")=0),ROUND(K399-L399,6),""),"")</f>
        <v/>
      </c>
      <c r="X399" s="60" t="str">
        <f>IF(AND(A399="",C399="",D399="",H399="",L399=""),"",IF(A399="","Type manquant",IF(AND(A399&lt;&gt;"BL",A399&lt;&gt;"BR",A399&lt;&gt;"BS"),"Type inconnu (BL, BR ou BS)",IF(AG399=0,"Date manquante ou invalide",IF(D399="",IF(A399="BL","Client manquant",IF(A399="BR","Fournisseur manquant","Service manquant")),IF(IF(A399="BL",ISNA(MATCH(D399,cl_code,0)),IF(A399="BR",ISNA(MATCH(D399,fo_code,0)),ISNA(MATCH(D399,p_services,0)))),IF(A399="BL","Client inconnu",IF(A399="BR","Fournisseur inconnu","Service inconnu")),IF(H399="","Article manquant",IF(ISNA(MATCH(H399,art_ref,0)),"Article inconnu",IF(OR(NOT(ISNUMBER(L399)),N(L399)&lt;=0),"Quantité invalide",IF(AND(K399&lt;&gt;"",OR(NOT(ISNUMBER(K399)),N(K399)&lt;=0)),"Qté commandée invalide",IF(AG399&lt;SUMPRODUCT(MAX((A$6:A398=A399)*AG$6:AG398)),"Date antérieure au bon précédent",IF(AND(A399&lt;&gt;"BR",ISNUMBER(M399),N(M399)&gt;0),IF(A399="BL","Livré plus que commandé","Sorti plus que demandé"),"OK"))))))))))))</f>
        <v/>
      </c>
      <c r="Y399" s="57" t="str">
        <f>IF(AND(OR(A399="BL",A399="BR",A399="BS"),AG399&gt;0,D399&lt;&gt;""),A399&amp;"|"&amp;AG399&amp;"|"&amp;D399&amp;"|"&amp;F399,"")</f>
        <v/>
      </c>
      <c r="Z399" s="57" t="str">
        <f>IF(Y399="","",IF(COUNTIF(Y$6:Y398,Y399)=0,1,0))</f>
        <v/>
      </c>
      <c r="AA399" s="57" t="str">
        <f>IF(Y399="","",IF(Z399=1,COUNTIFS(A$6:A399,A399,Z$6:Z399,1),INDEX(AA$6:AA398,MATCH(Y399,Y$6:Y398,0))))</f>
        <v/>
      </c>
      <c r="AB399" s="57" t="str">
        <f>IF(B399="","",COUNTIF(B$6:B399,B399))</f>
        <v/>
      </c>
      <c r="AC399" s="57" t="str">
        <f>IF(B399="","",B399&amp;"#"&amp;AB399)</f>
        <v/>
      </c>
      <c r="AD399" s="57" t="str">
        <f>IF(Z399=1,A399&amp;AA399,"")</f>
        <v/>
      </c>
      <c r="AE399" s="57" t="str">
        <f>IF(B399="","",YEAR(C399))</f>
        <v/>
      </c>
      <c r="AF399" s="57" t="str">
        <f>IF(B399="","",MONTH(C399))</f>
        <v/>
      </c>
      <c r="AG399" s="57">
        <f>IF(ISNUMBER(C399),C399,0)</f>
        <v>0.0</v>
      </c>
      <c r="AH399" s="57" t="str">
        <f>IF(N(W399)&gt;0,COUNTIF(W$6:W399,"&gt;0"),"")</f>
        <v/>
      </c>
      <c r="AI399" s="57" t="str">
        <f>IF(Z399=1,COUNTIF(Z$6:Z399,1),"")</f>
        <v/>
      </c>
    </row>
    <row r="400">
      <c r="A400" s="54" t="n"/>
      <c r="B400" s="55" t="str">
        <f>IF(AA400="","",A400&amp;"-"&amp;RIGHT("000"&amp;AA400,4))</f>
        <v/>
      </c>
      <c r="C400" s="56" t="n"/>
      <c r="D400" s="54" t="n"/>
      <c r="E400" s="57" t="str">
        <f>IF(D400="","",IF(A400="BL",IFERROR(INDEX(cl_name,MATCH(D400,cl_code,0))&amp;"","Client inconnu"),IF(A400="BR",IFERROR(INDEX(fo_name,MATCH(D400,fo_code,0))&amp;"","Fournisseur inconnu"),IF(A400="BS",IF(ISNA(MATCH(D400,p_services,0)),"Service inconnu",D400&amp;""),""))))</f>
        <v/>
      </c>
      <c r="F400" s="58" t="n"/>
      <c r="G400" s="58" t="n"/>
      <c r="H400" s="59" t="n"/>
      <c r="I400" s="57" t="str">
        <f>IF(H400="","",IFERROR(INDEX(art_des,MATCH(H400,art_ref,0))&amp;"","Article inconnu"))</f>
        <v/>
      </c>
      <c r="J400" s="60" t="str">
        <f>IF(H400="","",IFERROR(INDEX(art_unit,MATCH(H400,art_ref,0))&amp;"",""))</f>
        <v/>
      </c>
      <c r="K400" s="59" t="n"/>
      <c r="L400" s="59" t="n"/>
      <c r="M400" s="61" t="str">
        <f>IF(OR(B400="",NOT(ISNUMBER(K400)),NOT(ISNUMBER(L400))),"",IF(OR(K400&lt;=0,L400&lt;=0),"",ROUND(L400-K400,6)))</f>
        <v/>
      </c>
      <c r="N400" s="58" t="n"/>
      <c r="O400" s="62" t="n"/>
      <c r="P400" s="63" t="str">
        <f>IF(OR(B400="",NOT(ISNUMBER(L400))),"",IF(L400&lt;=0,"",IFERROR(ROUND(L400*N(INDEX(art_w,MATCH(H400,art_ref,0))),3),"")))</f>
        <v/>
      </c>
      <c r="Q400" s="59" t="n"/>
      <c r="R400" s="54" t="n"/>
      <c r="S400" s="59" t="n"/>
      <c r="T400" s="59" t="n"/>
      <c r="U400" s="64" t="str">
        <f>IF(OR(B400="",H400=""),"",IFERROR(IF(A400="BL",IF(N(INDEX(art_price,MATCH(H400,art_ref,0)))=0,"",N(INDEX(art_price,MATCH(H400,art_ref,0)))),IF(N(INDEX(art_cost,MATCH(H400,art_ref,0)))=0,"",N(INDEX(art_cost,MATCH(H400,art_ref,0))))),""))</f>
        <v/>
      </c>
      <c r="V400" s="64" t="str">
        <f>IF(OR(U400="",NOT(ISNUMBER(L400))),"",IF(L400&lt;=0,"",ROUND(L400*U400,2)))</f>
        <v/>
      </c>
      <c r="W400" s="60" t="str">
        <f>IF(AND(B400&lt;&gt;"",A400&lt;&gt;"BS",F400&lt;&gt;"",H400&lt;&gt;"",ISNUMBER(K400),ISNUMBER(L400)),IF(AND(K400&gt;0,L400&gt;0,K400-L400&gt;0,COUNTIFS(A401:A$2005,A400,F401:F$2005,F400,H401:H$2005,H400,AA401:AA$2005,"&gt;0")=0),ROUND(K400-L400,6),""),"")</f>
        <v/>
      </c>
      <c r="X400" s="60" t="str">
        <f>IF(AND(A400="",C400="",D400="",H400="",L400=""),"",IF(A400="","Type manquant",IF(AND(A400&lt;&gt;"BL",A400&lt;&gt;"BR",A400&lt;&gt;"BS"),"Type inconnu (BL, BR ou BS)",IF(AG400=0,"Date manquante ou invalide",IF(D400="",IF(A400="BL","Client manquant",IF(A400="BR","Fournisseur manquant","Service manquant")),IF(IF(A400="BL",ISNA(MATCH(D400,cl_code,0)),IF(A400="BR",ISNA(MATCH(D400,fo_code,0)),ISNA(MATCH(D400,p_services,0)))),IF(A400="BL","Client inconnu",IF(A400="BR","Fournisseur inconnu","Service inconnu")),IF(H400="","Article manquant",IF(ISNA(MATCH(H400,art_ref,0)),"Article inconnu",IF(OR(NOT(ISNUMBER(L400)),N(L400)&lt;=0),"Quantité invalide",IF(AND(K400&lt;&gt;"",OR(NOT(ISNUMBER(K400)),N(K400)&lt;=0)),"Qté commandée invalide",IF(AG400&lt;SUMPRODUCT(MAX((A$6:A399=A400)*AG$6:AG399)),"Date antérieure au bon précédent",IF(AND(A400&lt;&gt;"BR",ISNUMBER(M400),N(M400)&gt;0),IF(A400="BL","Livré plus que commandé","Sorti plus que demandé"),"OK"))))))))))))</f>
        <v/>
      </c>
      <c r="Y400" s="57" t="str">
        <f>IF(AND(OR(A400="BL",A400="BR",A400="BS"),AG400&gt;0,D400&lt;&gt;""),A400&amp;"|"&amp;AG400&amp;"|"&amp;D400&amp;"|"&amp;F400,"")</f>
        <v/>
      </c>
      <c r="Z400" s="57" t="str">
        <f>IF(Y400="","",IF(COUNTIF(Y$6:Y399,Y400)=0,1,0))</f>
        <v/>
      </c>
      <c r="AA400" s="57" t="str">
        <f>IF(Y400="","",IF(Z400=1,COUNTIFS(A$6:A400,A400,Z$6:Z400,1),INDEX(AA$6:AA399,MATCH(Y400,Y$6:Y399,0))))</f>
        <v/>
      </c>
      <c r="AB400" s="57" t="str">
        <f>IF(B400="","",COUNTIF(B$6:B400,B400))</f>
        <v/>
      </c>
      <c r="AC400" s="57" t="str">
        <f>IF(B400="","",B400&amp;"#"&amp;AB400)</f>
        <v/>
      </c>
      <c r="AD400" s="57" t="str">
        <f>IF(Z400=1,A400&amp;AA400,"")</f>
        <v/>
      </c>
      <c r="AE400" s="57" t="str">
        <f>IF(B400="","",YEAR(C400))</f>
        <v/>
      </c>
      <c r="AF400" s="57" t="str">
        <f>IF(B400="","",MONTH(C400))</f>
        <v/>
      </c>
      <c r="AG400" s="57">
        <f>IF(ISNUMBER(C400),C400,0)</f>
        <v>0.0</v>
      </c>
      <c r="AH400" s="57" t="str">
        <f>IF(N(W400)&gt;0,COUNTIF(W$6:W400,"&gt;0"),"")</f>
        <v/>
      </c>
      <c r="AI400" s="57" t="str">
        <f>IF(Z400=1,COUNTIF(Z$6:Z400,1),"")</f>
        <v/>
      </c>
    </row>
    <row r="401">
      <c r="A401" s="54" t="n"/>
      <c r="B401" s="55" t="str">
        <f>IF(AA401="","",A401&amp;"-"&amp;RIGHT("000"&amp;AA401,4))</f>
        <v/>
      </c>
      <c r="C401" s="56" t="n"/>
      <c r="D401" s="54" t="n"/>
      <c r="E401" s="57" t="str">
        <f>IF(D401="","",IF(A401="BL",IFERROR(INDEX(cl_name,MATCH(D401,cl_code,0))&amp;"","Client inconnu"),IF(A401="BR",IFERROR(INDEX(fo_name,MATCH(D401,fo_code,0))&amp;"","Fournisseur inconnu"),IF(A401="BS",IF(ISNA(MATCH(D401,p_services,0)),"Service inconnu",D401&amp;""),""))))</f>
        <v/>
      </c>
      <c r="F401" s="58" t="n"/>
      <c r="G401" s="58" t="n"/>
      <c r="H401" s="59" t="n"/>
      <c r="I401" s="57" t="str">
        <f>IF(H401="","",IFERROR(INDEX(art_des,MATCH(H401,art_ref,0))&amp;"","Article inconnu"))</f>
        <v/>
      </c>
      <c r="J401" s="60" t="str">
        <f>IF(H401="","",IFERROR(INDEX(art_unit,MATCH(H401,art_ref,0))&amp;"",""))</f>
        <v/>
      </c>
      <c r="K401" s="59" t="n"/>
      <c r="L401" s="59" t="n"/>
      <c r="M401" s="61" t="str">
        <f>IF(OR(B401="",NOT(ISNUMBER(K401)),NOT(ISNUMBER(L401))),"",IF(OR(K401&lt;=0,L401&lt;=0),"",ROUND(L401-K401,6)))</f>
        <v/>
      </c>
      <c r="N401" s="58" t="n"/>
      <c r="O401" s="62" t="n"/>
      <c r="P401" s="63" t="str">
        <f>IF(OR(B401="",NOT(ISNUMBER(L401))),"",IF(L401&lt;=0,"",IFERROR(ROUND(L401*N(INDEX(art_w,MATCH(H401,art_ref,0))),3),"")))</f>
        <v/>
      </c>
      <c r="Q401" s="59" t="n"/>
      <c r="R401" s="54" t="n"/>
      <c r="S401" s="59" t="n"/>
      <c r="T401" s="59" t="n"/>
      <c r="U401" s="64" t="str">
        <f>IF(OR(B401="",H401=""),"",IFERROR(IF(A401="BL",IF(N(INDEX(art_price,MATCH(H401,art_ref,0)))=0,"",N(INDEX(art_price,MATCH(H401,art_ref,0)))),IF(N(INDEX(art_cost,MATCH(H401,art_ref,0)))=0,"",N(INDEX(art_cost,MATCH(H401,art_ref,0))))),""))</f>
        <v/>
      </c>
      <c r="V401" s="64" t="str">
        <f>IF(OR(U401="",NOT(ISNUMBER(L401))),"",IF(L401&lt;=0,"",ROUND(L401*U401,2)))</f>
        <v/>
      </c>
      <c r="W401" s="60" t="str">
        <f>IF(AND(B401&lt;&gt;"",A401&lt;&gt;"BS",F401&lt;&gt;"",H401&lt;&gt;"",ISNUMBER(K401),ISNUMBER(L401)),IF(AND(K401&gt;0,L401&gt;0,K401-L401&gt;0,COUNTIFS(A402:A$2005,A401,F402:F$2005,F401,H402:H$2005,H401,AA402:AA$2005,"&gt;0")=0),ROUND(K401-L401,6),""),"")</f>
        <v/>
      </c>
      <c r="X401" s="60" t="str">
        <f>IF(AND(A401="",C401="",D401="",H401="",L401=""),"",IF(A401="","Type manquant",IF(AND(A401&lt;&gt;"BL",A401&lt;&gt;"BR",A401&lt;&gt;"BS"),"Type inconnu (BL, BR ou BS)",IF(AG401=0,"Date manquante ou invalide",IF(D401="",IF(A401="BL","Client manquant",IF(A401="BR","Fournisseur manquant","Service manquant")),IF(IF(A401="BL",ISNA(MATCH(D401,cl_code,0)),IF(A401="BR",ISNA(MATCH(D401,fo_code,0)),ISNA(MATCH(D401,p_services,0)))),IF(A401="BL","Client inconnu",IF(A401="BR","Fournisseur inconnu","Service inconnu")),IF(H401="","Article manquant",IF(ISNA(MATCH(H401,art_ref,0)),"Article inconnu",IF(OR(NOT(ISNUMBER(L401)),N(L401)&lt;=0),"Quantité invalide",IF(AND(K401&lt;&gt;"",OR(NOT(ISNUMBER(K401)),N(K401)&lt;=0)),"Qté commandée invalide",IF(AG401&lt;SUMPRODUCT(MAX((A$6:A400=A401)*AG$6:AG400)),"Date antérieure au bon précédent",IF(AND(A401&lt;&gt;"BR",ISNUMBER(M401),N(M401)&gt;0),IF(A401="BL","Livré plus que commandé","Sorti plus que demandé"),"OK"))))))))))))</f>
        <v/>
      </c>
      <c r="Y401" s="57" t="str">
        <f>IF(AND(OR(A401="BL",A401="BR",A401="BS"),AG401&gt;0,D401&lt;&gt;""),A401&amp;"|"&amp;AG401&amp;"|"&amp;D401&amp;"|"&amp;F401,"")</f>
        <v/>
      </c>
      <c r="Z401" s="57" t="str">
        <f>IF(Y401="","",IF(COUNTIF(Y$6:Y400,Y401)=0,1,0))</f>
        <v/>
      </c>
      <c r="AA401" s="57" t="str">
        <f>IF(Y401="","",IF(Z401=1,COUNTIFS(A$6:A401,A401,Z$6:Z401,1),INDEX(AA$6:AA400,MATCH(Y401,Y$6:Y400,0))))</f>
        <v/>
      </c>
      <c r="AB401" s="57" t="str">
        <f>IF(B401="","",COUNTIF(B$6:B401,B401))</f>
        <v/>
      </c>
      <c r="AC401" s="57" t="str">
        <f>IF(B401="","",B401&amp;"#"&amp;AB401)</f>
        <v/>
      </c>
      <c r="AD401" s="57" t="str">
        <f>IF(Z401=1,A401&amp;AA401,"")</f>
        <v/>
      </c>
      <c r="AE401" s="57" t="str">
        <f>IF(B401="","",YEAR(C401))</f>
        <v/>
      </c>
      <c r="AF401" s="57" t="str">
        <f>IF(B401="","",MONTH(C401))</f>
        <v/>
      </c>
      <c r="AG401" s="57">
        <f>IF(ISNUMBER(C401),C401,0)</f>
        <v>0.0</v>
      </c>
      <c r="AH401" s="57" t="str">
        <f>IF(N(W401)&gt;0,COUNTIF(W$6:W401,"&gt;0"),"")</f>
        <v/>
      </c>
      <c r="AI401" s="57" t="str">
        <f>IF(Z401=1,COUNTIF(Z$6:Z401,1),"")</f>
        <v/>
      </c>
    </row>
    <row r="402">
      <c r="A402" s="54" t="n"/>
      <c r="B402" s="55" t="str">
        <f>IF(AA402="","",A402&amp;"-"&amp;RIGHT("000"&amp;AA402,4))</f>
        <v/>
      </c>
      <c r="C402" s="56" t="n"/>
      <c r="D402" s="54" t="n"/>
      <c r="E402" s="57" t="str">
        <f>IF(D402="","",IF(A402="BL",IFERROR(INDEX(cl_name,MATCH(D402,cl_code,0))&amp;"","Client inconnu"),IF(A402="BR",IFERROR(INDEX(fo_name,MATCH(D402,fo_code,0))&amp;"","Fournisseur inconnu"),IF(A402="BS",IF(ISNA(MATCH(D402,p_services,0)),"Service inconnu",D402&amp;""),""))))</f>
        <v/>
      </c>
      <c r="F402" s="58" t="n"/>
      <c r="G402" s="58" t="n"/>
      <c r="H402" s="59" t="n"/>
      <c r="I402" s="57" t="str">
        <f>IF(H402="","",IFERROR(INDEX(art_des,MATCH(H402,art_ref,0))&amp;"","Article inconnu"))</f>
        <v/>
      </c>
      <c r="J402" s="60" t="str">
        <f>IF(H402="","",IFERROR(INDEX(art_unit,MATCH(H402,art_ref,0))&amp;"",""))</f>
        <v/>
      </c>
      <c r="K402" s="59" t="n"/>
      <c r="L402" s="59" t="n"/>
      <c r="M402" s="61" t="str">
        <f>IF(OR(B402="",NOT(ISNUMBER(K402)),NOT(ISNUMBER(L402))),"",IF(OR(K402&lt;=0,L402&lt;=0),"",ROUND(L402-K402,6)))</f>
        <v/>
      </c>
      <c r="N402" s="58" t="n"/>
      <c r="O402" s="62" t="n"/>
      <c r="P402" s="63" t="str">
        <f>IF(OR(B402="",NOT(ISNUMBER(L402))),"",IF(L402&lt;=0,"",IFERROR(ROUND(L402*N(INDEX(art_w,MATCH(H402,art_ref,0))),3),"")))</f>
        <v/>
      </c>
      <c r="Q402" s="59" t="n"/>
      <c r="R402" s="54" t="n"/>
      <c r="S402" s="59" t="n"/>
      <c r="T402" s="59" t="n"/>
      <c r="U402" s="64" t="str">
        <f>IF(OR(B402="",H402=""),"",IFERROR(IF(A402="BL",IF(N(INDEX(art_price,MATCH(H402,art_ref,0)))=0,"",N(INDEX(art_price,MATCH(H402,art_ref,0)))),IF(N(INDEX(art_cost,MATCH(H402,art_ref,0)))=0,"",N(INDEX(art_cost,MATCH(H402,art_ref,0))))),""))</f>
        <v/>
      </c>
      <c r="V402" s="64" t="str">
        <f>IF(OR(U402="",NOT(ISNUMBER(L402))),"",IF(L402&lt;=0,"",ROUND(L402*U402,2)))</f>
        <v/>
      </c>
      <c r="W402" s="60" t="str">
        <f>IF(AND(B402&lt;&gt;"",A402&lt;&gt;"BS",F402&lt;&gt;"",H402&lt;&gt;"",ISNUMBER(K402),ISNUMBER(L402)),IF(AND(K402&gt;0,L402&gt;0,K402-L402&gt;0,COUNTIFS(A403:A$2005,A402,F403:F$2005,F402,H403:H$2005,H402,AA403:AA$2005,"&gt;0")=0),ROUND(K402-L402,6),""),"")</f>
        <v/>
      </c>
      <c r="X402" s="60" t="str">
        <f>IF(AND(A402="",C402="",D402="",H402="",L402=""),"",IF(A402="","Type manquant",IF(AND(A402&lt;&gt;"BL",A402&lt;&gt;"BR",A402&lt;&gt;"BS"),"Type inconnu (BL, BR ou BS)",IF(AG402=0,"Date manquante ou invalide",IF(D402="",IF(A402="BL","Client manquant",IF(A402="BR","Fournisseur manquant","Service manquant")),IF(IF(A402="BL",ISNA(MATCH(D402,cl_code,0)),IF(A402="BR",ISNA(MATCH(D402,fo_code,0)),ISNA(MATCH(D402,p_services,0)))),IF(A402="BL","Client inconnu",IF(A402="BR","Fournisseur inconnu","Service inconnu")),IF(H402="","Article manquant",IF(ISNA(MATCH(H402,art_ref,0)),"Article inconnu",IF(OR(NOT(ISNUMBER(L402)),N(L402)&lt;=0),"Quantité invalide",IF(AND(K402&lt;&gt;"",OR(NOT(ISNUMBER(K402)),N(K402)&lt;=0)),"Qté commandée invalide",IF(AG402&lt;SUMPRODUCT(MAX((A$6:A401=A402)*AG$6:AG401)),"Date antérieure au bon précédent",IF(AND(A402&lt;&gt;"BR",ISNUMBER(M402),N(M402)&gt;0),IF(A402="BL","Livré plus que commandé","Sorti plus que demandé"),"OK"))))))))))))</f>
        <v/>
      </c>
      <c r="Y402" s="57" t="str">
        <f>IF(AND(OR(A402="BL",A402="BR",A402="BS"),AG402&gt;0,D402&lt;&gt;""),A402&amp;"|"&amp;AG402&amp;"|"&amp;D402&amp;"|"&amp;F402,"")</f>
        <v/>
      </c>
      <c r="Z402" s="57" t="str">
        <f>IF(Y402="","",IF(COUNTIF(Y$6:Y401,Y402)=0,1,0))</f>
        <v/>
      </c>
      <c r="AA402" s="57" t="str">
        <f>IF(Y402="","",IF(Z402=1,COUNTIFS(A$6:A402,A402,Z$6:Z402,1),INDEX(AA$6:AA401,MATCH(Y402,Y$6:Y401,0))))</f>
        <v/>
      </c>
      <c r="AB402" s="57" t="str">
        <f>IF(B402="","",COUNTIF(B$6:B402,B402))</f>
        <v/>
      </c>
      <c r="AC402" s="57" t="str">
        <f>IF(B402="","",B402&amp;"#"&amp;AB402)</f>
        <v/>
      </c>
      <c r="AD402" s="57" t="str">
        <f>IF(Z402=1,A402&amp;AA402,"")</f>
        <v/>
      </c>
      <c r="AE402" s="57" t="str">
        <f>IF(B402="","",YEAR(C402))</f>
        <v/>
      </c>
      <c r="AF402" s="57" t="str">
        <f>IF(B402="","",MONTH(C402))</f>
        <v/>
      </c>
      <c r="AG402" s="57">
        <f>IF(ISNUMBER(C402),C402,0)</f>
        <v>0.0</v>
      </c>
      <c r="AH402" s="57" t="str">
        <f>IF(N(W402)&gt;0,COUNTIF(W$6:W402,"&gt;0"),"")</f>
        <v/>
      </c>
      <c r="AI402" s="57" t="str">
        <f>IF(Z402=1,COUNTIF(Z$6:Z402,1),"")</f>
        <v/>
      </c>
    </row>
    <row r="403">
      <c r="A403" s="54" t="n"/>
      <c r="B403" s="55" t="str">
        <f>IF(AA403="","",A403&amp;"-"&amp;RIGHT("000"&amp;AA403,4))</f>
        <v/>
      </c>
      <c r="C403" s="56" t="n"/>
      <c r="D403" s="54" t="n"/>
      <c r="E403" s="57" t="str">
        <f>IF(D403="","",IF(A403="BL",IFERROR(INDEX(cl_name,MATCH(D403,cl_code,0))&amp;"","Client inconnu"),IF(A403="BR",IFERROR(INDEX(fo_name,MATCH(D403,fo_code,0))&amp;"","Fournisseur inconnu"),IF(A403="BS",IF(ISNA(MATCH(D403,p_services,0)),"Service inconnu",D403&amp;""),""))))</f>
        <v/>
      </c>
      <c r="F403" s="58" t="n"/>
      <c r="G403" s="58" t="n"/>
      <c r="H403" s="59" t="n"/>
      <c r="I403" s="57" t="str">
        <f>IF(H403="","",IFERROR(INDEX(art_des,MATCH(H403,art_ref,0))&amp;"","Article inconnu"))</f>
        <v/>
      </c>
      <c r="J403" s="60" t="str">
        <f>IF(H403="","",IFERROR(INDEX(art_unit,MATCH(H403,art_ref,0))&amp;"",""))</f>
        <v/>
      </c>
      <c r="K403" s="59" t="n"/>
      <c r="L403" s="59" t="n"/>
      <c r="M403" s="61" t="str">
        <f>IF(OR(B403="",NOT(ISNUMBER(K403)),NOT(ISNUMBER(L403))),"",IF(OR(K403&lt;=0,L403&lt;=0),"",ROUND(L403-K403,6)))</f>
        <v/>
      </c>
      <c r="N403" s="58" t="n"/>
      <c r="O403" s="62" t="n"/>
      <c r="P403" s="63" t="str">
        <f>IF(OR(B403="",NOT(ISNUMBER(L403))),"",IF(L403&lt;=0,"",IFERROR(ROUND(L403*N(INDEX(art_w,MATCH(H403,art_ref,0))),3),"")))</f>
        <v/>
      </c>
      <c r="Q403" s="59" t="n"/>
      <c r="R403" s="54" t="n"/>
      <c r="S403" s="59" t="n"/>
      <c r="T403" s="59" t="n"/>
      <c r="U403" s="64" t="str">
        <f>IF(OR(B403="",H403=""),"",IFERROR(IF(A403="BL",IF(N(INDEX(art_price,MATCH(H403,art_ref,0)))=0,"",N(INDEX(art_price,MATCH(H403,art_ref,0)))),IF(N(INDEX(art_cost,MATCH(H403,art_ref,0)))=0,"",N(INDEX(art_cost,MATCH(H403,art_ref,0))))),""))</f>
        <v/>
      </c>
      <c r="V403" s="64" t="str">
        <f>IF(OR(U403="",NOT(ISNUMBER(L403))),"",IF(L403&lt;=0,"",ROUND(L403*U403,2)))</f>
        <v/>
      </c>
      <c r="W403" s="60" t="str">
        <f>IF(AND(B403&lt;&gt;"",A403&lt;&gt;"BS",F403&lt;&gt;"",H403&lt;&gt;"",ISNUMBER(K403),ISNUMBER(L403)),IF(AND(K403&gt;0,L403&gt;0,K403-L403&gt;0,COUNTIFS(A404:A$2005,A403,F404:F$2005,F403,H404:H$2005,H403,AA404:AA$2005,"&gt;0")=0),ROUND(K403-L403,6),""),"")</f>
        <v/>
      </c>
      <c r="X403" s="60" t="str">
        <f>IF(AND(A403="",C403="",D403="",H403="",L403=""),"",IF(A403="","Type manquant",IF(AND(A403&lt;&gt;"BL",A403&lt;&gt;"BR",A403&lt;&gt;"BS"),"Type inconnu (BL, BR ou BS)",IF(AG403=0,"Date manquante ou invalide",IF(D403="",IF(A403="BL","Client manquant",IF(A403="BR","Fournisseur manquant","Service manquant")),IF(IF(A403="BL",ISNA(MATCH(D403,cl_code,0)),IF(A403="BR",ISNA(MATCH(D403,fo_code,0)),ISNA(MATCH(D403,p_services,0)))),IF(A403="BL","Client inconnu",IF(A403="BR","Fournisseur inconnu","Service inconnu")),IF(H403="","Article manquant",IF(ISNA(MATCH(H403,art_ref,0)),"Article inconnu",IF(OR(NOT(ISNUMBER(L403)),N(L403)&lt;=0),"Quantité invalide",IF(AND(K403&lt;&gt;"",OR(NOT(ISNUMBER(K403)),N(K403)&lt;=0)),"Qté commandée invalide",IF(AG403&lt;SUMPRODUCT(MAX((A$6:A402=A403)*AG$6:AG402)),"Date antérieure au bon précédent",IF(AND(A403&lt;&gt;"BR",ISNUMBER(M403),N(M403)&gt;0),IF(A403="BL","Livré plus que commandé","Sorti plus que demandé"),"OK"))))))))))))</f>
        <v/>
      </c>
      <c r="Y403" s="57" t="str">
        <f>IF(AND(OR(A403="BL",A403="BR",A403="BS"),AG403&gt;0,D403&lt;&gt;""),A403&amp;"|"&amp;AG403&amp;"|"&amp;D403&amp;"|"&amp;F403,"")</f>
        <v/>
      </c>
      <c r="Z403" s="57" t="str">
        <f>IF(Y403="","",IF(COUNTIF(Y$6:Y402,Y403)=0,1,0))</f>
        <v/>
      </c>
      <c r="AA403" s="57" t="str">
        <f>IF(Y403="","",IF(Z403=1,COUNTIFS(A$6:A403,A403,Z$6:Z403,1),INDEX(AA$6:AA402,MATCH(Y403,Y$6:Y402,0))))</f>
        <v/>
      </c>
      <c r="AB403" s="57" t="str">
        <f>IF(B403="","",COUNTIF(B$6:B403,B403))</f>
        <v/>
      </c>
      <c r="AC403" s="57" t="str">
        <f>IF(B403="","",B403&amp;"#"&amp;AB403)</f>
        <v/>
      </c>
      <c r="AD403" s="57" t="str">
        <f>IF(Z403=1,A403&amp;AA403,"")</f>
        <v/>
      </c>
      <c r="AE403" s="57" t="str">
        <f>IF(B403="","",YEAR(C403))</f>
        <v/>
      </c>
      <c r="AF403" s="57" t="str">
        <f>IF(B403="","",MONTH(C403))</f>
        <v/>
      </c>
      <c r="AG403" s="57">
        <f>IF(ISNUMBER(C403),C403,0)</f>
        <v>0.0</v>
      </c>
      <c r="AH403" s="57" t="str">
        <f>IF(N(W403)&gt;0,COUNTIF(W$6:W403,"&gt;0"),"")</f>
        <v/>
      </c>
      <c r="AI403" s="57" t="str">
        <f>IF(Z403=1,COUNTIF(Z$6:Z403,1),"")</f>
        <v/>
      </c>
    </row>
    <row r="404">
      <c r="A404" s="54" t="n"/>
      <c r="B404" s="55" t="str">
        <f>IF(AA404="","",A404&amp;"-"&amp;RIGHT("000"&amp;AA404,4))</f>
        <v/>
      </c>
      <c r="C404" s="56" t="n"/>
      <c r="D404" s="54" t="n"/>
      <c r="E404" s="57" t="str">
        <f>IF(D404="","",IF(A404="BL",IFERROR(INDEX(cl_name,MATCH(D404,cl_code,0))&amp;"","Client inconnu"),IF(A404="BR",IFERROR(INDEX(fo_name,MATCH(D404,fo_code,0))&amp;"","Fournisseur inconnu"),IF(A404="BS",IF(ISNA(MATCH(D404,p_services,0)),"Service inconnu",D404&amp;""),""))))</f>
        <v/>
      </c>
      <c r="F404" s="58" t="n"/>
      <c r="G404" s="58" t="n"/>
      <c r="H404" s="59" t="n"/>
      <c r="I404" s="57" t="str">
        <f>IF(H404="","",IFERROR(INDEX(art_des,MATCH(H404,art_ref,0))&amp;"","Article inconnu"))</f>
        <v/>
      </c>
      <c r="J404" s="60" t="str">
        <f>IF(H404="","",IFERROR(INDEX(art_unit,MATCH(H404,art_ref,0))&amp;"",""))</f>
        <v/>
      </c>
      <c r="K404" s="59" t="n"/>
      <c r="L404" s="59" t="n"/>
      <c r="M404" s="61" t="str">
        <f>IF(OR(B404="",NOT(ISNUMBER(K404)),NOT(ISNUMBER(L404))),"",IF(OR(K404&lt;=0,L404&lt;=0),"",ROUND(L404-K404,6)))</f>
        <v/>
      </c>
      <c r="N404" s="58" t="n"/>
      <c r="O404" s="62" t="n"/>
      <c r="P404" s="63" t="str">
        <f>IF(OR(B404="",NOT(ISNUMBER(L404))),"",IF(L404&lt;=0,"",IFERROR(ROUND(L404*N(INDEX(art_w,MATCH(H404,art_ref,0))),3),"")))</f>
        <v/>
      </c>
      <c r="Q404" s="59" t="n"/>
      <c r="R404" s="54" t="n"/>
      <c r="S404" s="59" t="n"/>
      <c r="T404" s="59" t="n"/>
      <c r="U404" s="64" t="str">
        <f>IF(OR(B404="",H404=""),"",IFERROR(IF(A404="BL",IF(N(INDEX(art_price,MATCH(H404,art_ref,0)))=0,"",N(INDEX(art_price,MATCH(H404,art_ref,0)))),IF(N(INDEX(art_cost,MATCH(H404,art_ref,0)))=0,"",N(INDEX(art_cost,MATCH(H404,art_ref,0))))),""))</f>
        <v/>
      </c>
      <c r="V404" s="64" t="str">
        <f>IF(OR(U404="",NOT(ISNUMBER(L404))),"",IF(L404&lt;=0,"",ROUND(L404*U404,2)))</f>
        <v/>
      </c>
      <c r="W404" s="60" t="str">
        <f>IF(AND(B404&lt;&gt;"",A404&lt;&gt;"BS",F404&lt;&gt;"",H404&lt;&gt;"",ISNUMBER(K404),ISNUMBER(L404)),IF(AND(K404&gt;0,L404&gt;0,K404-L404&gt;0,COUNTIFS(A405:A$2005,A404,F405:F$2005,F404,H405:H$2005,H404,AA405:AA$2005,"&gt;0")=0),ROUND(K404-L404,6),""),"")</f>
        <v/>
      </c>
      <c r="X404" s="60" t="str">
        <f>IF(AND(A404="",C404="",D404="",H404="",L404=""),"",IF(A404="","Type manquant",IF(AND(A404&lt;&gt;"BL",A404&lt;&gt;"BR",A404&lt;&gt;"BS"),"Type inconnu (BL, BR ou BS)",IF(AG404=0,"Date manquante ou invalide",IF(D404="",IF(A404="BL","Client manquant",IF(A404="BR","Fournisseur manquant","Service manquant")),IF(IF(A404="BL",ISNA(MATCH(D404,cl_code,0)),IF(A404="BR",ISNA(MATCH(D404,fo_code,0)),ISNA(MATCH(D404,p_services,0)))),IF(A404="BL","Client inconnu",IF(A404="BR","Fournisseur inconnu","Service inconnu")),IF(H404="","Article manquant",IF(ISNA(MATCH(H404,art_ref,0)),"Article inconnu",IF(OR(NOT(ISNUMBER(L404)),N(L404)&lt;=0),"Quantité invalide",IF(AND(K404&lt;&gt;"",OR(NOT(ISNUMBER(K404)),N(K404)&lt;=0)),"Qté commandée invalide",IF(AG404&lt;SUMPRODUCT(MAX((A$6:A403=A404)*AG$6:AG403)),"Date antérieure au bon précédent",IF(AND(A404&lt;&gt;"BR",ISNUMBER(M404),N(M404)&gt;0),IF(A404="BL","Livré plus que commandé","Sorti plus que demandé"),"OK"))))))))))))</f>
        <v/>
      </c>
      <c r="Y404" s="57" t="str">
        <f>IF(AND(OR(A404="BL",A404="BR",A404="BS"),AG404&gt;0,D404&lt;&gt;""),A404&amp;"|"&amp;AG404&amp;"|"&amp;D404&amp;"|"&amp;F404,"")</f>
        <v/>
      </c>
      <c r="Z404" s="57" t="str">
        <f>IF(Y404="","",IF(COUNTIF(Y$6:Y403,Y404)=0,1,0))</f>
        <v/>
      </c>
      <c r="AA404" s="57" t="str">
        <f>IF(Y404="","",IF(Z404=1,COUNTIFS(A$6:A404,A404,Z$6:Z404,1),INDEX(AA$6:AA403,MATCH(Y404,Y$6:Y403,0))))</f>
        <v/>
      </c>
      <c r="AB404" s="57" t="str">
        <f>IF(B404="","",COUNTIF(B$6:B404,B404))</f>
        <v/>
      </c>
      <c r="AC404" s="57" t="str">
        <f>IF(B404="","",B404&amp;"#"&amp;AB404)</f>
        <v/>
      </c>
      <c r="AD404" s="57" t="str">
        <f>IF(Z404=1,A404&amp;AA404,"")</f>
        <v/>
      </c>
      <c r="AE404" s="57" t="str">
        <f>IF(B404="","",YEAR(C404))</f>
        <v/>
      </c>
      <c r="AF404" s="57" t="str">
        <f>IF(B404="","",MONTH(C404))</f>
        <v/>
      </c>
      <c r="AG404" s="57">
        <f>IF(ISNUMBER(C404),C404,0)</f>
        <v>0.0</v>
      </c>
      <c r="AH404" s="57" t="str">
        <f>IF(N(W404)&gt;0,COUNTIF(W$6:W404,"&gt;0"),"")</f>
        <v/>
      </c>
      <c r="AI404" s="57" t="str">
        <f>IF(Z404=1,COUNTIF(Z$6:Z404,1),"")</f>
        <v/>
      </c>
    </row>
    <row r="405">
      <c r="A405" s="54" t="n"/>
      <c r="B405" s="55" t="str">
        <f>IF(AA405="","",A405&amp;"-"&amp;RIGHT("000"&amp;AA405,4))</f>
        <v/>
      </c>
      <c r="C405" s="56" t="n"/>
      <c r="D405" s="54" t="n"/>
      <c r="E405" s="57" t="str">
        <f>IF(D405="","",IF(A405="BL",IFERROR(INDEX(cl_name,MATCH(D405,cl_code,0))&amp;"","Client inconnu"),IF(A405="BR",IFERROR(INDEX(fo_name,MATCH(D405,fo_code,0))&amp;"","Fournisseur inconnu"),IF(A405="BS",IF(ISNA(MATCH(D405,p_services,0)),"Service inconnu",D405&amp;""),""))))</f>
        <v/>
      </c>
      <c r="F405" s="58" t="n"/>
      <c r="G405" s="58" t="n"/>
      <c r="H405" s="59" t="n"/>
      <c r="I405" s="57" t="str">
        <f>IF(H405="","",IFERROR(INDEX(art_des,MATCH(H405,art_ref,0))&amp;"","Article inconnu"))</f>
        <v/>
      </c>
      <c r="J405" s="60" t="str">
        <f>IF(H405="","",IFERROR(INDEX(art_unit,MATCH(H405,art_ref,0))&amp;"",""))</f>
        <v/>
      </c>
      <c r="K405" s="59" t="n"/>
      <c r="L405" s="59" t="n"/>
      <c r="M405" s="61" t="str">
        <f>IF(OR(B405="",NOT(ISNUMBER(K405)),NOT(ISNUMBER(L405))),"",IF(OR(K405&lt;=0,L405&lt;=0),"",ROUND(L405-K405,6)))</f>
        <v/>
      </c>
      <c r="N405" s="58" t="n"/>
      <c r="O405" s="62" t="n"/>
      <c r="P405" s="63" t="str">
        <f>IF(OR(B405="",NOT(ISNUMBER(L405))),"",IF(L405&lt;=0,"",IFERROR(ROUND(L405*N(INDEX(art_w,MATCH(H405,art_ref,0))),3),"")))</f>
        <v/>
      </c>
      <c r="Q405" s="59" t="n"/>
      <c r="R405" s="54" t="n"/>
      <c r="S405" s="59" t="n"/>
      <c r="T405" s="59" t="n"/>
      <c r="U405" s="64" t="str">
        <f>IF(OR(B405="",H405=""),"",IFERROR(IF(A405="BL",IF(N(INDEX(art_price,MATCH(H405,art_ref,0)))=0,"",N(INDEX(art_price,MATCH(H405,art_ref,0)))),IF(N(INDEX(art_cost,MATCH(H405,art_ref,0)))=0,"",N(INDEX(art_cost,MATCH(H405,art_ref,0))))),""))</f>
        <v/>
      </c>
      <c r="V405" s="64" t="str">
        <f>IF(OR(U405="",NOT(ISNUMBER(L405))),"",IF(L405&lt;=0,"",ROUND(L405*U405,2)))</f>
        <v/>
      </c>
      <c r="W405" s="60" t="str">
        <f>IF(AND(B405&lt;&gt;"",A405&lt;&gt;"BS",F405&lt;&gt;"",H405&lt;&gt;"",ISNUMBER(K405),ISNUMBER(L405)),IF(AND(K405&gt;0,L405&gt;0,K405-L405&gt;0,COUNTIFS(A406:A$2005,A405,F406:F$2005,F405,H406:H$2005,H405,AA406:AA$2005,"&gt;0")=0),ROUND(K405-L405,6),""),"")</f>
        <v/>
      </c>
      <c r="X405" s="60" t="str">
        <f>IF(AND(A405="",C405="",D405="",H405="",L405=""),"",IF(A405="","Type manquant",IF(AND(A405&lt;&gt;"BL",A405&lt;&gt;"BR",A405&lt;&gt;"BS"),"Type inconnu (BL, BR ou BS)",IF(AG405=0,"Date manquante ou invalide",IF(D405="",IF(A405="BL","Client manquant",IF(A405="BR","Fournisseur manquant","Service manquant")),IF(IF(A405="BL",ISNA(MATCH(D405,cl_code,0)),IF(A405="BR",ISNA(MATCH(D405,fo_code,0)),ISNA(MATCH(D405,p_services,0)))),IF(A405="BL","Client inconnu",IF(A405="BR","Fournisseur inconnu","Service inconnu")),IF(H405="","Article manquant",IF(ISNA(MATCH(H405,art_ref,0)),"Article inconnu",IF(OR(NOT(ISNUMBER(L405)),N(L405)&lt;=0),"Quantité invalide",IF(AND(K405&lt;&gt;"",OR(NOT(ISNUMBER(K405)),N(K405)&lt;=0)),"Qté commandée invalide",IF(AG405&lt;SUMPRODUCT(MAX((A$6:A404=A405)*AG$6:AG404)),"Date antérieure au bon précédent",IF(AND(A405&lt;&gt;"BR",ISNUMBER(M405),N(M405)&gt;0),IF(A405="BL","Livré plus que commandé","Sorti plus que demandé"),"OK"))))))))))))</f>
        <v/>
      </c>
      <c r="Y405" s="57" t="str">
        <f>IF(AND(OR(A405="BL",A405="BR",A405="BS"),AG405&gt;0,D405&lt;&gt;""),A405&amp;"|"&amp;AG405&amp;"|"&amp;D405&amp;"|"&amp;F405,"")</f>
        <v/>
      </c>
      <c r="Z405" s="57" t="str">
        <f>IF(Y405="","",IF(COUNTIF(Y$6:Y404,Y405)=0,1,0))</f>
        <v/>
      </c>
      <c r="AA405" s="57" t="str">
        <f>IF(Y405="","",IF(Z405=1,COUNTIFS(A$6:A405,A405,Z$6:Z405,1),INDEX(AA$6:AA404,MATCH(Y405,Y$6:Y404,0))))</f>
        <v/>
      </c>
      <c r="AB405" s="57" t="str">
        <f>IF(B405="","",COUNTIF(B$6:B405,B405))</f>
        <v/>
      </c>
      <c r="AC405" s="57" t="str">
        <f>IF(B405="","",B405&amp;"#"&amp;AB405)</f>
        <v/>
      </c>
      <c r="AD405" s="57" t="str">
        <f>IF(Z405=1,A405&amp;AA405,"")</f>
        <v/>
      </c>
      <c r="AE405" s="57" t="str">
        <f>IF(B405="","",YEAR(C405))</f>
        <v/>
      </c>
      <c r="AF405" s="57" t="str">
        <f>IF(B405="","",MONTH(C405))</f>
        <v/>
      </c>
      <c r="AG405" s="57">
        <f>IF(ISNUMBER(C405),C405,0)</f>
        <v>0.0</v>
      </c>
      <c r="AH405" s="57" t="str">
        <f>IF(N(W405)&gt;0,COUNTIF(W$6:W405,"&gt;0"),"")</f>
        <v/>
      </c>
      <c r="AI405" s="57" t="str">
        <f>IF(Z405=1,COUNTIF(Z$6:Z405,1),"")</f>
        <v/>
      </c>
    </row>
    <row r="406">
      <c r="A406" s="54" t="n"/>
      <c r="B406" s="55" t="str">
        <f>IF(AA406="","",A406&amp;"-"&amp;RIGHT("000"&amp;AA406,4))</f>
        <v/>
      </c>
      <c r="C406" s="56" t="n"/>
      <c r="D406" s="54" t="n"/>
      <c r="E406" s="57" t="str">
        <f>IF(D406="","",IF(A406="BL",IFERROR(INDEX(cl_name,MATCH(D406,cl_code,0))&amp;"","Client inconnu"),IF(A406="BR",IFERROR(INDEX(fo_name,MATCH(D406,fo_code,0))&amp;"","Fournisseur inconnu"),IF(A406="BS",IF(ISNA(MATCH(D406,p_services,0)),"Service inconnu",D406&amp;""),""))))</f>
        <v/>
      </c>
      <c r="F406" s="58" t="n"/>
      <c r="G406" s="58" t="n"/>
      <c r="H406" s="59" t="n"/>
      <c r="I406" s="57" t="str">
        <f>IF(H406="","",IFERROR(INDEX(art_des,MATCH(H406,art_ref,0))&amp;"","Article inconnu"))</f>
        <v/>
      </c>
      <c r="J406" s="60" t="str">
        <f>IF(H406="","",IFERROR(INDEX(art_unit,MATCH(H406,art_ref,0))&amp;"",""))</f>
        <v/>
      </c>
      <c r="K406" s="59" t="n"/>
      <c r="L406" s="59" t="n"/>
      <c r="M406" s="61" t="str">
        <f>IF(OR(B406="",NOT(ISNUMBER(K406)),NOT(ISNUMBER(L406))),"",IF(OR(K406&lt;=0,L406&lt;=0),"",ROUND(L406-K406,6)))</f>
        <v/>
      </c>
      <c r="N406" s="58" t="n"/>
      <c r="O406" s="62" t="n"/>
      <c r="P406" s="63" t="str">
        <f>IF(OR(B406="",NOT(ISNUMBER(L406))),"",IF(L406&lt;=0,"",IFERROR(ROUND(L406*N(INDEX(art_w,MATCH(H406,art_ref,0))),3),"")))</f>
        <v/>
      </c>
      <c r="Q406" s="59" t="n"/>
      <c r="R406" s="54" t="n"/>
      <c r="S406" s="59" t="n"/>
      <c r="T406" s="59" t="n"/>
      <c r="U406" s="64" t="str">
        <f>IF(OR(B406="",H406=""),"",IFERROR(IF(A406="BL",IF(N(INDEX(art_price,MATCH(H406,art_ref,0)))=0,"",N(INDEX(art_price,MATCH(H406,art_ref,0)))),IF(N(INDEX(art_cost,MATCH(H406,art_ref,0)))=0,"",N(INDEX(art_cost,MATCH(H406,art_ref,0))))),""))</f>
        <v/>
      </c>
      <c r="V406" s="64" t="str">
        <f>IF(OR(U406="",NOT(ISNUMBER(L406))),"",IF(L406&lt;=0,"",ROUND(L406*U406,2)))</f>
        <v/>
      </c>
      <c r="W406" s="60" t="str">
        <f>IF(AND(B406&lt;&gt;"",A406&lt;&gt;"BS",F406&lt;&gt;"",H406&lt;&gt;"",ISNUMBER(K406),ISNUMBER(L406)),IF(AND(K406&gt;0,L406&gt;0,K406-L406&gt;0,COUNTIFS(A407:A$2005,A406,F407:F$2005,F406,H407:H$2005,H406,AA407:AA$2005,"&gt;0")=0),ROUND(K406-L406,6),""),"")</f>
        <v/>
      </c>
      <c r="X406" s="60" t="str">
        <f>IF(AND(A406="",C406="",D406="",H406="",L406=""),"",IF(A406="","Type manquant",IF(AND(A406&lt;&gt;"BL",A406&lt;&gt;"BR",A406&lt;&gt;"BS"),"Type inconnu (BL, BR ou BS)",IF(AG406=0,"Date manquante ou invalide",IF(D406="",IF(A406="BL","Client manquant",IF(A406="BR","Fournisseur manquant","Service manquant")),IF(IF(A406="BL",ISNA(MATCH(D406,cl_code,0)),IF(A406="BR",ISNA(MATCH(D406,fo_code,0)),ISNA(MATCH(D406,p_services,0)))),IF(A406="BL","Client inconnu",IF(A406="BR","Fournisseur inconnu","Service inconnu")),IF(H406="","Article manquant",IF(ISNA(MATCH(H406,art_ref,0)),"Article inconnu",IF(OR(NOT(ISNUMBER(L406)),N(L406)&lt;=0),"Quantité invalide",IF(AND(K406&lt;&gt;"",OR(NOT(ISNUMBER(K406)),N(K406)&lt;=0)),"Qté commandée invalide",IF(AG406&lt;SUMPRODUCT(MAX((A$6:A405=A406)*AG$6:AG405)),"Date antérieure au bon précédent",IF(AND(A406&lt;&gt;"BR",ISNUMBER(M406),N(M406)&gt;0),IF(A406="BL","Livré plus que commandé","Sorti plus que demandé"),"OK"))))))))))))</f>
        <v/>
      </c>
      <c r="Y406" s="57" t="str">
        <f>IF(AND(OR(A406="BL",A406="BR",A406="BS"),AG406&gt;0,D406&lt;&gt;""),A406&amp;"|"&amp;AG406&amp;"|"&amp;D406&amp;"|"&amp;F406,"")</f>
        <v/>
      </c>
      <c r="Z406" s="57" t="str">
        <f>IF(Y406="","",IF(COUNTIF(Y$6:Y405,Y406)=0,1,0))</f>
        <v/>
      </c>
      <c r="AA406" s="57" t="str">
        <f>IF(Y406="","",IF(Z406=1,COUNTIFS(A$6:A406,A406,Z$6:Z406,1),INDEX(AA$6:AA405,MATCH(Y406,Y$6:Y405,0))))</f>
        <v/>
      </c>
      <c r="AB406" s="57" t="str">
        <f>IF(B406="","",COUNTIF(B$6:B406,B406))</f>
        <v/>
      </c>
      <c r="AC406" s="57" t="str">
        <f>IF(B406="","",B406&amp;"#"&amp;AB406)</f>
        <v/>
      </c>
      <c r="AD406" s="57" t="str">
        <f>IF(Z406=1,A406&amp;AA406,"")</f>
        <v/>
      </c>
      <c r="AE406" s="57" t="str">
        <f>IF(B406="","",YEAR(C406))</f>
        <v/>
      </c>
      <c r="AF406" s="57" t="str">
        <f>IF(B406="","",MONTH(C406))</f>
        <v/>
      </c>
      <c r="AG406" s="57">
        <f>IF(ISNUMBER(C406),C406,0)</f>
        <v>0.0</v>
      </c>
      <c r="AH406" s="57" t="str">
        <f>IF(N(W406)&gt;0,COUNTIF(W$6:W406,"&gt;0"),"")</f>
        <v/>
      </c>
      <c r="AI406" s="57" t="str">
        <f>IF(Z406=1,COUNTIF(Z$6:Z406,1),"")</f>
        <v/>
      </c>
    </row>
    <row r="407">
      <c r="A407" s="54" t="n"/>
      <c r="B407" s="55" t="str">
        <f>IF(AA407="","",A407&amp;"-"&amp;RIGHT("000"&amp;AA407,4))</f>
        <v/>
      </c>
      <c r="C407" s="56" t="n"/>
      <c r="D407" s="54" t="n"/>
      <c r="E407" s="57" t="str">
        <f>IF(D407="","",IF(A407="BL",IFERROR(INDEX(cl_name,MATCH(D407,cl_code,0))&amp;"","Client inconnu"),IF(A407="BR",IFERROR(INDEX(fo_name,MATCH(D407,fo_code,0))&amp;"","Fournisseur inconnu"),IF(A407="BS",IF(ISNA(MATCH(D407,p_services,0)),"Service inconnu",D407&amp;""),""))))</f>
        <v/>
      </c>
      <c r="F407" s="58" t="n"/>
      <c r="G407" s="58" t="n"/>
      <c r="H407" s="59" t="n"/>
      <c r="I407" s="57" t="str">
        <f>IF(H407="","",IFERROR(INDEX(art_des,MATCH(H407,art_ref,0))&amp;"","Article inconnu"))</f>
        <v/>
      </c>
      <c r="J407" s="60" t="str">
        <f>IF(H407="","",IFERROR(INDEX(art_unit,MATCH(H407,art_ref,0))&amp;"",""))</f>
        <v/>
      </c>
      <c r="K407" s="59" t="n"/>
      <c r="L407" s="59" t="n"/>
      <c r="M407" s="61" t="str">
        <f>IF(OR(B407="",NOT(ISNUMBER(K407)),NOT(ISNUMBER(L407))),"",IF(OR(K407&lt;=0,L407&lt;=0),"",ROUND(L407-K407,6)))</f>
        <v/>
      </c>
      <c r="N407" s="58" t="n"/>
      <c r="O407" s="62" t="n"/>
      <c r="P407" s="63" t="str">
        <f>IF(OR(B407="",NOT(ISNUMBER(L407))),"",IF(L407&lt;=0,"",IFERROR(ROUND(L407*N(INDEX(art_w,MATCH(H407,art_ref,0))),3),"")))</f>
        <v/>
      </c>
      <c r="Q407" s="59" t="n"/>
      <c r="R407" s="54" t="n"/>
      <c r="S407" s="59" t="n"/>
      <c r="T407" s="59" t="n"/>
      <c r="U407" s="64" t="str">
        <f>IF(OR(B407="",H407=""),"",IFERROR(IF(A407="BL",IF(N(INDEX(art_price,MATCH(H407,art_ref,0)))=0,"",N(INDEX(art_price,MATCH(H407,art_ref,0)))),IF(N(INDEX(art_cost,MATCH(H407,art_ref,0)))=0,"",N(INDEX(art_cost,MATCH(H407,art_ref,0))))),""))</f>
        <v/>
      </c>
      <c r="V407" s="64" t="str">
        <f>IF(OR(U407="",NOT(ISNUMBER(L407))),"",IF(L407&lt;=0,"",ROUND(L407*U407,2)))</f>
        <v/>
      </c>
      <c r="W407" s="60" t="str">
        <f>IF(AND(B407&lt;&gt;"",A407&lt;&gt;"BS",F407&lt;&gt;"",H407&lt;&gt;"",ISNUMBER(K407),ISNUMBER(L407)),IF(AND(K407&gt;0,L407&gt;0,K407-L407&gt;0,COUNTIFS(A408:A$2005,A407,F408:F$2005,F407,H408:H$2005,H407,AA408:AA$2005,"&gt;0")=0),ROUND(K407-L407,6),""),"")</f>
        <v/>
      </c>
      <c r="X407" s="60" t="str">
        <f>IF(AND(A407="",C407="",D407="",H407="",L407=""),"",IF(A407="","Type manquant",IF(AND(A407&lt;&gt;"BL",A407&lt;&gt;"BR",A407&lt;&gt;"BS"),"Type inconnu (BL, BR ou BS)",IF(AG407=0,"Date manquante ou invalide",IF(D407="",IF(A407="BL","Client manquant",IF(A407="BR","Fournisseur manquant","Service manquant")),IF(IF(A407="BL",ISNA(MATCH(D407,cl_code,0)),IF(A407="BR",ISNA(MATCH(D407,fo_code,0)),ISNA(MATCH(D407,p_services,0)))),IF(A407="BL","Client inconnu",IF(A407="BR","Fournisseur inconnu","Service inconnu")),IF(H407="","Article manquant",IF(ISNA(MATCH(H407,art_ref,0)),"Article inconnu",IF(OR(NOT(ISNUMBER(L407)),N(L407)&lt;=0),"Quantité invalide",IF(AND(K407&lt;&gt;"",OR(NOT(ISNUMBER(K407)),N(K407)&lt;=0)),"Qté commandée invalide",IF(AG407&lt;SUMPRODUCT(MAX((A$6:A406=A407)*AG$6:AG406)),"Date antérieure au bon précédent",IF(AND(A407&lt;&gt;"BR",ISNUMBER(M407),N(M407)&gt;0),IF(A407="BL","Livré plus que commandé","Sorti plus que demandé"),"OK"))))))))))))</f>
        <v/>
      </c>
      <c r="Y407" s="57" t="str">
        <f>IF(AND(OR(A407="BL",A407="BR",A407="BS"),AG407&gt;0,D407&lt;&gt;""),A407&amp;"|"&amp;AG407&amp;"|"&amp;D407&amp;"|"&amp;F407,"")</f>
        <v/>
      </c>
      <c r="Z407" s="57" t="str">
        <f>IF(Y407="","",IF(COUNTIF(Y$6:Y406,Y407)=0,1,0))</f>
        <v/>
      </c>
      <c r="AA407" s="57" t="str">
        <f>IF(Y407="","",IF(Z407=1,COUNTIFS(A$6:A407,A407,Z$6:Z407,1),INDEX(AA$6:AA406,MATCH(Y407,Y$6:Y406,0))))</f>
        <v/>
      </c>
      <c r="AB407" s="57" t="str">
        <f>IF(B407="","",COUNTIF(B$6:B407,B407))</f>
        <v/>
      </c>
      <c r="AC407" s="57" t="str">
        <f>IF(B407="","",B407&amp;"#"&amp;AB407)</f>
        <v/>
      </c>
      <c r="AD407" s="57" t="str">
        <f>IF(Z407=1,A407&amp;AA407,"")</f>
        <v/>
      </c>
      <c r="AE407" s="57" t="str">
        <f>IF(B407="","",YEAR(C407))</f>
        <v/>
      </c>
      <c r="AF407" s="57" t="str">
        <f>IF(B407="","",MONTH(C407))</f>
        <v/>
      </c>
      <c r="AG407" s="57">
        <f>IF(ISNUMBER(C407),C407,0)</f>
        <v>0.0</v>
      </c>
      <c r="AH407" s="57" t="str">
        <f>IF(N(W407)&gt;0,COUNTIF(W$6:W407,"&gt;0"),"")</f>
        <v/>
      </c>
      <c r="AI407" s="57" t="str">
        <f>IF(Z407=1,COUNTIF(Z$6:Z407,1),"")</f>
        <v/>
      </c>
    </row>
    <row r="408">
      <c r="A408" s="54" t="n"/>
      <c r="B408" s="55" t="str">
        <f>IF(AA408="","",A408&amp;"-"&amp;RIGHT("000"&amp;AA408,4))</f>
        <v/>
      </c>
      <c r="C408" s="56" t="n"/>
      <c r="D408" s="54" t="n"/>
      <c r="E408" s="57" t="str">
        <f>IF(D408="","",IF(A408="BL",IFERROR(INDEX(cl_name,MATCH(D408,cl_code,0))&amp;"","Client inconnu"),IF(A408="BR",IFERROR(INDEX(fo_name,MATCH(D408,fo_code,0))&amp;"","Fournisseur inconnu"),IF(A408="BS",IF(ISNA(MATCH(D408,p_services,0)),"Service inconnu",D408&amp;""),""))))</f>
        <v/>
      </c>
      <c r="F408" s="58" t="n"/>
      <c r="G408" s="58" t="n"/>
      <c r="H408" s="59" t="n"/>
      <c r="I408" s="57" t="str">
        <f>IF(H408="","",IFERROR(INDEX(art_des,MATCH(H408,art_ref,0))&amp;"","Article inconnu"))</f>
        <v/>
      </c>
      <c r="J408" s="60" t="str">
        <f>IF(H408="","",IFERROR(INDEX(art_unit,MATCH(H408,art_ref,0))&amp;"",""))</f>
        <v/>
      </c>
      <c r="K408" s="59" t="n"/>
      <c r="L408" s="59" t="n"/>
      <c r="M408" s="61" t="str">
        <f>IF(OR(B408="",NOT(ISNUMBER(K408)),NOT(ISNUMBER(L408))),"",IF(OR(K408&lt;=0,L408&lt;=0),"",ROUND(L408-K408,6)))</f>
        <v/>
      </c>
      <c r="N408" s="58" t="n"/>
      <c r="O408" s="62" t="n"/>
      <c r="P408" s="63" t="str">
        <f>IF(OR(B408="",NOT(ISNUMBER(L408))),"",IF(L408&lt;=0,"",IFERROR(ROUND(L408*N(INDEX(art_w,MATCH(H408,art_ref,0))),3),"")))</f>
        <v/>
      </c>
      <c r="Q408" s="59" t="n"/>
      <c r="R408" s="54" t="n"/>
      <c r="S408" s="59" t="n"/>
      <c r="T408" s="59" t="n"/>
      <c r="U408" s="64" t="str">
        <f>IF(OR(B408="",H408=""),"",IFERROR(IF(A408="BL",IF(N(INDEX(art_price,MATCH(H408,art_ref,0)))=0,"",N(INDEX(art_price,MATCH(H408,art_ref,0)))),IF(N(INDEX(art_cost,MATCH(H408,art_ref,0)))=0,"",N(INDEX(art_cost,MATCH(H408,art_ref,0))))),""))</f>
        <v/>
      </c>
      <c r="V408" s="64" t="str">
        <f>IF(OR(U408="",NOT(ISNUMBER(L408))),"",IF(L408&lt;=0,"",ROUND(L408*U408,2)))</f>
        <v/>
      </c>
      <c r="W408" s="60" t="str">
        <f>IF(AND(B408&lt;&gt;"",A408&lt;&gt;"BS",F408&lt;&gt;"",H408&lt;&gt;"",ISNUMBER(K408),ISNUMBER(L408)),IF(AND(K408&gt;0,L408&gt;0,K408-L408&gt;0,COUNTIFS(A409:A$2005,A408,F409:F$2005,F408,H409:H$2005,H408,AA409:AA$2005,"&gt;0")=0),ROUND(K408-L408,6),""),"")</f>
        <v/>
      </c>
      <c r="X408" s="60" t="str">
        <f>IF(AND(A408="",C408="",D408="",H408="",L408=""),"",IF(A408="","Type manquant",IF(AND(A408&lt;&gt;"BL",A408&lt;&gt;"BR",A408&lt;&gt;"BS"),"Type inconnu (BL, BR ou BS)",IF(AG408=0,"Date manquante ou invalide",IF(D408="",IF(A408="BL","Client manquant",IF(A408="BR","Fournisseur manquant","Service manquant")),IF(IF(A408="BL",ISNA(MATCH(D408,cl_code,0)),IF(A408="BR",ISNA(MATCH(D408,fo_code,0)),ISNA(MATCH(D408,p_services,0)))),IF(A408="BL","Client inconnu",IF(A408="BR","Fournisseur inconnu","Service inconnu")),IF(H408="","Article manquant",IF(ISNA(MATCH(H408,art_ref,0)),"Article inconnu",IF(OR(NOT(ISNUMBER(L408)),N(L408)&lt;=0),"Quantité invalide",IF(AND(K408&lt;&gt;"",OR(NOT(ISNUMBER(K408)),N(K408)&lt;=0)),"Qté commandée invalide",IF(AG408&lt;SUMPRODUCT(MAX((A$6:A407=A408)*AG$6:AG407)),"Date antérieure au bon précédent",IF(AND(A408&lt;&gt;"BR",ISNUMBER(M408),N(M408)&gt;0),IF(A408="BL","Livré plus que commandé","Sorti plus que demandé"),"OK"))))))))))))</f>
        <v/>
      </c>
      <c r="Y408" s="57" t="str">
        <f>IF(AND(OR(A408="BL",A408="BR",A408="BS"),AG408&gt;0,D408&lt;&gt;""),A408&amp;"|"&amp;AG408&amp;"|"&amp;D408&amp;"|"&amp;F408,"")</f>
        <v/>
      </c>
      <c r="Z408" s="57" t="str">
        <f>IF(Y408="","",IF(COUNTIF(Y$6:Y407,Y408)=0,1,0))</f>
        <v/>
      </c>
      <c r="AA408" s="57" t="str">
        <f>IF(Y408="","",IF(Z408=1,COUNTIFS(A$6:A408,A408,Z$6:Z408,1),INDEX(AA$6:AA407,MATCH(Y408,Y$6:Y407,0))))</f>
        <v/>
      </c>
      <c r="AB408" s="57" t="str">
        <f>IF(B408="","",COUNTIF(B$6:B408,B408))</f>
        <v/>
      </c>
      <c r="AC408" s="57" t="str">
        <f>IF(B408="","",B408&amp;"#"&amp;AB408)</f>
        <v/>
      </c>
      <c r="AD408" s="57" t="str">
        <f>IF(Z408=1,A408&amp;AA408,"")</f>
        <v/>
      </c>
      <c r="AE408" s="57" t="str">
        <f>IF(B408="","",YEAR(C408))</f>
        <v/>
      </c>
      <c r="AF408" s="57" t="str">
        <f>IF(B408="","",MONTH(C408))</f>
        <v/>
      </c>
      <c r="AG408" s="57">
        <f>IF(ISNUMBER(C408),C408,0)</f>
        <v>0.0</v>
      </c>
      <c r="AH408" s="57" t="str">
        <f>IF(N(W408)&gt;0,COUNTIF(W$6:W408,"&gt;0"),"")</f>
        <v/>
      </c>
      <c r="AI408" s="57" t="str">
        <f>IF(Z408=1,COUNTIF(Z$6:Z408,1),"")</f>
        <v/>
      </c>
    </row>
    <row r="409">
      <c r="A409" s="54" t="n"/>
      <c r="B409" s="55" t="str">
        <f>IF(AA409="","",A409&amp;"-"&amp;RIGHT("000"&amp;AA409,4))</f>
        <v/>
      </c>
      <c r="C409" s="56" t="n"/>
      <c r="D409" s="54" t="n"/>
      <c r="E409" s="57" t="str">
        <f>IF(D409="","",IF(A409="BL",IFERROR(INDEX(cl_name,MATCH(D409,cl_code,0))&amp;"","Client inconnu"),IF(A409="BR",IFERROR(INDEX(fo_name,MATCH(D409,fo_code,0))&amp;"","Fournisseur inconnu"),IF(A409="BS",IF(ISNA(MATCH(D409,p_services,0)),"Service inconnu",D409&amp;""),""))))</f>
        <v/>
      </c>
      <c r="F409" s="58" t="n"/>
      <c r="G409" s="58" t="n"/>
      <c r="H409" s="59" t="n"/>
      <c r="I409" s="57" t="str">
        <f>IF(H409="","",IFERROR(INDEX(art_des,MATCH(H409,art_ref,0))&amp;"","Article inconnu"))</f>
        <v/>
      </c>
      <c r="J409" s="60" t="str">
        <f>IF(H409="","",IFERROR(INDEX(art_unit,MATCH(H409,art_ref,0))&amp;"",""))</f>
        <v/>
      </c>
      <c r="K409" s="59" t="n"/>
      <c r="L409" s="59" t="n"/>
      <c r="M409" s="61" t="str">
        <f>IF(OR(B409="",NOT(ISNUMBER(K409)),NOT(ISNUMBER(L409))),"",IF(OR(K409&lt;=0,L409&lt;=0),"",ROUND(L409-K409,6)))</f>
        <v/>
      </c>
      <c r="N409" s="58" t="n"/>
      <c r="O409" s="62" t="n"/>
      <c r="P409" s="63" t="str">
        <f>IF(OR(B409="",NOT(ISNUMBER(L409))),"",IF(L409&lt;=0,"",IFERROR(ROUND(L409*N(INDEX(art_w,MATCH(H409,art_ref,0))),3),"")))</f>
        <v/>
      </c>
      <c r="Q409" s="59" t="n"/>
      <c r="R409" s="54" t="n"/>
      <c r="S409" s="59" t="n"/>
      <c r="T409" s="59" t="n"/>
      <c r="U409" s="64" t="str">
        <f>IF(OR(B409="",H409=""),"",IFERROR(IF(A409="BL",IF(N(INDEX(art_price,MATCH(H409,art_ref,0)))=0,"",N(INDEX(art_price,MATCH(H409,art_ref,0)))),IF(N(INDEX(art_cost,MATCH(H409,art_ref,0)))=0,"",N(INDEX(art_cost,MATCH(H409,art_ref,0))))),""))</f>
        <v/>
      </c>
      <c r="V409" s="64" t="str">
        <f>IF(OR(U409="",NOT(ISNUMBER(L409))),"",IF(L409&lt;=0,"",ROUND(L409*U409,2)))</f>
        <v/>
      </c>
      <c r="W409" s="60" t="str">
        <f>IF(AND(B409&lt;&gt;"",A409&lt;&gt;"BS",F409&lt;&gt;"",H409&lt;&gt;"",ISNUMBER(K409),ISNUMBER(L409)),IF(AND(K409&gt;0,L409&gt;0,K409-L409&gt;0,COUNTIFS(A410:A$2005,A409,F410:F$2005,F409,H410:H$2005,H409,AA410:AA$2005,"&gt;0")=0),ROUND(K409-L409,6),""),"")</f>
        <v/>
      </c>
      <c r="X409" s="60" t="str">
        <f>IF(AND(A409="",C409="",D409="",H409="",L409=""),"",IF(A409="","Type manquant",IF(AND(A409&lt;&gt;"BL",A409&lt;&gt;"BR",A409&lt;&gt;"BS"),"Type inconnu (BL, BR ou BS)",IF(AG409=0,"Date manquante ou invalide",IF(D409="",IF(A409="BL","Client manquant",IF(A409="BR","Fournisseur manquant","Service manquant")),IF(IF(A409="BL",ISNA(MATCH(D409,cl_code,0)),IF(A409="BR",ISNA(MATCH(D409,fo_code,0)),ISNA(MATCH(D409,p_services,0)))),IF(A409="BL","Client inconnu",IF(A409="BR","Fournisseur inconnu","Service inconnu")),IF(H409="","Article manquant",IF(ISNA(MATCH(H409,art_ref,0)),"Article inconnu",IF(OR(NOT(ISNUMBER(L409)),N(L409)&lt;=0),"Quantité invalide",IF(AND(K409&lt;&gt;"",OR(NOT(ISNUMBER(K409)),N(K409)&lt;=0)),"Qté commandée invalide",IF(AG409&lt;SUMPRODUCT(MAX((A$6:A408=A409)*AG$6:AG408)),"Date antérieure au bon précédent",IF(AND(A409&lt;&gt;"BR",ISNUMBER(M409),N(M409)&gt;0),IF(A409="BL","Livré plus que commandé","Sorti plus que demandé"),"OK"))))))))))))</f>
        <v/>
      </c>
      <c r="Y409" s="57" t="str">
        <f>IF(AND(OR(A409="BL",A409="BR",A409="BS"),AG409&gt;0,D409&lt;&gt;""),A409&amp;"|"&amp;AG409&amp;"|"&amp;D409&amp;"|"&amp;F409,"")</f>
        <v/>
      </c>
      <c r="Z409" s="57" t="str">
        <f>IF(Y409="","",IF(COUNTIF(Y$6:Y408,Y409)=0,1,0))</f>
        <v/>
      </c>
      <c r="AA409" s="57" t="str">
        <f>IF(Y409="","",IF(Z409=1,COUNTIFS(A$6:A409,A409,Z$6:Z409,1),INDEX(AA$6:AA408,MATCH(Y409,Y$6:Y408,0))))</f>
        <v/>
      </c>
      <c r="AB409" s="57" t="str">
        <f>IF(B409="","",COUNTIF(B$6:B409,B409))</f>
        <v/>
      </c>
      <c r="AC409" s="57" t="str">
        <f>IF(B409="","",B409&amp;"#"&amp;AB409)</f>
        <v/>
      </c>
      <c r="AD409" s="57" t="str">
        <f>IF(Z409=1,A409&amp;AA409,"")</f>
        <v/>
      </c>
      <c r="AE409" s="57" t="str">
        <f>IF(B409="","",YEAR(C409))</f>
        <v/>
      </c>
      <c r="AF409" s="57" t="str">
        <f>IF(B409="","",MONTH(C409))</f>
        <v/>
      </c>
      <c r="AG409" s="57">
        <f>IF(ISNUMBER(C409),C409,0)</f>
        <v>0.0</v>
      </c>
      <c r="AH409" s="57" t="str">
        <f>IF(N(W409)&gt;0,COUNTIF(W$6:W409,"&gt;0"),"")</f>
        <v/>
      </c>
      <c r="AI409" s="57" t="str">
        <f>IF(Z409=1,COUNTIF(Z$6:Z409,1),"")</f>
        <v/>
      </c>
    </row>
    <row r="410">
      <c r="A410" s="54" t="n"/>
      <c r="B410" s="55" t="str">
        <f>IF(AA410="","",A410&amp;"-"&amp;RIGHT("000"&amp;AA410,4))</f>
        <v/>
      </c>
      <c r="C410" s="56" t="n"/>
      <c r="D410" s="54" t="n"/>
      <c r="E410" s="57" t="str">
        <f>IF(D410="","",IF(A410="BL",IFERROR(INDEX(cl_name,MATCH(D410,cl_code,0))&amp;"","Client inconnu"),IF(A410="BR",IFERROR(INDEX(fo_name,MATCH(D410,fo_code,0))&amp;"","Fournisseur inconnu"),IF(A410="BS",IF(ISNA(MATCH(D410,p_services,0)),"Service inconnu",D410&amp;""),""))))</f>
        <v/>
      </c>
      <c r="F410" s="58" t="n"/>
      <c r="G410" s="58" t="n"/>
      <c r="H410" s="59" t="n"/>
      <c r="I410" s="57" t="str">
        <f>IF(H410="","",IFERROR(INDEX(art_des,MATCH(H410,art_ref,0))&amp;"","Article inconnu"))</f>
        <v/>
      </c>
      <c r="J410" s="60" t="str">
        <f>IF(H410="","",IFERROR(INDEX(art_unit,MATCH(H410,art_ref,0))&amp;"",""))</f>
        <v/>
      </c>
      <c r="K410" s="59" t="n"/>
      <c r="L410" s="59" t="n"/>
      <c r="M410" s="61" t="str">
        <f>IF(OR(B410="",NOT(ISNUMBER(K410)),NOT(ISNUMBER(L410))),"",IF(OR(K410&lt;=0,L410&lt;=0),"",ROUND(L410-K410,6)))</f>
        <v/>
      </c>
      <c r="N410" s="58" t="n"/>
      <c r="O410" s="62" t="n"/>
      <c r="P410" s="63" t="str">
        <f>IF(OR(B410="",NOT(ISNUMBER(L410))),"",IF(L410&lt;=0,"",IFERROR(ROUND(L410*N(INDEX(art_w,MATCH(H410,art_ref,0))),3),"")))</f>
        <v/>
      </c>
      <c r="Q410" s="59" t="n"/>
      <c r="R410" s="54" t="n"/>
      <c r="S410" s="59" t="n"/>
      <c r="T410" s="59" t="n"/>
      <c r="U410" s="64" t="str">
        <f>IF(OR(B410="",H410=""),"",IFERROR(IF(A410="BL",IF(N(INDEX(art_price,MATCH(H410,art_ref,0)))=0,"",N(INDEX(art_price,MATCH(H410,art_ref,0)))),IF(N(INDEX(art_cost,MATCH(H410,art_ref,0)))=0,"",N(INDEX(art_cost,MATCH(H410,art_ref,0))))),""))</f>
        <v/>
      </c>
      <c r="V410" s="64" t="str">
        <f>IF(OR(U410="",NOT(ISNUMBER(L410))),"",IF(L410&lt;=0,"",ROUND(L410*U410,2)))</f>
        <v/>
      </c>
      <c r="W410" s="60" t="str">
        <f>IF(AND(B410&lt;&gt;"",A410&lt;&gt;"BS",F410&lt;&gt;"",H410&lt;&gt;"",ISNUMBER(K410),ISNUMBER(L410)),IF(AND(K410&gt;0,L410&gt;0,K410-L410&gt;0,COUNTIFS(A411:A$2005,A410,F411:F$2005,F410,H411:H$2005,H410,AA411:AA$2005,"&gt;0")=0),ROUND(K410-L410,6),""),"")</f>
        <v/>
      </c>
      <c r="X410" s="60" t="str">
        <f>IF(AND(A410="",C410="",D410="",H410="",L410=""),"",IF(A410="","Type manquant",IF(AND(A410&lt;&gt;"BL",A410&lt;&gt;"BR",A410&lt;&gt;"BS"),"Type inconnu (BL, BR ou BS)",IF(AG410=0,"Date manquante ou invalide",IF(D410="",IF(A410="BL","Client manquant",IF(A410="BR","Fournisseur manquant","Service manquant")),IF(IF(A410="BL",ISNA(MATCH(D410,cl_code,0)),IF(A410="BR",ISNA(MATCH(D410,fo_code,0)),ISNA(MATCH(D410,p_services,0)))),IF(A410="BL","Client inconnu",IF(A410="BR","Fournisseur inconnu","Service inconnu")),IF(H410="","Article manquant",IF(ISNA(MATCH(H410,art_ref,0)),"Article inconnu",IF(OR(NOT(ISNUMBER(L410)),N(L410)&lt;=0),"Quantité invalide",IF(AND(K410&lt;&gt;"",OR(NOT(ISNUMBER(K410)),N(K410)&lt;=0)),"Qté commandée invalide",IF(AG410&lt;SUMPRODUCT(MAX((A$6:A409=A410)*AG$6:AG409)),"Date antérieure au bon précédent",IF(AND(A410&lt;&gt;"BR",ISNUMBER(M410),N(M410)&gt;0),IF(A410="BL","Livré plus que commandé","Sorti plus que demandé"),"OK"))))))))))))</f>
        <v/>
      </c>
      <c r="Y410" s="57" t="str">
        <f>IF(AND(OR(A410="BL",A410="BR",A410="BS"),AG410&gt;0,D410&lt;&gt;""),A410&amp;"|"&amp;AG410&amp;"|"&amp;D410&amp;"|"&amp;F410,"")</f>
        <v/>
      </c>
      <c r="Z410" s="57" t="str">
        <f>IF(Y410="","",IF(COUNTIF(Y$6:Y409,Y410)=0,1,0))</f>
        <v/>
      </c>
      <c r="AA410" s="57" t="str">
        <f>IF(Y410="","",IF(Z410=1,COUNTIFS(A$6:A410,A410,Z$6:Z410,1),INDEX(AA$6:AA409,MATCH(Y410,Y$6:Y409,0))))</f>
        <v/>
      </c>
      <c r="AB410" s="57" t="str">
        <f>IF(B410="","",COUNTIF(B$6:B410,B410))</f>
        <v/>
      </c>
      <c r="AC410" s="57" t="str">
        <f>IF(B410="","",B410&amp;"#"&amp;AB410)</f>
        <v/>
      </c>
      <c r="AD410" s="57" t="str">
        <f>IF(Z410=1,A410&amp;AA410,"")</f>
        <v/>
      </c>
      <c r="AE410" s="57" t="str">
        <f>IF(B410="","",YEAR(C410))</f>
        <v/>
      </c>
      <c r="AF410" s="57" t="str">
        <f>IF(B410="","",MONTH(C410))</f>
        <v/>
      </c>
      <c r="AG410" s="57">
        <f>IF(ISNUMBER(C410),C410,0)</f>
        <v>0.0</v>
      </c>
      <c r="AH410" s="57" t="str">
        <f>IF(N(W410)&gt;0,COUNTIF(W$6:W410,"&gt;0"),"")</f>
        <v/>
      </c>
      <c r="AI410" s="57" t="str">
        <f>IF(Z410=1,COUNTIF(Z$6:Z410,1),"")</f>
        <v/>
      </c>
    </row>
    <row r="411">
      <c r="A411" s="54" t="n"/>
      <c r="B411" s="55" t="str">
        <f>IF(AA411="","",A411&amp;"-"&amp;RIGHT("000"&amp;AA411,4))</f>
        <v/>
      </c>
      <c r="C411" s="56" t="n"/>
      <c r="D411" s="54" t="n"/>
      <c r="E411" s="57" t="str">
        <f>IF(D411="","",IF(A411="BL",IFERROR(INDEX(cl_name,MATCH(D411,cl_code,0))&amp;"","Client inconnu"),IF(A411="BR",IFERROR(INDEX(fo_name,MATCH(D411,fo_code,0))&amp;"","Fournisseur inconnu"),IF(A411="BS",IF(ISNA(MATCH(D411,p_services,0)),"Service inconnu",D411&amp;""),""))))</f>
        <v/>
      </c>
      <c r="F411" s="58" t="n"/>
      <c r="G411" s="58" t="n"/>
      <c r="H411" s="59" t="n"/>
      <c r="I411" s="57" t="str">
        <f>IF(H411="","",IFERROR(INDEX(art_des,MATCH(H411,art_ref,0))&amp;"","Article inconnu"))</f>
        <v/>
      </c>
      <c r="J411" s="60" t="str">
        <f>IF(H411="","",IFERROR(INDEX(art_unit,MATCH(H411,art_ref,0))&amp;"",""))</f>
        <v/>
      </c>
      <c r="K411" s="59" t="n"/>
      <c r="L411" s="59" t="n"/>
      <c r="M411" s="61" t="str">
        <f>IF(OR(B411="",NOT(ISNUMBER(K411)),NOT(ISNUMBER(L411))),"",IF(OR(K411&lt;=0,L411&lt;=0),"",ROUND(L411-K411,6)))</f>
        <v/>
      </c>
      <c r="N411" s="58" t="n"/>
      <c r="O411" s="62" t="n"/>
      <c r="P411" s="63" t="str">
        <f>IF(OR(B411="",NOT(ISNUMBER(L411))),"",IF(L411&lt;=0,"",IFERROR(ROUND(L411*N(INDEX(art_w,MATCH(H411,art_ref,0))),3),"")))</f>
        <v/>
      </c>
      <c r="Q411" s="59" t="n"/>
      <c r="R411" s="54" t="n"/>
      <c r="S411" s="59" t="n"/>
      <c r="T411" s="59" t="n"/>
      <c r="U411" s="64" t="str">
        <f>IF(OR(B411="",H411=""),"",IFERROR(IF(A411="BL",IF(N(INDEX(art_price,MATCH(H411,art_ref,0)))=0,"",N(INDEX(art_price,MATCH(H411,art_ref,0)))),IF(N(INDEX(art_cost,MATCH(H411,art_ref,0)))=0,"",N(INDEX(art_cost,MATCH(H411,art_ref,0))))),""))</f>
        <v/>
      </c>
      <c r="V411" s="64" t="str">
        <f>IF(OR(U411="",NOT(ISNUMBER(L411))),"",IF(L411&lt;=0,"",ROUND(L411*U411,2)))</f>
        <v/>
      </c>
      <c r="W411" s="60" t="str">
        <f>IF(AND(B411&lt;&gt;"",A411&lt;&gt;"BS",F411&lt;&gt;"",H411&lt;&gt;"",ISNUMBER(K411),ISNUMBER(L411)),IF(AND(K411&gt;0,L411&gt;0,K411-L411&gt;0,COUNTIFS(A412:A$2005,A411,F412:F$2005,F411,H412:H$2005,H411,AA412:AA$2005,"&gt;0")=0),ROUND(K411-L411,6),""),"")</f>
        <v/>
      </c>
      <c r="X411" s="60" t="str">
        <f>IF(AND(A411="",C411="",D411="",H411="",L411=""),"",IF(A411="","Type manquant",IF(AND(A411&lt;&gt;"BL",A411&lt;&gt;"BR",A411&lt;&gt;"BS"),"Type inconnu (BL, BR ou BS)",IF(AG411=0,"Date manquante ou invalide",IF(D411="",IF(A411="BL","Client manquant",IF(A411="BR","Fournisseur manquant","Service manquant")),IF(IF(A411="BL",ISNA(MATCH(D411,cl_code,0)),IF(A411="BR",ISNA(MATCH(D411,fo_code,0)),ISNA(MATCH(D411,p_services,0)))),IF(A411="BL","Client inconnu",IF(A411="BR","Fournisseur inconnu","Service inconnu")),IF(H411="","Article manquant",IF(ISNA(MATCH(H411,art_ref,0)),"Article inconnu",IF(OR(NOT(ISNUMBER(L411)),N(L411)&lt;=0),"Quantité invalide",IF(AND(K411&lt;&gt;"",OR(NOT(ISNUMBER(K411)),N(K411)&lt;=0)),"Qté commandée invalide",IF(AG411&lt;SUMPRODUCT(MAX((A$6:A410=A411)*AG$6:AG410)),"Date antérieure au bon précédent",IF(AND(A411&lt;&gt;"BR",ISNUMBER(M411),N(M411)&gt;0),IF(A411="BL","Livré plus que commandé","Sorti plus que demandé"),"OK"))))))))))))</f>
        <v/>
      </c>
      <c r="Y411" s="57" t="str">
        <f>IF(AND(OR(A411="BL",A411="BR",A411="BS"),AG411&gt;0,D411&lt;&gt;""),A411&amp;"|"&amp;AG411&amp;"|"&amp;D411&amp;"|"&amp;F411,"")</f>
        <v/>
      </c>
      <c r="Z411" s="57" t="str">
        <f>IF(Y411="","",IF(COUNTIF(Y$6:Y410,Y411)=0,1,0))</f>
        <v/>
      </c>
      <c r="AA411" s="57" t="str">
        <f>IF(Y411="","",IF(Z411=1,COUNTIFS(A$6:A411,A411,Z$6:Z411,1),INDEX(AA$6:AA410,MATCH(Y411,Y$6:Y410,0))))</f>
        <v/>
      </c>
      <c r="AB411" s="57" t="str">
        <f>IF(B411="","",COUNTIF(B$6:B411,B411))</f>
        <v/>
      </c>
      <c r="AC411" s="57" t="str">
        <f>IF(B411="","",B411&amp;"#"&amp;AB411)</f>
        <v/>
      </c>
      <c r="AD411" s="57" t="str">
        <f>IF(Z411=1,A411&amp;AA411,"")</f>
        <v/>
      </c>
      <c r="AE411" s="57" t="str">
        <f>IF(B411="","",YEAR(C411))</f>
        <v/>
      </c>
      <c r="AF411" s="57" t="str">
        <f>IF(B411="","",MONTH(C411))</f>
        <v/>
      </c>
      <c r="AG411" s="57">
        <f>IF(ISNUMBER(C411),C411,0)</f>
        <v>0.0</v>
      </c>
      <c r="AH411" s="57" t="str">
        <f>IF(N(W411)&gt;0,COUNTIF(W$6:W411,"&gt;0"),"")</f>
        <v/>
      </c>
      <c r="AI411" s="57" t="str">
        <f>IF(Z411=1,COUNTIF(Z$6:Z411,1),"")</f>
        <v/>
      </c>
    </row>
    <row r="412">
      <c r="A412" s="54" t="n"/>
      <c r="B412" s="55" t="str">
        <f>IF(AA412="","",A412&amp;"-"&amp;RIGHT("000"&amp;AA412,4))</f>
        <v/>
      </c>
      <c r="C412" s="56" t="n"/>
      <c r="D412" s="54" t="n"/>
      <c r="E412" s="57" t="str">
        <f>IF(D412="","",IF(A412="BL",IFERROR(INDEX(cl_name,MATCH(D412,cl_code,0))&amp;"","Client inconnu"),IF(A412="BR",IFERROR(INDEX(fo_name,MATCH(D412,fo_code,0))&amp;"","Fournisseur inconnu"),IF(A412="BS",IF(ISNA(MATCH(D412,p_services,0)),"Service inconnu",D412&amp;""),""))))</f>
        <v/>
      </c>
      <c r="F412" s="58" t="n"/>
      <c r="G412" s="58" t="n"/>
      <c r="H412" s="59" t="n"/>
      <c r="I412" s="57" t="str">
        <f>IF(H412="","",IFERROR(INDEX(art_des,MATCH(H412,art_ref,0))&amp;"","Article inconnu"))</f>
        <v/>
      </c>
      <c r="J412" s="60" t="str">
        <f>IF(H412="","",IFERROR(INDEX(art_unit,MATCH(H412,art_ref,0))&amp;"",""))</f>
        <v/>
      </c>
      <c r="K412" s="59" t="n"/>
      <c r="L412" s="59" t="n"/>
      <c r="M412" s="61" t="str">
        <f>IF(OR(B412="",NOT(ISNUMBER(K412)),NOT(ISNUMBER(L412))),"",IF(OR(K412&lt;=0,L412&lt;=0),"",ROUND(L412-K412,6)))</f>
        <v/>
      </c>
      <c r="N412" s="58" t="n"/>
      <c r="O412" s="62" t="n"/>
      <c r="P412" s="63" t="str">
        <f>IF(OR(B412="",NOT(ISNUMBER(L412))),"",IF(L412&lt;=0,"",IFERROR(ROUND(L412*N(INDEX(art_w,MATCH(H412,art_ref,0))),3),"")))</f>
        <v/>
      </c>
      <c r="Q412" s="59" t="n"/>
      <c r="R412" s="54" t="n"/>
      <c r="S412" s="59" t="n"/>
      <c r="T412" s="59" t="n"/>
      <c r="U412" s="64" t="str">
        <f>IF(OR(B412="",H412=""),"",IFERROR(IF(A412="BL",IF(N(INDEX(art_price,MATCH(H412,art_ref,0)))=0,"",N(INDEX(art_price,MATCH(H412,art_ref,0)))),IF(N(INDEX(art_cost,MATCH(H412,art_ref,0)))=0,"",N(INDEX(art_cost,MATCH(H412,art_ref,0))))),""))</f>
        <v/>
      </c>
      <c r="V412" s="64" t="str">
        <f>IF(OR(U412="",NOT(ISNUMBER(L412))),"",IF(L412&lt;=0,"",ROUND(L412*U412,2)))</f>
        <v/>
      </c>
      <c r="W412" s="60" t="str">
        <f>IF(AND(B412&lt;&gt;"",A412&lt;&gt;"BS",F412&lt;&gt;"",H412&lt;&gt;"",ISNUMBER(K412),ISNUMBER(L412)),IF(AND(K412&gt;0,L412&gt;0,K412-L412&gt;0,COUNTIFS(A413:A$2005,A412,F413:F$2005,F412,H413:H$2005,H412,AA413:AA$2005,"&gt;0")=0),ROUND(K412-L412,6),""),"")</f>
        <v/>
      </c>
      <c r="X412" s="60" t="str">
        <f>IF(AND(A412="",C412="",D412="",H412="",L412=""),"",IF(A412="","Type manquant",IF(AND(A412&lt;&gt;"BL",A412&lt;&gt;"BR",A412&lt;&gt;"BS"),"Type inconnu (BL, BR ou BS)",IF(AG412=0,"Date manquante ou invalide",IF(D412="",IF(A412="BL","Client manquant",IF(A412="BR","Fournisseur manquant","Service manquant")),IF(IF(A412="BL",ISNA(MATCH(D412,cl_code,0)),IF(A412="BR",ISNA(MATCH(D412,fo_code,0)),ISNA(MATCH(D412,p_services,0)))),IF(A412="BL","Client inconnu",IF(A412="BR","Fournisseur inconnu","Service inconnu")),IF(H412="","Article manquant",IF(ISNA(MATCH(H412,art_ref,0)),"Article inconnu",IF(OR(NOT(ISNUMBER(L412)),N(L412)&lt;=0),"Quantité invalide",IF(AND(K412&lt;&gt;"",OR(NOT(ISNUMBER(K412)),N(K412)&lt;=0)),"Qté commandée invalide",IF(AG412&lt;SUMPRODUCT(MAX((A$6:A411=A412)*AG$6:AG411)),"Date antérieure au bon précédent",IF(AND(A412&lt;&gt;"BR",ISNUMBER(M412),N(M412)&gt;0),IF(A412="BL","Livré plus que commandé","Sorti plus que demandé"),"OK"))))))))))))</f>
        <v/>
      </c>
      <c r="Y412" s="57" t="str">
        <f>IF(AND(OR(A412="BL",A412="BR",A412="BS"),AG412&gt;0,D412&lt;&gt;""),A412&amp;"|"&amp;AG412&amp;"|"&amp;D412&amp;"|"&amp;F412,"")</f>
        <v/>
      </c>
      <c r="Z412" s="57" t="str">
        <f>IF(Y412="","",IF(COUNTIF(Y$6:Y411,Y412)=0,1,0))</f>
        <v/>
      </c>
      <c r="AA412" s="57" t="str">
        <f>IF(Y412="","",IF(Z412=1,COUNTIFS(A$6:A412,A412,Z$6:Z412,1),INDEX(AA$6:AA411,MATCH(Y412,Y$6:Y411,0))))</f>
        <v/>
      </c>
      <c r="AB412" s="57" t="str">
        <f>IF(B412="","",COUNTIF(B$6:B412,B412))</f>
        <v/>
      </c>
      <c r="AC412" s="57" t="str">
        <f>IF(B412="","",B412&amp;"#"&amp;AB412)</f>
        <v/>
      </c>
      <c r="AD412" s="57" t="str">
        <f>IF(Z412=1,A412&amp;AA412,"")</f>
        <v/>
      </c>
      <c r="AE412" s="57" t="str">
        <f>IF(B412="","",YEAR(C412))</f>
        <v/>
      </c>
      <c r="AF412" s="57" t="str">
        <f>IF(B412="","",MONTH(C412))</f>
        <v/>
      </c>
      <c r="AG412" s="57">
        <f>IF(ISNUMBER(C412),C412,0)</f>
        <v>0.0</v>
      </c>
      <c r="AH412" s="57" t="str">
        <f>IF(N(W412)&gt;0,COUNTIF(W$6:W412,"&gt;0"),"")</f>
        <v/>
      </c>
      <c r="AI412" s="57" t="str">
        <f>IF(Z412=1,COUNTIF(Z$6:Z412,1),"")</f>
        <v/>
      </c>
    </row>
    <row r="413">
      <c r="A413" s="54" t="n"/>
      <c r="B413" s="55" t="str">
        <f>IF(AA413="","",A413&amp;"-"&amp;RIGHT("000"&amp;AA413,4))</f>
        <v/>
      </c>
      <c r="C413" s="56" t="n"/>
      <c r="D413" s="54" t="n"/>
      <c r="E413" s="57" t="str">
        <f>IF(D413="","",IF(A413="BL",IFERROR(INDEX(cl_name,MATCH(D413,cl_code,0))&amp;"","Client inconnu"),IF(A413="BR",IFERROR(INDEX(fo_name,MATCH(D413,fo_code,0))&amp;"","Fournisseur inconnu"),IF(A413="BS",IF(ISNA(MATCH(D413,p_services,0)),"Service inconnu",D413&amp;""),""))))</f>
        <v/>
      </c>
      <c r="F413" s="58" t="n"/>
      <c r="G413" s="58" t="n"/>
      <c r="H413" s="59" t="n"/>
      <c r="I413" s="57" t="str">
        <f>IF(H413="","",IFERROR(INDEX(art_des,MATCH(H413,art_ref,0))&amp;"","Article inconnu"))</f>
        <v/>
      </c>
      <c r="J413" s="60" t="str">
        <f>IF(H413="","",IFERROR(INDEX(art_unit,MATCH(H413,art_ref,0))&amp;"",""))</f>
        <v/>
      </c>
      <c r="K413" s="59" t="n"/>
      <c r="L413" s="59" t="n"/>
      <c r="M413" s="61" t="str">
        <f>IF(OR(B413="",NOT(ISNUMBER(K413)),NOT(ISNUMBER(L413))),"",IF(OR(K413&lt;=0,L413&lt;=0),"",ROUND(L413-K413,6)))</f>
        <v/>
      </c>
      <c r="N413" s="58" t="n"/>
      <c r="O413" s="62" t="n"/>
      <c r="P413" s="63" t="str">
        <f>IF(OR(B413="",NOT(ISNUMBER(L413))),"",IF(L413&lt;=0,"",IFERROR(ROUND(L413*N(INDEX(art_w,MATCH(H413,art_ref,0))),3),"")))</f>
        <v/>
      </c>
      <c r="Q413" s="59" t="n"/>
      <c r="R413" s="54" t="n"/>
      <c r="S413" s="59" t="n"/>
      <c r="T413" s="59" t="n"/>
      <c r="U413" s="64" t="str">
        <f>IF(OR(B413="",H413=""),"",IFERROR(IF(A413="BL",IF(N(INDEX(art_price,MATCH(H413,art_ref,0)))=0,"",N(INDEX(art_price,MATCH(H413,art_ref,0)))),IF(N(INDEX(art_cost,MATCH(H413,art_ref,0)))=0,"",N(INDEX(art_cost,MATCH(H413,art_ref,0))))),""))</f>
        <v/>
      </c>
      <c r="V413" s="64" t="str">
        <f>IF(OR(U413="",NOT(ISNUMBER(L413))),"",IF(L413&lt;=0,"",ROUND(L413*U413,2)))</f>
        <v/>
      </c>
      <c r="W413" s="60" t="str">
        <f>IF(AND(B413&lt;&gt;"",A413&lt;&gt;"BS",F413&lt;&gt;"",H413&lt;&gt;"",ISNUMBER(K413),ISNUMBER(L413)),IF(AND(K413&gt;0,L413&gt;0,K413-L413&gt;0,COUNTIFS(A414:A$2005,A413,F414:F$2005,F413,H414:H$2005,H413,AA414:AA$2005,"&gt;0")=0),ROUND(K413-L413,6),""),"")</f>
        <v/>
      </c>
      <c r="X413" s="60" t="str">
        <f>IF(AND(A413="",C413="",D413="",H413="",L413=""),"",IF(A413="","Type manquant",IF(AND(A413&lt;&gt;"BL",A413&lt;&gt;"BR",A413&lt;&gt;"BS"),"Type inconnu (BL, BR ou BS)",IF(AG413=0,"Date manquante ou invalide",IF(D413="",IF(A413="BL","Client manquant",IF(A413="BR","Fournisseur manquant","Service manquant")),IF(IF(A413="BL",ISNA(MATCH(D413,cl_code,0)),IF(A413="BR",ISNA(MATCH(D413,fo_code,0)),ISNA(MATCH(D413,p_services,0)))),IF(A413="BL","Client inconnu",IF(A413="BR","Fournisseur inconnu","Service inconnu")),IF(H413="","Article manquant",IF(ISNA(MATCH(H413,art_ref,0)),"Article inconnu",IF(OR(NOT(ISNUMBER(L413)),N(L413)&lt;=0),"Quantité invalide",IF(AND(K413&lt;&gt;"",OR(NOT(ISNUMBER(K413)),N(K413)&lt;=0)),"Qté commandée invalide",IF(AG413&lt;SUMPRODUCT(MAX((A$6:A412=A413)*AG$6:AG412)),"Date antérieure au bon précédent",IF(AND(A413&lt;&gt;"BR",ISNUMBER(M413),N(M413)&gt;0),IF(A413="BL","Livré plus que commandé","Sorti plus que demandé"),"OK"))))))))))))</f>
        <v/>
      </c>
      <c r="Y413" s="57" t="str">
        <f>IF(AND(OR(A413="BL",A413="BR",A413="BS"),AG413&gt;0,D413&lt;&gt;""),A413&amp;"|"&amp;AG413&amp;"|"&amp;D413&amp;"|"&amp;F413,"")</f>
        <v/>
      </c>
      <c r="Z413" s="57" t="str">
        <f>IF(Y413="","",IF(COUNTIF(Y$6:Y412,Y413)=0,1,0))</f>
        <v/>
      </c>
      <c r="AA413" s="57" t="str">
        <f>IF(Y413="","",IF(Z413=1,COUNTIFS(A$6:A413,A413,Z$6:Z413,1),INDEX(AA$6:AA412,MATCH(Y413,Y$6:Y412,0))))</f>
        <v/>
      </c>
      <c r="AB413" s="57" t="str">
        <f>IF(B413="","",COUNTIF(B$6:B413,B413))</f>
        <v/>
      </c>
      <c r="AC413" s="57" t="str">
        <f>IF(B413="","",B413&amp;"#"&amp;AB413)</f>
        <v/>
      </c>
      <c r="AD413" s="57" t="str">
        <f>IF(Z413=1,A413&amp;AA413,"")</f>
        <v/>
      </c>
      <c r="AE413" s="57" t="str">
        <f>IF(B413="","",YEAR(C413))</f>
        <v/>
      </c>
      <c r="AF413" s="57" t="str">
        <f>IF(B413="","",MONTH(C413))</f>
        <v/>
      </c>
      <c r="AG413" s="57">
        <f>IF(ISNUMBER(C413),C413,0)</f>
        <v>0.0</v>
      </c>
      <c r="AH413" s="57" t="str">
        <f>IF(N(W413)&gt;0,COUNTIF(W$6:W413,"&gt;0"),"")</f>
        <v/>
      </c>
      <c r="AI413" s="57" t="str">
        <f>IF(Z413=1,COUNTIF(Z$6:Z413,1),"")</f>
        <v/>
      </c>
    </row>
    <row r="414">
      <c r="A414" s="54" t="n"/>
      <c r="B414" s="55" t="str">
        <f>IF(AA414="","",A414&amp;"-"&amp;RIGHT("000"&amp;AA414,4))</f>
        <v/>
      </c>
      <c r="C414" s="56" t="n"/>
      <c r="D414" s="54" t="n"/>
      <c r="E414" s="57" t="str">
        <f>IF(D414="","",IF(A414="BL",IFERROR(INDEX(cl_name,MATCH(D414,cl_code,0))&amp;"","Client inconnu"),IF(A414="BR",IFERROR(INDEX(fo_name,MATCH(D414,fo_code,0))&amp;"","Fournisseur inconnu"),IF(A414="BS",IF(ISNA(MATCH(D414,p_services,0)),"Service inconnu",D414&amp;""),""))))</f>
        <v/>
      </c>
      <c r="F414" s="58" t="n"/>
      <c r="G414" s="58" t="n"/>
      <c r="H414" s="59" t="n"/>
      <c r="I414" s="57" t="str">
        <f>IF(H414="","",IFERROR(INDEX(art_des,MATCH(H414,art_ref,0))&amp;"","Article inconnu"))</f>
        <v/>
      </c>
      <c r="J414" s="60" t="str">
        <f>IF(H414="","",IFERROR(INDEX(art_unit,MATCH(H414,art_ref,0))&amp;"",""))</f>
        <v/>
      </c>
      <c r="K414" s="59" t="n"/>
      <c r="L414" s="59" t="n"/>
      <c r="M414" s="61" t="str">
        <f>IF(OR(B414="",NOT(ISNUMBER(K414)),NOT(ISNUMBER(L414))),"",IF(OR(K414&lt;=0,L414&lt;=0),"",ROUND(L414-K414,6)))</f>
        <v/>
      </c>
      <c r="N414" s="58" t="n"/>
      <c r="O414" s="62" t="n"/>
      <c r="P414" s="63" t="str">
        <f>IF(OR(B414="",NOT(ISNUMBER(L414))),"",IF(L414&lt;=0,"",IFERROR(ROUND(L414*N(INDEX(art_w,MATCH(H414,art_ref,0))),3),"")))</f>
        <v/>
      </c>
      <c r="Q414" s="59" t="n"/>
      <c r="R414" s="54" t="n"/>
      <c r="S414" s="59" t="n"/>
      <c r="T414" s="59" t="n"/>
      <c r="U414" s="64" t="str">
        <f>IF(OR(B414="",H414=""),"",IFERROR(IF(A414="BL",IF(N(INDEX(art_price,MATCH(H414,art_ref,0)))=0,"",N(INDEX(art_price,MATCH(H414,art_ref,0)))),IF(N(INDEX(art_cost,MATCH(H414,art_ref,0)))=0,"",N(INDEX(art_cost,MATCH(H414,art_ref,0))))),""))</f>
        <v/>
      </c>
      <c r="V414" s="64" t="str">
        <f>IF(OR(U414="",NOT(ISNUMBER(L414))),"",IF(L414&lt;=0,"",ROUND(L414*U414,2)))</f>
        <v/>
      </c>
      <c r="W414" s="60" t="str">
        <f>IF(AND(B414&lt;&gt;"",A414&lt;&gt;"BS",F414&lt;&gt;"",H414&lt;&gt;"",ISNUMBER(K414),ISNUMBER(L414)),IF(AND(K414&gt;0,L414&gt;0,K414-L414&gt;0,COUNTIFS(A415:A$2005,A414,F415:F$2005,F414,H415:H$2005,H414,AA415:AA$2005,"&gt;0")=0),ROUND(K414-L414,6),""),"")</f>
        <v/>
      </c>
      <c r="X414" s="60" t="str">
        <f>IF(AND(A414="",C414="",D414="",H414="",L414=""),"",IF(A414="","Type manquant",IF(AND(A414&lt;&gt;"BL",A414&lt;&gt;"BR",A414&lt;&gt;"BS"),"Type inconnu (BL, BR ou BS)",IF(AG414=0,"Date manquante ou invalide",IF(D414="",IF(A414="BL","Client manquant",IF(A414="BR","Fournisseur manquant","Service manquant")),IF(IF(A414="BL",ISNA(MATCH(D414,cl_code,0)),IF(A414="BR",ISNA(MATCH(D414,fo_code,0)),ISNA(MATCH(D414,p_services,0)))),IF(A414="BL","Client inconnu",IF(A414="BR","Fournisseur inconnu","Service inconnu")),IF(H414="","Article manquant",IF(ISNA(MATCH(H414,art_ref,0)),"Article inconnu",IF(OR(NOT(ISNUMBER(L414)),N(L414)&lt;=0),"Quantité invalide",IF(AND(K414&lt;&gt;"",OR(NOT(ISNUMBER(K414)),N(K414)&lt;=0)),"Qté commandée invalide",IF(AG414&lt;SUMPRODUCT(MAX((A$6:A413=A414)*AG$6:AG413)),"Date antérieure au bon précédent",IF(AND(A414&lt;&gt;"BR",ISNUMBER(M414),N(M414)&gt;0),IF(A414="BL","Livré plus que commandé","Sorti plus que demandé"),"OK"))))))))))))</f>
        <v/>
      </c>
      <c r="Y414" s="57" t="str">
        <f>IF(AND(OR(A414="BL",A414="BR",A414="BS"),AG414&gt;0,D414&lt;&gt;""),A414&amp;"|"&amp;AG414&amp;"|"&amp;D414&amp;"|"&amp;F414,"")</f>
        <v/>
      </c>
      <c r="Z414" s="57" t="str">
        <f>IF(Y414="","",IF(COUNTIF(Y$6:Y413,Y414)=0,1,0))</f>
        <v/>
      </c>
      <c r="AA414" s="57" t="str">
        <f>IF(Y414="","",IF(Z414=1,COUNTIFS(A$6:A414,A414,Z$6:Z414,1),INDEX(AA$6:AA413,MATCH(Y414,Y$6:Y413,0))))</f>
        <v/>
      </c>
      <c r="AB414" s="57" t="str">
        <f>IF(B414="","",COUNTIF(B$6:B414,B414))</f>
        <v/>
      </c>
      <c r="AC414" s="57" t="str">
        <f>IF(B414="","",B414&amp;"#"&amp;AB414)</f>
        <v/>
      </c>
      <c r="AD414" s="57" t="str">
        <f>IF(Z414=1,A414&amp;AA414,"")</f>
        <v/>
      </c>
      <c r="AE414" s="57" t="str">
        <f>IF(B414="","",YEAR(C414))</f>
        <v/>
      </c>
      <c r="AF414" s="57" t="str">
        <f>IF(B414="","",MONTH(C414))</f>
        <v/>
      </c>
      <c r="AG414" s="57">
        <f>IF(ISNUMBER(C414),C414,0)</f>
        <v>0.0</v>
      </c>
      <c r="AH414" s="57" t="str">
        <f>IF(N(W414)&gt;0,COUNTIF(W$6:W414,"&gt;0"),"")</f>
        <v/>
      </c>
      <c r="AI414" s="57" t="str">
        <f>IF(Z414=1,COUNTIF(Z$6:Z414,1),"")</f>
        <v/>
      </c>
    </row>
    <row r="415">
      <c r="A415" s="54" t="n"/>
      <c r="B415" s="55" t="str">
        <f>IF(AA415="","",A415&amp;"-"&amp;RIGHT("000"&amp;AA415,4))</f>
        <v/>
      </c>
      <c r="C415" s="56" t="n"/>
      <c r="D415" s="54" t="n"/>
      <c r="E415" s="57" t="str">
        <f>IF(D415="","",IF(A415="BL",IFERROR(INDEX(cl_name,MATCH(D415,cl_code,0))&amp;"","Client inconnu"),IF(A415="BR",IFERROR(INDEX(fo_name,MATCH(D415,fo_code,0))&amp;"","Fournisseur inconnu"),IF(A415="BS",IF(ISNA(MATCH(D415,p_services,0)),"Service inconnu",D415&amp;""),""))))</f>
        <v/>
      </c>
      <c r="F415" s="58" t="n"/>
      <c r="G415" s="58" t="n"/>
      <c r="H415" s="59" t="n"/>
      <c r="I415" s="57" t="str">
        <f>IF(H415="","",IFERROR(INDEX(art_des,MATCH(H415,art_ref,0))&amp;"","Article inconnu"))</f>
        <v/>
      </c>
      <c r="J415" s="60" t="str">
        <f>IF(H415="","",IFERROR(INDEX(art_unit,MATCH(H415,art_ref,0))&amp;"",""))</f>
        <v/>
      </c>
      <c r="K415" s="59" t="n"/>
      <c r="L415" s="59" t="n"/>
      <c r="M415" s="61" t="str">
        <f>IF(OR(B415="",NOT(ISNUMBER(K415)),NOT(ISNUMBER(L415))),"",IF(OR(K415&lt;=0,L415&lt;=0),"",ROUND(L415-K415,6)))</f>
        <v/>
      </c>
      <c r="N415" s="58" t="n"/>
      <c r="O415" s="62" t="n"/>
      <c r="P415" s="63" t="str">
        <f>IF(OR(B415="",NOT(ISNUMBER(L415))),"",IF(L415&lt;=0,"",IFERROR(ROUND(L415*N(INDEX(art_w,MATCH(H415,art_ref,0))),3),"")))</f>
        <v/>
      </c>
      <c r="Q415" s="59" t="n"/>
      <c r="R415" s="54" t="n"/>
      <c r="S415" s="59" t="n"/>
      <c r="T415" s="59" t="n"/>
      <c r="U415" s="64" t="str">
        <f>IF(OR(B415="",H415=""),"",IFERROR(IF(A415="BL",IF(N(INDEX(art_price,MATCH(H415,art_ref,0)))=0,"",N(INDEX(art_price,MATCH(H415,art_ref,0)))),IF(N(INDEX(art_cost,MATCH(H415,art_ref,0)))=0,"",N(INDEX(art_cost,MATCH(H415,art_ref,0))))),""))</f>
        <v/>
      </c>
      <c r="V415" s="64" t="str">
        <f>IF(OR(U415="",NOT(ISNUMBER(L415))),"",IF(L415&lt;=0,"",ROUND(L415*U415,2)))</f>
        <v/>
      </c>
      <c r="W415" s="60" t="str">
        <f>IF(AND(B415&lt;&gt;"",A415&lt;&gt;"BS",F415&lt;&gt;"",H415&lt;&gt;"",ISNUMBER(K415),ISNUMBER(L415)),IF(AND(K415&gt;0,L415&gt;0,K415-L415&gt;0,COUNTIFS(A416:A$2005,A415,F416:F$2005,F415,H416:H$2005,H415,AA416:AA$2005,"&gt;0")=0),ROUND(K415-L415,6),""),"")</f>
        <v/>
      </c>
      <c r="X415" s="60" t="str">
        <f>IF(AND(A415="",C415="",D415="",H415="",L415=""),"",IF(A415="","Type manquant",IF(AND(A415&lt;&gt;"BL",A415&lt;&gt;"BR",A415&lt;&gt;"BS"),"Type inconnu (BL, BR ou BS)",IF(AG415=0,"Date manquante ou invalide",IF(D415="",IF(A415="BL","Client manquant",IF(A415="BR","Fournisseur manquant","Service manquant")),IF(IF(A415="BL",ISNA(MATCH(D415,cl_code,0)),IF(A415="BR",ISNA(MATCH(D415,fo_code,0)),ISNA(MATCH(D415,p_services,0)))),IF(A415="BL","Client inconnu",IF(A415="BR","Fournisseur inconnu","Service inconnu")),IF(H415="","Article manquant",IF(ISNA(MATCH(H415,art_ref,0)),"Article inconnu",IF(OR(NOT(ISNUMBER(L415)),N(L415)&lt;=0),"Quantité invalide",IF(AND(K415&lt;&gt;"",OR(NOT(ISNUMBER(K415)),N(K415)&lt;=0)),"Qté commandée invalide",IF(AG415&lt;SUMPRODUCT(MAX((A$6:A414=A415)*AG$6:AG414)),"Date antérieure au bon précédent",IF(AND(A415&lt;&gt;"BR",ISNUMBER(M415),N(M415)&gt;0),IF(A415="BL","Livré plus que commandé","Sorti plus que demandé"),"OK"))))))))))))</f>
        <v/>
      </c>
      <c r="Y415" s="57" t="str">
        <f>IF(AND(OR(A415="BL",A415="BR",A415="BS"),AG415&gt;0,D415&lt;&gt;""),A415&amp;"|"&amp;AG415&amp;"|"&amp;D415&amp;"|"&amp;F415,"")</f>
        <v/>
      </c>
      <c r="Z415" s="57" t="str">
        <f>IF(Y415="","",IF(COUNTIF(Y$6:Y414,Y415)=0,1,0))</f>
        <v/>
      </c>
      <c r="AA415" s="57" t="str">
        <f>IF(Y415="","",IF(Z415=1,COUNTIFS(A$6:A415,A415,Z$6:Z415,1),INDEX(AA$6:AA414,MATCH(Y415,Y$6:Y414,0))))</f>
        <v/>
      </c>
      <c r="AB415" s="57" t="str">
        <f>IF(B415="","",COUNTIF(B$6:B415,B415))</f>
        <v/>
      </c>
      <c r="AC415" s="57" t="str">
        <f>IF(B415="","",B415&amp;"#"&amp;AB415)</f>
        <v/>
      </c>
      <c r="AD415" s="57" t="str">
        <f>IF(Z415=1,A415&amp;AA415,"")</f>
        <v/>
      </c>
      <c r="AE415" s="57" t="str">
        <f>IF(B415="","",YEAR(C415))</f>
        <v/>
      </c>
      <c r="AF415" s="57" t="str">
        <f>IF(B415="","",MONTH(C415))</f>
        <v/>
      </c>
      <c r="AG415" s="57">
        <f>IF(ISNUMBER(C415),C415,0)</f>
        <v>0.0</v>
      </c>
      <c r="AH415" s="57" t="str">
        <f>IF(N(W415)&gt;0,COUNTIF(W$6:W415,"&gt;0"),"")</f>
        <v/>
      </c>
      <c r="AI415" s="57" t="str">
        <f>IF(Z415=1,COUNTIF(Z$6:Z415,1),"")</f>
        <v/>
      </c>
    </row>
    <row r="416">
      <c r="A416" s="54" t="n"/>
      <c r="B416" s="55" t="str">
        <f>IF(AA416="","",A416&amp;"-"&amp;RIGHT("000"&amp;AA416,4))</f>
        <v/>
      </c>
      <c r="C416" s="56" t="n"/>
      <c r="D416" s="54" t="n"/>
      <c r="E416" s="57" t="str">
        <f>IF(D416="","",IF(A416="BL",IFERROR(INDEX(cl_name,MATCH(D416,cl_code,0))&amp;"","Client inconnu"),IF(A416="BR",IFERROR(INDEX(fo_name,MATCH(D416,fo_code,0))&amp;"","Fournisseur inconnu"),IF(A416="BS",IF(ISNA(MATCH(D416,p_services,0)),"Service inconnu",D416&amp;""),""))))</f>
        <v/>
      </c>
      <c r="F416" s="58" t="n"/>
      <c r="G416" s="58" t="n"/>
      <c r="H416" s="59" t="n"/>
      <c r="I416" s="57" t="str">
        <f>IF(H416="","",IFERROR(INDEX(art_des,MATCH(H416,art_ref,0))&amp;"","Article inconnu"))</f>
        <v/>
      </c>
      <c r="J416" s="60" t="str">
        <f>IF(H416="","",IFERROR(INDEX(art_unit,MATCH(H416,art_ref,0))&amp;"",""))</f>
        <v/>
      </c>
      <c r="K416" s="59" t="n"/>
      <c r="L416" s="59" t="n"/>
      <c r="M416" s="61" t="str">
        <f>IF(OR(B416="",NOT(ISNUMBER(K416)),NOT(ISNUMBER(L416))),"",IF(OR(K416&lt;=0,L416&lt;=0),"",ROUND(L416-K416,6)))</f>
        <v/>
      </c>
      <c r="N416" s="58" t="n"/>
      <c r="O416" s="62" t="n"/>
      <c r="P416" s="63" t="str">
        <f>IF(OR(B416="",NOT(ISNUMBER(L416))),"",IF(L416&lt;=0,"",IFERROR(ROUND(L416*N(INDEX(art_w,MATCH(H416,art_ref,0))),3),"")))</f>
        <v/>
      </c>
      <c r="Q416" s="59" t="n"/>
      <c r="R416" s="54" t="n"/>
      <c r="S416" s="59" t="n"/>
      <c r="T416" s="59" t="n"/>
      <c r="U416" s="64" t="str">
        <f>IF(OR(B416="",H416=""),"",IFERROR(IF(A416="BL",IF(N(INDEX(art_price,MATCH(H416,art_ref,0)))=0,"",N(INDEX(art_price,MATCH(H416,art_ref,0)))),IF(N(INDEX(art_cost,MATCH(H416,art_ref,0)))=0,"",N(INDEX(art_cost,MATCH(H416,art_ref,0))))),""))</f>
        <v/>
      </c>
      <c r="V416" s="64" t="str">
        <f>IF(OR(U416="",NOT(ISNUMBER(L416))),"",IF(L416&lt;=0,"",ROUND(L416*U416,2)))</f>
        <v/>
      </c>
      <c r="W416" s="60" t="str">
        <f>IF(AND(B416&lt;&gt;"",A416&lt;&gt;"BS",F416&lt;&gt;"",H416&lt;&gt;"",ISNUMBER(K416),ISNUMBER(L416)),IF(AND(K416&gt;0,L416&gt;0,K416-L416&gt;0,COUNTIFS(A417:A$2005,A416,F417:F$2005,F416,H417:H$2005,H416,AA417:AA$2005,"&gt;0")=0),ROUND(K416-L416,6),""),"")</f>
        <v/>
      </c>
      <c r="X416" s="60" t="str">
        <f>IF(AND(A416="",C416="",D416="",H416="",L416=""),"",IF(A416="","Type manquant",IF(AND(A416&lt;&gt;"BL",A416&lt;&gt;"BR",A416&lt;&gt;"BS"),"Type inconnu (BL, BR ou BS)",IF(AG416=0,"Date manquante ou invalide",IF(D416="",IF(A416="BL","Client manquant",IF(A416="BR","Fournisseur manquant","Service manquant")),IF(IF(A416="BL",ISNA(MATCH(D416,cl_code,0)),IF(A416="BR",ISNA(MATCH(D416,fo_code,0)),ISNA(MATCH(D416,p_services,0)))),IF(A416="BL","Client inconnu",IF(A416="BR","Fournisseur inconnu","Service inconnu")),IF(H416="","Article manquant",IF(ISNA(MATCH(H416,art_ref,0)),"Article inconnu",IF(OR(NOT(ISNUMBER(L416)),N(L416)&lt;=0),"Quantité invalide",IF(AND(K416&lt;&gt;"",OR(NOT(ISNUMBER(K416)),N(K416)&lt;=0)),"Qté commandée invalide",IF(AG416&lt;SUMPRODUCT(MAX((A$6:A415=A416)*AG$6:AG415)),"Date antérieure au bon précédent",IF(AND(A416&lt;&gt;"BR",ISNUMBER(M416),N(M416)&gt;0),IF(A416="BL","Livré plus que commandé","Sorti plus que demandé"),"OK"))))))))))))</f>
        <v/>
      </c>
      <c r="Y416" s="57" t="str">
        <f>IF(AND(OR(A416="BL",A416="BR",A416="BS"),AG416&gt;0,D416&lt;&gt;""),A416&amp;"|"&amp;AG416&amp;"|"&amp;D416&amp;"|"&amp;F416,"")</f>
        <v/>
      </c>
      <c r="Z416" s="57" t="str">
        <f>IF(Y416="","",IF(COUNTIF(Y$6:Y415,Y416)=0,1,0))</f>
        <v/>
      </c>
      <c r="AA416" s="57" t="str">
        <f>IF(Y416="","",IF(Z416=1,COUNTIFS(A$6:A416,A416,Z$6:Z416,1),INDEX(AA$6:AA415,MATCH(Y416,Y$6:Y415,0))))</f>
        <v/>
      </c>
      <c r="AB416" s="57" t="str">
        <f>IF(B416="","",COUNTIF(B$6:B416,B416))</f>
        <v/>
      </c>
      <c r="AC416" s="57" t="str">
        <f>IF(B416="","",B416&amp;"#"&amp;AB416)</f>
        <v/>
      </c>
      <c r="AD416" s="57" t="str">
        <f>IF(Z416=1,A416&amp;AA416,"")</f>
        <v/>
      </c>
      <c r="AE416" s="57" t="str">
        <f>IF(B416="","",YEAR(C416))</f>
        <v/>
      </c>
      <c r="AF416" s="57" t="str">
        <f>IF(B416="","",MONTH(C416))</f>
        <v/>
      </c>
      <c r="AG416" s="57">
        <f>IF(ISNUMBER(C416),C416,0)</f>
        <v>0.0</v>
      </c>
      <c r="AH416" s="57" t="str">
        <f>IF(N(W416)&gt;0,COUNTIF(W$6:W416,"&gt;0"),"")</f>
        <v/>
      </c>
      <c r="AI416" s="57" t="str">
        <f>IF(Z416=1,COUNTIF(Z$6:Z416,1),"")</f>
        <v/>
      </c>
    </row>
    <row r="417">
      <c r="A417" s="54" t="n"/>
      <c r="B417" s="55" t="str">
        <f>IF(AA417="","",A417&amp;"-"&amp;RIGHT("000"&amp;AA417,4))</f>
        <v/>
      </c>
      <c r="C417" s="56" t="n"/>
      <c r="D417" s="54" t="n"/>
      <c r="E417" s="57" t="str">
        <f>IF(D417="","",IF(A417="BL",IFERROR(INDEX(cl_name,MATCH(D417,cl_code,0))&amp;"","Client inconnu"),IF(A417="BR",IFERROR(INDEX(fo_name,MATCH(D417,fo_code,0))&amp;"","Fournisseur inconnu"),IF(A417="BS",IF(ISNA(MATCH(D417,p_services,0)),"Service inconnu",D417&amp;""),""))))</f>
        <v/>
      </c>
      <c r="F417" s="58" t="n"/>
      <c r="G417" s="58" t="n"/>
      <c r="H417" s="59" t="n"/>
      <c r="I417" s="57" t="str">
        <f>IF(H417="","",IFERROR(INDEX(art_des,MATCH(H417,art_ref,0))&amp;"","Article inconnu"))</f>
        <v/>
      </c>
      <c r="J417" s="60" t="str">
        <f>IF(H417="","",IFERROR(INDEX(art_unit,MATCH(H417,art_ref,0))&amp;"",""))</f>
        <v/>
      </c>
      <c r="K417" s="59" t="n"/>
      <c r="L417" s="59" t="n"/>
      <c r="M417" s="61" t="str">
        <f>IF(OR(B417="",NOT(ISNUMBER(K417)),NOT(ISNUMBER(L417))),"",IF(OR(K417&lt;=0,L417&lt;=0),"",ROUND(L417-K417,6)))</f>
        <v/>
      </c>
      <c r="N417" s="58" t="n"/>
      <c r="O417" s="62" t="n"/>
      <c r="P417" s="63" t="str">
        <f>IF(OR(B417="",NOT(ISNUMBER(L417))),"",IF(L417&lt;=0,"",IFERROR(ROUND(L417*N(INDEX(art_w,MATCH(H417,art_ref,0))),3),"")))</f>
        <v/>
      </c>
      <c r="Q417" s="59" t="n"/>
      <c r="R417" s="54" t="n"/>
      <c r="S417" s="59" t="n"/>
      <c r="T417" s="59" t="n"/>
      <c r="U417" s="64" t="str">
        <f>IF(OR(B417="",H417=""),"",IFERROR(IF(A417="BL",IF(N(INDEX(art_price,MATCH(H417,art_ref,0)))=0,"",N(INDEX(art_price,MATCH(H417,art_ref,0)))),IF(N(INDEX(art_cost,MATCH(H417,art_ref,0)))=0,"",N(INDEX(art_cost,MATCH(H417,art_ref,0))))),""))</f>
        <v/>
      </c>
      <c r="V417" s="64" t="str">
        <f>IF(OR(U417="",NOT(ISNUMBER(L417))),"",IF(L417&lt;=0,"",ROUND(L417*U417,2)))</f>
        <v/>
      </c>
      <c r="W417" s="60" t="str">
        <f>IF(AND(B417&lt;&gt;"",A417&lt;&gt;"BS",F417&lt;&gt;"",H417&lt;&gt;"",ISNUMBER(K417),ISNUMBER(L417)),IF(AND(K417&gt;0,L417&gt;0,K417-L417&gt;0,COUNTIFS(A418:A$2005,A417,F418:F$2005,F417,H418:H$2005,H417,AA418:AA$2005,"&gt;0")=0),ROUND(K417-L417,6),""),"")</f>
        <v/>
      </c>
      <c r="X417" s="60" t="str">
        <f>IF(AND(A417="",C417="",D417="",H417="",L417=""),"",IF(A417="","Type manquant",IF(AND(A417&lt;&gt;"BL",A417&lt;&gt;"BR",A417&lt;&gt;"BS"),"Type inconnu (BL, BR ou BS)",IF(AG417=0,"Date manquante ou invalide",IF(D417="",IF(A417="BL","Client manquant",IF(A417="BR","Fournisseur manquant","Service manquant")),IF(IF(A417="BL",ISNA(MATCH(D417,cl_code,0)),IF(A417="BR",ISNA(MATCH(D417,fo_code,0)),ISNA(MATCH(D417,p_services,0)))),IF(A417="BL","Client inconnu",IF(A417="BR","Fournisseur inconnu","Service inconnu")),IF(H417="","Article manquant",IF(ISNA(MATCH(H417,art_ref,0)),"Article inconnu",IF(OR(NOT(ISNUMBER(L417)),N(L417)&lt;=0),"Quantité invalide",IF(AND(K417&lt;&gt;"",OR(NOT(ISNUMBER(K417)),N(K417)&lt;=0)),"Qté commandée invalide",IF(AG417&lt;SUMPRODUCT(MAX((A$6:A416=A417)*AG$6:AG416)),"Date antérieure au bon précédent",IF(AND(A417&lt;&gt;"BR",ISNUMBER(M417),N(M417)&gt;0),IF(A417="BL","Livré plus que commandé","Sorti plus que demandé"),"OK"))))))))))))</f>
        <v/>
      </c>
      <c r="Y417" s="57" t="str">
        <f>IF(AND(OR(A417="BL",A417="BR",A417="BS"),AG417&gt;0,D417&lt;&gt;""),A417&amp;"|"&amp;AG417&amp;"|"&amp;D417&amp;"|"&amp;F417,"")</f>
        <v/>
      </c>
      <c r="Z417" s="57" t="str">
        <f>IF(Y417="","",IF(COUNTIF(Y$6:Y416,Y417)=0,1,0))</f>
        <v/>
      </c>
      <c r="AA417" s="57" t="str">
        <f>IF(Y417="","",IF(Z417=1,COUNTIFS(A$6:A417,A417,Z$6:Z417,1),INDEX(AA$6:AA416,MATCH(Y417,Y$6:Y416,0))))</f>
        <v/>
      </c>
      <c r="AB417" s="57" t="str">
        <f>IF(B417="","",COUNTIF(B$6:B417,B417))</f>
        <v/>
      </c>
      <c r="AC417" s="57" t="str">
        <f>IF(B417="","",B417&amp;"#"&amp;AB417)</f>
        <v/>
      </c>
      <c r="AD417" s="57" t="str">
        <f>IF(Z417=1,A417&amp;AA417,"")</f>
        <v/>
      </c>
      <c r="AE417" s="57" t="str">
        <f>IF(B417="","",YEAR(C417))</f>
        <v/>
      </c>
      <c r="AF417" s="57" t="str">
        <f>IF(B417="","",MONTH(C417))</f>
        <v/>
      </c>
      <c r="AG417" s="57">
        <f>IF(ISNUMBER(C417),C417,0)</f>
        <v>0.0</v>
      </c>
      <c r="AH417" s="57" t="str">
        <f>IF(N(W417)&gt;0,COUNTIF(W$6:W417,"&gt;0"),"")</f>
        <v/>
      </c>
      <c r="AI417" s="57" t="str">
        <f>IF(Z417=1,COUNTIF(Z$6:Z417,1),"")</f>
        <v/>
      </c>
    </row>
    <row r="418">
      <c r="A418" s="54" t="n"/>
      <c r="B418" s="55" t="str">
        <f>IF(AA418="","",A418&amp;"-"&amp;RIGHT("000"&amp;AA418,4))</f>
        <v/>
      </c>
      <c r="C418" s="56" t="n"/>
      <c r="D418" s="54" t="n"/>
      <c r="E418" s="57" t="str">
        <f>IF(D418="","",IF(A418="BL",IFERROR(INDEX(cl_name,MATCH(D418,cl_code,0))&amp;"","Client inconnu"),IF(A418="BR",IFERROR(INDEX(fo_name,MATCH(D418,fo_code,0))&amp;"","Fournisseur inconnu"),IF(A418="BS",IF(ISNA(MATCH(D418,p_services,0)),"Service inconnu",D418&amp;""),""))))</f>
        <v/>
      </c>
      <c r="F418" s="58" t="n"/>
      <c r="G418" s="58" t="n"/>
      <c r="H418" s="59" t="n"/>
      <c r="I418" s="57" t="str">
        <f>IF(H418="","",IFERROR(INDEX(art_des,MATCH(H418,art_ref,0))&amp;"","Article inconnu"))</f>
        <v/>
      </c>
      <c r="J418" s="60" t="str">
        <f>IF(H418="","",IFERROR(INDEX(art_unit,MATCH(H418,art_ref,0))&amp;"",""))</f>
        <v/>
      </c>
      <c r="K418" s="59" t="n"/>
      <c r="L418" s="59" t="n"/>
      <c r="M418" s="61" t="str">
        <f>IF(OR(B418="",NOT(ISNUMBER(K418)),NOT(ISNUMBER(L418))),"",IF(OR(K418&lt;=0,L418&lt;=0),"",ROUND(L418-K418,6)))</f>
        <v/>
      </c>
      <c r="N418" s="58" t="n"/>
      <c r="O418" s="62" t="n"/>
      <c r="P418" s="63" t="str">
        <f>IF(OR(B418="",NOT(ISNUMBER(L418))),"",IF(L418&lt;=0,"",IFERROR(ROUND(L418*N(INDEX(art_w,MATCH(H418,art_ref,0))),3),"")))</f>
        <v/>
      </c>
      <c r="Q418" s="59" t="n"/>
      <c r="R418" s="54" t="n"/>
      <c r="S418" s="59" t="n"/>
      <c r="T418" s="59" t="n"/>
      <c r="U418" s="64" t="str">
        <f>IF(OR(B418="",H418=""),"",IFERROR(IF(A418="BL",IF(N(INDEX(art_price,MATCH(H418,art_ref,0)))=0,"",N(INDEX(art_price,MATCH(H418,art_ref,0)))),IF(N(INDEX(art_cost,MATCH(H418,art_ref,0)))=0,"",N(INDEX(art_cost,MATCH(H418,art_ref,0))))),""))</f>
        <v/>
      </c>
      <c r="V418" s="64" t="str">
        <f>IF(OR(U418="",NOT(ISNUMBER(L418))),"",IF(L418&lt;=0,"",ROUND(L418*U418,2)))</f>
        <v/>
      </c>
      <c r="W418" s="60" t="str">
        <f>IF(AND(B418&lt;&gt;"",A418&lt;&gt;"BS",F418&lt;&gt;"",H418&lt;&gt;"",ISNUMBER(K418),ISNUMBER(L418)),IF(AND(K418&gt;0,L418&gt;0,K418-L418&gt;0,COUNTIFS(A419:A$2005,A418,F419:F$2005,F418,H419:H$2005,H418,AA419:AA$2005,"&gt;0")=0),ROUND(K418-L418,6),""),"")</f>
        <v/>
      </c>
      <c r="X418" s="60" t="str">
        <f>IF(AND(A418="",C418="",D418="",H418="",L418=""),"",IF(A418="","Type manquant",IF(AND(A418&lt;&gt;"BL",A418&lt;&gt;"BR",A418&lt;&gt;"BS"),"Type inconnu (BL, BR ou BS)",IF(AG418=0,"Date manquante ou invalide",IF(D418="",IF(A418="BL","Client manquant",IF(A418="BR","Fournisseur manquant","Service manquant")),IF(IF(A418="BL",ISNA(MATCH(D418,cl_code,0)),IF(A418="BR",ISNA(MATCH(D418,fo_code,0)),ISNA(MATCH(D418,p_services,0)))),IF(A418="BL","Client inconnu",IF(A418="BR","Fournisseur inconnu","Service inconnu")),IF(H418="","Article manquant",IF(ISNA(MATCH(H418,art_ref,0)),"Article inconnu",IF(OR(NOT(ISNUMBER(L418)),N(L418)&lt;=0),"Quantité invalide",IF(AND(K418&lt;&gt;"",OR(NOT(ISNUMBER(K418)),N(K418)&lt;=0)),"Qté commandée invalide",IF(AG418&lt;SUMPRODUCT(MAX((A$6:A417=A418)*AG$6:AG417)),"Date antérieure au bon précédent",IF(AND(A418&lt;&gt;"BR",ISNUMBER(M418),N(M418)&gt;0),IF(A418="BL","Livré plus que commandé","Sorti plus que demandé"),"OK"))))))))))))</f>
        <v/>
      </c>
      <c r="Y418" s="57" t="str">
        <f>IF(AND(OR(A418="BL",A418="BR",A418="BS"),AG418&gt;0,D418&lt;&gt;""),A418&amp;"|"&amp;AG418&amp;"|"&amp;D418&amp;"|"&amp;F418,"")</f>
        <v/>
      </c>
      <c r="Z418" s="57" t="str">
        <f>IF(Y418="","",IF(COUNTIF(Y$6:Y417,Y418)=0,1,0))</f>
        <v/>
      </c>
      <c r="AA418" s="57" t="str">
        <f>IF(Y418="","",IF(Z418=1,COUNTIFS(A$6:A418,A418,Z$6:Z418,1),INDEX(AA$6:AA417,MATCH(Y418,Y$6:Y417,0))))</f>
        <v/>
      </c>
      <c r="AB418" s="57" t="str">
        <f>IF(B418="","",COUNTIF(B$6:B418,B418))</f>
        <v/>
      </c>
      <c r="AC418" s="57" t="str">
        <f>IF(B418="","",B418&amp;"#"&amp;AB418)</f>
        <v/>
      </c>
      <c r="AD418" s="57" t="str">
        <f>IF(Z418=1,A418&amp;AA418,"")</f>
        <v/>
      </c>
      <c r="AE418" s="57" t="str">
        <f>IF(B418="","",YEAR(C418))</f>
        <v/>
      </c>
      <c r="AF418" s="57" t="str">
        <f>IF(B418="","",MONTH(C418))</f>
        <v/>
      </c>
      <c r="AG418" s="57">
        <f>IF(ISNUMBER(C418),C418,0)</f>
        <v>0.0</v>
      </c>
      <c r="AH418" s="57" t="str">
        <f>IF(N(W418)&gt;0,COUNTIF(W$6:W418,"&gt;0"),"")</f>
        <v/>
      </c>
      <c r="AI418" s="57" t="str">
        <f>IF(Z418=1,COUNTIF(Z$6:Z418,1),"")</f>
        <v/>
      </c>
    </row>
    <row r="419">
      <c r="A419" s="54" t="n"/>
      <c r="B419" s="55" t="str">
        <f>IF(AA419="","",A419&amp;"-"&amp;RIGHT("000"&amp;AA419,4))</f>
        <v/>
      </c>
      <c r="C419" s="56" t="n"/>
      <c r="D419" s="54" t="n"/>
      <c r="E419" s="57" t="str">
        <f>IF(D419="","",IF(A419="BL",IFERROR(INDEX(cl_name,MATCH(D419,cl_code,0))&amp;"","Client inconnu"),IF(A419="BR",IFERROR(INDEX(fo_name,MATCH(D419,fo_code,0))&amp;"","Fournisseur inconnu"),IF(A419="BS",IF(ISNA(MATCH(D419,p_services,0)),"Service inconnu",D419&amp;""),""))))</f>
        <v/>
      </c>
      <c r="F419" s="58" t="n"/>
      <c r="G419" s="58" t="n"/>
      <c r="H419" s="59" t="n"/>
      <c r="I419" s="57" t="str">
        <f>IF(H419="","",IFERROR(INDEX(art_des,MATCH(H419,art_ref,0))&amp;"","Article inconnu"))</f>
        <v/>
      </c>
      <c r="J419" s="60" t="str">
        <f>IF(H419="","",IFERROR(INDEX(art_unit,MATCH(H419,art_ref,0))&amp;"",""))</f>
        <v/>
      </c>
      <c r="K419" s="59" t="n"/>
      <c r="L419" s="59" t="n"/>
      <c r="M419" s="61" t="str">
        <f>IF(OR(B419="",NOT(ISNUMBER(K419)),NOT(ISNUMBER(L419))),"",IF(OR(K419&lt;=0,L419&lt;=0),"",ROUND(L419-K419,6)))</f>
        <v/>
      </c>
      <c r="N419" s="58" t="n"/>
      <c r="O419" s="62" t="n"/>
      <c r="P419" s="63" t="str">
        <f>IF(OR(B419="",NOT(ISNUMBER(L419))),"",IF(L419&lt;=0,"",IFERROR(ROUND(L419*N(INDEX(art_w,MATCH(H419,art_ref,0))),3),"")))</f>
        <v/>
      </c>
      <c r="Q419" s="59" t="n"/>
      <c r="R419" s="54" t="n"/>
      <c r="S419" s="59" t="n"/>
      <c r="T419" s="59" t="n"/>
      <c r="U419" s="64" t="str">
        <f>IF(OR(B419="",H419=""),"",IFERROR(IF(A419="BL",IF(N(INDEX(art_price,MATCH(H419,art_ref,0)))=0,"",N(INDEX(art_price,MATCH(H419,art_ref,0)))),IF(N(INDEX(art_cost,MATCH(H419,art_ref,0)))=0,"",N(INDEX(art_cost,MATCH(H419,art_ref,0))))),""))</f>
        <v/>
      </c>
      <c r="V419" s="64" t="str">
        <f>IF(OR(U419="",NOT(ISNUMBER(L419))),"",IF(L419&lt;=0,"",ROUND(L419*U419,2)))</f>
        <v/>
      </c>
      <c r="W419" s="60" t="str">
        <f>IF(AND(B419&lt;&gt;"",A419&lt;&gt;"BS",F419&lt;&gt;"",H419&lt;&gt;"",ISNUMBER(K419),ISNUMBER(L419)),IF(AND(K419&gt;0,L419&gt;0,K419-L419&gt;0,COUNTIFS(A420:A$2005,A419,F420:F$2005,F419,H420:H$2005,H419,AA420:AA$2005,"&gt;0")=0),ROUND(K419-L419,6),""),"")</f>
        <v/>
      </c>
      <c r="X419" s="60" t="str">
        <f>IF(AND(A419="",C419="",D419="",H419="",L419=""),"",IF(A419="","Type manquant",IF(AND(A419&lt;&gt;"BL",A419&lt;&gt;"BR",A419&lt;&gt;"BS"),"Type inconnu (BL, BR ou BS)",IF(AG419=0,"Date manquante ou invalide",IF(D419="",IF(A419="BL","Client manquant",IF(A419="BR","Fournisseur manquant","Service manquant")),IF(IF(A419="BL",ISNA(MATCH(D419,cl_code,0)),IF(A419="BR",ISNA(MATCH(D419,fo_code,0)),ISNA(MATCH(D419,p_services,0)))),IF(A419="BL","Client inconnu",IF(A419="BR","Fournisseur inconnu","Service inconnu")),IF(H419="","Article manquant",IF(ISNA(MATCH(H419,art_ref,0)),"Article inconnu",IF(OR(NOT(ISNUMBER(L419)),N(L419)&lt;=0),"Quantité invalide",IF(AND(K419&lt;&gt;"",OR(NOT(ISNUMBER(K419)),N(K419)&lt;=0)),"Qté commandée invalide",IF(AG419&lt;SUMPRODUCT(MAX((A$6:A418=A419)*AG$6:AG418)),"Date antérieure au bon précédent",IF(AND(A419&lt;&gt;"BR",ISNUMBER(M419),N(M419)&gt;0),IF(A419="BL","Livré plus que commandé","Sorti plus que demandé"),"OK"))))))))))))</f>
        <v/>
      </c>
      <c r="Y419" s="57" t="str">
        <f>IF(AND(OR(A419="BL",A419="BR",A419="BS"),AG419&gt;0,D419&lt;&gt;""),A419&amp;"|"&amp;AG419&amp;"|"&amp;D419&amp;"|"&amp;F419,"")</f>
        <v/>
      </c>
      <c r="Z419" s="57" t="str">
        <f>IF(Y419="","",IF(COUNTIF(Y$6:Y418,Y419)=0,1,0))</f>
        <v/>
      </c>
      <c r="AA419" s="57" t="str">
        <f>IF(Y419="","",IF(Z419=1,COUNTIFS(A$6:A419,A419,Z$6:Z419,1),INDEX(AA$6:AA418,MATCH(Y419,Y$6:Y418,0))))</f>
        <v/>
      </c>
      <c r="AB419" s="57" t="str">
        <f>IF(B419="","",COUNTIF(B$6:B419,B419))</f>
        <v/>
      </c>
      <c r="AC419" s="57" t="str">
        <f>IF(B419="","",B419&amp;"#"&amp;AB419)</f>
        <v/>
      </c>
      <c r="AD419" s="57" t="str">
        <f>IF(Z419=1,A419&amp;AA419,"")</f>
        <v/>
      </c>
      <c r="AE419" s="57" t="str">
        <f>IF(B419="","",YEAR(C419))</f>
        <v/>
      </c>
      <c r="AF419" s="57" t="str">
        <f>IF(B419="","",MONTH(C419))</f>
        <v/>
      </c>
      <c r="AG419" s="57">
        <f>IF(ISNUMBER(C419),C419,0)</f>
        <v>0.0</v>
      </c>
      <c r="AH419" s="57" t="str">
        <f>IF(N(W419)&gt;0,COUNTIF(W$6:W419,"&gt;0"),"")</f>
        <v/>
      </c>
      <c r="AI419" s="57" t="str">
        <f>IF(Z419=1,COUNTIF(Z$6:Z419,1),"")</f>
        <v/>
      </c>
    </row>
    <row r="420">
      <c r="A420" s="54" t="n"/>
      <c r="B420" s="55" t="str">
        <f>IF(AA420="","",A420&amp;"-"&amp;RIGHT("000"&amp;AA420,4))</f>
        <v/>
      </c>
      <c r="C420" s="56" t="n"/>
      <c r="D420" s="54" t="n"/>
      <c r="E420" s="57" t="str">
        <f>IF(D420="","",IF(A420="BL",IFERROR(INDEX(cl_name,MATCH(D420,cl_code,0))&amp;"","Client inconnu"),IF(A420="BR",IFERROR(INDEX(fo_name,MATCH(D420,fo_code,0))&amp;"","Fournisseur inconnu"),IF(A420="BS",IF(ISNA(MATCH(D420,p_services,0)),"Service inconnu",D420&amp;""),""))))</f>
        <v/>
      </c>
      <c r="F420" s="58" t="n"/>
      <c r="G420" s="58" t="n"/>
      <c r="H420" s="59" t="n"/>
      <c r="I420" s="57" t="str">
        <f>IF(H420="","",IFERROR(INDEX(art_des,MATCH(H420,art_ref,0))&amp;"","Article inconnu"))</f>
        <v/>
      </c>
      <c r="J420" s="60" t="str">
        <f>IF(H420="","",IFERROR(INDEX(art_unit,MATCH(H420,art_ref,0))&amp;"",""))</f>
        <v/>
      </c>
      <c r="K420" s="59" t="n"/>
      <c r="L420" s="59" t="n"/>
      <c r="M420" s="61" t="str">
        <f>IF(OR(B420="",NOT(ISNUMBER(K420)),NOT(ISNUMBER(L420))),"",IF(OR(K420&lt;=0,L420&lt;=0),"",ROUND(L420-K420,6)))</f>
        <v/>
      </c>
      <c r="N420" s="58" t="n"/>
      <c r="O420" s="62" t="n"/>
      <c r="P420" s="63" t="str">
        <f>IF(OR(B420="",NOT(ISNUMBER(L420))),"",IF(L420&lt;=0,"",IFERROR(ROUND(L420*N(INDEX(art_w,MATCH(H420,art_ref,0))),3),"")))</f>
        <v/>
      </c>
      <c r="Q420" s="59" t="n"/>
      <c r="R420" s="54" t="n"/>
      <c r="S420" s="59" t="n"/>
      <c r="T420" s="59" t="n"/>
      <c r="U420" s="64" t="str">
        <f>IF(OR(B420="",H420=""),"",IFERROR(IF(A420="BL",IF(N(INDEX(art_price,MATCH(H420,art_ref,0)))=0,"",N(INDEX(art_price,MATCH(H420,art_ref,0)))),IF(N(INDEX(art_cost,MATCH(H420,art_ref,0)))=0,"",N(INDEX(art_cost,MATCH(H420,art_ref,0))))),""))</f>
        <v/>
      </c>
      <c r="V420" s="64" t="str">
        <f>IF(OR(U420="",NOT(ISNUMBER(L420))),"",IF(L420&lt;=0,"",ROUND(L420*U420,2)))</f>
        <v/>
      </c>
      <c r="W420" s="60" t="str">
        <f>IF(AND(B420&lt;&gt;"",A420&lt;&gt;"BS",F420&lt;&gt;"",H420&lt;&gt;"",ISNUMBER(K420),ISNUMBER(L420)),IF(AND(K420&gt;0,L420&gt;0,K420-L420&gt;0,COUNTIFS(A421:A$2005,A420,F421:F$2005,F420,H421:H$2005,H420,AA421:AA$2005,"&gt;0")=0),ROUND(K420-L420,6),""),"")</f>
        <v/>
      </c>
      <c r="X420" s="60" t="str">
        <f>IF(AND(A420="",C420="",D420="",H420="",L420=""),"",IF(A420="","Type manquant",IF(AND(A420&lt;&gt;"BL",A420&lt;&gt;"BR",A420&lt;&gt;"BS"),"Type inconnu (BL, BR ou BS)",IF(AG420=0,"Date manquante ou invalide",IF(D420="",IF(A420="BL","Client manquant",IF(A420="BR","Fournisseur manquant","Service manquant")),IF(IF(A420="BL",ISNA(MATCH(D420,cl_code,0)),IF(A420="BR",ISNA(MATCH(D420,fo_code,0)),ISNA(MATCH(D420,p_services,0)))),IF(A420="BL","Client inconnu",IF(A420="BR","Fournisseur inconnu","Service inconnu")),IF(H420="","Article manquant",IF(ISNA(MATCH(H420,art_ref,0)),"Article inconnu",IF(OR(NOT(ISNUMBER(L420)),N(L420)&lt;=0),"Quantité invalide",IF(AND(K420&lt;&gt;"",OR(NOT(ISNUMBER(K420)),N(K420)&lt;=0)),"Qté commandée invalide",IF(AG420&lt;SUMPRODUCT(MAX((A$6:A419=A420)*AG$6:AG419)),"Date antérieure au bon précédent",IF(AND(A420&lt;&gt;"BR",ISNUMBER(M420),N(M420)&gt;0),IF(A420="BL","Livré plus que commandé","Sorti plus que demandé"),"OK"))))))))))))</f>
        <v/>
      </c>
      <c r="Y420" s="57" t="str">
        <f>IF(AND(OR(A420="BL",A420="BR",A420="BS"),AG420&gt;0,D420&lt;&gt;""),A420&amp;"|"&amp;AG420&amp;"|"&amp;D420&amp;"|"&amp;F420,"")</f>
        <v/>
      </c>
      <c r="Z420" s="57" t="str">
        <f>IF(Y420="","",IF(COUNTIF(Y$6:Y419,Y420)=0,1,0))</f>
        <v/>
      </c>
      <c r="AA420" s="57" t="str">
        <f>IF(Y420="","",IF(Z420=1,COUNTIFS(A$6:A420,A420,Z$6:Z420,1),INDEX(AA$6:AA419,MATCH(Y420,Y$6:Y419,0))))</f>
        <v/>
      </c>
      <c r="AB420" s="57" t="str">
        <f>IF(B420="","",COUNTIF(B$6:B420,B420))</f>
        <v/>
      </c>
      <c r="AC420" s="57" t="str">
        <f>IF(B420="","",B420&amp;"#"&amp;AB420)</f>
        <v/>
      </c>
      <c r="AD420" s="57" t="str">
        <f>IF(Z420=1,A420&amp;AA420,"")</f>
        <v/>
      </c>
      <c r="AE420" s="57" t="str">
        <f>IF(B420="","",YEAR(C420))</f>
        <v/>
      </c>
      <c r="AF420" s="57" t="str">
        <f>IF(B420="","",MONTH(C420))</f>
        <v/>
      </c>
      <c r="AG420" s="57">
        <f>IF(ISNUMBER(C420),C420,0)</f>
        <v>0.0</v>
      </c>
      <c r="AH420" s="57" t="str">
        <f>IF(N(W420)&gt;0,COUNTIF(W$6:W420,"&gt;0"),"")</f>
        <v/>
      </c>
      <c r="AI420" s="57" t="str">
        <f>IF(Z420=1,COUNTIF(Z$6:Z420,1),"")</f>
        <v/>
      </c>
    </row>
    <row r="421">
      <c r="A421" s="54" t="n"/>
      <c r="B421" s="55" t="str">
        <f>IF(AA421="","",A421&amp;"-"&amp;RIGHT("000"&amp;AA421,4))</f>
        <v/>
      </c>
      <c r="C421" s="56" t="n"/>
      <c r="D421" s="54" t="n"/>
      <c r="E421" s="57" t="str">
        <f>IF(D421="","",IF(A421="BL",IFERROR(INDEX(cl_name,MATCH(D421,cl_code,0))&amp;"","Client inconnu"),IF(A421="BR",IFERROR(INDEX(fo_name,MATCH(D421,fo_code,0))&amp;"","Fournisseur inconnu"),IF(A421="BS",IF(ISNA(MATCH(D421,p_services,0)),"Service inconnu",D421&amp;""),""))))</f>
        <v/>
      </c>
      <c r="F421" s="58" t="n"/>
      <c r="G421" s="58" t="n"/>
      <c r="H421" s="59" t="n"/>
      <c r="I421" s="57" t="str">
        <f>IF(H421="","",IFERROR(INDEX(art_des,MATCH(H421,art_ref,0))&amp;"","Article inconnu"))</f>
        <v/>
      </c>
      <c r="J421" s="60" t="str">
        <f>IF(H421="","",IFERROR(INDEX(art_unit,MATCH(H421,art_ref,0))&amp;"",""))</f>
        <v/>
      </c>
      <c r="K421" s="59" t="n"/>
      <c r="L421" s="59" t="n"/>
      <c r="M421" s="61" t="str">
        <f>IF(OR(B421="",NOT(ISNUMBER(K421)),NOT(ISNUMBER(L421))),"",IF(OR(K421&lt;=0,L421&lt;=0),"",ROUND(L421-K421,6)))</f>
        <v/>
      </c>
      <c r="N421" s="58" t="n"/>
      <c r="O421" s="62" t="n"/>
      <c r="P421" s="63" t="str">
        <f>IF(OR(B421="",NOT(ISNUMBER(L421))),"",IF(L421&lt;=0,"",IFERROR(ROUND(L421*N(INDEX(art_w,MATCH(H421,art_ref,0))),3),"")))</f>
        <v/>
      </c>
      <c r="Q421" s="59" t="n"/>
      <c r="R421" s="54" t="n"/>
      <c r="S421" s="59" t="n"/>
      <c r="T421" s="59" t="n"/>
      <c r="U421" s="64" t="str">
        <f>IF(OR(B421="",H421=""),"",IFERROR(IF(A421="BL",IF(N(INDEX(art_price,MATCH(H421,art_ref,0)))=0,"",N(INDEX(art_price,MATCH(H421,art_ref,0)))),IF(N(INDEX(art_cost,MATCH(H421,art_ref,0)))=0,"",N(INDEX(art_cost,MATCH(H421,art_ref,0))))),""))</f>
        <v/>
      </c>
      <c r="V421" s="64" t="str">
        <f>IF(OR(U421="",NOT(ISNUMBER(L421))),"",IF(L421&lt;=0,"",ROUND(L421*U421,2)))</f>
        <v/>
      </c>
      <c r="W421" s="60" t="str">
        <f>IF(AND(B421&lt;&gt;"",A421&lt;&gt;"BS",F421&lt;&gt;"",H421&lt;&gt;"",ISNUMBER(K421),ISNUMBER(L421)),IF(AND(K421&gt;0,L421&gt;0,K421-L421&gt;0,COUNTIFS(A422:A$2005,A421,F422:F$2005,F421,H422:H$2005,H421,AA422:AA$2005,"&gt;0")=0),ROUND(K421-L421,6),""),"")</f>
        <v/>
      </c>
      <c r="X421" s="60" t="str">
        <f>IF(AND(A421="",C421="",D421="",H421="",L421=""),"",IF(A421="","Type manquant",IF(AND(A421&lt;&gt;"BL",A421&lt;&gt;"BR",A421&lt;&gt;"BS"),"Type inconnu (BL, BR ou BS)",IF(AG421=0,"Date manquante ou invalide",IF(D421="",IF(A421="BL","Client manquant",IF(A421="BR","Fournisseur manquant","Service manquant")),IF(IF(A421="BL",ISNA(MATCH(D421,cl_code,0)),IF(A421="BR",ISNA(MATCH(D421,fo_code,0)),ISNA(MATCH(D421,p_services,0)))),IF(A421="BL","Client inconnu",IF(A421="BR","Fournisseur inconnu","Service inconnu")),IF(H421="","Article manquant",IF(ISNA(MATCH(H421,art_ref,0)),"Article inconnu",IF(OR(NOT(ISNUMBER(L421)),N(L421)&lt;=0),"Quantité invalide",IF(AND(K421&lt;&gt;"",OR(NOT(ISNUMBER(K421)),N(K421)&lt;=0)),"Qté commandée invalide",IF(AG421&lt;SUMPRODUCT(MAX((A$6:A420=A421)*AG$6:AG420)),"Date antérieure au bon précédent",IF(AND(A421&lt;&gt;"BR",ISNUMBER(M421),N(M421)&gt;0),IF(A421="BL","Livré plus que commandé","Sorti plus que demandé"),"OK"))))))))))))</f>
        <v/>
      </c>
      <c r="Y421" s="57" t="str">
        <f>IF(AND(OR(A421="BL",A421="BR",A421="BS"),AG421&gt;0,D421&lt;&gt;""),A421&amp;"|"&amp;AG421&amp;"|"&amp;D421&amp;"|"&amp;F421,"")</f>
        <v/>
      </c>
      <c r="Z421" s="57" t="str">
        <f>IF(Y421="","",IF(COUNTIF(Y$6:Y420,Y421)=0,1,0))</f>
        <v/>
      </c>
      <c r="AA421" s="57" t="str">
        <f>IF(Y421="","",IF(Z421=1,COUNTIFS(A$6:A421,A421,Z$6:Z421,1),INDEX(AA$6:AA420,MATCH(Y421,Y$6:Y420,0))))</f>
        <v/>
      </c>
      <c r="AB421" s="57" t="str">
        <f>IF(B421="","",COUNTIF(B$6:B421,B421))</f>
        <v/>
      </c>
      <c r="AC421" s="57" t="str">
        <f>IF(B421="","",B421&amp;"#"&amp;AB421)</f>
        <v/>
      </c>
      <c r="AD421" s="57" t="str">
        <f>IF(Z421=1,A421&amp;AA421,"")</f>
        <v/>
      </c>
      <c r="AE421" s="57" t="str">
        <f>IF(B421="","",YEAR(C421))</f>
        <v/>
      </c>
      <c r="AF421" s="57" t="str">
        <f>IF(B421="","",MONTH(C421))</f>
        <v/>
      </c>
      <c r="AG421" s="57">
        <f>IF(ISNUMBER(C421),C421,0)</f>
        <v>0.0</v>
      </c>
      <c r="AH421" s="57" t="str">
        <f>IF(N(W421)&gt;0,COUNTIF(W$6:W421,"&gt;0"),"")</f>
        <v/>
      </c>
      <c r="AI421" s="57" t="str">
        <f>IF(Z421=1,COUNTIF(Z$6:Z421,1),"")</f>
        <v/>
      </c>
    </row>
    <row r="422">
      <c r="A422" s="54" t="n"/>
      <c r="B422" s="55" t="str">
        <f>IF(AA422="","",A422&amp;"-"&amp;RIGHT("000"&amp;AA422,4))</f>
        <v/>
      </c>
      <c r="C422" s="56" t="n"/>
      <c r="D422" s="54" t="n"/>
      <c r="E422" s="57" t="str">
        <f>IF(D422="","",IF(A422="BL",IFERROR(INDEX(cl_name,MATCH(D422,cl_code,0))&amp;"","Client inconnu"),IF(A422="BR",IFERROR(INDEX(fo_name,MATCH(D422,fo_code,0))&amp;"","Fournisseur inconnu"),IF(A422="BS",IF(ISNA(MATCH(D422,p_services,0)),"Service inconnu",D422&amp;""),""))))</f>
        <v/>
      </c>
      <c r="F422" s="58" t="n"/>
      <c r="G422" s="58" t="n"/>
      <c r="H422" s="59" t="n"/>
      <c r="I422" s="57" t="str">
        <f>IF(H422="","",IFERROR(INDEX(art_des,MATCH(H422,art_ref,0))&amp;"","Article inconnu"))</f>
        <v/>
      </c>
      <c r="J422" s="60" t="str">
        <f>IF(H422="","",IFERROR(INDEX(art_unit,MATCH(H422,art_ref,0))&amp;"",""))</f>
        <v/>
      </c>
      <c r="K422" s="59" t="n"/>
      <c r="L422" s="59" t="n"/>
      <c r="M422" s="61" t="str">
        <f>IF(OR(B422="",NOT(ISNUMBER(K422)),NOT(ISNUMBER(L422))),"",IF(OR(K422&lt;=0,L422&lt;=0),"",ROUND(L422-K422,6)))</f>
        <v/>
      </c>
      <c r="N422" s="58" t="n"/>
      <c r="O422" s="62" t="n"/>
      <c r="P422" s="63" t="str">
        <f>IF(OR(B422="",NOT(ISNUMBER(L422))),"",IF(L422&lt;=0,"",IFERROR(ROUND(L422*N(INDEX(art_w,MATCH(H422,art_ref,0))),3),"")))</f>
        <v/>
      </c>
      <c r="Q422" s="59" t="n"/>
      <c r="R422" s="54" t="n"/>
      <c r="S422" s="59" t="n"/>
      <c r="T422" s="59" t="n"/>
      <c r="U422" s="64" t="str">
        <f>IF(OR(B422="",H422=""),"",IFERROR(IF(A422="BL",IF(N(INDEX(art_price,MATCH(H422,art_ref,0)))=0,"",N(INDEX(art_price,MATCH(H422,art_ref,0)))),IF(N(INDEX(art_cost,MATCH(H422,art_ref,0)))=0,"",N(INDEX(art_cost,MATCH(H422,art_ref,0))))),""))</f>
        <v/>
      </c>
      <c r="V422" s="64" t="str">
        <f>IF(OR(U422="",NOT(ISNUMBER(L422))),"",IF(L422&lt;=0,"",ROUND(L422*U422,2)))</f>
        <v/>
      </c>
      <c r="W422" s="60" t="str">
        <f>IF(AND(B422&lt;&gt;"",A422&lt;&gt;"BS",F422&lt;&gt;"",H422&lt;&gt;"",ISNUMBER(K422),ISNUMBER(L422)),IF(AND(K422&gt;0,L422&gt;0,K422-L422&gt;0,COUNTIFS(A423:A$2005,A422,F423:F$2005,F422,H423:H$2005,H422,AA423:AA$2005,"&gt;0")=0),ROUND(K422-L422,6),""),"")</f>
        <v/>
      </c>
      <c r="X422" s="60" t="str">
        <f>IF(AND(A422="",C422="",D422="",H422="",L422=""),"",IF(A422="","Type manquant",IF(AND(A422&lt;&gt;"BL",A422&lt;&gt;"BR",A422&lt;&gt;"BS"),"Type inconnu (BL, BR ou BS)",IF(AG422=0,"Date manquante ou invalide",IF(D422="",IF(A422="BL","Client manquant",IF(A422="BR","Fournisseur manquant","Service manquant")),IF(IF(A422="BL",ISNA(MATCH(D422,cl_code,0)),IF(A422="BR",ISNA(MATCH(D422,fo_code,0)),ISNA(MATCH(D422,p_services,0)))),IF(A422="BL","Client inconnu",IF(A422="BR","Fournisseur inconnu","Service inconnu")),IF(H422="","Article manquant",IF(ISNA(MATCH(H422,art_ref,0)),"Article inconnu",IF(OR(NOT(ISNUMBER(L422)),N(L422)&lt;=0),"Quantité invalide",IF(AND(K422&lt;&gt;"",OR(NOT(ISNUMBER(K422)),N(K422)&lt;=0)),"Qté commandée invalide",IF(AG422&lt;SUMPRODUCT(MAX((A$6:A421=A422)*AG$6:AG421)),"Date antérieure au bon précédent",IF(AND(A422&lt;&gt;"BR",ISNUMBER(M422),N(M422)&gt;0),IF(A422="BL","Livré plus que commandé","Sorti plus que demandé"),"OK"))))))))))))</f>
        <v/>
      </c>
      <c r="Y422" s="57" t="str">
        <f>IF(AND(OR(A422="BL",A422="BR",A422="BS"),AG422&gt;0,D422&lt;&gt;""),A422&amp;"|"&amp;AG422&amp;"|"&amp;D422&amp;"|"&amp;F422,"")</f>
        <v/>
      </c>
      <c r="Z422" s="57" t="str">
        <f>IF(Y422="","",IF(COUNTIF(Y$6:Y421,Y422)=0,1,0))</f>
        <v/>
      </c>
      <c r="AA422" s="57" t="str">
        <f>IF(Y422="","",IF(Z422=1,COUNTIFS(A$6:A422,A422,Z$6:Z422,1),INDEX(AA$6:AA421,MATCH(Y422,Y$6:Y421,0))))</f>
        <v/>
      </c>
      <c r="AB422" s="57" t="str">
        <f>IF(B422="","",COUNTIF(B$6:B422,B422))</f>
        <v/>
      </c>
      <c r="AC422" s="57" t="str">
        <f>IF(B422="","",B422&amp;"#"&amp;AB422)</f>
        <v/>
      </c>
      <c r="AD422" s="57" t="str">
        <f>IF(Z422=1,A422&amp;AA422,"")</f>
        <v/>
      </c>
      <c r="AE422" s="57" t="str">
        <f>IF(B422="","",YEAR(C422))</f>
        <v/>
      </c>
      <c r="AF422" s="57" t="str">
        <f>IF(B422="","",MONTH(C422))</f>
        <v/>
      </c>
      <c r="AG422" s="57">
        <f>IF(ISNUMBER(C422),C422,0)</f>
        <v>0.0</v>
      </c>
      <c r="AH422" s="57" t="str">
        <f>IF(N(W422)&gt;0,COUNTIF(W$6:W422,"&gt;0"),"")</f>
        <v/>
      </c>
      <c r="AI422" s="57" t="str">
        <f>IF(Z422=1,COUNTIF(Z$6:Z422,1),"")</f>
        <v/>
      </c>
    </row>
    <row r="423">
      <c r="A423" s="54" t="n"/>
      <c r="B423" s="55" t="str">
        <f>IF(AA423="","",A423&amp;"-"&amp;RIGHT("000"&amp;AA423,4))</f>
        <v/>
      </c>
      <c r="C423" s="56" t="n"/>
      <c r="D423" s="54" t="n"/>
      <c r="E423" s="57" t="str">
        <f>IF(D423="","",IF(A423="BL",IFERROR(INDEX(cl_name,MATCH(D423,cl_code,0))&amp;"","Client inconnu"),IF(A423="BR",IFERROR(INDEX(fo_name,MATCH(D423,fo_code,0))&amp;"","Fournisseur inconnu"),IF(A423="BS",IF(ISNA(MATCH(D423,p_services,0)),"Service inconnu",D423&amp;""),""))))</f>
        <v/>
      </c>
      <c r="F423" s="58" t="n"/>
      <c r="G423" s="58" t="n"/>
      <c r="H423" s="59" t="n"/>
      <c r="I423" s="57" t="str">
        <f>IF(H423="","",IFERROR(INDEX(art_des,MATCH(H423,art_ref,0))&amp;"","Article inconnu"))</f>
        <v/>
      </c>
      <c r="J423" s="60" t="str">
        <f>IF(H423="","",IFERROR(INDEX(art_unit,MATCH(H423,art_ref,0))&amp;"",""))</f>
        <v/>
      </c>
      <c r="K423" s="59" t="n"/>
      <c r="L423" s="59" t="n"/>
      <c r="M423" s="61" t="str">
        <f>IF(OR(B423="",NOT(ISNUMBER(K423)),NOT(ISNUMBER(L423))),"",IF(OR(K423&lt;=0,L423&lt;=0),"",ROUND(L423-K423,6)))</f>
        <v/>
      </c>
      <c r="N423" s="58" t="n"/>
      <c r="O423" s="62" t="n"/>
      <c r="P423" s="63" t="str">
        <f>IF(OR(B423="",NOT(ISNUMBER(L423))),"",IF(L423&lt;=0,"",IFERROR(ROUND(L423*N(INDEX(art_w,MATCH(H423,art_ref,0))),3),"")))</f>
        <v/>
      </c>
      <c r="Q423" s="59" t="n"/>
      <c r="R423" s="54" t="n"/>
      <c r="S423" s="59" t="n"/>
      <c r="T423" s="59" t="n"/>
      <c r="U423" s="64" t="str">
        <f>IF(OR(B423="",H423=""),"",IFERROR(IF(A423="BL",IF(N(INDEX(art_price,MATCH(H423,art_ref,0)))=0,"",N(INDEX(art_price,MATCH(H423,art_ref,0)))),IF(N(INDEX(art_cost,MATCH(H423,art_ref,0)))=0,"",N(INDEX(art_cost,MATCH(H423,art_ref,0))))),""))</f>
        <v/>
      </c>
      <c r="V423" s="64" t="str">
        <f>IF(OR(U423="",NOT(ISNUMBER(L423))),"",IF(L423&lt;=0,"",ROUND(L423*U423,2)))</f>
        <v/>
      </c>
      <c r="W423" s="60" t="str">
        <f>IF(AND(B423&lt;&gt;"",A423&lt;&gt;"BS",F423&lt;&gt;"",H423&lt;&gt;"",ISNUMBER(K423),ISNUMBER(L423)),IF(AND(K423&gt;0,L423&gt;0,K423-L423&gt;0,COUNTIFS(A424:A$2005,A423,F424:F$2005,F423,H424:H$2005,H423,AA424:AA$2005,"&gt;0")=0),ROUND(K423-L423,6),""),"")</f>
        <v/>
      </c>
      <c r="X423" s="60" t="str">
        <f>IF(AND(A423="",C423="",D423="",H423="",L423=""),"",IF(A423="","Type manquant",IF(AND(A423&lt;&gt;"BL",A423&lt;&gt;"BR",A423&lt;&gt;"BS"),"Type inconnu (BL, BR ou BS)",IF(AG423=0,"Date manquante ou invalide",IF(D423="",IF(A423="BL","Client manquant",IF(A423="BR","Fournisseur manquant","Service manquant")),IF(IF(A423="BL",ISNA(MATCH(D423,cl_code,0)),IF(A423="BR",ISNA(MATCH(D423,fo_code,0)),ISNA(MATCH(D423,p_services,0)))),IF(A423="BL","Client inconnu",IF(A423="BR","Fournisseur inconnu","Service inconnu")),IF(H423="","Article manquant",IF(ISNA(MATCH(H423,art_ref,0)),"Article inconnu",IF(OR(NOT(ISNUMBER(L423)),N(L423)&lt;=0),"Quantité invalide",IF(AND(K423&lt;&gt;"",OR(NOT(ISNUMBER(K423)),N(K423)&lt;=0)),"Qté commandée invalide",IF(AG423&lt;SUMPRODUCT(MAX((A$6:A422=A423)*AG$6:AG422)),"Date antérieure au bon précédent",IF(AND(A423&lt;&gt;"BR",ISNUMBER(M423),N(M423)&gt;0),IF(A423="BL","Livré plus que commandé","Sorti plus que demandé"),"OK"))))))))))))</f>
        <v/>
      </c>
      <c r="Y423" s="57" t="str">
        <f>IF(AND(OR(A423="BL",A423="BR",A423="BS"),AG423&gt;0,D423&lt;&gt;""),A423&amp;"|"&amp;AG423&amp;"|"&amp;D423&amp;"|"&amp;F423,"")</f>
        <v/>
      </c>
      <c r="Z423" s="57" t="str">
        <f>IF(Y423="","",IF(COUNTIF(Y$6:Y422,Y423)=0,1,0))</f>
        <v/>
      </c>
      <c r="AA423" s="57" t="str">
        <f>IF(Y423="","",IF(Z423=1,COUNTIFS(A$6:A423,A423,Z$6:Z423,1),INDEX(AA$6:AA422,MATCH(Y423,Y$6:Y422,0))))</f>
        <v/>
      </c>
      <c r="AB423" s="57" t="str">
        <f>IF(B423="","",COUNTIF(B$6:B423,B423))</f>
        <v/>
      </c>
      <c r="AC423" s="57" t="str">
        <f>IF(B423="","",B423&amp;"#"&amp;AB423)</f>
        <v/>
      </c>
      <c r="AD423" s="57" t="str">
        <f>IF(Z423=1,A423&amp;AA423,"")</f>
        <v/>
      </c>
      <c r="AE423" s="57" t="str">
        <f>IF(B423="","",YEAR(C423))</f>
        <v/>
      </c>
      <c r="AF423" s="57" t="str">
        <f>IF(B423="","",MONTH(C423))</f>
        <v/>
      </c>
      <c r="AG423" s="57">
        <f>IF(ISNUMBER(C423),C423,0)</f>
        <v>0.0</v>
      </c>
      <c r="AH423" s="57" t="str">
        <f>IF(N(W423)&gt;0,COUNTIF(W$6:W423,"&gt;0"),"")</f>
        <v/>
      </c>
      <c r="AI423" s="57" t="str">
        <f>IF(Z423=1,COUNTIF(Z$6:Z423,1),"")</f>
        <v/>
      </c>
    </row>
    <row r="424">
      <c r="A424" s="54" t="n"/>
      <c r="B424" s="55" t="str">
        <f>IF(AA424="","",A424&amp;"-"&amp;RIGHT("000"&amp;AA424,4))</f>
        <v/>
      </c>
      <c r="C424" s="56" t="n"/>
      <c r="D424" s="54" t="n"/>
      <c r="E424" s="57" t="str">
        <f>IF(D424="","",IF(A424="BL",IFERROR(INDEX(cl_name,MATCH(D424,cl_code,0))&amp;"","Client inconnu"),IF(A424="BR",IFERROR(INDEX(fo_name,MATCH(D424,fo_code,0))&amp;"","Fournisseur inconnu"),IF(A424="BS",IF(ISNA(MATCH(D424,p_services,0)),"Service inconnu",D424&amp;""),""))))</f>
        <v/>
      </c>
      <c r="F424" s="58" t="n"/>
      <c r="G424" s="58" t="n"/>
      <c r="H424" s="59" t="n"/>
      <c r="I424" s="57" t="str">
        <f>IF(H424="","",IFERROR(INDEX(art_des,MATCH(H424,art_ref,0))&amp;"","Article inconnu"))</f>
        <v/>
      </c>
      <c r="J424" s="60" t="str">
        <f>IF(H424="","",IFERROR(INDEX(art_unit,MATCH(H424,art_ref,0))&amp;"",""))</f>
        <v/>
      </c>
      <c r="K424" s="59" t="n"/>
      <c r="L424" s="59" t="n"/>
      <c r="M424" s="61" t="str">
        <f>IF(OR(B424="",NOT(ISNUMBER(K424)),NOT(ISNUMBER(L424))),"",IF(OR(K424&lt;=0,L424&lt;=0),"",ROUND(L424-K424,6)))</f>
        <v/>
      </c>
      <c r="N424" s="58" t="n"/>
      <c r="O424" s="62" t="n"/>
      <c r="P424" s="63" t="str">
        <f>IF(OR(B424="",NOT(ISNUMBER(L424))),"",IF(L424&lt;=0,"",IFERROR(ROUND(L424*N(INDEX(art_w,MATCH(H424,art_ref,0))),3),"")))</f>
        <v/>
      </c>
      <c r="Q424" s="59" t="n"/>
      <c r="R424" s="54" t="n"/>
      <c r="S424" s="59" t="n"/>
      <c r="T424" s="59" t="n"/>
      <c r="U424" s="64" t="str">
        <f>IF(OR(B424="",H424=""),"",IFERROR(IF(A424="BL",IF(N(INDEX(art_price,MATCH(H424,art_ref,0)))=0,"",N(INDEX(art_price,MATCH(H424,art_ref,0)))),IF(N(INDEX(art_cost,MATCH(H424,art_ref,0)))=0,"",N(INDEX(art_cost,MATCH(H424,art_ref,0))))),""))</f>
        <v/>
      </c>
      <c r="V424" s="64" t="str">
        <f>IF(OR(U424="",NOT(ISNUMBER(L424))),"",IF(L424&lt;=0,"",ROUND(L424*U424,2)))</f>
        <v/>
      </c>
      <c r="W424" s="60" t="str">
        <f>IF(AND(B424&lt;&gt;"",A424&lt;&gt;"BS",F424&lt;&gt;"",H424&lt;&gt;"",ISNUMBER(K424),ISNUMBER(L424)),IF(AND(K424&gt;0,L424&gt;0,K424-L424&gt;0,COUNTIFS(A425:A$2005,A424,F425:F$2005,F424,H425:H$2005,H424,AA425:AA$2005,"&gt;0")=0),ROUND(K424-L424,6),""),"")</f>
        <v/>
      </c>
      <c r="X424" s="60" t="str">
        <f>IF(AND(A424="",C424="",D424="",H424="",L424=""),"",IF(A424="","Type manquant",IF(AND(A424&lt;&gt;"BL",A424&lt;&gt;"BR",A424&lt;&gt;"BS"),"Type inconnu (BL, BR ou BS)",IF(AG424=0,"Date manquante ou invalide",IF(D424="",IF(A424="BL","Client manquant",IF(A424="BR","Fournisseur manquant","Service manquant")),IF(IF(A424="BL",ISNA(MATCH(D424,cl_code,0)),IF(A424="BR",ISNA(MATCH(D424,fo_code,0)),ISNA(MATCH(D424,p_services,0)))),IF(A424="BL","Client inconnu",IF(A424="BR","Fournisseur inconnu","Service inconnu")),IF(H424="","Article manquant",IF(ISNA(MATCH(H424,art_ref,0)),"Article inconnu",IF(OR(NOT(ISNUMBER(L424)),N(L424)&lt;=0),"Quantité invalide",IF(AND(K424&lt;&gt;"",OR(NOT(ISNUMBER(K424)),N(K424)&lt;=0)),"Qté commandée invalide",IF(AG424&lt;SUMPRODUCT(MAX((A$6:A423=A424)*AG$6:AG423)),"Date antérieure au bon précédent",IF(AND(A424&lt;&gt;"BR",ISNUMBER(M424),N(M424)&gt;0),IF(A424="BL","Livré plus que commandé","Sorti plus que demandé"),"OK"))))))))))))</f>
        <v/>
      </c>
      <c r="Y424" s="57" t="str">
        <f>IF(AND(OR(A424="BL",A424="BR",A424="BS"),AG424&gt;0,D424&lt;&gt;""),A424&amp;"|"&amp;AG424&amp;"|"&amp;D424&amp;"|"&amp;F424,"")</f>
        <v/>
      </c>
      <c r="Z424" s="57" t="str">
        <f>IF(Y424="","",IF(COUNTIF(Y$6:Y423,Y424)=0,1,0))</f>
        <v/>
      </c>
      <c r="AA424" s="57" t="str">
        <f>IF(Y424="","",IF(Z424=1,COUNTIFS(A$6:A424,A424,Z$6:Z424,1),INDEX(AA$6:AA423,MATCH(Y424,Y$6:Y423,0))))</f>
        <v/>
      </c>
      <c r="AB424" s="57" t="str">
        <f>IF(B424="","",COUNTIF(B$6:B424,B424))</f>
        <v/>
      </c>
      <c r="AC424" s="57" t="str">
        <f>IF(B424="","",B424&amp;"#"&amp;AB424)</f>
        <v/>
      </c>
      <c r="AD424" s="57" t="str">
        <f>IF(Z424=1,A424&amp;AA424,"")</f>
        <v/>
      </c>
      <c r="AE424" s="57" t="str">
        <f>IF(B424="","",YEAR(C424))</f>
        <v/>
      </c>
      <c r="AF424" s="57" t="str">
        <f>IF(B424="","",MONTH(C424))</f>
        <v/>
      </c>
      <c r="AG424" s="57">
        <f>IF(ISNUMBER(C424),C424,0)</f>
        <v>0.0</v>
      </c>
      <c r="AH424" s="57" t="str">
        <f>IF(N(W424)&gt;0,COUNTIF(W$6:W424,"&gt;0"),"")</f>
        <v/>
      </c>
      <c r="AI424" s="57" t="str">
        <f>IF(Z424=1,COUNTIF(Z$6:Z424,1),"")</f>
        <v/>
      </c>
    </row>
    <row r="425">
      <c r="A425" s="54" t="n"/>
      <c r="B425" s="55" t="str">
        <f>IF(AA425="","",A425&amp;"-"&amp;RIGHT("000"&amp;AA425,4))</f>
        <v/>
      </c>
      <c r="C425" s="56" t="n"/>
      <c r="D425" s="54" t="n"/>
      <c r="E425" s="57" t="str">
        <f>IF(D425="","",IF(A425="BL",IFERROR(INDEX(cl_name,MATCH(D425,cl_code,0))&amp;"","Client inconnu"),IF(A425="BR",IFERROR(INDEX(fo_name,MATCH(D425,fo_code,0))&amp;"","Fournisseur inconnu"),IF(A425="BS",IF(ISNA(MATCH(D425,p_services,0)),"Service inconnu",D425&amp;""),""))))</f>
        <v/>
      </c>
      <c r="F425" s="58" t="n"/>
      <c r="G425" s="58" t="n"/>
      <c r="H425" s="59" t="n"/>
      <c r="I425" s="57" t="str">
        <f>IF(H425="","",IFERROR(INDEX(art_des,MATCH(H425,art_ref,0))&amp;"","Article inconnu"))</f>
        <v/>
      </c>
      <c r="J425" s="60" t="str">
        <f>IF(H425="","",IFERROR(INDEX(art_unit,MATCH(H425,art_ref,0))&amp;"",""))</f>
        <v/>
      </c>
      <c r="K425" s="59" t="n"/>
      <c r="L425" s="59" t="n"/>
      <c r="M425" s="61" t="str">
        <f>IF(OR(B425="",NOT(ISNUMBER(K425)),NOT(ISNUMBER(L425))),"",IF(OR(K425&lt;=0,L425&lt;=0),"",ROUND(L425-K425,6)))</f>
        <v/>
      </c>
      <c r="N425" s="58" t="n"/>
      <c r="O425" s="62" t="n"/>
      <c r="P425" s="63" t="str">
        <f>IF(OR(B425="",NOT(ISNUMBER(L425))),"",IF(L425&lt;=0,"",IFERROR(ROUND(L425*N(INDEX(art_w,MATCH(H425,art_ref,0))),3),"")))</f>
        <v/>
      </c>
      <c r="Q425" s="59" t="n"/>
      <c r="R425" s="54" t="n"/>
      <c r="S425" s="59" t="n"/>
      <c r="T425" s="59" t="n"/>
      <c r="U425" s="64" t="str">
        <f>IF(OR(B425="",H425=""),"",IFERROR(IF(A425="BL",IF(N(INDEX(art_price,MATCH(H425,art_ref,0)))=0,"",N(INDEX(art_price,MATCH(H425,art_ref,0)))),IF(N(INDEX(art_cost,MATCH(H425,art_ref,0)))=0,"",N(INDEX(art_cost,MATCH(H425,art_ref,0))))),""))</f>
        <v/>
      </c>
      <c r="V425" s="64" t="str">
        <f>IF(OR(U425="",NOT(ISNUMBER(L425))),"",IF(L425&lt;=0,"",ROUND(L425*U425,2)))</f>
        <v/>
      </c>
      <c r="W425" s="60" t="str">
        <f>IF(AND(B425&lt;&gt;"",A425&lt;&gt;"BS",F425&lt;&gt;"",H425&lt;&gt;"",ISNUMBER(K425),ISNUMBER(L425)),IF(AND(K425&gt;0,L425&gt;0,K425-L425&gt;0,COUNTIFS(A426:A$2005,A425,F426:F$2005,F425,H426:H$2005,H425,AA426:AA$2005,"&gt;0")=0),ROUND(K425-L425,6),""),"")</f>
        <v/>
      </c>
      <c r="X425" s="60" t="str">
        <f>IF(AND(A425="",C425="",D425="",H425="",L425=""),"",IF(A425="","Type manquant",IF(AND(A425&lt;&gt;"BL",A425&lt;&gt;"BR",A425&lt;&gt;"BS"),"Type inconnu (BL, BR ou BS)",IF(AG425=0,"Date manquante ou invalide",IF(D425="",IF(A425="BL","Client manquant",IF(A425="BR","Fournisseur manquant","Service manquant")),IF(IF(A425="BL",ISNA(MATCH(D425,cl_code,0)),IF(A425="BR",ISNA(MATCH(D425,fo_code,0)),ISNA(MATCH(D425,p_services,0)))),IF(A425="BL","Client inconnu",IF(A425="BR","Fournisseur inconnu","Service inconnu")),IF(H425="","Article manquant",IF(ISNA(MATCH(H425,art_ref,0)),"Article inconnu",IF(OR(NOT(ISNUMBER(L425)),N(L425)&lt;=0),"Quantité invalide",IF(AND(K425&lt;&gt;"",OR(NOT(ISNUMBER(K425)),N(K425)&lt;=0)),"Qté commandée invalide",IF(AG425&lt;SUMPRODUCT(MAX((A$6:A424=A425)*AG$6:AG424)),"Date antérieure au bon précédent",IF(AND(A425&lt;&gt;"BR",ISNUMBER(M425),N(M425)&gt;0),IF(A425="BL","Livré plus que commandé","Sorti plus que demandé"),"OK"))))))))))))</f>
        <v/>
      </c>
      <c r="Y425" s="57" t="str">
        <f>IF(AND(OR(A425="BL",A425="BR",A425="BS"),AG425&gt;0,D425&lt;&gt;""),A425&amp;"|"&amp;AG425&amp;"|"&amp;D425&amp;"|"&amp;F425,"")</f>
        <v/>
      </c>
      <c r="Z425" s="57" t="str">
        <f>IF(Y425="","",IF(COUNTIF(Y$6:Y424,Y425)=0,1,0))</f>
        <v/>
      </c>
      <c r="AA425" s="57" t="str">
        <f>IF(Y425="","",IF(Z425=1,COUNTIFS(A$6:A425,A425,Z$6:Z425,1),INDEX(AA$6:AA424,MATCH(Y425,Y$6:Y424,0))))</f>
        <v/>
      </c>
      <c r="AB425" s="57" t="str">
        <f>IF(B425="","",COUNTIF(B$6:B425,B425))</f>
        <v/>
      </c>
      <c r="AC425" s="57" t="str">
        <f>IF(B425="","",B425&amp;"#"&amp;AB425)</f>
        <v/>
      </c>
      <c r="AD425" s="57" t="str">
        <f>IF(Z425=1,A425&amp;AA425,"")</f>
        <v/>
      </c>
      <c r="AE425" s="57" t="str">
        <f>IF(B425="","",YEAR(C425))</f>
        <v/>
      </c>
      <c r="AF425" s="57" t="str">
        <f>IF(B425="","",MONTH(C425))</f>
        <v/>
      </c>
      <c r="AG425" s="57">
        <f>IF(ISNUMBER(C425),C425,0)</f>
        <v>0.0</v>
      </c>
      <c r="AH425" s="57" t="str">
        <f>IF(N(W425)&gt;0,COUNTIF(W$6:W425,"&gt;0"),"")</f>
        <v/>
      </c>
      <c r="AI425" s="57" t="str">
        <f>IF(Z425=1,COUNTIF(Z$6:Z425,1),"")</f>
        <v/>
      </c>
    </row>
    <row r="426">
      <c r="A426" s="54" t="n"/>
      <c r="B426" s="55" t="str">
        <f>IF(AA426="","",A426&amp;"-"&amp;RIGHT("000"&amp;AA426,4))</f>
        <v/>
      </c>
      <c r="C426" s="56" t="n"/>
      <c r="D426" s="54" t="n"/>
      <c r="E426" s="57" t="str">
        <f>IF(D426="","",IF(A426="BL",IFERROR(INDEX(cl_name,MATCH(D426,cl_code,0))&amp;"","Client inconnu"),IF(A426="BR",IFERROR(INDEX(fo_name,MATCH(D426,fo_code,0))&amp;"","Fournisseur inconnu"),IF(A426="BS",IF(ISNA(MATCH(D426,p_services,0)),"Service inconnu",D426&amp;""),""))))</f>
        <v/>
      </c>
      <c r="F426" s="58" t="n"/>
      <c r="G426" s="58" t="n"/>
      <c r="H426" s="59" t="n"/>
      <c r="I426" s="57" t="str">
        <f>IF(H426="","",IFERROR(INDEX(art_des,MATCH(H426,art_ref,0))&amp;"","Article inconnu"))</f>
        <v/>
      </c>
      <c r="J426" s="60" t="str">
        <f>IF(H426="","",IFERROR(INDEX(art_unit,MATCH(H426,art_ref,0))&amp;"",""))</f>
        <v/>
      </c>
      <c r="K426" s="59" t="n"/>
      <c r="L426" s="59" t="n"/>
      <c r="M426" s="61" t="str">
        <f>IF(OR(B426="",NOT(ISNUMBER(K426)),NOT(ISNUMBER(L426))),"",IF(OR(K426&lt;=0,L426&lt;=0),"",ROUND(L426-K426,6)))</f>
        <v/>
      </c>
      <c r="N426" s="58" t="n"/>
      <c r="O426" s="62" t="n"/>
      <c r="P426" s="63" t="str">
        <f>IF(OR(B426="",NOT(ISNUMBER(L426))),"",IF(L426&lt;=0,"",IFERROR(ROUND(L426*N(INDEX(art_w,MATCH(H426,art_ref,0))),3),"")))</f>
        <v/>
      </c>
      <c r="Q426" s="59" t="n"/>
      <c r="R426" s="54" t="n"/>
      <c r="S426" s="59" t="n"/>
      <c r="T426" s="59" t="n"/>
      <c r="U426" s="64" t="str">
        <f>IF(OR(B426="",H426=""),"",IFERROR(IF(A426="BL",IF(N(INDEX(art_price,MATCH(H426,art_ref,0)))=0,"",N(INDEX(art_price,MATCH(H426,art_ref,0)))),IF(N(INDEX(art_cost,MATCH(H426,art_ref,0)))=0,"",N(INDEX(art_cost,MATCH(H426,art_ref,0))))),""))</f>
        <v/>
      </c>
      <c r="V426" s="64" t="str">
        <f>IF(OR(U426="",NOT(ISNUMBER(L426))),"",IF(L426&lt;=0,"",ROUND(L426*U426,2)))</f>
        <v/>
      </c>
      <c r="W426" s="60" t="str">
        <f>IF(AND(B426&lt;&gt;"",A426&lt;&gt;"BS",F426&lt;&gt;"",H426&lt;&gt;"",ISNUMBER(K426),ISNUMBER(L426)),IF(AND(K426&gt;0,L426&gt;0,K426-L426&gt;0,COUNTIFS(A427:A$2005,A426,F427:F$2005,F426,H427:H$2005,H426,AA427:AA$2005,"&gt;0")=0),ROUND(K426-L426,6),""),"")</f>
        <v/>
      </c>
      <c r="X426" s="60" t="str">
        <f>IF(AND(A426="",C426="",D426="",H426="",L426=""),"",IF(A426="","Type manquant",IF(AND(A426&lt;&gt;"BL",A426&lt;&gt;"BR",A426&lt;&gt;"BS"),"Type inconnu (BL, BR ou BS)",IF(AG426=0,"Date manquante ou invalide",IF(D426="",IF(A426="BL","Client manquant",IF(A426="BR","Fournisseur manquant","Service manquant")),IF(IF(A426="BL",ISNA(MATCH(D426,cl_code,0)),IF(A426="BR",ISNA(MATCH(D426,fo_code,0)),ISNA(MATCH(D426,p_services,0)))),IF(A426="BL","Client inconnu",IF(A426="BR","Fournisseur inconnu","Service inconnu")),IF(H426="","Article manquant",IF(ISNA(MATCH(H426,art_ref,0)),"Article inconnu",IF(OR(NOT(ISNUMBER(L426)),N(L426)&lt;=0),"Quantité invalide",IF(AND(K426&lt;&gt;"",OR(NOT(ISNUMBER(K426)),N(K426)&lt;=0)),"Qté commandée invalide",IF(AG426&lt;SUMPRODUCT(MAX((A$6:A425=A426)*AG$6:AG425)),"Date antérieure au bon précédent",IF(AND(A426&lt;&gt;"BR",ISNUMBER(M426),N(M426)&gt;0),IF(A426="BL","Livré plus que commandé","Sorti plus que demandé"),"OK"))))))))))))</f>
        <v/>
      </c>
      <c r="Y426" s="57" t="str">
        <f>IF(AND(OR(A426="BL",A426="BR",A426="BS"),AG426&gt;0,D426&lt;&gt;""),A426&amp;"|"&amp;AG426&amp;"|"&amp;D426&amp;"|"&amp;F426,"")</f>
        <v/>
      </c>
      <c r="Z426" s="57" t="str">
        <f>IF(Y426="","",IF(COUNTIF(Y$6:Y425,Y426)=0,1,0))</f>
        <v/>
      </c>
      <c r="AA426" s="57" t="str">
        <f>IF(Y426="","",IF(Z426=1,COUNTIFS(A$6:A426,A426,Z$6:Z426,1),INDEX(AA$6:AA425,MATCH(Y426,Y$6:Y425,0))))</f>
        <v/>
      </c>
      <c r="AB426" s="57" t="str">
        <f>IF(B426="","",COUNTIF(B$6:B426,B426))</f>
        <v/>
      </c>
      <c r="AC426" s="57" t="str">
        <f>IF(B426="","",B426&amp;"#"&amp;AB426)</f>
        <v/>
      </c>
      <c r="AD426" s="57" t="str">
        <f>IF(Z426=1,A426&amp;AA426,"")</f>
        <v/>
      </c>
      <c r="AE426" s="57" t="str">
        <f>IF(B426="","",YEAR(C426))</f>
        <v/>
      </c>
      <c r="AF426" s="57" t="str">
        <f>IF(B426="","",MONTH(C426))</f>
        <v/>
      </c>
      <c r="AG426" s="57">
        <f>IF(ISNUMBER(C426),C426,0)</f>
        <v>0.0</v>
      </c>
      <c r="AH426" s="57" t="str">
        <f>IF(N(W426)&gt;0,COUNTIF(W$6:W426,"&gt;0"),"")</f>
        <v/>
      </c>
      <c r="AI426" s="57" t="str">
        <f>IF(Z426=1,COUNTIF(Z$6:Z426,1),"")</f>
        <v/>
      </c>
    </row>
    <row r="427">
      <c r="A427" s="54" t="n"/>
      <c r="B427" s="55" t="str">
        <f>IF(AA427="","",A427&amp;"-"&amp;RIGHT("000"&amp;AA427,4))</f>
        <v/>
      </c>
      <c r="C427" s="56" t="n"/>
      <c r="D427" s="54" t="n"/>
      <c r="E427" s="57" t="str">
        <f>IF(D427="","",IF(A427="BL",IFERROR(INDEX(cl_name,MATCH(D427,cl_code,0))&amp;"","Client inconnu"),IF(A427="BR",IFERROR(INDEX(fo_name,MATCH(D427,fo_code,0))&amp;"","Fournisseur inconnu"),IF(A427="BS",IF(ISNA(MATCH(D427,p_services,0)),"Service inconnu",D427&amp;""),""))))</f>
        <v/>
      </c>
      <c r="F427" s="58" t="n"/>
      <c r="G427" s="58" t="n"/>
      <c r="H427" s="59" t="n"/>
      <c r="I427" s="57" t="str">
        <f>IF(H427="","",IFERROR(INDEX(art_des,MATCH(H427,art_ref,0))&amp;"","Article inconnu"))</f>
        <v/>
      </c>
      <c r="J427" s="60" t="str">
        <f>IF(H427="","",IFERROR(INDEX(art_unit,MATCH(H427,art_ref,0))&amp;"",""))</f>
        <v/>
      </c>
      <c r="K427" s="59" t="n"/>
      <c r="L427" s="59" t="n"/>
      <c r="M427" s="61" t="str">
        <f>IF(OR(B427="",NOT(ISNUMBER(K427)),NOT(ISNUMBER(L427))),"",IF(OR(K427&lt;=0,L427&lt;=0),"",ROUND(L427-K427,6)))</f>
        <v/>
      </c>
      <c r="N427" s="58" t="n"/>
      <c r="O427" s="62" t="n"/>
      <c r="P427" s="63" t="str">
        <f>IF(OR(B427="",NOT(ISNUMBER(L427))),"",IF(L427&lt;=0,"",IFERROR(ROUND(L427*N(INDEX(art_w,MATCH(H427,art_ref,0))),3),"")))</f>
        <v/>
      </c>
      <c r="Q427" s="59" t="n"/>
      <c r="R427" s="54" t="n"/>
      <c r="S427" s="59" t="n"/>
      <c r="T427" s="59" t="n"/>
      <c r="U427" s="64" t="str">
        <f>IF(OR(B427="",H427=""),"",IFERROR(IF(A427="BL",IF(N(INDEX(art_price,MATCH(H427,art_ref,0)))=0,"",N(INDEX(art_price,MATCH(H427,art_ref,0)))),IF(N(INDEX(art_cost,MATCH(H427,art_ref,0)))=0,"",N(INDEX(art_cost,MATCH(H427,art_ref,0))))),""))</f>
        <v/>
      </c>
      <c r="V427" s="64" t="str">
        <f>IF(OR(U427="",NOT(ISNUMBER(L427))),"",IF(L427&lt;=0,"",ROUND(L427*U427,2)))</f>
        <v/>
      </c>
      <c r="W427" s="60" t="str">
        <f>IF(AND(B427&lt;&gt;"",A427&lt;&gt;"BS",F427&lt;&gt;"",H427&lt;&gt;"",ISNUMBER(K427),ISNUMBER(L427)),IF(AND(K427&gt;0,L427&gt;0,K427-L427&gt;0,COUNTIFS(A428:A$2005,A427,F428:F$2005,F427,H428:H$2005,H427,AA428:AA$2005,"&gt;0")=0),ROUND(K427-L427,6),""),"")</f>
        <v/>
      </c>
      <c r="X427" s="60" t="str">
        <f>IF(AND(A427="",C427="",D427="",H427="",L427=""),"",IF(A427="","Type manquant",IF(AND(A427&lt;&gt;"BL",A427&lt;&gt;"BR",A427&lt;&gt;"BS"),"Type inconnu (BL, BR ou BS)",IF(AG427=0,"Date manquante ou invalide",IF(D427="",IF(A427="BL","Client manquant",IF(A427="BR","Fournisseur manquant","Service manquant")),IF(IF(A427="BL",ISNA(MATCH(D427,cl_code,0)),IF(A427="BR",ISNA(MATCH(D427,fo_code,0)),ISNA(MATCH(D427,p_services,0)))),IF(A427="BL","Client inconnu",IF(A427="BR","Fournisseur inconnu","Service inconnu")),IF(H427="","Article manquant",IF(ISNA(MATCH(H427,art_ref,0)),"Article inconnu",IF(OR(NOT(ISNUMBER(L427)),N(L427)&lt;=0),"Quantité invalide",IF(AND(K427&lt;&gt;"",OR(NOT(ISNUMBER(K427)),N(K427)&lt;=0)),"Qté commandée invalide",IF(AG427&lt;SUMPRODUCT(MAX((A$6:A426=A427)*AG$6:AG426)),"Date antérieure au bon précédent",IF(AND(A427&lt;&gt;"BR",ISNUMBER(M427),N(M427)&gt;0),IF(A427="BL","Livré plus que commandé","Sorti plus que demandé"),"OK"))))))))))))</f>
        <v/>
      </c>
      <c r="Y427" s="57" t="str">
        <f>IF(AND(OR(A427="BL",A427="BR",A427="BS"),AG427&gt;0,D427&lt;&gt;""),A427&amp;"|"&amp;AG427&amp;"|"&amp;D427&amp;"|"&amp;F427,"")</f>
        <v/>
      </c>
      <c r="Z427" s="57" t="str">
        <f>IF(Y427="","",IF(COUNTIF(Y$6:Y426,Y427)=0,1,0))</f>
        <v/>
      </c>
      <c r="AA427" s="57" t="str">
        <f>IF(Y427="","",IF(Z427=1,COUNTIFS(A$6:A427,A427,Z$6:Z427,1),INDEX(AA$6:AA426,MATCH(Y427,Y$6:Y426,0))))</f>
        <v/>
      </c>
      <c r="AB427" s="57" t="str">
        <f>IF(B427="","",COUNTIF(B$6:B427,B427))</f>
        <v/>
      </c>
      <c r="AC427" s="57" t="str">
        <f>IF(B427="","",B427&amp;"#"&amp;AB427)</f>
        <v/>
      </c>
      <c r="AD427" s="57" t="str">
        <f>IF(Z427=1,A427&amp;AA427,"")</f>
        <v/>
      </c>
      <c r="AE427" s="57" t="str">
        <f>IF(B427="","",YEAR(C427))</f>
        <v/>
      </c>
      <c r="AF427" s="57" t="str">
        <f>IF(B427="","",MONTH(C427))</f>
        <v/>
      </c>
      <c r="AG427" s="57">
        <f>IF(ISNUMBER(C427),C427,0)</f>
        <v>0.0</v>
      </c>
      <c r="AH427" s="57" t="str">
        <f>IF(N(W427)&gt;0,COUNTIF(W$6:W427,"&gt;0"),"")</f>
        <v/>
      </c>
      <c r="AI427" s="57" t="str">
        <f>IF(Z427=1,COUNTIF(Z$6:Z427,1),"")</f>
        <v/>
      </c>
    </row>
    <row r="428">
      <c r="A428" s="54" t="n"/>
      <c r="B428" s="55" t="str">
        <f>IF(AA428="","",A428&amp;"-"&amp;RIGHT("000"&amp;AA428,4))</f>
        <v/>
      </c>
      <c r="C428" s="56" t="n"/>
      <c r="D428" s="54" t="n"/>
      <c r="E428" s="57" t="str">
        <f>IF(D428="","",IF(A428="BL",IFERROR(INDEX(cl_name,MATCH(D428,cl_code,0))&amp;"","Client inconnu"),IF(A428="BR",IFERROR(INDEX(fo_name,MATCH(D428,fo_code,0))&amp;"","Fournisseur inconnu"),IF(A428="BS",IF(ISNA(MATCH(D428,p_services,0)),"Service inconnu",D428&amp;""),""))))</f>
        <v/>
      </c>
      <c r="F428" s="58" t="n"/>
      <c r="G428" s="58" t="n"/>
      <c r="H428" s="59" t="n"/>
      <c r="I428" s="57" t="str">
        <f>IF(H428="","",IFERROR(INDEX(art_des,MATCH(H428,art_ref,0))&amp;"","Article inconnu"))</f>
        <v/>
      </c>
      <c r="J428" s="60" t="str">
        <f>IF(H428="","",IFERROR(INDEX(art_unit,MATCH(H428,art_ref,0))&amp;"",""))</f>
        <v/>
      </c>
      <c r="K428" s="59" t="n"/>
      <c r="L428" s="59" t="n"/>
      <c r="M428" s="61" t="str">
        <f>IF(OR(B428="",NOT(ISNUMBER(K428)),NOT(ISNUMBER(L428))),"",IF(OR(K428&lt;=0,L428&lt;=0),"",ROUND(L428-K428,6)))</f>
        <v/>
      </c>
      <c r="N428" s="58" t="n"/>
      <c r="O428" s="62" t="n"/>
      <c r="P428" s="63" t="str">
        <f>IF(OR(B428="",NOT(ISNUMBER(L428))),"",IF(L428&lt;=0,"",IFERROR(ROUND(L428*N(INDEX(art_w,MATCH(H428,art_ref,0))),3),"")))</f>
        <v/>
      </c>
      <c r="Q428" s="59" t="n"/>
      <c r="R428" s="54" t="n"/>
      <c r="S428" s="59" t="n"/>
      <c r="T428" s="59" t="n"/>
      <c r="U428" s="64" t="str">
        <f>IF(OR(B428="",H428=""),"",IFERROR(IF(A428="BL",IF(N(INDEX(art_price,MATCH(H428,art_ref,0)))=0,"",N(INDEX(art_price,MATCH(H428,art_ref,0)))),IF(N(INDEX(art_cost,MATCH(H428,art_ref,0)))=0,"",N(INDEX(art_cost,MATCH(H428,art_ref,0))))),""))</f>
        <v/>
      </c>
      <c r="V428" s="64" t="str">
        <f>IF(OR(U428="",NOT(ISNUMBER(L428))),"",IF(L428&lt;=0,"",ROUND(L428*U428,2)))</f>
        <v/>
      </c>
      <c r="W428" s="60" t="str">
        <f>IF(AND(B428&lt;&gt;"",A428&lt;&gt;"BS",F428&lt;&gt;"",H428&lt;&gt;"",ISNUMBER(K428),ISNUMBER(L428)),IF(AND(K428&gt;0,L428&gt;0,K428-L428&gt;0,COUNTIFS(A429:A$2005,A428,F429:F$2005,F428,H429:H$2005,H428,AA429:AA$2005,"&gt;0")=0),ROUND(K428-L428,6),""),"")</f>
        <v/>
      </c>
      <c r="X428" s="60" t="str">
        <f>IF(AND(A428="",C428="",D428="",H428="",L428=""),"",IF(A428="","Type manquant",IF(AND(A428&lt;&gt;"BL",A428&lt;&gt;"BR",A428&lt;&gt;"BS"),"Type inconnu (BL, BR ou BS)",IF(AG428=0,"Date manquante ou invalide",IF(D428="",IF(A428="BL","Client manquant",IF(A428="BR","Fournisseur manquant","Service manquant")),IF(IF(A428="BL",ISNA(MATCH(D428,cl_code,0)),IF(A428="BR",ISNA(MATCH(D428,fo_code,0)),ISNA(MATCH(D428,p_services,0)))),IF(A428="BL","Client inconnu",IF(A428="BR","Fournisseur inconnu","Service inconnu")),IF(H428="","Article manquant",IF(ISNA(MATCH(H428,art_ref,0)),"Article inconnu",IF(OR(NOT(ISNUMBER(L428)),N(L428)&lt;=0),"Quantité invalide",IF(AND(K428&lt;&gt;"",OR(NOT(ISNUMBER(K428)),N(K428)&lt;=0)),"Qté commandée invalide",IF(AG428&lt;SUMPRODUCT(MAX((A$6:A427=A428)*AG$6:AG427)),"Date antérieure au bon précédent",IF(AND(A428&lt;&gt;"BR",ISNUMBER(M428),N(M428)&gt;0),IF(A428="BL","Livré plus que commandé","Sorti plus que demandé"),"OK"))))))))))))</f>
        <v/>
      </c>
      <c r="Y428" s="57" t="str">
        <f>IF(AND(OR(A428="BL",A428="BR",A428="BS"),AG428&gt;0,D428&lt;&gt;""),A428&amp;"|"&amp;AG428&amp;"|"&amp;D428&amp;"|"&amp;F428,"")</f>
        <v/>
      </c>
      <c r="Z428" s="57" t="str">
        <f>IF(Y428="","",IF(COUNTIF(Y$6:Y427,Y428)=0,1,0))</f>
        <v/>
      </c>
      <c r="AA428" s="57" t="str">
        <f>IF(Y428="","",IF(Z428=1,COUNTIFS(A$6:A428,A428,Z$6:Z428,1),INDEX(AA$6:AA427,MATCH(Y428,Y$6:Y427,0))))</f>
        <v/>
      </c>
      <c r="AB428" s="57" t="str">
        <f>IF(B428="","",COUNTIF(B$6:B428,B428))</f>
        <v/>
      </c>
      <c r="AC428" s="57" t="str">
        <f>IF(B428="","",B428&amp;"#"&amp;AB428)</f>
        <v/>
      </c>
      <c r="AD428" s="57" t="str">
        <f>IF(Z428=1,A428&amp;AA428,"")</f>
        <v/>
      </c>
      <c r="AE428" s="57" t="str">
        <f>IF(B428="","",YEAR(C428))</f>
        <v/>
      </c>
      <c r="AF428" s="57" t="str">
        <f>IF(B428="","",MONTH(C428))</f>
        <v/>
      </c>
      <c r="AG428" s="57">
        <f>IF(ISNUMBER(C428),C428,0)</f>
        <v>0.0</v>
      </c>
      <c r="AH428" s="57" t="str">
        <f>IF(N(W428)&gt;0,COUNTIF(W$6:W428,"&gt;0"),"")</f>
        <v/>
      </c>
      <c r="AI428" s="57" t="str">
        <f>IF(Z428=1,COUNTIF(Z$6:Z428,1),"")</f>
        <v/>
      </c>
    </row>
    <row r="429">
      <c r="A429" s="54" t="n"/>
      <c r="B429" s="55" t="str">
        <f>IF(AA429="","",A429&amp;"-"&amp;RIGHT("000"&amp;AA429,4))</f>
        <v/>
      </c>
      <c r="C429" s="56" t="n"/>
      <c r="D429" s="54" t="n"/>
      <c r="E429" s="57" t="str">
        <f>IF(D429="","",IF(A429="BL",IFERROR(INDEX(cl_name,MATCH(D429,cl_code,0))&amp;"","Client inconnu"),IF(A429="BR",IFERROR(INDEX(fo_name,MATCH(D429,fo_code,0))&amp;"","Fournisseur inconnu"),IF(A429="BS",IF(ISNA(MATCH(D429,p_services,0)),"Service inconnu",D429&amp;""),""))))</f>
        <v/>
      </c>
      <c r="F429" s="58" t="n"/>
      <c r="G429" s="58" t="n"/>
      <c r="H429" s="59" t="n"/>
      <c r="I429" s="57" t="str">
        <f>IF(H429="","",IFERROR(INDEX(art_des,MATCH(H429,art_ref,0))&amp;"","Article inconnu"))</f>
        <v/>
      </c>
      <c r="J429" s="60" t="str">
        <f>IF(H429="","",IFERROR(INDEX(art_unit,MATCH(H429,art_ref,0))&amp;"",""))</f>
        <v/>
      </c>
      <c r="K429" s="59" t="n"/>
      <c r="L429" s="59" t="n"/>
      <c r="M429" s="61" t="str">
        <f>IF(OR(B429="",NOT(ISNUMBER(K429)),NOT(ISNUMBER(L429))),"",IF(OR(K429&lt;=0,L429&lt;=0),"",ROUND(L429-K429,6)))</f>
        <v/>
      </c>
      <c r="N429" s="58" t="n"/>
      <c r="O429" s="62" t="n"/>
      <c r="P429" s="63" t="str">
        <f>IF(OR(B429="",NOT(ISNUMBER(L429))),"",IF(L429&lt;=0,"",IFERROR(ROUND(L429*N(INDEX(art_w,MATCH(H429,art_ref,0))),3),"")))</f>
        <v/>
      </c>
      <c r="Q429" s="59" t="n"/>
      <c r="R429" s="54" t="n"/>
      <c r="S429" s="59" t="n"/>
      <c r="T429" s="59" t="n"/>
      <c r="U429" s="64" t="str">
        <f>IF(OR(B429="",H429=""),"",IFERROR(IF(A429="BL",IF(N(INDEX(art_price,MATCH(H429,art_ref,0)))=0,"",N(INDEX(art_price,MATCH(H429,art_ref,0)))),IF(N(INDEX(art_cost,MATCH(H429,art_ref,0)))=0,"",N(INDEX(art_cost,MATCH(H429,art_ref,0))))),""))</f>
        <v/>
      </c>
      <c r="V429" s="64" t="str">
        <f>IF(OR(U429="",NOT(ISNUMBER(L429))),"",IF(L429&lt;=0,"",ROUND(L429*U429,2)))</f>
        <v/>
      </c>
      <c r="W429" s="60" t="str">
        <f>IF(AND(B429&lt;&gt;"",A429&lt;&gt;"BS",F429&lt;&gt;"",H429&lt;&gt;"",ISNUMBER(K429),ISNUMBER(L429)),IF(AND(K429&gt;0,L429&gt;0,K429-L429&gt;0,COUNTIFS(A430:A$2005,A429,F430:F$2005,F429,H430:H$2005,H429,AA430:AA$2005,"&gt;0")=0),ROUND(K429-L429,6),""),"")</f>
        <v/>
      </c>
      <c r="X429" s="60" t="str">
        <f>IF(AND(A429="",C429="",D429="",H429="",L429=""),"",IF(A429="","Type manquant",IF(AND(A429&lt;&gt;"BL",A429&lt;&gt;"BR",A429&lt;&gt;"BS"),"Type inconnu (BL, BR ou BS)",IF(AG429=0,"Date manquante ou invalide",IF(D429="",IF(A429="BL","Client manquant",IF(A429="BR","Fournisseur manquant","Service manquant")),IF(IF(A429="BL",ISNA(MATCH(D429,cl_code,0)),IF(A429="BR",ISNA(MATCH(D429,fo_code,0)),ISNA(MATCH(D429,p_services,0)))),IF(A429="BL","Client inconnu",IF(A429="BR","Fournisseur inconnu","Service inconnu")),IF(H429="","Article manquant",IF(ISNA(MATCH(H429,art_ref,0)),"Article inconnu",IF(OR(NOT(ISNUMBER(L429)),N(L429)&lt;=0),"Quantité invalide",IF(AND(K429&lt;&gt;"",OR(NOT(ISNUMBER(K429)),N(K429)&lt;=0)),"Qté commandée invalide",IF(AG429&lt;SUMPRODUCT(MAX((A$6:A428=A429)*AG$6:AG428)),"Date antérieure au bon précédent",IF(AND(A429&lt;&gt;"BR",ISNUMBER(M429),N(M429)&gt;0),IF(A429="BL","Livré plus que commandé","Sorti plus que demandé"),"OK"))))))))))))</f>
        <v/>
      </c>
      <c r="Y429" s="57" t="str">
        <f>IF(AND(OR(A429="BL",A429="BR",A429="BS"),AG429&gt;0,D429&lt;&gt;""),A429&amp;"|"&amp;AG429&amp;"|"&amp;D429&amp;"|"&amp;F429,"")</f>
        <v/>
      </c>
      <c r="Z429" s="57" t="str">
        <f>IF(Y429="","",IF(COUNTIF(Y$6:Y428,Y429)=0,1,0))</f>
        <v/>
      </c>
      <c r="AA429" s="57" t="str">
        <f>IF(Y429="","",IF(Z429=1,COUNTIFS(A$6:A429,A429,Z$6:Z429,1),INDEX(AA$6:AA428,MATCH(Y429,Y$6:Y428,0))))</f>
        <v/>
      </c>
      <c r="AB429" s="57" t="str">
        <f>IF(B429="","",COUNTIF(B$6:B429,B429))</f>
        <v/>
      </c>
      <c r="AC429" s="57" t="str">
        <f>IF(B429="","",B429&amp;"#"&amp;AB429)</f>
        <v/>
      </c>
      <c r="AD429" s="57" t="str">
        <f>IF(Z429=1,A429&amp;AA429,"")</f>
        <v/>
      </c>
      <c r="AE429" s="57" t="str">
        <f>IF(B429="","",YEAR(C429))</f>
        <v/>
      </c>
      <c r="AF429" s="57" t="str">
        <f>IF(B429="","",MONTH(C429))</f>
        <v/>
      </c>
      <c r="AG429" s="57">
        <f>IF(ISNUMBER(C429),C429,0)</f>
        <v>0.0</v>
      </c>
      <c r="AH429" s="57" t="str">
        <f>IF(N(W429)&gt;0,COUNTIF(W$6:W429,"&gt;0"),"")</f>
        <v/>
      </c>
      <c r="AI429" s="57" t="str">
        <f>IF(Z429=1,COUNTIF(Z$6:Z429,1),"")</f>
        <v/>
      </c>
    </row>
    <row r="430">
      <c r="A430" s="54" t="n"/>
      <c r="B430" s="55" t="str">
        <f>IF(AA430="","",A430&amp;"-"&amp;RIGHT("000"&amp;AA430,4))</f>
        <v/>
      </c>
      <c r="C430" s="56" t="n"/>
      <c r="D430" s="54" t="n"/>
      <c r="E430" s="57" t="str">
        <f>IF(D430="","",IF(A430="BL",IFERROR(INDEX(cl_name,MATCH(D430,cl_code,0))&amp;"","Client inconnu"),IF(A430="BR",IFERROR(INDEX(fo_name,MATCH(D430,fo_code,0))&amp;"","Fournisseur inconnu"),IF(A430="BS",IF(ISNA(MATCH(D430,p_services,0)),"Service inconnu",D430&amp;""),""))))</f>
        <v/>
      </c>
      <c r="F430" s="58" t="n"/>
      <c r="G430" s="58" t="n"/>
      <c r="H430" s="59" t="n"/>
      <c r="I430" s="57" t="str">
        <f>IF(H430="","",IFERROR(INDEX(art_des,MATCH(H430,art_ref,0))&amp;"","Article inconnu"))</f>
        <v/>
      </c>
      <c r="J430" s="60" t="str">
        <f>IF(H430="","",IFERROR(INDEX(art_unit,MATCH(H430,art_ref,0))&amp;"",""))</f>
        <v/>
      </c>
      <c r="K430" s="59" t="n"/>
      <c r="L430" s="59" t="n"/>
      <c r="M430" s="61" t="str">
        <f>IF(OR(B430="",NOT(ISNUMBER(K430)),NOT(ISNUMBER(L430))),"",IF(OR(K430&lt;=0,L430&lt;=0),"",ROUND(L430-K430,6)))</f>
        <v/>
      </c>
      <c r="N430" s="58" t="n"/>
      <c r="O430" s="62" t="n"/>
      <c r="P430" s="63" t="str">
        <f>IF(OR(B430="",NOT(ISNUMBER(L430))),"",IF(L430&lt;=0,"",IFERROR(ROUND(L430*N(INDEX(art_w,MATCH(H430,art_ref,0))),3),"")))</f>
        <v/>
      </c>
      <c r="Q430" s="59" t="n"/>
      <c r="R430" s="54" t="n"/>
      <c r="S430" s="59" t="n"/>
      <c r="T430" s="59" t="n"/>
      <c r="U430" s="64" t="str">
        <f>IF(OR(B430="",H430=""),"",IFERROR(IF(A430="BL",IF(N(INDEX(art_price,MATCH(H430,art_ref,0)))=0,"",N(INDEX(art_price,MATCH(H430,art_ref,0)))),IF(N(INDEX(art_cost,MATCH(H430,art_ref,0)))=0,"",N(INDEX(art_cost,MATCH(H430,art_ref,0))))),""))</f>
        <v/>
      </c>
      <c r="V430" s="64" t="str">
        <f>IF(OR(U430="",NOT(ISNUMBER(L430))),"",IF(L430&lt;=0,"",ROUND(L430*U430,2)))</f>
        <v/>
      </c>
      <c r="W430" s="60" t="str">
        <f>IF(AND(B430&lt;&gt;"",A430&lt;&gt;"BS",F430&lt;&gt;"",H430&lt;&gt;"",ISNUMBER(K430),ISNUMBER(L430)),IF(AND(K430&gt;0,L430&gt;0,K430-L430&gt;0,COUNTIFS(A431:A$2005,A430,F431:F$2005,F430,H431:H$2005,H430,AA431:AA$2005,"&gt;0")=0),ROUND(K430-L430,6),""),"")</f>
        <v/>
      </c>
      <c r="X430" s="60" t="str">
        <f>IF(AND(A430="",C430="",D430="",H430="",L430=""),"",IF(A430="","Type manquant",IF(AND(A430&lt;&gt;"BL",A430&lt;&gt;"BR",A430&lt;&gt;"BS"),"Type inconnu (BL, BR ou BS)",IF(AG430=0,"Date manquante ou invalide",IF(D430="",IF(A430="BL","Client manquant",IF(A430="BR","Fournisseur manquant","Service manquant")),IF(IF(A430="BL",ISNA(MATCH(D430,cl_code,0)),IF(A430="BR",ISNA(MATCH(D430,fo_code,0)),ISNA(MATCH(D430,p_services,0)))),IF(A430="BL","Client inconnu",IF(A430="BR","Fournisseur inconnu","Service inconnu")),IF(H430="","Article manquant",IF(ISNA(MATCH(H430,art_ref,0)),"Article inconnu",IF(OR(NOT(ISNUMBER(L430)),N(L430)&lt;=0),"Quantité invalide",IF(AND(K430&lt;&gt;"",OR(NOT(ISNUMBER(K430)),N(K430)&lt;=0)),"Qté commandée invalide",IF(AG430&lt;SUMPRODUCT(MAX((A$6:A429=A430)*AG$6:AG429)),"Date antérieure au bon précédent",IF(AND(A430&lt;&gt;"BR",ISNUMBER(M430),N(M430)&gt;0),IF(A430="BL","Livré plus que commandé","Sorti plus que demandé"),"OK"))))))))))))</f>
        <v/>
      </c>
      <c r="Y430" s="57" t="str">
        <f>IF(AND(OR(A430="BL",A430="BR",A430="BS"),AG430&gt;0,D430&lt;&gt;""),A430&amp;"|"&amp;AG430&amp;"|"&amp;D430&amp;"|"&amp;F430,"")</f>
        <v/>
      </c>
      <c r="Z430" s="57" t="str">
        <f>IF(Y430="","",IF(COUNTIF(Y$6:Y429,Y430)=0,1,0))</f>
        <v/>
      </c>
      <c r="AA430" s="57" t="str">
        <f>IF(Y430="","",IF(Z430=1,COUNTIFS(A$6:A430,A430,Z$6:Z430,1),INDEX(AA$6:AA429,MATCH(Y430,Y$6:Y429,0))))</f>
        <v/>
      </c>
      <c r="AB430" s="57" t="str">
        <f>IF(B430="","",COUNTIF(B$6:B430,B430))</f>
        <v/>
      </c>
      <c r="AC430" s="57" t="str">
        <f>IF(B430="","",B430&amp;"#"&amp;AB430)</f>
        <v/>
      </c>
      <c r="AD430" s="57" t="str">
        <f>IF(Z430=1,A430&amp;AA430,"")</f>
        <v/>
      </c>
      <c r="AE430" s="57" t="str">
        <f>IF(B430="","",YEAR(C430))</f>
        <v/>
      </c>
      <c r="AF430" s="57" t="str">
        <f>IF(B430="","",MONTH(C430))</f>
        <v/>
      </c>
      <c r="AG430" s="57">
        <f>IF(ISNUMBER(C430),C430,0)</f>
        <v>0.0</v>
      </c>
      <c r="AH430" s="57" t="str">
        <f>IF(N(W430)&gt;0,COUNTIF(W$6:W430,"&gt;0"),"")</f>
        <v/>
      </c>
      <c r="AI430" s="57" t="str">
        <f>IF(Z430=1,COUNTIF(Z$6:Z430,1),"")</f>
        <v/>
      </c>
    </row>
    <row r="431">
      <c r="A431" s="54" t="n"/>
      <c r="B431" s="55" t="str">
        <f>IF(AA431="","",A431&amp;"-"&amp;RIGHT("000"&amp;AA431,4))</f>
        <v/>
      </c>
      <c r="C431" s="56" t="n"/>
      <c r="D431" s="54" t="n"/>
      <c r="E431" s="57" t="str">
        <f>IF(D431="","",IF(A431="BL",IFERROR(INDEX(cl_name,MATCH(D431,cl_code,0))&amp;"","Client inconnu"),IF(A431="BR",IFERROR(INDEX(fo_name,MATCH(D431,fo_code,0))&amp;"","Fournisseur inconnu"),IF(A431="BS",IF(ISNA(MATCH(D431,p_services,0)),"Service inconnu",D431&amp;""),""))))</f>
        <v/>
      </c>
      <c r="F431" s="58" t="n"/>
      <c r="G431" s="58" t="n"/>
      <c r="H431" s="59" t="n"/>
      <c r="I431" s="57" t="str">
        <f>IF(H431="","",IFERROR(INDEX(art_des,MATCH(H431,art_ref,0))&amp;"","Article inconnu"))</f>
        <v/>
      </c>
      <c r="J431" s="60" t="str">
        <f>IF(H431="","",IFERROR(INDEX(art_unit,MATCH(H431,art_ref,0))&amp;"",""))</f>
        <v/>
      </c>
      <c r="K431" s="59" t="n"/>
      <c r="L431" s="59" t="n"/>
      <c r="M431" s="61" t="str">
        <f>IF(OR(B431="",NOT(ISNUMBER(K431)),NOT(ISNUMBER(L431))),"",IF(OR(K431&lt;=0,L431&lt;=0),"",ROUND(L431-K431,6)))</f>
        <v/>
      </c>
      <c r="N431" s="58" t="n"/>
      <c r="O431" s="62" t="n"/>
      <c r="P431" s="63" t="str">
        <f>IF(OR(B431="",NOT(ISNUMBER(L431))),"",IF(L431&lt;=0,"",IFERROR(ROUND(L431*N(INDEX(art_w,MATCH(H431,art_ref,0))),3),"")))</f>
        <v/>
      </c>
      <c r="Q431" s="59" t="n"/>
      <c r="R431" s="54" t="n"/>
      <c r="S431" s="59" t="n"/>
      <c r="T431" s="59" t="n"/>
      <c r="U431" s="64" t="str">
        <f>IF(OR(B431="",H431=""),"",IFERROR(IF(A431="BL",IF(N(INDEX(art_price,MATCH(H431,art_ref,0)))=0,"",N(INDEX(art_price,MATCH(H431,art_ref,0)))),IF(N(INDEX(art_cost,MATCH(H431,art_ref,0)))=0,"",N(INDEX(art_cost,MATCH(H431,art_ref,0))))),""))</f>
        <v/>
      </c>
      <c r="V431" s="64" t="str">
        <f>IF(OR(U431="",NOT(ISNUMBER(L431))),"",IF(L431&lt;=0,"",ROUND(L431*U431,2)))</f>
        <v/>
      </c>
      <c r="W431" s="60" t="str">
        <f>IF(AND(B431&lt;&gt;"",A431&lt;&gt;"BS",F431&lt;&gt;"",H431&lt;&gt;"",ISNUMBER(K431),ISNUMBER(L431)),IF(AND(K431&gt;0,L431&gt;0,K431-L431&gt;0,COUNTIFS(A432:A$2005,A431,F432:F$2005,F431,H432:H$2005,H431,AA432:AA$2005,"&gt;0")=0),ROUND(K431-L431,6),""),"")</f>
        <v/>
      </c>
      <c r="X431" s="60" t="str">
        <f>IF(AND(A431="",C431="",D431="",H431="",L431=""),"",IF(A431="","Type manquant",IF(AND(A431&lt;&gt;"BL",A431&lt;&gt;"BR",A431&lt;&gt;"BS"),"Type inconnu (BL, BR ou BS)",IF(AG431=0,"Date manquante ou invalide",IF(D431="",IF(A431="BL","Client manquant",IF(A431="BR","Fournisseur manquant","Service manquant")),IF(IF(A431="BL",ISNA(MATCH(D431,cl_code,0)),IF(A431="BR",ISNA(MATCH(D431,fo_code,0)),ISNA(MATCH(D431,p_services,0)))),IF(A431="BL","Client inconnu",IF(A431="BR","Fournisseur inconnu","Service inconnu")),IF(H431="","Article manquant",IF(ISNA(MATCH(H431,art_ref,0)),"Article inconnu",IF(OR(NOT(ISNUMBER(L431)),N(L431)&lt;=0),"Quantité invalide",IF(AND(K431&lt;&gt;"",OR(NOT(ISNUMBER(K431)),N(K431)&lt;=0)),"Qté commandée invalide",IF(AG431&lt;SUMPRODUCT(MAX((A$6:A430=A431)*AG$6:AG430)),"Date antérieure au bon précédent",IF(AND(A431&lt;&gt;"BR",ISNUMBER(M431),N(M431)&gt;0),IF(A431="BL","Livré plus que commandé","Sorti plus que demandé"),"OK"))))))))))))</f>
        <v/>
      </c>
      <c r="Y431" s="57" t="str">
        <f>IF(AND(OR(A431="BL",A431="BR",A431="BS"),AG431&gt;0,D431&lt;&gt;""),A431&amp;"|"&amp;AG431&amp;"|"&amp;D431&amp;"|"&amp;F431,"")</f>
        <v/>
      </c>
      <c r="Z431" s="57" t="str">
        <f>IF(Y431="","",IF(COUNTIF(Y$6:Y430,Y431)=0,1,0))</f>
        <v/>
      </c>
      <c r="AA431" s="57" t="str">
        <f>IF(Y431="","",IF(Z431=1,COUNTIFS(A$6:A431,A431,Z$6:Z431,1),INDEX(AA$6:AA430,MATCH(Y431,Y$6:Y430,0))))</f>
        <v/>
      </c>
      <c r="AB431" s="57" t="str">
        <f>IF(B431="","",COUNTIF(B$6:B431,B431))</f>
        <v/>
      </c>
      <c r="AC431" s="57" t="str">
        <f>IF(B431="","",B431&amp;"#"&amp;AB431)</f>
        <v/>
      </c>
      <c r="AD431" s="57" t="str">
        <f>IF(Z431=1,A431&amp;AA431,"")</f>
        <v/>
      </c>
      <c r="AE431" s="57" t="str">
        <f>IF(B431="","",YEAR(C431))</f>
        <v/>
      </c>
      <c r="AF431" s="57" t="str">
        <f>IF(B431="","",MONTH(C431))</f>
        <v/>
      </c>
      <c r="AG431" s="57">
        <f>IF(ISNUMBER(C431),C431,0)</f>
        <v>0.0</v>
      </c>
      <c r="AH431" s="57" t="str">
        <f>IF(N(W431)&gt;0,COUNTIF(W$6:W431,"&gt;0"),"")</f>
        <v/>
      </c>
      <c r="AI431" s="57" t="str">
        <f>IF(Z431=1,COUNTIF(Z$6:Z431,1),"")</f>
        <v/>
      </c>
    </row>
    <row r="432">
      <c r="A432" s="54" t="n"/>
      <c r="B432" s="55" t="str">
        <f>IF(AA432="","",A432&amp;"-"&amp;RIGHT("000"&amp;AA432,4))</f>
        <v/>
      </c>
      <c r="C432" s="56" t="n"/>
      <c r="D432" s="54" t="n"/>
      <c r="E432" s="57" t="str">
        <f>IF(D432="","",IF(A432="BL",IFERROR(INDEX(cl_name,MATCH(D432,cl_code,0))&amp;"","Client inconnu"),IF(A432="BR",IFERROR(INDEX(fo_name,MATCH(D432,fo_code,0))&amp;"","Fournisseur inconnu"),IF(A432="BS",IF(ISNA(MATCH(D432,p_services,0)),"Service inconnu",D432&amp;""),""))))</f>
        <v/>
      </c>
      <c r="F432" s="58" t="n"/>
      <c r="G432" s="58" t="n"/>
      <c r="H432" s="59" t="n"/>
      <c r="I432" s="57" t="str">
        <f>IF(H432="","",IFERROR(INDEX(art_des,MATCH(H432,art_ref,0))&amp;"","Article inconnu"))</f>
        <v/>
      </c>
      <c r="J432" s="60" t="str">
        <f>IF(H432="","",IFERROR(INDEX(art_unit,MATCH(H432,art_ref,0))&amp;"",""))</f>
        <v/>
      </c>
      <c r="K432" s="59" t="n"/>
      <c r="L432" s="59" t="n"/>
      <c r="M432" s="61" t="str">
        <f>IF(OR(B432="",NOT(ISNUMBER(K432)),NOT(ISNUMBER(L432))),"",IF(OR(K432&lt;=0,L432&lt;=0),"",ROUND(L432-K432,6)))</f>
        <v/>
      </c>
      <c r="N432" s="58" t="n"/>
      <c r="O432" s="62" t="n"/>
      <c r="P432" s="63" t="str">
        <f>IF(OR(B432="",NOT(ISNUMBER(L432))),"",IF(L432&lt;=0,"",IFERROR(ROUND(L432*N(INDEX(art_w,MATCH(H432,art_ref,0))),3),"")))</f>
        <v/>
      </c>
      <c r="Q432" s="59" t="n"/>
      <c r="R432" s="54" t="n"/>
      <c r="S432" s="59" t="n"/>
      <c r="T432" s="59" t="n"/>
      <c r="U432" s="64" t="str">
        <f>IF(OR(B432="",H432=""),"",IFERROR(IF(A432="BL",IF(N(INDEX(art_price,MATCH(H432,art_ref,0)))=0,"",N(INDEX(art_price,MATCH(H432,art_ref,0)))),IF(N(INDEX(art_cost,MATCH(H432,art_ref,0)))=0,"",N(INDEX(art_cost,MATCH(H432,art_ref,0))))),""))</f>
        <v/>
      </c>
      <c r="V432" s="64" t="str">
        <f>IF(OR(U432="",NOT(ISNUMBER(L432))),"",IF(L432&lt;=0,"",ROUND(L432*U432,2)))</f>
        <v/>
      </c>
      <c r="W432" s="60" t="str">
        <f>IF(AND(B432&lt;&gt;"",A432&lt;&gt;"BS",F432&lt;&gt;"",H432&lt;&gt;"",ISNUMBER(K432),ISNUMBER(L432)),IF(AND(K432&gt;0,L432&gt;0,K432-L432&gt;0,COUNTIFS(A433:A$2005,A432,F433:F$2005,F432,H433:H$2005,H432,AA433:AA$2005,"&gt;0")=0),ROUND(K432-L432,6),""),"")</f>
        <v/>
      </c>
      <c r="X432" s="60" t="str">
        <f>IF(AND(A432="",C432="",D432="",H432="",L432=""),"",IF(A432="","Type manquant",IF(AND(A432&lt;&gt;"BL",A432&lt;&gt;"BR",A432&lt;&gt;"BS"),"Type inconnu (BL, BR ou BS)",IF(AG432=0,"Date manquante ou invalide",IF(D432="",IF(A432="BL","Client manquant",IF(A432="BR","Fournisseur manquant","Service manquant")),IF(IF(A432="BL",ISNA(MATCH(D432,cl_code,0)),IF(A432="BR",ISNA(MATCH(D432,fo_code,0)),ISNA(MATCH(D432,p_services,0)))),IF(A432="BL","Client inconnu",IF(A432="BR","Fournisseur inconnu","Service inconnu")),IF(H432="","Article manquant",IF(ISNA(MATCH(H432,art_ref,0)),"Article inconnu",IF(OR(NOT(ISNUMBER(L432)),N(L432)&lt;=0),"Quantité invalide",IF(AND(K432&lt;&gt;"",OR(NOT(ISNUMBER(K432)),N(K432)&lt;=0)),"Qté commandée invalide",IF(AG432&lt;SUMPRODUCT(MAX((A$6:A431=A432)*AG$6:AG431)),"Date antérieure au bon précédent",IF(AND(A432&lt;&gt;"BR",ISNUMBER(M432),N(M432)&gt;0),IF(A432="BL","Livré plus que commandé","Sorti plus que demandé"),"OK"))))))))))))</f>
        <v/>
      </c>
      <c r="Y432" s="57" t="str">
        <f>IF(AND(OR(A432="BL",A432="BR",A432="BS"),AG432&gt;0,D432&lt;&gt;""),A432&amp;"|"&amp;AG432&amp;"|"&amp;D432&amp;"|"&amp;F432,"")</f>
        <v/>
      </c>
      <c r="Z432" s="57" t="str">
        <f>IF(Y432="","",IF(COUNTIF(Y$6:Y431,Y432)=0,1,0))</f>
        <v/>
      </c>
      <c r="AA432" s="57" t="str">
        <f>IF(Y432="","",IF(Z432=1,COUNTIFS(A$6:A432,A432,Z$6:Z432,1),INDEX(AA$6:AA431,MATCH(Y432,Y$6:Y431,0))))</f>
        <v/>
      </c>
      <c r="AB432" s="57" t="str">
        <f>IF(B432="","",COUNTIF(B$6:B432,B432))</f>
        <v/>
      </c>
      <c r="AC432" s="57" t="str">
        <f>IF(B432="","",B432&amp;"#"&amp;AB432)</f>
        <v/>
      </c>
      <c r="AD432" s="57" t="str">
        <f>IF(Z432=1,A432&amp;AA432,"")</f>
        <v/>
      </c>
      <c r="AE432" s="57" t="str">
        <f>IF(B432="","",YEAR(C432))</f>
        <v/>
      </c>
      <c r="AF432" s="57" t="str">
        <f>IF(B432="","",MONTH(C432))</f>
        <v/>
      </c>
      <c r="AG432" s="57">
        <f>IF(ISNUMBER(C432),C432,0)</f>
        <v>0.0</v>
      </c>
      <c r="AH432" s="57" t="str">
        <f>IF(N(W432)&gt;0,COUNTIF(W$6:W432,"&gt;0"),"")</f>
        <v/>
      </c>
      <c r="AI432" s="57" t="str">
        <f>IF(Z432=1,COUNTIF(Z$6:Z432,1),"")</f>
        <v/>
      </c>
    </row>
    <row r="433">
      <c r="A433" s="54" t="n"/>
      <c r="B433" s="55" t="str">
        <f>IF(AA433="","",A433&amp;"-"&amp;RIGHT("000"&amp;AA433,4))</f>
        <v/>
      </c>
      <c r="C433" s="56" t="n"/>
      <c r="D433" s="54" t="n"/>
      <c r="E433" s="57" t="str">
        <f>IF(D433="","",IF(A433="BL",IFERROR(INDEX(cl_name,MATCH(D433,cl_code,0))&amp;"","Client inconnu"),IF(A433="BR",IFERROR(INDEX(fo_name,MATCH(D433,fo_code,0))&amp;"","Fournisseur inconnu"),IF(A433="BS",IF(ISNA(MATCH(D433,p_services,0)),"Service inconnu",D433&amp;""),""))))</f>
        <v/>
      </c>
      <c r="F433" s="58" t="n"/>
      <c r="G433" s="58" t="n"/>
      <c r="H433" s="59" t="n"/>
      <c r="I433" s="57" t="str">
        <f>IF(H433="","",IFERROR(INDEX(art_des,MATCH(H433,art_ref,0))&amp;"","Article inconnu"))</f>
        <v/>
      </c>
      <c r="J433" s="60" t="str">
        <f>IF(H433="","",IFERROR(INDEX(art_unit,MATCH(H433,art_ref,0))&amp;"",""))</f>
        <v/>
      </c>
      <c r="K433" s="59" t="n"/>
      <c r="L433" s="59" t="n"/>
      <c r="M433" s="61" t="str">
        <f>IF(OR(B433="",NOT(ISNUMBER(K433)),NOT(ISNUMBER(L433))),"",IF(OR(K433&lt;=0,L433&lt;=0),"",ROUND(L433-K433,6)))</f>
        <v/>
      </c>
      <c r="N433" s="58" t="n"/>
      <c r="O433" s="62" t="n"/>
      <c r="P433" s="63" t="str">
        <f>IF(OR(B433="",NOT(ISNUMBER(L433))),"",IF(L433&lt;=0,"",IFERROR(ROUND(L433*N(INDEX(art_w,MATCH(H433,art_ref,0))),3),"")))</f>
        <v/>
      </c>
      <c r="Q433" s="59" t="n"/>
      <c r="R433" s="54" t="n"/>
      <c r="S433" s="59" t="n"/>
      <c r="T433" s="59" t="n"/>
      <c r="U433" s="64" t="str">
        <f>IF(OR(B433="",H433=""),"",IFERROR(IF(A433="BL",IF(N(INDEX(art_price,MATCH(H433,art_ref,0)))=0,"",N(INDEX(art_price,MATCH(H433,art_ref,0)))),IF(N(INDEX(art_cost,MATCH(H433,art_ref,0)))=0,"",N(INDEX(art_cost,MATCH(H433,art_ref,0))))),""))</f>
        <v/>
      </c>
      <c r="V433" s="64" t="str">
        <f>IF(OR(U433="",NOT(ISNUMBER(L433))),"",IF(L433&lt;=0,"",ROUND(L433*U433,2)))</f>
        <v/>
      </c>
      <c r="W433" s="60" t="str">
        <f>IF(AND(B433&lt;&gt;"",A433&lt;&gt;"BS",F433&lt;&gt;"",H433&lt;&gt;"",ISNUMBER(K433),ISNUMBER(L433)),IF(AND(K433&gt;0,L433&gt;0,K433-L433&gt;0,COUNTIFS(A434:A$2005,A433,F434:F$2005,F433,H434:H$2005,H433,AA434:AA$2005,"&gt;0")=0),ROUND(K433-L433,6),""),"")</f>
        <v/>
      </c>
      <c r="X433" s="60" t="str">
        <f>IF(AND(A433="",C433="",D433="",H433="",L433=""),"",IF(A433="","Type manquant",IF(AND(A433&lt;&gt;"BL",A433&lt;&gt;"BR",A433&lt;&gt;"BS"),"Type inconnu (BL, BR ou BS)",IF(AG433=0,"Date manquante ou invalide",IF(D433="",IF(A433="BL","Client manquant",IF(A433="BR","Fournisseur manquant","Service manquant")),IF(IF(A433="BL",ISNA(MATCH(D433,cl_code,0)),IF(A433="BR",ISNA(MATCH(D433,fo_code,0)),ISNA(MATCH(D433,p_services,0)))),IF(A433="BL","Client inconnu",IF(A433="BR","Fournisseur inconnu","Service inconnu")),IF(H433="","Article manquant",IF(ISNA(MATCH(H433,art_ref,0)),"Article inconnu",IF(OR(NOT(ISNUMBER(L433)),N(L433)&lt;=0),"Quantité invalide",IF(AND(K433&lt;&gt;"",OR(NOT(ISNUMBER(K433)),N(K433)&lt;=0)),"Qté commandée invalide",IF(AG433&lt;SUMPRODUCT(MAX((A$6:A432=A433)*AG$6:AG432)),"Date antérieure au bon précédent",IF(AND(A433&lt;&gt;"BR",ISNUMBER(M433),N(M433)&gt;0),IF(A433="BL","Livré plus que commandé","Sorti plus que demandé"),"OK"))))))))))))</f>
        <v/>
      </c>
      <c r="Y433" s="57" t="str">
        <f>IF(AND(OR(A433="BL",A433="BR",A433="BS"),AG433&gt;0,D433&lt;&gt;""),A433&amp;"|"&amp;AG433&amp;"|"&amp;D433&amp;"|"&amp;F433,"")</f>
        <v/>
      </c>
      <c r="Z433" s="57" t="str">
        <f>IF(Y433="","",IF(COUNTIF(Y$6:Y432,Y433)=0,1,0))</f>
        <v/>
      </c>
      <c r="AA433" s="57" t="str">
        <f>IF(Y433="","",IF(Z433=1,COUNTIFS(A$6:A433,A433,Z$6:Z433,1),INDEX(AA$6:AA432,MATCH(Y433,Y$6:Y432,0))))</f>
        <v/>
      </c>
      <c r="AB433" s="57" t="str">
        <f>IF(B433="","",COUNTIF(B$6:B433,B433))</f>
        <v/>
      </c>
      <c r="AC433" s="57" t="str">
        <f>IF(B433="","",B433&amp;"#"&amp;AB433)</f>
        <v/>
      </c>
      <c r="AD433" s="57" t="str">
        <f>IF(Z433=1,A433&amp;AA433,"")</f>
        <v/>
      </c>
      <c r="AE433" s="57" t="str">
        <f>IF(B433="","",YEAR(C433))</f>
        <v/>
      </c>
      <c r="AF433" s="57" t="str">
        <f>IF(B433="","",MONTH(C433))</f>
        <v/>
      </c>
      <c r="AG433" s="57">
        <f>IF(ISNUMBER(C433),C433,0)</f>
        <v>0.0</v>
      </c>
      <c r="AH433" s="57" t="str">
        <f>IF(N(W433)&gt;0,COUNTIF(W$6:W433,"&gt;0"),"")</f>
        <v/>
      </c>
      <c r="AI433" s="57" t="str">
        <f>IF(Z433=1,COUNTIF(Z$6:Z433,1),"")</f>
        <v/>
      </c>
    </row>
    <row r="434">
      <c r="A434" s="54" t="n"/>
      <c r="B434" s="55" t="str">
        <f>IF(AA434="","",A434&amp;"-"&amp;RIGHT("000"&amp;AA434,4))</f>
        <v/>
      </c>
      <c r="C434" s="56" t="n"/>
      <c r="D434" s="54" t="n"/>
      <c r="E434" s="57" t="str">
        <f>IF(D434="","",IF(A434="BL",IFERROR(INDEX(cl_name,MATCH(D434,cl_code,0))&amp;"","Client inconnu"),IF(A434="BR",IFERROR(INDEX(fo_name,MATCH(D434,fo_code,0))&amp;"","Fournisseur inconnu"),IF(A434="BS",IF(ISNA(MATCH(D434,p_services,0)),"Service inconnu",D434&amp;""),""))))</f>
        <v/>
      </c>
      <c r="F434" s="58" t="n"/>
      <c r="G434" s="58" t="n"/>
      <c r="H434" s="59" t="n"/>
      <c r="I434" s="57" t="str">
        <f>IF(H434="","",IFERROR(INDEX(art_des,MATCH(H434,art_ref,0))&amp;"","Article inconnu"))</f>
        <v/>
      </c>
      <c r="J434" s="60" t="str">
        <f>IF(H434="","",IFERROR(INDEX(art_unit,MATCH(H434,art_ref,0))&amp;"",""))</f>
        <v/>
      </c>
      <c r="K434" s="59" t="n"/>
      <c r="L434" s="59" t="n"/>
      <c r="M434" s="61" t="str">
        <f>IF(OR(B434="",NOT(ISNUMBER(K434)),NOT(ISNUMBER(L434))),"",IF(OR(K434&lt;=0,L434&lt;=0),"",ROUND(L434-K434,6)))</f>
        <v/>
      </c>
      <c r="N434" s="58" t="n"/>
      <c r="O434" s="62" t="n"/>
      <c r="P434" s="63" t="str">
        <f>IF(OR(B434="",NOT(ISNUMBER(L434))),"",IF(L434&lt;=0,"",IFERROR(ROUND(L434*N(INDEX(art_w,MATCH(H434,art_ref,0))),3),"")))</f>
        <v/>
      </c>
      <c r="Q434" s="59" t="n"/>
      <c r="R434" s="54" t="n"/>
      <c r="S434" s="59" t="n"/>
      <c r="T434" s="59" t="n"/>
      <c r="U434" s="64" t="str">
        <f>IF(OR(B434="",H434=""),"",IFERROR(IF(A434="BL",IF(N(INDEX(art_price,MATCH(H434,art_ref,0)))=0,"",N(INDEX(art_price,MATCH(H434,art_ref,0)))),IF(N(INDEX(art_cost,MATCH(H434,art_ref,0)))=0,"",N(INDEX(art_cost,MATCH(H434,art_ref,0))))),""))</f>
        <v/>
      </c>
      <c r="V434" s="64" t="str">
        <f>IF(OR(U434="",NOT(ISNUMBER(L434))),"",IF(L434&lt;=0,"",ROUND(L434*U434,2)))</f>
        <v/>
      </c>
      <c r="W434" s="60" t="str">
        <f>IF(AND(B434&lt;&gt;"",A434&lt;&gt;"BS",F434&lt;&gt;"",H434&lt;&gt;"",ISNUMBER(K434),ISNUMBER(L434)),IF(AND(K434&gt;0,L434&gt;0,K434-L434&gt;0,COUNTIFS(A435:A$2005,A434,F435:F$2005,F434,H435:H$2005,H434,AA435:AA$2005,"&gt;0")=0),ROUND(K434-L434,6),""),"")</f>
        <v/>
      </c>
      <c r="X434" s="60" t="str">
        <f>IF(AND(A434="",C434="",D434="",H434="",L434=""),"",IF(A434="","Type manquant",IF(AND(A434&lt;&gt;"BL",A434&lt;&gt;"BR",A434&lt;&gt;"BS"),"Type inconnu (BL, BR ou BS)",IF(AG434=0,"Date manquante ou invalide",IF(D434="",IF(A434="BL","Client manquant",IF(A434="BR","Fournisseur manquant","Service manquant")),IF(IF(A434="BL",ISNA(MATCH(D434,cl_code,0)),IF(A434="BR",ISNA(MATCH(D434,fo_code,0)),ISNA(MATCH(D434,p_services,0)))),IF(A434="BL","Client inconnu",IF(A434="BR","Fournisseur inconnu","Service inconnu")),IF(H434="","Article manquant",IF(ISNA(MATCH(H434,art_ref,0)),"Article inconnu",IF(OR(NOT(ISNUMBER(L434)),N(L434)&lt;=0),"Quantité invalide",IF(AND(K434&lt;&gt;"",OR(NOT(ISNUMBER(K434)),N(K434)&lt;=0)),"Qté commandée invalide",IF(AG434&lt;SUMPRODUCT(MAX((A$6:A433=A434)*AG$6:AG433)),"Date antérieure au bon précédent",IF(AND(A434&lt;&gt;"BR",ISNUMBER(M434),N(M434)&gt;0),IF(A434="BL","Livré plus que commandé","Sorti plus que demandé"),"OK"))))))))))))</f>
        <v/>
      </c>
      <c r="Y434" s="57" t="str">
        <f>IF(AND(OR(A434="BL",A434="BR",A434="BS"),AG434&gt;0,D434&lt;&gt;""),A434&amp;"|"&amp;AG434&amp;"|"&amp;D434&amp;"|"&amp;F434,"")</f>
        <v/>
      </c>
      <c r="Z434" s="57" t="str">
        <f>IF(Y434="","",IF(COUNTIF(Y$6:Y433,Y434)=0,1,0))</f>
        <v/>
      </c>
      <c r="AA434" s="57" t="str">
        <f>IF(Y434="","",IF(Z434=1,COUNTIFS(A$6:A434,A434,Z$6:Z434,1),INDEX(AA$6:AA433,MATCH(Y434,Y$6:Y433,0))))</f>
        <v/>
      </c>
      <c r="AB434" s="57" t="str">
        <f>IF(B434="","",COUNTIF(B$6:B434,B434))</f>
        <v/>
      </c>
      <c r="AC434" s="57" t="str">
        <f>IF(B434="","",B434&amp;"#"&amp;AB434)</f>
        <v/>
      </c>
      <c r="AD434" s="57" t="str">
        <f>IF(Z434=1,A434&amp;AA434,"")</f>
        <v/>
      </c>
      <c r="AE434" s="57" t="str">
        <f>IF(B434="","",YEAR(C434))</f>
        <v/>
      </c>
      <c r="AF434" s="57" t="str">
        <f>IF(B434="","",MONTH(C434))</f>
        <v/>
      </c>
      <c r="AG434" s="57">
        <f>IF(ISNUMBER(C434),C434,0)</f>
        <v>0.0</v>
      </c>
      <c r="AH434" s="57" t="str">
        <f>IF(N(W434)&gt;0,COUNTIF(W$6:W434,"&gt;0"),"")</f>
        <v/>
      </c>
      <c r="AI434" s="57" t="str">
        <f>IF(Z434=1,COUNTIF(Z$6:Z434,1),"")</f>
        <v/>
      </c>
    </row>
    <row r="435">
      <c r="A435" s="54" t="n"/>
      <c r="B435" s="55" t="str">
        <f>IF(AA435="","",A435&amp;"-"&amp;RIGHT("000"&amp;AA435,4))</f>
        <v/>
      </c>
      <c r="C435" s="56" t="n"/>
      <c r="D435" s="54" t="n"/>
      <c r="E435" s="57" t="str">
        <f>IF(D435="","",IF(A435="BL",IFERROR(INDEX(cl_name,MATCH(D435,cl_code,0))&amp;"","Client inconnu"),IF(A435="BR",IFERROR(INDEX(fo_name,MATCH(D435,fo_code,0))&amp;"","Fournisseur inconnu"),IF(A435="BS",IF(ISNA(MATCH(D435,p_services,0)),"Service inconnu",D435&amp;""),""))))</f>
        <v/>
      </c>
      <c r="F435" s="58" t="n"/>
      <c r="G435" s="58" t="n"/>
      <c r="H435" s="59" t="n"/>
      <c r="I435" s="57" t="str">
        <f>IF(H435="","",IFERROR(INDEX(art_des,MATCH(H435,art_ref,0))&amp;"","Article inconnu"))</f>
        <v/>
      </c>
      <c r="J435" s="60" t="str">
        <f>IF(H435="","",IFERROR(INDEX(art_unit,MATCH(H435,art_ref,0))&amp;"",""))</f>
        <v/>
      </c>
      <c r="K435" s="59" t="n"/>
      <c r="L435" s="59" t="n"/>
      <c r="M435" s="61" t="str">
        <f>IF(OR(B435="",NOT(ISNUMBER(K435)),NOT(ISNUMBER(L435))),"",IF(OR(K435&lt;=0,L435&lt;=0),"",ROUND(L435-K435,6)))</f>
        <v/>
      </c>
      <c r="N435" s="58" t="n"/>
      <c r="O435" s="62" t="n"/>
      <c r="P435" s="63" t="str">
        <f>IF(OR(B435="",NOT(ISNUMBER(L435))),"",IF(L435&lt;=0,"",IFERROR(ROUND(L435*N(INDEX(art_w,MATCH(H435,art_ref,0))),3),"")))</f>
        <v/>
      </c>
      <c r="Q435" s="59" t="n"/>
      <c r="R435" s="54" t="n"/>
      <c r="S435" s="59" t="n"/>
      <c r="T435" s="59" t="n"/>
      <c r="U435" s="64" t="str">
        <f>IF(OR(B435="",H435=""),"",IFERROR(IF(A435="BL",IF(N(INDEX(art_price,MATCH(H435,art_ref,0)))=0,"",N(INDEX(art_price,MATCH(H435,art_ref,0)))),IF(N(INDEX(art_cost,MATCH(H435,art_ref,0)))=0,"",N(INDEX(art_cost,MATCH(H435,art_ref,0))))),""))</f>
        <v/>
      </c>
      <c r="V435" s="64" t="str">
        <f>IF(OR(U435="",NOT(ISNUMBER(L435))),"",IF(L435&lt;=0,"",ROUND(L435*U435,2)))</f>
        <v/>
      </c>
      <c r="W435" s="60" t="str">
        <f>IF(AND(B435&lt;&gt;"",A435&lt;&gt;"BS",F435&lt;&gt;"",H435&lt;&gt;"",ISNUMBER(K435),ISNUMBER(L435)),IF(AND(K435&gt;0,L435&gt;0,K435-L435&gt;0,COUNTIFS(A436:A$2005,A435,F436:F$2005,F435,H436:H$2005,H435,AA436:AA$2005,"&gt;0")=0),ROUND(K435-L435,6),""),"")</f>
        <v/>
      </c>
      <c r="X435" s="60" t="str">
        <f>IF(AND(A435="",C435="",D435="",H435="",L435=""),"",IF(A435="","Type manquant",IF(AND(A435&lt;&gt;"BL",A435&lt;&gt;"BR",A435&lt;&gt;"BS"),"Type inconnu (BL, BR ou BS)",IF(AG435=0,"Date manquante ou invalide",IF(D435="",IF(A435="BL","Client manquant",IF(A435="BR","Fournisseur manquant","Service manquant")),IF(IF(A435="BL",ISNA(MATCH(D435,cl_code,0)),IF(A435="BR",ISNA(MATCH(D435,fo_code,0)),ISNA(MATCH(D435,p_services,0)))),IF(A435="BL","Client inconnu",IF(A435="BR","Fournisseur inconnu","Service inconnu")),IF(H435="","Article manquant",IF(ISNA(MATCH(H435,art_ref,0)),"Article inconnu",IF(OR(NOT(ISNUMBER(L435)),N(L435)&lt;=0),"Quantité invalide",IF(AND(K435&lt;&gt;"",OR(NOT(ISNUMBER(K435)),N(K435)&lt;=0)),"Qté commandée invalide",IF(AG435&lt;SUMPRODUCT(MAX((A$6:A434=A435)*AG$6:AG434)),"Date antérieure au bon précédent",IF(AND(A435&lt;&gt;"BR",ISNUMBER(M435),N(M435)&gt;0),IF(A435="BL","Livré plus que commandé","Sorti plus que demandé"),"OK"))))))))))))</f>
        <v/>
      </c>
      <c r="Y435" s="57" t="str">
        <f>IF(AND(OR(A435="BL",A435="BR",A435="BS"),AG435&gt;0,D435&lt;&gt;""),A435&amp;"|"&amp;AG435&amp;"|"&amp;D435&amp;"|"&amp;F435,"")</f>
        <v/>
      </c>
      <c r="Z435" s="57" t="str">
        <f>IF(Y435="","",IF(COUNTIF(Y$6:Y434,Y435)=0,1,0))</f>
        <v/>
      </c>
      <c r="AA435" s="57" t="str">
        <f>IF(Y435="","",IF(Z435=1,COUNTIFS(A$6:A435,A435,Z$6:Z435,1),INDEX(AA$6:AA434,MATCH(Y435,Y$6:Y434,0))))</f>
        <v/>
      </c>
      <c r="AB435" s="57" t="str">
        <f>IF(B435="","",COUNTIF(B$6:B435,B435))</f>
        <v/>
      </c>
      <c r="AC435" s="57" t="str">
        <f>IF(B435="","",B435&amp;"#"&amp;AB435)</f>
        <v/>
      </c>
      <c r="AD435" s="57" t="str">
        <f>IF(Z435=1,A435&amp;AA435,"")</f>
        <v/>
      </c>
      <c r="AE435" s="57" t="str">
        <f>IF(B435="","",YEAR(C435))</f>
        <v/>
      </c>
      <c r="AF435" s="57" t="str">
        <f>IF(B435="","",MONTH(C435))</f>
        <v/>
      </c>
      <c r="AG435" s="57">
        <f>IF(ISNUMBER(C435),C435,0)</f>
        <v>0.0</v>
      </c>
      <c r="AH435" s="57" t="str">
        <f>IF(N(W435)&gt;0,COUNTIF(W$6:W435,"&gt;0"),"")</f>
        <v/>
      </c>
      <c r="AI435" s="57" t="str">
        <f>IF(Z435=1,COUNTIF(Z$6:Z435,1),"")</f>
        <v/>
      </c>
    </row>
    <row r="436">
      <c r="A436" s="54" t="n"/>
      <c r="B436" s="55" t="str">
        <f>IF(AA436="","",A436&amp;"-"&amp;RIGHT("000"&amp;AA436,4))</f>
        <v/>
      </c>
      <c r="C436" s="56" t="n"/>
      <c r="D436" s="54" t="n"/>
      <c r="E436" s="57" t="str">
        <f>IF(D436="","",IF(A436="BL",IFERROR(INDEX(cl_name,MATCH(D436,cl_code,0))&amp;"","Client inconnu"),IF(A436="BR",IFERROR(INDEX(fo_name,MATCH(D436,fo_code,0))&amp;"","Fournisseur inconnu"),IF(A436="BS",IF(ISNA(MATCH(D436,p_services,0)),"Service inconnu",D436&amp;""),""))))</f>
        <v/>
      </c>
      <c r="F436" s="58" t="n"/>
      <c r="G436" s="58" t="n"/>
      <c r="H436" s="59" t="n"/>
      <c r="I436" s="57" t="str">
        <f>IF(H436="","",IFERROR(INDEX(art_des,MATCH(H436,art_ref,0))&amp;"","Article inconnu"))</f>
        <v/>
      </c>
      <c r="J436" s="60" t="str">
        <f>IF(H436="","",IFERROR(INDEX(art_unit,MATCH(H436,art_ref,0))&amp;"",""))</f>
        <v/>
      </c>
      <c r="K436" s="59" t="n"/>
      <c r="L436" s="59" t="n"/>
      <c r="M436" s="61" t="str">
        <f>IF(OR(B436="",NOT(ISNUMBER(K436)),NOT(ISNUMBER(L436))),"",IF(OR(K436&lt;=0,L436&lt;=0),"",ROUND(L436-K436,6)))</f>
        <v/>
      </c>
      <c r="N436" s="58" t="n"/>
      <c r="O436" s="62" t="n"/>
      <c r="P436" s="63" t="str">
        <f>IF(OR(B436="",NOT(ISNUMBER(L436))),"",IF(L436&lt;=0,"",IFERROR(ROUND(L436*N(INDEX(art_w,MATCH(H436,art_ref,0))),3),"")))</f>
        <v/>
      </c>
      <c r="Q436" s="59" t="n"/>
      <c r="R436" s="54" t="n"/>
      <c r="S436" s="59" t="n"/>
      <c r="T436" s="59" t="n"/>
      <c r="U436" s="64" t="str">
        <f>IF(OR(B436="",H436=""),"",IFERROR(IF(A436="BL",IF(N(INDEX(art_price,MATCH(H436,art_ref,0)))=0,"",N(INDEX(art_price,MATCH(H436,art_ref,0)))),IF(N(INDEX(art_cost,MATCH(H436,art_ref,0)))=0,"",N(INDEX(art_cost,MATCH(H436,art_ref,0))))),""))</f>
        <v/>
      </c>
      <c r="V436" s="64" t="str">
        <f>IF(OR(U436="",NOT(ISNUMBER(L436))),"",IF(L436&lt;=0,"",ROUND(L436*U436,2)))</f>
        <v/>
      </c>
      <c r="W436" s="60" t="str">
        <f>IF(AND(B436&lt;&gt;"",A436&lt;&gt;"BS",F436&lt;&gt;"",H436&lt;&gt;"",ISNUMBER(K436),ISNUMBER(L436)),IF(AND(K436&gt;0,L436&gt;0,K436-L436&gt;0,COUNTIFS(A437:A$2005,A436,F437:F$2005,F436,H437:H$2005,H436,AA437:AA$2005,"&gt;0")=0),ROUND(K436-L436,6),""),"")</f>
        <v/>
      </c>
      <c r="X436" s="60" t="str">
        <f>IF(AND(A436="",C436="",D436="",H436="",L436=""),"",IF(A436="","Type manquant",IF(AND(A436&lt;&gt;"BL",A436&lt;&gt;"BR",A436&lt;&gt;"BS"),"Type inconnu (BL, BR ou BS)",IF(AG436=0,"Date manquante ou invalide",IF(D436="",IF(A436="BL","Client manquant",IF(A436="BR","Fournisseur manquant","Service manquant")),IF(IF(A436="BL",ISNA(MATCH(D436,cl_code,0)),IF(A436="BR",ISNA(MATCH(D436,fo_code,0)),ISNA(MATCH(D436,p_services,0)))),IF(A436="BL","Client inconnu",IF(A436="BR","Fournisseur inconnu","Service inconnu")),IF(H436="","Article manquant",IF(ISNA(MATCH(H436,art_ref,0)),"Article inconnu",IF(OR(NOT(ISNUMBER(L436)),N(L436)&lt;=0),"Quantité invalide",IF(AND(K436&lt;&gt;"",OR(NOT(ISNUMBER(K436)),N(K436)&lt;=0)),"Qté commandée invalide",IF(AG436&lt;SUMPRODUCT(MAX((A$6:A435=A436)*AG$6:AG435)),"Date antérieure au bon précédent",IF(AND(A436&lt;&gt;"BR",ISNUMBER(M436),N(M436)&gt;0),IF(A436="BL","Livré plus que commandé","Sorti plus que demandé"),"OK"))))))))))))</f>
        <v/>
      </c>
      <c r="Y436" s="57" t="str">
        <f>IF(AND(OR(A436="BL",A436="BR",A436="BS"),AG436&gt;0,D436&lt;&gt;""),A436&amp;"|"&amp;AG436&amp;"|"&amp;D436&amp;"|"&amp;F436,"")</f>
        <v/>
      </c>
      <c r="Z436" s="57" t="str">
        <f>IF(Y436="","",IF(COUNTIF(Y$6:Y435,Y436)=0,1,0))</f>
        <v/>
      </c>
      <c r="AA436" s="57" t="str">
        <f>IF(Y436="","",IF(Z436=1,COUNTIFS(A$6:A436,A436,Z$6:Z436,1),INDEX(AA$6:AA435,MATCH(Y436,Y$6:Y435,0))))</f>
        <v/>
      </c>
      <c r="AB436" s="57" t="str">
        <f>IF(B436="","",COUNTIF(B$6:B436,B436))</f>
        <v/>
      </c>
      <c r="AC436" s="57" t="str">
        <f>IF(B436="","",B436&amp;"#"&amp;AB436)</f>
        <v/>
      </c>
      <c r="AD436" s="57" t="str">
        <f>IF(Z436=1,A436&amp;AA436,"")</f>
        <v/>
      </c>
      <c r="AE436" s="57" t="str">
        <f>IF(B436="","",YEAR(C436))</f>
        <v/>
      </c>
      <c r="AF436" s="57" t="str">
        <f>IF(B436="","",MONTH(C436))</f>
        <v/>
      </c>
      <c r="AG436" s="57">
        <f>IF(ISNUMBER(C436),C436,0)</f>
        <v>0.0</v>
      </c>
      <c r="AH436" s="57" t="str">
        <f>IF(N(W436)&gt;0,COUNTIF(W$6:W436,"&gt;0"),"")</f>
        <v/>
      </c>
      <c r="AI436" s="57" t="str">
        <f>IF(Z436=1,COUNTIF(Z$6:Z436,1),"")</f>
        <v/>
      </c>
    </row>
    <row r="437">
      <c r="A437" s="54" t="n"/>
      <c r="B437" s="55" t="str">
        <f>IF(AA437="","",A437&amp;"-"&amp;RIGHT("000"&amp;AA437,4))</f>
        <v/>
      </c>
      <c r="C437" s="56" t="n"/>
      <c r="D437" s="54" t="n"/>
      <c r="E437" s="57" t="str">
        <f>IF(D437="","",IF(A437="BL",IFERROR(INDEX(cl_name,MATCH(D437,cl_code,0))&amp;"","Client inconnu"),IF(A437="BR",IFERROR(INDEX(fo_name,MATCH(D437,fo_code,0))&amp;"","Fournisseur inconnu"),IF(A437="BS",IF(ISNA(MATCH(D437,p_services,0)),"Service inconnu",D437&amp;""),""))))</f>
        <v/>
      </c>
      <c r="F437" s="58" t="n"/>
      <c r="G437" s="58" t="n"/>
      <c r="H437" s="59" t="n"/>
      <c r="I437" s="57" t="str">
        <f>IF(H437="","",IFERROR(INDEX(art_des,MATCH(H437,art_ref,0))&amp;"","Article inconnu"))</f>
        <v/>
      </c>
      <c r="J437" s="60" t="str">
        <f>IF(H437="","",IFERROR(INDEX(art_unit,MATCH(H437,art_ref,0))&amp;"",""))</f>
        <v/>
      </c>
      <c r="K437" s="59" t="n"/>
      <c r="L437" s="59" t="n"/>
      <c r="M437" s="61" t="str">
        <f>IF(OR(B437="",NOT(ISNUMBER(K437)),NOT(ISNUMBER(L437))),"",IF(OR(K437&lt;=0,L437&lt;=0),"",ROUND(L437-K437,6)))</f>
        <v/>
      </c>
      <c r="N437" s="58" t="n"/>
      <c r="O437" s="62" t="n"/>
      <c r="P437" s="63" t="str">
        <f>IF(OR(B437="",NOT(ISNUMBER(L437))),"",IF(L437&lt;=0,"",IFERROR(ROUND(L437*N(INDEX(art_w,MATCH(H437,art_ref,0))),3),"")))</f>
        <v/>
      </c>
      <c r="Q437" s="59" t="n"/>
      <c r="R437" s="54" t="n"/>
      <c r="S437" s="59" t="n"/>
      <c r="T437" s="59" t="n"/>
      <c r="U437" s="64" t="str">
        <f>IF(OR(B437="",H437=""),"",IFERROR(IF(A437="BL",IF(N(INDEX(art_price,MATCH(H437,art_ref,0)))=0,"",N(INDEX(art_price,MATCH(H437,art_ref,0)))),IF(N(INDEX(art_cost,MATCH(H437,art_ref,0)))=0,"",N(INDEX(art_cost,MATCH(H437,art_ref,0))))),""))</f>
        <v/>
      </c>
      <c r="V437" s="64" t="str">
        <f>IF(OR(U437="",NOT(ISNUMBER(L437))),"",IF(L437&lt;=0,"",ROUND(L437*U437,2)))</f>
        <v/>
      </c>
      <c r="W437" s="60" t="str">
        <f>IF(AND(B437&lt;&gt;"",A437&lt;&gt;"BS",F437&lt;&gt;"",H437&lt;&gt;"",ISNUMBER(K437),ISNUMBER(L437)),IF(AND(K437&gt;0,L437&gt;0,K437-L437&gt;0,COUNTIFS(A438:A$2005,A437,F438:F$2005,F437,H438:H$2005,H437,AA438:AA$2005,"&gt;0")=0),ROUND(K437-L437,6),""),"")</f>
        <v/>
      </c>
      <c r="X437" s="60" t="str">
        <f>IF(AND(A437="",C437="",D437="",H437="",L437=""),"",IF(A437="","Type manquant",IF(AND(A437&lt;&gt;"BL",A437&lt;&gt;"BR",A437&lt;&gt;"BS"),"Type inconnu (BL, BR ou BS)",IF(AG437=0,"Date manquante ou invalide",IF(D437="",IF(A437="BL","Client manquant",IF(A437="BR","Fournisseur manquant","Service manquant")),IF(IF(A437="BL",ISNA(MATCH(D437,cl_code,0)),IF(A437="BR",ISNA(MATCH(D437,fo_code,0)),ISNA(MATCH(D437,p_services,0)))),IF(A437="BL","Client inconnu",IF(A437="BR","Fournisseur inconnu","Service inconnu")),IF(H437="","Article manquant",IF(ISNA(MATCH(H437,art_ref,0)),"Article inconnu",IF(OR(NOT(ISNUMBER(L437)),N(L437)&lt;=0),"Quantité invalide",IF(AND(K437&lt;&gt;"",OR(NOT(ISNUMBER(K437)),N(K437)&lt;=0)),"Qté commandée invalide",IF(AG437&lt;SUMPRODUCT(MAX((A$6:A436=A437)*AG$6:AG436)),"Date antérieure au bon précédent",IF(AND(A437&lt;&gt;"BR",ISNUMBER(M437),N(M437)&gt;0),IF(A437="BL","Livré plus que commandé","Sorti plus que demandé"),"OK"))))))))))))</f>
        <v/>
      </c>
      <c r="Y437" s="57" t="str">
        <f>IF(AND(OR(A437="BL",A437="BR",A437="BS"),AG437&gt;0,D437&lt;&gt;""),A437&amp;"|"&amp;AG437&amp;"|"&amp;D437&amp;"|"&amp;F437,"")</f>
        <v/>
      </c>
      <c r="Z437" s="57" t="str">
        <f>IF(Y437="","",IF(COUNTIF(Y$6:Y436,Y437)=0,1,0))</f>
        <v/>
      </c>
      <c r="AA437" s="57" t="str">
        <f>IF(Y437="","",IF(Z437=1,COUNTIFS(A$6:A437,A437,Z$6:Z437,1),INDEX(AA$6:AA436,MATCH(Y437,Y$6:Y436,0))))</f>
        <v/>
      </c>
      <c r="AB437" s="57" t="str">
        <f>IF(B437="","",COUNTIF(B$6:B437,B437))</f>
        <v/>
      </c>
      <c r="AC437" s="57" t="str">
        <f>IF(B437="","",B437&amp;"#"&amp;AB437)</f>
        <v/>
      </c>
      <c r="AD437" s="57" t="str">
        <f>IF(Z437=1,A437&amp;AA437,"")</f>
        <v/>
      </c>
      <c r="AE437" s="57" t="str">
        <f>IF(B437="","",YEAR(C437))</f>
        <v/>
      </c>
      <c r="AF437" s="57" t="str">
        <f>IF(B437="","",MONTH(C437))</f>
        <v/>
      </c>
      <c r="AG437" s="57">
        <f>IF(ISNUMBER(C437),C437,0)</f>
        <v>0.0</v>
      </c>
      <c r="AH437" s="57" t="str">
        <f>IF(N(W437)&gt;0,COUNTIF(W$6:W437,"&gt;0"),"")</f>
        <v/>
      </c>
      <c r="AI437" s="57" t="str">
        <f>IF(Z437=1,COUNTIF(Z$6:Z437,1),"")</f>
        <v/>
      </c>
    </row>
    <row r="438">
      <c r="A438" s="54" t="n"/>
      <c r="B438" s="55" t="str">
        <f>IF(AA438="","",A438&amp;"-"&amp;RIGHT("000"&amp;AA438,4))</f>
        <v/>
      </c>
      <c r="C438" s="56" t="n"/>
      <c r="D438" s="54" t="n"/>
      <c r="E438" s="57" t="str">
        <f>IF(D438="","",IF(A438="BL",IFERROR(INDEX(cl_name,MATCH(D438,cl_code,0))&amp;"","Client inconnu"),IF(A438="BR",IFERROR(INDEX(fo_name,MATCH(D438,fo_code,0))&amp;"","Fournisseur inconnu"),IF(A438="BS",IF(ISNA(MATCH(D438,p_services,0)),"Service inconnu",D438&amp;""),""))))</f>
        <v/>
      </c>
      <c r="F438" s="58" t="n"/>
      <c r="G438" s="58" t="n"/>
      <c r="H438" s="59" t="n"/>
      <c r="I438" s="57" t="str">
        <f>IF(H438="","",IFERROR(INDEX(art_des,MATCH(H438,art_ref,0))&amp;"","Article inconnu"))</f>
        <v/>
      </c>
      <c r="J438" s="60" t="str">
        <f>IF(H438="","",IFERROR(INDEX(art_unit,MATCH(H438,art_ref,0))&amp;"",""))</f>
        <v/>
      </c>
      <c r="K438" s="59" t="n"/>
      <c r="L438" s="59" t="n"/>
      <c r="M438" s="61" t="str">
        <f>IF(OR(B438="",NOT(ISNUMBER(K438)),NOT(ISNUMBER(L438))),"",IF(OR(K438&lt;=0,L438&lt;=0),"",ROUND(L438-K438,6)))</f>
        <v/>
      </c>
      <c r="N438" s="58" t="n"/>
      <c r="O438" s="62" t="n"/>
      <c r="P438" s="63" t="str">
        <f>IF(OR(B438="",NOT(ISNUMBER(L438))),"",IF(L438&lt;=0,"",IFERROR(ROUND(L438*N(INDEX(art_w,MATCH(H438,art_ref,0))),3),"")))</f>
        <v/>
      </c>
      <c r="Q438" s="59" t="n"/>
      <c r="R438" s="54" t="n"/>
      <c r="S438" s="59" t="n"/>
      <c r="T438" s="59" t="n"/>
      <c r="U438" s="64" t="str">
        <f>IF(OR(B438="",H438=""),"",IFERROR(IF(A438="BL",IF(N(INDEX(art_price,MATCH(H438,art_ref,0)))=0,"",N(INDEX(art_price,MATCH(H438,art_ref,0)))),IF(N(INDEX(art_cost,MATCH(H438,art_ref,0)))=0,"",N(INDEX(art_cost,MATCH(H438,art_ref,0))))),""))</f>
        <v/>
      </c>
      <c r="V438" s="64" t="str">
        <f>IF(OR(U438="",NOT(ISNUMBER(L438))),"",IF(L438&lt;=0,"",ROUND(L438*U438,2)))</f>
        <v/>
      </c>
      <c r="W438" s="60" t="str">
        <f>IF(AND(B438&lt;&gt;"",A438&lt;&gt;"BS",F438&lt;&gt;"",H438&lt;&gt;"",ISNUMBER(K438),ISNUMBER(L438)),IF(AND(K438&gt;0,L438&gt;0,K438-L438&gt;0,COUNTIFS(A439:A$2005,A438,F439:F$2005,F438,H439:H$2005,H438,AA439:AA$2005,"&gt;0")=0),ROUND(K438-L438,6),""),"")</f>
        <v/>
      </c>
      <c r="X438" s="60" t="str">
        <f>IF(AND(A438="",C438="",D438="",H438="",L438=""),"",IF(A438="","Type manquant",IF(AND(A438&lt;&gt;"BL",A438&lt;&gt;"BR",A438&lt;&gt;"BS"),"Type inconnu (BL, BR ou BS)",IF(AG438=0,"Date manquante ou invalide",IF(D438="",IF(A438="BL","Client manquant",IF(A438="BR","Fournisseur manquant","Service manquant")),IF(IF(A438="BL",ISNA(MATCH(D438,cl_code,0)),IF(A438="BR",ISNA(MATCH(D438,fo_code,0)),ISNA(MATCH(D438,p_services,0)))),IF(A438="BL","Client inconnu",IF(A438="BR","Fournisseur inconnu","Service inconnu")),IF(H438="","Article manquant",IF(ISNA(MATCH(H438,art_ref,0)),"Article inconnu",IF(OR(NOT(ISNUMBER(L438)),N(L438)&lt;=0),"Quantité invalide",IF(AND(K438&lt;&gt;"",OR(NOT(ISNUMBER(K438)),N(K438)&lt;=0)),"Qté commandée invalide",IF(AG438&lt;SUMPRODUCT(MAX((A$6:A437=A438)*AG$6:AG437)),"Date antérieure au bon précédent",IF(AND(A438&lt;&gt;"BR",ISNUMBER(M438),N(M438)&gt;0),IF(A438="BL","Livré plus que commandé","Sorti plus que demandé"),"OK"))))))))))))</f>
        <v/>
      </c>
      <c r="Y438" s="57" t="str">
        <f>IF(AND(OR(A438="BL",A438="BR",A438="BS"),AG438&gt;0,D438&lt;&gt;""),A438&amp;"|"&amp;AG438&amp;"|"&amp;D438&amp;"|"&amp;F438,"")</f>
        <v/>
      </c>
      <c r="Z438" s="57" t="str">
        <f>IF(Y438="","",IF(COUNTIF(Y$6:Y437,Y438)=0,1,0))</f>
        <v/>
      </c>
      <c r="AA438" s="57" t="str">
        <f>IF(Y438="","",IF(Z438=1,COUNTIFS(A$6:A438,A438,Z$6:Z438,1),INDEX(AA$6:AA437,MATCH(Y438,Y$6:Y437,0))))</f>
        <v/>
      </c>
      <c r="AB438" s="57" t="str">
        <f>IF(B438="","",COUNTIF(B$6:B438,B438))</f>
        <v/>
      </c>
      <c r="AC438" s="57" t="str">
        <f>IF(B438="","",B438&amp;"#"&amp;AB438)</f>
        <v/>
      </c>
      <c r="AD438" s="57" t="str">
        <f>IF(Z438=1,A438&amp;AA438,"")</f>
        <v/>
      </c>
      <c r="AE438" s="57" t="str">
        <f>IF(B438="","",YEAR(C438))</f>
        <v/>
      </c>
      <c r="AF438" s="57" t="str">
        <f>IF(B438="","",MONTH(C438))</f>
        <v/>
      </c>
      <c r="AG438" s="57">
        <f>IF(ISNUMBER(C438),C438,0)</f>
        <v>0.0</v>
      </c>
      <c r="AH438" s="57" t="str">
        <f>IF(N(W438)&gt;0,COUNTIF(W$6:W438,"&gt;0"),"")</f>
        <v/>
      </c>
      <c r="AI438" s="57" t="str">
        <f>IF(Z438=1,COUNTIF(Z$6:Z438,1),"")</f>
        <v/>
      </c>
    </row>
    <row r="439">
      <c r="A439" s="54" t="n"/>
      <c r="B439" s="55" t="str">
        <f>IF(AA439="","",A439&amp;"-"&amp;RIGHT("000"&amp;AA439,4))</f>
        <v/>
      </c>
      <c r="C439" s="56" t="n"/>
      <c r="D439" s="54" t="n"/>
      <c r="E439" s="57" t="str">
        <f>IF(D439="","",IF(A439="BL",IFERROR(INDEX(cl_name,MATCH(D439,cl_code,0))&amp;"","Client inconnu"),IF(A439="BR",IFERROR(INDEX(fo_name,MATCH(D439,fo_code,0))&amp;"","Fournisseur inconnu"),IF(A439="BS",IF(ISNA(MATCH(D439,p_services,0)),"Service inconnu",D439&amp;""),""))))</f>
        <v/>
      </c>
      <c r="F439" s="58" t="n"/>
      <c r="G439" s="58" t="n"/>
      <c r="H439" s="59" t="n"/>
      <c r="I439" s="57" t="str">
        <f>IF(H439="","",IFERROR(INDEX(art_des,MATCH(H439,art_ref,0))&amp;"","Article inconnu"))</f>
        <v/>
      </c>
      <c r="J439" s="60" t="str">
        <f>IF(H439="","",IFERROR(INDEX(art_unit,MATCH(H439,art_ref,0))&amp;"",""))</f>
        <v/>
      </c>
      <c r="K439" s="59" t="n"/>
      <c r="L439" s="59" t="n"/>
      <c r="M439" s="61" t="str">
        <f>IF(OR(B439="",NOT(ISNUMBER(K439)),NOT(ISNUMBER(L439))),"",IF(OR(K439&lt;=0,L439&lt;=0),"",ROUND(L439-K439,6)))</f>
        <v/>
      </c>
      <c r="N439" s="58" t="n"/>
      <c r="O439" s="62" t="n"/>
      <c r="P439" s="63" t="str">
        <f>IF(OR(B439="",NOT(ISNUMBER(L439))),"",IF(L439&lt;=0,"",IFERROR(ROUND(L439*N(INDEX(art_w,MATCH(H439,art_ref,0))),3),"")))</f>
        <v/>
      </c>
      <c r="Q439" s="59" t="n"/>
      <c r="R439" s="54" t="n"/>
      <c r="S439" s="59" t="n"/>
      <c r="T439" s="59" t="n"/>
      <c r="U439" s="64" t="str">
        <f>IF(OR(B439="",H439=""),"",IFERROR(IF(A439="BL",IF(N(INDEX(art_price,MATCH(H439,art_ref,0)))=0,"",N(INDEX(art_price,MATCH(H439,art_ref,0)))),IF(N(INDEX(art_cost,MATCH(H439,art_ref,0)))=0,"",N(INDEX(art_cost,MATCH(H439,art_ref,0))))),""))</f>
        <v/>
      </c>
      <c r="V439" s="64" t="str">
        <f>IF(OR(U439="",NOT(ISNUMBER(L439))),"",IF(L439&lt;=0,"",ROUND(L439*U439,2)))</f>
        <v/>
      </c>
      <c r="W439" s="60" t="str">
        <f>IF(AND(B439&lt;&gt;"",A439&lt;&gt;"BS",F439&lt;&gt;"",H439&lt;&gt;"",ISNUMBER(K439),ISNUMBER(L439)),IF(AND(K439&gt;0,L439&gt;0,K439-L439&gt;0,COUNTIFS(A440:A$2005,A439,F440:F$2005,F439,H440:H$2005,H439,AA440:AA$2005,"&gt;0")=0),ROUND(K439-L439,6),""),"")</f>
        <v/>
      </c>
      <c r="X439" s="60" t="str">
        <f>IF(AND(A439="",C439="",D439="",H439="",L439=""),"",IF(A439="","Type manquant",IF(AND(A439&lt;&gt;"BL",A439&lt;&gt;"BR",A439&lt;&gt;"BS"),"Type inconnu (BL, BR ou BS)",IF(AG439=0,"Date manquante ou invalide",IF(D439="",IF(A439="BL","Client manquant",IF(A439="BR","Fournisseur manquant","Service manquant")),IF(IF(A439="BL",ISNA(MATCH(D439,cl_code,0)),IF(A439="BR",ISNA(MATCH(D439,fo_code,0)),ISNA(MATCH(D439,p_services,0)))),IF(A439="BL","Client inconnu",IF(A439="BR","Fournisseur inconnu","Service inconnu")),IF(H439="","Article manquant",IF(ISNA(MATCH(H439,art_ref,0)),"Article inconnu",IF(OR(NOT(ISNUMBER(L439)),N(L439)&lt;=0),"Quantité invalide",IF(AND(K439&lt;&gt;"",OR(NOT(ISNUMBER(K439)),N(K439)&lt;=0)),"Qté commandée invalide",IF(AG439&lt;SUMPRODUCT(MAX((A$6:A438=A439)*AG$6:AG438)),"Date antérieure au bon précédent",IF(AND(A439&lt;&gt;"BR",ISNUMBER(M439),N(M439)&gt;0),IF(A439="BL","Livré plus que commandé","Sorti plus que demandé"),"OK"))))))))))))</f>
        <v/>
      </c>
      <c r="Y439" s="57" t="str">
        <f>IF(AND(OR(A439="BL",A439="BR",A439="BS"),AG439&gt;0,D439&lt;&gt;""),A439&amp;"|"&amp;AG439&amp;"|"&amp;D439&amp;"|"&amp;F439,"")</f>
        <v/>
      </c>
      <c r="Z439" s="57" t="str">
        <f>IF(Y439="","",IF(COUNTIF(Y$6:Y438,Y439)=0,1,0))</f>
        <v/>
      </c>
      <c r="AA439" s="57" t="str">
        <f>IF(Y439="","",IF(Z439=1,COUNTIFS(A$6:A439,A439,Z$6:Z439,1),INDEX(AA$6:AA438,MATCH(Y439,Y$6:Y438,0))))</f>
        <v/>
      </c>
      <c r="AB439" s="57" t="str">
        <f>IF(B439="","",COUNTIF(B$6:B439,B439))</f>
        <v/>
      </c>
      <c r="AC439" s="57" t="str">
        <f>IF(B439="","",B439&amp;"#"&amp;AB439)</f>
        <v/>
      </c>
      <c r="AD439" s="57" t="str">
        <f>IF(Z439=1,A439&amp;AA439,"")</f>
        <v/>
      </c>
      <c r="AE439" s="57" t="str">
        <f>IF(B439="","",YEAR(C439))</f>
        <v/>
      </c>
      <c r="AF439" s="57" t="str">
        <f>IF(B439="","",MONTH(C439))</f>
        <v/>
      </c>
      <c r="AG439" s="57">
        <f>IF(ISNUMBER(C439),C439,0)</f>
        <v>0.0</v>
      </c>
      <c r="AH439" s="57" t="str">
        <f>IF(N(W439)&gt;0,COUNTIF(W$6:W439,"&gt;0"),"")</f>
        <v/>
      </c>
      <c r="AI439" s="57" t="str">
        <f>IF(Z439=1,COUNTIF(Z$6:Z439,1),"")</f>
        <v/>
      </c>
    </row>
    <row r="440">
      <c r="A440" s="54" t="n"/>
      <c r="B440" s="55" t="str">
        <f>IF(AA440="","",A440&amp;"-"&amp;RIGHT("000"&amp;AA440,4))</f>
        <v/>
      </c>
      <c r="C440" s="56" t="n"/>
      <c r="D440" s="54" t="n"/>
      <c r="E440" s="57" t="str">
        <f>IF(D440="","",IF(A440="BL",IFERROR(INDEX(cl_name,MATCH(D440,cl_code,0))&amp;"","Client inconnu"),IF(A440="BR",IFERROR(INDEX(fo_name,MATCH(D440,fo_code,0))&amp;"","Fournisseur inconnu"),IF(A440="BS",IF(ISNA(MATCH(D440,p_services,0)),"Service inconnu",D440&amp;""),""))))</f>
        <v/>
      </c>
      <c r="F440" s="58" t="n"/>
      <c r="G440" s="58" t="n"/>
      <c r="H440" s="59" t="n"/>
      <c r="I440" s="57" t="str">
        <f>IF(H440="","",IFERROR(INDEX(art_des,MATCH(H440,art_ref,0))&amp;"","Article inconnu"))</f>
        <v/>
      </c>
      <c r="J440" s="60" t="str">
        <f>IF(H440="","",IFERROR(INDEX(art_unit,MATCH(H440,art_ref,0))&amp;"",""))</f>
        <v/>
      </c>
      <c r="K440" s="59" t="n"/>
      <c r="L440" s="59" t="n"/>
      <c r="M440" s="61" t="str">
        <f>IF(OR(B440="",NOT(ISNUMBER(K440)),NOT(ISNUMBER(L440))),"",IF(OR(K440&lt;=0,L440&lt;=0),"",ROUND(L440-K440,6)))</f>
        <v/>
      </c>
      <c r="N440" s="58" t="n"/>
      <c r="O440" s="62" t="n"/>
      <c r="P440" s="63" t="str">
        <f>IF(OR(B440="",NOT(ISNUMBER(L440))),"",IF(L440&lt;=0,"",IFERROR(ROUND(L440*N(INDEX(art_w,MATCH(H440,art_ref,0))),3),"")))</f>
        <v/>
      </c>
      <c r="Q440" s="59" t="n"/>
      <c r="R440" s="54" t="n"/>
      <c r="S440" s="59" t="n"/>
      <c r="T440" s="59" t="n"/>
      <c r="U440" s="64" t="str">
        <f>IF(OR(B440="",H440=""),"",IFERROR(IF(A440="BL",IF(N(INDEX(art_price,MATCH(H440,art_ref,0)))=0,"",N(INDEX(art_price,MATCH(H440,art_ref,0)))),IF(N(INDEX(art_cost,MATCH(H440,art_ref,0)))=0,"",N(INDEX(art_cost,MATCH(H440,art_ref,0))))),""))</f>
        <v/>
      </c>
      <c r="V440" s="64" t="str">
        <f>IF(OR(U440="",NOT(ISNUMBER(L440))),"",IF(L440&lt;=0,"",ROUND(L440*U440,2)))</f>
        <v/>
      </c>
      <c r="W440" s="60" t="str">
        <f>IF(AND(B440&lt;&gt;"",A440&lt;&gt;"BS",F440&lt;&gt;"",H440&lt;&gt;"",ISNUMBER(K440),ISNUMBER(L440)),IF(AND(K440&gt;0,L440&gt;0,K440-L440&gt;0,COUNTIFS(A441:A$2005,A440,F441:F$2005,F440,H441:H$2005,H440,AA441:AA$2005,"&gt;0")=0),ROUND(K440-L440,6),""),"")</f>
        <v/>
      </c>
      <c r="X440" s="60" t="str">
        <f>IF(AND(A440="",C440="",D440="",H440="",L440=""),"",IF(A440="","Type manquant",IF(AND(A440&lt;&gt;"BL",A440&lt;&gt;"BR",A440&lt;&gt;"BS"),"Type inconnu (BL, BR ou BS)",IF(AG440=0,"Date manquante ou invalide",IF(D440="",IF(A440="BL","Client manquant",IF(A440="BR","Fournisseur manquant","Service manquant")),IF(IF(A440="BL",ISNA(MATCH(D440,cl_code,0)),IF(A440="BR",ISNA(MATCH(D440,fo_code,0)),ISNA(MATCH(D440,p_services,0)))),IF(A440="BL","Client inconnu",IF(A440="BR","Fournisseur inconnu","Service inconnu")),IF(H440="","Article manquant",IF(ISNA(MATCH(H440,art_ref,0)),"Article inconnu",IF(OR(NOT(ISNUMBER(L440)),N(L440)&lt;=0),"Quantité invalide",IF(AND(K440&lt;&gt;"",OR(NOT(ISNUMBER(K440)),N(K440)&lt;=0)),"Qté commandée invalide",IF(AG440&lt;SUMPRODUCT(MAX((A$6:A439=A440)*AG$6:AG439)),"Date antérieure au bon précédent",IF(AND(A440&lt;&gt;"BR",ISNUMBER(M440),N(M440)&gt;0),IF(A440="BL","Livré plus que commandé","Sorti plus que demandé"),"OK"))))))))))))</f>
        <v/>
      </c>
      <c r="Y440" s="57" t="str">
        <f>IF(AND(OR(A440="BL",A440="BR",A440="BS"),AG440&gt;0,D440&lt;&gt;""),A440&amp;"|"&amp;AG440&amp;"|"&amp;D440&amp;"|"&amp;F440,"")</f>
        <v/>
      </c>
      <c r="Z440" s="57" t="str">
        <f>IF(Y440="","",IF(COUNTIF(Y$6:Y439,Y440)=0,1,0))</f>
        <v/>
      </c>
      <c r="AA440" s="57" t="str">
        <f>IF(Y440="","",IF(Z440=1,COUNTIFS(A$6:A440,A440,Z$6:Z440,1),INDEX(AA$6:AA439,MATCH(Y440,Y$6:Y439,0))))</f>
        <v/>
      </c>
      <c r="AB440" s="57" t="str">
        <f>IF(B440="","",COUNTIF(B$6:B440,B440))</f>
        <v/>
      </c>
      <c r="AC440" s="57" t="str">
        <f>IF(B440="","",B440&amp;"#"&amp;AB440)</f>
        <v/>
      </c>
      <c r="AD440" s="57" t="str">
        <f>IF(Z440=1,A440&amp;AA440,"")</f>
        <v/>
      </c>
      <c r="AE440" s="57" t="str">
        <f>IF(B440="","",YEAR(C440))</f>
        <v/>
      </c>
      <c r="AF440" s="57" t="str">
        <f>IF(B440="","",MONTH(C440))</f>
        <v/>
      </c>
      <c r="AG440" s="57">
        <f>IF(ISNUMBER(C440),C440,0)</f>
        <v>0.0</v>
      </c>
      <c r="AH440" s="57" t="str">
        <f>IF(N(W440)&gt;0,COUNTIF(W$6:W440,"&gt;0"),"")</f>
        <v/>
      </c>
      <c r="AI440" s="57" t="str">
        <f>IF(Z440=1,COUNTIF(Z$6:Z440,1),"")</f>
        <v/>
      </c>
    </row>
    <row r="441">
      <c r="A441" s="54" t="n"/>
      <c r="B441" s="55" t="str">
        <f>IF(AA441="","",A441&amp;"-"&amp;RIGHT("000"&amp;AA441,4))</f>
        <v/>
      </c>
      <c r="C441" s="56" t="n"/>
      <c r="D441" s="54" t="n"/>
      <c r="E441" s="57" t="str">
        <f>IF(D441="","",IF(A441="BL",IFERROR(INDEX(cl_name,MATCH(D441,cl_code,0))&amp;"","Client inconnu"),IF(A441="BR",IFERROR(INDEX(fo_name,MATCH(D441,fo_code,0))&amp;"","Fournisseur inconnu"),IF(A441="BS",IF(ISNA(MATCH(D441,p_services,0)),"Service inconnu",D441&amp;""),""))))</f>
        <v/>
      </c>
      <c r="F441" s="58" t="n"/>
      <c r="G441" s="58" t="n"/>
      <c r="H441" s="59" t="n"/>
      <c r="I441" s="57" t="str">
        <f>IF(H441="","",IFERROR(INDEX(art_des,MATCH(H441,art_ref,0))&amp;"","Article inconnu"))</f>
        <v/>
      </c>
      <c r="J441" s="60" t="str">
        <f>IF(H441="","",IFERROR(INDEX(art_unit,MATCH(H441,art_ref,0))&amp;"",""))</f>
        <v/>
      </c>
      <c r="K441" s="59" t="n"/>
      <c r="L441" s="59" t="n"/>
      <c r="M441" s="61" t="str">
        <f>IF(OR(B441="",NOT(ISNUMBER(K441)),NOT(ISNUMBER(L441))),"",IF(OR(K441&lt;=0,L441&lt;=0),"",ROUND(L441-K441,6)))</f>
        <v/>
      </c>
      <c r="N441" s="58" t="n"/>
      <c r="O441" s="62" t="n"/>
      <c r="P441" s="63" t="str">
        <f>IF(OR(B441="",NOT(ISNUMBER(L441))),"",IF(L441&lt;=0,"",IFERROR(ROUND(L441*N(INDEX(art_w,MATCH(H441,art_ref,0))),3),"")))</f>
        <v/>
      </c>
      <c r="Q441" s="59" t="n"/>
      <c r="R441" s="54" t="n"/>
      <c r="S441" s="59" t="n"/>
      <c r="T441" s="59" t="n"/>
      <c r="U441" s="64" t="str">
        <f>IF(OR(B441="",H441=""),"",IFERROR(IF(A441="BL",IF(N(INDEX(art_price,MATCH(H441,art_ref,0)))=0,"",N(INDEX(art_price,MATCH(H441,art_ref,0)))),IF(N(INDEX(art_cost,MATCH(H441,art_ref,0)))=0,"",N(INDEX(art_cost,MATCH(H441,art_ref,0))))),""))</f>
        <v/>
      </c>
      <c r="V441" s="64" t="str">
        <f>IF(OR(U441="",NOT(ISNUMBER(L441))),"",IF(L441&lt;=0,"",ROUND(L441*U441,2)))</f>
        <v/>
      </c>
      <c r="W441" s="60" t="str">
        <f>IF(AND(B441&lt;&gt;"",A441&lt;&gt;"BS",F441&lt;&gt;"",H441&lt;&gt;"",ISNUMBER(K441),ISNUMBER(L441)),IF(AND(K441&gt;0,L441&gt;0,K441-L441&gt;0,COUNTIFS(A442:A$2005,A441,F442:F$2005,F441,H442:H$2005,H441,AA442:AA$2005,"&gt;0")=0),ROUND(K441-L441,6),""),"")</f>
        <v/>
      </c>
      <c r="X441" s="60" t="str">
        <f>IF(AND(A441="",C441="",D441="",H441="",L441=""),"",IF(A441="","Type manquant",IF(AND(A441&lt;&gt;"BL",A441&lt;&gt;"BR",A441&lt;&gt;"BS"),"Type inconnu (BL, BR ou BS)",IF(AG441=0,"Date manquante ou invalide",IF(D441="",IF(A441="BL","Client manquant",IF(A441="BR","Fournisseur manquant","Service manquant")),IF(IF(A441="BL",ISNA(MATCH(D441,cl_code,0)),IF(A441="BR",ISNA(MATCH(D441,fo_code,0)),ISNA(MATCH(D441,p_services,0)))),IF(A441="BL","Client inconnu",IF(A441="BR","Fournisseur inconnu","Service inconnu")),IF(H441="","Article manquant",IF(ISNA(MATCH(H441,art_ref,0)),"Article inconnu",IF(OR(NOT(ISNUMBER(L441)),N(L441)&lt;=0),"Quantité invalide",IF(AND(K441&lt;&gt;"",OR(NOT(ISNUMBER(K441)),N(K441)&lt;=0)),"Qté commandée invalide",IF(AG441&lt;SUMPRODUCT(MAX((A$6:A440=A441)*AG$6:AG440)),"Date antérieure au bon précédent",IF(AND(A441&lt;&gt;"BR",ISNUMBER(M441),N(M441)&gt;0),IF(A441="BL","Livré plus que commandé","Sorti plus que demandé"),"OK"))))))))))))</f>
        <v/>
      </c>
      <c r="Y441" s="57" t="str">
        <f>IF(AND(OR(A441="BL",A441="BR",A441="BS"),AG441&gt;0,D441&lt;&gt;""),A441&amp;"|"&amp;AG441&amp;"|"&amp;D441&amp;"|"&amp;F441,"")</f>
        <v/>
      </c>
      <c r="Z441" s="57" t="str">
        <f>IF(Y441="","",IF(COUNTIF(Y$6:Y440,Y441)=0,1,0))</f>
        <v/>
      </c>
      <c r="AA441" s="57" t="str">
        <f>IF(Y441="","",IF(Z441=1,COUNTIFS(A$6:A441,A441,Z$6:Z441,1),INDEX(AA$6:AA440,MATCH(Y441,Y$6:Y440,0))))</f>
        <v/>
      </c>
      <c r="AB441" s="57" t="str">
        <f>IF(B441="","",COUNTIF(B$6:B441,B441))</f>
        <v/>
      </c>
      <c r="AC441" s="57" t="str">
        <f>IF(B441="","",B441&amp;"#"&amp;AB441)</f>
        <v/>
      </c>
      <c r="AD441" s="57" t="str">
        <f>IF(Z441=1,A441&amp;AA441,"")</f>
        <v/>
      </c>
      <c r="AE441" s="57" t="str">
        <f>IF(B441="","",YEAR(C441))</f>
        <v/>
      </c>
      <c r="AF441" s="57" t="str">
        <f>IF(B441="","",MONTH(C441))</f>
        <v/>
      </c>
      <c r="AG441" s="57">
        <f>IF(ISNUMBER(C441),C441,0)</f>
        <v>0.0</v>
      </c>
      <c r="AH441" s="57" t="str">
        <f>IF(N(W441)&gt;0,COUNTIF(W$6:W441,"&gt;0"),"")</f>
        <v/>
      </c>
      <c r="AI441" s="57" t="str">
        <f>IF(Z441=1,COUNTIF(Z$6:Z441,1),"")</f>
        <v/>
      </c>
    </row>
    <row r="442">
      <c r="A442" s="54" t="n"/>
      <c r="B442" s="55" t="str">
        <f>IF(AA442="","",A442&amp;"-"&amp;RIGHT("000"&amp;AA442,4))</f>
        <v/>
      </c>
      <c r="C442" s="56" t="n"/>
      <c r="D442" s="54" t="n"/>
      <c r="E442" s="57" t="str">
        <f>IF(D442="","",IF(A442="BL",IFERROR(INDEX(cl_name,MATCH(D442,cl_code,0))&amp;"","Client inconnu"),IF(A442="BR",IFERROR(INDEX(fo_name,MATCH(D442,fo_code,0))&amp;"","Fournisseur inconnu"),IF(A442="BS",IF(ISNA(MATCH(D442,p_services,0)),"Service inconnu",D442&amp;""),""))))</f>
        <v/>
      </c>
      <c r="F442" s="58" t="n"/>
      <c r="G442" s="58" t="n"/>
      <c r="H442" s="59" t="n"/>
      <c r="I442" s="57" t="str">
        <f>IF(H442="","",IFERROR(INDEX(art_des,MATCH(H442,art_ref,0))&amp;"","Article inconnu"))</f>
        <v/>
      </c>
      <c r="J442" s="60" t="str">
        <f>IF(H442="","",IFERROR(INDEX(art_unit,MATCH(H442,art_ref,0))&amp;"",""))</f>
        <v/>
      </c>
      <c r="K442" s="59" t="n"/>
      <c r="L442" s="59" t="n"/>
      <c r="M442" s="61" t="str">
        <f>IF(OR(B442="",NOT(ISNUMBER(K442)),NOT(ISNUMBER(L442))),"",IF(OR(K442&lt;=0,L442&lt;=0),"",ROUND(L442-K442,6)))</f>
        <v/>
      </c>
      <c r="N442" s="58" t="n"/>
      <c r="O442" s="62" t="n"/>
      <c r="P442" s="63" t="str">
        <f>IF(OR(B442="",NOT(ISNUMBER(L442))),"",IF(L442&lt;=0,"",IFERROR(ROUND(L442*N(INDEX(art_w,MATCH(H442,art_ref,0))),3),"")))</f>
        <v/>
      </c>
      <c r="Q442" s="59" t="n"/>
      <c r="R442" s="54" t="n"/>
      <c r="S442" s="59" t="n"/>
      <c r="T442" s="59" t="n"/>
      <c r="U442" s="64" t="str">
        <f>IF(OR(B442="",H442=""),"",IFERROR(IF(A442="BL",IF(N(INDEX(art_price,MATCH(H442,art_ref,0)))=0,"",N(INDEX(art_price,MATCH(H442,art_ref,0)))),IF(N(INDEX(art_cost,MATCH(H442,art_ref,0)))=0,"",N(INDEX(art_cost,MATCH(H442,art_ref,0))))),""))</f>
        <v/>
      </c>
      <c r="V442" s="64" t="str">
        <f>IF(OR(U442="",NOT(ISNUMBER(L442))),"",IF(L442&lt;=0,"",ROUND(L442*U442,2)))</f>
        <v/>
      </c>
      <c r="W442" s="60" t="str">
        <f>IF(AND(B442&lt;&gt;"",A442&lt;&gt;"BS",F442&lt;&gt;"",H442&lt;&gt;"",ISNUMBER(K442),ISNUMBER(L442)),IF(AND(K442&gt;0,L442&gt;0,K442-L442&gt;0,COUNTIFS(A443:A$2005,A442,F443:F$2005,F442,H443:H$2005,H442,AA443:AA$2005,"&gt;0")=0),ROUND(K442-L442,6),""),"")</f>
        <v/>
      </c>
      <c r="X442" s="60" t="str">
        <f>IF(AND(A442="",C442="",D442="",H442="",L442=""),"",IF(A442="","Type manquant",IF(AND(A442&lt;&gt;"BL",A442&lt;&gt;"BR",A442&lt;&gt;"BS"),"Type inconnu (BL, BR ou BS)",IF(AG442=0,"Date manquante ou invalide",IF(D442="",IF(A442="BL","Client manquant",IF(A442="BR","Fournisseur manquant","Service manquant")),IF(IF(A442="BL",ISNA(MATCH(D442,cl_code,0)),IF(A442="BR",ISNA(MATCH(D442,fo_code,0)),ISNA(MATCH(D442,p_services,0)))),IF(A442="BL","Client inconnu",IF(A442="BR","Fournisseur inconnu","Service inconnu")),IF(H442="","Article manquant",IF(ISNA(MATCH(H442,art_ref,0)),"Article inconnu",IF(OR(NOT(ISNUMBER(L442)),N(L442)&lt;=0),"Quantité invalide",IF(AND(K442&lt;&gt;"",OR(NOT(ISNUMBER(K442)),N(K442)&lt;=0)),"Qté commandée invalide",IF(AG442&lt;SUMPRODUCT(MAX((A$6:A441=A442)*AG$6:AG441)),"Date antérieure au bon précédent",IF(AND(A442&lt;&gt;"BR",ISNUMBER(M442),N(M442)&gt;0),IF(A442="BL","Livré plus que commandé","Sorti plus que demandé"),"OK"))))))))))))</f>
        <v/>
      </c>
      <c r="Y442" s="57" t="str">
        <f>IF(AND(OR(A442="BL",A442="BR",A442="BS"),AG442&gt;0,D442&lt;&gt;""),A442&amp;"|"&amp;AG442&amp;"|"&amp;D442&amp;"|"&amp;F442,"")</f>
        <v/>
      </c>
      <c r="Z442" s="57" t="str">
        <f>IF(Y442="","",IF(COUNTIF(Y$6:Y441,Y442)=0,1,0))</f>
        <v/>
      </c>
      <c r="AA442" s="57" t="str">
        <f>IF(Y442="","",IF(Z442=1,COUNTIFS(A$6:A442,A442,Z$6:Z442,1),INDEX(AA$6:AA441,MATCH(Y442,Y$6:Y441,0))))</f>
        <v/>
      </c>
      <c r="AB442" s="57" t="str">
        <f>IF(B442="","",COUNTIF(B$6:B442,B442))</f>
        <v/>
      </c>
      <c r="AC442" s="57" t="str">
        <f>IF(B442="","",B442&amp;"#"&amp;AB442)</f>
        <v/>
      </c>
      <c r="AD442" s="57" t="str">
        <f>IF(Z442=1,A442&amp;AA442,"")</f>
        <v/>
      </c>
      <c r="AE442" s="57" t="str">
        <f>IF(B442="","",YEAR(C442))</f>
        <v/>
      </c>
      <c r="AF442" s="57" t="str">
        <f>IF(B442="","",MONTH(C442))</f>
        <v/>
      </c>
      <c r="AG442" s="57">
        <f>IF(ISNUMBER(C442),C442,0)</f>
        <v>0.0</v>
      </c>
      <c r="AH442" s="57" t="str">
        <f>IF(N(W442)&gt;0,COUNTIF(W$6:W442,"&gt;0"),"")</f>
        <v/>
      </c>
      <c r="AI442" s="57" t="str">
        <f>IF(Z442=1,COUNTIF(Z$6:Z442,1),"")</f>
        <v/>
      </c>
    </row>
    <row r="443">
      <c r="A443" s="54" t="n"/>
      <c r="B443" s="55" t="str">
        <f>IF(AA443="","",A443&amp;"-"&amp;RIGHT("000"&amp;AA443,4))</f>
        <v/>
      </c>
      <c r="C443" s="56" t="n"/>
      <c r="D443" s="54" t="n"/>
      <c r="E443" s="57" t="str">
        <f>IF(D443="","",IF(A443="BL",IFERROR(INDEX(cl_name,MATCH(D443,cl_code,0))&amp;"","Client inconnu"),IF(A443="BR",IFERROR(INDEX(fo_name,MATCH(D443,fo_code,0))&amp;"","Fournisseur inconnu"),IF(A443="BS",IF(ISNA(MATCH(D443,p_services,0)),"Service inconnu",D443&amp;""),""))))</f>
        <v/>
      </c>
      <c r="F443" s="58" t="n"/>
      <c r="G443" s="58" t="n"/>
      <c r="H443" s="59" t="n"/>
      <c r="I443" s="57" t="str">
        <f>IF(H443="","",IFERROR(INDEX(art_des,MATCH(H443,art_ref,0))&amp;"","Article inconnu"))</f>
        <v/>
      </c>
      <c r="J443" s="60" t="str">
        <f>IF(H443="","",IFERROR(INDEX(art_unit,MATCH(H443,art_ref,0))&amp;"",""))</f>
        <v/>
      </c>
      <c r="K443" s="59" t="n"/>
      <c r="L443" s="59" t="n"/>
      <c r="M443" s="61" t="str">
        <f>IF(OR(B443="",NOT(ISNUMBER(K443)),NOT(ISNUMBER(L443))),"",IF(OR(K443&lt;=0,L443&lt;=0),"",ROUND(L443-K443,6)))</f>
        <v/>
      </c>
      <c r="N443" s="58" t="n"/>
      <c r="O443" s="62" t="n"/>
      <c r="P443" s="63" t="str">
        <f>IF(OR(B443="",NOT(ISNUMBER(L443))),"",IF(L443&lt;=0,"",IFERROR(ROUND(L443*N(INDEX(art_w,MATCH(H443,art_ref,0))),3),"")))</f>
        <v/>
      </c>
      <c r="Q443" s="59" t="n"/>
      <c r="R443" s="54" t="n"/>
      <c r="S443" s="59" t="n"/>
      <c r="T443" s="59" t="n"/>
      <c r="U443" s="64" t="str">
        <f>IF(OR(B443="",H443=""),"",IFERROR(IF(A443="BL",IF(N(INDEX(art_price,MATCH(H443,art_ref,0)))=0,"",N(INDEX(art_price,MATCH(H443,art_ref,0)))),IF(N(INDEX(art_cost,MATCH(H443,art_ref,0)))=0,"",N(INDEX(art_cost,MATCH(H443,art_ref,0))))),""))</f>
        <v/>
      </c>
      <c r="V443" s="64" t="str">
        <f>IF(OR(U443="",NOT(ISNUMBER(L443))),"",IF(L443&lt;=0,"",ROUND(L443*U443,2)))</f>
        <v/>
      </c>
      <c r="W443" s="60" t="str">
        <f>IF(AND(B443&lt;&gt;"",A443&lt;&gt;"BS",F443&lt;&gt;"",H443&lt;&gt;"",ISNUMBER(K443),ISNUMBER(L443)),IF(AND(K443&gt;0,L443&gt;0,K443-L443&gt;0,COUNTIFS(A444:A$2005,A443,F444:F$2005,F443,H444:H$2005,H443,AA444:AA$2005,"&gt;0")=0),ROUND(K443-L443,6),""),"")</f>
        <v/>
      </c>
      <c r="X443" s="60" t="str">
        <f>IF(AND(A443="",C443="",D443="",H443="",L443=""),"",IF(A443="","Type manquant",IF(AND(A443&lt;&gt;"BL",A443&lt;&gt;"BR",A443&lt;&gt;"BS"),"Type inconnu (BL, BR ou BS)",IF(AG443=0,"Date manquante ou invalide",IF(D443="",IF(A443="BL","Client manquant",IF(A443="BR","Fournisseur manquant","Service manquant")),IF(IF(A443="BL",ISNA(MATCH(D443,cl_code,0)),IF(A443="BR",ISNA(MATCH(D443,fo_code,0)),ISNA(MATCH(D443,p_services,0)))),IF(A443="BL","Client inconnu",IF(A443="BR","Fournisseur inconnu","Service inconnu")),IF(H443="","Article manquant",IF(ISNA(MATCH(H443,art_ref,0)),"Article inconnu",IF(OR(NOT(ISNUMBER(L443)),N(L443)&lt;=0),"Quantité invalide",IF(AND(K443&lt;&gt;"",OR(NOT(ISNUMBER(K443)),N(K443)&lt;=0)),"Qté commandée invalide",IF(AG443&lt;SUMPRODUCT(MAX((A$6:A442=A443)*AG$6:AG442)),"Date antérieure au bon précédent",IF(AND(A443&lt;&gt;"BR",ISNUMBER(M443),N(M443)&gt;0),IF(A443="BL","Livré plus que commandé","Sorti plus que demandé"),"OK"))))))))))))</f>
        <v/>
      </c>
      <c r="Y443" s="57" t="str">
        <f>IF(AND(OR(A443="BL",A443="BR",A443="BS"),AG443&gt;0,D443&lt;&gt;""),A443&amp;"|"&amp;AG443&amp;"|"&amp;D443&amp;"|"&amp;F443,"")</f>
        <v/>
      </c>
      <c r="Z443" s="57" t="str">
        <f>IF(Y443="","",IF(COUNTIF(Y$6:Y442,Y443)=0,1,0))</f>
        <v/>
      </c>
      <c r="AA443" s="57" t="str">
        <f>IF(Y443="","",IF(Z443=1,COUNTIFS(A$6:A443,A443,Z$6:Z443,1),INDEX(AA$6:AA442,MATCH(Y443,Y$6:Y442,0))))</f>
        <v/>
      </c>
      <c r="AB443" s="57" t="str">
        <f>IF(B443="","",COUNTIF(B$6:B443,B443))</f>
        <v/>
      </c>
      <c r="AC443" s="57" t="str">
        <f>IF(B443="","",B443&amp;"#"&amp;AB443)</f>
        <v/>
      </c>
      <c r="AD443" s="57" t="str">
        <f>IF(Z443=1,A443&amp;AA443,"")</f>
        <v/>
      </c>
      <c r="AE443" s="57" t="str">
        <f>IF(B443="","",YEAR(C443))</f>
        <v/>
      </c>
      <c r="AF443" s="57" t="str">
        <f>IF(B443="","",MONTH(C443))</f>
        <v/>
      </c>
      <c r="AG443" s="57">
        <f>IF(ISNUMBER(C443),C443,0)</f>
        <v>0.0</v>
      </c>
      <c r="AH443" s="57" t="str">
        <f>IF(N(W443)&gt;0,COUNTIF(W$6:W443,"&gt;0"),"")</f>
        <v/>
      </c>
      <c r="AI443" s="57" t="str">
        <f>IF(Z443=1,COUNTIF(Z$6:Z443,1),"")</f>
        <v/>
      </c>
    </row>
    <row r="444">
      <c r="A444" s="54" t="n"/>
      <c r="B444" s="55" t="str">
        <f>IF(AA444="","",A444&amp;"-"&amp;RIGHT("000"&amp;AA444,4))</f>
        <v/>
      </c>
      <c r="C444" s="56" t="n"/>
      <c r="D444" s="54" t="n"/>
      <c r="E444" s="57" t="str">
        <f>IF(D444="","",IF(A444="BL",IFERROR(INDEX(cl_name,MATCH(D444,cl_code,0))&amp;"","Client inconnu"),IF(A444="BR",IFERROR(INDEX(fo_name,MATCH(D444,fo_code,0))&amp;"","Fournisseur inconnu"),IF(A444="BS",IF(ISNA(MATCH(D444,p_services,0)),"Service inconnu",D444&amp;""),""))))</f>
        <v/>
      </c>
      <c r="F444" s="58" t="n"/>
      <c r="G444" s="58" t="n"/>
      <c r="H444" s="59" t="n"/>
      <c r="I444" s="57" t="str">
        <f>IF(H444="","",IFERROR(INDEX(art_des,MATCH(H444,art_ref,0))&amp;"","Article inconnu"))</f>
        <v/>
      </c>
      <c r="J444" s="60" t="str">
        <f>IF(H444="","",IFERROR(INDEX(art_unit,MATCH(H444,art_ref,0))&amp;"",""))</f>
        <v/>
      </c>
      <c r="K444" s="59" t="n"/>
      <c r="L444" s="59" t="n"/>
      <c r="M444" s="61" t="str">
        <f>IF(OR(B444="",NOT(ISNUMBER(K444)),NOT(ISNUMBER(L444))),"",IF(OR(K444&lt;=0,L444&lt;=0),"",ROUND(L444-K444,6)))</f>
        <v/>
      </c>
      <c r="N444" s="58" t="n"/>
      <c r="O444" s="62" t="n"/>
      <c r="P444" s="63" t="str">
        <f>IF(OR(B444="",NOT(ISNUMBER(L444))),"",IF(L444&lt;=0,"",IFERROR(ROUND(L444*N(INDEX(art_w,MATCH(H444,art_ref,0))),3),"")))</f>
        <v/>
      </c>
      <c r="Q444" s="59" t="n"/>
      <c r="R444" s="54" t="n"/>
      <c r="S444" s="59" t="n"/>
      <c r="T444" s="59" t="n"/>
      <c r="U444" s="64" t="str">
        <f>IF(OR(B444="",H444=""),"",IFERROR(IF(A444="BL",IF(N(INDEX(art_price,MATCH(H444,art_ref,0)))=0,"",N(INDEX(art_price,MATCH(H444,art_ref,0)))),IF(N(INDEX(art_cost,MATCH(H444,art_ref,0)))=0,"",N(INDEX(art_cost,MATCH(H444,art_ref,0))))),""))</f>
        <v/>
      </c>
      <c r="V444" s="64" t="str">
        <f>IF(OR(U444="",NOT(ISNUMBER(L444))),"",IF(L444&lt;=0,"",ROUND(L444*U444,2)))</f>
        <v/>
      </c>
      <c r="W444" s="60" t="str">
        <f>IF(AND(B444&lt;&gt;"",A444&lt;&gt;"BS",F444&lt;&gt;"",H444&lt;&gt;"",ISNUMBER(K444),ISNUMBER(L444)),IF(AND(K444&gt;0,L444&gt;0,K444-L444&gt;0,COUNTIFS(A445:A$2005,A444,F445:F$2005,F444,H445:H$2005,H444,AA445:AA$2005,"&gt;0")=0),ROUND(K444-L444,6),""),"")</f>
        <v/>
      </c>
      <c r="X444" s="60" t="str">
        <f>IF(AND(A444="",C444="",D444="",H444="",L444=""),"",IF(A444="","Type manquant",IF(AND(A444&lt;&gt;"BL",A444&lt;&gt;"BR",A444&lt;&gt;"BS"),"Type inconnu (BL, BR ou BS)",IF(AG444=0,"Date manquante ou invalide",IF(D444="",IF(A444="BL","Client manquant",IF(A444="BR","Fournisseur manquant","Service manquant")),IF(IF(A444="BL",ISNA(MATCH(D444,cl_code,0)),IF(A444="BR",ISNA(MATCH(D444,fo_code,0)),ISNA(MATCH(D444,p_services,0)))),IF(A444="BL","Client inconnu",IF(A444="BR","Fournisseur inconnu","Service inconnu")),IF(H444="","Article manquant",IF(ISNA(MATCH(H444,art_ref,0)),"Article inconnu",IF(OR(NOT(ISNUMBER(L444)),N(L444)&lt;=0),"Quantité invalide",IF(AND(K444&lt;&gt;"",OR(NOT(ISNUMBER(K444)),N(K444)&lt;=0)),"Qté commandée invalide",IF(AG444&lt;SUMPRODUCT(MAX((A$6:A443=A444)*AG$6:AG443)),"Date antérieure au bon précédent",IF(AND(A444&lt;&gt;"BR",ISNUMBER(M444),N(M444)&gt;0),IF(A444="BL","Livré plus que commandé","Sorti plus que demandé"),"OK"))))))))))))</f>
        <v/>
      </c>
      <c r="Y444" s="57" t="str">
        <f>IF(AND(OR(A444="BL",A444="BR",A444="BS"),AG444&gt;0,D444&lt;&gt;""),A444&amp;"|"&amp;AG444&amp;"|"&amp;D444&amp;"|"&amp;F444,"")</f>
        <v/>
      </c>
      <c r="Z444" s="57" t="str">
        <f>IF(Y444="","",IF(COUNTIF(Y$6:Y443,Y444)=0,1,0))</f>
        <v/>
      </c>
      <c r="AA444" s="57" t="str">
        <f>IF(Y444="","",IF(Z444=1,COUNTIFS(A$6:A444,A444,Z$6:Z444,1),INDEX(AA$6:AA443,MATCH(Y444,Y$6:Y443,0))))</f>
        <v/>
      </c>
      <c r="AB444" s="57" t="str">
        <f>IF(B444="","",COUNTIF(B$6:B444,B444))</f>
        <v/>
      </c>
      <c r="AC444" s="57" t="str">
        <f>IF(B444="","",B444&amp;"#"&amp;AB444)</f>
        <v/>
      </c>
      <c r="AD444" s="57" t="str">
        <f>IF(Z444=1,A444&amp;AA444,"")</f>
        <v/>
      </c>
      <c r="AE444" s="57" t="str">
        <f>IF(B444="","",YEAR(C444))</f>
        <v/>
      </c>
      <c r="AF444" s="57" t="str">
        <f>IF(B444="","",MONTH(C444))</f>
        <v/>
      </c>
      <c r="AG444" s="57">
        <f>IF(ISNUMBER(C444),C444,0)</f>
        <v>0.0</v>
      </c>
      <c r="AH444" s="57" t="str">
        <f>IF(N(W444)&gt;0,COUNTIF(W$6:W444,"&gt;0"),"")</f>
        <v/>
      </c>
      <c r="AI444" s="57" t="str">
        <f>IF(Z444=1,COUNTIF(Z$6:Z444,1),"")</f>
        <v/>
      </c>
    </row>
    <row r="445">
      <c r="A445" s="54" t="n"/>
      <c r="B445" s="55" t="str">
        <f>IF(AA445="","",A445&amp;"-"&amp;RIGHT("000"&amp;AA445,4))</f>
        <v/>
      </c>
      <c r="C445" s="56" t="n"/>
      <c r="D445" s="54" t="n"/>
      <c r="E445" s="57" t="str">
        <f>IF(D445="","",IF(A445="BL",IFERROR(INDEX(cl_name,MATCH(D445,cl_code,0))&amp;"","Client inconnu"),IF(A445="BR",IFERROR(INDEX(fo_name,MATCH(D445,fo_code,0))&amp;"","Fournisseur inconnu"),IF(A445="BS",IF(ISNA(MATCH(D445,p_services,0)),"Service inconnu",D445&amp;""),""))))</f>
        <v/>
      </c>
      <c r="F445" s="58" t="n"/>
      <c r="G445" s="58" t="n"/>
      <c r="H445" s="59" t="n"/>
      <c r="I445" s="57" t="str">
        <f>IF(H445="","",IFERROR(INDEX(art_des,MATCH(H445,art_ref,0))&amp;"","Article inconnu"))</f>
        <v/>
      </c>
      <c r="J445" s="60" t="str">
        <f>IF(H445="","",IFERROR(INDEX(art_unit,MATCH(H445,art_ref,0))&amp;"",""))</f>
        <v/>
      </c>
      <c r="K445" s="59" t="n"/>
      <c r="L445" s="59" t="n"/>
      <c r="M445" s="61" t="str">
        <f>IF(OR(B445="",NOT(ISNUMBER(K445)),NOT(ISNUMBER(L445))),"",IF(OR(K445&lt;=0,L445&lt;=0),"",ROUND(L445-K445,6)))</f>
        <v/>
      </c>
      <c r="N445" s="58" t="n"/>
      <c r="O445" s="62" t="n"/>
      <c r="P445" s="63" t="str">
        <f>IF(OR(B445="",NOT(ISNUMBER(L445))),"",IF(L445&lt;=0,"",IFERROR(ROUND(L445*N(INDEX(art_w,MATCH(H445,art_ref,0))),3),"")))</f>
        <v/>
      </c>
      <c r="Q445" s="59" t="n"/>
      <c r="R445" s="54" t="n"/>
      <c r="S445" s="59" t="n"/>
      <c r="T445" s="59" t="n"/>
      <c r="U445" s="64" t="str">
        <f>IF(OR(B445="",H445=""),"",IFERROR(IF(A445="BL",IF(N(INDEX(art_price,MATCH(H445,art_ref,0)))=0,"",N(INDEX(art_price,MATCH(H445,art_ref,0)))),IF(N(INDEX(art_cost,MATCH(H445,art_ref,0)))=0,"",N(INDEX(art_cost,MATCH(H445,art_ref,0))))),""))</f>
        <v/>
      </c>
      <c r="V445" s="64" t="str">
        <f>IF(OR(U445="",NOT(ISNUMBER(L445))),"",IF(L445&lt;=0,"",ROUND(L445*U445,2)))</f>
        <v/>
      </c>
      <c r="W445" s="60" t="str">
        <f>IF(AND(B445&lt;&gt;"",A445&lt;&gt;"BS",F445&lt;&gt;"",H445&lt;&gt;"",ISNUMBER(K445),ISNUMBER(L445)),IF(AND(K445&gt;0,L445&gt;0,K445-L445&gt;0,COUNTIFS(A446:A$2005,A445,F446:F$2005,F445,H446:H$2005,H445,AA446:AA$2005,"&gt;0")=0),ROUND(K445-L445,6),""),"")</f>
        <v/>
      </c>
      <c r="X445" s="60" t="str">
        <f>IF(AND(A445="",C445="",D445="",H445="",L445=""),"",IF(A445="","Type manquant",IF(AND(A445&lt;&gt;"BL",A445&lt;&gt;"BR",A445&lt;&gt;"BS"),"Type inconnu (BL, BR ou BS)",IF(AG445=0,"Date manquante ou invalide",IF(D445="",IF(A445="BL","Client manquant",IF(A445="BR","Fournisseur manquant","Service manquant")),IF(IF(A445="BL",ISNA(MATCH(D445,cl_code,0)),IF(A445="BR",ISNA(MATCH(D445,fo_code,0)),ISNA(MATCH(D445,p_services,0)))),IF(A445="BL","Client inconnu",IF(A445="BR","Fournisseur inconnu","Service inconnu")),IF(H445="","Article manquant",IF(ISNA(MATCH(H445,art_ref,0)),"Article inconnu",IF(OR(NOT(ISNUMBER(L445)),N(L445)&lt;=0),"Quantité invalide",IF(AND(K445&lt;&gt;"",OR(NOT(ISNUMBER(K445)),N(K445)&lt;=0)),"Qté commandée invalide",IF(AG445&lt;SUMPRODUCT(MAX((A$6:A444=A445)*AG$6:AG444)),"Date antérieure au bon précédent",IF(AND(A445&lt;&gt;"BR",ISNUMBER(M445),N(M445)&gt;0),IF(A445="BL","Livré plus que commandé","Sorti plus que demandé"),"OK"))))))))))))</f>
        <v/>
      </c>
      <c r="Y445" s="57" t="str">
        <f>IF(AND(OR(A445="BL",A445="BR",A445="BS"),AG445&gt;0,D445&lt;&gt;""),A445&amp;"|"&amp;AG445&amp;"|"&amp;D445&amp;"|"&amp;F445,"")</f>
        <v/>
      </c>
      <c r="Z445" s="57" t="str">
        <f>IF(Y445="","",IF(COUNTIF(Y$6:Y444,Y445)=0,1,0))</f>
        <v/>
      </c>
      <c r="AA445" s="57" t="str">
        <f>IF(Y445="","",IF(Z445=1,COUNTIFS(A$6:A445,A445,Z$6:Z445,1),INDEX(AA$6:AA444,MATCH(Y445,Y$6:Y444,0))))</f>
        <v/>
      </c>
      <c r="AB445" s="57" t="str">
        <f>IF(B445="","",COUNTIF(B$6:B445,B445))</f>
        <v/>
      </c>
      <c r="AC445" s="57" t="str">
        <f>IF(B445="","",B445&amp;"#"&amp;AB445)</f>
        <v/>
      </c>
      <c r="AD445" s="57" t="str">
        <f>IF(Z445=1,A445&amp;AA445,"")</f>
        <v/>
      </c>
      <c r="AE445" s="57" t="str">
        <f>IF(B445="","",YEAR(C445))</f>
        <v/>
      </c>
      <c r="AF445" s="57" t="str">
        <f>IF(B445="","",MONTH(C445))</f>
        <v/>
      </c>
      <c r="AG445" s="57">
        <f>IF(ISNUMBER(C445),C445,0)</f>
        <v>0.0</v>
      </c>
      <c r="AH445" s="57" t="str">
        <f>IF(N(W445)&gt;0,COUNTIF(W$6:W445,"&gt;0"),"")</f>
        <v/>
      </c>
      <c r="AI445" s="57" t="str">
        <f>IF(Z445=1,COUNTIF(Z$6:Z445,1),"")</f>
        <v/>
      </c>
    </row>
    <row r="446">
      <c r="A446" s="54" t="n"/>
      <c r="B446" s="55" t="str">
        <f>IF(AA446="","",A446&amp;"-"&amp;RIGHT("000"&amp;AA446,4))</f>
        <v/>
      </c>
      <c r="C446" s="56" t="n"/>
      <c r="D446" s="54" t="n"/>
      <c r="E446" s="57" t="str">
        <f>IF(D446="","",IF(A446="BL",IFERROR(INDEX(cl_name,MATCH(D446,cl_code,0))&amp;"","Client inconnu"),IF(A446="BR",IFERROR(INDEX(fo_name,MATCH(D446,fo_code,0))&amp;"","Fournisseur inconnu"),IF(A446="BS",IF(ISNA(MATCH(D446,p_services,0)),"Service inconnu",D446&amp;""),""))))</f>
        <v/>
      </c>
      <c r="F446" s="58" t="n"/>
      <c r="G446" s="58" t="n"/>
      <c r="H446" s="59" t="n"/>
      <c r="I446" s="57" t="str">
        <f>IF(H446="","",IFERROR(INDEX(art_des,MATCH(H446,art_ref,0))&amp;"","Article inconnu"))</f>
        <v/>
      </c>
      <c r="J446" s="60" t="str">
        <f>IF(H446="","",IFERROR(INDEX(art_unit,MATCH(H446,art_ref,0))&amp;"",""))</f>
        <v/>
      </c>
      <c r="K446" s="59" t="n"/>
      <c r="L446" s="59" t="n"/>
      <c r="M446" s="61" t="str">
        <f>IF(OR(B446="",NOT(ISNUMBER(K446)),NOT(ISNUMBER(L446))),"",IF(OR(K446&lt;=0,L446&lt;=0),"",ROUND(L446-K446,6)))</f>
        <v/>
      </c>
      <c r="N446" s="58" t="n"/>
      <c r="O446" s="62" t="n"/>
      <c r="P446" s="63" t="str">
        <f>IF(OR(B446="",NOT(ISNUMBER(L446))),"",IF(L446&lt;=0,"",IFERROR(ROUND(L446*N(INDEX(art_w,MATCH(H446,art_ref,0))),3),"")))</f>
        <v/>
      </c>
      <c r="Q446" s="59" t="n"/>
      <c r="R446" s="54" t="n"/>
      <c r="S446" s="59" t="n"/>
      <c r="T446" s="59" t="n"/>
      <c r="U446" s="64" t="str">
        <f>IF(OR(B446="",H446=""),"",IFERROR(IF(A446="BL",IF(N(INDEX(art_price,MATCH(H446,art_ref,0)))=0,"",N(INDEX(art_price,MATCH(H446,art_ref,0)))),IF(N(INDEX(art_cost,MATCH(H446,art_ref,0)))=0,"",N(INDEX(art_cost,MATCH(H446,art_ref,0))))),""))</f>
        <v/>
      </c>
      <c r="V446" s="64" t="str">
        <f>IF(OR(U446="",NOT(ISNUMBER(L446))),"",IF(L446&lt;=0,"",ROUND(L446*U446,2)))</f>
        <v/>
      </c>
      <c r="W446" s="60" t="str">
        <f>IF(AND(B446&lt;&gt;"",A446&lt;&gt;"BS",F446&lt;&gt;"",H446&lt;&gt;"",ISNUMBER(K446),ISNUMBER(L446)),IF(AND(K446&gt;0,L446&gt;0,K446-L446&gt;0,COUNTIFS(A447:A$2005,A446,F447:F$2005,F446,H447:H$2005,H446,AA447:AA$2005,"&gt;0")=0),ROUND(K446-L446,6),""),"")</f>
        <v/>
      </c>
      <c r="X446" s="60" t="str">
        <f>IF(AND(A446="",C446="",D446="",H446="",L446=""),"",IF(A446="","Type manquant",IF(AND(A446&lt;&gt;"BL",A446&lt;&gt;"BR",A446&lt;&gt;"BS"),"Type inconnu (BL, BR ou BS)",IF(AG446=0,"Date manquante ou invalide",IF(D446="",IF(A446="BL","Client manquant",IF(A446="BR","Fournisseur manquant","Service manquant")),IF(IF(A446="BL",ISNA(MATCH(D446,cl_code,0)),IF(A446="BR",ISNA(MATCH(D446,fo_code,0)),ISNA(MATCH(D446,p_services,0)))),IF(A446="BL","Client inconnu",IF(A446="BR","Fournisseur inconnu","Service inconnu")),IF(H446="","Article manquant",IF(ISNA(MATCH(H446,art_ref,0)),"Article inconnu",IF(OR(NOT(ISNUMBER(L446)),N(L446)&lt;=0),"Quantité invalide",IF(AND(K446&lt;&gt;"",OR(NOT(ISNUMBER(K446)),N(K446)&lt;=0)),"Qté commandée invalide",IF(AG446&lt;SUMPRODUCT(MAX((A$6:A445=A446)*AG$6:AG445)),"Date antérieure au bon précédent",IF(AND(A446&lt;&gt;"BR",ISNUMBER(M446),N(M446)&gt;0),IF(A446="BL","Livré plus que commandé","Sorti plus que demandé"),"OK"))))))))))))</f>
        <v/>
      </c>
      <c r="Y446" s="57" t="str">
        <f>IF(AND(OR(A446="BL",A446="BR",A446="BS"),AG446&gt;0,D446&lt;&gt;""),A446&amp;"|"&amp;AG446&amp;"|"&amp;D446&amp;"|"&amp;F446,"")</f>
        <v/>
      </c>
      <c r="Z446" s="57" t="str">
        <f>IF(Y446="","",IF(COUNTIF(Y$6:Y445,Y446)=0,1,0))</f>
        <v/>
      </c>
      <c r="AA446" s="57" t="str">
        <f>IF(Y446="","",IF(Z446=1,COUNTIFS(A$6:A446,A446,Z$6:Z446,1),INDEX(AA$6:AA445,MATCH(Y446,Y$6:Y445,0))))</f>
        <v/>
      </c>
      <c r="AB446" s="57" t="str">
        <f>IF(B446="","",COUNTIF(B$6:B446,B446))</f>
        <v/>
      </c>
      <c r="AC446" s="57" t="str">
        <f>IF(B446="","",B446&amp;"#"&amp;AB446)</f>
        <v/>
      </c>
      <c r="AD446" s="57" t="str">
        <f>IF(Z446=1,A446&amp;AA446,"")</f>
        <v/>
      </c>
      <c r="AE446" s="57" t="str">
        <f>IF(B446="","",YEAR(C446))</f>
        <v/>
      </c>
      <c r="AF446" s="57" t="str">
        <f>IF(B446="","",MONTH(C446))</f>
        <v/>
      </c>
      <c r="AG446" s="57">
        <f>IF(ISNUMBER(C446),C446,0)</f>
        <v>0.0</v>
      </c>
      <c r="AH446" s="57" t="str">
        <f>IF(N(W446)&gt;0,COUNTIF(W$6:W446,"&gt;0"),"")</f>
        <v/>
      </c>
      <c r="AI446" s="57" t="str">
        <f>IF(Z446=1,COUNTIF(Z$6:Z446,1),"")</f>
        <v/>
      </c>
    </row>
    <row r="447">
      <c r="A447" s="54" t="n"/>
      <c r="B447" s="55" t="str">
        <f>IF(AA447="","",A447&amp;"-"&amp;RIGHT("000"&amp;AA447,4))</f>
        <v/>
      </c>
      <c r="C447" s="56" t="n"/>
      <c r="D447" s="54" t="n"/>
      <c r="E447" s="57" t="str">
        <f>IF(D447="","",IF(A447="BL",IFERROR(INDEX(cl_name,MATCH(D447,cl_code,0))&amp;"","Client inconnu"),IF(A447="BR",IFERROR(INDEX(fo_name,MATCH(D447,fo_code,0))&amp;"","Fournisseur inconnu"),IF(A447="BS",IF(ISNA(MATCH(D447,p_services,0)),"Service inconnu",D447&amp;""),""))))</f>
        <v/>
      </c>
      <c r="F447" s="58" t="n"/>
      <c r="G447" s="58" t="n"/>
      <c r="H447" s="59" t="n"/>
      <c r="I447" s="57" t="str">
        <f>IF(H447="","",IFERROR(INDEX(art_des,MATCH(H447,art_ref,0))&amp;"","Article inconnu"))</f>
        <v/>
      </c>
      <c r="J447" s="60" t="str">
        <f>IF(H447="","",IFERROR(INDEX(art_unit,MATCH(H447,art_ref,0))&amp;"",""))</f>
        <v/>
      </c>
      <c r="K447" s="59" t="n"/>
      <c r="L447" s="59" t="n"/>
      <c r="M447" s="61" t="str">
        <f>IF(OR(B447="",NOT(ISNUMBER(K447)),NOT(ISNUMBER(L447))),"",IF(OR(K447&lt;=0,L447&lt;=0),"",ROUND(L447-K447,6)))</f>
        <v/>
      </c>
      <c r="N447" s="58" t="n"/>
      <c r="O447" s="62" t="n"/>
      <c r="P447" s="63" t="str">
        <f>IF(OR(B447="",NOT(ISNUMBER(L447))),"",IF(L447&lt;=0,"",IFERROR(ROUND(L447*N(INDEX(art_w,MATCH(H447,art_ref,0))),3),"")))</f>
        <v/>
      </c>
      <c r="Q447" s="59" t="n"/>
      <c r="R447" s="54" t="n"/>
      <c r="S447" s="59" t="n"/>
      <c r="T447" s="59" t="n"/>
      <c r="U447" s="64" t="str">
        <f>IF(OR(B447="",H447=""),"",IFERROR(IF(A447="BL",IF(N(INDEX(art_price,MATCH(H447,art_ref,0)))=0,"",N(INDEX(art_price,MATCH(H447,art_ref,0)))),IF(N(INDEX(art_cost,MATCH(H447,art_ref,0)))=0,"",N(INDEX(art_cost,MATCH(H447,art_ref,0))))),""))</f>
        <v/>
      </c>
      <c r="V447" s="64" t="str">
        <f>IF(OR(U447="",NOT(ISNUMBER(L447))),"",IF(L447&lt;=0,"",ROUND(L447*U447,2)))</f>
        <v/>
      </c>
      <c r="W447" s="60" t="str">
        <f>IF(AND(B447&lt;&gt;"",A447&lt;&gt;"BS",F447&lt;&gt;"",H447&lt;&gt;"",ISNUMBER(K447),ISNUMBER(L447)),IF(AND(K447&gt;0,L447&gt;0,K447-L447&gt;0,COUNTIFS(A448:A$2005,A447,F448:F$2005,F447,H448:H$2005,H447,AA448:AA$2005,"&gt;0")=0),ROUND(K447-L447,6),""),"")</f>
        <v/>
      </c>
      <c r="X447" s="60" t="str">
        <f>IF(AND(A447="",C447="",D447="",H447="",L447=""),"",IF(A447="","Type manquant",IF(AND(A447&lt;&gt;"BL",A447&lt;&gt;"BR",A447&lt;&gt;"BS"),"Type inconnu (BL, BR ou BS)",IF(AG447=0,"Date manquante ou invalide",IF(D447="",IF(A447="BL","Client manquant",IF(A447="BR","Fournisseur manquant","Service manquant")),IF(IF(A447="BL",ISNA(MATCH(D447,cl_code,0)),IF(A447="BR",ISNA(MATCH(D447,fo_code,0)),ISNA(MATCH(D447,p_services,0)))),IF(A447="BL","Client inconnu",IF(A447="BR","Fournisseur inconnu","Service inconnu")),IF(H447="","Article manquant",IF(ISNA(MATCH(H447,art_ref,0)),"Article inconnu",IF(OR(NOT(ISNUMBER(L447)),N(L447)&lt;=0),"Quantité invalide",IF(AND(K447&lt;&gt;"",OR(NOT(ISNUMBER(K447)),N(K447)&lt;=0)),"Qté commandée invalide",IF(AG447&lt;SUMPRODUCT(MAX((A$6:A446=A447)*AG$6:AG446)),"Date antérieure au bon précédent",IF(AND(A447&lt;&gt;"BR",ISNUMBER(M447),N(M447)&gt;0),IF(A447="BL","Livré plus que commandé","Sorti plus que demandé"),"OK"))))))))))))</f>
        <v/>
      </c>
      <c r="Y447" s="57" t="str">
        <f>IF(AND(OR(A447="BL",A447="BR",A447="BS"),AG447&gt;0,D447&lt;&gt;""),A447&amp;"|"&amp;AG447&amp;"|"&amp;D447&amp;"|"&amp;F447,"")</f>
        <v/>
      </c>
      <c r="Z447" s="57" t="str">
        <f>IF(Y447="","",IF(COUNTIF(Y$6:Y446,Y447)=0,1,0))</f>
        <v/>
      </c>
      <c r="AA447" s="57" t="str">
        <f>IF(Y447="","",IF(Z447=1,COUNTIFS(A$6:A447,A447,Z$6:Z447,1),INDEX(AA$6:AA446,MATCH(Y447,Y$6:Y446,0))))</f>
        <v/>
      </c>
      <c r="AB447" s="57" t="str">
        <f>IF(B447="","",COUNTIF(B$6:B447,B447))</f>
        <v/>
      </c>
      <c r="AC447" s="57" t="str">
        <f>IF(B447="","",B447&amp;"#"&amp;AB447)</f>
        <v/>
      </c>
      <c r="AD447" s="57" t="str">
        <f>IF(Z447=1,A447&amp;AA447,"")</f>
        <v/>
      </c>
      <c r="AE447" s="57" t="str">
        <f>IF(B447="","",YEAR(C447))</f>
        <v/>
      </c>
      <c r="AF447" s="57" t="str">
        <f>IF(B447="","",MONTH(C447))</f>
        <v/>
      </c>
      <c r="AG447" s="57">
        <f>IF(ISNUMBER(C447),C447,0)</f>
        <v>0.0</v>
      </c>
      <c r="AH447" s="57" t="str">
        <f>IF(N(W447)&gt;0,COUNTIF(W$6:W447,"&gt;0"),"")</f>
        <v/>
      </c>
      <c r="AI447" s="57" t="str">
        <f>IF(Z447=1,COUNTIF(Z$6:Z447,1),"")</f>
        <v/>
      </c>
    </row>
    <row r="448">
      <c r="A448" s="54" t="n"/>
      <c r="B448" s="55" t="str">
        <f>IF(AA448="","",A448&amp;"-"&amp;RIGHT("000"&amp;AA448,4))</f>
        <v/>
      </c>
      <c r="C448" s="56" t="n"/>
      <c r="D448" s="54" t="n"/>
      <c r="E448" s="57" t="str">
        <f>IF(D448="","",IF(A448="BL",IFERROR(INDEX(cl_name,MATCH(D448,cl_code,0))&amp;"","Client inconnu"),IF(A448="BR",IFERROR(INDEX(fo_name,MATCH(D448,fo_code,0))&amp;"","Fournisseur inconnu"),IF(A448="BS",IF(ISNA(MATCH(D448,p_services,0)),"Service inconnu",D448&amp;""),""))))</f>
        <v/>
      </c>
      <c r="F448" s="58" t="n"/>
      <c r="G448" s="58" t="n"/>
      <c r="H448" s="59" t="n"/>
      <c r="I448" s="57" t="str">
        <f>IF(H448="","",IFERROR(INDEX(art_des,MATCH(H448,art_ref,0))&amp;"","Article inconnu"))</f>
        <v/>
      </c>
      <c r="J448" s="60" t="str">
        <f>IF(H448="","",IFERROR(INDEX(art_unit,MATCH(H448,art_ref,0))&amp;"",""))</f>
        <v/>
      </c>
      <c r="K448" s="59" t="n"/>
      <c r="L448" s="59" t="n"/>
      <c r="M448" s="61" t="str">
        <f>IF(OR(B448="",NOT(ISNUMBER(K448)),NOT(ISNUMBER(L448))),"",IF(OR(K448&lt;=0,L448&lt;=0),"",ROUND(L448-K448,6)))</f>
        <v/>
      </c>
      <c r="N448" s="58" t="n"/>
      <c r="O448" s="62" t="n"/>
      <c r="P448" s="63" t="str">
        <f>IF(OR(B448="",NOT(ISNUMBER(L448))),"",IF(L448&lt;=0,"",IFERROR(ROUND(L448*N(INDEX(art_w,MATCH(H448,art_ref,0))),3),"")))</f>
        <v/>
      </c>
      <c r="Q448" s="59" t="n"/>
      <c r="R448" s="54" t="n"/>
      <c r="S448" s="59" t="n"/>
      <c r="T448" s="59" t="n"/>
      <c r="U448" s="64" t="str">
        <f>IF(OR(B448="",H448=""),"",IFERROR(IF(A448="BL",IF(N(INDEX(art_price,MATCH(H448,art_ref,0)))=0,"",N(INDEX(art_price,MATCH(H448,art_ref,0)))),IF(N(INDEX(art_cost,MATCH(H448,art_ref,0)))=0,"",N(INDEX(art_cost,MATCH(H448,art_ref,0))))),""))</f>
        <v/>
      </c>
      <c r="V448" s="64" t="str">
        <f>IF(OR(U448="",NOT(ISNUMBER(L448))),"",IF(L448&lt;=0,"",ROUND(L448*U448,2)))</f>
        <v/>
      </c>
      <c r="W448" s="60" t="str">
        <f>IF(AND(B448&lt;&gt;"",A448&lt;&gt;"BS",F448&lt;&gt;"",H448&lt;&gt;"",ISNUMBER(K448),ISNUMBER(L448)),IF(AND(K448&gt;0,L448&gt;0,K448-L448&gt;0,COUNTIFS(A449:A$2005,A448,F449:F$2005,F448,H449:H$2005,H448,AA449:AA$2005,"&gt;0")=0),ROUND(K448-L448,6),""),"")</f>
        <v/>
      </c>
      <c r="X448" s="60" t="str">
        <f>IF(AND(A448="",C448="",D448="",H448="",L448=""),"",IF(A448="","Type manquant",IF(AND(A448&lt;&gt;"BL",A448&lt;&gt;"BR",A448&lt;&gt;"BS"),"Type inconnu (BL, BR ou BS)",IF(AG448=0,"Date manquante ou invalide",IF(D448="",IF(A448="BL","Client manquant",IF(A448="BR","Fournisseur manquant","Service manquant")),IF(IF(A448="BL",ISNA(MATCH(D448,cl_code,0)),IF(A448="BR",ISNA(MATCH(D448,fo_code,0)),ISNA(MATCH(D448,p_services,0)))),IF(A448="BL","Client inconnu",IF(A448="BR","Fournisseur inconnu","Service inconnu")),IF(H448="","Article manquant",IF(ISNA(MATCH(H448,art_ref,0)),"Article inconnu",IF(OR(NOT(ISNUMBER(L448)),N(L448)&lt;=0),"Quantité invalide",IF(AND(K448&lt;&gt;"",OR(NOT(ISNUMBER(K448)),N(K448)&lt;=0)),"Qté commandée invalide",IF(AG448&lt;SUMPRODUCT(MAX((A$6:A447=A448)*AG$6:AG447)),"Date antérieure au bon précédent",IF(AND(A448&lt;&gt;"BR",ISNUMBER(M448),N(M448)&gt;0),IF(A448="BL","Livré plus que commandé","Sorti plus que demandé"),"OK"))))))))))))</f>
        <v/>
      </c>
      <c r="Y448" s="57" t="str">
        <f>IF(AND(OR(A448="BL",A448="BR",A448="BS"),AG448&gt;0,D448&lt;&gt;""),A448&amp;"|"&amp;AG448&amp;"|"&amp;D448&amp;"|"&amp;F448,"")</f>
        <v/>
      </c>
      <c r="Z448" s="57" t="str">
        <f>IF(Y448="","",IF(COUNTIF(Y$6:Y447,Y448)=0,1,0))</f>
        <v/>
      </c>
      <c r="AA448" s="57" t="str">
        <f>IF(Y448="","",IF(Z448=1,COUNTIFS(A$6:A448,A448,Z$6:Z448,1),INDEX(AA$6:AA447,MATCH(Y448,Y$6:Y447,0))))</f>
        <v/>
      </c>
      <c r="AB448" s="57" t="str">
        <f>IF(B448="","",COUNTIF(B$6:B448,B448))</f>
        <v/>
      </c>
      <c r="AC448" s="57" t="str">
        <f>IF(B448="","",B448&amp;"#"&amp;AB448)</f>
        <v/>
      </c>
      <c r="AD448" s="57" t="str">
        <f>IF(Z448=1,A448&amp;AA448,"")</f>
        <v/>
      </c>
      <c r="AE448" s="57" t="str">
        <f>IF(B448="","",YEAR(C448))</f>
        <v/>
      </c>
      <c r="AF448" s="57" t="str">
        <f>IF(B448="","",MONTH(C448))</f>
        <v/>
      </c>
      <c r="AG448" s="57">
        <f>IF(ISNUMBER(C448),C448,0)</f>
        <v>0.0</v>
      </c>
      <c r="AH448" s="57" t="str">
        <f>IF(N(W448)&gt;0,COUNTIF(W$6:W448,"&gt;0"),"")</f>
        <v/>
      </c>
      <c r="AI448" s="57" t="str">
        <f>IF(Z448=1,COUNTIF(Z$6:Z448,1),"")</f>
        <v/>
      </c>
    </row>
    <row r="449">
      <c r="A449" s="54" t="n"/>
      <c r="B449" s="55" t="str">
        <f>IF(AA449="","",A449&amp;"-"&amp;RIGHT("000"&amp;AA449,4))</f>
        <v/>
      </c>
      <c r="C449" s="56" t="n"/>
      <c r="D449" s="54" t="n"/>
      <c r="E449" s="57" t="str">
        <f>IF(D449="","",IF(A449="BL",IFERROR(INDEX(cl_name,MATCH(D449,cl_code,0))&amp;"","Client inconnu"),IF(A449="BR",IFERROR(INDEX(fo_name,MATCH(D449,fo_code,0))&amp;"","Fournisseur inconnu"),IF(A449="BS",IF(ISNA(MATCH(D449,p_services,0)),"Service inconnu",D449&amp;""),""))))</f>
        <v/>
      </c>
      <c r="F449" s="58" t="n"/>
      <c r="G449" s="58" t="n"/>
      <c r="H449" s="59" t="n"/>
      <c r="I449" s="57" t="str">
        <f>IF(H449="","",IFERROR(INDEX(art_des,MATCH(H449,art_ref,0))&amp;"","Article inconnu"))</f>
        <v/>
      </c>
      <c r="J449" s="60" t="str">
        <f>IF(H449="","",IFERROR(INDEX(art_unit,MATCH(H449,art_ref,0))&amp;"",""))</f>
        <v/>
      </c>
      <c r="K449" s="59" t="n"/>
      <c r="L449" s="59" t="n"/>
      <c r="M449" s="61" t="str">
        <f>IF(OR(B449="",NOT(ISNUMBER(K449)),NOT(ISNUMBER(L449))),"",IF(OR(K449&lt;=0,L449&lt;=0),"",ROUND(L449-K449,6)))</f>
        <v/>
      </c>
      <c r="N449" s="58" t="n"/>
      <c r="O449" s="62" t="n"/>
      <c r="P449" s="63" t="str">
        <f>IF(OR(B449="",NOT(ISNUMBER(L449))),"",IF(L449&lt;=0,"",IFERROR(ROUND(L449*N(INDEX(art_w,MATCH(H449,art_ref,0))),3),"")))</f>
        <v/>
      </c>
      <c r="Q449" s="59" t="n"/>
      <c r="R449" s="54" t="n"/>
      <c r="S449" s="59" t="n"/>
      <c r="T449" s="59" t="n"/>
      <c r="U449" s="64" t="str">
        <f>IF(OR(B449="",H449=""),"",IFERROR(IF(A449="BL",IF(N(INDEX(art_price,MATCH(H449,art_ref,0)))=0,"",N(INDEX(art_price,MATCH(H449,art_ref,0)))),IF(N(INDEX(art_cost,MATCH(H449,art_ref,0)))=0,"",N(INDEX(art_cost,MATCH(H449,art_ref,0))))),""))</f>
        <v/>
      </c>
      <c r="V449" s="64" t="str">
        <f>IF(OR(U449="",NOT(ISNUMBER(L449))),"",IF(L449&lt;=0,"",ROUND(L449*U449,2)))</f>
        <v/>
      </c>
      <c r="W449" s="60" t="str">
        <f>IF(AND(B449&lt;&gt;"",A449&lt;&gt;"BS",F449&lt;&gt;"",H449&lt;&gt;"",ISNUMBER(K449),ISNUMBER(L449)),IF(AND(K449&gt;0,L449&gt;0,K449-L449&gt;0,COUNTIFS(A450:A$2005,A449,F450:F$2005,F449,H450:H$2005,H449,AA450:AA$2005,"&gt;0")=0),ROUND(K449-L449,6),""),"")</f>
        <v/>
      </c>
      <c r="X449" s="60" t="str">
        <f>IF(AND(A449="",C449="",D449="",H449="",L449=""),"",IF(A449="","Type manquant",IF(AND(A449&lt;&gt;"BL",A449&lt;&gt;"BR",A449&lt;&gt;"BS"),"Type inconnu (BL, BR ou BS)",IF(AG449=0,"Date manquante ou invalide",IF(D449="",IF(A449="BL","Client manquant",IF(A449="BR","Fournisseur manquant","Service manquant")),IF(IF(A449="BL",ISNA(MATCH(D449,cl_code,0)),IF(A449="BR",ISNA(MATCH(D449,fo_code,0)),ISNA(MATCH(D449,p_services,0)))),IF(A449="BL","Client inconnu",IF(A449="BR","Fournisseur inconnu","Service inconnu")),IF(H449="","Article manquant",IF(ISNA(MATCH(H449,art_ref,0)),"Article inconnu",IF(OR(NOT(ISNUMBER(L449)),N(L449)&lt;=0),"Quantité invalide",IF(AND(K449&lt;&gt;"",OR(NOT(ISNUMBER(K449)),N(K449)&lt;=0)),"Qté commandée invalide",IF(AG449&lt;SUMPRODUCT(MAX((A$6:A448=A449)*AG$6:AG448)),"Date antérieure au bon précédent",IF(AND(A449&lt;&gt;"BR",ISNUMBER(M449),N(M449)&gt;0),IF(A449="BL","Livré plus que commandé","Sorti plus que demandé"),"OK"))))))))))))</f>
        <v/>
      </c>
      <c r="Y449" s="57" t="str">
        <f>IF(AND(OR(A449="BL",A449="BR",A449="BS"),AG449&gt;0,D449&lt;&gt;""),A449&amp;"|"&amp;AG449&amp;"|"&amp;D449&amp;"|"&amp;F449,"")</f>
        <v/>
      </c>
      <c r="Z449" s="57" t="str">
        <f>IF(Y449="","",IF(COUNTIF(Y$6:Y448,Y449)=0,1,0))</f>
        <v/>
      </c>
      <c r="AA449" s="57" t="str">
        <f>IF(Y449="","",IF(Z449=1,COUNTIFS(A$6:A449,A449,Z$6:Z449,1),INDEX(AA$6:AA448,MATCH(Y449,Y$6:Y448,0))))</f>
        <v/>
      </c>
      <c r="AB449" s="57" t="str">
        <f>IF(B449="","",COUNTIF(B$6:B449,B449))</f>
        <v/>
      </c>
      <c r="AC449" s="57" t="str">
        <f>IF(B449="","",B449&amp;"#"&amp;AB449)</f>
        <v/>
      </c>
      <c r="AD449" s="57" t="str">
        <f>IF(Z449=1,A449&amp;AA449,"")</f>
        <v/>
      </c>
      <c r="AE449" s="57" t="str">
        <f>IF(B449="","",YEAR(C449))</f>
        <v/>
      </c>
      <c r="AF449" s="57" t="str">
        <f>IF(B449="","",MONTH(C449))</f>
        <v/>
      </c>
      <c r="AG449" s="57">
        <f>IF(ISNUMBER(C449),C449,0)</f>
        <v>0.0</v>
      </c>
      <c r="AH449" s="57" t="str">
        <f>IF(N(W449)&gt;0,COUNTIF(W$6:W449,"&gt;0"),"")</f>
        <v/>
      </c>
      <c r="AI449" s="57" t="str">
        <f>IF(Z449=1,COUNTIF(Z$6:Z449,1),"")</f>
        <v/>
      </c>
    </row>
    <row r="450">
      <c r="A450" s="54" t="n"/>
      <c r="B450" s="55" t="str">
        <f>IF(AA450="","",A450&amp;"-"&amp;RIGHT("000"&amp;AA450,4))</f>
        <v/>
      </c>
      <c r="C450" s="56" t="n"/>
      <c r="D450" s="54" t="n"/>
      <c r="E450" s="57" t="str">
        <f>IF(D450="","",IF(A450="BL",IFERROR(INDEX(cl_name,MATCH(D450,cl_code,0))&amp;"","Client inconnu"),IF(A450="BR",IFERROR(INDEX(fo_name,MATCH(D450,fo_code,0))&amp;"","Fournisseur inconnu"),IF(A450="BS",IF(ISNA(MATCH(D450,p_services,0)),"Service inconnu",D450&amp;""),""))))</f>
        <v/>
      </c>
      <c r="F450" s="58" t="n"/>
      <c r="G450" s="58" t="n"/>
      <c r="H450" s="59" t="n"/>
      <c r="I450" s="57" t="str">
        <f>IF(H450="","",IFERROR(INDEX(art_des,MATCH(H450,art_ref,0))&amp;"","Article inconnu"))</f>
        <v/>
      </c>
      <c r="J450" s="60" t="str">
        <f>IF(H450="","",IFERROR(INDEX(art_unit,MATCH(H450,art_ref,0))&amp;"",""))</f>
        <v/>
      </c>
      <c r="K450" s="59" t="n"/>
      <c r="L450" s="59" t="n"/>
      <c r="M450" s="61" t="str">
        <f>IF(OR(B450="",NOT(ISNUMBER(K450)),NOT(ISNUMBER(L450))),"",IF(OR(K450&lt;=0,L450&lt;=0),"",ROUND(L450-K450,6)))</f>
        <v/>
      </c>
      <c r="N450" s="58" t="n"/>
      <c r="O450" s="62" t="n"/>
      <c r="P450" s="63" t="str">
        <f>IF(OR(B450="",NOT(ISNUMBER(L450))),"",IF(L450&lt;=0,"",IFERROR(ROUND(L450*N(INDEX(art_w,MATCH(H450,art_ref,0))),3),"")))</f>
        <v/>
      </c>
      <c r="Q450" s="59" t="n"/>
      <c r="R450" s="54" t="n"/>
      <c r="S450" s="59" t="n"/>
      <c r="T450" s="59" t="n"/>
      <c r="U450" s="64" t="str">
        <f>IF(OR(B450="",H450=""),"",IFERROR(IF(A450="BL",IF(N(INDEX(art_price,MATCH(H450,art_ref,0)))=0,"",N(INDEX(art_price,MATCH(H450,art_ref,0)))),IF(N(INDEX(art_cost,MATCH(H450,art_ref,0)))=0,"",N(INDEX(art_cost,MATCH(H450,art_ref,0))))),""))</f>
        <v/>
      </c>
      <c r="V450" s="64" t="str">
        <f>IF(OR(U450="",NOT(ISNUMBER(L450))),"",IF(L450&lt;=0,"",ROUND(L450*U450,2)))</f>
        <v/>
      </c>
      <c r="W450" s="60" t="str">
        <f>IF(AND(B450&lt;&gt;"",A450&lt;&gt;"BS",F450&lt;&gt;"",H450&lt;&gt;"",ISNUMBER(K450),ISNUMBER(L450)),IF(AND(K450&gt;0,L450&gt;0,K450-L450&gt;0,COUNTIFS(A451:A$2005,A450,F451:F$2005,F450,H451:H$2005,H450,AA451:AA$2005,"&gt;0")=0),ROUND(K450-L450,6),""),"")</f>
        <v/>
      </c>
      <c r="X450" s="60" t="str">
        <f>IF(AND(A450="",C450="",D450="",H450="",L450=""),"",IF(A450="","Type manquant",IF(AND(A450&lt;&gt;"BL",A450&lt;&gt;"BR",A450&lt;&gt;"BS"),"Type inconnu (BL, BR ou BS)",IF(AG450=0,"Date manquante ou invalide",IF(D450="",IF(A450="BL","Client manquant",IF(A450="BR","Fournisseur manquant","Service manquant")),IF(IF(A450="BL",ISNA(MATCH(D450,cl_code,0)),IF(A450="BR",ISNA(MATCH(D450,fo_code,0)),ISNA(MATCH(D450,p_services,0)))),IF(A450="BL","Client inconnu",IF(A450="BR","Fournisseur inconnu","Service inconnu")),IF(H450="","Article manquant",IF(ISNA(MATCH(H450,art_ref,0)),"Article inconnu",IF(OR(NOT(ISNUMBER(L450)),N(L450)&lt;=0),"Quantité invalide",IF(AND(K450&lt;&gt;"",OR(NOT(ISNUMBER(K450)),N(K450)&lt;=0)),"Qté commandée invalide",IF(AG450&lt;SUMPRODUCT(MAX((A$6:A449=A450)*AG$6:AG449)),"Date antérieure au bon précédent",IF(AND(A450&lt;&gt;"BR",ISNUMBER(M450),N(M450)&gt;0),IF(A450="BL","Livré plus que commandé","Sorti plus que demandé"),"OK"))))))))))))</f>
        <v/>
      </c>
      <c r="Y450" s="57" t="str">
        <f>IF(AND(OR(A450="BL",A450="BR",A450="BS"),AG450&gt;0,D450&lt;&gt;""),A450&amp;"|"&amp;AG450&amp;"|"&amp;D450&amp;"|"&amp;F450,"")</f>
        <v/>
      </c>
      <c r="Z450" s="57" t="str">
        <f>IF(Y450="","",IF(COUNTIF(Y$6:Y449,Y450)=0,1,0))</f>
        <v/>
      </c>
      <c r="AA450" s="57" t="str">
        <f>IF(Y450="","",IF(Z450=1,COUNTIFS(A$6:A450,A450,Z$6:Z450,1),INDEX(AA$6:AA449,MATCH(Y450,Y$6:Y449,0))))</f>
        <v/>
      </c>
      <c r="AB450" s="57" t="str">
        <f>IF(B450="","",COUNTIF(B$6:B450,B450))</f>
        <v/>
      </c>
      <c r="AC450" s="57" t="str">
        <f>IF(B450="","",B450&amp;"#"&amp;AB450)</f>
        <v/>
      </c>
      <c r="AD450" s="57" t="str">
        <f>IF(Z450=1,A450&amp;AA450,"")</f>
        <v/>
      </c>
      <c r="AE450" s="57" t="str">
        <f>IF(B450="","",YEAR(C450))</f>
        <v/>
      </c>
      <c r="AF450" s="57" t="str">
        <f>IF(B450="","",MONTH(C450))</f>
        <v/>
      </c>
      <c r="AG450" s="57">
        <f>IF(ISNUMBER(C450),C450,0)</f>
        <v>0.0</v>
      </c>
      <c r="AH450" s="57" t="str">
        <f>IF(N(W450)&gt;0,COUNTIF(W$6:W450,"&gt;0"),"")</f>
        <v/>
      </c>
      <c r="AI450" s="57" t="str">
        <f>IF(Z450=1,COUNTIF(Z$6:Z450,1),"")</f>
        <v/>
      </c>
    </row>
    <row r="451">
      <c r="A451" s="54" t="n"/>
      <c r="B451" s="55" t="str">
        <f>IF(AA451="","",A451&amp;"-"&amp;RIGHT("000"&amp;AA451,4))</f>
        <v/>
      </c>
      <c r="C451" s="56" t="n"/>
      <c r="D451" s="54" t="n"/>
      <c r="E451" s="57" t="str">
        <f>IF(D451="","",IF(A451="BL",IFERROR(INDEX(cl_name,MATCH(D451,cl_code,0))&amp;"","Client inconnu"),IF(A451="BR",IFERROR(INDEX(fo_name,MATCH(D451,fo_code,0))&amp;"","Fournisseur inconnu"),IF(A451="BS",IF(ISNA(MATCH(D451,p_services,0)),"Service inconnu",D451&amp;""),""))))</f>
        <v/>
      </c>
      <c r="F451" s="58" t="n"/>
      <c r="G451" s="58" t="n"/>
      <c r="H451" s="59" t="n"/>
      <c r="I451" s="57" t="str">
        <f>IF(H451="","",IFERROR(INDEX(art_des,MATCH(H451,art_ref,0))&amp;"","Article inconnu"))</f>
        <v/>
      </c>
      <c r="J451" s="60" t="str">
        <f>IF(H451="","",IFERROR(INDEX(art_unit,MATCH(H451,art_ref,0))&amp;"",""))</f>
        <v/>
      </c>
      <c r="K451" s="59" t="n"/>
      <c r="L451" s="59" t="n"/>
      <c r="M451" s="61" t="str">
        <f>IF(OR(B451="",NOT(ISNUMBER(K451)),NOT(ISNUMBER(L451))),"",IF(OR(K451&lt;=0,L451&lt;=0),"",ROUND(L451-K451,6)))</f>
        <v/>
      </c>
      <c r="N451" s="58" t="n"/>
      <c r="O451" s="62" t="n"/>
      <c r="P451" s="63" t="str">
        <f>IF(OR(B451="",NOT(ISNUMBER(L451))),"",IF(L451&lt;=0,"",IFERROR(ROUND(L451*N(INDEX(art_w,MATCH(H451,art_ref,0))),3),"")))</f>
        <v/>
      </c>
      <c r="Q451" s="59" t="n"/>
      <c r="R451" s="54" t="n"/>
      <c r="S451" s="59" t="n"/>
      <c r="T451" s="59" t="n"/>
      <c r="U451" s="64" t="str">
        <f>IF(OR(B451="",H451=""),"",IFERROR(IF(A451="BL",IF(N(INDEX(art_price,MATCH(H451,art_ref,0)))=0,"",N(INDEX(art_price,MATCH(H451,art_ref,0)))),IF(N(INDEX(art_cost,MATCH(H451,art_ref,0)))=0,"",N(INDEX(art_cost,MATCH(H451,art_ref,0))))),""))</f>
        <v/>
      </c>
      <c r="V451" s="64" t="str">
        <f>IF(OR(U451="",NOT(ISNUMBER(L451))),"",IF(L451&lt;=0,"",ROUND(L451*U451,2)))</f>
        <v/>
      </c>
      <c r="W451" s="60" t="str">
        <f>IF(AND(B451&lt;&gt;"",A451&lt;&gt;"BS",F451&lt;&gt;"",H451&lt;&gt;"",ISNUMBER(K451),ISNUMBER(L451)),IF(AND(K451&gt;0,L451&gt;0,K451-L451&gt;0,COUNTIFS(A452:A$2005,A451,F452:F$2005,F451,H452:H$2005,H451,AA452:AA$2005,"&gt;0")=0),ROUND(K451-L451,6),""),"")</f>
        <v/>
      </c>
      <c r="X451" s="60" t="str">
        <f>IF(AND(A451="",C451="",D451="",H451="",L451=""),"",IF(A451="","Type manquant",IF(AND(A451&lt;&gt;"BL",A451&lt;&gt;"BR",A451&lt;&gt;"BS"),"Type inconnu (BL, BR ou BS)",IF(AG451=0,"Date manquante ou invalide",IF(D451="",IF(A451="BL","Client manquant",IF(A451="BR","Fournisseur manquant","Service manquant")),IF(IF(A451="BL",ISNA(MATCH(D451,cl_code,0)),IF(A451="BR",ISNA(MATCH(D451,fo_code,0)),ISNA(MATCH(D451,p_services,0)))),IF(A451="BL","Client inconnu",IF(A451="BR","Fournisseur inconnu","Service inconnu")),IF(H451="","Article manquant",IF(ISNA(MATCH(H451,art_ref,0)),"Article inconnu",IF(OR(NOT(ISNUMBER(L451)),N(L451)&lt;=0),"Quantité invalide",IF(AND(K451&lt;&gt;"",OR(NOT(ISNUMBER(K451)),N(K451)&lt;=0)),"Qté commandée invalide",IF(AG451&lt;SUMPRODUCT(MAX((A$6:A450=A451)*AG$6:AG450)),"Date antérieure au bon précédent",IF(AND(A451&lt;&gt;"BR",ISNUMBER(M451),N(M451)&gt;0),IF(A451="BL","Livré plus que commandé","Sorti plus que demandé"),"OK"))))))))))))</f>
        <v/>
      </c>
      <c r="Y451" s="57" t="str">
        <f>IF(AND(OR(A451="BL",A451="BR",A451="BS"),AG451&gt;0,D451&lt;&gt;""),A451&amp;"|"&amp;AG451&amp;"|"&amp;D451&amp;"|"&amp;F451,"")</f>
        <v/>
      </c>
      <c r="Z451" s="57" t="str">
        <f>IF(Y451="","",IF(COUNTIF(Y$6:Y450,Y451)=0,1,0))</f>
        <v/>
      </c>
      <c r="AA451" s="57" t="str">
        <f>IF(Y451="","",IF(Z451=1,COUNTIFS(A$6:A451,A451,Z$6:Z451,1),INDEX(AA$6:AA450,MATCH(Y451,Y$6:Y450,0))))</f>
        <v/>
      </c>
      <c r="AB451" s="57" t="str">
        <f>IF(B451="","",COUNTIF(B$6:B451,B451))</f>
        <v/>
      </c>
      <c r="AC451" s="57" t="str">
        <f>IF(B451="","",B451&amp;"#"&amp;AB451)</f>
        <v/>
      </c>
      <c r="AD451" s="57" t="str">
        <f>IF(Z451=1,A451&amp;AA451,"")</f>
        <v/>
      </c>
      <c r="AE451" s="57" t="str">
        <f>IF(B451="","",YEAR(C451))</f>
        <v/>
      </c>
      <c r="AF451" s="57" t="str">
        <f>IF(B451="","",MONTH(C451))</f>
        <v/>
      </c>
      <c r="AG451" s="57">
        <f>IF(ISNUMBER(C451),C451,0)</f>
        <v>0.0</v>
      </c>
      <c r="AH451" s="57" t="str">
        <f>IF(N(W451)&gt;0,COUNTIF(W$6:W451,"&gt;0"),"")</f>
        <v/>
      </c>
      <c r="AI451" s="57" t="str">
        <f>IF(Z451=1,COUNTIF(Z$6:Z451,1),"")</f>
        <v/>
      </c>
    </row>
    <row r="452">
      <c r="A452" s="54" t="n"/>
      <c r="B452" s="55" t="str">
        <f>IF(AA452="","",A452&amp;"-"&amp;RIGHT("000"&amp;AA452,4))</f>
        <v/>
      </c>
      <c r="C452" s="56" t="n"/>
      <c r="D452" s="54" t="n"/>
      <c r="E452" s="57" t="str">
        <f>IF(D452="","",IF(A452="BL",IFERROR(INDEX(cl_name,MATCH(D452,cl_code,0))&amp;"","Client inconnu"),IF(A452="BR",IFERROR(INDEX(fo_name,MATCH(D452,fo_code,0))&amp;"","Fournisseur inconnu"),IF(A452="BS",IF(ISNA(MATCH(D452,p_services,0)),"Service inconnu",D452&amp;""),""))))</f>
        <v/>
      </c>
      <c r="F452" s="58" t="n"/>
      <c r="G452" s="58" t="n"/>
      <c r="H452" s="59" t="n"/>
      <c r="I452" s="57" t="str">
        <f>IF(H452="","",IFERROR(INDEX(art_des,MATCH(H452,art_ref,0))&amp;"","Article inconnu"))</f>
        <v/>
      </c>
      <c r="J452" s="60" t="str">
        <f>IF(H452="","",IFERROR(INDEX(art_unit,MATCH(H452,art_ref,0))&amp;"",""))</f>
        <v/>
      </c>
      <c r="K452" s="59" t="n"/>
      <c r="L452" s="59" t="n"/>
      <c r="M452" s="61" t="str">
        <f>IF(OR(B452="",NOT(ISNUMBER(K452)),NOT(ISNUMBER(L452))),"",IF(OR(K452&lt;=0,L452&lt;=0),"",ROUND(L452-K452,6)))</f>
        <v/>
      </c>
      <c r="N452" s="58" t="n"/>
      <c r="O452" s="62" t="n"/>
      <c r="P452" s="63" t="str">
        <f>IF(OR(B452="",NOT(ISNUMBER(L452))),"",IF(L452&lt;=0,"",IFERROR(ROUND(L452*N(INDEX(art_w,MATCH(H452,art_ref,0))),3),"")))</f>
        <v/>
      </c>
      <c r="Q452" s="59" t="n"/>
      <c r="R452" s="54" t="n"/>
      <c r="S452" s="59" t="n"/>
      <c r="T452" s="59" t="n"/>
      <c r="U452" s="64" t="str">
        <f>IF(OR(B452="",H452=""),"",IFERROR(IF(A452="BL",IF(N(INDEX(art_price,MATCH(H452,art_ref,0)))=0,"",N(INDEX(art_price,MATCH(H452,art_ref,0)))),IF(N(INDEX(art_cost,MATCH(H452,art_ref,0)))=0,"",N(INDEX(art_cost,MATCH(H452,art_ref,0))))),""))</f>
        <v/>
      </c>
      <c r="V452" s="64" t="str">
        <f>IF(OR(U452="",NOT(ISNUMBER(L452))),"",IF(L452&lt;=0,"",ROUND(L452*U452,2)))</f>
        <v/>
      </c>
      <c r="W452" s="60" t="str">
        <f>IF(AND(B452&lt;&gt;"",A452&lt;&gt;"BS",F452&lt;&gt;"",H452&lt;&gt;"",ISNUMBER(K452),ISNUMBER(L452)),IF(AND(K452&gt;0,L452&gt;0,K452-L452&gt;0,COUNTIFS(A453:A$2005,A452,F453:F$2005,F452,H453:H$2005,H452,AA453:AA$2005,"&gt;0")=0),ROUND(K452-L452,6),""),"")</f>
        <v/>
      </c>
      <c r="X452" s="60" t="str">
        <f>IF(AND(A452="",C452="",D452="",H452="",L452=""),"",IF(A452="","Type manquant",IF(AND(A452&lt;&gt;"BL",A452&lt;&gt;"BR",A452&lt;&gt;"BS"),"Type inconnu (BL, BR ou BS)",IF(AG452=0,"Date manquante ou invalide",IF(D452="",IF(A452="BL","Client manquant",IF(A452="BR","Fournisseur manquant","Service manquant")),IF(IF(A452="BL",ISNA(MATCH(D452,cl_code,0)),IF(A452="BR",ISNA(MATCH(D452,fo_code,0)),ISNA(MATCH(D452,p_services,0)))),IF(A452="BL","Client inconnu",IF(A452="BR","Fournisseur inconnu","Service inconnu")),IF(H452="","Article manquant",IF(ISNA(MATCH(H452,art_ref,0)),"Article inconnu",IF(OR(NOT(ISNUMBER(L452)),N(L452)&lt;=0),"Quantité invalide",IF(AND(K452&lt;&gt;"",OR(NOT(ISNUMBER(K452)),N(K452)&lt;=0)),"Qté commandée invalide",IF(AG452&lt;SUMPRODUCT(MAX((A$6:A451=A452)*AG$6:AG451)),"Date antérieure au bon précédent",IF(AND(A452&lt;&gt;"BR",ISNUMBER(M452),N(M452)&gt;0),IF(A452="BL","Livré plus que commandé","Sorti plus que demandé"),"OK"))))))))))))</f>
        <v/>
      </c>
      <c r="Y452" s="57" t="str">
        <f>IF(AND(OR(A452="BL",A452="BR",A452="BS"),AG452&gt;0,D452&lt;&gt;""),A452&amp;"|"&amp;AG452&amp;"|"&amp;D452&amp;"|"&amp;F452,"")</f>
        <v/>
      </c>
      <c r="Z452" s="57" t="str">
        <f>IF(Y452="","",IF(COUNTIF(Y$6:Y451,Y452)=0,1,0))</f>
        <v/>
      </c>
      <c r="AA452" s="57" t="str">
        <f>IF(Y452="","",IF(Z452=1,COUNTIFS(A$6:A452,A452,Z$6:Z452,1),INDEX(AA$6:AA451,MATCH(Y452,Y$6:Y451,0))))</f>
        <v/>
      </c>
      <c r="AB452" s="57" t="str">
        <f>IF(B452="","",COUNTIF(B$6:B452,B452))</f>
        <v/>
      </c>
      <c r="AC452" s="57" t="str">
        <f>IF(B452="","",B452&amp;"#"&amp;AB452)</f>
        <v/>
      </c>
      <c r="AD452" s="57" t="str">
        <f>IF(Z452=1,A452&amp;AA452,"")</f>
        <v/>
      </c>
      <c r="AE452" s="57" t="str">
        <f>IF(B452="","",YEAR(C452))</f>
        <v/>
      </c>
      <c r="AF452" s="57" t="str">
        <f>IF(B452="","",MONTH(C452))</f>
        <v/>
      </c>
      <c r="AG452" s="57">
        <f>IF(ISNUMBER(C452),C452,0)</f>
        <v>0.0</v>
      </c>
      <c r="AH452" s="57" t="str">
        <f>IF(N(W452)&gt;0,COUNTIF(W$6:W452,"&gt;0"),"")</f>
        <v/>
      </c>
      <c r="AI452" s="57" t="str">
        <f>IF(Z452=1,COUNTIF(Z$6:Z452,1),"")</f>
        <v/>
      </c>
    </row>
    <row r="453">
      <c r="A453" s="54" t="n"/>
      <c r="B453" s="55" t="str">
        <f>IF(AA453="","",A453&amp;"-"&amp;RIGHT("000"&amp;AA453,4))</f>
        <v/>
      </c>
      <c r="C453" s="56" t="n"/>
      <c r="D453" s="54" t="n"/>
      <c r="E453" s="57" t="str">
        <f>IF(D453="","",IF(A453="BL",IFERROR(INDEX(cl_name,MATCH(D453,cl_code,0))&amp;"","Client inconnu"),IF(A453="BR",IFERROR(INDEX(fo_name,MATCH(D453,fo_code,0))&amp;"","Fournisseur inconnu"),IF(A453="BS",IF(ISNA(MATCH(D453,p_services,0)),"Service inconnu",D453&amp;""),""))))</f>
        <v/>
      </c>
      <c r="F453" s="58" t="n"/>
      <c r="G453" s="58" t="n"/>
      <c r="H453" s="59" t="n"/>
      <c r="I453" s="57" t="str">
        <f>IF(H453="","",IFERROR(INDEX(art_des,MATCH(H453,art_ref,0))&amp;"","Article inconnu"))</f>
        <v/>
      </c>
      <c r="J453" s="60" t="str">
        <f>IF(H453="","",IFERROR(INDEX(art_unit,MATCH(H453,art_ref,0))&amp;"",""))</f>
        <v/>
      </c>
      <c r="K453" s="59" t="n"/>
      <c r="L453" s="59" t="n"/>
      <c r="M453" s="61" t="str">
        <f>IF(OR(B453="",NOT(ISNUMBER(K453)),NOT(ISNUMBER(L453))),"",IF(OR(K453&lt;=0,L453&lt;=0),"",ROUND(L453-K453,6)))</f>
        <v/>
      </c>
      <c r="N453" s="58" t="n"/>
      <c r="O453" s="62" t="n"/>
      <c r="P453" s="63" t="str">
        <f>IF(OR(B453="",NOT(ISNUMBER(L453))),"",IF(L453&lt;=0,"",IFERROR(ROUND(L453*N(INDEX(art_w,MATCH(H453,art_ref,0))),3),"")))</f>
        <v/>
      </c>
      <c r="Q453" s="59" t="n"/>
      <c r="R453" s="54" t="n"/>
      <c r="S453" s="59" t="n"/>
      <c r="T453" s="59" t="n"/>
      <c r="U453" s="64" t="str">
        <f>IF(OR(B453="",H453=""),"",IFERROR(IF(A453="BL",IF(N(INDEX(art_price,MATCH(H453,art_ref,0)))=0,"",N(INDEX(art_price,MATCH(H453,art_ref,0)))),IF(N(INDEX(art_cost,MATCH(H453,art_ref,0)))=0,"",N(INDEX(art_cost,MATCH(H453,art_ref,0))))),""))</f>
        <v/>
      </c>
      <c r="V453" s="64" t="str">
        <f>IF(OR(U453="",NOT(ISNUMBER(L453))),"",IF(L453&lt;=0,"",ROUND(L453*U453,2)))</f>
        <v/>
      </c>
      <c r="W453" s="60" t="str">
        <f>IF(AND(B453&lt;&gt;"",A453&lt;&gt;"BS",F453&lt;&gt;"",H453&lt;&gt;"",ISNUMBER(K453),ISNUMBER(L453)),IF(AND(K453&gt;0,L453&gt;0,K453-L453&gt;0,COUNTIFS(A454:A$2005,A453,F454:F$2005,F453,H454:H$2005,H453,AA454:AA$2005,"&gt;0")=0),ROUND(K453-L453,6),""),"")</f>
        <v/>
      </c>
      <c r="X453" s="60" t="str">
        <f>IF(AND(A453="",C453="",D453="",H453="",L453=""),"",IF(A453="","Type manquant",IF(AND(A453&lt;&gt;"BL",A453&lt;&gt;"BR",A453&lt;&gt;"BS"),"Type inconnu (BL, BR ou BS)",IF(AG453=0,"Date manquante ou invalide",IF(D453="",IF(A453="BL","Client manquant",IF(A453="BR","Fournisseur manquant","Service manquant")),IF(IF(A453="BL",ISNA(MATCH(D453,cl_code,0)),IF(A453="BR",ISNA(MATCH(D453,fo_code,0)),ISNA(MATCH(D453,p_services,0)))),IF(A453="BL","Client inconnu",IF(A453="BR","Fournisseur inconnu","Service inconnu")),IF(H453="","Article manquant",IF(ISNA(MATCH(H453,art_ref,0)),"Article inconnu",IF(OR(NOT(ISNUMBER(L453)),N(L453)&lt;=0),"Quantité invalide",IF(AND(K453&lt;&gt;"",OR(NOT(ISNUMBER(K453)),N(K453)&lt;=0)),"Qté commandée invalide",IF(AG453&lt;SUMPRODUCT(MAX((A$6:A452=A453)*AG$6:AG452)),"Date antérieure au bon précédent",IF(AND(A453&lt;&gt;"BR",ISNUMBER(M453),N(M453)&gt;0),IF(A453="BL","Livré plus que commandé","Sorti plus que demandé"),"OK"))))))))))))</f>
        <v/>
      </c>
      <c r="Y453" s="57" t="str">
        <f>IF(AND(OR(A453="BL",A453="BR",A453="BS"),AG453&gt;0,D453&lt;&gt;""),A453&amp;"|"&amp;AG453&amp;"|"&amp;D453&amp;"|"&amp;F453,"")</f>
        <v/>
      </c>
      <c r="Z453" s="57" t="str">
        <f>IF(Y453="","",IF(COUNTIF(Y$6:Y452,Y453)=0,1,0))</f>
        <v/>
      </c>
      <c r="AA453" s="57" t="str">
        <f>IF(Y453="","",IF(Z453=1,COUNTIFS(A$6:A453,A453,Z$6:Z453,1),INDEX(AA$6:AA452,MATCH(Y453,Y$6:Y452,0))))</f>
        <v/>
      </c>
      <c r="AB453" s="57" t="str">
        <f>IF(B453="","",COUNTIF(B$6:B453,B453))</f>
        <v/>
      </c>
      <c r="AC453" s="57" t="str">
        <f>IF(B453="","",B453&amp;"#"&amp;AB453)</f>
        <v/>
      </c>
      <c r="AD453" s="57" t="str">
        <f>IF(Z453=1,A453&amp;AA453,"")</f>
        <v/>
      </c>
      <c r="AE453" s="57" t="str">
        <f>IF(B453="","",YEAR(C453))</f>
        <v/>
      </c>
      <c r="AF453" s="57" t="str">
        <f>IF(B453="","",MONTH(C453))</f>
        <v/>
      </c>
      <c r="AG453" s="57">
        <f>IF(ISNUMBER(C453),C453,0)</f>
        <v>0.0</v>
      </c>
      <c r="AH453" s="57" t="str">
        <f>IF(N(W453)&gt;0,COUNTIF(W$6:W453,"&gt;0"),"")</f>
        <v/>
      </c>
      <c r="AI453" s="57" t="str">
        <f>IF(Z453=1,COUNTIF(Z$6:Z453,1),"")</f>
        <v/>
      </c>
    </row>
    <row r="454">
      <c r="A454" s="54" t="n"/>
      <c r="B454" s="55" t="str">
        <f>IF(AA454="","",A454&amp;"-"&amp;RIGHT("000"&amp;AA454,4))</f>
        <v/>
      </c>
      <c r="C454" s="56" t="n"/>
      <c r="D454" s="54" t="n"/>
      <c r="E454" s="57" t="str">
        <f>IF(D454="","",IF(A454="BL",IFERROR(INDEX(cl_name,MATCH(D454,cl_code,0))&amp;"","Client inconnu"),IF(A454="BR",IFERROR(INDEX(fo_name,MATCH(D454,fo_code,0))&amp;"","Fournisseur inconnu"),IF(A454="BS",IF(ISNA(MATCH(D454,p_services,0)),"Service inconnu",D454&amp;""),""))))</f>
        <v/>
      </c>
      <c r="F454" s="58" t="n"/>
      <c r="G454" s="58" t="n"/>
      <c r="H454" s="59" t="n"/>
      <c r="I454" s="57" t="str">
        <f>IF(H454="","",IFERROR(INDEX(art_des,MATCH(H454,art_ref,0))&amp;"","Article inconnu"))</f>
        <v/>
      </c>
      <c r="J454" s="60" t="str">
        <f>IF(H454="","",IFERROR(INDEX(art_unit,MATCH(H454,art_ref,0))&amp;"",""))</f>
        <v/>
      </c>
      <c r="K454" s="59" t="n"/>
      <c r="L454" s="59" t="n"/>
      <c r="M454" s="61" t="str">
        <f>IF(OR(B454="",NOT(ISNUMBER(K454)),NOT(ISNUMBER(L454))),"",IF(OR(K454&lt;=0,L454&lt;=0),"",ROUND(L454-K454,6)))</f>
        <v/>
      </c>
      <c r="N454" s="58" t="n"/>
      <c r="O454" s="62" t="n"/>
      <c r="P454" s="63" t="str">
        <f>IF(OR(B454="",NOT(ISNUMBER(L454))),"",IF(L454&lt;=0,"",IFERROR(ROUND(L454*N(INDEX(art_w,MATCH(H454,art_ref,0))),3),"")))</f>
        <v/>
      </c>
      <c r="Q454" s="59" t="n"/>
      <c r="R454" s="54" t="n"/>
      <c r="S454" s="59" t="n"/>
      <c r="T454" s="59" t="n"/>
      <c r="U454" s="64" t="str">
        <f>IF(OR(B454="",H454=""),"",IFERROR(IF(A454="BL",IF(N(INDEX(art_price,MATCH(H454,art_ref,0)))=0,"",N(INDEX(art_price,MATCH(H454,art_ref,0)))),IF(N(INDEX(art_cost,MATCH(H454,art_ref,0)))=0,"",N(INDEX(art_cost,MATCH(H454,art_ref,0))))),""))</f>
        <v/>
      </c>
      <c r="V454" s="64" t="str">
        <f>IF(OR(U454="",NOT(ISNUMBER(L454))),"",IF(L454&lt;=0,"",ROUND(L454*U454,2)))</f>
        <v/>
      </c>
      <c r="W454" s="60" t="str">
        <f>IF(AND(B454&lt;&gt;"",A454&lt;&gt;"BS",F454&lt;&gt;"",H454&lt;&gt;"",ISNUMBER(K454),ISNUMBER(L454)),IF(AND(K454&gt;0,L454&gt;0,K454-L454&gt;0,COUNTIFS(A455:A$2005,A454,F455:F$2005,F454,H455:H$2005,H454,AA455:AA$2005,"&gt;0")=0),ROUND(K454-L454,6),""),"")</f>
        <v/>
      </c>
      <c r="X454" s="60" t="str">
        <f>IF(AND(A454="",C454="",D454="",H454="",L454=""),"",IF(A454="","Type manquant",IF(AND(A454&lt;&gt;"BL",A454&lt;&gt;"BR",A454&lt;&gt;"BS"),"Type inconnu (BL, BR ou BS)",IF(AG454=0,"Date manquante ou invalide",IF(D454="",IF(A454="BL","Client manquant",IF(A454="BR","Fournisseur manquant","Service manquant")),IF(IF(A454="BL",ISNA(MATCH(D454,cl_code,0)),IF(A454="BR",ISNA(MATCH(D454,fo_code,0)),ISNA(MATCH(D454,p_services,0)))),IF(A454="BL","Client inconnu",IF(A454="BR","Fournisseur inconnu","Service inconnu")),IF(H454="","Article manquant",IF(ISNA(MATCH(H454,art_ref,0)),"Article inconnu",IF(OR(NOT(ISNUMBER(L454)),N(L454)&lt;=0),"Quantité invalide",IF(AND(K454&lt;&gt;"",OR(NOT(ISNUMBER(K454)),N(K454)&lt;=0)),"Qté commandée invalide",IF(AG454&lt;SUMPRODUCT(MAX((A$6:A453=A454)*AG$6:AG453)),"Date antérieure au bon précédent",IF(AND(A454&lt;&gt;"BR",ISNUMBER(M454),N(M454)&gt;0),IF(A454="BL","Livré plus que commandé","Sorti plus que demandé"),"OK"))))))))))))</f>
        <v/>
      </c>
      <c r="Y454" s="57" t="str">
        <f>IF(AND(OR(A454="BL",A454="BR",A454="BS"),AG454&gt;0,D454&lt;&gt;""),A454&amp;"|"&amp;AG454&amp;"|"&amp;D454&amp;"|"&amp;F454,"")</f>
        <v/>
      </c>
      <c r="Z454" s="57" t="str">
        <f>IF(Y454="","",IF(COUNTIF(Y$6:Y453,Y454)=0,1,0))</f>
        <v/>
      </c>
      <c r="AA454" s="57" t="str">
        <f>IF(Y454="","",IF(Z454=1,COUNTIFS(A$6:A454,A454,Z$6:Z454,1),INDEX(AA$6:AA453,MATCH(Y454,Y$6:Y453,0))))</f>
        <v/>
      </c>
      <c r="AB454" s="57" t="str">
        <f>IF(B454="","",COUNTIF(B$6:B454,B454))</f>
        <v/>
      </c>
      <c r="AC454" s="57" t="str">
        <f>IF(B454="","",B454&amp;"#"&amp;AB454)</f>
        <v/>
      </c>
      <c r="AD454" s="57" t="str">
        <f>IF(Z454=1,A454&amp;AA454,"")</f>
        <v/>
      </c>
      <c r="AE454" s="57" t="str">
        <f>IF(B454="","",YEAR(C454))</f>
        <v/>
      </c>
      <c r="AF454" s="57" t="str">
        <f>IF(B454="","",MONTH(C454))</f>
        <v/>
      </c>
      <c r="AG454" s="57">
        <f>IF(ISNUMBER(C454),C454,0)</f>
        <v>0.0</v>
      </c>
      <c r="AH454" s="57" t="str">
        <f>IF(N(W454)&gt;0,COUNTIF(W$6:W454,"&gt;0"),"")</f>
        <v/>
      </c>
      <c r="AI454" s="57" t="str">
        <f>IF(Z454=1,COUNTIF(Z$6:Z454,1),"")</f>
        <v/>
      </c>
    </row>
    <row r="455">
      <c r="A455" s="54" t="n"/>
      <c r="B455" s="55" t="str">
        <f>IF(AA455="","",A455&amp;"-"&amp;RIGHT("000"&amp;AA455,4))</f>
        <v/>
      </c>
      <c r="C455" s="56" t="n"/>
      <c r="D455" s="54" t="n"/>
      <c r="E455" s="57" t="str">
        <f>IF(D455="","",IF(A455="BL",IFERROR(INDEX(cl_name,MATCH(D455,cl_code,0))&amp;"","Client inconnu"),IF(A455="BR",IFERROR(INDEX(fo_name,MATCH(D455,fo_code,0))&amp;"","Fournisseur inconnu"),IF(A455="BS",IF(ISNA(MATCH(D455,p_services,0)),"Service inconnu",D455&amp;""),""))))</f>
        <v/>
      </c>
      <c r="F455" s="58" t="n"/>
      <c r="G455" s="58" t="n"/>
      <c r="H455" s="59" t="n"/>
      <c r="I455" s="57" t="str">
        <f>IF(H455="","",IFERROR(INDEX(art_des,MATCH(H455,art_ref,0))&amp;"","Article inconnu"))</f>
        <v/>
      </c>
      <c r="J455" s="60" t="str">
        <f>IF(H455="","",IFERROR(INDEX(art_unit,MATCH(H455,art_ref,0))&amp;"",""))</f>
        <v/>
      </c>
      <c r="K455" s="59" t="n"/>
      <c r="L455" s="59" t="n"/>
      <c r="M455" s="61" t="str">
        <f>IF(OR(B455="",NOT(ISNUMBER(K455)),NOT(ISNUMBER(L455))),"",IF(OR(K455&lt;=0,L455&lt;=0),"",ROUND(L455-K455,6)))</f>
        <v/>
      </c>
      <c r="N455" s="58" t="n"/>
      <c r="O455" s="62" t="n"/>
      <c r="P455" s="63" t="str">
        <f>IF(OR(B455="",NOT(ISNUMBER(L455))),"",IF(L455&lt;=0,"",IFERROR(ROUND(L455*N(INDEX(art_w,MATCH(H455,art_ref,0))),3),"")))</f>
        <v/>
      </c>
      <c r="Q455" s="59" t="n"/>
      <c r="R455" s="54" t="n"/>
      <c r="S455" s="59" t="n"/>
      <c r="T455" s="59" t="n"/>
      <c r="U455" s="64" t="str">
        <f>IF(OR(B455="",H455=""),"",IFERROR(IF(A455="BL",IF(N(INDEX(art_price,MATCH(H455,art_ref,0)))=0,"",N(INDEX(art_price,MATCH(H455,art_ref,0)))),IF(N(INDEX(art_cost,MATCH(H455,art_ref,0)))=0,"",N(INDEX(art_cost,MATCH(H455,art_ref,0))))),""))</f>
        <v/>
      </c>
      <c r="V455" s="64" t="str">
        <f>IF(OR(U455="",NOT(ISNUMBER(L455))),"",IF(L455&lt;=0,"",ROUND(L455*U455,2)))</f>
        <v/>
      </c>
      <c r="W455" s="60" t="str">
        <f>IF(AND(B455&lt;&gt;"",A455&lt;&gt;"BS",F455&lt;&gt;"",H455&lt;&gt;"",ISNUMBER(K455),ISNUMBER(L455)),IF(AND(K455&gt;0,L455&gt;0,K455-L455&gt;0,COUNTIFS(A456:A$2005,A455,F456:F$2005,F455,H456:H$2005,H455,AA456:AA$2005,"&gt;0")=0),ROUND(K455-L455,6),""),"")</f>
        <v/>
      </c>
      <c r="X455" s="60" t="str">
        <f>IF(AND(A455="",C455="",D455="",H455="",L455=""),"",IF(A455="","Type manquant",IF(AND(A455&lt;&gt;"BL",A455&lt;&gt;"BR",A455&lt;&gt;"BS"),"Type inconnu (BL, BR ou BS)",IF(AG455=0,"Date manquante ou invalide",IF(D455="",IF(A455="BL","Client manquant",IF(A455="BR","Fournisseur manquant","Service manquant")),IF(IF(A455="BL",ISNA(MATCH(D455,cl_code,0)),IF(A455="BR",ISNA(MATCH(D455,fo_code,0)),ISNA(MATCH(D455,p_services,0)))),IF(A455="BL","Client inconnu",IF(A455="BR","Fournisseur inconnu","Service inconnu")),IF(H455="","Article manquant",IF(ISNA(MATCH(H455,art_ref,0)),"Article inconnu",IF(OR(NOT(ISNUMBER(L455)),N(L455)&lt;=0),"Quantité invalide",IF(AND(K455&lt;&gt;"",OR(NOT(ISNUMBER(K455)),N(K455)&lt;=0)),"Qté commandée invalide",IF(AG455&lt;SUMPRODUCT(MAX((A$6:A454=A455)*AG$6:AG454)),"Date antérieure au bon précédent",IF(AND(A455&lt;&gt;"BR",ISNUMBER(M455),N(M455)&gt;0),IF(A455="BL","Livré plus que commandé","Sorti plus que demandé"),"OK"))))))))))))</f>
        <v/>
      </c>
      <c r="Y455" s="57" t="str">
        <f>IF(AND(OR(A455="BL",A455="BR",A455="BS"),AG455&gt;0,D455&lt;&gt;""),A455&amp;"|"&amp;AG455&amp;"|"&amp;D455&amp;"|"&amp;F455,"")</f>
        <v/>
      </c>
      <c r="Z455" s="57" t="str">
        <f>IF(Y455="","",IF(COUNTIF(Y$6:Y454,Y455)=0,1,0))</f>
        <v/>
      </c>
      <c r="AA455" s="57" t="str">
        <f>IF(Y455="","",IF(Z455=1,COUNTIFS(A$6:A455,A455,Z$6:Z455,1),INDEX(AA$6:AA454,MATCH(Y455,Y$6:Y454,0))))</f>
        <v/>
      </c>
      <c r="AB455" s="57" t="str">
        <f>IF(B455="","",COUNTIF(B$6:B455,B455))</f>
        <v/>
      </c>
      <c r="AC455" s="57" t="str">
        <f>IF(B455="","",B455&amp;"#"&amp;AB455)</f>
        <v/>
      </c>
      <c r="AD455" s="57" t="str">
        <f>IF(Z455=1,A455&amp;AA455,"")</f>
        <v/>
      </c>
      <c r="AE455" s="57" t="str">
        <f>IF(B455="","",YEAR(C455))</f>
        <v/>
      </c>
      <c r="AF455" s="57" t="str">
        <f>IF(B455="","",MONTH(C455))</f>
        <v/>
      </c>
      <c r="AG455" s="57">
        <f>IF(ISNUMBER(C455),C455,0)</f>
        <v>0.0</v>
      </c>
      <c r="AH455" s="57" t="str">
        <f>IF(N(W455)&gt;0,COUNTIF(W$6:W455,"&gt;0"),"")</f>
        <v/>
      </c>
      <c r="AI455" s="57" t="str">
        <f>IF(Z455=1,COUNTIF(Z$6:Z455,1),"")</f>
        <v/>
      </c>
    </row>
    <row r="456">
      <c r="A456" s="54" t="n"/>
      <c r="B456" s="55" t="str">
        <f>IF(AA456="","",A456&amp;"-"&amp;RIGHT("000"&amp;AA456,4))</f>
        <v/>
      </c>
      <c r="C456" s="56" t="n"/>
      <c r="D456" s="54" t="n"/>
      <c r="E456" s="57" t="str">
        <f>IF(D456="","",IF(A456="BL",IFERROR(INDEX(cl_name,MATCH(D456,cl_code,0))&amp;"","Client inconnu"),IF(A456="BR",IFERROR(INDEX(fo_name,MATCH(D456,fo_code,0))&amp;"","Fournisseur inconnu"),IF(A456="BS",IF(ISNA(MATCH(D456,p_services,0)),"Service inconnu",D456&amp;""),""))))</f>
        <v/>
      </c>
      <c r="F456" s="58" t="n"/>
      <c r="G456" s="58" t="n"/>
      <c r="H456" s="59" t="n"/>
      <c r="I456" s="57" t="str">
        <f>IF(H456="","",IFERROR(INDEX(art_des,MATCH(H456,art_ref,0))&amp;"","Article inconnu"))</f>
        <v/>
      </c>
      <c r="J456" s="60" t="str">
        <f>IF(H456="","",IFERROR(INDEX(art_unit,MATCH(H456,art_ref,0))&amp;"",""))</f>
        <v/>
      </c>
      <c r="K456" s="59" t="n"/>
      <c r="L456" s="59" t="n"/>
      <c r="M456" s="61" t="str">
        <f>IF(OR(B456="",NOT(ISNUMBER(K456)),NOT(ISNUMBER(L456))),"",IF(OR(K456&lt;=0,L456&lt;=0),"",ROUND(L456-K456,6)))</f>
        <v/>
      </c>
      <c r="N456" s="58" t="n"/>
      <c r="O456" s="62" t="n"/>
      <c r="P456" s="63" t="str">
        <f>IF(OR(B456="",NOT(ISNUMBER(L456))),"",IF(L456&lt;=0,"",IFERROR(ROUND(L456*N(INDEX(art_w,MATCH(H456,art_ref,0))),3),"")))</f>
        <v/>
      </c>
      <c r="Q456" s="59" t="n"/>
      <c r="R456" s="54" t="n"/>
      <c r="S456" s="59" t="n"/>
      <c r="T456" s="59" t="n"/>
      <c r="U456" s="64" t="str">
        <f>IF(OR(B456="",H456=""),"",IFERROR(IF(A456="BL",IF(N(INDEX(art_price,MATCH(H456,art_ref,0)))=0,"",N(INDEX(art_price,MATCH(H456,art_ref,0)))),IF(N(INDEX(art_cost,MATCH(H456,art_ref,0)))=0,"",N(INDEX(art_cost,MATCH(H456,art_ref,0))))),""))</f>
        <v/>
      </c>
      <c r="V456" s="64" t="str">
        <f>IF(OR(U456="",NOT(ISNUMBER(L456))),"",IF(L456&lt;=0,"",ROUND(L456*U456,2)))</f>
        <v/>
      </c>
      <c r="W456" s="60" t="str">
        <f>IF(AND(B456&lt;&gt;"",A456&lt;&gt;"BS",F456&lt;&gt;"",H456&lt;&gt;"",ISNUMBER(K456),ISNUMBER(L456)),IF(AND(K456&gt;0,L456&gt;0,K456-L456&gt;0,COUNTIFS(A457:A$2005,A456,F457:F$2005,F456,H457:H$2005,H456,AA457:AA$2005,"&gt;0")=0),ROUND(K456-L456,6),""),"")</f>
        <v/>
      </c>
      <c r="X456" s="60" t="str">
        <f>IF(AND(A456="",C456="",D456="",H456="",L456=""),"",IF(A456="","Type manquant",IF(AND(A456&lt;&gt;"BL",A456&lt;&gt;"BR",A456&lt;&gt;"BS"),"Type inconnu (BL, BR ou BS)",IF(AG456=0,"Date manquante ou invalide",IF(D456="",IF(A456="BL","Client manquant",IF(A456="BR","Fournisseur manquant","Service manquant")),IF(IF(A456="BL",ISNA(MATCH(D456,cl_code,0)),IF(A456="BR",ISNA(MATCH(D456,fo_code,0)),ISNA(MATCH(D456,p_services,0)))),IF(A456="BL","Client inconnu",IF(A456="BR","Fournisseur inconnu","Service inconnu")),IF(H456="","Article manquant",IF(ISNA(MATCH(H456,art_ref,0)),"Article inconnu",IF(OR(NOT(ISNUMBER(L456)),N(L456)&lt;=0),"Quantité invalide",IF(AND(K456&lt;&gt;"",OR(NOT(ISNUMBER(K456)),N(K456)&lt;=0)),"Qté commandée invalide",IF(AG456&lt;SUMPRODUCT(MAX((A$6:A455=A456)*AG$6:AG455)),"Date antérieure au bon précédent",IF(AND(A456&lt;&gt;"BR",ISNUMBER(M456),N(M456)&gt;0),IF(A456="BL","Livré plus que commandé","Sorti plus que demandé"),"OK"))))))))))))</f>
        <v/>
      </c>
      <c r="Y456" s="57" t="str">
        <f>IF(AND(OR(A456="BL",A456="BR",A456="BS"),AG456&gt;0,D456&lt;&gt;""),A456&amp;"|"&amp;AG456&amp;"|"&amp;D456&amp;"|"&amp;F456,"")</f>
        <v/>
      </c>
      <c r="Z456" s="57" t="str">
        <f>IF(Y456="","",IF(COUNTIF(Y$6:Y455,Y456)=0,1,0))</f>
        <v/>
      </c>
      <c r="AA456" s="57" t="str">
        <f>IF(Y456="","",IF(Z456=1,COUNTIFS(A$6:A456,A456,Z$6:Z456,1),INDEX(AA$6:AA455,MATCH(Y456,Y$6:Y455,0))))</f>
        <v/>
      </c>
      <c r="AB456" s="57" t="str">
        <f>IF(B456="","",COUNTIF(B$6:B456,B456))</f>
        <v/>
      </c>
      <c r="AC456" s="57" t="str">
        <f>IF(B456="","",B456&amp;"#"&amp;AB456)</f>
        <v/>
      </c>
      <c r="AD456" s="57" t="str">
        <f>IF(Z456=1,A456&amp;AA456,"")</f>
        <v/>
      </c>
      <c r="AE456" s="57" t="str">
        <f>IF(B456="","",YEAR(C456))</f>
        <v/>
      </c>
      <c r="AF456" s="57" t="str">
        <f>IF(B456="","",MONTH(C456))</f>
        <v/>
      </c>
      <c r="AG456" s="57">
        <f>IF(ISNUMBER(C456),C456,0)</f>
        <v>0.0</v>
      </c>
      <c r="AH456" s="57" t="str">
        <f>IF(N(W456)&gt;0,COUNTIF(W$6:W456,"&gt;0"),"")</f>
        <v/>
      </c>
      <c r="AI456" s="57" t="str">
        <f>IF(Z456=1,COUNTIF(Z$6:Z456,1),"")</f>
        <v/>
      </c>
    </row>
    <row r="457">
      <c r="A457" s="54" t="n"/>
      <c r="B457" s="55" t="str">
        <f>IF(AA457="","",A457&amp;"-"&amp;RIGHT("000"&amp;AA457,4))</f>
        <v/>
      </c>
      <c r="C457" s="56" t="n"/>
      <c r="D457" s="54" t="n"/>
      <c r="E457" s="57" t="str">
        <f>IF(D457="","",IF(A457="BL",IFERROR(INDEX(cl_name,MATCH(D457,cl_code,0))&amp;"","Client inconnu"),IF(A457="BR",IFERROR(INDEX(fo_name,MATCH(D457,fo_code,0))&amp;"","Fournisseur inconnu"),IF(A457="BS",IF(ISNA(MATCH(D457,p_services,0)),"Service inconnu",D457&amp;""),""))))</f>
        <v/>
      </c>
      <c r="F457" s="58" t="n"/>
      <c r="G457" s="58" t="n"/>
      <c r="H457" s="59" t="n"/>
      <c r="I457" s="57" t="str">
        <f>IF(H457="","",IFERROR(INDEX(art_des,MATCH(H457,art_ref,0))&amp;"","Article inconnu"))</f>
        <v/>
      </c>
      <c r="J457" s="60" t="str">
        <f>IF(H457="","",IFERROR(INDEX(art_unit,MATCH(H457,art_ref,0))&amp;"",""))</f>
        <v/>
      </c>
      <c r="K457" s="59" t="n"/>
      <c r="L457" s="59" t="n"/>
      <c r="M457" s="61" t="str">
        <f>IF(OR(B457="",NOT(ISNUMBER(K457)),NOT(ISNUMBER(L457))),"",IF(OR(K457&lt;=0,L457&lt;=0),"",ROUND(L457-K457,6)))</f>
        <v/>
      </c>
      <c r="N457" s="58" t="n"/>
      <c r="O457" s="62" t="n"/>
      <c r="P457" s="63" t="str">
        <f>IF(OR(B457="",NOT(ISNUMBER(L457))),"",IF(L457&lt;=0,"",IFERROR(ROUND(L457*N(INDEX(art_w,MATCH(H457,art_ref,0))),3),"")))</f>
        <v/>
      </c>
      <c r="Q457" s="59" t="n"/>
      <c r="R457" s="54" t="n"/>
      <c r="S457" s="59" t="n"/>
      <c r="T457" s="59" t="n"/>
      <c r="U457" s="64" t="str">
        <f>IF(OR(B457="",H457=""),"",IFERROR(IF(A457="BL",IF(N(INDEX(art_price,MATCH(H457,art_ref,0)))=0,"",N(INDEX(art_price,MATCH(H457,art_ref,0)))),IF(N(INDEX(art_cost,MATCH(H457,art_ref,0)))=0,"",N(INDEX(art_cost,MATCH(H457,art_ref,0))))),""))</f>
        <v/>
      </c>
      <c r="V457" s="64" t="str">
        <f>IF(OR(U457="",NOT(ISNUMBER(L457))),"",IF(L457&lt;=0,"",ROUND(L457*U457,2)))</f>
        <v/>
      </c>
      <c r="W457" s="60" t="str">
        <f>IF(AND(B457&lt;&gt;"",A457&lt;&gt;"BS",F457&lt;&gt;"",H457&lt;&gt;"",ISNUMBER(K457),ISNUMBER(L457)),IF(AND(K457&gt;0,L457&gt;0,K457-L457&gt;0,COUNTIFS(A458:A$2005,A457,F458:F$2005,F457,H458:H$2005,H457,AA458:AA$2005,"&gt;0")=0),ROUND(K457-L457,6),""),"")</f>
        <v/>
      </c>
      <c r="X457" s="60" t="str">
        <f>IF(AND(A457="",C457="",D457="",H457="",L457=""),"",IF(A457="","Type manquant",IF(AND(A457&lt;&gt;"BL",A457&lt;&gt;"BR",A457&lt;&gt;"BS"),"Type inconnu (BL, BR ou BS)",IF(AG457=0,"Date manquante ou invalide",IF(D457="",IF(A457="BL","Client manquant",IF(A457="BR","Fournisseur manquant","Service manquant")),IF(IF(A457="BL",ISNA(MATCH(D457,cl_code,0)),IF(A457="BR",ISNA(MATCH(D457,fo_code,0)),ISNA(MATCH(D457,p_services,0)))),IF(A457="BL","Client inconnu",IF(A457="BR","Fournisseur inconnu","Service inconnu")),IF(H457="","Article manquant",IF(ISNA(MATCH(H457,art_ref,0)),"Article inconnu",IF(OR(NOT(ISNUMBER(L457)),N(L457)&lt;=0),"Quantité invalide",IF(AND(K457&lt;&gt;"",OR(NOT(ISNUMBER(K457)),N(K457)&lt;=0)),"Qté commandée invalide",IF(AG457&lt;SUMPRODUCT(MAX((A$6:A456=A457)*AG$6:AG456)),"Date antérieure au bon précédent",IF(AND(A457&lt;&gt;"BR",ISNUMBER(M457),N(M457)&gt;0),IF(A457="BL","Livré plus que commandé","Sorti plus que demandé"),"OK"))))))))))))</f>
        <v/>
      </c>
      <c r="Y457" s="57" t="str">
        <f>IF(AND(OR(A457="BL",A457="BR",A457="BS"),AG457&gt;0,D457&lt;&gt;""),A457&amp;"|"&amp;AG457&amp;"|"&amp;D457&amp;"|"&amp;F457,"")</f>
        <v/>
      </c>
      <c r="Z457" s="57" t="str">
        <f>IF(Y457="","",IF(COUNTIF(Y$6:Y456,Y457)=0,1,0))</f>
        <v/>
      </c>
      <c r="AA457" s="57" t="str">
        <f>IF(Y457="","",IF(Z457=1,COUNTIFS(A$6:A457,A457,Z$6:Z457,1),INDEX(AA$6:AA456,MATCH(Y457,Y$6:Y456,0))))</f>
        <v/>
      </c>
      <c r="AB457" s="57" t="str">
        <f>IF(B457="","",COUNTIF(B$6:B457,B457))</f>
        <v/>
      </c>
      <c r="AC457" s="57" t="str">
        <f>IF(B457="","",B457&amp;"#"&amp;AB457)</f>
        <v/>
      </c>
      <c r="AD457" s="57" t="str">
        <f>IF(Z457=1,A457&amp;AA457,"")</f>
        <v/>
      </c>
      <c r="AE457" s="57" t="str">
        <f>IF(B457="","",YEAR(C457))</f>
        <v/>
      </c>
      <c r="AF457" s="57" t="str">
        <f>IF(B457="","",MONTH(C457))</f>
        <v/>
      </c>
      <c r="AG457" s="57">
        <f>IF(ISNUMBER(C457),C457,0)</f>
        <v>0.0</v>
      </c>
      <c r="AH457" s="57" t="str">
        <f>IF(N(W457)&gt;0,COUNTIF(W$6:W457,"&gt;0"),"")</f>
        <v/>
      </c>
      <c r="AI457" s="57" t="str">
        <f>IF(Z457=1,COUNTIF(Z$6:Z457,1),"")</f>
        <v/>
      </c>
    </row>
    <row r="458">
      <c r="A458" s="54" t="n"/>
      <c r="B458" s="55" t="str">
        <f>IF(AA458="","",A458&amp;"-"&amp;RIGHT("000"&amp;AA458,4))</f>
        <v/>
      </c>
      <c r="C458" s="56" t="n"/>
      <c r="D458" s="54" t="n"/>
      <c r="E458" s="57" t="str">
        <f>IF(D458="","",IF(A458="BL",IFERROR(INDEX(cl_name,MATCH(D458,cl_code,0))&amp;"","Client inconnu"),IF(A458="BR",IFERROR(INDEX(fo_name,MATCH(D458,fo_code,0))&amp;"","Fournisseur inconnu"),IF(A458="BS",IF(ISNA(MATCH(D458,p_services,0)),"Service inconnu",D458&amp;""),""))))</f>
        <v/>
      </c>
      <c r="F458" s="58" t="n"/>
      <c r="G458" s="58" t="n"/>
      <c r="H458" s="59" t="n"/>
      <c r="I458" s="57" t="str">
        <f>IF(H458="","",IFERROR(INDEX(art_des,MATCH(H458,art_ref,0))&amp;"","Article inconnu"))</f>
        <v/>
      </c>
      <c r="J458" s="60" t="str">
        <f>IF(H458="","",IFERROR(INDEX(art_unit,MATCH(H458,art_ref,0))&amp;"",""))</f>
        <v/>
      </c>
      <c r="K458" s="59" t="n"/>
      <c r="L458" s="59" t="n"/>
      <c r="M458" s="61" t="str">
        <f>IF(OR(B458="",NOT(ISNUMBER(K458)),NOT(ISNUMBER(L458))),"",IF(OR(K458&lt;=0,L458&lt;=0),"",ROUND(L458-K458,6)))</f>
        <v/>
      </c>
      <c r="N458" s="58" t="n"/>
      <c r="O458" s="62" t="n"/>
      <c r="P458" s="63" t="str">
        <f>IF(OR(B458="",NOT(ISNUMBER(L458))),"",IF(L458&lt;=0,"",IFERROR(ROUND(L458*N(INDEX(art_w,MATCH(H458,art_ref,0))),3),"")))</f>
        <v/>
      </c>
      <c r="Q458" s="59" t="n"/>
      <c r="R458" s="54" t="n"/>
      <c r="S458" s="59" t="n"/>
      <c r="T458" s="59" t="n"/>
      <c r="U458" s="64" t="str">
        <f>IF(OR(B458="",H458=""),"",IFERROR(IF(A458="BL",IF(N(INDEX(art_price,MATCH(H458,art_ref,0)))=0,"",N(INDEX(art_price,MATCH(H458,art_ref,0)))),IF(N(INDEX(art_cost,MATCH(H458,art_ref,0)))=0,"",N(INDEX(art_cost,MATCH(H458,art_ref,0))))),""))</f>
        <v/>
      </c>
      <c r="V458" s="64" t="str">
        <f>IF(OR(U458="",NOT(ISNUMBER(L458))),"",IF(L458&lt;=0,"",ROUND(L458*U458,2)))</f>
        <v/>
      </c>
      <c r="W458" s="60" t="str">
        <f>IF(AND(B458&lt;&gt;"",A458&lt;&gt;"BS",F458&lt;&gt;"",H458&lt;&gt;"",ISNUMBER(K458),ISNUMBER(L458)),IF(AND(K458&gt;0,L458&gt;0,K458-L458&gt;0,COUNTIFS(A459:A$2005,A458,F459:F$2005,F458,H459:H$2005,H458,AA459:AA$2005,"&gt;0")=0),ROUND(K458-L458,6),""),"")</f>
        <v/>
      </c>
      <c r="X458" s="60" t="str">
        <f>IF(AND(A458="",C458="",D458="",H458="",L458=""),"",IF(A458="","Type manquant",IF(AND(A458&lt;&gt;"BL",A458&lt;&gt;"BR",A458&lt;&gt;"BS"),"Type inconnu (BL, BR ou BS)",IF(AG458=0,"Date manquante ou invalide",IF(D458="",IF(A458="BL","Client manquant",IF(A458="BR","Fournisseur manquant","Service manquant")),IF(IF(A458="BL",ISNA(MATCH(D458,cl_code,0)),IF(A458="BR",ISNA(MATCH(D458,fo_code,0)),ISNA(MATCH(D458,p_services,0)))),IF(A458="BL","Client inconnu",IF(A458="BR","Fournisseur inconnu","Service inconnu")),IF(H458="","Article manquant",IF(ISNA(MATCH(H458,art_ref,0)),"Article inconnu",IF(OR(NOT(ISNUMBER(L458)),N(L458)&lt;=0),"Quantité invalide",IF(AND(K458&lt;&gt;"",OR(NOT(ISNUMBER(K458)),N(K458)&lt;=0)),"Qté commandée invalide",IF(AG458&lt;SUMPRODUCT(MAX((A$6:A457=A458)*AG$6:AG457)),"Date antérieure au bon précédent",IF(AND(A458&lt;&gt;"BR",ISNUMBER(M458),N(M458)&gt;0),IF(A458="BL","Livré plus que commandé","Sorti plus que demandé"),"OK"))))))))))))</f>
        <v/>
      </c>
      <c r="Y458" s="57" t="str">
        <f>IF(AND(OR(A458="BL",A458="BR",A458="BS"),AG458&gt;0,D458&lt;&gt;""),A458&amp;"|"&amp;AG458&amp;"|"&amp;D458&amp;"|"&amp;F458,"")</f>
        <v/>
      </c>
      <c r="Z458" s="57" t="str">
        <f>IF(Y458="","",IF(COUNTIF(Y$6:Y457,Y458)=0,1,0))</f>
        <v/>
      </c>
      <c r="AA458" s="57" t="str">
        <f>IF(Y458="","",IF(Z458=1,COUNTIFS(A$6:A458,A458,Z$6:Z458,1),INDEX(AA$6:AA457,MATCH(Y458,Y$6:Y457,0))))</f>
        <v/>
      </c>
      <c r="AB458" s="57" t="str">
        <f>IF(B458="","",COUNTIF(B$6:B458,B458))</f>
        <v/>
      </c>
      <c r="AC458" s="57" t="str">
        <f>IF(B458="","",B458&amp;"#"&amp;AB458)</f>
        <v/>
      </c>
      <c r="AD458" s="57" t="str">
        <f>IF(Z458=1,A458&amp;AA458,"")</f>
        <v/>
      </c>
      <c r="AE458" s="57" t="str">
        <f>IF(B458="","",YEAR(C458))</f>
        <v/>
      </c>
      <c r="AF458" s="57" t="str">
        <f>IF(B458="","",MONTH(C458))</f>
        <v/>
      </c>
      <c r="AG458" s="57">
        <f>IF(ISNUMBER(C458),C458,0)</f>
        <v>0.0</v>
      </c>
      <c r="AH458" s="57" t="str">
        <f>IF(N(W458)&gt;0,COUNTIF(W$6:W458,"&gt;0"),"")</f>
        <v/>
      </c>
      <c r="AI458" s="57" t="str">
        <f>IF(Z458=1,COUNTIF(Z$6:Z458,1),"")</f>
        <v/>
      </c>
    </row>
    <row r="459">
      <c r="A459" s="54" t="n"/>
      <c r="B459" s="55" t="str">
        <f>IF(AA459="","",A459&amp;"-"&amp;RIGHT("000"&amp;AA459,4))</f>
        <v/>
      </c>
      <c r="C459" s="56" t="n"/>
      <c r="D459" s="54" t="n"/>
      <c r="E459" s="57" t="str">
        <f>IF(D459="","",IF(A459="BL",IFERROR(INDEX(cl_name,MATCH(D459,cl_code,0))&amp;"","Client inconnu"),IF(A459="BR",IFERROR(INDEX(fo_name,MATCH(D459,fo_code,0))&amp;"","Fournisseur inconnu"),IF(A459="BS",IF(ISNA(MATCH(D459,p_services,0)),"Service inconnu",D459&amp;""),""))))</f>
        <v/>
      </c>
      <c r="F459" s="58" t="n"/>
      <c r="G459" s="58" t="n"/>
      <c r="H459" s="59" t="n"/>
      <c r="I459" s="57" t="str">
        <f>IF(H459="","",IFERROR(INDEX(art_des,MATCH(H459,art_ref,0))&amp;"","Article inconnu"))</f>
        <v/>
      </c>
      <c r="J459" s="60" t="str">
        <f>IF(H459="","",IFERROR(INDEX(art_unit,MATCH(H459,art_ref,0))&amp;"",""))</f>
        <v/>
      </c>
      <c r="K459" s="59" t="n"/>
      <c r="L459" s="59" t="n"/>
      <c r="M459" s="61" t="str">
        <f>IF(OR(B459="",NOT(ISNUMBER(K459)),NOT(ISNUMBER(L459))),"",IF(OR(K459&lt;=0,L459&lt;=0),"",ROUND(L459-K459,6)))</f>
        <v/>
      </c>
      <c r="N459" s="58" t="n"/>
      <c r="O459" s="62" t="n"/>
      <c r="P459" s="63" t="str">
        <f>IF(OR(B459="",NOT(ISNUMBER(L459))),"",IF(L459&lt;=0,"",IFERROR(ROUND(L459*N(INDEX(art_w,MATCH(H459,art_ref,0))),3),"")))</f>
        <v/>
      </c>
      <c r="Q459" s="59" t="n"/>
      <c r="R459" s="54" t="n"/>
      <c r="S459" s="59" t="n"/>
      <c r="T459" s="59" t="n"/>
      <c r="U459" s="64" t="str">
        <f>IF(OR(B459="",H459=""),"",IFERROR(IF(A459="BL",IF(N(INDEX(art_price,MATCH(H459,art_ref,0)))=0,"",N(INDEX(art_price,MATCH(H459,art_ref,0)))),IF(N(INDEX(art_cost,MATCH(H459,art_ref,0)))=0,"",N(INDEX(art_cost,MATCH(H459,art_ref,0))))),""))</f>
        <v/>
      </c>
      <c r="V459" s="64" t="str">
        <f>IF(OR(U459="",NOT(ISNUMBER(L459))),"",IF(L459&lt;=0,"",ROUND(L459*U459,2)))</f>
        <v/>
      </c>
      <c r="W459" s="60" t="str">
        <f>IF(AND(B459&lt;&gt;"",A459&lt;&gt;"BS",F459&lt;&gt;"",H459&lt;&gt;"",ISNUMBER(K459),ISNUMBER(L459)),IF(AND(K459&gt;0,L459&gt;0,K459-L459&gt;0,COUNTIFS(A460:A$2005,A459,F460:F$2005,F459,H460:H$2005,H459,AA460:AA$2005,"&gt;0")=0),ROUND(K459-L459,6),""),"")</f>
        <v/>
      </c>
      <c r="X459" s="60" t="str">
        <f>IF(AND(A459="",C459="",D459="",H459="",L459=""),"",IF(A459="","Type manquant",IF(AND(A459&lt;&gt;"BL",A459&lt;&gt;"BR",A459&lt;&gt;"BS"),"Type inconnu (BL, BR ou BS)",IF(AG459=0,"Date manquante ou invalide",IF(D459="",IF(A459="BL","Client manquant",IF(A459="BR","Fournisseur manquant","Service manquant")),IF(IF(A459="BL",ISNA(MATCH(D459,cl_code,0)),IF(A459="BR",ISNA(MATCH(D459,fo_code,0)),ISNA(MATCH(D459,p_services,0)))),IF(A459="BL","Client inconnu",IF(A459="BR","Fournisseur inconnu","Service inconnu")),IF(H459="","Article manquant",IF(ISNA(MATCH(H459,art_ref,0)),"Article inconnu",IF(OR(NOT(ISNUMBER(L459)),N(L459)&lt;=0),"Quantité invalide",IF(AND(K459&lt;&gt;"",OR(NOT(ISNUMBER(K459)),N(K459)&lt;=0)),"Qté commandée invalide",IF(AG459&lt;SUMPRODUCT(MAX((A$6:A458=A459)*AG$6:AG458)),"Date antérieure au bon précédent",IF(AND(A459&lt;&gt;"BR",ISNUMBER(M459),N(M459)&gt;0),IF(A459="BL","Livré plus que commandé","Sorti plus que demandé"),"OK"))))))))))))</f>
        <v/>
      </c>
      <c r="Y459" s="57" t="str">
        <f>IF(AND(OR(A459="BL",A459="BR",A459="BS"),AG459&gt;0,D459&lt;&gt;""),A459&amp;"|"&amp;AG459&amp;"|"&amp;D459&amp;"|"&amp;F459,"")</f>
        <v/>
      </c>
      <c r="Z459" s="57" t="str">
        <f>IF(Y459="","",IF(COUNTIF(Y$6:Y458,Y459)=0,1,0))</f>
        <v/>
      </c>
      <c r="AA459" s="57" t="str">
        <f>IF(Y459="","",IF(Z459=1,COUNTIFS(A$6:A459,A459,Z$6:Z459,1),INDEX(AA$6:AA458,MATCH(Y459,Y$6:Y458,0))))</f>
        <v/>
      </c>
      <c r="AB459" s="57" t="str">
        <f>IF(B459="","",COUNTIF(B$6:B459,B459))</f>
        <v/>
      </c>
      <c r="AC459" s="57" t="str">
        <f>IF(B459="","",B459&amp;"#"&amp;AB459)</f>
        <v/>
      </c>
      <c r="AD459" s="57" t="str">
        <f>IF(Z459=1,A459&amp;AA459,"")</f>
        <v/>
      </c>
      <c r="AE459" s="57" t="str">
        <f>IF(B459="","",YEAR(C459))</f>
        <v/>
      </c>
      <c r="AF459" s="57" t="str">
        <f>IF(B459="","",MONTH(C459))</f>
        <v/>
      </c>
      <c r="AG459" s="57">
        <f>IF(ISNUMBER(C459),C459,0)</f>
        <v>0.0</v>
      </c>
      <c r="AH459" s="57" t="str">
        <f>IF(N(W459)&gt;0,COUNTIF(W$6:W459,"&gt;0"),"")</f>
        <v/>
      </c>
      <c r="AI459" s="57" t="str">
        <f>IF(Z459=1,COUNTIF(Z$6:Z459,1),"")</f>
        <v/>
      </c>
    </row>
    <row r="460">
      <c r="A460" s="54" t="n"/>
      <c r="B460" s="55" t="str">
        <f>IF(AA460="","",A460&amp;"-"&amp;RIGHT("000"&amp;AA460,4))</f>
        <v/>
      </c>
      <c r="C460" s="56" t="n"/>
      <c r="D460" s="54" t="n"/>
      <c r="E460" s="57" t="str">
        <f>IF(D460="","",IF(A460="BL",IFERROR(INDEX(cl_name,MATCH(D460,cl_code,0))&amp;"","Client inconnu"),IF(A460="BR",IFERROR(INDEX(fo_name,MATCH(D460,fo_code,0))&amp;"","Fournisseur inconnu"),IF(A460="BS",IF(ISNA(MATCH(D460,p_services,0)),"Service inconnu",D460&amp;""),""))))</f>
        <v/>
      </c>
      <c r="F460" s="58" t="n"/>
      <c r="G460" s="58" t="n"/>
      <c r="H460" s="59" t="n"/>
      <c r="I460" s="57" t="str">
        <f>IF(H460="","",IFERROR(INDEX(art_des,MATCH(H460,art_ref,0))&amp;"","Article inconnu"))</f>
        <v/>
      </c>
      <c r="J460" s="60" t="str">
        <f>IF(H460="","",IFERROR(INDEX(art_unit,MATCH(H460,art_ref,0))&amp;"",""))</f>
        <v/>
      </c>
      <c r="K460" s="59" t="n"/>
      <c r="L460" s="59" t="n"/>
      <c r="M460" s="61" t="str">
        <f>IF(OR(B460="",NOT(ISNUMBER(K460)),NOT(ISNUMBER(L460))),"",IF(OR(K460&lt;=0,L460&lt;=0),"",ROUND(L460-K460,6)))</f>
        <v/>
      </c>
      <c r="N460" s="58" t="n"/>
      <c r="O460" s="62" t="n"/>
      <c r="P460" s="63" t="str">
        <f>IF(OR(B460="",NOT(ISNUMBER(L460))),"",IF(L460&lt;=0,"",IFERROR(ROUND(L460*N(INDEX(art_w,MATCH(H460,art_ref,0))),3),"")))</f>
        <v/>
      </c>
      <c r="Q460" s="59" t="n"/>
      <c r="R460" s="54" t="n"/>
      <c r="S460" s="59" t="n"/>
      <c r="T460" s="59" t="n"/>
      <c r="U460" s="64" t="str">
        <f>IF(OR(B460="",H460=""),"",IFERROR(IF(A460="BL",IF(N(INDEX(art_price,MATCH(H460,art_ref,0)))=0,"",N(INDEX(art_price,MATCH(H460,art_ref,0)))),IF(N(INDEX(art_cost,MATCH(H460,art_ref,0)))=0,"",N(INDEX(art_cost,MATCH(H460,art_ref,0))))),""))</f>
        <v/>
      </c>
      <c r="V460" s="64" t="str">
        <f>IF(OR(U460="",NOT(ISNUMBER(L460))),"",IF(L460&lt;=0,"",ROUND(L460*U460,2)))</f>
        <v/>
      </c>
      <c r="W460" s="60" t="str">
        <f>IF(AND(B460&lt;&gt;"",A460&lt;&gt;"BS",F460&lt;&gt;"",H460&lt;&gt;"",ISNUMBER(K460),ISNUMBER(L460)),IF(AND(K460&gt;0,L460&gt;0,K460-L460&gt;0,COUNTIFS(A461:A$2005,A460,F461:F$2005,F460,H461:H$2005,H460,AA461:AA$2005,"&gt;0")=0),ROUND(K460-L460,6),""),"")</f>
        <v/>
      </c>
      <c r="X460" s="60" t="str">
        <f>IF(AND(A460="",C460="",D460="",H460="",L460=""),"",IF(A460="","Type manquant",IF(AND(A460&lt;&gt;"BL",A460&lt;&gt;"BR",A460&lt;&gt;"BS"),"Type inconnu (BL, BR ou BS)",IF(AG460=0,"Date manquante ou invalide",IF(D460="",IF(A460="BL","Client manquant",IF(A460="BR","Fournisseur manquant","Service manquant")),IF(IF(A460="BL",ISNA(MATCH(D460,cl_code,0)),IF(A460="BR",ISNA(MATCH(D460,fo_code,0)),ISNA(MATCH(D460,p_services,0)))),IF(A460="BL","Client inconnu",IF(A460="BR","Fournisseur inconnu","Service inconnu")),IF(H460="","Article manquant",IF(ISNA(MATCH(H460,art_ref,0)),"Article inconnu",IF(OR(NOT(ISNUMBER(L460)),N(L460)&lt;=0),"Quantité invalide",IF(AND(K460&lt;&gt;"",OR(NOT(ISNUMBER(K460)),N(K460)&lt;=0)),"Qté commandée invalide",IF(AG460&lt;SUMPRODUCT(MAX((A$6:A459=A460)*AG$6:AG459)),"Date antérieure au bon précédent",IF(AND(A460&lt;&gt;"BR",ISNUMBER(M460),N(M460)&gt;0),IF(A460="BL","Livré plus que commandé","Sorti plus que demandé"),"OK"))))))))))))</f>
        <v/>
      </c>
      <c r="Y460" s="57" t="str">
        <f>IF(AND(OR(A460="BL",A460="BR",A460="BS"),AG460&gt;0,D460&lt;&gt;""),A460&amp;"|"&amp;AG460&amp;"|"&amp;D460&amp;"|"&amp;F460,"")</f>
        <v/>
      </c>
      <c r="Z460" s="57" t="str">
        <f>IF(Y460="","",IF(COUNTIF(Y$6:Y459,Y460)=0,1,0))</f>
        <v/>
      </c>
      <c r="AA460" s="57" t="str">
        <f>IF(Y460="","",IF(Z460=1,COUNTIFS(A$6:A460,A460,Z$6:Z460,1),INDEX(AA$6:AA459,MATCH(Y460,Y$6:Y459,0))))</f>
        <v/>
      </c>
      <c r="AB460" s="57" t="str">
        <f>IF(B460="","",COUNTIF(B$6:B460,B460))</f>
        <v/>
      </c>
      <c r="AC460" s="57" t="str">
        <f>IF(B460="","",B460&amp;"#"&amp;AB460)</f>
        <v/>
      </c>
      <c r="AD460" s="57" t="str">
        <f>IF(Z460=1,A460&amp;AA460,"")</f>
        <v/>
      </c>
      <c r="AE460" s="57" t="str">
        <f>IF(B460="","",YEAR(C460))</f>
        <v/>
      </c>
      <c r="AF460" s="57" t="str">
        <f>IF(B460="","",MONTH(C460))</f>
        <v/>
      </c>
      <c r="AG460" s="57">
        <f>IF(ISNUMBER(C460),C460,0)</f>
        <v>0.0</v>
      </c>
      <c r="AH460" s="57" t="str">
        <f>IF(N(W460)&gt;0,COUNTIF(W$6:W460,"&gt;0"),"")</f>
        <v/>
      </c>
      <c r="AI460" s="57" t="str">
        <f>IF(Z460=1,COUNTIF(Z$6:Z460,1),"")</f>
        <v/>
      </c>
    </row>
    <row r="461">
      <c r="A461" s="54" t="n"/>
      <c r="B461" s="55" t="str">
        <f>IF(AA461="","",A461&amp;"-"&amp;RIGHT("000"&amp;AA461,4))</f>
        <v/>
      </c>
      <c r="C461" s="56" t="n"/>
      <c r="D461" s="54" t="n"/>
      <c r="E461" s="57" t="str">
        <f>IF(D461="","",IF(A461="BL",IFERROR(INDEX(cl_name,MATCH(D461,cl_code,0))&amp;"","Client inconnu"),IF(A461="BR",IFERROR(INDEX(fo_name,MATCH(D461,fo_code,0))&amp;"","Fournisseur inconnu"),IF(A461="BS",IF(ISNA(MATCH(D461,p_services,0)),"Service inconnu",D461&amp;""),""))))</f>
        <v/>
      </c>
      <c r="F461" s="58" t="n"/>
      <c r="G461" s="58" t="n"/>
      <c r="H461" s="59" t="n"/>
      <c r="I461" s="57" t="str">
        <f>IF(H461="","",IFERROR(INDEX(art_des,MATCH(H461,art_ref,0))&amp;"","Article inconnu"))</f>
        <v/>
      </c>
      <c r="J461" s="60" t="str">
        <f>IF(H461="","",IFERROR(INDEX(art_unit,MATCH(H461,art_ref,0))&amp;"",""))</f>
        <v/>
      </c>
      <c r="K461" s="59" t="n"/>
      <c r="L461" s="59" t="n"/>
      <c r="M461" s="61" t="str">
        <f>IF(OR(B461="",NOT(ISNUMBER(K461)),NOT(ISNUMBER(L461))),"",IF(OR(K461&lt;=0,L461&lt;=0),"",ROUND(L461-K461,6)))</f>
        <v/>
      </c>
      <c r="N461" s="58" t="n"/>
      <c r="O461" s="62" t="n"/>
      <c r="P461" s="63" t="str">
        <f>IF(OR(B461="",NOT(ISNUMBER(L461))),"",IF(L461&lt;=0,"",IFERROR(ROUND(L461*N(INDEX(art_w,MATCH(H461,art_ref,0))),3),"")))</f>
        <v/>
      </c>
      <c r="Q461" s="59" t="n"/>
      <c r="R461" s="54" t="n"/>
      <c r="S461" s="59" t="n"/>
      <c r="T461" s="59" t="n"/>
      <c r="U461" s="64" t="str">
        <f>IF(OR(B461="",H461=""),"",IFERROR(IF(A461="BL",IF(N(INDEX(art_price,MATCH(H461,art_ref,0)))=0,"",N(INDEX(art_price,MATCH(H461,art_ref,0)))),IF(N(INDEX(art_cost,MATCH(H461,art_ref,0)))=0,"",N(INDEX(art_cost,MATCH(H461,art_ref,0))))),""))</f>
        <v/>
      </c>
      <c r="V461" s="64" t="str">
        <f>IF(OR(U461="",NOT(ISNUMBER(L461))),"",IF(L461&lt;=0,"",ROUND(L461*U461,2)))</f>
        <v/>
      </c>
      <c r="W461" s="60" t="str">
        <f>IF(AND(B461&lt;&gt;"",A461&lt;&gt;"BS",F461&lt;&gt;"",H461&lt;&gt;"",ISNUMBER(K461),ISNUMBER(L461)),IF(AND(K461&gt;0,L461&gt;0,K461-L461&gt;0,COUNTIFS(A462:A$2005,A461,F462:F$2005,F461,H462:H$2005,H461,AA462:AA$2005,"&gt;0")=0),ROUND(K461-L461,6),""),"")</f>
        <v/>
      </c>
      <c r="X461" s="60" t="str">
        <f>IF(AND(A461="",C461="",D461="",H461="",L461=""),"",IF(A461="","Type manquant",IF(AND(A461&lt;&gt;"BL",A461&lt;&gt;"BR",A461&lt;&gt;"BS"),"Type inconnu (BL, BR ou BS)",IF(AG461=0,"Date manquante ou invalide",IF(D461="",IF(A461="BL","Client manquant",IF(A461="BR","Fournisseur manquant","Service manquant")),IF(IF(A461="BL",ISNA(MATCH(D461,cl_code,0)),IF(A461="BR",ISNA(MATCH(D461,fo_code,0)),ISNA(MATCH(D461,p_services,0)))),IF(A461="BL","Client inconnu",IF(A461="BR","Fournisseur inconnu","Service inconnu")),IF(H461="","Article manquant",IF(ISNA(MATCH(H461,art_ref,0)),"Article inconnu",IF(OR(NOT(ISNUMBER(L461)),N(L461)&lt;=0),"Quantité invalide",IF(AND(K461&lt;&gt;"",OR(NOT(ISNUMBER(K461)),N(K461)&lt;=0)),"Qté commandée invalide",IF(AG461&lt;SUMPRODUCT(MAX((A$6:A460=A461)*AG$6:AG460)),"Date antérieure au bon précédent",IF(AND(A461&lt;&gt;"BR",ISNUMBER(M461),N(M461)&gt;0),IF(A461="BL","Livré plus que commandé","Sorti plus que demandé"),"OK"))))))))))))</f>
        <v/>
      </c>
      <c r="Y461" s="57" t="str">
        <f>IF(AND(OR(A461="BL",A461="BR",A461="BS"),AG461&gt;0,D461&lt;&gt;""),A461&amp;"|"&amp;AG461&amp;"|"&amp;D461&amp;"|"&amp;F461,"")</f>
        <v/>
      </c>
      <c r="Z461" s="57" t="str">
        <f>IF(Y461="","",IF(COUNTIF(Y$6:Y460,Y461)=0,1,0))</f>
        <v/>
      </c>
      <c r="AA461" s="57" t="str">
        <f>IF(Y461="","",IF(Z461=1,COUNTIFS(A$6:A461,A461,Z$6:Z461,1),INDEX(AA$6:AA460,MATCH(Y461,Y$6:Y460,0))))</f>
        <v/>
      </c>
      <c r="AB461" s="57" t="str">
        <f>IF(B461="","",COUNTIF(B$6:B461,B461))</f>
        <v/>
      </c>
      <c r="AC461" s="57" t="str">
        <f>IF(B461="","",B461&amp;"#"&amp;AB461)</f>
        <v/>
      </c>
      <c r="AD461" s="57" t="str">
        <f>IF(Z461=1,A461&amp;AA461,"")</f>
        <v/>
      </c>
      <c r="AE461" s="57" t="str">
        <f>IF(B461="","",YEAR(C461))</f>
        <v/>
      </c>
      <c r="AF461" s="57" t="str">
        <f>IF(B461="","",MONTH(C461))</f>
        <v/>
      </c>
      <c r="AG461" s="57">
        <f>IF(ISNUMBER(C461),C461,0)</f>
        <v>0.0</v>
      </c>
      <c r="AH461" s="57" t="str">
        <f>IF(N(W461)&gt;0,COUNTIF(W$6:W461,"&gt;0"),"")</f>
        <v/>
      </c>
      <c r="AI461" s="57" t="str">
        <f>IF(Z461=1,COUNTIF(Z$6:Z461,1),"")</f>
        <v/>
      </c>
    </row>
    <row r="462">
      <c r="A462" s="54" t="n"/>
      <c r="B462" s="55" t="str">
        <f>IF(AA462="","",A462&amp;"-"&amp;RIGHT("000"&amp;AA462,4))</f>
        <v/>
      </c>
      <c r="C462" s="56" t="n"/>
      <c r="D462" s="54" t="n"/>
      <c r="E462" s="57" t="str">
        <f>IF(D462="","",IF(A462="BL",IFERROR(INDEX(cl_name,MATCH(D462,cl_code,0))&amp;"","Client inconnu"),IF(A462="BR",IFERROR(INDEX(fo_name,MATCH(D462,fo_code,0))&amp;"","Fournisseur inconnu"),IF(A462="BS",IF(ISNA(MATCH(D462,p_services,0)),"Service inconnu",D462&amp;""),""))))</f>
        <v/>
      </c>
      <c r="F462" s="58" t="n"/>
      <c r="G462" s="58" t="n"/>
      <c r="H462" s="59" t="n"/>
      <c r="I462" s="57" t="str">
        <f>IF(H462="","",IFERROR(INDEX(art_des,MATCH(H462,art_ref,0))&amp;"","Article inconnu"))</f>
        <v/>
      </c>
      <c r="J462" s="60" t="str">
        <f>IF(H462="","",IFERROR(INDEX(art_unit,MATCH(H462,art_ref,0))&amp;"",""))</f>
        <v/>
      </c>
      <c r="K462" s="59" t="n"/>
      <c r="L462" s="59" t="n"/>
      <c r="M462" s="61" t="str">
        <f>IF(OR(B462="",NOT(ISNUMBER(K462)),NOT(ISNUMBER(L462))),"",IF(OR(K462&lt;=0,L462&lt;=0),"",ROUND(L462-K462,6)))</f>
        <v/>
      </c>
      <c r="N462" s="58" t="n"/>
      <c r="O462" s="62" t="n"/>
      <c r="P462" s="63" t="str">
        <f>IF(OR(B462="",NOT(ISNUMBER(L462))),"",IF(L462&lt;=0,"",IFERROR(ROUND(L462*N(INDEX(art_w,MATCH(H462,art_ref,0))),3),"")))</f>
        <v/>
      </c>
      <c r="Q462" s="59" t="n"/>
      <c r="R462" s="54" t="n"/>
      <c r="S462" s="59" t="n"/>
      <c r="T462" s="59" t="n"/>
      <c r="U462" s="64" t="str">
        <f>IF(OR(B462="",H462=""),"",IFERROR(IF(A462="BL",IF(N(INDEX(art_price,MATCH(H462,art_ref,0)))=0,"",N(INDEX(art_price,MATCH(H462,art_ref,0)))),IF(N(INDEX(art_cost,MATCH(H462,art_ref,0)))=0,"",N(INDEX(art_cost,MATCH(H462,art_ref,0))))),""))</f>
        <v/>
      </c>
      <c r="V462" s="64" t="str">
        <f>IF(OR(U462="",NOT(ISNUMBER(L462))),"",IF(L462&lt;=0,"",ROUND(L462*U462,2)))</f>
        <v/>
      </c>
      <c r="W462" s="60" t="str">
        <f>IF(AND(B462&lt;&gt;"",A462&lt;&gt;"BS",F462&lt;&gt;"",H462&lt;&gt;"",ISNUMBER(K462),ISNUMBER(L462)),IF(AND(K462&gt;0,L462&gt;0,K462-L462&gt;0,COUNTIFS(A463:A$2005,A462,F463:F$2005,F462,H463:H$2005,H462,AA463:AA$2005,"&gt;0")=0),ROUND(K462-L462,6),""),"")</f>
        <v/>
      </c>
      <c r="X462" s="60" t="str">
        <f>IF(AND(A462="",C462="",D462="",H462="",L462=""),"",IF(A462="","Type manquant",IF(AND(A462&lt;&gt;"BL",A462&lt;&gt;"BR",A462&lt;&gt;"BS"),"Type inconnu (BL, BR ou BS)",IF(AG462=0,"Date manquante ou invalide",IF(D462="",IF(A462="BL","Client manquant",IF(A462="BR","Fournisseur manquant","Service manquant")),IF(IF(A462="BL",ISNA(MATCH(D462,cl_code,0)),IF(A462="BR",ISNA(MATCH(D462,fo_code,0)),ISNA(MATCH(D462,p_services,0)))),IF(A462="BL","Client inconnu",IF(A462="BR","Fournisseur inconnu","Service inconnu")),IF(H462="","Article manquant",IF(ISNA(MATCH(H462,art_ref,0)),"Article inconnu",IF(OR(NOT(ISNUMBER(L462)),N(L462)&lt;=0),"Quantité invalide",IF(AND(K462&lt;&gt;"",OR(NOT(ISNUMBER(K462)),N(K462)&lt;=0)),"Qté commandée invalide",IF(AG462&lt;SUMPRODUCT(MAX((A$6:A461=A462)*AG$6:AG461)),"Date antérieure au bon précédent",IF(AND(A462&lt;&gt;"BR",ISNUMBER(M462),N(M462)&gt;0),IF(A462="BL","Livré plus que commandé","Sorti plus que demandé"),"OK"))))))))))))</f>
        <v/>
      </c>
      <c r="Y462" s="57" t="str">
        <f>IF(AND(OR(A462="BL",A462="BR",A462="BS"),AG462&gt;0,D462&lt;&gt;""),A462&amp;"|"&amp;AG462&amp;"|"&amp;D462&amp;"|"&amp;F462,"")</f>
        <v/>
      </c>
      <c r="Z462" s="57" t="str">
        <f>IF(Y462="","",IF(COUNTIF(Y$6:Y461,Y462)=0,1,0))</f>
        <v/>
      </c>
      <c r="AA462" s="57" t="str">
        <f>IF(Y462="","",IF(Z462=1,COUNTIFS(A$6:A462,A462,Z$6:Z462,1),INDEX(AA$6:AA461,MATCH(Y462,Y$6:Y461,0))))</f>
        <v/>
      </c>
      <c r="AB462" s="57" t="str">
        <f>IF(B462="","",COUNTIF(B$6:B462,B462))</f>
        <v/>
      </c>
      <c r="AC462" s="57" t="str">
        <f>IF(B462="","",B462&amp;"#"&amp;AB462)</f>
        <v/>
      </c>
      <c r="AD462" s="57" t="str">
        <f>IF(Z462=1,A462&amp;AA462,"")</f>
        <v/>
      </c>
      <c r="AE462" s="57" t="str">
        <f>IF(B462="","",YEAR(C462))</f>
        <v/>
      </c>
      <c r="AF462" s="57" t="str">
        <f>IF(B462="","",MONTH(C462))</f>
        <v/>
      </c>
      <c r="AG462" s="57">
        <f>IF(ISNUMBER(C462),C462,0)</f>
        <v>0.0</v>
      </c>
      <c r="AH462" s="57" t="str">
        <f>IF(N(W462)&gt;0,COUNTIF(W$6:W462,"&gt;0"),"")</f>
        <v/>
      </c>
      <c r="AI462" s="57" t="str">
        <f>IF(Z462=1,COUNTIF(Z$6:Z462,1),"")</f>
        <v/>
      </c>
    </row>
    <row r="463">
      <c r="A463" s="54" t="n"/>
      <c r="B463" s="55" t="str">
        <f>IF(AA463="","",A463&amp;"-"&amp;RIGHT("000"&amp;AA463,4))</f>
        <v/>
      </c>
      <c r="C463" s="56" t="n"/>
      <c r="D463" s="54" t="n"/>
      <c r="E463" s="57" t="str">
        <f>IF(D463="","",IF(A463="BL",IFERROR(INDEX(cl_name,MATCH(D463,cl_code,0))&amp;"","Client inconnu"),IF(A463="BR",IFERROR(INDEX(fo_name,MATCH(D463,fo_code,0))&amp;"","Fournisseur inconnu"),IF(A463="BS",IF(ISNA(MATCH(D463,p_services,0)),"Service inconnu",D463&amp;""),""))))</f>
        <v/>
      </c>
      <c r="F463" s="58" t="n"/>
      <c r="G463" s="58" t="n"/>
      <c r="H463" s="59" t="n"/>
      <c r="I463" s="57" t="str">
        <f>IF(H463="","",IFERROR(INDEX(art_des,MATCH(H463,art_ref,0))&amp;"","Article inconnu"))</f>
        <v/>
      </c>
      <c r="J463" s="60" t="str">
        <f>IF(H463="","",IFERROR(INDEX(art_unit,MATCH(H463,art_ref,0))&amp;"",""))</f>
        <v/>
      </c>
      <c r="K463" s="59" t="n"/>
      <c r="L463" s="59" t="n"/>
      <c r="M463" s="61" t="str">
        <f>IF(OR(B463="",NOT(ISNUMBER(K463)),NOT(ISNUMBER(L463))),"",IF(OR(K463&lt;=0,L463&lt;=0),"",ROUND(L463-K463,6)))</f>
        <v/>
      </c>
      <c r="N463" s="58" t="n"/>
      <c r="O463" s="62" t="n"/>
      <c r="P463" s="63" t="str">
        <f>IF(OR(B463="",NOT(ISNUMBER(L463))),"",IF(L463&lt;=0,"",IFERROR(ROUND(L463*N(INDEX(art_w,MATCH(H463,art_ref,0))),3),"")))</f>
        <v/>
      </c>
      <c r="Q463" s="59" t="n"/>
      <c r="R463" s="54" t="n"/>
      <c r="S463" s="59" t="n"/>
      <c r="T463" s="59" t="n"/>
      <c r="U463" s="64" t="str">
        <f>IF(OR(B463="",H463=""),"",IFERROR(IF(A463="BL",IF(N(INDEX(art_price,MATCH(H463,art_ref,0)))=0,"",N(INDEX(art_price,MATCH(H463,art_ref,0)))),IF(N(INDEX(art_cost,MATCH(H463,art_ref,0)))=0,"",N(INDEX(art_cost,MATCH(H463,art_ref,0))))),""))</f>
        <v/>
      </c>
      <c r="V463" s="64" t="str">
        <f>IF(OR(U463="",NOT(ISNUMBER(L463))),"",IF(L463&lt;=0,"",ROUND(L463*U463,2)))</f>
        <v/>
      </c>
      <c r="W463" s="60" t="str">
        <f>IF(AND(B463&lt;&gt;"",A463&lt;&gt;"BS",F463&lt;&gt;"",H463&lt;&gt;"",ISNUMBER(K463),ISNUMBER(L463)),IF(AND(K463&gt;0,L463&gt;0,K463-L463&gt;0,COUNTIFS(A464:A$2005,A463,F464:F$2005,F463,H464:H$2005,H463,AA464:AA$2005,"&gt;0")=0),ROUND(K463-L463,6),""),"")</f>
        <v/>
      </c>
      <c r="X463" s="60" t="str">
        <f>IF(AND(A463="",C463="",D463="",H463="",L463=""),"",IF(A463="","Type manquant",IF(AND(A463&lt;&gt;"BL",A463&lt;&gt;"BR",A463&lt;&gt;"BS"),"Type inconnu (BL, BR ou BS)",IF(AG463=0,"Date manquante ou invalide",IF(D463="",IF(A463="BL","Client manquant",IF(A463="BR","Fournisseur manquant","Service manquant")),IF(IF(A463="BL",ISNA(MATCH(D463,cl_code,0)),IF(A463="BR",ISNA(MATCH(D463,fo_code,0)),ISNA(MATCH(D463,p_services,0)))),IF(A463="BL","Client inconnu",IF(A463="BR","Fournisseur inconnu","Service inconnu")),IF(H463="","Article manquant",IF(ISNA(MATCH(H463,art_ref,0)),"Article inconnu",IF(OR(NOT(ISNUMBER(L463)),N(L463)&lt;=0),"Quantité invalide",IF(AND(K463&lt;&gt;"",OR(NOT(ISNUMBER(K463)),N(K463)&lt;=0)),"Qté commandée invalide",IF(AG463&lt;SUMPRODUCT(MAX((A$6:A462=A463)*AG$6:AG462)),"Date antérieure au bon précédent",IF(AND(A463&lt;&gt;"BR",ISNUMBER(M463),N(M463)&gt;0),IF(A463="BL","Livré plus que commandé","Sorti plus que demandé"),"OK"))))))))))))</f>
        <v/>
      </c>
      <c r="Y463" s="57" t="str">
        <f>IF(AND(OR(A463="BL",A463="BR",A463="BS"),AG463&gt;0,D463&lt;&gt;""),A463&amp;"|"&amp;AG463&amp;"|"&amp;D463&amp;"|"&amp;F463,"")</f>
        <v/>
      </c>
      <c r="Z463" s="57" t="str">
        <f>IF(Y463="","",IF(COUNTIF(Y$6:Y462,Y463)=0,1,0))</f>
        <v/>
      </c>
      <c r="AA463" s="57" t="str">
        <f>IF(Y463="","",IF(Z463=1,COUNTIFS(A$6:A463,A463,Z$6:Z463,1),INDEX(AA$6:AA462,MATCH(Y463,Y$6:Y462,0))))</f>
        <v/>
      </c>
      <c r="AB463" s="57" t="str">
        <f>IF(B463="","",COUNTIF(B$6:B463,B463))</f>
        <v/>
      </c>
      <c r="AC463" s="57" t="str">
        <f>IF(B463="","",B463&amp;"#"&amp;AB463)</f>
        <v/>
      </c>
      <c r="AD463" s="57" t="str">
        <f>IF(Z463=1,A463&amp;AA463,"")</f>
        <v/>
      </c>
      <c r="AE463" s="57" t="str">
        <f>IF(B463="","",YEAR(C463))</f>
        <v/>
      </c>
      <c r="AF463" s="57" t="str">
        <f>IF(B463="","",MONTH(C463))</f>
        <v/>
      </c>
      <c r="AG463" s="57">
        <f>IF(ISNUMBER(C463),C463,0)</f>
        <v>0.0</v>
      </c>
      <c r="AH463" s="57" t="str">
        <f>IF(N(W463)&gt;0,COUNTIF(W$6:W463,"&gt;0"),"")</f>
        <v/>
      </c>
      <c r="AI463" s="57" t="str">
        <f>IF(Z463=1,COUNTIF(Z$6:Z463,1),"")</f>
        <v/>
      </c>
    </row>
    <row r="464">
      <c r="A464" s="54" t="n"/>
      <c r="B464" s="55" t="str">
        <f>IF(AA464="","",A464&amp;"-"&amp;RIGHT("000"&amp;AA464,4))</f>
        <v/>
      </c>
      <c r="C464" s="56" t="n"/>
      <c r="D464" s="54" t="n"/>
      <c r="E464" s="57" t="str">
        <f>IF(D464="","",IF(A464="BL",IFERROR(INDEX(cl_name,MATCH(D464,cl_code,0))&amp;"","Client inconnu"),IF(A464="BR",IFERROR(INDEX(fo_name,MATCH(D464,fo_code,0))&amp;"","Fournisseur inconnu"),IF(A464="BS",IF(ISNA(MATCH(D464,p_services,0)),"Service inconnu",D464&amp;""),""))))</f>
        <v/>
      </c>
      <c r="F464" s="58" t="n"/>
      <c r="G464" s="58" t="n"/>
      <c r="H464" s="59" t="n"/>
      <c r="I464" s="57" t="str">
        <f>IF(H464="","",IFERROR(INDEX(art_des,MATCH(H464,art_ref,0))&amp;"","Article inconnu"))</f>
        <v/>
      </c>
      <c r="J464" s="60" t="str">
        <f>IF(H464="","",IFERROR(INDEX(art_unit,MATCH(H464,art_ref,0))&amp;"",""))</f>
        <v/>
      </c>
      <c r="K464" s="59" t="n"/>
      <c r="L464" s="59" t="n"/>
      <c r="M464" s="61" t="str">
        <f>IF(OR(B464="",NOT(ISNUMBER(K464)),NOT(ISNUMBER(L464))),"",IF(OR(K464&lt;=0,L464&lt;=0),"",ROUND(L464-K464,6)))</f>
        <v/>
      </c>
      <c r="N464" s="58" t="n"/>
      <c r="O464" s="62" t="n"/>
      <c r="P464" s="63" t="str">
        <f>IF(OR(B464="",NOT(ISNUMBER(L464))),"",IF(L464&lt;=0,"",IFERROR(ROUND(L464*N(INDEX(art_w,MATCH(H464,art_ref,0))),3),"")))</f>
        <v/>
      </c>
      <c r="Q464" s="59" t="n"/>
      <c r="R464" s="54" t="n"/>
      <c r="S464" s="59" t="n"/>
      <c r="T464" s="59" t="n"/>
      <c r="U464" s="64" t="str">
        <f>IF(OR(B464="",H464=""),"",IFERROR(IF(A464="BL",IF(N(INDEX(art_price,MATCH(H464,art_ref,0)))=0,"",N(INDEX(art_price,MATCH(H464,art_ref,0)))),IF(N(INDEX(art_cost,MATCH(H464,art_ref,0)))=0,"",N(INDEX(art_cost,MATCH(H464,art_ref,0))))),""))</f>
        <v/>
      </c>
      <c r="V464" s="64" t="str">
        <f>IF(OR(U464="",NOT(ISNUMBER(L464))),"",IF(L464&lt;=0,"",ROUND(L464*U464,2)))</f>
        <v/>
      </c>
      <c r="W464" s="60" t="str">
        <f>IF(AND(B464&lt;&gt;"",A464&lt;&gt;"BS",F464&lt;&gt;"",H464&lt;&gt;"",ISNUMBER(K464),ISNUMBER(L464)),IF(AND(K464&gt;0,L464&gt;0,K464-L464&gt;0,COUNTIFS(A465:A$2005,A464,F465:F$2005,F464,H465:H$2005,H464,AA465:AA$2005,"&gt;0")=0),ROUND(K464-L464,6),""),"")</f>
        <v/>
      </c>
      <c r="X464" s="60" t="str">
        <f>IF(AND(A464="",C464="",D464="",H464="",L464=""),"",IF(A464="","Type manquant",IF(AND(A464&lt;&gt;"BL",A464&lt;&gt;"BR",A464&lt;&gt;"BS"),"Type inconnu (BL, BR ou BS)",IF(AG464=0,"Date manquante ou invalide",IF(D464="",IF(A464="BL","Client manquant",IF(A464="BR","Fournisseur manquant","Service manquant")),IF(IF(A464="BL",ISNA(MATCH(D464,cl_code,0)),IF(A464="BR",ISNA(MATCH(D464,fo_code,0)),ISNA(MATCH(D464,p_services,0)))),IF(A464="BL","Client inconnu",IF(A464="BR","Fournisseur inconnu","Service inconnu")),IF(H464="","Article manquant",IF(ISNA(MATCH(H464,art_ref,0)),"Article inconnu",IF(OR(NOT(ISNUMBER(L464)),N(L464)&lt;=0),"Quantité invalide",IF(AND(K464&lt;&gt;"",OR(NOT(ISNUMBER(K464)),N(K464)&lt;=0)),"Qté commandée invalide",IF(AG464&lt;SUMPRODUCT(MAX((A$6:A463=A464)*AG$6:AG463)),"Date antérieure au bon précédent",IF(AND(A464&lt;&gt;"BR",ISNUMBER(M464),N(M464)&gt;0),IF(A464="BL","Livré plus que commandé","Sorti plus que demandé"),"OK"))))))))))))</f>
        <v/>
      </c>
      <c r="Y464" s="57" t="str">
        <f>IF(AND(OR(A464="BL",A464="BR",A464="BS"),AG464&gt;0,D464&lt;&gt;""),A464&amp;"|"&amp;AG464&amp;"|"&amp;D464&amp;"|"&amp;F464,"")</f>
        <v/>
      </c>
      <c r="Z464" s="57" t="str">
        <f>IF(Y464="","",IF(COUNTIF(Y$6:Y463,Y464)=0,1,0))</f>
        <v/>
      </c>
      <c r="AA464" s="57" t="str">
        <f>IF(Y464="","",IF(Z464=1,COUNTIFS(A$6:A464,A464,Z$6:Z464,1),INDEX(AA$6:AA463,MATCH(Y464,Y$6:Y463,0))))</f>
        <v/>
      </c>
      <c r="AB464" s="57" t="str">
        <f>IF(B464="","",COUNTIF(B$6:B464,B464))</f>
        <v/>
      </c>
      <c r="AC464" s="57" t="str">
        <f>IF(B464="","",B464&amp;"#"&amp;AB464)</f>
        <v/>
      </c>
      <c r="AD464" s="57" t="str">
        <f>IF(Z464=1,A464&amp;AA464,"")</f>
        <v/>
      </c>
      <c r="AE464" s="57" t="str">
        <f>IF(B464="","",YEAR(C464))</f>
        <v/>
      </c>
      <c r="AF464" s="57" t="str">
        <f>IF(B464="","",MONTH(C464))</f>
        <v/>
      </c>
      <c r="AG464" s="57">
        <f>IF(ISNUMBER(C464),C464,0)</f>
        <v>0.0</v>
      </c>
      <c r="AH464" s="57" t="str">
        <f>IF(N(W464)&gt;0,COUNTIF(W$6:W464,"&gt;0"),"")</f>
        <v/>
      </c>
      <c r="AI464" s="57" t="str">
        <f>IF(Z464=1,COUNTIF(Z$6:Z464,1),"")</f>
        <v/>
      </c>
    </row>
    <row r="465">
      <c r="A465" s="54" t="n"/>
      <c r="B465" s="55" t="str">
        <f>IF(AA465="","",A465&amp;"-"&amp;RIGHT("000"&amp;AA465,4))</f>
        <v/>
      </c>
      <c r="C465" s="56" t="n"/>
      <c r="D465" s="54" t="n"/>
      <c r="E465" s="57" t="str">
        <f>IF(D465="","",IF(A465="BL",IFERROR(INDEX(cl_name,MATCH(D465,cl_code,0))&amp;"","Client inconnu"),IF(A465="BR",IFERROR(INDEX(fo_name,MATCH(D465,fo_code,0))&amp;"","Fournisseur inconnu"),IF(A465="BS",IF(ISNA(MATCH(D465,p_services,0)),"Service inconnu",D465&amp;""),""))))</f>
        <v/>
      </c>
      <c r="F465" s="58" t="n"/>
      <c r="G465" s="58" t="n"/>
      <c r="H465" s="59" t="n"/>
      <c r="I465" s="57" t="str">
        <f>IF(H465="","",IFERROR(INDEX(art_des,MATCH(H465,art_ref,0))&amp;"","Article inconnu"))</f>
        <v/>
      </c>
      <c r="J465" s="60" t="str">
        <f>IF(H465="","",IFERROR(INDEX(art_unit,MATCH(H465,art_ref,0))&amp;"",""))</f>
        <v/>
      </c>
      <c r="K465" s="59" t="n"/>
      <c r="L465" s="59" t="n"/>
      <c r="M465" s="61" t="str">
        <f>IF(OR(B465="",NOT(ISNUMBER(K465)),NOT(ISNUMBER(L465))),"",IF(OR(K465&lt;=0,L465&lt;=0),"",ROUND(L465-K465,6)))</f>
        <v/>
      </c>
      <c r="N465" s="58" t="n"/>
      <c r="O465" s="62" t="n"/>
      <c r="P465" s="63" t="str">
        <f>IF(OR(B465="",NOT(ISNUMBER(L465))),"",IF(L465&lt;=0,"",IFERROR(ROUND(L465*N(INDEX(art_w,MATCH(H465,art_ref,0))),3),"")))</f>
        <v/>
      </c>
      <c r="Q465" s="59" t="n"/>
      <c r="R465" s="54" t="n"/>
      <c r="S465" s="59" t="n"/>
      <c r="T465" s="59" t="n"/>
      <c r="U465" s="64" t="str">
        <f>IF(OR(B465="",H465=""),"",IFERROR(IF(A465="BL",IF(N(INDEX(art_price,MATCH(H465,art_ref,0)))=0,"",N(INDEX(art_price,MATCH(H465,art_ref,0)))),IF(N(INDEX(art_cost,MATCH(H465,art_ref,0)))=0,"",N(INDEX(art_cost,MATCH(H465,art_ref,0))))),""))</f>
        <v/>
      </c>
      <c r="V465" s="64" t="str">
        <f>IF(OR(U465="",NOT(ISNUMBER(L465))),"",IF(L465&lt;=0,"",ROUND(L465*U465,2)))</f>
        <v/>
      </c>
      <c r="W465" s="60" t="str">
        <f>IF(AND(B465&lt;&gt;"",A465&lt;&gt;"BS",F465&lt;&gt;"",H465&lt;&gt;"",ISNUMBER(K465),ISNUMBER(L465)),IF(AND(K465&gt;0,L465&gt;0,K465-L465&gt;0,COUNTIFS(A466:A$2005,A465,F466:F$2005,F465,H466:H$2005,H465,AA466:AA$2005,"&gt;0")=0),ROUND(K465-L465,6),""),"")</f>
        <v/>
      </c>
      <c r="X465" s="60" t="str">
        <f>IF(AND(A465="",C465="",D465="",H465="",L465=""),"",IF(A465="","Type manquant",IF(AND(A465&lt;&gt;"BL",A465&lt;&gt;"BR",A465&lt;&gt;"BS"),"Type inconnu (BL, BR ou BS)",IF(AG465=0,"Date manquante ou invalide",IF(D465="",IF(A465="BL","Client manquant",IF(A465="BR","Fournisseur manquant","Service manquant")),IF(IF(A465="BL",ISNA(MATCH(D465,cl_code,0)),IF(A465="BR",ISNA(MATCH(D465,fo_code,0)),ISNA(MATCH(D465,p_services,0)))),IF(A465="BL","Client inconnu",IF(A465="BR","Fournisseur inconnu","Service inconnu")),IF(H465="","Article manquant",IF(ISNA(MATCH(H465,art_ref,0)),"Article inconnu",IF(OR(NOT(ISNUMBER(L465)),N(L465)&lt;=0),"Quantité invalide",IF(AND(K465&lt;&gt;"",OR(NOT(ISNUMBER(K465)),N(K465)&lt;=0)),"Qté commandée invalide",IF(AG465&lt;SUMPRODUCT(MAX((A$6:A464=A465)*AG$6:AG464)),"Date antérieure au bon précédent",IF(AND(A465&lt;&gt;"BR",ISNUMBER(M465),N(M465)&gt;0),IF(A465="BL","Livré plus que commandé","Sorti plus que demandé"),"OK"))))))))))))</f>
        <v/>
      </c>
      <c r="Y465" s="57" t="str">
        <f>IF(AND(OR(A465="BL",A465="BR",A465="BS"),AG465&gt;0,D465&lt;&gt;""),A465&amp;"|"&amp;AG465&amp;"|"&amp;D465&amp;"|"&amp;F465,"")</f>
        <v/>
      </c>
      <c r="Z465" s="57" t="str">
        <f>IF(Y465="","",IF(COUNTIF(Y$6:Y464,Y465)=0,1,0))</f>
        <v/>
      </c>
      <c r="AA465" s="57" t="str">
        <f>IF(Y465="","",IF(Z465=1,COUNTIFS(A$6:A465,A465,Z$6:Z465,1),INDEX(AA$6:AA464,MATCH(Y465,Y$6:Y464,0))))</f>
        <v/>
      </c>
      <c r="AB465" s="57" t="str">
        <f>IF(B465="","",COUNTIF(B$6:B465,B465))</f>
        <v/>
      </c>
      <c r="AC465" s="57" t="str">
        <f>IF(B465="","",B465&amp;"#"&amp;AB465)</f>
        <v/>
      </c>
      <c r="AD465" s="57" t="str">
        <f>IF(Z465=1,A465&amp;AA465,"")</f>
        <v/>
      </c>
      <c r="AE465" s="57" t="str">
        <f>IF(B465="","",YEAR(C465))</f>
        <v/>
      </c>
      <c r="AF465" s="57" t="str">
        <f>IF(B465="","",MONTH(C465))</f>
        <v/>
      </c>
      <c r="AG465" s="57">
        <f>IF(ISNUMBER(C465),C465,0)</f>
        <v>0.0</v>
      </c>
      <c r="AH465" s="57" t="str">
        <f>IF(N(W465)&gt;0,COUNTIF(W$6:W465,"&gt;0"),"")</f>
        <v/>
      </c>
      <c r="AI465" s="57" t="str">
        <f>IF(Z465=1,COUNTIF(Z$6:Z465,1),"")</f>
        <v/>
      </c>
    </row>
    <row r="466">
      <c r="A466" s="54" t="n"/>
      <c r="B466" s="55" t="str">
        <f>IF(AA466="","",A466&amp;"-"&amp;RIGHT("000"&amp;AA466,4))</f>
        <v/>
      </c>
      <c r="C466" s="56" t="n"/>
      <c r="D466" s="54" t="n"/>
      <c r="E466" s="57" t="str">
        <f>IF(D466="","",IF(A466="BL",IFERROR(INDEX(cl_name,MATCH(D466,cl_code,0))&amp;"","Client inconnu"),IF(A466="BR",IFERROR(INDEX(fo_name,MATCH(D466,fo_code,0))&amp;"","Fournisseur inconnu"),IF(A466="BS",IF(ISNA(MATCH(D466,p_services,0)),"Service inconnu",D466&amp;""),""))))</f>
        <v/>
      </c>
      <c r="F466" s="58" t="n"/>
      <c r="G466" s="58" t="n"/>
      <c r="H466" s="59" t="n"/>
      <c r="I466" s="57" t="str">
        <f>IF(H466="","",IFERROR(INDEX(art_des,MATCH(H466,art_ref,0))&amp;"","Article inconnu"))</f>
        <v/>
      </c>
      <c r="J466" s="60" t="str">
        <f>IF(H466="","",IFERROR(INDEX(art_unit,MATCH(H466,art_ref,0))&amp;"",""))</f>
        <v/>
      </c>
      <c r="K466" s="59" t="n"/>
      <c r="L466" s="59" t="n"/>
      <c r="M466" s="61" t="str">
        <f>IF(OR(B466="",NOT(ISNUMBER(K466)),NOT(ISNUMBER(L466))),"",IF(OR(K466&lt;=0,L466&lt;=0),"",ROUND(L466-K466,6)))</f>
        <v/>
      </c>
      <c r="N466" s="58" t="n"/>
      <c r="O466" s="62" t="n"/>
      <c r="P466" s="63" t="str">
        <f>IF(OR(B466="",NOT(ISNUMBER(L466))),"",IF(L466&lt;=0,"",IFERROR(ROUND(L466*N(INDEX(art_w,MATCH(H466,art_ref,0))),3),"")))</f>
        <v/>
      </c>
      <c r="Q466" s="59" t="n"/>
      <c r="R466" s="54" t="n"/>
      <c r="S466" s="59" t="n"/>
      <c r="T466" s="59" t="n"/>
      <c r="U466" s="64" t="str">
        <f>IF(OR(B466="",H466=""),"",IFERROR(IF(A466="BL",IF(N(INDEX(art_price,MATCH(H466,art_ref,0)))=0,"",N(INDEX(art_price,MATCH(H466,art_ref,0)))),IF(N(INDEX(art_cost,MATCH(H466,art_ref,0)))=0,"",N(INDEX(art_cost,MATCH(H466,art_ref,0))))),""))</f>
        <v/>
      </c>
      <c r="V466" s="64" t="str">
        <f>IF(OR(U466="",NOT(ISNUMBER(L466))),"",IF(L466&lt;=0,"",ROUND(L466*U466,2)))</f>
        <v/>
      </c>
      <c r="W466" s="60" t="str">
        <f>IF(AND(B466&lt;&gt;"",A466&lt;&gt;"BS",F466&lt;&gt;"",H466&lt;&gt;"",ISNUMBER(K466),ISNUMBER(L466)),IF(AND(K466&gt;0,L466&gt;0,K466-L466&gt;0,COUNTIFS(A467:A$2005,A466,F467:F$2005,F466,H467:H$2005,H466,AA467:AA$2005,"&gt;0")=0),ROUND(K466-L466,6),""),"")</f>
        <v/>
      </c>
      <c r="X466" s="60" t="str">
        <f>IF(AND(A466="",C466="",D466="",H466="",L466=""),"",IF(A466="","Type manquant",IF(AND(A466&lt;&gt;"BL",A466&lt;&gt;"BR",A466&lt;&gt;"BS"),"Type inconnu (BL, BR ou BS)",IF(AG466=0,"Date manquante ou invalide",IF(D466="",IF(A466="BL","Client manquant",IF(A466="BR","Fournisseur manquant","Service manquant")),IF(IF(A466="BL",ISNA(MATCH(D466,cl_code,0)),IF(A466="BR",ISNA(MATCH(D466,fo_code,0)),ISNA(MATCH(D466,p_services,0)))),IF(A466="BL","Client inconnu",IF(A466="BR","Fournisseur inconnu","Service inconnu")),IF(H466="","Article manquant",IF(ISNA(MATCH(H466,art_ref,0)),"Article inconnu",IF(OR(NOT(ISNUMBER(L466)),N(L466)&lt;=0),"Quantité invalide",IF(AND(K466&lt;&gt;"",OR(NOT(ISNUMBER(K466)),N(K466)&lt;=0)),"Qté commandée invalide",IF(AG466&lt;SUMPRODUCT(MAX((A$6:A465=A466)*AG$6:AG465)),"Date antérieure au bon précédent",IF(AND(A466&lt;&gt;"BR",ISNUMBER(M466),N(M466)&gt;0),IF(A466="BL","Livré plus que commandé","Sorti plus que demandé"),"OK"))))))))))))</f>
        <v/>
      </c>
      <c r="Y466" s="57" t="str">
        <f>IF(AND(OR(A466="BL",A466="BR",A466="BS"),AG466&gt;0,D466&lt;&gt;""),A466&amp;"|"&amp;AG466&amp;"|"&amp;D466&amp;"|"&amp;F466,"")</f>
        <v/>
      </c>
      <c r="Z466" s="57" t="str">
        <f>IF(Y466="","",IF(COUNTIF(Y$6:Y465,Y466)=0,1,0))</f>
        <v/>
      </c>
      <c r="AA466" s="57" t="str">
        <f>IF(Y466="","",IF(Z466=1,COUNTIFS(A$6:A466,A466,Z$6:Z466,1),INDEX(AA$6:AA465,MATCH(Y466,Y$6:Y465,0))))</f>
        <v/>
      </c>
      <c r="AB466" s="57" t="str">
        <f>IF(B466="","",COUNTIF(B$6:B466,B466))</f>
        <v/>
      </c>
      <c r="AC466" s="57" t="str">
        <f>IF(B466="","",B466&amp;"#"&amp;AB466)</f>
        <v/>
      </c>
      <c r="AD466" s="57" t="str">
        <f>IF(Z466=1,A466&amp;AA466,"")</f>
        <v/>
      </c>
      <c r="AE466" s="57" t="str">
        <f>IF(B466="","",YEAR(C466))</f>
        <v/>
      </c>
      <c r="AF466" s="57" t="str">
        <f>IF(B466="","",MONTH(C466))</f>
        <v/>
      </c>
      <c r="AG466" s="57">
        <f>IF(ISNUMBER(C466),C466,0)</f>
        <v>0.0</v>
      </c>
      <c r="AH466" s="57" t="str">
        <f>IF(N(W466)&gt;0,COUNTIF(W$6:W466,"&gt;0"),"")</f>
        <v/>
      </c>
      <c r="AI466" s="57" t="str">
        <f>IF(Z466=1,COUNTIF(Z$6:Z466,1),"")</f>
        <v/>
      </c>
    </row>
    <row r="467">
      <c r="A467" s="54" t="n"/>
      <c r="B467" s="55" t="str">
        <f>IF(AA467="","",A467&amp;"-"&amp;RIGHT("000"&amp;AA467,4))</f>
        <v/>
      </c>
      <c r="C467" s="56" t="n"/>
      <c r="D467" s="54" t="n"/>
      <c r="E467" s="57" t="str">
        <f>IF(D467="","",IF(A467="BL",IFERROR(INDEX(cl_name,MATCH(D467,cl_code,0))&amp;"","Client inconnu"),IF(A467="BR",IFERROR(INDEX(fo_name,MATCH(D467,fo_code,0))&amp;"","Fournisseur inconnu"),IF(A467="BS",IF(ISNA(MATCH(D467,p_services,0)),"Service inconnu",D467&amp;""),""))))</f>
        <v/>
      </c>
      <c r="F467" s="58" t="n"/>
      <c r="G467" s="58" t="n"/>
      <c r="H467" s="59" t="n"/>
      <c r="I467" s="57" t="str">
        <f>IF(H467="","",IFERROR(INDEX(art_des,MATCH(H467,art_ref,0))&amp;"","Article inconnu"))</f>
        <v/>
      </c>
      <c r="J467" s="60" t="str">
        <f>IF(H467="","",IFERROR(INDEX(art_unit,MATCH(H467,art_ref,0))&amp;"",""))</f>
        <v/>
      </c>
      <c r="K467" s="59" t="n"/>
      <c r="L467" s="59" t="n"/>
      <c r="M467" s="61" t="str">
        <f>IF(OR(B467="",NOT(ISNUMBER(K467)),NOT(ISNUMBER(L467))),"",IF(OR(K467&lt;=0,L467&lt;=0),"",ROUND(L467-K467,6)))</f>
        <v/>
      </c>
      <c r="N467" s="58" t="n"/>
      <c r="O467" s="62" t="n"/>
      <c r="P467" s="63" t="str">
        <f>IF(OR(B467="",NOT(ISNUMBER(L467))),"",IF(L467&lt;=0,"",IFERROR(ROUND(L467*N(INDEX(art_w,MATCH(H467,art_ref,0))),3),"")))</f>
        <v/>
      </c>
      <c r="Q467" s="59" t="n"/>
      <c r="R467" s="54" t="n"/>
      <c r="S467" s="59" t="n"/>
      <c r="T467" s="59" t="n"/>
      <c r="U467" s="64" t="str">
        <f>IF(OR(B467="",H467=""),"",IFERROR(IF(A467="BL",IF(N(INDEX(art_price,MATCH(H467,art_ref,0)))=0,"",N(INDEX(art_price,MATCH(H467,art_ref,0)))),IF(N(INDEX(art_cost,MATCH(H467,art_ref,0)))=0,"",N(INDEX(art_cost,MATCH(H467,art_ref,0))))),""))</f>
        <v/>
      </c>
      <c r="V467" s="64" t="str">
        <f>IF(OR(U467="",NOT(ISNUMBER(L467))),"",IF(L467&lt;=0,"",ROUND(L467*U467,2)))</f>
        <v/>
      </c>
      <c r="W467" s="60" t="str">
        <f>IF(AND(B467&lt;&gt;"",A467&lt;&gt;"BS",F467&lt;&gt;"",H467&lt;&gt;"",ISNUMBER(K467),ISNUMBER(L467)),IF(AND(K467&gt;0,L467&gt;0,K467-L467&gt;0,COUNTIFS(A468:A$2005,A467,F468:F$2005,F467,H468:H$2005,H467,AA468:AA$2005,"&gt;0")=0),ROUND(K467-L467,6),""),"")</f>
        <v/>
      </c>
      <c r="X467" s="60" t="str">
        <f>IF(AND(A467="",C467="",D467="",H467="",L467=""),"",IF(A467="","Type manquant",IF(AND(A467&lt;&gt;"BL",A467&lt;&gt;"BR",A467&lt;&gt;"BS"),"Type inconnu (BL, BR ou BS)",IF(AG467=0,"Date manquante ou invalide",IF(D467="",IF(A467="BL","Client manquant",IF(A467="BR","Fournisseur manquant","Service manquant")),IF(IF(A467="BL",ISNA(MATCH(D467,cl_code,0)),IF(A467="BR",ISNA(MATCH(D467,fo_code,0)),ISNA(MATCH(D467,p_services,0)))),IF(A467="BL","Client inconnu",IF(A467="BR","Fournisseur inconnu","Service inconnu")),IF(H467="","Article manquant",IF(ISNA(MATCH(H467,art_ref,0)),"Article inconnu",IF(OR(NOT(ISNUMBER(L467)),N(L467)&lt;=0),"Quantité invalide",IF(AND(K467&lt;&gt;"",OR(NOT(ISNUMBER(K467)),N(K467)&lt;=0)),"Qté commandée invalide",IF(AG467&lt;SUMPRODUCT(MAX((A$6:A466=A467)*AG$6:AG466)),"Date antérieure au bon précédent",IF(AND(A467&lt;&gt;"BR",ISNUMBER(M467),N(M467)&gt;0),IF(A467="BL","Livré plus que commandé","Sorti plus que demandé"),"OK"))))))))))))</f>
        <v/>
      </c>
      <c r="Y467" s="57" t="str">
        <f>IF(AND(OR(A467="BL",A467="BR",A467="BS"),AG467&gt;0,D467&lt;&gt;""),A467&amp;"|"&amp;AG467&amp;"|"&amp;D467&amp;"|"&amp;F467,"")</f>
        <v/>
      </c>
      <c r="Z467" s="57" t="str">
        <f>IF(Y467="","",IF(COUNTIF(Y$6:Y466,Y467)=0,1,0))</f>
        <v/>
      </c>
      <c r="AA467" s="57" t="str">
        <f>IF(Y467="","",IF(Z467=1,COUNTIFS(A$6:A467,A467,Z$6:Z467,1),INDEX(AA$6:AA466,MATCH(Y467,Y$6:Y466,0))))</f>
        <v/>
      </c>
      <c r="AB467" s="57" t="str">
        <f>IF(B467="","",COUNTIF(B$6:B467,B467))</f>
        <v/>
      </c>
      <c r="AC467" s="57" t="str">
        <f>IF(B467="","",B467&amp;"#"&amp;AB467)</f>
        <v/>
      </c>
      <c r="AD467" s="57" t="str">
        <f>IF(Z467=1,A467&amp;AA467,"")</f>
        <v/>
      </c>
      <c r="AE467" s="57" t="str">
        <f>IF(B467="","",YEAR(C467))</f>
        <v/>
      </c>
      <c r="AF467" s="57" t="str">
        <f>IF(B467="","",MONTH(C467))</f>
        <v/>
      </c>
      <c r="AG467" s="57">
        <f>IF(ISNUMBER(C467),C467,0)</f>
        <v>0.0</v>
      </c>
      <c r="AH467" s="57" t="str">
        <f>IF(N(W467)&gt;0,COUNTIF(W$6:W467,"&gt;0"),"")</f>
        <v/>
      </c>
      <c r="AI467" s="57" t="str">
        <f>IF(Z467=1,COUNTIF(Z$6:Z467,1),"")</f>
        <v/>
      </c>
    </row>
    <row r="468">
      <c r="A468" s="54" t="n"/>
      <c r="B468" s="55" t="str">
        <f>IF(AA468="","",A468&amp;"-"&amp;RIGHT("000"&amp;AA468,4))</f>
        <v/>
      </c>
      <c r="C468" s="56" t="n"/>
      <c r="D468" s="54" t="n"/>
      <c r="E468" s="57" t="str">
        <f>IF(D468="","",IF(A468="BL",IFERROR(INDEX(cl_name,MATCH(D468,cl_code,0))&amp;"","Client inconnu"),IF(A468="BR",IFERROR(INDEX(fo_name,MATCH(D468,fo_code,0))&amp;"","Fournisseur inconnu"),IF(A468="BS",IF(ISNA(MATCH(D468,p_services,0)),"Service inconnu",D468&amp;""),""))))</f>
        <v/>
      </c>
      <c r="F468" s="58" t="n"/>
      <c r="G468" s="58" t="n"/>
      <c r="H468" s="59" t="n"/>
      <c r="I468" s="57" t="str">
        <f>IF(H468="","",IFERROR(INDEX(art_des,MATCH(H468,art_ref,0))&amp;"","Article inconnu"))</f>
        <v/>
      </c>
      <c r="J468" s="60" t="str">
        <f>IF(H468="","",IFERROR(INDEX(art_unit,MATCH(H468,art_ref,0))&amp;"",""))</f>
        <v/>
      </c>
      <c r="K468" s="59" t="n"/>
      <c r="L468" s="59" t="n"/>
      <c r="M468" s="61" t="str">
        <f>IF(OR(B468="",NOT(ISNUMBER(K468)),NOT(ISNUMBER(L468))),"",IF(OR(K468&lt;=0,L468&lt;=0),"",ROUND(L468-K468,6)))</f>
        <v/>
      </c>
      <c r="N468" s="58" t="n"/>
      <c r="O468" s="62" t="n"/>
      <c r="P468" s="63" t="str">
        <f>IF(OR(B468="",NOT(ISNUMBER(L468))),"",IF(L468&lt;=0,"",IFERROR(ROUND(L468*N(INDEX(art_w,MATCH(H468,art_ref,0))),3),"")))</f>
        <v/>
      </c>
      <c r="Q468" s="59" t="n"/>
      <c r="R468" s="54" t="n"/>
      <c r="S468" s="59" t="n"/>
      <c r="T468" s="59" t="n"/>
      <c r="U468" s="64" t="str">
        <f>IF(OR(B468="",H468=""),"",IFERROR(IF(A468="BL",IF(N(INDEX(art_price,MATCH(H468,art_ref,0)))=0,"",N(INDEX(art_price,MATCH(H468,art_ref,0)))),IF(N(INDEX(art_cost,MATCH(H468,art_ref,0)))=0,"",N(INDEX(art_cost,MATCH(H468,art_ref,0))))),""))</f>
        <v/>
      </c>
      <c r="V468" s="64" t="str">
        <f>IF(OR(U468="",NOT(ISNUMBER(L468))),"",IF(L468&lt;=0,"",ROUND(L468*U468,2)))</f>
        <v/>
      </c>
      <c r="W468" s="60" t="str">
        <f>IF(AND(B468&lt;&gt;"",A468&lt;&gt;"BS",F468&lt;&gt;"",H468&lt;&gt;"",ISNUMBER(K468),ISNUMBER(L468)),IF(AND(K468&gt;0,L468&gt;0,K468-L468&gt;0,COUNTIFS(A469:A$2005,A468,F469:F$2005,F468,H469:H$2005,H468,AA469:AA$2005,"&gt;0")=0),ROUND(K468-L468,6),""),"")</f>
        <v/>
      </c>
      <c r="X468" s="60" t="str">
        <f>IF(AND(A468="",C468="",D468="",H468="",L468=""),"",IF(A468="","Type manquant",IF(AND(A468&lt;&gt;"BL",A468&lt;&gt;"BR",A468&lt;&gt;"BS"),"Type inconnu (BL, BR ou BS)",IF(AG468=0,"Date manquante ou invalide",IF(D468="",IF(A468="BL","Client manquant",IF(A468="BR","Fournisseur manquant","Service manquant")),IF(IF(A468="BL",ISNA(MATCH(D468,cl_code,0)),IF(A468="BR",ISNA(MATCH(D468,fo_code,0)),ISNA(MATCH(D468,p_services,0)))),IF(A468="BL","Client inconnu",IF(A468="BR","Fournisseur inconnu","Service inconnu")),IF(H468="","Article manquant",IF(ISNA(MATCH(H468,art_ref,0)),"Article inconnu",IF(OR(NOT(ISNUMBER(L468)),N(L468)&lt;=0),"Quantité invalide",IF(AND(K468&lt;&gt;"",OR(NOT(ISNUMBER(K468)),N(K468)&lt;=0)),"Qté commandée invalide",IF(AG468&lt;SUMPRODUCT(MAX((A$6:A467=A468)*AG$6:AG467)),"Date antérieure au bon précédent",IF(AND(A468&lt;&gt;"BR",ISNUMBER(M468),N(M468)&gt;0),IF(A468="BL","Livré plus que commandé","Sorti plus que demandé"),"OK"))))))))))))</f>
        <v/>
      </c>
      <c r="Y468" s="57" t="str">
        <f>IF(AND(OR(A468="BL",A468="BR",A468="BS"),AG468&gt;0,D468&lt;&gt;""),A468&amp;"|"&amp;AG468&amp;"|"&amp;D468&amp;"|"&amp;F468,"")</f>
        <v/>
      </c>
      <c r="Z468" s="57" t="str">
        <f>IF(Y468="","",IF(COUNTIF(Y$6:Y467,Y468)=0,1,0))</f>
        <v/>
      </c>
      <c r="AA468" s="57" t="str">
        <f>IF(Y468="","",IF(Z468=1,COUNTIFS(A$6:A468,A468,Z$6:Z468,1),INDEX(AA$6:AA467,MATCH(Y468,Y$6:Y467,0))))</f>
        <v/>
      </c>
      <c r="AB468" s="57" t="str">
        <f>IF(B468="","",COUNTIF(B$6:B468,B468))</f>
        <v/>
      </c>
      <c r="AC468" s="57" t="str">
        <f>IF(B468="","",B468&amp;"#"&amp;AB468)</f>
        <v/>
      </c>
      <c r="AD468" s="57" t="str">
        <f>IF(Z468=1,A468&amp;AA468,"")</f>
        <v/>
      </c>
      <c r="AE468" s="57" t="str">
        <f>IF(B468="","",YEAR(C468))</f>
        <v/>
      </c>
      <c r="AF468" s="57" t="str">
        <f>IF(B468="","",MONTH(C468))</f>
        <v/>
      </c>
      <c r="AG468" s="57">
        <f>IF(ISNUMBER(C468),C468,0)</f>
        <v>0.0</v>
      </c>
      <c r="AH468" s="57" t="str">
        <f>IF(N(W468)&gt;0,COUNTIF(W$6:W468,"&gt;0"),"")</f>
        <v/>
      </c>
      <c r="AI468" s="57" t="str">
        <f>IF(Z468=1,COUNTIF(Z$6:Z468,1),"")</f>
        <v/>
      </c>
    </row>
    <row r="469">
      <c r="A469" s="54" t="n"/>
      <c r="B469" s="55" t="str">
        <f>IF(AA469="","",A469&amp;"-"&amp;RIGHT("000"&amp;AA469,4))</f>
        <v/>
      </c>
      <c r="C469" s="56" t="n"/>
      <c r="D469" s="54" t="n"/>
      <c r="E469" s="57" t="str">
        <f>IF(D469="","",IF(A469="BL",IFERROR(INDEX(cl_name,MATCH(D469,cl_code,0))&amp;"","Client inconnu"),IF(A469="BR",IFERROR(INDEX(fo_name,MATCH(D469,fo_code,0))&amp;"","Fournisseur inconnu"),IF(A469="BS",IF(ISNA(MATCH(D469,p_services,0)),"Service inconnu",D469&amp;""),""))))</f>
        <v/>
      </c>
      <c r="F469" s="58" t="n"/>
      <c r="G469" s="58" t="n"/>
      <c r="H469" s="59" t="n"/>
      <c r="I469" s="57" t="str">
        <f>IF(H469="","",IFERROR(INDEX(art_des,MATCH(H469,art_ref,0))&amp;"","Article inconnu"))</f>
        <v/>
      </c>
      <c r="J469" s="60" t="str">
        <f>IF(H469="","",IFERROR(INDEX(art_unit,MATCH(H469,art_ref,0))&amp;"",""))</f>
        <v/>
      </c>
      <c r="K469" s="59" t="n"/>
      <c r="L469" s="59" t="n"/>
      <c r="M469" s="61" t="str">
        <f>IF(OR(B469="",NOT(ISNUMBER(K469)),NOT(ISNUMBER(L469))),"",IF(OR(K469&lt;=0,L469&lt;=0),"",ROUND(L469-K469,6)))</f>
        <v/>
      </c>
      <c r="N469" s="58" t="n"/>
      <c r="O469" s="62" t="n"/>
      <c r="P469" s="63" t="str">
        <f>IF(OR(B469="",NOT(ISNUMBER(L469))),"",IF(L469&lt;=0,"",IFERROR(ROUND(L469*N(INDEX(art_w,MATCH(H469,art_ref,0))),3),"")))</f>
        <v/>
      </c>
      <c r="Q469" s="59" t="n"/>
      <c r="R469" s="54" t="n"/>
      <c r="S469" s="59" t="n"/>
      <c r="T469" s="59" t="n"/>
      <c r="U469" s="64" t="str">
        <f>IF(OR(B469="",H469=""),"",IFERROR(IF(A469="BL",IF(N(INDEX(art_price,MATCH(H469,art_ref,0)))=0,"",N(INDEX(art_price,MATCH(H469,art_ref,0)))),IF(N(INDEX(art_cost,MATCH(H469,art_ref,0)))=0,"",N(INDEX(art_cost,MATCH(H469,art_ref,0))))),""))</f>
        <v/>
      </c>
      <c r="V469" s="64" t="str">
        <f>IF(OR(U469="",NOT(ISNUMBER(L469))),"",IF(L469&lt;=0,"",ROUND(L469*U469,2)))</f>
        <v/>
      </c>
      <c r="W469" s="60" t="str">
        <f>IF(AND(B469&lt;&gt;"",A469&lt;&gt;"BS",F469&lt;&gt;"",H469&lt;&gt;"",ISNUMBER(K469),ISNUMBER(L469)),IF(AND(K469&gt;0,L469&gt;0,K469-L469&gt;0,COUNTIFS(A470:A$2005,A469,F470:F$2005,F469,H470:H$2005,H469,AA470:AA$2005,"&gt;0")=0),ROUND(K469-L469,6),""),"")</f>
        <v/>
      </c>
      <c r="X469" s="60" t="str">
        <f>IF(AND(A469="",C469="",D469="",H469="",L469=""),"",IF(A469="","Type manquant",IF(AND(A469&lt;&gt;"BL",A469&lt;&gt;"BR",A469&lt;&gt;"BS"),"Type inconnu (BL, BR ou BS)",IF(AG469=0,"Date manquante ou invalide",IF(D469="",IF(A469="BL","Client manquant",IF(A469="BR","Fournisseur manquant","Service manquant")),IF(IF(A469="BL",ISNA(MATCH(D469,cl_code,0)),IF(A469="BR",ISNA(MATCH(D469,fo_code,0)),ISNA(MATCH(D469,p_services,0)))),IF(A469="BL","Client inconnu",IF(A469="BR","Fournisseur inconnu","Service inconnu")),IF(H469="","Article manquant",IF(ISNA(MATCH(H469,art_ref,0)),"Article inconnu",IF(OR(NOT(ISNUMBER(L469)),N(L469)&lt;=0),"Quantité invalide",IF(AND(K469&lt;&gt;"",OR(NOT(ISNUMBER(K469)),N(K469)&lt;=0)),"Qté commandée invalide",IF(AG469&lt;SUMPRODUCT(MAX((A$6:A468=A469)*AG$6:AG468)),"Date antérieure au bon précédent",IF(AND(A469&lt;&gt;"BR",ISNUMBER(M469),N(M469)&gt;0),IF(A469="BL","Livré plus que commandé","Sorti plus que demandé"),"OK"))))))))))))</f>
        <v/>
      </c>
      <c r="Y469" s="57" t="str">
        <f>IF(AND(OR(A469="BL",A469="BR",A469="BS"),AG469&gt;0,D469&lt;&gt;""),A469&amp;"|"&amp;AG469&amp;"|"&amp;D469&amp;"|"&amp;F469,"")</f>
        <v/>
      </c>
      <c r="Z469" s="57" t="str">
        <f>IF(Y469="","",IF(COUNTIF(Y$6:Y468,Y469)=0,1,0))</f>
        <v/>
      </c>
      <c r="AA469" s="57" t="str">
        <f>IF(Y469="","",IF(Z469=1,COUNTIFS(A$6:A469,A469,Z$6:Z469,1),INDEX(AA$6:AA468,MATCH(Y469,Y$6:Y468,0))))</f>
        <v/>
      </c>
      <c r="AB469" s="57" t="str">
        <f>IF(B469="","",COUNTIF(B$6:B469,B469))</f>
        <v/>
      </c>
      <c r="AC469" s="57" t="str">
        <f>IF(B469="","",B469&amp;"#"&amp;AB469)</f>
        <v/>
      </c>
      <c r="AD469" s="57" t="str">
        <f>IF(Z469=1,A469&amp;AA469,"")</f>
        <v/>
      </c>
      <c r="AE469" s="57" t="str">
        <f>IF(B469="","",YEAR(C469))</f>
        <v/>
      </c>
      <c r="AF469" s="57" t="str">
        <f>IF(B469="","",MONTH(C469))</f>
        <v/>
      </c>
      <c r="AG469" s="57">
        <f>IF(ISNUMBER(C469),C469,0)</f>
        <v>0.0</v>
      </c>
      <c r="AH469" s="57" t="str">
        <f>IF(N(W469)&gt;0,COUNTIF(W$6:W469,"&gt;0"),"")</f>
        <v/>
      </c>
      <c r="AI469" s="57" t="str">
        <f>IF(Z469=1,COUNTIF(Z$6:Z469,1),"")</f>
        <v/>
      </c>
    </row>
    <row r="470">
      <c r="A470" s="54" t="n"/>
      <c r="B470" s="55" t="str">
        <f>IF(AA470="","",A470&amp;"-"&amp;RIGHT("000"&amp;AA470,4))</f>
        <v/>
      </c>
      <c r="C470" s="56" t="n"/>
      <c r="D470" s="54" t="n"/>
      <c r="E470" s="57" t="str">
        <f>IF(D470="","",IF(A470="BL",IFERROR(INDEX(cl_name,MATCH(D470,cl_code,0))&amp;"","Client inconnu"),IF(A470="BR",IFERROR(INDEX(fo_name,MATCH(D470,fo_code,0))&amp;"","Fournisseur inconnu"),IF(A470="BS",IF(ISNA(MATCH(D470,p_services,0)),"Service inconnu",D470&amp;""),""))))</f>
        <v/>
      </c>
      <c r="F470" s="58" t="n"/>
      <c r="G470" s="58" t="n"/>
      <c r="H470" s="59" t="n"/>
      <c r="I470" s="57" t="str">
        <f>IF(H470="","",IFERROR(INDEX(art_des,MATCH(H470,art_ref,0))&amp;"","Article inconnu"))</f>
        <v/>
      </c>
      <c r="J470" s="60" t="str">
        <f>IF(H470="","",IFERROR(INDEX(art_unit,MATCH(H470,art_ref,0))&amp;"",""))</f>
        <v/>
      </c>
      <c r="K470" s="59" t="n"/>
      <c r="L470" s="59" t="n"/>
      <c r="M470" s="61" t="str">
        <f>IF(OR(B470="",NOT(ISNUMBER(K470)),NOT(ISNUMBER(L470))),"",IF(OR(K470&lt;=0,L470&lt;=0),"",ROUND(L470-K470,6)))</f>
        <v/>
      </c>
      <c r="N470" s="58" t="n"/>
      <c r="O470" s="62" t="n"/>
      <c r="P470" s="63" t="str">
        <f>IF(OR(B470="",NOT(ISNUMBER(L470))),"",IF(L470&lt;=0,"",IFERROR(ROUND(L470*N(INDEX(art_w,MATCH(H470,art_ref,0))),3),"")))</f>
        <v/>
      </c>
      <c r="Q470" s="59" t="n"/>
      <c r="R470" s="54" t="n"/>
      <c r="S470" s="59" t="n"/>
      <c r="T470" s="59" t="n"/>
      <c r="U470" s="64" t="str">
        <f>IF(OR(B470="",H470=""),"",IFERROR(IF(A470="BL",IF(N(INDEX(art_price,MATCH(H470,art_ref,0)))=0,"",N(INDEX(art_price,MATCH(H470,art_ref,0)))),IF(N(INDEX(art_cost,MATCH(H470,art_ref,0)))=0,"",N(INDEX(art_cost,MATCH(H470,art_ref,0))))),""))</f>
        <v/>
      </c>
      <c r="V470" s="64" t="str">
        <f>IF(OR(U470="",NOT(ISNUMBER(L470))),"",IF(L470&lt;=0,"",ROUND(L470*U470,2)))</f>
        <v/>
      </c>
      <c r="W470" s="60" t="str">
        <f>IF(AND(B470&lt;&gt;"",A470&lt;&gt;"BS",F470&lt;&gt;"",H470&lt;&gt;"",ISNUMBER(K470),ISNUMBER(L470)),IF(AND(K470&gt;0,L470&gt;0,K470-L470&gt;0,COUNTIFS(A471:A$2005,A470,F471:F$2005,F470,H471:H$2005,H470,AA471:AA$2005,"&gt;0")=0),ROUND(K470-L470,6),""),"")</f>
        <v/>
      </c>
      <c r="X470" s="60" t="str">
        <f>IF(AND(A470="",C470="",D470="",H470="",L470=""),"",IF(A470="","Type manquant",IF(AND(A470&lt;&gt;"BL",A470&lt;&gt;"BR",A470&lt;&gt;"BS"),"Type inconnu (BL, BR ou BS)",IF(AG470=0,"Date manquante ou invalide",IF(D470="",IF(A470="BL","Client manquant",IF(A470="BR","Fournisseur manquant","Service manquant")),IF(IF(A470="BL",ISNA(MATCH(D470,cl_code,0)),IF(A470="BR",ISNA(MATCH(D470,fo_code,0)),ISNA(MATCH(D470,p_services,0)))),IF(A470="BL","Client inconnu",IF(A470="BR","Fournisseur inconnu","Service inconnu")),IF(H470="","Article manquant",IF(ISNA(MATCH(H470,art_ref,0)),"Article inconnu",IF(OR(NOT(ISNUMBER(L470)),N(L470)&lt;=0),"Quantité invalide",IF(AND(K470&lt;&gt;"",OR(NOT(ISNUMBER(K470)),N(K470)&lt;=0)),"Qté commandée invalide",IF(AG470&lt;SUMPRODUCT(MAX((A$6:A469=A470)*AG$6:AG469)),"Date antérieure au bon précédent",IF(AND(A470&lt;&gt;"BR",ISNUMBER(M470),N(M470)&gt;0),IF(A470="BL","Livré plus que commandé","Sorti plus que demandé"),"OK"))))))))))))</f>
        <v/>
      </c>
      <c r="Y470" s="57" t="str">
        <f>IF(AND(OR(A470="BL",A470="BR",A470="BS"),AG470&gt;0,D470&lt;&gt;""),A470&amp;"|"&amp;AG470&amp;"|"&amp;D470&amp;"|"&amp;F470,"")</f>
        <v/>
      </c>
      <c r="Z470" s="57" t="str">
        <f>IF(Y470="","",IF(COUNTIF(Y$6:Y469,Y470)=0,1,0))</f>
        <v/>
      </c>
      <c r="AA470" s="57" t="str">
        <f>IF(Y470="","",IF(Z470=1,COUNTIFS(A$6:A470,A470,Z$6:Z470,1),INDEX(AA$6:AA469,MATCH(Y470,Y$6:Y469,0))))</f>
        <v/>
      </c>
      <c r="AB470" s="57" t="str">
        <f>IF(B470="","",COUNTIF(B$6:B470,B470))</f>
        <v/>
      </c>
      <c r="AC470" s="57" t="str">
        <f>IF(B470="","",B470&amp;"#"&amp;AB470)</f>
        <v/>
      </c>
      <c r="AD470" s="57" t="str">
        <f>IF(Z470=1,A470&amp;AA470,"")</f>
        <v/>
      </c>
      <c r="AE470" s="57" t="str">
        <f>IF(B470="","",YEAR(C470))</f>
        <v/>
      </c>
      <c r="AF470" s="57" t="str">
        <f>IF(B470="","",MONTH(C470))</f>
        <v/>
      </c>
      <c r="AG470" s="57">
        <f>IF(ISNUMBER(C470),C470,0)</f>
        <v>0.0</v>
      </c>
      <c r="AH470" s="57" t="str">
        <f>IF(N(W470)&gt;0,COUNTIF(W$6:W470,"&gt;0"),"")</f>
        <v/>
      </c>
      <c r="AI470" s="57" t="str">
        <f>IF(Z470=1,COUNTIF(Z$6:Z470,1),"")</f>
        <v/>
      </c>
    </row>
    <row r="471">
      <c r="A471" s="54" t="n"/>
      <c r="B471" s="55" t="str">
        <f>IF(AA471="","",A471&amp;"-"&amp;RIGHT("000"&amp;AA471,4))</f>
        <v/>
      </c>
      <c r="C471" s="56" t="n"/>
      <c r="D471" s="54" t="n"/>
      <c r="E471" s="57" t="str">
        <f>IF(D471="","",IF(A471="BL",IFERROR(INDEX(cl_name,MATCH(D471,cl_code,0))&amp;"","Client inconnu"),IF(A471="BR",IFERROR(INDEX(fo_name,MATCH(D471,fo_code,0))&amp;"","Fournisseur inconnu"),IF(A471="BS",IF(ISNA(MATCH(D471,p_services,0)),"Service inconnu",D471&amp;""),""))))</f>
        <v/>
      </c>
      <c r="F471" s="58" t="n"/>
      <c r="G471" s="58" t="n"/>
      <c r="H471" s="59" t="n"/>
      <c r="I471" s="57" t="str">
        <f>IF(H471="","",IFERROR(INDEX(art_des,MATCH(H471,art_ref,0))&amp;"","Article inconnu"))</f>
        <v/>
      </c>
      <c r="J471" s="60" t="str">
        <f>IF(H471="","",IFERROR(INDEX(art_unit,MATCH(H471,art_ref,0))&amp;"",""))</f>
        <v/>
      </c>
      <c r="K471" s="59" t="n"/>
      <c r="L471" s="59" t="n"/>
      <c r="M471" s="61" t="str">
        <f>IF(OR(B471="",NOT(ISNUMBER(K471)),NOT(ISNUMBER(L471))),"",IF(OR(K471&lt;=0,L471&lt;=0),"",ROUND(L471-K471,6)))</f>
        <v/>
      </c>
      <c r="N471" s="58" t="n"/>
      <c r="O471" s="62" t="n"/>
      <c r="P471" s="63" t="str">
        <f>IF(OR(B471="",NOT(ISNUMBER(L471))),"",IF(L471&lt;=0,"",IFERROR(ROUND(L471*N(INDEX(art_w,MATCH(H471,art_ref,0))),3),"")))</f>
        <v/>
      </c>
      <c r="Q471" s="59" t="n"/>
      <c r="R471" s="54" t="n"/>
      <c r="S471" s="59" t="n"/>
      <c r="T471" s="59" t="n"/>
      <c r="U471" s="64" t="str">
        <f>IF(OR(B471="",H471=""),"",IFERROR(IF(A471="BL",IF(N(INDEX(art_price,MATCH(H471,art_ref,0)))=0,"",N(INDEX(art_price,MATCH(H471,art_ref,0)))),IF(N(INDEX(art_cost,MATCH(H471,art_ref,0)))=0,"",N(INDEX(art_cost,MATCH(H471,art_ref,0))))),""))</f>
        <v/>
      </c>
      <c r="V471" s="64" t="str">
        <f>IF(OR(U471="",NOT(ISNUMBER(L471))),"",IF(L471&lt;=0,"",ROUND(L471*U471,2)))</f>
        <v/>
      </c>
      <c r="W471" s="60" t="str">
        <f>IF(AND(B471&lt;&gt;"",A471&lt;&gt;"BS",F471&lt;&gt;"",H471&lt;&gt;"",ISNUMBER(K471),ISNUMBER(L471)),IF(AND(K471&gt;0,L471&gt;0,K471-L471&gt;0,COUNTIFS(A472:A$2005,A471,F472:F$2005,F471,H472:H$2005,H471,AA472:AA$2005,"&gt;0")=0),ROUND(K471-L471,6),""),"")</f>
        <v/>
      </c>
      <c r="X471" s="60" t="str">
        <f>IF(AND(A471="",C471="",D471="",H471="",L471=""),"",IF(A471="","Type manquant",IF(AND(A471&lt;&gt;"BL",A471&lt;&gt;"BR",A471&lt;&gt;"BS"),"Type inconnu (BL, BR ou BS)",IF(AG471=0,"Date manquante ou invalide",IF(D471="",IF(A471="BL","Client manquant",IF(A471="BR","Fournisseur manquant","Service manquant")),IF(IF(A471="BL",ISNA(MATCH(D471,cl_code,0)),IF(A471="BR",ISNA(MATCH(D471,fo_code,0)),ISNA(MATCH(D471,p_services,0)))),IF(A471="BL","Client inconnu",IF(A471="BR","Fournisseur inconnu","Service inconnu")),IF(H471="","Article manquant",IF(ISNA(MATCH(H471,art_ref,0)),"Article inconnu",IF(OR(NOT(ISNUMBER(L471)),N(L471)&lt;=0),"Quantité invalide",IF(AND(K471&lt;&gt;"",OR(NOT(ISNUMBER(K471)),N(K471)&lt;=0)),"Qté commandée invalide",IF(AG471&lt;SUMPRODUCT(MAX((A$6:A470=A471)*AG$6:AG470)),"Date antérieure au bon précédent",IF(AND(A471&lt;&gt;"BR",ISNUMBER(M471),N(M471)&gt;0),IF(A471="BL","Livré plus que commandé","Sorti plus que demandé"),"OK"))))))))))))</f>
        <v/>
      </c>
      <c r="Y471" s="57" t="str">
        <f>IF(AND(OR(A471="BL",A471="BR",A471="BS"),AG471&gt;0,D471&lt;&gt;""),A471&amp;"|"&amp;AG471&amp;"|"&amp;D471&amp;"|"&amp;F471,"")</f>
        <v/>
      </c>
      <c r="Z471" s="57" t="str">
        <f>IF(Y471="","",IF(COUNTIF(Y$6:Y470,Y471)=0,1,0))</f>
        <v/>
      </c>
      <c r="AA471" s="57" t="str">
        <f>IF(Y471="","",IF(Z471=1,COUNTIFS(A$6:A471,A471,Z$6:Z471,1),INDEX(AA$6:AA470,MATCH(Y471,Y$6:Y470,0))))</f>
        <v/>
      </c>
      <c r="AB471" s="57" t="str">
        <f>IF(B471="","",COUNTIF(B$6:B471,B471))</f>
        <v/>
      </c>
      <c r="AC471" s="57" t="str">
        <f>IF(B471="","",B471&amp;"#"&amp;AB471)</f>
        <v/>
      </c>
      <c r="AD471" s="57" t="str">
        <f>IF(Z471=1,A471&amp;AA471,"")</f>
        <v/>
      </c>
      <c r="AE471" s="57" t="str">
        <f>IF(B471="","",YEAR(C471))</f>
        <v/>
      </c>
      <c r="AF471" s="57" t="str">
        <f>IF(B471="","",MONTH(C471))</f>
        <v/>
      </c>
      <c r="AG471" s="57">
        <f>IF(ISNUMBER(C471),C471,0)</f>
        <v>0.0</v>
      </c>
      <c r="AH471" s="57" t="str">
        <f>IF(N(W471)&gt;0,COUNTIF(W$6:W471,"&gt;0"),"")</f>
        <v/>
      </c>
      <c r="AI471" s="57" t="str">
        <f>IF(Z471=1,COUNTIF(Z$6:Z471,1),"")</f>
        <v/>
      </c>
    </row>
    <row r="472">
      <c r="A472" s="54" t="n"/>
      <c r="B472" s="55" t="str">
        <f>IF(AA472="","",A472&amp;"-"&amp;RIGHT("000"&amp;AA472,4))</f>
        <v/>
      </c>
      <c r="C472" s="56" t="n"/>
      <c r="D472" s="54" t="n"/>
      <c r="E472" s="57" t="str">
        <f>IF(D472="","",IF(A472="BL",IFERROR(INDEX(cl_name,MATCH(D472,cl_code,0))&amp;"","Client inconnu"),IF(A472="BR",IFERROR(INDEX(fo_name,MATCH(D472,fo_code,0))&amp;"","Fournisseur inconnu"),IF(A472="BS",IF(ISNA(MATCH(D472,p_services,0)),"Service inconnu",D472&amp;""),""))))</f>
        <v/>
      </c>
      <c r="F472" s="58" t="n"/>
      <c r="G472" s="58" t="n"/>
      <c r="H472" s="59" t="n"/>
      <c r="I472" s="57" t="str">
        <f>IF(H472="","",IFERROR(INDEX(art_des,MATCH(H472,art_ref,0))&amp;"","Article inconnu"))</f>
        <v/>
      </c>
      <c r="J472" s="60" t="str">
        <f>IF(H472="","",IFERROR(INDEX(art_unit,MATCH(H472,art_ref,0))&amp;"",""))</f>
        <v/>
      </c>
      <c r="K472" s="59" t="n"/>
      <c r="L472" s="59" t="n"/>
      <c r="M472" s="61" t="str">
        <f>IF(OR(B472="",NOT(ISNUMBER(K472)),NOT(ISNUMBER(L472))),"",IF(OR(K472&lt;=0,L472&lt;=0),"",ROUND(L472-K472,6)))</f>
        <v/>
      </c>
      <c r="N472" s="58" t="n"/>
      <c r="O472" s="62" t="n"/>
      <c r="P472" s="63" t="str">
        <f>IF(OR(B472="",NOT(ISNUMBER(L472))),"",IF(L472&lt;=0,"",IFERROR(ROUND(L472*N(INDEX(art_w,MATCH(H472,art_ref,0))),3),"")))</f>
        <v/>
      </c>
      <c r="Q472" s="59" t="n"/>
      <c r="R472" s="54" t="n"/>
      <c r="S472" s="59" t="n"/>
      <c r="T472" s="59" t="n"/>
      <c r="U472" s="64" t="str">
        <f>IF(OR(B472="",H472=""),"",IFERROR(IF(A472="BL",IF(N(INDEX(art_price,MATCH(H472,art_ref,0)))=0,"",N(INDEX(art_price,MATCH(H472,art_ref,0)))),IF(N(INDEX(art_cost,MATCH(H472,art_ref,0)))=0,"",N(INDEX(art_cost,MATCH(H472,art_ref,0))))),""))</f>
        <v/>
      </c>
      <c r="V472" s="64" t="str">
        <f>IF(OR(U472="",NOT(ISNUMBER(L472))),"",IF(L472&lt;=0,"",ROUND(L472*U472,2)))</f>
        <v/>
      </c>
      <c r="W472" s="60" t="str">
        <f>IF(AND(B472&lt;&gt;"",A472&lt;&gt;"BS",F472&lt;&gt;"",H472&lt;&gt;"",ISNUMBER(K472),ISNUMBER(L472)),IF(AND(K472&gt;0,L472&gt;0,K472-L472&gt;0,COUNTIFS(A473:A$2005,A472,F473:F$2005,F472,H473:H$2005,H472,AA473:AA$2005,"&gt;0")=0),ROUND(K472-L472,6),""),"")</f>
        <v/>
      </c>
      <c r="X472" s="60" t="str">
        <f>IF(AND(A472="",C472="",D472="",H472="",L472=""),"",IF(A472="","Type manquant",IF(AND(A472&lt;&gt;"BL",A472&lt;&gt;"BR",A472&lt;&gt;"BS"),"Type inconnu (BL, BR ou BS)",IF(AG472=0,"Date manquante ou invalide",IF(D472="",IF(A472="BL","Client manquant",IF(A472="BR","Fournisseur manquant","Service manquant")),IF(IF(A472="BL",ISNA(MATCH(D472,cl_code,0)),IF(A472="BR",ISNA(MATCH(D472,fo_code,0)),ISNA(MATCH(D472,p_services,0)))),IF(A472="BL","Client inconnu",IF(A472="BR","Fournisseur inconnu","Service inconnu")),IF(H472="","Article manquant",IF(ISNA(MATCH(H472,art_ref,0)),"Article inconnu",IF(OR(NOT(ISNUMBER(L472)),N(L472)&lt;=0),"Quantité invalide",IF(AND(K472&lt;&gt;"",OR(NOT(ISNUMBER(K472)),N(K472)&lt;=0)),"Qté commandée invalide",IF(AG472&lt;SUMPRODUCT(MAX((A$6:A471=A472)*AG$6:AG471)),"Date antérieure au bon précédent",IF(AND(A472&lt;&gt;"BR",ISNUMBER(M472),N(M472)&gt;0),IF(A472="BL","Livré plus que commandé","Sorti plus que demandé"),"OK"))))))))))))</f>
        <v/>
      </c>
      <c r="Y472" s="57" t="str">
        <f>IF(AND(OR(A472="BL",A472="BR",A472="BS"),AG472&gt;0,D472&lt;&gt;""),A472&amp;"|"&amp;AG472&amp;"|"&amp;D472&amp;"|"&amp;F472,"")</f>
        <v/>
      </c>
      <c r="Z472" s="57" t="str">
        <f>IF(Y472="","",IF(COUNTIF(Y$6:Y471,Y472)=0,1,0))</f>
        <v/>
      </c>
      <c r="AA472" s="57" t="str">
        <f>IF(Y472="","",IF(Z472=1,COUNTIFS(A$6:A472,A472,Z$6:Z472,1),INDEX(AA$6:AA471,MATCH(Y472,Y$6:Y471,0))))</f>
        <v/>
      </c>
      <c r="AB472" s="57" t="str">
        <f>IF(B472="","",COUNTIF(B$6:B472,B472))</f>
        <v/>
      </c>
      <c r="AC472" s="57" t="str">
        <f>IF(B472="","",B472&amp;"#"&amp;AB472)</f>
        <v/>
      </c>
      <c r="AD472" s="57" t="str">
        <f>IF(Z472=1,A472&amp;AA472,"")</f>
        <v/>
      </c>
      <c r="AE472" s="57" t="str">
        <f>IF(B472="","",YEAR(C472))</f>
        <v/>
      </c>
      <c r="AF472" s="57" t="str">
        <f>IF(B472="","",MONTH(C472))</f>
        <v/>
      </c>
      <c r="AG472" s="57">
        <f>IF(ISNUMBER(C472),C472,0)</f>
        <v>0.0</v>
      </c>
      <c r="AH472" s="57" t="str">
        <f>IF(N(W472)&gt;0,COUNTIF(W$6:W472,"&gt;0"),"")</f>
        <v/>
      </c>
      <c r="AI472" s="57" t="str">
        <f>IF(Z472=1,COUNTIF(Z$6:Z472,1),"")</f>
        <v/>
      </c>
    </row>
    <row r="473">
      <c r="A473" s="54" t="n"/>
      <c r="B473" s="55" t="str">
        <f>IF(AA473="","",A473&amp;"-"&amp;RIGHT("000"&amp;AA473,4))</f>
        <v/>
      </c>
      <c r="C473" s="56" t="n"/>
      <c r="D473" s="54" t="n"/>
      <c r="E473" s="57" t="str">
        <f>IF(D473="","",IF(A473="BL",IFERROR(INDEX(cl_name,MATCH(D473,cl_code,0))&amp;"","Client inconnu"),IF(A473="BR",IFERROR(INDEX(fo_name,MATCH(D473,fo_code,0))&amp;"","Fournisseur inconnu"),IF(A473="BS",IF(ISNA(MATCH(D473,p_services,0)),"Service inconnu",D473&amp;""),""))))</f>
        <v/>
      </c>
      <c r="F473" s="58" t="n"/>
      <c r="G473" s="58" t="n"/>
      <c r="H473" s="59" t="n"/>
      <c r="I473" s="57" t="str">
        <f>IF(H473="","",IFERROR(INDEX(art_des,MATCH(H473,art_ref,0))&amp;"","Article inconnu"))</f>
        <v/>
      </c>
      <c r="J473" s="60" t="str">
        <f>IF(H473="","",IFERROR(INDEX(art_unit,MATCH(H473,art_ref,0))&amp;"",""))</f>
        <v/>
      </c>
      <c r="K473" s="59" t="n"/>
      <c r="L473" s="59" t="n"/>
      <c r="M473" s="61" t="str">
        <f>IF(OR(B473="",NOT(ISNUMBER(K473)),NOT(ISNUMBER(L473))),"",IF(OR(K473&lt;=0,L473&lt;=0),"",ROUND(L473-K473,6)))</f>
        <v/>
      </c>
      <c r="N473" s="58" t="n"/>
      <c r="O473" s="62" t="n"/>
      <c r="P473" s="63" t="str">
        <f>IF(OR(B473="",NOT(ISNUMBER(L473))),"",IF(L473&lt;=0,"",IFERROR(ROUND(L473*N(INDEX(art_w,MATCH(H473,art_ref,0))),3),"")))</f>
        <v/>
      </c>
      <c r="Q473" s="59" t="n"/>
      <c r="R473" s="54" t="n"/>
      <c r="S473" s="59" t="n"/>
      <c r="T473" s="59" t="n"/>
      <c r="U473" s="64" t="str">
        <f>IF(OR(B473="",H473=""),"",IFERROR(IF(A473="BL",IF(N(INDEX(art_price,MATCH(H473,art_ref,0)))=0,"",N(INDEX(art_price,MATCH(H473,art_ref,0)))),IF(N(INDEX(art_cost,MATCH(H473,art_ref,0)))=0,"",N(INDEX(art_cost,MATCH(H473,art_ref,0))))),""))</f>
        <v/>
      </c>
      <c r="V473" s="64" t="str">
        <f>IF(OR(U473="",NOT(ISNUMBER(L473))),"",IF(L473&lt;=0,"",ROUND(L473*U473,2)))</f>
        <v/>
      </c>
      <c r="W473" s="60" t="str">
        <f>IF(AND(B473&lt;&gt;"",A473&lt;&gt;"BS",F473&lt;&gt;"",H473&lt;&gt;"",ISNUMBER(K473),ISNUMBER(L473)),IF(AND(K473&gt;0,L473&gt;0,K473-L473&gt;0,COUNTIFS(A474:A$2005,A473,F474:F$2005,F473,H474:H$2005,H473,AA474:AA$2005,"&gt;0")=0),ROUND(K473-L473,6),""),"")</f>
        <v/>
      </c>
      <c r="X473" s="60" t="str">
        <f>IF(AND(A473="",C473="",D473="",H473="",L473=""),"",IF(A473="","Type manquant",IF(AND(A473&lt;&gt;"BL",A473&lt;&gt;"BR",A473&lt;&gt;"BS"),"Type inconnu (BL, BR ou BS)",IF(AG473=0,"Date manquante ou invalide",IF(D473="",IF(A473="BL","Client manquant",IF(A473="BR","Fournisseur manquant","Service manquant")),IF(IF(A473="BL",ISNA(MATCH(D473,cl_code,0)),IF(A473="BR",ISNA(MATCH(D473,fo_code,0)),ISNA(MATCH(D473,p_services,0)))),IF(A473="BL","Client inconnu",IF(A473="BR","Fournisseur inconnu","Service inconnu")),IF(H473="","Article manquant",IF(ISNA(MATCH(H473,art_ref,0)),"Article inconnu",IF(OR(NOT(ISNUMBER(L473)),N(L473)&lt;=0),"Quantité invalide",IF(AND(K473&lt;&gt;"",OR(NOT(ISNUMBER(K473)),N(K473)&lt;=0)),"Qté commandée invalide",IF(AG473&lt;SUMPRODUCT(MAX((A$6:A472=A473)*AG$6:AG472)),"Date antérieure au bon précédent",IF(AND(A473&lt;&gt;"BR",ISNUMBER(M473),N(M473)&gt;0),IF(A473="BL","Livré plus que commandé","Sorti plus que demandé"),"OK"))))))))))))</f>
        <v/>
      </c>
      <c r="Y473" s="57" t="str">
        <f>IF(AND(OR(A473="BL",A473="BR",A473="BS"),AG473&gt;0,D473&lt;&gt;""),A473&amp;"|"&amp;AG473&amp;"|"&amp;D473&amp;"|"&amp;F473,"")</f>
        <v/>
      </c>
      <c r="Z473" s="57" t="str">
        <f>IF(Y473="","",IF(COUNTIF(Y$6:Y472,Y473)=0,1,0))</f>
        <v/>
      </c>
      <c r="AA473" s="57" t="str">
        <f>IF(Y473="","",IF(Z473=1,COUNTIFS(A$6:A473,A473,Z$6:Z473,1),INDEX(AA$6:AA472,MATCH(Y473,Y$6:Y472,0))))</f>
        <v/>
      </c>
      <c r="AB473" s="57" t="str">
        <f>IF(B473="","",COUNTIF(B$6:B473,B473))</f>
        <v/>
      </c>
      <c r="AC473" s="57" t="str">
        <f>IF(B473="","",B473&amp;"#"&amp;AB473)</f>
        <v/>
      </c>
      <c r="AD473" s="57" t="str">
        <f>IF(Z473=1,A473&amp;AA473,"")</f>
        <v/>
      </c>
      <c r="AE473" s="57" t="str">
        <f>IF(B473="","",YEAR(C473))</f>
        <v/>
      </c>
      <c r="AF473" s="57" t="str">
        <f>IF(B473="","",MONTH(C473))</f>
        <v/>
      </c>
      <c r="AG473" s="57">
        <f>IF(ISNUMBER(C473),C473,0)</f>
        <v>0.0</v>
      </c>
      <c r="AH473" s="57" t="str">
        <f>IF(N(W473)&gt;0,COUNTIF(W$6:W473,"&gt;0"),"")</f>
        <v/>
      </c>
      <c r="AI473" s="57" t="str">
        <f>IF(Z473=1,COUNTIF(Z$6:Z473,1),"")</f>
        <v/>
      </c>
    </row>
    <row r="474">
      <c r="A474" s="54" t="n"/>
      <c r="B474" s="55" t="str">
        <f>IF(AA474="","",A474&amp;"-"&amp;RIGHT("000"&amp;AA474,4))</f>
        <v/>
      </c>
      <c r="C474" s="56" t="n"/>
      <c r="D474" s="54" t="n"/>
      <c r="E474" s="57" t="str">
        <f>IF(D474="","",IF(A474="BL",IFERROR(INDEX(cl_name,MATCH(D474,cl_code,0))&amp;"","Client inconnu"),IF(A474="BR",IFERROR(INDEX(fo_name,MATCH(D474,fo_code,0))&amp;"","Fournisseur inconnu"),IF(A474="BS",IF(ISNA(MATCH(D474,p_services,0)),"Service inconnu",D474&amp;""),""))))</f>
        <v/>
      </c>
      <c r="F474" s="58" t="n"/>
      <c r="G474" s="58" t="n"/>
      <c r="H474" s="59" t="n"/>
      <c r="I474" s="57" t="str">
        <f>IF(H474="","",IFERROR(INDEX(art_des,MATCH(H474,art_ref,0))&amp;"","Article inconnu"))</f>
        <v/>
      </c>
      <c r="J474" s="60" t="str">
        <f>IF(H474="","",IFERROR(INDEX(art_unit,MATCH(H474,art_ref,0))&amp;"",""))</f>
        <v/>
      </c>
      <c r="K474" s="59" t="n"/>
      <c r="L474" s="59" t="n"/>
      <c r="M474" s="61" t="str">
        <f>IF(OR(B474="",NOT(ISNUMBER(K474)),NOT(ISNUMBER(L474))),"",IF(OR(K474&lt;=0,L474&lt;=0),"",ROUND(L474-K474,6)))</f>
        <v/>
      </c>
      <c r="N474" s="58" t="n"/>
      <c r="O474" s="62" t="n"/>
      <c r="P474" s="63" t="str">
        <f>IF(OR(B474="",NOT(ISNUMBER(L474))),"",IF(L474&lt;=0,"",IFERROR(ROUND(L474*N(INDEX(art_w,MATCH(H474,art_ref,0))),3),"")))</f>
        <v/>
      </c>
      <c r="Q474" s="59" t="n"/>
      <c r="R474" s="54" t="n"/>
      <c r="S474" s="59" t="n"/>
      <c r="T474" s="59" t="n"/>
      <c r="U474" s="64" t="str">
        <f>IF(OR(B474="",H474=""),"",IFERROR(IF(A474="BL",IF(N(INDEX(art_price,MATCH(H474,art_ref,0)))=0,"",N(INDEX(art_price,MATCH(H474,art_ref,0)))),IF(N(INDEX(art_cost,MATCH(H474,art_ref,0)))=0,"",N(INDEX(art_cost,MATCH(H474,art_ref,0))))),""))</f>
        <v/>
      </c>
      <c r="V474" s="64" t="str">
        <f>IF(OR(U474="",NOT(ISNUMBER(L474))),"",IF(L474&lt;=0,"",ROUND(L474*U474,2)))</f>
        <v/>
      </c>
      <c r="W474" s="60" t="str">
        <f>IF(AND(B474&lt;&gt;"",A474&lt;&gt;"BS",F474&lt;&gt;"",H474&lt;&gt;"",ISNUMBER(K474),ISNUMBER(L474)),IF(AND(K474&gt;0,L474&gt;0,K474-L474&gt;0,COUNTIFS(A475:A$2005,A474,F475:F$2005,F474,H475:H$2005,H474,AA475:AA$2005,"&gt;0")=0),ROUND(K474-L474,6),""),"")</f>
        <v/>
      </c>
      <c r="X474" s="60" t="str">
        <f>IF(AND(A474="",C474="",D474="",H474="",L474=""),"",IF(A474="","Type manquant",IF(AND(A474&lt;&gt;"BL",A474&lt;&gt;"BR",A474&lt;&gt;"BS"),"Type inconnu (BL, BR ou BS)",IF(AG474=0,"Date manquante ou invalide",IF(D474="",IF(A474="BL","Client manquant",IF(A474="BR","Fournisseur manquant","Service manquant")),IF(IF(A474="BL",ISNA(MATCH(D474,cl_code,0)),IF(A474="BR",ISNA(MATCH(D474,fo_code,0)),ISNA(MATCH(D474,p_services,0)))),IF(A474="BL","Client inconnu",IF(A474="BR","Fournisseur inconnu","Service inconnu")),IF(H474="","Article manquant",IF(ISNA(MATCH(H474,art_ref,0)),"Article inconnu",IF(OR(NOT(ISNUMBER(L474)),N(L474)&lt;=0),"Quantité invalide",IF(AND(K474&lt;&gt;"",OR(NOT(ISNUMBER(K474)),N(K474)&lt;=0)),"Qté commandée invalide",IF(AG474&lt;SUMPRODUCT(MAX((A$6:A473=A474)*AG$6:AG473)),"Date antérieure au bon précédent",IF(AND(A474&lt;&gt;"BR",ISNUMBER(M474),N(M474)&gt;0),IF(A474="BL","Livré plus que commandé","Sorti plus que demandé"),"OK"))))))))))))</f>
        <v/>
      </c>
      <c r="Y474" s="57" t="str">
        <f>IF(AND(OR(A474="BL",A474="BR",A474="BS"),AG474&gt;0,D474&lt;&gt;""),A474&amp;"|"&amp;AG474&amp;"|"&amp;D474&amp;"|"&amp;F474,"")</f>
        <v/>
      </c>
      <c r="Z474" s="57" t="str">
        <f>IF(Y474="","",IF(COUNTIF(Y$6:Y473,Y474)=0,1,0))</f>
        <v/>
      </c>
      <c r="AA474" s="57" t="str">
        <f>IF(Y474="","",IF(Z474=1,COUNTIFS(A$6:A474,A474,Z$6:Z474,1),INDEX(AA$6:AA473,MATCH(Y474,Y$6:Y473,0))))</f>
        <v/>
      </c>
      <c r="AB474" s="57" t="str">
        <f>IF(B474="","",COUNTIF(B$6:B474,B474))</f>
        <v/>
      </c>
      <c r="AC474" s="57" t="str">
        <f>IF(B474="","",B474&amp;"#"&amp;AB474)</f>
        <v/>
      </c>
      <c r="AD474" s="57" t="str">
        <f>IF(Z474=1,A474&amp;AA474,"")</f>
        <v/>
      </c>
      <c r="AE474" s="57" t="str">
        <f>IF(B474="","",YEAR(C474))</f>
        <v/>
      </c>
      <c r="AF474" s="57" t="str">
        <f>IF(B474="","",MONTH(C474))</f>
        <v/>
      </c>
      <c r="AG474" s="57">
        <f>IF(ISNUMBER(C474),C474,0)</f>
        <v>0.0</v>
      </c>
      <c r="AH474" s="57" t="str">
        <f>IF(N(W474)&gt;0,COUNTIF(W$6:W474,"&gt;0"),"")</f>
        <v/>
      </c>
      <c r="AI474" s="57" t="str">
        <f>IF(Z474=1,COUNTIF(Z$6:Z474,1),"")</f>
        <v/>
      </c>
    </row>
    <row r="475">
      <c r="A475" s="54" t="n"/>
      <c r="B475" s="55" t="str">
        <f>IF(AA475="","",A475&amp;"-"&amp;RIGHT("000"&amp;AA475,4))</f>
        <v/>
      </c>
      <c r="C475" s="56" t="n"/>
      <c r="D475" s="54" t="n"/>
      <c r="E475" s="57" t="str">
        <f>IF(D475="","",IF(A475="BL",IFERROR(INDEX(cl_name,MATCH(D475,cl_code,0))&amp;"","Client inconnu"),IF(A475="BR",IFERROR(INDEX(fo_name,MATCH(D475,fo_code,0))&amp;"","Fournisseur inconnu"),IF(A475="BS",IF(ISNA(MATCH(D475,p_services,0)),"Service inconnu",D475&amp;""),""))))</f>
        <v/>
      </c>
      <c r="F475" s="58" t="n"/>
      <c r="G475" s="58" t="n"/>
      <c r="H475" s="59" t="n"/>
      <c r="I475" s="57" t="str">
        <f>IF(H475="","",IFERROR(INDEX(art_des,MATCH(H475,art_ref,0))&amp;"","Article inconnu"))</f>
        <v/>
      </c>
      <c r="J475" s="60" t="str">
        <f>IF(H475="","",IFERROR(INDEX(art_unit,MATCH(H475,art_ref,0))&amp;"",""))</f>
        <v/>
      </c>
      <c r="K475" s="59" t="n"/>
      <c r="L475" s="59" t="n"/>
      <c r="M475" s="61" t="str">
        <f>IF(OR(B475="",NOT(ISNUMBER(K475)),NOT(ISNUMBER(L475))),"",IF(OR(K475&lt;=0,L475&lt;=0),"",ROUND(L475-K475,6)))</f>
        <v/>
      </c>
      <c r="N475" s="58" t="n"/>
      <c r="O475" s="62" t="n"/>
      <c r="P475" s="63" t="str">
        <f>IF(OR(B475="",NOT(ISNUMBER(L475))),"",IF(L475&lt;=0,"",IFERROR(ROUND(L475*N(INDEX(art_w,MATCH(H475,art_ref,0))),3),"")))</f>
        <v/>
      </c>
      <c r="Q475" s="59" t="n"/>
      <c r="R475" s="54" t="n"/>
      <c r="S475" s="59" t="n"/>
      <c r="T475" s="59" t="n"/>
      <c r="U475" s="64" t="str">
        <f>IF(OR(B475="",H475=""),"",IFERROR(IF(A475="BL",IF(N(INDEX(art_price,MATCH(H475,art_ref,0)))=0,"",N(INDEX(art_price,MATCH(H475,art_ref,0)))),IF(N(INDEX(art_cost,MATCH(H475,art_ref,0)))=0,"",N(INDEX(art_cost,MATCH(H475,art_ref,0))))),""))</f>
        <v/>
      </c>
      <c r="V475" s="64" t="str">
        <f>IF(OR(U475="",NOT(ISNUMBER(L475))),"",IF(L475&lt;=0,"",ROUND(L475*U475,2)))</f>
        <v/>
      </c>
      <c r="W475" s="60" t="str">
        <f>IF(AND(B475&lt;&gt;"",A475&lt;&gt;"BS",F475&lt;&gt;"",H475&lt;&gt;"",ISNUMBER(K475),ISNUMBER(L475)),IF(AND(K475&gt;0,L475&gt;0,K475-L475&gt;0,COUNTIFS(A476:A$2005,A475,F476:F$2005,F475,H476:H$2005,H475,AA476:AA$2005,"&gt;0")=0),ROUND(K475-L475,6),""),"")</f>
        <v/>
      </c>
      <c r="X475" s="60" t="str">
        <f>IF(AND(A475="",C475="",D475="",H475="",L475=""),"",IF(A475="","Type manquant",IF(AND(A475&lt;&gt;"BL",A475&lt;&gt;"BR",A475&lt;&gt;"BS"),"Type inconnu (BL, BR ou BS)",IF(AG475=0,"Date manquante ou invalide",IF(D475="",IF(A475="BL","Client manquant",IF(A475="BR","Fournisseur manquant","Service manquant")),IF(IF(A475="BL",ISNA(MATCH(D475,cl_code,0)),IF(A475="BR",ISNA(MATCH(D475,fo_code,0)),ISNA(MATCH(D475,p_services,0)))),IF(A475="BL","Client inconnu",IF(A475="BR","Fournisseur inconnu","Service inconnu")),IF(H475="","Article manquant",IF(ISNA(MATCH(H475,art_ref,0)),"Article inconnu",IF(OR(NOT(ISNUMBER(L475)),N(L475)&lt;=0),"Quantité invalide",IF(AND(K475&lt;&gt;"",OR(NOT(ISNUMBER(K475)),N(K475)&lt;=0)),"Qté commandée invalide",IF(AG475&lt;SUMPRODUCT(MAX((A$6:A474=A475)*AG$6:AG474)),"Date antérieure au bon précédent",IF(AND(A475&lt;&gt;"BR",ISNUMBER(M475),N(M475)&gt;0),IF(A475="BL","Livré plus que commandé","Sorti plus que demandé"),"OK"))))))))))))</f>
        <v/>
      </c>
      <c r="Y475" s="57" t="str">
        <f>IF(AND(OR(A475="BL",A475="BR",A475="BS"),AG475&gt;0,D475&lt;&gt;""),A475&amp;"|"&amp;AG475&amp;"|"&amp;D475&amp;"|"&amp;F475,"")</f>
        <v/>
      </c>
      <c r="Z475" s="57" t="str">
        <f>IF(Y475="","",IF(COUNTIF(Y$6:Y474,Y475)=0,1,0))</f>
        <v/>
      </c>
      <c r="AA475" s="57" t="str">
        <f>IF(Y475="","",IF(Z475=1,COUNTIFS(A$6:A475,A475,Z$6:Z475,1),INDEX(AA$6:AA474,MATCH(Y475,Y$6:Y474,0))))</f>
        <v/>
      </c>
      <c r="AB475" s="57" t="str">
        <f>IF(B475="","",COUNTIF(B$6:B475,B475))</f>
        <v/>
      </c>
      <c r="AC475" s="57" t="str">
        <f>IF(B475="","",B475&amp;"#"&amp;AB475)</f>
        <v/>
      </c>
      <c r="AD475" s="57" t="str">
        <f>IF(Z475=1,A475&amp;AA475,"")</f>
        <v/>
      </c>
      <c r="AE475" s="57" t="str">
        <f>IF(B475="","",YEAR(C475))</f>
        <v/>
      </c>
      <c r="AF475" s="57" t="str">
        <f>IF(B475="","",MONTH(C475))</f>
        <v/>
      </c>
      <c r="AG475" s="57">
        <f>IF(ISNUMBER(C475),C475,0)</f>
        <v>0.0</v>
      </c>
      <c r="AH475" s="57" t="str">
        <f>IF(N(W475)&gt;0,COUNTIF(W$6:W475,"&gt;0"),"")</f>
        <v/>
      </c>
      <c r="AI475" s="57" t="str">
        <f>IF(Z475=1,COUNTIF(Z$6:Z475,1),"")</f>
        <v/>
      </c>
    </row>
    <row r="476">
      <c r="A476" s="54" t="n"/>
      <c r="B476" s="55" t="str">
        <f>IF(AA476="","",A476&amp;"-"&amp;RIGHT("000"&amp;AA476,4))</f>
        <v/>
      </c>
      <c r="C476" s="56" t="n"/>
      <c r="D476" s="54" t="n"/>
      <c r="E476" s="57" t="str">
        <f>IF(D476="","",IF(A476="BL",IFERROR(INDEX(cl_name,MATCH(D476,cl_code,0))&amp;"","Client inconnu"),IF(A476="BR",IFERROR(INDEX(fo_name,MATCH(D476,fo_code,0))&amp;"","Fournisseur inconnu"),IF(A476="BS",IF(ISNA(MATCH(D476,p_services,0)),"Service inconnu",D476&amp;""),""))))</f>
        <v/>
      </c>
      <c r="F476" s="58" t="n"/>
      <c r="G476" s="58" t="n"/>
      <c r="H476" s="59" t="n"/>
      <c r="I476" s="57" t="str">
        <f>IF(H476="","",IFERROR(INDEX(art_des,MATCH(H476,art_ref,0))&amp;"","Article inconnu"))</f>
        <v/>
      </c>
      <c r="J476" s="60" t="str">
        <f>IF(H476="","",IFERROR(INDEX(art_unit,MATCH(H476,art_ref,0))&amp;"",""))</f>
        <v/>
      </c>
      <c r="K476" s="59" t="n"/>
      <c r="L476" s="59" t="n"/>
      <c r="M476" s="61" t="str">
        <f>IF(OR(B476="",NOT(ISNUMBER(K476)),NOT(ISNUMBER(L476))),"",IF(OR(K476&lt;=0,L476&lt;=0),"",ROUND(L476-K476,6)))</f>
        <v/>
      </c>
      <c r="N476" s="58" t="n"/>
      <c r="O476" s="62" t="n"/>
      <c r="P476" s="63" t="str">
        <f>IF(OR(B476="",NOT(ISNUMBER(L476))),"",IF(L476&lt;=0,"",IFERROR(ROUND(L476*N(INDEX(art_w,MATCH(H476,art_ref,0))),3),"")))</f>
        <v/>
      </c>
      <c r="Q476" s="59" t="n"/>
      <c r="R476" s="54" t="n"/>
      <c r="S476" s="59" t="n"/>
      <c r="T476" s="59" t="n"/>
      <c r="U476" s="64" t="str">
        <f>IF(OR(B476="",H476=""),"",IFERROR(IF(A476="BL",IF(N(INDEX(art_price,MATCH(H476,art_ref,0)))=0,"",N(INDEX(art_price,MATCH(H476,art_ref,0)))),IF(N(INDEX(art_cost,MATCH(H476,art_ref,0)))=0,"",N(INDEX(art_cost,MATCH(H476,art_ref,0))))),""))</f>
        <v/>
      </c>
      <c r="V476" s="64" t="str">
        <f>IF(OR(U476="",NOT(ISNUMBER(L476))),"",IF(L476&lt;=0,"",ROUND(L476*U476,2)))</f>
        <v/>
      </c>
      <c r="W476" s="60" t="str">
        <f>IF(AND(B476&lt;&gt;"",A476&lt;&gt;"BS",F476&lt;&gt;"",H476&lt;&gt;"",ISNUMBER(K476),ISNUMBER(L476)),IF(AND(K476&gt;0,L476&gt;0,K476-L476&gt;0,COUNTIFS(A477:A$2005,A476,F477:F$2005,F476,H477:H$2005,H476,AA477:AA$2005,"&gt;0")=0),ROUND(K476-L476,6),""),"")</f>
        <v/>
      </c>
      <c r="X476" s="60" t="str">
        <f>IF(AND(A476="",C476="",D476="",H476="",L476=""),"",IF(A476="","Type manquant",IF(AND(A476&lt;&gt;"BL",A476&lt;&gt;"BR",A476&lt;&gt;"BS"),"Type inconnu (BL, BR ou BS)",IF(AG476=0,"Date manquante ou invalide",IF(D476="",IF(A476="BL","Client manquant",IF(A476="BR","Fournisseur manquant","Service manquant")),IF(IF(A476="BL",ISNA(MATCH(D476,cl_code,0)),IF(A476="BR",ISNA(MATCH(D476,fo_code,0)),ISNA(MATCH(D476,p_services,0)))),IF(A476="BL","Client inconnu",IF(A476="BR","Fournisseur inconnu","Service inconnu")),IF(H476="","Article manquant",IF(ISNA(MATCH(H476,art_ref,0)),"Article inconnu",IF(OR(NOT(ISNUMBER(L476)),N(L476)&lt;=0),"Quantité invalide",IF(AND(K476&lt;&gt;"",OR(NOT(ISNUMBER(K476)),N(K476)&lt;=0)),"Qté commandée invalide",IF(AG476&lt;SUMPRODUCT(MAX((A$6:A475=A476)*AG$6:AG475)),"Date antérieure au bon précédent",IF(AND(A476&lt;&gt;"BR",ISNUMBER(M476),N(M476)&gt;0),IF(A476="BL","Livré plus que commandé","Sorti plus que demandé"),"OK"))))))))))))</f>
        <v/>
      </c>
      <c r="Y476" s="57" t="str">
        <f>IF(AND(OR(A476="BL",A476="BR",A476="BS"),AG476&gt;0,D476&lt;&gt;""),A476&amp;"|"&amp;AG476&amp;"|"&amp;D476&amp;"|"&amp;F476,"")</f>
        <v/>
      </c>
      <c r="Z476" s="57" t="str">
        <f>IF(Y476="","",IF(COUNTIF(Y$6:Y475,Y476)=0,1,0))</f>
        <v/>
      </c>
      <c r="AA476" s="57" t="str">
        <f>IF(Y476="","",IF(Z476=1,COUNTIFS(A$6:A476,A476,Z$6:Z476,1),INDEX(AA$6:AA475,MATCH(Y476,Y$6:Y475,0))))</f>
        <v/>
      </c>
      <c r="AB476" s="57" t="str">
        <f>IF(B476="","",COUNTIF(B$6:B476,B476))</f>
        <v/>
      </c>
      <c r="AC476" s="57" t="str">
        <f>IF(B476="","",B476&amp;"#"&amp;AB476)</f>
        <v/>
      </c>
      <c r="AD476" s="57" t="str">
        <f>IF(Z476=1,A476&amp;AA476,"")</f>
        <v/>
      </c>
      <c r="AE476" s="57" t="str">
        <f>IF(B476="","",YEAR(C476))</f>
        <v/>
      </c>
      <c r="AF476" s="57" t="str">
        <f>IF(B476="","",MONTH(C476))</f>
        <v/>
      </c>
      <c r="AG476" s="57">
        <f>IF(ISNUMBER(C476),C476,0)</f>
        <v>0.0</v>
      </c>
      <c r="AH476" s="57" t="str">
        <f>IF(N(W476)&gt;0,COUNTIF(W$6:W476,"&gt;0"),"")</f>
        <v/>
      </c>
      <c r="AI476" s="57" t="str">
        <f>IF(Z476=1,COUNTIF(Z$6:Z476,1),"")</f>
        <v/>
      </c>
    </row>
    <row r="477">
      <c r="A477" s="54" t="n"/>
      <c r="B477" s="55" t="str">
        <f>IF(AA477="","",A477&amp;"-"&amp;RIGHT("000"&amp;AA477,4))</f>
        <v/>
      </c>
      <c r="C477" s="56" t="n"/>
      <c r="D477" s="54" t="n"/>
      <c r="E477" s="57" t="str">
        <f>IF(D477="","",IF(A477="BL",IFERROR(INDEX(cl_name,MATCH(D477,cl_code,0))&amp;"","Client inconnu"),IF(A477="BR",IFERROR(INDEX(fo_name,MATCH(D477,fo_code,0))&amp;"","Fournisseur inconnu"),IF(A477="BS",IF(ISNA(MATCH(D477,p_services,0)),"Service inconnu",D477&amp;""),""))))</f>
        <v/>
      </c>
      <c r="F477" s="58" t="n"/>
      <c r="G477" s="58" t="n"/>
      <c r="H477" s="59" t="n"/>
      <c r="I477" s="57" t="str">
        <f>IF(H477="","",IFERROR(INDEX(art_des,MATCH(H477,art_ref,0))&amp;"","Article inconnu"))</f>
        <v/>
      </c>
      <c r="J477" s="60" t="str">
        <f>IF(H477="","",IFERROR(INDEX(art_unit,MATCH(H477,art_ref,0))&amp;"",""))</f>
        <v/>
      </c>
      <c r="K477" s="59" t="n"/>
      <c r="L477" s="59" t="n"/>
      <c r="M477" s="61" t="str">
        <f>IF(OR(B477="",NOT(ISNUMBER(K477)),NOT(ISNUMBER(L477))),"",IF(OR(K477&lt;=0,L477&lt;=0),"",ROUND(L477-K477,6)))</f>
        <v/>
      </c>
      <c r="N477" s="58" t="n"/>
      <c r="O477" s="62" t="n"/>
      <c r="P477" s="63" t="str">
        <f>IF(OR(B477="",NOT(ISNUMBER(L477))),"",IF(L477&lt;=0,"",IFERROR(ROUND(L477*N(INDEX(art_w,MATCH(H477,art_ref,0))),3),"")))</f>
        <v/>
      </c>
      <c r="Q477" s="59" t="n"/>
      <c r="R477" s="54" t="n"/>
      <c r="S477" s="59" t="n"/>
      <c r="T477" s="59" t="n"/>
      <c r="U477" s="64" t="str">
        <f>IF(OR(B477="",H477=""),"",IFERROR(IF(A477="BL",IF(N(INDEX(art_price,MATCH(H477,art_ref,0)))=0,"",N(INDEX(art_price,MATCH(H477,art_ref,0)))),IF(N(INDEX(art_cost,MATCH(H477,art_ref,0)))=0,"",N(INDEX(art_cost,MATCH(H477,art_ref,0))))),""))</f>
        <v/>
      </c>
      <c r="V477" s="64" t="str">
        <f>IF(OR(U477="",NOT(ISNUMBER(L477))),"",IF(L477&lt;=0,"",ROUND(L477*U477,2)))</f>
        <v/>
      </c>
      <c r="W477" s="60" t="str">
        <f>IF(AND(B477&lt;&gt;"",A477&lt;&gt;"BS",F477&lt;&gt;"",H477&lt;&gt;"",ISNUMBER(K477),ISNUMBER(L477)),IF(AND(K477&gt;0,L477&gt;0,K477-L477&gt;0,COUNTIFS(A478:A$2005,A477,F478:F$2005,F477,H478:H$2005,H477,AA478:AA$2005,"&gt;0")=0),ROUND(K477-L477,6),""),"")</f>
        <v/>
      </c>
      <c r="X477" s="60" t="str">
        <f>IF(AND(A477="",C477="",D477="",H477="",L477=""),"",IF(A477="","Type manquant",IF(AND(A477&lt;&gt;"BL",A477&lt;&gt;"BR",A477&lt;&gt;"BS"),"Type inconnu (BL, BR ou BS)",IF(AG477=0,"Date manquante ou invalide",IF(D477="",IF(A477="BL","Client manquant",IF(A477="BR","Fournisseur manquant","Service manquant")),IF(IF(A477="BL",ISNA(MATCH(D477,cl_code,0)),IF(A477="BR",ISNA(MATCH(D477,fo_code,0)),ISNA(MATCH(D477,p_services,0)))),IF(A477="BL","Client inconnu",IF(A477="BR","Fournisseur inconnu","Service inconnu")),IF(H477="","Article manquant",IF(ISNA(MATCH(H477,art_ref,0)),"Article inconnu",IF(OR(NOT(ISNUMBER(L477)),N(L477)&lt;=0),"Quantité invalide",IF(AND(K477&lt;&gt;"",OR(NOT(ISNUMBER(K477)),N(K477)&lt;=0)),"Qté commandée invalide",IF(AG477&lt;SUMPRODUCT(MAX((A$6:A476=A477)*AG$6:AG476)),"Date antérieure au bon précédent",IF(AND(A477&lt;&gt;"BR",ISNUMBER(M477),N(M477)&gt;0),IF(A477="BL","Livré plus que commandé","Sorti plus que demandé"),"OK"))))))))))))</f>
        <v/>
      </c>
      <c r="Y477" s="57" t="str">
        <f>IF(AND(OR(A477="BL",A477="BR",A477="BS"),AG477&gt;0,D477&lt;&gt;""),A477&amp;"|"&amp;AG477&amp;"|"&amp;D477&amp;"|"&amp;F477,"")</f>
        <v/>
      </c>
      <c r="Z477" s="57" t="str">
        <f>IF(Y477="","",IF(COUNTIF(Y$6:Y476,Y477)=0,1,0))</f>
        <v/>
      </c>
      <c r="AA477" s="57" t="str">
        <f>IF(Y477="","",IF(Z477=1,COUNTIFS(A$6:A477,A477,Z$6:Z477,1),INDEX(AA$6:AA476,MATCH(Y477,Y$6:Y476,0))))</f>
        <v/>
      </c>
      <c r="AB477" s="57" t="str">
        <f>IF(B477="","",COUNTIF(B$6:B477,B477))</f>
        <v/>
      </c>
      <c r="AC477" s="57" t="str">
        <f>IF(B477="","",B477&amp;"#"&amp;AB477)</f>
        <v/>
      </c>
      <c r="AD477" s="57" t="str">
        <f>IF(Z477=1,A477&amp;AA477,"")</f>
        <v/>
      </c>
      <c r="AE477" s="57" t="str">
        <f>IF(B477="","",YEAR(C477))</f>
        <v/>
      </c>
      <c r="AF477" s="57" t="str">
        <f>IF(B477="","",MONTH(C477))</f>
        <v/>
      </c>
      <c r="AG477" s="57">
        <f>IF(ISNUMBER(C477),C477,0)</f>
        <v>0.0</v>
      </c>
      <c r="AH477" s="57" t="str">
        <f>IF(N(W477)&gt;0,COUNTIF(W$6:W477,"&gt;0"),"")</f>
        <v/>
      </c>
      <c r="AI477" s="57" t="str">
        <f>IF(Z477=1,COUNTIF(Z$6:Z477,1),"")</f>
        <v/>
      </c>
    </row>
    <row r="478">
      <c r="A478" s="54" t="n"/>
      <c r="B478" s="55" t="str">
        <f>IF(AA478="","",A478&amp;"-"&amp;RIGHT("000"&amp;AA478,4))</f>
        <v/>
      </c>
      <c r="C478" s="56" t="n"/>
      <c r="D478" s="54" t="n"/>
      <c r="E478" s="57" t="str">
        <f>IF(D478="","",IF(A478="BL",IFERROR(INDEX(cl_name,MATCH(D478,cl_code,0))&amp;"","Client inconnu"),IF(A478="BR",IFERROR(INDEX(fo_name,MATCH(D478,fo_code,0))&amp;"","Fournisseur inconnu"),IF(A478="BS",IF(ISNA(MATCH(D478,p_services,0)),"Service inconnu",D478&amp;""),""))))</f>
        <v/>
      </c>
      <c r="F478" s="58" t="n"/>
      <c r="G478" s="58" t="n"/>
      <c r="H478" s="59" t="n"/>
      <c r="I478" s="57" t="str">
        <f>IF(H478="","",IFERROR(INDEX(art_des,MATCH(H478,art_ref,0))&amp;"","Article inconnu"))</f>
        <v/>
      </c>
      <c r="J478" s="60" t="str">
        <f>IF(H478="","",IFERROR(INDEX(art_unit,MATCH(H478,art_ref,0))&amp;"",""))</f>
        <v/>
      </c>
      <c r="K478" s="59" t="n"/>
      <c r="L478" s="59" t="n"/>
      <c r="M478" s="61" t="str">
        <f>IF(OR(B478="",NOT(ISNUMBER(K478)),NOT(ISNUMBER(L478))),"",IF(OR(K478&lt;=0,L478&lt;=0),"",ROUND(L478-K478,6)))</f>
        <v/>
      </c>
      <c r="N478" s="58" t="n"/>
      <c r="O478" s="62" t="n"/>
      <c r="P478" s="63" t="str">
        <f>IF(OR(B478="",NOT(ISNUMBER(L478))),"",IF(L478&lt;=0,"",IFERROR(ROUND(L478*N(INDEX(art_w,MATCH(H478,art_ref,0))),3),"")))</f>
        <v/>
      </c>
      <c r="Q478" s="59" t="n"/>
      <c r="R478" s="54" t="n"/>
      <c r="S478" s="59" t="n"/>
      <c r="T478" s="59" t="n"/>
      <c r="U478" s="64" t="str">
        <f>IF(OR(B478="",H478=""),"",IFERROR(IF(A478="BL",IF(N(INDEX(art_price,MATCH(H478,art_ref,0)))=0,"",N(INDEX(art_price,MATCH(H478,art_ref,0)))),IF(N(INDEX(art_cost,MATCH(H478,art_ref,0)))=0,"",N(INDEX(art_cost,MATCH(H478,art_ref,0))))),""))</f>
        <v/>
      </c>
      <c r="V478" s="64" t="str">
        <f>IF(OR(U478="",NOT(ISNUMBER(L478))),"",IF(L478&lt;=0,"",ROUND(L478*U478,2)))</f>
        <v/>
      </c>
      <c r="W478" s="60" t="str">
        <f>IF(AND(B478&lt;&gt;"",A478&lt;&gt;"BS",F478&lt;&gt;"",H478&lt;&gt;"",ISNUMBER(K478),ISNUMBER(L478)),IF(AND(K478&gt;0,L478&gt;0,K478-L478&gt;0,COUNTIFS(A479:A$2005,A478,F479:F$2005,F478,H479:H$2005,H478,AA479:AA$2005,"&gt;0")=0),ROUND(K478-L478,6),""),"")</f>
        <v/>
      </c>
      <c r="X478" s="60" t="str">
        <f>IF(AND(A478="",C478="",D478="",H478="",L478=""),"",IF(A478="","Type manquant",IF(AND(A478&lt;&gt;"BL",A478&lt;&gt;"BR",A478&lt;&gt;"BS"),"Type inconnu (BL, BR ou BS)",IF(AG478=0,"Date manquante ou invalide",IF(D478="",IF(A478="BL","Client manquant",IF(A478="BR","Fournisseur manquant","Service manquant")),IF(IF(A478="BL",ISNA(MATCH(D478,cl_code,0)),IF(A478="BR",ISNA(MATCH(D478,fo_code,0)),ISNA(MATCH(D478,p_services,0)))),IF(A478="BL","Client inconnu",IF(A478="BR","Fournisseur inconnu","Service inconnu")),IF(H478="","Article manquant",IF(ISNA(MATCH(H478,art_ref,0)),"Article inconnu",IF(OR(NOT(ISNUMBER(L478)),N(L478)&lt;=0),"Quantité invalide",IF(AND(K478&lt;&gt;"",OR(NOT(ISNUMBER(K478)),N(K478)&lt;=0)),"Qté commandée invalide",IF(AG478&lt;SUMPRODUCT(MAX((A$6:A477=A478)*AG$6:AG477)),"Date antérieure au bon précédent",IF(AND(A478&lt;&gt;"BR",ISNUMBER(M478),N(M478)&gt;0),IF(A478="BL","Livré plus que commandé","Sorti plus que demandé"),"OK"))))))))))))</f>
        <v/>
      </c>
      <c r="Y478" s="57" t="str">
        <f>IF(AND(OR(A478="BL",A478="BR",A478="BS"),AG478&gt;0,D478&lt;&gt;""),A478&amp;"|"&amp;AG478&amp;"|"&amp;D478&amp;"|"&amp;F478,"")</f>
        <v/>
      </c>
      <c r="Z478" s="57" t="str">
        <f>IF(Y478="","",IF(COUNTIF(Y$6:Y477,Y478)=0,1,0))</f>
        <v/>
      </c>
      <c r="AA478" s="57" t="str">
        <f>IF(Y478="","",IF(Z478=1,COUNTIFS(A$6:A478,A478,Z$6:Z478,1),INDEX(AA$6:AA477,MATCH(Y478,Y$6:Y477,0))))</f>
        <v/>
      </c>
      <c r="AB478" s="57" t="str">
        <f>IF(B478="","",COUNTIF(B$6:B478,B478))</f>
        <v/>
      </c>
      <c r="AC478" s="57" t="str">
        <f>IF(B478="","",B478&amp;"#"&amp;AB478)</f>
        <v/>
      </c>
      <c r="AD478" s="57" t="str">
        <f>IF(Z478=1,A478&amp;AA478,"")</f>
        <v/>
      </c>
      <c r="AE478" s="57" t="str">
        <f>IF(B478="","",YEAR(C478))</f>
        <v/>
      </c>
      <c r="AF478" s="57" t="str">
        <f>IF(B478="","",MONTH(C478))</f>
        <v/>
      </c>
      <c r="AG478" s="57">
        <f>IF(ISNUMBER(C478),C478,0)</f>
        <v>0.0</v>
      </c>
      <c r="AH478" s="57" t="str">
        <f>IF(N(W478)&gt;0,COUNTIF(W$6:W478,"&gt;0"),"")</f>
        <v/>
      </c>
      <c r="AI478" s="57" t="str">
        <f>IF(Z478=1,COUNTIF(Z$6:Z478,1),"")</f>
        <v/>
      </c>
    </row>
    <row r="479">
      <c r="A479" s="54" t="n"/>
      <c r="B479" s="55" t="str">
        <f>IF(AA479="","",A479&amp;"-"&amp;RIGHT("000"&amp;AA479,4))</f>
        <v/>
      </c>
      <c r="C479" s="56" t="n"/>
      <c r="D479" s="54" t="n"/>
      <c r="E479" s="57" t="str">
        <f>IF(D479="","",IF(A479="BL",IFERROR(INDEX(cl_name,MATCH(D479,cl_code,0))&amp;"","Client inconnu"),IF(A479="BR",IFERROR(INDEX(fo_name,MATCH(D479,fo_code,0))&amp;"","Fournisseur inconnu"),IF(A479="BS",IF(ISNA(MATCH(D479,p_services,0)),"Service inconnu",D479&amp;""),""))))</f>
        <v/>
      </c>
      <c r="F479" s="58" t="n"/>
      <c r="G479" s="58" t="n"/>
      <c r="H479" s="59" t="n"/>
      <c r="I479" s="57" t="str">
        <f>IF(H479="","",IFERROR(INDEX(art_des,MATCH(H479,art_ref,0))&amp;"","Article inconnu"))</f>
        <v/>
      </c>
      <c r="J479" s="60" t="str">
        <f>IF(H479="","",IFERROR(INDEX(art_unit,MATCH(H479,art_ref,0))&amp;"",""))</f>
        <v/>
      </c>
      <c r="K479" s="59" t="n"/>
      <c r="L479" s="59" t="n"/>
      <c r="M479" s="61" t="str">
        <f>IF(OR(B479="",NOT(ISNUMBER(K479)),NOT(ISNUMBER(L479))),"",IF(OR(K479&lt;=0,L479&lt;=0),"",ROUND(L479-K479,6)))</f>
        <v/>
      </c>
      <c r="N479" s="58" t="n"/>
      <c r="O479" s="62" t="n"/>
      <c r="P479" s="63" t="str">
        <f>IF(OR(B479="",NOT(ISNUMBER(L479))),"",IF(L479&lt;=0,"",IFERROR(ROUND(L479*N(INDEX(art_w,MATCH(H479,art_ref,0))),3),"")))</f>
        <v/>
      </c>
      <c r="Q479" s="59" t="n"/>
      <c r="R479" s="54" t="n"/>
      <c r="S479" s="59" t="n"/>
      <c r="T479" s="59" t="n"/>
      <c r="U479" s="64" t="str">
        <f>IF(OR(B479="",H479=""),"",IFERROR(IF(A479="BL",IF(N(INDEX(art_price,MATCH(H479,art_ref,0)))=0,"",N(INDEX(art_price,MATCH(H479,art_ref,0)))),IF(N(INDEX(art_cost,MATCH(H479,art_ref,0)))=0,"",N(INDEX(art_cost,MATCH(H479,art_ref,0))))),""))</f>
        <v/>
      </c>
      <c r="V479" s="64" t="str">
        <f>IF(OR(U479="",NOT(ISNUMBER(L479))),"",IF(L479&lt;=0,"",ROUND(L479*U479,2)))</f>
        <v/>
      </c>
      <c r="W479" s="60" t="str">
        <f>IF(AND(B479&lt;&gt;"",A479&lt;&gt;"BS",F479&lt;&gt;"",H479&lt;&gt;"",ISNUMBER(K479),ISNUMBER(L479)),IF(AND(K479&gt;0,L479&gt;0,K479-L479&gt;0,COUNTIFS(A480:A$2005,A479,F480:F$2005,F479,H480:H$2005,H479,AA480:AA$2005,"&gt;0")=0),ROUND(K479-L479,6),""),"")</f>
        <v/>
      </c>
      <c r="X479" s="60" t="str">
        <f>IF(AND(A479="",C479="",D479="",H479="",L479=""),"",IF(A479="","Type manquant",IF(AND(A479&lt;&gt;"BL",A479&lt;&gt;"BR",A479&lt;&gt;"BS"),"Type inconnu (BL, BR ou BS)",IF(AG479=0,"Date manquante ou invalide",IF(D479="",IF(A479="BL","Client manquant",IF(A479="BR","Fournisseur manquant","Service manquant")),IF(IF(A479="BL",ISNA(MATCH(D479,cl_code,0)),IF(A479="BR",ISNA(MATCH(D479,fo_code,0)),ISNA(MATCH(D479,p_services,0)))),IF(A479="BL","Client inconnu",IF(A479="BR","Fournisseur inconnu","Service inconnu")),IF(H479="","Article manquant",IF(ISNA(MATCH(H479,art_ref,0)),"Article inconnu",IF(OR(NOT(ISNUMBER(L479)),N(L479)&lt;=0),"Quantité invalide",IF(AND(K479&lt;&gt;"",OR(NOT(ISNUMBER(K479)),N(K479)&lt;=0)),"Qté commandée invalide",IF(AG479&lt;SUMPRODUCT(MAX((A$6:A478=A479)*AG$6:AG478)),"Date antérieure au bon précédent",IF(AND(A479&lt;&gt;"BR",ISNUMBER(M479),N(M479)&gt;0),IF(A479="BL","Livré plus que commandé","Sorti plus que demandé"),"OK"))))))))))))</f>
        <v/>
      </c>
      <c r="Y479" s="57" t="str">
        <f>IF(AND(OR(A479="BL",A479="BR",A479="BS"),AG479&gt;0,D479&lt;&gt;""),A479&amp;"|"&amp;AG479&amp;"|"&amp;D479&amp;"|"&amp;F479,"")</f>
        <v/>
      </c>
      <c r="Z479" s="57" t="str">
        <f>IF(Y479="","",IF(COUNTIF(Y$6:Y478,Y479)=0,1,0))</f>
        <v/>
      </c>
      <c r="AA479" s="57" t="str">
        <f>IF(Y479="","",IF(Z479=1,COUNTIFS(A$6:A479,A479,Z$6:Z479,1),INDEX(AA$6:AA478,MATCH(Y479,Y$6:Y478,0))))</f>
        <v/>
      </c>
      <c r="AB479" s="57" t="str">
        <f>IF(B479="","",COUNTIF(B$6:B479,B479))</f>
        <v/>
      </c>
      <c r="AC479" s="57" t="str">
        <f>IF(B479="","",B479&amp;"#"&amp;AB479)</f>
        <v/>
      </c>
      <c r="AD479" s="57" t="str">
        <f>IF(Z479=1,A479&amp;AA479,"")</f>
        <v/>
      </c>
      <c r="AE479" s="57" t="str">
        <f>IF(B479="","",YEAR(C479))</f>
        <v/>
      </c>
      <c r="AF479" s="57" t="str">
        <f>IF(B479="","",MONTH(C479))</f>
        <v/>
      </c>
      <c r="AG479" s="57">
        <f>IF(ISNUMBER(C479),C479,0)</f>
        <v>0.0</v>
      </c>
      <c r="AH479" s="57" t="str">
        <f>IF(N(W479)&gt;0,COUNTIF(W$6:W479,"&gt;0"),"")</f>
        <v/>
      </c>
      <c r="AI479" s="57" t="str">
        <f>IF(Z479=1,COUNTIF(Z$6:Z479,1),"")</f>
        <v/>
      </c>
    </row>
    <row r="480">
      <c r="A480" s="54" t="n"/>
      <c r="B480" s="55" t="str">
        <f>IF(AA480="","",A480&amp;"-"&amp;RIGHT("000"&amp;AA480,4))</f>
        <v/>
      </c>
      <c r="C480" s="56" t="n"/>
      <c r="D480" s="54" t="n"/>
      <c r="E480" s="57" t="str">
        <f>IF(D480="","",IF(A480="BL",IFERROR(INDEX(cl_name,MATCH(D480,cl_code,0))&amp;"","Client inconnu"),IF(A480="BR",IFERROR(INDEX(fo_name,MATCH(D480,fo_code,0))&amp;"","Fournisseur inconnu"),IF(A480="BS",IF(ISNA(MATCH(D480,p_services,0)),"Service inconnu",D480&amp;""),""))))</f>
        <v/>
      </c>
      <c r="F480" s="58" t="n"/>
      <c r="G480" s="58" t="n"/>
      <c r="H480" s="59" t="n"/>
      <c r="I480" s="57" t="str">
        <f>IF(H480="","",IFERROR(INDEX(art_des,MATCH(H480,art_ref,0))&amp;"","Article inconnu"))</f>
        <v/>
      </c>
      <c r="J480" s="60" t="str">
        <f>IF(H480="","",IFERROR(INDEX(art_unit,MATCH(H480,art_ref,0))&amp;"",""))</f>
        <v/>
      </c>
      <c r="K480" s="59" t="n"/>
      <c r="L480" s="59" t="n"/>
      <c r="M480" s="61" t="str">
        <f>IF(OR(B480="",NOT(ISNUMBER(K480)),NOT(ISNUMBER(L480))),"",IF(OR(K480&lt;=0,L480&lt;=0),"",ROUND(L480-K480,6)))</f>
        <v/>
      </c>
      <c r="N480" s="58" t="n"/>
      <c r="O480" s="62" t="n"/>
      <c r="P480" s="63" t="str">
        <f>IF(OR(B480="",NOT(ISNUMBER(L480))),"",IF(L480&lt;=0,"",IFERROR(ROUND(L480*N(INDEX(art_w,MATCH(H480,art_ref,0))),3),"")))</f>
        <v/>
      </c>
      <c r="Q480" s="59" t="n"/>
      <c r="R480" s="54" t="n"/>
      <c r="S480" s="59" t="n"/>
      <c r="T480" s="59" t="n"/>
      <c r="U480" s="64" t="str">
        <f>IF(OR(B480="",H480=""),"",IFERROR(IF(A480="BL",IF(N(INDEX(art_price,MATCH(H480,art_ref,0)))=0,"",N(INDEX(art_price,MATCH(H480,art_ref,0)))),IF(N(INDEX(art_cost,MATCH(H480,art_ref,0)))=0,"",N(INDEX(art_cost,MATCH(H480,art_ref,0))))),""))</f>
        <v/>
      </c>
      <c r="V480" s="64" t="str">
        <f>IF(OR(U480="",NOT(ISNUMBER(L480))),"",IF(L480&lt;=0,"",ROUND(L480*U480,2)))</f>
        <v/>
      </c>
      <c r="W480" s="60" t="str">
        <f>IF(AND(B480&lt;&gt;"",A480&lt;&gt;"BS",F480&lt;&gt;"",H480&lt;&gt;"",ISNUMBER(K480),ISNUMBER(L480)),IF(AND(K480&gt;0,L480&gt;0,K480-L480&gt;0,COUNTIFS(A481:A$2005,A480,F481:F$2005,F480,H481:H$2005,H480,AA481:AA$2005,"&gt;0")=0),ROUND(K480-L480,6),""),"")</f>
        <v/>
      </c>
      <c r="X480" s="60" t="str">
        <f>IF(AND(A480="",C480="",D480="",H480="",L480=""),"",IF(A480="","Type manquant",IF(AND(A480&lt;&gt;"BL",A480&lt;&gt;"BR",A480&lt;&gt;"BS"),"Type inconnu (BL, BR ou BS)",IF(AG480=0,"Date manquante ou invalide",IF(D480="",IF(A480="BL","Client manquant",IF(A480="BR","Fournisseur manquant","Service manquant")),IF(IF(A480="BL",ISNA(MATCH(D480,cl_code,0)),IF(A480="BR",ISNA(MATCH(D480,fo_code,0)),ISNA(MATCH(D480,p_services,0)))),IF(A480="BL","Client inconnu",IF(A480="BR","Fournisseur inconnu","Service inconnu")),IF(H480="","Article manquant",IF(ISNA(MATCH(H480,art_ref,0)),"Article inconnu",IF(OR(NOT(ISNUMBER(L480)),N(L480)&lt;=0),"Quantité invalide",IF(AND(K480&lt;&gt;"",OR(NOT(ISNUMBER(K480)),N(K480)&lt;=0)),"Qté commandée invalide",IF(AG480&lt;SUMPRODUCT(MAX((A$6:A479=A480)*AG$6:AG479)),"Date antérieure au bon précédent",IF(AND(A480&lt;&gt;"BR",ISNUMBER(M480),N(M480)&gt;0),IF(A480="BL","Livré plus que commandé","Sorti plus que demandé"),"OK"))))))))))))</f>
        <v/>
      </c>
      <c r="Y480" s="57" t="str">
        <f>IF(AND(OR(A480="BL",A480="BR",A480="BS"),AG480&gt;0,D480&lt;&gt;""),A480&amp;"|"&amp;AG480&amp;"|"&amp;D480&amp;"|"&amp;F480,"")</f>
        <v/>
      </c>
      <c r="Z480" s="57" t="str">
        <f>IF(Y480="","",IF(COUNTIF(Y$6:Y479,Y480)=0,1,0))</f>
        <v/>
      </c>
      <c r="AA480" s="57" t="str">
        <f>IF(Y480="","",IF(Z480=1,COUNTIFS(A$6:A480,A480,Z$6:Z480,1),INDEX(AA$6:AA479,MATCH(Y480,Y$6:Y479,0))))</f>
        <v/>
      </c>
      <c r="AB480" s="57" t="str">
        <f>IF(B480="","",COUNTIF(B$6:B480,B480))</f>
        <v/>
      </c>
      <c r="AC480" s="57" t="str">
        <f>IF(B480="","",B480&amp;"#"&amp;AB480)</f>
        <v/>
      </c>
      <c r="AD480" s="57" t="str">
        <f>IF(Z480=1,A480&amp;AA480,"")</f>
        <v/>
      </c>
      <c r="AE480" s="57" t="str">
        <f>IF(B480="","",YEAR(C480))</f>
        <v/>
      </c>
      <c r="AF480" s="57" t="str">
        <f>IF(B480="","",MONTH(C480))</f>
        <v/>
      </c>
      <c r="AG480" s="57">
        <f>IF(ISNUMBER(C480),C480,0)</f>
        <v>0.0</v>
      </c>
      <c r="AH480" s="57" t="str">
        <f>IF(N(W480)&gt;0,COUNTIF(W$6:W480,"&gt;0"),"")</f>
        <v/>
      </c>
      <c r="AI480" s="57" t="str">
        <f>IF(Z480=1,COUNTIF(Z$6:Z480,1),"")</f>
        <v/>
      </c>
    </row>
    <row r="481">
      <c r="A481" s="54" t="n"/>
      <c r="B481" s="55" t="str">
        <f>IF(AA481="","",A481&amp;"-"&amp;RIGHT("000"&amp;AA481,4))</f>
        <v/>
      </c>
      <c r="C481" s="56" t="n"/>
      <c r="D481" s="54" t="n"/>
      <c r="E481" s="57" t="str">
        <f>IF(D481="","",IF(A481="BL",IFERROR(INDEX(cl_name,MATCH(D481,cl_code,0))&amp;"","Client inconnu"),IF(A481="BR",IFERROR(INDEX(fo_name,MATCH(D481,fo_code,0))&amp;"","Fournisseur inconnu"),IF(A481="BS",IF(ISNA(MATCH(D481,p_services,0)),"Service inconnu",D481&amp;""),""))))</f>
        <v/>
      </c>
      <c r="F481" s="58" t="n"/>
      <c r="G481" s="58" t="n"/>
      <c r="H481" s="59" t="n"/>
      <c r="I481" s="57" t="str">
        <f>IF(H481="","",IFERROR(INDEX(art_des,MATCH(H481,art_ref,0))&amp;"","Article inconnu"))</f>
        <v/>
      </c>
      <c r="J481" s="60" t="str">
        <f>IF(H481="","",IFERROR(INDEX(art_unit,MATCH(H481,art_ref,0))&amp;"",""))</f>
        <v/>
      </c>
      <c r="K481" s="59" t="n"/>
      <c r="L481" s="59" t="n"/>
      <c r="M481" s="61" t="str">
        <f>IF(OR(B481="",NOT(ISNUMBER(K481)),NOT(ISNUMBER(L481))),"",IF(OR(K481&lt;=0,L481&lt;=0),"",ROUND(L481-K481,6)))</f>
        <v/>
      </c>
      <c r="N481" s="58" t="n"/>
      <c r="O481" s="62" t="n"/>
      <c r="P481" s="63" t="str">
        <f>IF(OR(B481="",NOT(ISNUMBER(L481))),"",IF(L481&lt;=0,"",IFERROR(ROUND(L481*N(INDEX(art_w,MATCH(H481,art_ref,0))),3),"")))</f>
        <v/>
      </c>
      <c r="Q481" s="59" t="n"/>
      <c r="R481" s="54" t="n"/>
      <c r="S481" s="59" t="n"/>
      <c r="T481" s="59" t="n"/>
      <c r="U481" s="64" t="str">
        <f>IF(OR(B481="",H481=""),"",IFERROR(IF(A481="BL",IF(N(INDEX(art_price,MATCH(H481,art_ref,0)))=0,"",N(INDEX(art_price,MATCH(H481,art_ref,0)))),IF(N(INDEX(art_cost,MATCH(H481,art_ref,0)))=0,"",N(INDEX(art_cost,MATCH(H481,art_ref,0))))),""))</f>
        <v/>
      </c>
      <c r="V481" s="64" t="str">
        <f>IF(OR(U481="",NOT(ISNUMBER(L481))),"",IF(L481&lt;=0,"",ROUND(L481*U481,2)))</f>
        <v/>
      </c>
      <c r="W481" s="60" t="str">
        <f>IF(AND(B481&lt;&gt;"",A481&lt;&gt;"BS",F481&lt;&gt;"",H481&lt;&gt;"",ISNUMBER(K481),ISNUMBER(L481)),IF(AND(K481&gt;0,L481&gt;0,K481-L481&gt;0,COUNTIFS(A482:A$2005,A481,F482:F$2005,F481,H482:H$2005,H481,AA482:AA$2005,"&gt;0")=0),ROUND(K481-L481,6),""),"")</f>
        <v/>
      </c>
      <c r="X481" s="60" t="str">
        <f>IF(AND(A481="",C481="",D481="",H481="",L481=""),"",IF(A481="","Type manquant",IF(AND(A481&lt;&gt;"BL",A481&lt;&gt;"BR",A481&lt;&gt;"BS"),"Type inconnu (BL, BR ou BS)",IF(AG481=0,"Date manquante ou invalide",IF(D481="",IF(A481="BL","Client manquant",IF(A481="BR","Fournisseur manquant","Service manquant")),IF(IF(A481="BL",ISNA(MATCH(D481,cl_code,0)),IF(A481="BR",ISNA(MATCH(D481,fo_code,0)),ISNA(MATCH(D481,p_services,0)))),IF(A481="BL","Client inconnu",IF(A481="BR","Fournisseur inconnu","Service inconnu")),IF(H481="","Article manquant",IF(ISNA(MATCH(H481,art_ref,0)),"Article inconnu",IF(OR(NOT(ISNUMBER(L481)),N(L481)&lt;=0),"Quantité invalide",IF(AND(K481&lt;&gt;"",OR(NOT(ISNUMBER(K481)),N(K481)&lt;=0)),"Qté commandée invalide",IF(AG481&lt;SUMPRODUCT(MAX((A$6:A480=A481)*AG$6:AG480)),"Date antérieure au bon précédent",IF(AND(A481&lt;&gt;"BR",ISNUMBER(M481),N(M481)&gt;0),IF(A481="BL","Livré plus que commandé","Sorti plus que demandé"),"OK"))))))))))))</f>
        <v/>
      </c>
      <c r="Y481" s="57" t="str">
        <f>IF(AND(OR(A481="BL",A481="BR",A481="BS"),AG481&gt;0,D481&lt;&gt;""),A481&amp;"|"&amp;AG481&amp;"|"&amp;D481&amp;"|"&amp;F481,"")</f>
        <v/>
      </c>
      <c r="Z481" s="57" t="str">
        <f>IF(Y481="","",IF(COUNTIF(Y$6:Y480,Y481)=0,1,0))</f>
        <v/>
      </c>
      <c r="AA481" s="57" t="str">
        <f>IF(Y481="","",IF(Z481=1,COUNTIFS(A$6:A481,A481,Z$6:Z481,1),INDEX(AA$6:AA480,MATCH(Y481,Y$6:Y480,0))))</f>
        <v/>
      </c>
      <c r="AB481" s="57" t="str">
        <f>IF(B481="","",COUNTIF(B$6:B481,B481))</f>
        <v/>
      </c>
      <c r="AC481" s="57" t="str">
        <f>IF(B481="","",B481&amp;"#"&amp;AB481)</f>
        <v/>
      </c>
      <c r="AD481" s="57" t="str">
        <f>IF(Z481=1,A481&amp;AA481,"")</f>
        <v/>
      </c>
      <c r="AE481" s="57" t="str">
        <f>IF(B481="","",YEAR(C481))</f>
        <v/>
      </c>
      <c r="AF481" s="57" t="str">
        <f>IF(B481="","",MONTH(C481))</f>
        <v/>
      </c>
      <c r="AG481" s="57">
        <f>IF(ISNUMBER(C481),C481,0)</f>
        <v>0.0</v>
      </c>
      <c r="AH481" s="57" t="str">
        <f>IF(N(W481)&gt;0,COUNTIF(W$6:W481,"&gt;0"),"")</f>
        <v/>
      </c>
      <c r="AI481" s="57" t="str">
        <f>IF(Z481=1,COUNTIF(Z$6:Z481,1),"")</f>
        <v/>
      </c>
    </row>
    <row r="482">
      <c r="A482" s="54" t="n"/>
      <c r="B482" s="55" t="str">
        <f>IF(AA482="","",A482&amp;"-"&amp;RIGHT("000"&amp;AA482,4))</f>
        <v/>
      </c>
      <c r="C482" s="56" t="n"/>
      <c r="D482" s="54" t="n"/>
      <c r="E482" s="57" t="str">
        <f>IF(D482="","",IF(A482="BL",IFERROR(INDEX(cl_name,MATCH(D482,cl_code,0))&amp;"","Client inconnu"),IF(A482="BR",IFERROR(INDEX(fo_name,MATCH(D482,fo_code,0))&amp;"","Fournisseur inconnu"),IF(A482="BS",IF(ISNA(MATCH(D482,p_services,0)),"Service inconnu",D482&amp;""),""))))</f>
        <v/>
      </c>
      <c r="F482" s="58" t="n"/>
      <c r="G482" s="58" t="n"/>
      <c r="H482" s="59" t="n"/>
      <c r="I482" s="57" t="str">
        <f>IF(H482="","",IFERROR(INDEX(art_des,MATCH(H482,art_ref,0))&amp;"","Article inconnu"))</f>
        <v/>
      </c>
      <c r="J482" s="60" t="str">
        <f>IF(H482="","",IFERROR(INDEX(art_unit,MATCH(H482,art_ref,0))&amp;"",""))</f>
        <v/>
      </c>
      <c r="K482" s="59" t="n"/>
      <c r="L482" s="59" t="n"/>
      <c r="M482" s="61" t="str">
        <f>IF(OR(B482="",NOT(ISNUMBER(K482)),NOT(ISNUMBER(L482))),"",IF(OR(K482&lt;=0,L482&lt;=0),"",ROUND(L482-K482,6)))</f>
        <v/>
      </c>
      <c r="N482" s="58" t="n"/>
      <c r="O482" s="62" t="n"/>
      <c r="P482" s="63" t="str">
        <f>IF(OR(B482="",NOT(ISNUMBER(L482))),"",IF(L482&lt;=0,"",IFERROR(ROUND(L482*N(INDEX(art_w,MATCH(H482,art_ref,0))),3),"")))</f>
        <v/>
      </c>
      <c r="Q482" s="59" t="n"/>
      <c r="R482" s="54" t="n"/>
      <c r="S482" s="59" t="n"/>
      <c r="T482" s="59" t="n"/>
      <c r="U482" s="64" t="str">
        <f>IF(OR(B482="",H482=""),"",IFERROR(IF(A482="BL",IF(N(INDEX(art_price,MATCH(H482,art_ref,0)))=0,"",N(INDEX(art_price,MATCH(H482,art_ref,0)))),IF(N(INDEX(art_cost,MATCH(H482,art_ref,0)))=0,"",N(INDEX(art_cost,MATCH(H482,art_ref,0))))),""))</f>
        <v/>
      </c>
      <c r="V482" s="64" t="str">
        <f>IF(OR(U482="",NOT(ISNUMBER(L482))),"",IF(L482&lt;=0,"",ROUND(L482*U482,2)))</f>
        <v/>
      </c>
      <c r="W482" s="60" t="str">
        <f>IF(AND(B482&lt;&gt;"",A482&lt;&gt;"BS",F482&lt;&gt;"",H482&lt;&gt;"",ISNUMBER(K482),ISNUMBER(L482)),IF(AND(K482&gt;0,L482&gt;0,K482-L482&gt;0,COUNTIFS(A483:A$2005,A482,F483:F$2005,F482,H483:H$2005,H482,AA483:AA$2005,"&gt;0")=0),ROUND(K482-L482,6),""),"")</f>
        <v/>
      </c>
      <c r="X482" s="60" t="str">
        <f>IF(AND(A482="",C482="",D482="",H482="",L482=""),"",IF(A482="","Type manquant",IF(AND(A482&lt;&gt;"BL",A482&lt;&gt;"BR",A482&lt;&gt;"BS"),"Type inconnu (BL, BR ou BS)",IF(AG482=0,"Date manquante ou invalide",IF(D482="",IF(A482="BL","Client manquant",IF(A482="BR","Fournisseur manquant","Service manquant")),IF(IF(A482="BL",ISNA(MATCH(D482,cl_code,0)),IF(A482="BR",ISNA(MATCH(D482,fo_code,0)),ISNA(MATCH(D482,p_services,0)))),IF(A482="BL","Client inconnu",IF(A482="BR","Fournisseur inconnu","Service inconnu")),IF(H482="","Article manquant",IF(ISNA(MATCH(H482,art_ref,0)),"Article inconnu",IF(OR(NOT(ISNUMBER(L482)),N(L482)&lt;=0),"Quantité invalide",IF(AND(K482&lt;&gt;"",OR(NOT(ISNUMBER(K482)),N(K482)&lt;=0)),"Qté commandée invalide",IF(AG482&lt;SUMPRODUCT(MAX((A$6:A481=A482)*AG$6:AG481)),"Date antérieure au bon précédent",IF(AND(A482&lt;&gt;"BR",ISNUMBER(M482),N(M482)&gt;0),IF(A482="BL","Livré plus que commandé","Sorti plus que demandé"),"OK"))))))))))))</f>
        <v/>
      </c>
      <c r="Y482" s="57" t="str">
        <f>IF(AND(OR(A482="BL",A482="BR",A482="BS"),AG482&gt;0,D482&lt;&gt;""),A482&amp;"|"&amp;AG482&amp;"|"&amp;D482&amp;"|"&amp;F482,"")</f>
        <v/>
      </c>
      <c r="Z482" s="57" t="str">
        <f>IF(Y482="","",IF(COUNTIF(Y$6:Y481,Y482)=0,1,0))</f>
        <v/>
      </c>
      <c r="AA482" s="57" t="str">
        <f>IF(Y482="","",IF(Z482=1,COUNTIFS(A$6:A482,A482,Z$6:Z482,1),INDEX(AA$6:AA481,MATCH(Y482,Y$6:Y481,0))))</f>
        <v/>
      </c>
      <c r="AB482" s="57" t="str">
        <f>IF(B482="","",COUNTIF(B$6:B482,B482))</f>
        <v/>
      </c>
      <c r="AC482" s="57" t="str">
        <f>IF(B482="","",B482&amp;"#"&amp;AB482)</f>
        <v/>
      </c>
      <c r="AD482" s="57" t="str">
        <f>IF(Z482=1,A482&amp;AA482,"")</f>
        <v/>
      </c>
      <c r="AE482" s="57" t="str">
        <f>IF(B482="","",YEAR(C482))</f>
        <v/>
      </c>
      <c r="AF482" s="57" t="str">
        <f>IF(B482="","",MONTH(C482))</f>
        <v/>
      </c>
      <c r="AG482" s="57">
        <f>IF(ISNUMBER(C482),C482,0)</f>
        <v>0.0</v>
      </c>
      <c r="AH482" s="57" t="str">
        <f>IF(N(W482)&gt;0,COUNTIF(W$6:W482,"&gt;0"),"")</f>
        <v/>
      </c>
      <c r="AI482" s="57" t="str">
        <f>IF(Z482=1,COUNTIF(Z$6:Z482,1),"")</f>
        <v/>
      </c>
    </row>
    <row r="483">
      <c r="A483" s="54" t="n"/>
      <c r="B483" s="55" t="str">
        <f>IF(AA483="","",A483&amp;"-"&amp;RIGHT("000"&amp;AA483,4))</f>
        <v/>
      </c>
      <c r="C483" s="56" t="n"/>
      <c r="D483" s="54" t="n"/>
      <c r="E483" s="57" t="str">
        <f>IF(D483="","",IF(A483="BL",IFERROR(INDEX(cl_name,MATCH(D483,cl_code,0))&amp;"","Client inconnu"),IF(A483="BR",IFERROR(INDEX(fo_name,MATCH(D483,fo_code,0))&amp;"","Fournisseur inconnu"),IF(A483="BS",IF(ISNA(MATCH(D483,p_services,0)),"Service inconnu",D483&amp;""),""))))</f>
        <v/>
      </c>
      <c r="F483" s="58" t="n"/>
      <c r="G483" s="58" t="n"/>
      <c r="H483" s="59" t="n"/>
      <c r="I483" s="57" t="str">
        <f>IF(H483="","",IFERROR(INDEX(art_des,MATCH(H483,art_ref,0))&amp;"","Article inconnu"))</f>
        <v/>
      </c>
      <c r="J483" s="60" t="str">
        <f>IF(H483="","",IFERROR(INDEX(art_unit,MATCH(H483,art_ref,0))&amp;"",""))</f>
        <v/>
      </c>
      <c r="K483" s="59" t="n"/>
      <c r="L483" s="59" t="n"/>
      <c r="M483" s="61" t="str">
        <f>IF(OR(B483="",NOT(ISNUMBER(K483)),NOT(ISNUMBER(L483))),"",IF(OR(K483&lt;=0,L483&lt;=0),"",ROUND(L483-K483,6)))</f>
        <v/>
      </c>
      <c r="N483" s="58" t="n"/>
      <c r="O483" s="62" t="n"/>
      <c r="P483" s="63" t="str">
        <f>IF(OR(B483="",NOT(ISNUMBER(L483))),"",IF(L483&lt;=0,"",IFERROR(ROUND(L483*N(INDEX(art_w,MATCH(H483,art_ref,0))),3),"")))</f>
        <v/>
      </c>
      <c r="Q483" s="59" t="n"/>
      <c r="R483" s="54" t="n"/>
      <c r="S483" s="59" t="n"/>
      <c r="T483" s="59" t="n"/>
      <c r="U483" s="64" t="str">
        <f>IF(OR(B483="",H483=""),"",IFERROR(IF(A483="BL",IF(N(INDEX(art_price,MATCH(H483,art_ref,0)))=0,"",N(INDEX(art_price,MATCH(H483,art_ref,0)))),IF(N(INDEX(art_cost,MATCH(H483,art_ref,0)))=0,"",N(INDEX(art_cost,MATCH(H483,art_ref,0))))),""))</f>
        <v/>
      </c>
      <c r="V483" s="64" t="str">
        <f>IF(OR(U483="",NOT(ISNUMBER(L483))),"",IF(L483&lt;=0,"",ROUND(L483*U483,2)))</f>
        <v/>
      </c>
      <c r="W483" s="60" t="str">
        <f>IF(AND(B483&lt;&gt;"",A483&lt;&gt;"BS",F483&lt;&gt;"",H483&lt;&gt;"",ISNUMBER(K483),ISNUMBER(L483)),IF(AND(K483&gt;0,L483&gt;0,K483-L483&gt;0,COUNTIFS(A484:A$2005,A483,F484:F$2005,F483,H484:H$2005,H483,AA484:AA$2005,"&gt;0")=0),ROUND(K483-L483,6),""),"")</f>
        <v/>
      </c>
      <c r="X483" s="60" t="str">
        <f>IF(AND(A483="",C483="",D483="",H483="",L483=""),"",IF(A483="","Type manquant",IF(AND(A483&lt;&gt;"BL",A483&lt;&gt;"BR",A483&lt;&gt;"BS"),"Type inconnu (BL, BR ou BS)",IF(AG483=0,"Date manquante ou invalide",IF(D483="",IF(A483="BL","Client manquant",IF(A483="BR","Fournisseur manquant","Service manquant")),IF(IF(A483="BL",ISNA(MATCH(D483,cl_code,0)),IF(A483="BR",ISNA(MATCH(D483,fo_code,0)),ISNA(MATCH(D483,p_services,0)))),IF(A483="BL","Client inconnu",IF(A483="BR","Fournisseur inconnu","Service inconnu")),IF(H483="","Article manquant",IF(ISNA(MATCH(H483,art_ref,0)),"Article inconnu",IF(OR(NOT(ISNUMBER(L483)),N(L483)&lt;=0),"Quantité invalide",IF(AND(K483&lt;&gt;"",OR(NOT(ISNUMBER(K483)),N(K483)&lt;=0)),"Qté commandée invalide",IF(AG483&lt;SUMPRODUCT(MAX((A$6:A482=A483)*AG$6:AG482)),"Date antérieure au bon précédent",IF(AND(A483&lt;&gt;"BR",ISNUMBER(M483),N(M483)&gt;0),IF(A483="BL","Livré plus que commandé","Sorti plus que demandé"),"OK"))))))))))))</f>
        <v/>
      </c>
      <c r="Y483" s="57" t="str">
        <f>IF(AND(OR(A483="BL",A483="BR",A483="BS"),AG483&gt;0,D483&lt;&gt;""),A483&amp;"|"&amp;AG483&amp;"|"&amp;D483&amp;"|"&amp;F483,"")</f>
        <v/>
      </c>
      <c r="Z483" s="57" t="str">
        <f>IF(Y483="","",IF(COUNTIF(Y$6:Y482,Y483)=0,1,0))</f>
        <v/>
      </c>
      <c r="AA483" s="57" t="str">
        <f>IF(Y483="","",IF(Z483=1,COUNTIFS(A$6:A483,A483,Z$6:Z483,1),INDEX(AA$6:AA482,MATCH(Y483,Y$6:Y482,0))))</f>
        <v/>
      </c>
      <c r="AB483" s="57" t="str">
        <f>IF(B483="","",COUNTIF(B$6:B483,B483))</f>
        <v/>
      </c>
      <c r="AC483" s="57" t="str">
        <f>IF(B483="","",B483&amp;"#"&amp;AB483)</f>
        <v/>
      </c>
      <c r="AD483" s="57" t="str">
        <f>IF(Z483=1,A483&amp;AA483,"")</f>
        <v/>
      </c>
      <c r="AE483" s="57" t="str">
        <f>IF(B483="","",YEAR(C483))</f>
        <v/>
      </c>
      <c r="AF483" s="57" t="str">
        <f>IF(B483="","",MONTH(C483))</f>
        <v/>
      </c>
      <c r="AG483" s="57">
        <f>IF(ISNUMBER(C483),C483,0)</f>
        <v>0.0</v>
      </c>
      <c r="AH483" s="57" t="str">
        <f>IF(N(W483)&gt;0,COUNTIF(W$6:W483,"&gt;0"),"")</f>
        <v/>
      </c>
      <c r="AI483" s="57" t="str">
        <f>IF(Z483=1,COUNTIF(Z$6:Z483,1),"")</f>
        <v/>
      </c>
    </row>
    <row r="484">
      <c r="A484" s="54" t="n"/>
      <c r="B484" s="55" t="str">
        <f>IF(AA484="","",A484&amp;"-"&amp;RIGHT("000"&amp;AA484,4))</f>
        <v/>
      </c>
      <c r="C484" s="56" t="n"/>
      <c r="D484" s="54" t="n"/>
      <c r="E484" s="57" t="str">
        <f>IF(D484="","",IF(A484="BL",IFERROR(INDEX(cl_name,MATCH(D484,cl_code,0))&amp;"","Client inconnu"),IF(A484="BR",IFERROR(INDEX(fo_name,MATCH(D484,fo_code,0))&amp;"","Fournisseur inconnu"),IF(A484="BS",IF(ISNA(MATCH(D484,p_services,0)),"Service inconnu",D484&amp;""),""))))</f>
        <v/>
      </c>
      <c r="F484" s="58" t="n"/>
      <c r="G484" s="58" t="n"/>
      <c r="H484" s="59" t="n"/>
      <c r="I484" s="57" t="str">
        <f>IF(H484="","",IFERROR(INDEX(art_des,MATCH(H484,art_ref,0))&amp;"","Article inconnu"))</f>
        <v/>
      </c>
      <c r="J484" s="60" t="str">
        <f>IF(H484="","",IFERROR(INDEX(art_unit,MATCH(H484,art_ref,0))&amp;"",""))</f>
        <v/>
      </c>
      <c r="K484" s="59" t="n"/>
      <c r="L484" s="59" t="n"/>
      <c r="M484" s="61" t="str">
        <f>IF(OR(B484="",NOT(ISNUMBER(K484)),NOT(ISNUMBER(L484))),"",IF(OR(K484&lt;=0,L484&lt;=0),"",ROUND(L484-K484,6)))</f>
        <v/>
      </c>
      <c r="N484" s="58" t="n"/>
      <c r="O484" s="62" t="n"/>
      <c r="P484" s="63" t="str">
        <f>IF(OR(B484="",NOT(ISNUMBER(L484))),"",IF(L484&lt;=0,"",IFERROR(ROUND(L484*N(INDEX(art_w,MATCH(H484,art_ref,0))),3),"")))</f>
        <v/>
      </c>
      <c r="Q484" s="59" t="n"/>
      <c r="R484" s="54" t="n"/>
      <c r="S484" s="59" t="n"/>
      <c r="T484" s="59" t="n"/>
      <c r="U484" s="64" t="str">
        <f>IF(OR(B484="",H484=""),"",IFERROR(IF(A484="BL",IF(N(INDEX(art_price,MATCH(H484,art_ref,0)))=0,"",N(INDEX(art_price,MATCH(H484,art_ref,0)))),IF(N(INDEX(art_cost,MATCH(H484,art_ref,0)))=0,"",N(INDEX(art_cost,MATCH(H484,art_ref,0))))),""))</f>
        <v/>
      </c>
      <c r="V484" s="64" t="str">
        <f>IF(OR(U484="",NOT(ISNUMBER(L484))),"",IF(L484&lt;=0,"",ROUND(L484*U484,2)))</f>
        <v/>
      </c>
      <c r="W484" s="60" t="str">
        <f>IF(AND(B484&lt;&gt;"",A484&lt;&gt;"BS",F484&lt;&gt;"",H484&lt;&gt;"",ISNUMBER(K484),ISNUMBER(L484)),IF(AND(K484&gt;0,L484&gt;0,K484-L484&gt;0,COUNTIFS(A485:A$2005,A484,F485:F$2005,F484,H485:H$2005,H484,AA485:AA$2005,"&gt;0")=0),ROUND(K484-L484,6),""),"")</f>
        <v/>
      </c>
      <c r="X484" s="60" t="str">
        <f>IF(AND(A484="",C484="",D484="",H484="",L484=""),"",IF(A484="","Type manquant",IF(AND(A484&lt;&gt;"BL",A484&lt;&gt;"BR",A484&lt;&gt;"BS"),"Type inconnu (BL, BR ou BS)",IF(AG484=0,"Date manquante ou invalide",IF(D484="",IF(A484="BL","Client manquant",IF(A484="BR","Fournisseur manquant","Service manquant")),IF(IF(A484="BL",ISNA(MATCH(D484,cl_code,0)),IF(A484="BR",ISNA(MATCH(D484,fo_code,0)),ISNA(MATCH(D484,p_services,0)))),IF(A484="BL","Client inconnu",IF(A484="BR","Fournisseur inconnu","Service inconnu")),IF(H484="","Article manquant",IF(ISNA(MATCH(H484,art_ref,0)),"Article inconnu",IF(OR(NOT(ISNUMBER(L484)),N(L484)&lt;=0),"Quantité invalide",IF(AND(K484&lt;&gt;"",OR(NOT(ISNUMBER(K484)),N(K484)&lt;=0)),"Qté commandée invalide",IF(AG484&lt;SUMPRODUCT(MAX((A$6:A483=A484)*AG$6:AG483)),"Date antérieure au bon précédent",IF(AND(A484&lt;&gt;"BR",ISNUMBER(M484),N(M484)&gt;0),IF(A484="BL","Livré plus que commandé","Sorti plus que demandé"),"OK"))))))))))))</f>
        <v/>
      </c>
      <c r="Y484" s="57" t="str">
        <f>IF(AND(OR(A484="BL",A484="BR",A484="BS"),AG484&gt;0,D484&lt;&gt;""),A484&amp;"|"&amp;AG484&amp;"|"&amp;D484&amp;"|"&amp;F484,"")</f>
        <v/>
      </c>
      <c r="Z484" s="57" t="str">
        <f>IF(Y484="","",IF(COUNTIF(Y$6:Y483,Y484)=0,1,0))</f>
        <v/>
      </c>
      <c r="AA484" s="57" t="str">
        <f>IF(Y484="","",IF(Z484=1,COUNTIFS(A$6:A484,A484,Z$6:Z484,1),INDEX(AA$6:AA483,MATCH(Y484,Y$6:Y483,0))))</f>
        <v/>
      </c>
      <c r="AB484" s="57" t="str">
        <f>IF(B484="","",COUNTIF(B$6:B484,B484))</f>
        <v/>
      </c>
      <c r="AC484" s="57" t="str">
        <f>IF(B484="","",B484&amp;"#"&amp;AB484)</f>
        <v/>
      </c>
      <c r="AD484" s="57" t="str">
        <f>IF(Z484=1,A484&amp;AA484,"")</f>
        <v/>
      </c>
      <c r="AE484" s="57" t="str">
        <f>IF(B484="","",YEAR(C484))</f>
        <v/>
      </c>
      <c r="AF484" s="57" t="str">
        <f>IF(B484="","",MONTH(C484))</f>
        <v/>
      </c>
      <c r="AG484" s="57">
        <f>IF(ISNUMBER(C484),C484,0)</f>
        <v>0.0</v>
      </c>
      <c r="AH484" s="57" t="str">
        <f>IF(N(W484)&gt;0,COUNTIF(W$6:W484,"&gt;0"),"")</f>
        <v/>
      </c>
      <c r="AI484" s="57" t="str">
        <f>IF(Z484=1,COUNTIF(Z$6:Z484,1),"")</f>
        <v/>
      </c>
    </row>
    <row r="485">
      <c r="A485" s="54" t="n"/>
      <c r="B485" s="55" t="str">
        <f>IF(AA485="","",A485&amp;"-"&amp;RIGHT("000"&amp;AA485,4))</f>
        <v/>
      </c>
      <c r="C485" s="56" t="n"/>
      <c r="D485" s="54" t="n"/>
      <c r="E485" s="57" t="str">
        <f>IF(D485="","",IF(A485="BL",IFERROR(INDEX(cl_name,MATCH(D485,cl_code,0))&amp;"","Client inconnu"),IF(A485="BR",IFERROR(INDEX(fo_name,MATCH(D485,fo_code,0))&amp;"","Fournisseur inconnu"),IF(A485="BS",IF(ISNA(MATCH(D485,p_services,0)),"Service inconnu",D485&amp;""),""))))</f>
        <v/>
      </c>
      <c r="F485" s="58" t="n"/>
      <c r="G485" s="58" t="n"/>
      <c r="H485" s="59" t="n"/>
      <c r="I485" s="57" t="str">
        <f>IF(H485="","",IFERROR(INDEX(art_des,MATCH(H485,art_ref,0))&amp;"","Article inconnu"))</f>
        <v/>
      </c>
      <c r="J485" s="60" t="str">
        <f>IF(H485="","",IFERROR(INDEX(art_unit,MATCH(H485,art_ref,0))&amp;"",""))</f>
        <v/>
      </c>
      <c r="K485" s="59" t="n"/>
      <c r="L485" s="59" t="n"/>
      <c r="M485" s="61" t="str">
        <f>IF(OR(B485="",NOT(ISNUMBER(K485)),NOT(ISNUMBER(L485))),"",IF(OR(K485&lt;=0,L485&lt;=0),"",ROUND(L485-K485,6)))</f>
        <v/>
      </c>
      <c r="N485" s="58" t="n"/>
      <c r="O485" s="62" t="n"/>
      <c r="P485" s="63" t="str">
        <f>IF(OR(B485="",NOT(ISNUMBER(L485))),"",IF(L485&lt;=0,"",IFERROR(ROUND(L485*N(INDEX(art_w,MATCH(H485,art_ref,0))),3),"")))</f>
        <v/>
      </c>
      <c r="Q485" s="59" t="n"/>
      <c r="R485" s="54" t="n"/>
      <c r="S485" s="59" t="n"/>
      <c r="T485" s="59" t="n"/>
      <c r="U485" s="64" t="str">
        <f>IF(OR(B485="",H485=""),"",IFERROR(IF(A485="BL",IF(N(INDEX(art_price,MATCH(H485,art_ref,0)))=0,"",N(INDEX(art_price,MATCH(H485,art_ref,0)))),IF(N(INDEX(art_cost,MATCH(H485,art_ref,0)))=0,"",N(INDEX(art_cost,MATCH(H485,art_ref,0))))),""))</f>
        <v/>
      </c>
      <c r="V485" s="64" t="str">
        <f>IF(OR(U485="",NOT(ISNUMBER(L485))),"",IF(L485&lt;=0,"",ROUND(L485*U485,2)))</f>
        <v/>
      </c>
      <c r="W485" s="60" t="str">
        <f>IF(AND(B485&lt;&gt;"",A485&lt;&gt;"BS",F485&lt;&gt;"",H485&lt;&gt;"",ISNUMBER(K485),ISNUMBER(L485)),IF(AND(K485&gt;0,L485&gt;0,K485-L485&gt;0,COUNTIFS(A486:A$2005,A485,F486:F$2005,F485,H486:H$2005,H485,AA486:AA$2005,"&gt;0")=0),ROUND(K485-L485,6),""),"")</f>
        <v/>
      </c>
      <c r="X485" s="60" t="str">
        <f>IF(AND(A485="",C485="",D485="",H485="",L485=""),"",IF(A485="","Type manquant",IF(AND(A485&lt;&gt;"BL",A485&lt;&gt;"BR",A485&lt;&gt;"BS"),"Type inconnu (BL, BR ou BS)",IF(AG485=0,"Date manquante ou invalide",IF(D485="",IF(A485="BL","Client manquant",IF(A485="BR","Fournisseur manquant","Service manquant")),IF(IF(A485="BL",ISNA(MATCH(D485,cl_code,0)),IF(A485="BR",ISNA(MATCH(D485,fo_code,0)),ISNA(MATCH(D485,p_services,0)))),IF(A485="BL","Client inconnu",IF(A485="BR","Fournisseur inconnu","Service inconnu")),IF(H485="","Article manquant",IF(ISNA(MATCH(H485,art_ref,0)),"Article inconnu",IF(OR(NOT(ISNUMBER(L485)),N(L485)&lt;=0),"Quantité invalide",IF(AND(K485&lt;&gt;"",OR(NOT(ISNUMBER(K485)),N(K485)&lt;=0)),"Qté commandée invalide",IF(AG485&lt;SUMPRODUCT(MAX((A$6:A484=A485)*AG$6:AG484)),"Date antérieure au bon précédent",IF(AND(A485&lt;&gt;"BR",ISNUMBER(M485),N(M485)&gt;0),IF(A485="BL","Livré plus que commandé","Sorti plus que demandé"),"OK"))))))))))))</f>
        <v/>
      </c>
      <c r="Y485" s="57" t="str">
        <f>IF(AND(OR(A485="BL",A485="BR",A485="BS"),AG485&gt;0,D485&lt;&gt;""),A485&amp;"|"&amp;AG485&amp;"|"&amp;D485&amp;"|"&amp;F485,"")</f>
        <v/>
      </c>
      <c r="Z485" s="57" t="str">
        <f>IF(Y485="","",IF(COUNTIF(Y$6:Y484,Y485)=0,1,0))</f>
        <v/>
      </c>
      <c r="AA485" s="57" t="str">
        <f>IF(Y485="","",IF(Z485=1,COUNTIFS(A$6:A485,A485,Z$6:Z485,1),INDEX(AA$6:AA484,MATCH(Y485,Y$6:Y484,0))))</f>
        <v/>
      </c>
      <c r="AB485" s="57" t="str">
        <f>IF(B485="","",COUNTIF(B$6:B485,B485))</f>
        <v/>
      </c>
      <c r="AC485" s="57" t="str">
        <f>IF(B485="","",B485&amp;"#"&amp;AB485)</f>
        <v/>
      </c>
      <c r="AD485" s="57" t="str">
        <f>IF(Z485=1,A485&amp;AA485,"")</f>
        <v/>
      </c>
      <c r="AE485" s="57" t="str">
        <f>IF(B485="","",YEAR(C485))</f>
        <v/>
      </c>
      <c r="AF485" s="57" t="str">
        <f>IF(B485="","",MONTH(C485))</f>
        <v/>
      </c>
      <c r="AG485" s="57">
        <f>IF(ISNUMBER(C485),C485,0)</f>
        <v>0.0</v>
      </c>
      <c r="AH485" s="57" t="str">
        <f>IF(N(W485)&gt;0,COUNTIF(W$6:W485,"&gt;0"),"")</f>
        <v/>
      </c>
      <c r="AI485" s="57" t="str">
        <f>IF(Z485=1,COUNTIF(Z$6:Z485,1),"")</f>
        <v/>
      </c>
    </row>
    <row r="486">
      <c r="A486" s="54" t="n"/>
      <c r="B486" s="55" t="str">
        <f>IF(AA486="","",A486&amp;"-"&amp;RIGHT("000"&amp;AA486,4))</f>
        <v/>
      </c>
      <c r="C486" s="56" t="n"/>
      <c r="D486" s="54" t="n"/>
      <c r="E486" s="57" t="str">
        <f>IF(D486="","",IF(A486="BL",IFERROR(INDEX(cl_name,MATCH(D486,cl_code,0))&amp;"","Client inconnu"),IF(A486="BR",IFERROR(INDEX(fo_name,MATCH(D486,fo_code,0))&amp;"","Fournisseur inconnu"),IF(A486="BS",IF(ISNA(MATCH(D486,p_services,0)),"Service inconnu",D486&amp;""),""))))</f>
        <v/>
      </c>
      <c r="F486" s="58" t="n"/>
      <c r="G486" s="58" t="n"/>
      <c r="H486" s="59" t="n"/>
      <c r="I486" s="57" t="str">
        <f>IF(H486="","",IFERROR(INDEX(art_des,MATCH(H486,art_ref,0))&amp;"","Article inconnu"))</f>
        <v/>
      </c>
      <c r="J486" s="60" t="str">
        <f>IF(H486="","",IFERROR(INDEX(art_unit,MATCH(H486,art_ref,0))&amp;"",""))</f>
        <v/>
      </c>
      <c r="K486" s="59" t="n"/>
      <c r="L486" s="59" t="n"/>
      <c r="M486" s="61" t="str">
        <f>IF(OR(B486="",NOT(ISNUMBER(K486)),NOT(ISNUMBER(L486))),"",IF(OR(K486&lt;=0,L486&lt;=0),"",ROUND(L486-K486,6)))</f>
        <v/>
      </c>
      <c r="N486" s="58" t="n"/>
      <c r="O486" s="62" t="n"/>
      <c r="P486" s="63" t="str">
        <f>IF(OR(B486="",NOT(ISNUMBER(L486))),"",IF(L486&lt;=0,"",IFERROR(ROUND(L486*N(INDEX(art_w,MATCH(H486,art_ref,0))),3),"")))</f>
        <v/>
      </c>
      <c r="Q486" s="59" t="n"/>
      <c r="R486" s="54" t="n"/>
      <c r="S486" s="59" t="n"/>
      <c r="T486" s="59" t="n"/>
      <c r="U486" s="64" t="str">
        <f>IF(OR(B486="",H486=""),"",IFERROR(IF(A486="BL",IF(N(INDEX(art_price,MATCH(H486,art_ref,0)))=0,"",N(INDEX(art_price,MATCH(H486,art_ref,0)))),IF(N(INDEX(art_cost,MATCH(H486,art_ref,0)))=0,"",N(INDEX(art_cost,MATCH(H486,art_ref,0))))),""))</f>
        <v/>
      </c>
      <c r="V486" s="64" t="str">
        <f>IF(OR(U486="",NOT(ISNUMBER(L486))),"",IF(L486&lt;=0,"",ROUND(L486*U486,2)))</f>
        <v/>
      </c>
      <c r="W486" s="60" t="str">
        <f>IF(AND(B486&lt;&gt;"",A486&lt;&gt;"BS",F486&lt;&gt;"",H486&lt;&gt;"",ISNUMBER(K486),ISNUMBER(L486)),IF(AND(K486&gt;0,L486&gt;0,K486-L486&gt;0,COUNTIFS(A487:A$2005,A486,F487:F$2005,F486,H487:H$2005,H486,AA487:AA$2005,"&gt;0")=0),ROUND(K486-L486,6),""),"")</f>
        <v/>
      </c>
      <c r="X486" s="60" t="str">
        <f>IF(AND(A486="",C486="",D486="",H486="",L486=""),"",IF(A486="","Type manquant",IF(AND(A486&lt;&gt;"BL",A486&lt;&gt;"BR",A486&lt;&gt;"BS"),"Type inconnu (BL, BR ou BS)",IF(AG486=0,"Date manquante ou invalide",IF(D486="",IF(A486="BL","Client manquant",IF(A486="BR","Fournisseur manquant","Service manquant")),IF(IF(A486="BL",ISNA(MATCH(D486,cl_code,0)),IF(A486="BR",ISNA(MATCH(D486,fo_code,0)),ISNA(MATCH(D486,p_services,0)))),IF(A486="BL","Client inconnu",IF(A486="BR","Fournisseur inconnu","Service inconnu")),IF(H486="","Article manquant",IF(ISNA(MATCH(H486,art_ref,0)),"Article inconnu",IF(OR(NOT(ISNUMBER(L486)),N(L486)&lt;=0),"Quantité invalide",IF(AND(K486&lt;&gt;"",OR(NOT(ISNUMBER(K486)),N(K486)&lt;=0)),"Qté commandée invalide",IF(AG486&lt;SUMPRODUCT(MAX((A$6:A485=A486)*AG$6:AG485)),"Date antérieure au bon précédent",IF(AND(A486&lt;&gt;"BR",ISNUMBER(M486),N(M486)&gt;0),IF(A486="BL","Livré plus que commandé","Sorti plus que demandé"),"OK"))))))))))))</f>
        <v/>
      </c>
      <c r="Y486" s="57" t="str">
        <f>IF(AND(OR(A486="BL",A486="BR",A486="BS"),AG486&gt;0,D486&lt;&gt;""),A486&amp;"|"&amp;AG486&amp;"|"&amp;D486&amp;"|"&amp;F486,"")</f>
        <v/>
      </c>
      <c r="Z486" s="57" t="str">
        <f>IF(Y486="","",IF(COUNTIF(Y$6:Y485,Y486)=0,1,0))</f>
        <v/>
      </c>
      <c r="AA486" s="57" t="str">
        <f>IF(Y486="","",IF(Z486=1,COUNTIFS(A$6:A486,A486,Z$6:Z486,1),INDEX(AA$6:AA485,MATCH(Y486,Y$6:Y485,0))))</f>
        <v/>
      </c>
      <c r="AB486" s="57" t="str">
        <f>IF(B486="","",COUNTIF(B$6:B486,B486))</f>
        <v/>
      </c>
      <c r="AC486" s="57" t="str">
        <f>IF(B486="","",B486&amp;"#"&amp;AB486)</f>
        <v/>
      </c>
      <c r="AD486" s="57" t="str">
        <f>IF(Z486=1,A486&amp;AA486,"")</f>
        <v/>
      </c>
      <c r="AE486" s="57" t="str">
        <f>IF(B486="","",YEAR(C486))</f>
        <v/>
      </c>
      <c r="AF486" s="57" t="str">
        <f>IF(B486="","",MONTH(C486))</f>
        <v/>
      </c>
      <c r="AG486" s="57">
        <f>IF(ISNUMBER(C486),C486,0)</f>
        <v>0.0</v>
      </c>
      <c r="AH486" s="57" t="str">
        <f>IF(N(W486)&gt;0,COUNTIF(W$6:W486,"&gt;0"),"")</f>
        <v/>
      </c>
      <c r="AI486" s="57" t="str">
        <f>IF(Z486=1,COUNTIF(Z$6:Z486,1),"")</f>
        <v/>
      </c>
    </row>
    <row r="487">
      <c r="A487" s="54" t="n"/>
      <c r="B487" s="55" t="str">
        <f>IF(AA487="","",A487&amp;"-"&amp;RIGHT("000"&amp;AA487,4))</f>
        <v/>
      </c>
      <c r="C487" s="56" t="n"/>
      <c r="D487" s="54" t="n"/>
      <c r="E487" s="57" t="str">
        <f>IF(D487="","",IF(A487="BL",IFERROR(INDEX(cl_name,MATCH(D487,cl_code,0))&amp;"","Client inconnu"),IF(A487="BR",IFERROR(INDEX(fo_name,MATCH(D487,fo_code,0))&amp;"","Fournisseur inconnu"),IF(A487="BS",IF(ISNA(MATCH(D487,p_services,0)),"Service inconnu",D487&amp;""),""))))</f>
        <v/>
      </c>
      <c r="F487" s="58" t="n"/>
      <c r="G487" s="58" t="n"/>
      <c r="H487" s="59" t="n"/>
      <c r="I487" s="57" t="str">
        <f>IF(H487="","",IFERROR(INDEX(art_des,MATCH(H487,art_ref,0))&amp;"","Article inconnu"))</f>
        <v/>
      </c>
      <c r="J487" s="60" t="str">
        <f>IF(H487="","",IFERROR(INDEX(art_unit,MATCH(H487,art_ref,0))&amp;"",""))</f>
        <v/>
      </c>
      <c r="K487" s="59" t="n"/>
      <c r="L487" s="59" t="n"/>
      <c r="M487" s="61" t="str">
        <f>IF(OR(B487="",NOT(ISNUMBER(K487)),NOT(ISNUMBER(L487))),"",IF(OR(K487&lt;=0,L487&lt;=0),"",ROUND(L487-K487,6)))</f>
        <v/>
      </c>
      <c r="N487" s="58" t="n"/>
      <c r="O487" s="62" t="n"/>
      <c r="P487" s="63" t="str">
        <f>IF(OR(B487="",NOT(ISNUMBER(L487))),"",IF(L487&lt;=0,"",IFERROR(ROUND(L487*N(INDEX(art_w,MATCH(H487,art_ref,0))),3),"")))</f>
        <v/>
      </c>
      <c r="Q487" s="59" t="n"/>
      <c r="R487" s="54" t="n"/>
      <c r="S487" s="59" t="n"/>
      <c r="T487" s="59" t="n"/>
      <c r="U487" s="64" t="str">
        <f>IF(OR(B487="",H487=""),"",IFERROR(IF(A487="BL",IF(N(INDEX(art_price,MATCH(H487,art_ref,0)))=0,"",N(INDEX(art_price,MATCH(H487,art_ref,0)))),IF(N(INDEX(art_cost,MATCH(H487,art_ref,0)))=0,"",N(INDEX(art_cost,MATCH(H487,art_ref,0))))),""))</f>
        <v/>
      </c>
      <c r="V487" s="64" t="str">
        <f>IF(OR(U487="",NOT(ISNUMBER(L487))),"",IF(L487&lt;=0,"",ROUND(L487*U487,2)))</f>
        <v/>
      </c>
      <c r="W487" s="60" t="str">
        <f>IF(AND(B487&lt;&gt;"",A487&lt;&gt;"BS",F487&lt;&gt;"",H487&lt;&gt;"",ISNUMBER(K487),ISNUMBER(L487)),IF(AND(K487&gt;0,L487&gt;0,K487-L487&gt;0,COUNTIFS(A488:A$2005,A487,F488:F$2005,F487,H488:H$2005,H487,AA488:AA$2005,"&gt;0")=0),ROUND(K487-L487,6),""),"")</f>
        <v/>
      </c>
      <c r="X487" s="60" t="str">
        <f>IF(AND(A487="",C487="",D487="",H487="",L487=""),"",IF(A487="","Type manquant",IF(AND(A487&lt;&gt;"BL",A487&lt;&gt;"BR",A487&lt;&gt;"BS"),"Type inconnu (BL, BR ou BS)",IF(AG487=0,"Date manquante ou invalide",IF(D487="",IF(A487="BL","Client manquant",IF(A487="BR","Fournisseur manquant","Service manquant")),IF(IF(A487="BL",ISNA(MATCH(D487,cl_code,0)),IF(A487="BR",ISNA(MATCH(D487,fo_code,0)),ISNA(MATCH(D487,p_services,0)))),IF(A487="BL","Client inconnu",IF(A487="BR","Fournisseur inconnu","Service inconnu")),IF(H487="","Article manquant",IF(ISNA(MATCH(H487,art_ref,0)),"Article inconnu",IF(OR(NOT(ISNUMBER(L487)),N(L487)&lt;=0),"Quantité invalide",IF(AND(K487&lt;&gt;"",OR(NOT(ISNUMBER(K487)),N(K487)&lt;=0)),"Qté commandée invalide",IF(AG487&lt;SUMPRODUCT(MAX((A$6:A486=A487)*AG$6:AG486)),"Date antérieure au bon précédent",IF(AND(A487&lt;&gt;"BR",ISNUMBER(M487),N(M487)&gt;0),IF(A487="BL","Livré plus que commandé","Sorti plus que demandé"),"OK"))))))))))))</f>
        <v/>
      </c>
      <c r="Y487" s="57" t="str">
        <f>IF(AND(OR(A487="BL",A487="BR",A487="BS"),AG487&gt;0,D487&lt;&gt;""),A487&amp;"|"&amp;AG487&amp;"|"&amp;D487&amp;"|"&amp;F487,"")</f>
        <v/>
      </c>
      <c r="Z487" s="57" t="str">
        <f>IF(Y487="","",IF(COUNTIF(Y$6:Y486,Y487)=0,1,0))</f>
        <v/>
      </c>
      <c r="AA487" s="57" t="str">
        <f>IF(Y487="","",IF(Z487=1,COUNTIFS(A$6:A487,A487,Z$6:Z487,1),INDEX(AA$6:AA486,MATCH(Y487,Y$6:Y486,0))))</f>
        <v/>
      </c>
      <c r="AB487" s="57" t="str">
        <f>IF(B487="","",COUNTIF(B$6:B487,B487))</f>
        <v/>
      </c>
      <c r="AC487" s="57" t="str">
        <f>IF(B487="","",B487&amp;"#"&amp;AB487)</f>
        <v/>
      </c>
      <c r="AD487" s="57" t="str">
        <f>IF(Z487=1,A487&amp;AA487,"")</f>
        <v/>
      </c>
      <c r="AE487" s="57" t="str">
        <f>IF(B487="","",YEAR(C487))</f>
        <v/>
      </c>
      <c r="AF487" s="57" t="str">
        <f>IF(B487="","",MONTH(C487))</f>
        <v/>
      </c>
      <c r="AG487" s="57">
        <f>IF(ISNUMBER(C487),C487,0)</f>
        <v>0.0</v>
      </c>
      <c r="AH487" s="57" t="str">
        <f>IF(N(W487)&gt;0,COUNTIF(W$6:W487,"&gt;0"),"")</f>
        <v/>
      </c>
      <c r="AI487" s="57" t="str">
        <f>IF(Z487=1,COUNTIF(Z$6:Z487,1),"")</f>
        <v/>
      </c>
    </row>
    <row r="488">
      <c r="A488" s="54" t="n"/>
      <c r="B488" s="55" t="str">
        <f>IF(AA488="","",A488&amp;"-"&amp;RIGHT("000"&amp;AA488,4))</f>
        <v/>
      </c>
      <c r="C488" s="56" t="n"/>
      <c r="D488" s="54" t="n"/>
      <c r="E488" s="57" t="str">
        <f>IF(D488="","",IF(A488="BL",IFERROR(INDEX(cl_name,MATCH(D488,cl_code,0))&amp;"","Client inconnu"),IF(A488="BR",IFERROR(INDEX(fo_name,MATCH(D488,fo_code,0))&amp;"","Fournisseur inconnu"),IF(A488="BS",IF(ISNA(MATCH(D488,p_services,0)),"Service inconnu",D488&amp;""),""))))</f>
        <v/>
      </c>
      <c r="F488" s="58" t="n"/>
      <c r="G488" s="58" t="n"/>
      <c r="H488" s="59" t="n"/>
      <c r="I488" s="57" t="str">
        <f>IF(H488="","",IFERROR(INDEX(art_des,MATCH(H488,art_ref,0))&amp;"","Article inconnu"))</f>
        <v/>
      </c>
      <c r="J488" s="60" t="str">
        <f>IF(H488="","",IFERROR(INDEX(art_unit,MATCH(H488,art_ref,0))&amp;"",""))</f>
        <v/>
      </c>
      <c r="K488" s="59" t="n"/>
      <c r="L488" s="59" t="n"/>
      <c r="M488" s="61" t="str">
        <f>IF(OR(B488="",NOT(ISNUMBER(K488)),NOT(ISNUMBER(L488))),"",IF(OR(K488&lt;=0,L488&lt;=0),"",ROUND(L488-K488,6)))</f>
        <v/>
      </c>
      <c r="N488" s="58" t="n"/>
      <c r="O488" s="62" t="n"/>
      <c r="P488" s="63" t="str">
        <f>IF(OR(B488="",NOT(ISNUMBER(L488))),"",IF(L488&lt;=0,"",IFERROR(ROUND(L488*N(INDEX(art_w,MATCH(H488,art_ref,0))),3),"")))</f>
        <v/>
      </c>
      <c r="Q488" s="59" t="n"/>
      <c r="R488" s="54" t="n"/>
      <c r="S488" s="59" t="n"/>
      <c r="T488" s="59" t="n"/>
      <c r="U488" s="64" t="str">
        <f>IF(OR(B488="",H488=""),"",IFERROR(IF(A488="BL",IF(N(INDEX(art_price,MATCH(H488,art_ref,0)))=0,"",N(INDEX(art_price,MATCH(H488,art_ref,0)))),IF(N(INDEX(art_cost,MATCH(H488,art_ref,0)))=0,"",N(INDEX(art_cost,MATCH(H488,art_ref,0))))),""))</f>
        <v/>
      </c>
      <c r="V488" s="64" t="str">
        <f>IF(OR(U488="",NOT(ISNUMBER(L488))),"",IF(L488&lt;=0,"",ROUND(L488*U488,2)))</f>
        <v/>
      </c>
      <c r="W488" s="60" t="str">
        <f>IF(AND(B488&lt;&gt;"",A488&lt;&gt;"BS",F488&lt;&gt;"",H488&lt;&gt;"",ISNUMBER(K488),ISNUMBER(L488)),IF(AND(K488&gt;0,L488&gt;0,K488-L488&gt;0,COUNTIFS(A489:A$2005,A488,F489:F$2005,F488,H489:H$2005,H488,AA489:AA$2005,"&gt;0")=0),ROUND(K488-L488,6),""),"")</f>
        <v/>
      </c>
      <c r="X488" s="60" t="str">
        <f>IF(AND(A488="",C488="",D488="",H488="",L488=""),"",IF(A488="","Type manquant",IF(AND(A488&lt;&gt;"BL",A488&lt;&gt;"BR",A488&lt;&gt;"BS"),"Type inconnu (BL, BR ou BS)",IF(AG488=0,"Date manquante ou invalide",IF(D488="",IF(A488="BL","Client manquant",IF(A488="BR","Fournisseur manquant","Service manquant")),IF(IF(A488="BL",ISNA(MATCH(D488,cl_code,0)),IF(A488="BR",ISNA(MATCH(D488,fo_code,0)),ISNA(MATCH(D488,p_services,0)))),IF(A488="BL","Client inconnu",IF(A488="BR","Fournisseur inconnu","Service inconnu")),IF(H488="","Article manquant",IF(ISNA(MATCH(H488,art_ref,0)),"Article inconnu",IF(OR(NOT(ISNUMBER(L488)),N(L488)&lt;=0),"Quantité invalide",IF(AND(K488&lt;&gt;"",OR(NOT(ISNUMBER(K488)),N(K488)&lt;=0)),"Qté commandée invalide",IF(AG488&lt;SUMPRODUCT(MAX((A$6:A487=A488)*AG$6:AG487)),"Date antérieure au bon précédent",IF(AND(A488&lt;&gt;"BR",ISNUMBER(M488),N(M488)&gt;0),IF(A488="BL","Livré plus que commandé","Sorti plus que demandé"),"OK"))))))))))))</f>
        <v/>
      </c>
      <c r="Y488" s="57" t="str">
        <f>IF(AND(OR(A488="BL",A488="BR",A488="BS"),AG488&gt;0,D488&lt;&gt;""),A488&amp;"|"&amp;AG488&amp;"|"&amp;D488&amp;"|"&amp;F488,"")</f>
        <v/>
      </c>
      <c r="Z488" s="57" t="str">
        <f>IF(Y488="","",IF(COUNTIF(Y$6:Y487,Y488)=0,1,0))</f>
        <v/>
      </c>
      <c r="AA488" s="57" t="str">
        <f>IF(Y488="","",IF(Z488=1,COUNTIFS(A$6:A488,A488,Z$6:Z488,1),INDEX(AA$6:AA487,MATCH(Y488,Y$6:Y487,0))))</f>
        <v/>
      </c>
      <c r="AB488" s="57" t="str">
        <f>IF(B488="","",COUNTIF(B$6:B488,B488))</f>
        <v/>
      </c>
      <c r="AC488" s="57" t="str">
        <f>IF(B488="","",B488&amp;"#"&amp;AB488)</f>
        <v/>
      </c>
      <c r="AD488" s="57" t="str">
        <f>IF(Z488=1,A488&amp;AA488,"")</f>
        <v/>
      </c>
      <c r="AE488" s="57" t="str">
        <f>IF(B488="","",YEAR(C488))</f>
        <v/>
      </c>
      <c r="AF488" s="57" t="str">
        <f>IF(B488="","",MONTH(C488))</f>
        <v/>
      </c>
      <c r="AG488" s="57">
        <f>IF(ISNUMBER(C488),C488,0)</f>
        <v>0.0</v>
      </c>
      <c r="AH488" s="57" t="str">
        <f>IF(N(W488)&gt;0,COUNTIF(W$6:W488,"&gt;0"),"")</f>
        <v/>
      </c>
      <c r="AI488" s="57" t="str">
        <f>IF(Z488=1,COUNTIF(Z$6:Z488,1),"")</f>
        <v/>
      </c>
    </row>
    <row r="489">
      <c r="A489" s="54" t="n"/>
      <c r="B489" s="55" t="str">
        <f>IF(AA489="","",A489&amp;"-"&amp;RIGHT("000"&amp;AA489,4))</f>
        <v/>
      </c>
      <c r="C489" s="56" t="n"/>
      <c r="D489" s="54" t="n"/>
      <c r="E489" s="57" t="str">
        <f>IF(D489="","",IF(A489="BL",IFERROR(INDEX(cl_name,MATCH(D489,cl_code,0))&amp;"","Client inconnu"),IF(A489="BR",IFERROR(INDEX(fo_name,MATCH(D489,fo_code,0))&amp;"","Fournisseur inconnu"),IF(A489="BS",IF(ISNA(MATCH(D489,p_services,0)),"Service inconnu",D489&amp;""),""))))</f>
        <v/>
      </c>
      <c r="F489" s="58" t="n"/>
      <c r="G489" s="58" t="n"/>
      <c r="H489" s="59" t="n"/>
      <c r="I489" s="57" t="str">
        <f>IF(H489="","",IFERROR(INDEX(art_des,MATCH(H489,art_ref,0))&amp;"","Article inconnu"))</f>
        <v/>
      </c>
      <c r="J489" s="60" t="str">
        <f>IF(H489="","",IFERROR(INDEX(art_unit,MATCH(H489,art_ref,0))&amp;"",""))</f>
        <v/>
      </c>
      <c r="K489" s="59" t="n"/>
      <c r="L489" s="59" t="n"/>
      <c r="M489" s="61" t="str">
        <f>IF(OR(B489="",NOT(ISNUMBER(K489)),NOT(ISNUMBER(L489))),"",IF(OR(K489&lt;=0,L489&lt;=0),"",ROUND(L489-K489,6)))</f>
        <v/>
      </c>
      <c r="N489" s="58" t="n"/>
      <c r="O489" s="62" t="n"/>
      <c r="P489" s="63" t="str">
        <f>IF(OR(B489="",NOT(ISNUMBER(L489))),"",IF(L489&lt;=0,"",IFERROR(ROUND(L489*N(INDEX(art_w,MATCH(H489,art_ref,0))),3),"")))</f>
        <v/>
      </c>
      <c r="Q489" s="59" t="n"/>
      <c r="R489" s="54" t="n"/>
      <c r="S489" s="59" t="n"/>
      <c r="T489" s="59" t="n"/>
      <c r="U489" s="64" t="str">
        <f>IF(OR(B489="",H489=""),"",IFERROR(IF(A489="BL",IF(N(INDEX(art_price,MATCH(H489,art_ref,0)))=0,"",N(INDEX(art_price,MATCH(H489,art_ref,0)))),IF(N(INDEX(art_cost,MATCH(H489,art_ref,0)))=0,"",N(INDEX(art_cost,MATCH(H489,art_ref,0))))),""))</f>
        <v/>
      </c>
      <c r="V489" s="64" t="str">
        <f>IF(OR(U489="",NOT(ISNUMBER(L489))),"",IF(L489&lt;=0,"",ROUND(L489*U489,2)))</f>
        <v/>
      </c>
      <c r="W489" s="60" t="str">
        <f>IF(AND(B489&lt;&gt;"",A489&lt;&gt;"BS",F489&lt;&gt;"",H489&lt;&gt;"",ISNUMBER(K489),ISNUMBER(L489)),IF(AND(K489&gt;0,L489&gt;0,K489-L489&gt;0,COUNTIFS(A490:A$2005,A489,F490:F$2005,F489,H490:H$2005,H489,AA490:AA$2005,"&gt;0")=0),ROUND(K489-L489,6),""),"")</f>
        <v/>
      </c>
      <c r="X489" s="60" t="str">
        <f>IF(AND(A489="",C489="",D489="",H489="",L489=""),"",IF(A489="","Type manquant",IF(AND(A489&lt;&gt;"BL",A489&lt;&gt;"BR",A489&lt;&gt;"BS"),"Type inconnu (BL, BR ou BS)",IF(AG489=0,"Date manquante ou invalide",IF(D489="",IF(A489="BL","Client manquant",IF(A489="BR","Fournisseur manquant","Service manquant")),IF(IF(A489="BL",ISNA(MATCH(D489,cl_code,0)),IF(A489="BR",ISNA(MATCH(D489,fo_code,0)),ISNA(MATCH(D489,p_services,0)))),IF(A489="BL","Client inconnu",IF(A489="BR","Fournisseur inconnu","Service inconnu")),IF(H489="","Article manquant",IF(ISNA(MATCH(H489,art_ref,0)),"Article inconnu",IF(OR(NOT(ISNUMBER(L489)),N(L489)&lt;=0),"Quantité invalide",IF(AND(K489&lt;&gt;"",OR(NOT(ISNUMBER(K489)),N(K489)&lt;=0)),"Qté commandée invalide",IF(AG489&lt;SUMPRODUCT(MAX((A$6:A488=A489)*AG$6:AG488)),"Date antérieure au bon précédent",IF(AND(A489&lt;&gt;"BR",ISNUMBER(M489),N(M489)&gt;0),IF(A489="BL","Livré plus que commandé","Sorti plus que demandé"),"OK"))))))))))))</f>
        <v/>
      </c>
      <c r="Y489" s="57" t="str">
        <f>IF(AND(OR(A489="BL",A489="BR",A489="BS"),AG489&gt;0,D489&lt;&gt;""),A489&amp;"|"&amp;AG489&amp;"|"&amp;D489&amp;"|"&amp;F489,"")</f>
        <v/>
      </c>
      <c r="Z489" s="57" t="str">
        <f>IF(Y489="","",IF(COUNTIF(Y$6:Y488,Y489)=0,1,0))</f>
        <v/>
      </c>
      <c r="AA489" s="57" t="str">
        <f>IF(Y489="","",IF(Z489=1,COUNTIFS(A$6:A489,A489,Z$6:Z489,1),INDEX(AA$6:AA488,MATCH(Y489,Y$6:Y488,0))))</f>
        <v/>
      </c>
      <c r="AB489" s="57" t="str">
        <f>IF(B489="","",COUNTIF(B$6:B489,B489))</f>
        <v/>
      </c>
      <c r="AC489" s="57" t="str">
        <f>IF(B489="","",B489&amp;"#"&amp;AB489)</f>
        <v/>
      </c>
      <c r="AD489" s="57" t="str">
        <f>IF(Z489=1,A489&amp;AA489,"")</f>
        <v/>
      </c>
      <c r="AE489" s="57" t="str">
        <f>IF(B489="","",YEAR(C489))</f>
        <v/>
      </c>
      <c r="AF489" s="57" t="str">
        <f>IF(B489="","",MONTH(C489))</f>
        <v/>
      </c>
      <c r="AG489" s="57">
        <f>IF(ISNUMBER(C489),C489,0)</f>
        <v>0.0</v>
      </c>
      <c r="AH489" s="57" t="str">
        <f>IF(N(W489)&gt;0,COUNTIF(W$6:W489,"&gt;0"),"")</f>
        <v/>
      </c>
      <c r="AI489" s="57" t="str">
        <f>IF(Z489=1,COUNTIF(Z$6:Z489,1),"")</f>
        <v/>
      </c>
    </row>
    <row r="490">
      <c r="A490" s="54" t="n"/>
      <c r="B490" s="55" t="str">
        <f>IF(AA490="","",A490&amp;"-"&amp;RIGHT("000"&amp;AA490,4))</f>
        <v/>
      </c>
      <c r="C490" s="56" t="n"/>
      <c r="D490" s="54" t="n"/>
      <c r="E490" s="57" t="str">
        <f>IF(D490="","",IF(A490="BL",IFERROR(INDEX(cl_name,MATCH(D490,cl_code,0))&amp;"","Client inconnu"),IF(A490="BR",IFERROR(INDEX(fo_name,MATCH(D490,fo_code,0))&amp;"","Fournisseur inconnu"),IF(A490="BS",IF(ISNA(MATCH(D490,p_services,0)),"Service inconnu",D490&amp;""),""))))</f>
        <v/>
      </c>
      <c r="F490" s="58" t="n"/>
      <c r="G490" s="58" t="n"/>
      <c r="H490" s="59" t="n"/>
      <c r="I490" s="57" t="str">
        <f>IF(H490="","",IFERROR(INDEX(art_des,MATCH(H490,art_ref,0))&amp;"","Article inconnu"))</f>
        <v/>
      </c>
      <c r="J490" s="60" t="str">
        <f>IF(H490="","",IFERROR(INDEX(art_unit,MATCH(H490,art_ref,0))&amp;"",""))</f>
        <v/>
      </c>
      <c r="K490" s="59" t="n"/>
      <c r="L490" s="59" t="n"/>
      <c r="M490" s="61" t="str">
        <f>IF(OR(B490="",NOT(ISNUMBER(K490)),NOT(ISNUMBER(L490))),"",IF(OR(K490&lt;=0,L490&lt;=0),"",ROUND(L490-K490,6)))</f>
        <v/>
      </c>
      <c r="N490" s="58" t="n"/>
      <c r="O490" s="62" t="n"/>
      <c r="P490" s="63" t="str">
        <f>IF(OR(B490="",NOT(ISNUMBER(L490))),"",IF(L490&lt;=0,"",IFERROR(ROUND(L490*N(INDEX(art_w,MATCH(H490,art_ref,0))),3),"")))</f>
        <v/>
      </c>
      <c r="Q490" s="59" t="n"/>
      <c r="R490" s="54" t="n"/>
      <c r="S490" s="59" t="n"/>
      <c r="T490" s="59" t="n"/>
      <c r="U490" s="64" t="str">
        <f>IF(OR(B490="",H490=""),"",IFERROR(IF(A490="BL",IF(N(INDEX(art_price,MATCH(H490,art_ref,0)))=0,"",N(INDEX(art_price,MATCH(H490,art_ref,0)))),IF(N(INDEX(art_cost,MATCH(H490,art_ref,0)))=0,"",N(INDEX(art_cost,MATCH(H490,art_ref,0))))),""))</f>
        <v/>
      </c>
      <c r="V490" s="64" t="str">
        <f>IF(OR(U490="",NOT(ISNUMBER(L490))),"",IF(L490&lt;=0,"",ROUND(L490*U490,2)))</f>
        <v/>
      </c>
      <c r="W490" s="60" t="str">
        <f>IF(AND(B490&lt;&gt;"",A490&lt;&gt;"BS",F490&lt;&gt;"",H490&lt;&gt;"",ISNUMBER(K490),ISNUMBER(L490)),IF(AND(K490&gt;0,L490&gt;0,K490-L490&gt;0,COUNTIFS(A491:A$2005,A490,F491:F$2005,F490,H491:H$2005,H490,AA491:AA$2005,"&gt;0")=0),ROUND(K490-L490,6),""),"")</f>
        <v/>
      </c>
      <c r="X490" s="60" t="str">
        <f>IF(AND(A490="",C490="",D490="",H490="",L490=""),"",IF(A490="","Type manquant",IF(AND(A490&lt;&gt;"BL",A490&lt;&gt;"BR",A490&lt;&gt;"BS"),"Type inconnu (BL, BR ou BS)",IF(AG490=0,"Date manquante ou invalide",IF(D490="",IF(A490="BL","Client manquant",IF(A490="BR","Fournisseur manquant","Service manquant")),IF(IF(A490="BL",ISNA(MATCH(D490,cl_code,0)),IF(A490="BR",ISNA(MATCH(D490,fo_code,0)),ISNA(MATCH(D490,p_services,0)))),IF(A490="BL","Client inconnu",IF(A490="BR","Fournisseur inconnu","Service inconnu")),IF(H490="","Article manquant",IF(ISNA(MATCH(H490,art_ref,0)),"Article inconnu",IF(OR(NOT(ISNUMBER(L490)),N(L490)&lt;=0),"Quantité invalide",IF(AND(K490&lt;&gt;"",OR(NOT(ISNUMBER(K490)),N(K490)&lt;=0)),"Qté commandée invalide",IF(AG490&lt;SUMPRODUCT(MAX((A$6:A489=A490)*AG$6:AG489)),"Date antérieure au bon précédent",IF(AND(A490&lt;&gt;"BR",ISNUMBER(M490),N(M490)&gt;0),IF(A490="BL","Livré plus que commandé","Sorti plus que demandé"),"OK"))))))))))))</f>
        <v/>
      </c>
      <c r="Y490" s="57" t="str">
        <f>IF(AND(OR(A490="BL",A490="BR",A490="BS"),AG490&gt;0,D490&lt;&gt;""),A490&amp;"|"&amp;AG490&amp;"|"&amp;D490&amp;"|"&amp;F490,"")</f>
        <v/>
      </c>
      <c r="Z490" s="57" t="str">
        <f>IF(Y490="","",IF(COUNTIF(Y$6:Y489,Y490)=0,1,0))</f>
        <v/>
      </c>
      <c r="AA490" s="57" t="str">
        <f>IF(Y490="","",IF(Z490=1,COUNTIFS(A$6:A490,A490,Z$6:Z490,1),INDEX(AA$6:AA489,MATCH(Y490,Y$6:Y489,0))))</f>
        <v/>
      </c>
      <c r="AB490" s="57" t="str">
        <f>IF(B490="","",COUNTIF(B$6:B490,B490))</f>
        <v/>
      </c>
      <c r="AC490" s="57" t="str">
        <f>IF(B490="","",B490&amp;"#"&amp;AB490)</f>
        <v/>
      </c>
      <c r="AD490" s="57" t="str">
        <f>IF(Z490=1,A490&amp;AA490,"")</f>
        <v/>
      </c>
      <c r="AE490" s="57" t="str">
        <f>IF(B490="","",YEAR(C490))</f>
        <v/>
      </c>
      <c r="AF490" s="57" t="str">
        <f>IF(B490="","",MONTH(C490))</f>
        <v/>
      </c>
      <c r="AG490" s="57">
        <f>IF(ISNUMBER(C490),C490,0)</f>
        <v>0.0</v>
      </c>
      <c r="AH490" s="57" t="str">
        <f>IF(N(W490)&gt;0,COUNTIF(W$6:W490,"&gt;0"),"")</f>
        <v/>
      </c>
      <c r="AI490" s="57" t="str">
        <f>IF(Z490=1,COUNTIF(Z$6:Z490,1),"")</f>
        <v/>
      </c>
    </row>
    <row r="491">
      <c r="A491" s="54" t="n"/>
      <c r="B491" s="55" t="str">
        <f>IF(AA491="","",A491&amp;"-"&amp;RIGHT("000"&amp;AA491,4))</f>
        <v/>
      </c>
      <c r="C491" s="56" t="n"/>
      <c r="D491" s="54" t="n"/>
      <c r="E491" s="57" t="str">
        <f>IF(D491="","",IF(A491="BL",IFERROR(INDEX(cl_name,MATCH(D491,cl_code,0))&amp;"","Client inconnu"),IF(A491="BR",IFERROR(INDEX(fo_name,MATCH(D491,fo_code,0))&amp;"","Fournisseur inconnu"),IF(A491="BS",IF(ISNA(MATCH(D491,p_services,0)),"Service inconnu",D491&amp;""),""))))</f>
        <v/>
      </c>
      <c r="F491" s="58" t="n"/>
      <c r="G491" s="58" t="n"/>
      <c r="H491" s="59" t="n"/>
      <c r="I491" s="57" t="str">
        <f>IF(H491="","",IFERROR(INDEX(art_des,MATCH(H491,art_ref,0))&amp;"","Article inconnu"))</f>
        <v/>
      </c>
      <c r="J491" s="60" t="str">
        <f>IF(H491="","",IFERROR(INDEX(art_unit,MATCH(H491,art_ref,0))&amp;"",""))</f>
        <v/>
      </c>
      <c r="K491" s="59" t="n"/>
      <c r="L491" s="59" t="n"/>
      <c r="M491" s="61" t="str">
        <f>IF(OR(B491="",NOT(ISNUMBER(K491)),NOT(ISNUMBER(L491))),"",IF(OR(K491&lt;=0,L491&lt;=0),"",ROUND(L491-K491,6)))</f>
        <v/>
      </c>
      <c r="N491" s="58" t="n"/>
      <c r="O491" s="62" t="n"/>
      <c r="P491" s="63" t="str">
        <f>IF(OR(B491="",NOT(ISNUMBER(L491))),"",IF(L491&lt;=0,"",IFERROR(ROUND(L491*N(INDEX(art_w,MATCH(H491,art_ref,0))),3),"")))</f>
        <v/>
      </c>
      <c r="Q491" s="59" t="n"/>
      <c r="R491" s="54" t="n"/>
      <c r="S491" s="59" t="n"/>
      <c r="T491" s="59" t="n"/>
      <c r="U491" s="64" t="str">
        <f>IF(OR(B491="",H491=""),"",IFERROR(IF(A491="BL",IF(N(INDEX(art_price,MATCH(H491,art_ref,0)))=0,"",N(INDEX(art_price,MATCH(H491,art_ref,0)))),IF(N(INDEX(art_cost,MATCH(H491,art_ref,0)))=0,"",N(INDEX(art_cost,MATCH(H491,art_ref,0))))),""))</f>
        <v/>
      </c>
      <c r="V491" s="64" t="str">
        <f>IF(OR(U491="",NOT(ISNUMBER(L491))),"",IF(L491&lt;=0,"",ROUND(L491*U491,2)))</f>
        <v/>
      </c>
      <c r="W491" s="60" t="str">
        <f>IF(AND(B491&lt;&gt;"",A491&lt;&gt;"BS",F491&lt;&gt;"",H491&lt;&gt;"",ISNUMBER(K491),ISNUMBER(L491)),IF(AND(K491&gt;0,L491&gt;0,K491-L491&gt;0,COUNTIFS(A492:A$2005,A491,F492:F$2005,F491,H492:H$2005,H491,AA492:AA$2005,"&gt;0")=0),ROUND(K491-L491,6),""),"")</f>
        <v/>
      </c>
      <c r="X491" s="60" t="str">
        <f>IF(AND(A491="",C491="",D491="",H491="",L491=""),"",IF(A491="","Type manquant",IF(AND(A491&lt;&gt;"BL",A491&lt;&gt;"BR",A491&lt;&gt;"BS"),"Type inconnu (BL, BR ou BS)",IF(AG491=0,"Date manquante ou invalide",IF(D491="",IF(A491="BL","Client manquant",IF(A491="BR","Fournisseur manquant","Service manquant")),IF(IF(A491="BL",ISNA(MATCH(D491,cl_code,0)),IF(A491="BR",ISNA(MATCH(D491,fo_code,0)),ISNA(MATCH(D491,p_services,0)))),IF(A491="BL","Client inconnu",IF(A491="BR","Fournisseur inconnu","Service inconnu")),IF(H491="","Article manquant",IF(ISNA(MATCH(H491,art_ref,0)),"Article inconnu",IF(OR(NOT(ISNUMBER(L491)),N(L491)&lt;=0),"Quantité invalide",IF(AND(K491&lt;&gt;"",OR(NOT(ISNUMBER(K491)),N(K491)&lt;=0)),"Qté commandée invalide",IF(AG491&lt;SUMPRODUCT(MAX((A$6:A490=A491)*AG$6:AG490)),"Date antérieure au bon précédent",IF(AND(A491&lt;&gt;"BR",ISNUMBER(M491),N(M491)&gt;0),IF(A491="BL","Livré plus que commandé","Sorti plus que demandé"),"OK"))))))))))))</f>
        <v/>
      </c>
      <c r="Y491" s="57" t="str">
        <f>IF(AND(OR(A491="BL",A491="BR",A491="BS"),AG491&gt;0,D491&lt;&gt;""),A491&amp;"|"&amp;AG491&amp;"|"&amp;D491&amp;"|"&amp;F491,"")</f>
        <v/>
      </c>
      <c r="Z491" s="57" t="str">
        <f>IF(Y491="","",IF(COUNTIF(Y$6:Y490,Y491)=0,1,0))</f>
        <v/>
      </c>
      <c r="AA491" s="57" t="str">
        <f>IF(Y491="","",IF(Z491=1,COUNTIFS(A$6:A491,A491,Z$6:Z491,1),INDEX(AA$6:AA490,MATCH(Y491,Y$6:Y490,0))))</f>
        <v/>
      </c>
      <c r="AB491" s="57" t="str">
        <f>IF(B491="","",COUNTIF(B$6:B491,B491))</f>
        <v/>
      </c>
      <c r="AC491" s="57" t="str">
        <f>IF(B491="","",B491&amp;"#"&amp;AB491)</f>
        <v/>
      </c>
      <c r="AD491" s="57" t="str">
        <f>IF(Z491=1,A491&amp;AA491,"")</f>
        <v/>
      </c>
      <c r="AE491" s="57" t="str">
        <f>IF(B491="","",YEAR(C491))</f>
        <v/>
      </c>
      <c r="AF491" s="57" t="str">
        <f>IF(B491="","",MONTH(C491))</f>
        <v/>
      </c>
      <c r="AG491" s="57">
        <f>IF(ISNUMBER(C491),C491,0)</f>
        <v>0.0</v>
      </c>
      <c r="AH491" s="57" t="str">
        <f>IF(N(W491)&gt;0,COUNTIF(W$6:W491,"&gt;0"),"")</f>
        <v/>
      </c>
      <c r="AI491" s="57" t="str">
        <f>IF(Z491=1,COUNTIF(Z$6:Z491,1),"")</f>
        <v/>
      </c>
    </row>
    <row r="492">
      <c r="A492" s="54" t="n"/>
      <c r="B492" s="55" t="str">
        <f>IF(AA492="","",A492&amp;"-"&amp;RIGHT("000"&amp;AA492,4))</f>
        <v/>
      </c>
      <c r="C492" s="56" t="n"/>
      <c r="D492" s="54" t="n"/>
      <c r="E492" s="57" t="str">
        <f>IF(D492="","",IF(A492="BL",IFERROR(INDEX(cl_name,MATCH(D492,cl_code,0))&amp;"","Client inconnu"),IF(A492="BR",IFERROR(INDEX(fo_name,MATCH(D492,fo_code,0))&amp;"","Fournisseur inconnu"),IF(A492="BS",IF(ISNA(MATCH(D492,p_services,0)),"Service inconnu",D492&amp;""),""))))</f>
        <v/>
      </c>
      <c r="F492" s="58" t="n"/>
      <c r="G492" s="58" t="n"/>
      <c r="H492" s="59" t="n"/>
      <c r="I492" s="57" t="str">
        <f>IF(H492="","",IFERROR(INDEX(art_des,MATCH(H492,art_ref,0))&amp;"","Article inconnu"))</f>
        <v/>
      </c>
      <c r="J492" s="60" t="str">
        <f>IF(H492="","",IFERROR(INDEX(art_unit,MATCH(H492,art_ref,0))&amp;"",""))</f>
        <v/>
      </c>
      <c r="K492" s="59" t="n"/>
      <c r="L492" s="59" t="n"/>
      <c r="M492" s="61" t="str">
        <f>IF(OR(B492="",NOT(ISNUMBER(K492)),NOT(ISNUMBER(L492))),"",IF(OR(K492&lt;=0,L492&lt;=0),"",ROUND(L492-K492,6)))</f>
        <v/>
      </c>
      <c r="N492" s="58" t="n"/>
      <c r="O492" s="62" t="n"/>
      <c r="P492" s="63" t="str">
        <f>IF(OR(B492="",NOT(ISNUMBER(L492))),"",IF(L492&lt;=0,"",IFERROR(ROUND(L492*N(INDEX(art_w,MATCH(H492,art_ref,0))),3),"")))</f>
        <v/>
      </c>
      <c r="Q492" s="59" t="n"/>
      <c r="R492" s="54" t="n"/>
      <c r="S492" s="59" t="n"/>
      <c r="T492" s="59" t="n"/>
      <c r="U492" s="64" t="str">
        <f>IF(OR(B492="",H492=""),"",IFERROR(IF(A492="BL",IF(N(INDEX(art_price,MATCH(H492,art_ref,0)))=0,"",N(INDEX(art_price,MATCH(H492,art_ref,0)))),IF(N(INDEX(art_cost,MATCH(H492,art_ref,0)))=0,"",N(INDEX(art_cost,MATCH(H492,art_ref,0))))),""))</f>
        <v/>
      </c>
      <c r="V492" s="64" t="str">
        <f>IF(OR(U492="",NOT(ISNUMBER(L492))),"",IF(L492&lt;=0,"",ROUND(L492*U492,2)))</f>
        <v/>
      </c>
      <c r="W492" s="60" t="str">
        <f>IF(AND(B492&lt;&gt;"",A492&lt;&gt;"BS",F492&lt;&gt;"",H492&lt;&gt;"",ISNUMBER(K492),ISNUMBER(L492)),IF(AND(K492&gt;0,L492&gt;0,K492-L492&gt;0,COUNTIFS(A493:A$2005,A492,F493:F$2005,F492,H493:H$2005,H492,AA493:AA$2005,"&gt;0")=0),ROUND(K492-L492,6),""),"")</f>
        <v/>
      </c>
      <c r="X492" s="60" t="str">
        <f>IF(AND(A492="",C492="",D492="",H492="",L492=""),"",IF(A492="","Type manquant",IF(AND(A492&lt;&gt;"BL",A492&lt;&gt;"BR",A492&lt;&gt;"BS"),"Type inconnu (BL, BR ou BS)",IF(AG492=0,"Date manquante ou invalide",IF(D492="",IF(A492="BL","Client manquant",IF(A492="BR","Fournisseur manquant","Service manquant")),IF(IF(A492="BL",ISNA(MATCH(D492,cl_code,0)),IF(A492="BR",ISNA(MATCH(D492,fo_code,0)),ISNA(MATCH(D492,p_services,0)))),IF(A492="BL","Client inconnu",IF(A492="BR","Fournisseur inconnu","Service inconnu")),IF(H492="","Article manquant",IF(ISNA(MATCH(H492,art_ref,0)),"Article inconnu",IF(OR(NOT(ISNUMBER(L492)),N(L492)&lt;=0),"Quantité invalide",IF(AND(K492&lt;&gt;"",OR(NOT(ISNUMBER(K492)),N(K492)&lt;=0)),"Qté commandée invalide",IF(AG492&lt;SUMPRODUCT(MAX((A$6:A491=A492)*AG$6:AG491)),"Date antérieure au bon précédent",IF(AND(A492&lt;&gt;"BR",ISNUMBER(M492),N(M492)&gt;0),IF(A492="BL","Livré plus que commandé","Sorti plus que demandé"),"OK"))))))))))))</f>
        <v/>
      </c>
      <c r="Y492" s="57" t="str">
        <f>IF(AND(OR(A492="BL",A492="BR",A492="BS"),AG492&gt;0,D492&lt;&gt;""),A492&amp;"|"&amp;AG492&amp;"|"&amp;D492&amp;"|"&amp;F492,"")</f>
        <v/>
      </c>
      <c r="Z492" s="57" t="str">
        <f>IF(Y492="","",IF(COUNTIF(Y$6:Y491,Y492)=0,1,0))</f>
        <v/>
      </c>
      <c r="AA492" s="57" t="str">
        <f>IF(Y492="","",IF(Z492=1,COUNTIFS(A$6:A492,A492,Z$6:Z492,1),INDEX(AA$6:AA491,MATCH(Y492,Y$6:Y491,0))))</f>
        <v/>
      </c>
      <c r="AB492" s="57" t="str">
        <f>IF(B492="","",COUNTIF(B$6:B492,B492))</f>
        <v/>
      </c>
      <c r="AC492" s="57" t="str">
        <f>IF(B492="","",B492&amp;"#"&amp;AB492)</f>
        <v/>
      </c>
      <c r="AD492" s="57" t="str">
        <f>IF(Z492=1,A492&amp;AA492,"")</f>
        <v/>
      </c>
      <c r="AE492" s="57" t="str">
        <f>IF(B492="","",YEAR(C492))</f>
        <v/>
      </c>
      <c r="AF492" s="57" t="str">
        <f>IF(B492="","",MONTH(C492))</f>
        <v/>
      </c>
      <c r="AG492" s="57">
        <f>IF(ISNUMBER(C492),C492,0)</f>
        <v>0.0</v>
      </c>
      <c r="AH492" s="57" t="str">
        <f>IF(N(W492)&gt;0,COUNTIF(W$6:W492,"&gt;0"),"")</f>
        <v/>
      </c>
      <c r="AI492" s="57" t="str">
        <f>IF(Z492=1,COUNTIF(Z$6:Z492,1),"")</f>
        <v/>
      </c>
    </row>
    <row r="493">
      <c r="A493" s="54" t="n"/>
      <c r="B493" s="55" t="str">
        <f>IF(AA493="","",A493&amp;"-"&amp;RIGHT("000"&amp;AA493,4))</f>
        <v/>
      </c>
      <c r="C493" s="56" t="n"/>
      <c r="D493" s="54" t="n"/>
      <c r="E493" s="57" t="str">
        <f>IF(D493="","",IF(A493="BL",IFERROR(INDEX(cl_name,MATCH(D493,cl_code,0))&amp;"","Client inconnu"),IF(A493="BR",IFERROR(INDEX(fo_name,MATCH(D493,fo_code,0))&amp;"","Fournisseur inconnu"),IF(A493="BS",IF(ISNA(MATCH(D493,p_services,0)),"Service inconnu",D493&amp;""),""))))</f>
        <v/>
      </c>
      <c r="F493" s="58" t="n"/>
      <c r="G493" s="58" t="n"/>
      <c r="H493" s="59" t="n"/>
      <c r="I493" s="57" t="str">
        <f>IF(H493="","",IFERROR(INDEX(art_des,MATCH(H493,art_ref,0))&amp;"","Article inconnu"))</f>
        <v/>
      </c>
      <c r="J493" s="60" t="str">
        <f>IF(H493="","",IFERROR(INDEX(art_unit,MATCH(H493,art_ref,0))&amp;"",""))</f>
        <v/>
      </c>
      <c r="K493" s="59" t="n"/>
      <c r="L493" s="59" t="n"/>
      <c r="M493" s="61" t="str">
        <f>IF(OR(B493="",NOT(ISNUMBER(K493)),NOT(ISNUMBER(L493))),"",IF(OR(K493&lt;=0,L493&lt;=0),"",ROUND(L493-K493,6)))</f>
        <v/>
      </c>
      <c r="N493" s="58" t="n"/>
      <c r="O493" s="62" t="n"/>
      <c r="P493" s="63" t="str">
        <f>IF(OR(B493="",NOT(ISNUMBER(L493))),"",IF(L493&lt;=0,"",IFERROR(ROUND(L493*N(INDEX(art_w,MATCH(H493,art_ref,0))),3),"")))</f>
        <v/>
      </c>
      <c r="Q493" s="59" t="n"/>
      <c r="R493" s="54" t="n"/>
      <c r="S493" s="59" t="n"/>
      <c r="T493" s="59" t="n"/>
      <c r="U493" s="64" t="str">
        <f>IF(OR(B493="",H493=""),"",IFERROR(IF(A493="BL",IF(N(INDEX(art_price,MATCH(H493,art_ref,0)))=0,"",N(INDEX(art_price,MATCH(H493,art_ref,0)))),IF(N(INDEX(art_cost,MATCH(H493,art_ref,0)))=0,"",N(INDEX(art_cost,MATCH(H493,art_ref,0))))),""))</f>
        <v/>
      </c>
      <c r="V493" s="64" t="str">
        <f>IF(OR(U493="",NOT(ISNUMBER(L493))),"",IF(L493&lt;=0,"",ROUND(L493*U493,2)))</f>
        <v/>
      </c>
      <c r="W493" s="60" t="str">
        <f>IF(AND(B493&lt;&gt;"",A493&lt;&gt;"BS",F493&lt;&gt;"",H493&lt;&gt;"",ISNUMBER(K493),ISNUMBER(L493)),IF(AND(K493&gt;0,L493&gt;0,K493-L493&gt;0,COUNTIFS(A494:A$2005,A493,F494:F$2005,F493,H494:H$2005,H493,AA494:AA$2005,"&gt;0")=0),ROUND(K493-L493,6),""),"")</f>
        <v/>
      </c>
      <c r="X493" s="60" t="str">
        <f>IF(AND(A493="",C493="",D493="",H493="",L493=""),"",IF(A493="","Type manquant",IF(AND(A493&lt;&gt;"BL",A493&lt;&gt;"BR",A493&lt;&gt;"BS"),"Type inconnu (BL, BR ou BS)",IF(AG493=0,"Date manquante ou invalide",IF(D493="",IF(A493="BL","Client manquant",IF(A493="BR","Fournisseur manquant","Service manquant")),IF(IF(A493="BL",ISNA(MATCH(D493,cl_code,0)),IF(A493="BR",ISNA(MATCH(D493,fo_code,0)),ISNA(MATCH(D493,p_services,0)))),IF(A493="BL","Client inconnu",IF(A493="BR","Fournisseur inconnu","Service inconnu")),IF(H493="","Article manquant",IF(ISNA(MATCH(H493,art_ref,0)),"Article inconnu",IF(OR(NOT(ISNUMBER(L493)),N(L493)&lt;=0),"Quantité invalide",IF(AND(K493&lt;&gt;"",OR(NOT(ISNUMBER(K493)),N(K493)&lt;=0)),"Qté commandée invalide",IF(AG493&lt;SUMPRODUCT(MAX((A$6:A492=A493)*AG$6:AG492)),"Date antérieure au bon précédent",IF(AND(A493&lt;&gt;"BR",ISNUMBER(M493),N(M493)&gt;0),IF(A493="BL","Livré plus que commandé","Sorti plus que demandé"),"OK"))))))))))))</f>
        <v/>
      </c>
      <c r="Y493" s="57" t="str">
        <f>IF(AND(OR(A493="BL",A493="BR",A493="BS"),AG493&gt;0,D493&lt;&gt;""),A493&amp;"|"&amp;AG493&amp;"|"&amp;D493&amp;"|"&amp;F493,"")</f>
        <v/>
      </c>
      <c r="Z493" s="57" t="str">
        <f>IF(Y493="","",IF(COUNTIF(Y$6:Y492,Y493)=0,1,0))</f>
        <v/>
      </c>
      <c r="AA493" s="57" t="str">
        <f>IF(Y493="","",IF(Z493=1,COUNTIFS(A$6:A493,A493,Z$6:Z493,1),INDEX(AA$6:AA492,MATCH(Y493,Y$6:Y492,0))))</f>
        <v/>
      </c>
      <c r="AB493" s="57" t="str">
        <f>IF(B493="","",COUNTIF(B$6:B493,B493))</f>
        <v/>
      </c>
      <c r="AC493" s="57" t="str">
        <f>IF(B493="","",B493&amp;"#"&amp;AB493)</f>
        <v/>
      </c>
      <c r="AD493" s="57" t="str">
        <f>IF(Z493=1,A493&amp;AA493,"")</f>
        <v/>
      </c>
      <c r="AE493" s="57" t="str">
        <f>IF(B493="","",YEAR(C493))</f>
        <v/>
      </c>
      <c r="AF493" s="57" t="str">
        <f>IF(B493="","",MONTH(C493))</f>
        <v/>
      </c>
      <c r="AG493" s="57">
        <f>IF(ISNUMBER(C493),C493,0)</f>
        <v>0.0</v>
      </c>
      <c r="AH493" s="57" t="str">
        <f>IF(N(W493)&gt;0,COUNTIF(W$6:W493,"&gt;0"),"")</f>
        <v/>
      </c>
      <c r="AI493" s="57" t="str">
        <f>IF(Z493=1,COUNTIF(Z$6:Z493,1),"")</f>
        <v/>
      </c>
    </row>
    <row r="494">
      <c r="A494" s="54" t="n"/>
      <c r="B494" s="55" t="str">
        <f>IF(AA494="","",A494&amp;"-"&amp;RIGHT("000"&amp;AA494,4))</f>
        <v/>
      </c>
      <c r="C494" s="56" t="n"/>
      <c r="D494" s="54" t="n"/>
      <c r="E494" s="57" t="str">
        <f>IF(D494="","",IF(A494="BL",IFERROR(INDEX(cl_name,MATCH(D494,cl_code,0))&amp;"","Client inconnu"),IF(A494="BR",IFERROR(INDEX(fo_name,MATCH(D494,fo_code,0))&amp;"","Fournisseur inconnu"),IF(A494="BS",IF(ISNA(MATCH(D494,p_services,0)),"Service inconnu",D494&amp;""),""))))</f>
        <v/>
      </c>
      <c r="F494" s="58" t="n"/>
      <c r="G494" s="58" t="n"/>
      <c r="H494" s="59" t="n"/>
      <c r="I494" s="57" t="str">
        <f>IF(H494="","",IFERROR(INDEX(art_des,MATCH(H494,art_ref,0))&amp;"","Article inconnu"))</f>
        <v/>
      </c>
      <c r="J494" s="60" t="str">
        <f>IF(H494="","",IFERROR(INDEX(art_unit,MATCH(H494,art_ref,0))&amp;"",""))</f>
        <v/>
      </c>
      <c r="K494" s="59" t="n"/>
      <c r="L494" s="59" t="n"/>
      <c r="M494" s="61" t="str">
        <f>IF(OR(B494="",NOT(ISNUMBER(K494)),NOT(ISNUMBER(L494))),"",IF(OR(K494&lt;=0,L494&lt;=0),"",ROUND(L494-K494,6)))</f>
        <v/>
      </c>
      <c r="N494" s="58" t="n"/>
      <c r="O494" s="62" t="n"/>
      <c r="P494" s="63" t="str">
        <f>IF(OR(B494="",NOT(ISNUMBER(L494))),"",IF(L494&lt;=0,"",IFERROR(ROUND(L494*N(INDEX(art_w,MATCH(H494,art_ref,0))),3),"")))</f>
        <v/>
      </c>
      <c r="Q494" s="59" t="n"/>
      <c r="R494" s="54" t="n"/>
      <c r="S494" s="59" t="n"/>
      <c r="T494" s="59" t="n"/>
      <c r="U494" s="64" t="str">
        <f>IF(OR(B494="",H494=""),"",IFERROR(IF(A494="BL",IF(N(INDEX(art_price,MATCH(H494,art_ref,0)))=0,"",N(INDEX(art_price,MATCH(H494,art_ref,0)))),IF(N(INDEX(art_cost,MATCH(H494,art_ref,0)))=0,"",N(INDEX(art_cost,MATCH(H494,art_ref,0))))),""))</f>
        <v/>
      </c>
      <c r="V494" s="64" t="str">
        <f>IF(OR(U494="",NOT(ISNUMBER(L494))),"",IF(L494&lt;=0,"",ROUND(L494*U494,2)))</f>
        <v/>
      </c>
      <c r="W494" s="60" t="str">
        <f>IF(AND(B494&lt;&gt;"",A494&lt;&gt;"BS",F494&lt;&gt;"",H494&lt;&gt;"",ISNUMBER(K494),ISNUMBER(L494)),IF(AND(K494&gt;0,L494&gt;0,K494-L494&gt;0,COUNTIFS(A495:A$2005,A494,F495:F$2005,F494,H495:H$2005,H494,AA495:AA$2005,"&gt;0")=0),ROUND(K494-L494,6),""),"")</f>
        <v/>
      </c>
      <c r="X494" s="60" t="str">
        <f>IF(AND(A494="",C494="",D494="",H494="",L494=""),"",IF(A494="","Type manquant",IF(AND(A494&lt;&gt;"BL",A494&lt;&gt;"BR",A494&lt;&gt;"BS"),"Type inconnu (BL, BR ou BS)",IF(AG494=0,"Date manquante ou invalide",IF(D494="",IF(A494="BL","Client manquant",IF(A494="BR","Fournisseur manquant","Service manquant")),IF(IF(A494="BL",ISNA(MATCH(D494,cl_code,0)),IF(A494="BR",ISNA(MATCH(D494,fo_code,0)),ISNA(MATCH(D494,p_services,0)))),IF(A494="BL","Client inconnu",IF(A494="BR","Fournisseur inconnu","Service inconnu")),IF(H494="","Article manquant",IF(ISNA(MATCH(H494,art_ref,0)),"Article inconnu",IF(OR(NOT(ISNUMBER(L494)),N(L494)&lt;=0),"Quantité invalide",IF(AND(K494&lt;&gt;"",OR(NOT(ISNUMBER(K494)),N(K494)&lt;=0)),"Qté commandée invalide",IF(AG494&lt;SUMPRODUCT(MAX((A$6:A493=A494)*AG$6:AG493)),"Date antérieure au bon précédent",IF(AND(A494&lt;&gt;"BR",ISNUMBER(M494),N(M494)&gt;0),IF(A494="BL","Livré plus que commandé","Sorti plus que demandé"),"OK"))))))))))))</f>
        <v/>
      </c>
      <c r="Y494" s="57" t="str">
        <f>IF(AND(OR(A494="BL",A494="BR",A494="BS"),AG494&gt;0,D494&lt;&gt;""),A494&amp;"|"&amp;AG494&amp;"|"&amp;D494&amp;"|"&amp;F494,"")</f>
        <v/>
      </c>
      <c r="Z494" s="57" t="str">
        <f>IF(Y494="","",IF(COUNTIF(Y$6:Y493,Y494)=0,1,0))</f>
        <v/>
      </c>
      <c r="AA494" s="57" t="str">
        <f>IF(Y494="","",IF(Z494=1,COUNTIFS(A$6:A494,A494,Z$6:Z494,1),INDEX(AA$6:AA493,MATCH(Y494,Y$6:Y493,0))))</f>
        <v/>
      </c>
      <c r="AB494" s="57" t="str">
        <f>IF(B494="","",COUNTIF(B$6:B494,B494))</f>
        <v/>
      </c>
      <c r="AC494" s="57" t="str">
        <f>IF(B494="","",B494&amp;"#"&amp;AB494)</f>
        <v/>
      </c>
      <c r="AD494" s="57" t="str">
        <f>IF(Z494=1,A494&amp;AA494,"")</f>
        <v/>
      </c>
      <c r="AE494" s="57" t="str">
        <f>IF(B494="","",YEAR(C494))</f>
        <v/>
      </c>
      <c r="AF494" s="57" t="str">
        <f>IF(B494="","",MONTH(C494))</f>
        <v/>
      </c>
      <c r="AG494" s="57">
        <f>IF(ISNUMBER(C494),C494,0)</f>
        <v>0.0</v>
      </c>
      <c r="AH494" s="57" t="str">
        <f>IF(N(W494)&gt;0,COUNTIF(W$6:W494,"&gt;0"),"")</f>
        <v/>
      </c>
      <c r="AI494" s="57" t="str">
        <f>IF(Z494=1,COUNTIF(Z$6:Z494,1),"")</f>
        <v/>
      </c>
    </row>
    <row r="495">
      <c r="A495" s="54" t="n"/>
      <c r="B495" s="55" t="str">
        <f>IF(AA495="","",A495&amp;"-"&amp;RIGHT("000"&amp;AA495,4))</f>
        <v/>
      </c>
      <c r="C495" s="56" t="n"/>
      <c r="D495" s="54" t="n"/>
      <c r="E495" s="57" t="str">
        <f>IF(D495="","",IF(A495="BL",IFERROR(INDEX(cl_name,MATCH(D495,cl_code,0))&amp;"","Client inconnu"),IF(A495="BR",IFERROR(INDEX(fo_name,MATCH(D495,fo_code,0))&amp;"","Fournisseur inconnu"),IF(A495="BS",IF(ISNA(MATCH(D495,p_services,0)),"Service inconnu",D495&amp;""),""))))</f>
        <v/>
      </c>
      <c r="F495" s="58" t="n"/>
      <c r="G495" s="58" t="n"/>
      <c r="H495" s="59" t="n"/>
      <c r="I495" s="57" t="str">
        <f>IF(H495="","",IFERROR(INDEX(art_des,MATCH(H495,art_ref,0))&amp;"","Article inconnu"))</f>
        <v/>
      </c>
      <c r="J495" s="60" t="str">
        <f>IF(H495="","",IFERROR(INDEX(art_unit,MATCH(H495,art_ref,0))&amp;"",""))</f>
        <v/>
      </c>
      <c r="K495" s="59" t="n"/>
      <c r="L495" s="59" t="n"/>
      <c r="M495" s="61" t="str">
        <f>IF(OR(B495="",NOT(ISNUMBER(K495)),NOT(ISNUMBER(L495))),"",IF(OR(K495&lt;=0,L495&lt;=0),"",ROUND(L495-K495,6)))</f>
        <v/>
      </c>
      <c r="N495" s="58" t="n"/>
      <c r="O495" s="62" t="n"/>
      <c r="P495" s="63" t="str">
        <f>IF(OR(B495="",NOT(ISNUMBER(L495))),"",IF(L495&lt;=0,"",IFERROR(ROUND(L495*N(INDEX(art_w,MATCH(H495,art_ref,0))),3),"")))</f>
        <v/>
      </c>
      <c r="Q495" s="59" t="n"/>
      <c r="R495" s="54" t="n"/>
      <c r="S495" s="59" t="n"/>
      <c r="T495" s="59" t="n"/>
      <c r="U495" s="64" t="str">
        <f>IF(OR(B495="",H495=""),"",IFERROR(IF(A495="BL",IF(N(INDEX(art_price,MATCH(H495,art_ref,0)))=0,"",N(INDEX(art_price,MATCH(H495,art_ref,0)))),IF(N(INDEX(art_cost,MATCH(H495,art_ref,0)))=0,"",N(INDEX(art_cost,MATCH(H495,art_ref,0))))),""))</f>
        <v/>
      </c>
      <c r="V495" s="64" t="str">
        <f>IF(OR(U495="",NOT(ISNUMBER(L495))),"",IF(L495&lt;=0,"",ROUND(L495*U495,2)))</f>
        <v/>
      </c>
      <c r="W495" s="60" t="str">
        <f>IF(AND(B495&lt;&gt;"",A495&lt;&gt;"BS",F495&lt;&gt;"",H495&lt;&gt;"",ISNUMBER(K495),ISNUMBER(L495)),IF(AND(K495&gt;0,L495&gt;0,K495-L495&gt;0,COUNTIFS(A496:A$2005,A495,F496:F$2005,F495,H496:H$2005,H495,AA496:AA$2005,"&gt;0")=0),ROUND(K495-L495,6),""),"")</f>
        <v/>
      </c>
      <c r="X495" s="60" t="str">
        <f>IF(AND(A495="",C495="",D495="",H495="",L495=""),"",IF(A495="","Type manquant",IF(AND(A495&lt;&gt;"BL",A495&lt;&gt;"BR",A495&lt;&gt;"BS"),"Type inconnu (BL, BR ou BS)",IF(AG495=0,"Date manquante ou invalide",IF(D495="",IF(A495="BL","Client manquant",IF(A495="BR","Fournisseur manquant","Service manquant")),IF(IF(A495="BL",ISNA(MATCH(D495,cl_code,0)),IF(A495="BR",ISNA(MATCH(D495,fo_code,0)),ISNA(MATCH(D495,p_services,0)))),IF(A495="BL","Client inconnu",IF(A495="BR","Fournisseur inconnu","Service inconnu")),IF(H495="","Article manquant",IF(ISNA(MATCH(H495,art_ref,0)),"Article inconnu",IF(OR(NOT(ISNUMBER(L495)),N(L495)&lt;=0),"Quantité invalide",IF(AND(K495&lt;&gt;"",OR(NOT(ISNUMBER(K495)),N(K495)&lt;=0)),"Qté commandée invalide",IF(AG495&lt;SUMPRODUCT(MAX((A$6:A494=A495)*AG$6:AG494)),"Date antérieure au bon précédent",IF(AND(A495&lt;&gt;"BR",ISNUMBER(M495),N(M495)&gt;0),IF(A495="BL","Livré plus que commandé","Sorti plus que demandé"),"OK"))))))))))))</f>
        <v/>
      </c>
      <c r="Y495" s="57" t="str">
        <f>IF(AND(OR(A495="BL",A495="BR",A495="BS"),AG495&gt;0,D495&lt;&gt;""),A495&amp;"|"&amp;AG495&amp;"|"&amp;D495&amp;"|"&amp;F495,"")</f>
        <v/>
      </c>
      <c r="Z495" s="57" t="str">
        <f>IF(Y495="","",IF(COUNTIF(Y$6:Y494,Y495)=0,1,0))</f>
        <v/>
      </c>
      <c r="AA495" s="57" t="str">
        <f>IF(Y495="","",IF(Z495=1,COUNTIFS(A$6:A495,A495,Z$6:Z495,1),INDEX(AA$6:AA494,MATCH(Y495,Y$6:Y494,0))))</f>
        <v/>
      </c>
      <c r="AB495" s="57" t="str">
        <f>IF(B495="","",COUNTIF(B$6:B495,B495))</f>
        <v/>
      </c>
      <c r="AC495" s="57" t="str">
        <f>IF(B495="","",B495&amp;"#"&amp;AB495)</f>
        <v/>
      </c>
      <c r="AD495" s="57" t="str">
        <f>IF(Z495=1,A495&amp;AA495,"")</f>
        <v/>
      </c>
      <c r="AE495" s="57" t="str">
        <f>IF(B495="","",YEAR(C495))</f>
        <v/>
      </c>
      <c r="AF495" s="57" t="str">
        <f>IF(B495="","",MONTH(C495))</f>
        <v/>
      </c>
      <c r="AG495" s="57">
        <f>IF(ISNUMBER(C495),C495,0)</f>
        <v>0.0</v>
      </c>
      <c r="AH495" s="57" t="str">
        <f>IF(N(W495)&gt;0,COUNTIF(W$6:W495,"&gt;0"),"")</f>
        <v/>
      </c>
      <c r="AI495" s="57" t="str">
        <f>IF(Z495=1,COUNTIF(Z$6:Z495,1),"")</f>
        <v/>
      </c>
    </row>
    <row r="496">
      <c r="A496" s="54" t="n"/>
      <c r="B496" s="55" t="str">
        <f>IF(AA496="","",A496&amp;"-"&amp;RIGHT("000"&amp;AA496,4))</f>
        <v/>
      </c>
      <c r="C496" s="56" t="n"/>
      <c r="D496" s="54" t="n"/>
      <c r="E496" s="57" t="str">
        <f>IF(D496="","",IF(A496="BL",IFERROR(INDEX(cl_name,MATCH(D496,cl_code,0))&amp;"","Client inconnu"),IF(A496="BR",IFERROR(INDEX(fo_name,MATCH(D496,fo_code,0))&amp;"","Fournisseur inconnu"),IF(A496="BS",IF(ISNA(MATCH(D496,p_services,0)),"Service inconnu",D496&amp;""),""))))</f>
        <v/>
      </c>
      <c r="F496" s="58" t="n"/>
      <c r="G496" s="58" t="n"/>
      <c r="H496" s="59" t="n"/>
      <c r="I496" s="57" t="str">
        <f>IF(H496="","",IFERROR(INDEX(art_des,MATCH(H496,art_ref,0))&amp;"","Article inconnu"))</f>
        <v/>
      </c>
      <c r="J496" s="60" t="str">
        <f>IF(H496="","",IFERROR(INDEX(art_unit,MATCH(H496,art_ref,0))&amp;"",""))</f>
        <v/>
      </c>
      <c r="K496" s="59" t="n"/>
      <c r="L496" s="59" t="n"/>
      <c r="M496" s="61" t="str">
        <f>IF(OR(B496="",NOT(ISNUMBER(K496)),NOT(ISNUMBER(L496))),"",IF(OR(K496&lt;=0,L496&lt;=0),"",ROUND(L496-K496,6)))</f>
        <v/>
      </c>
      <c r="N496" s="58" t="n"/>
      <c r="O496" s="62" t="n"/>
      <c r="P496" s="63" t="str">
        <f>IF(OR(B496="",NOT(ISNUMBER(L496))),"",IF(L496&lt;=0,"",IFERROR(ROUND(L496*N(INDEX(art_w,MATCH(H496,art_ref,0))),3),"")))</f>
        <v/>
      </c>
      <c r="Q496" s="59" t="n"/>
      <c r="R496" s="54" t="n"/>
      <c r="S496" s="59" t="n"/>
      <c r="T496" s="59" t="n"/>
      <c r="U496" s="64" t="str">
        <f>IF(OR(B496="",H496=""),"",IFERROR(IF(A496="BL",IF(N(INDEX(art_price,MATCH(H496,art_ref,0)))=0,"",N(INDEX(art_price,MATCH(H496,art_ref,0)))),IF(N(INDEX(art_cost,MATCH(H496,art_ref,0)))=0,"",N(INDEX(art_cost,MATCH(H496,art_ref,0))))),""))</f>
        <v/>
      </c>
      <c r="V496" s="64" t="str">
        <f>IF(OR(U496="",NOT(ISNUMBER(L496))),"",IF(L496&lt;=0,"",ROUND(L496*U496,2)))</f>
        <v/>
      </c>
      <c r="W496" s="60" t="str">
        <f>IF(AND(B496&lt;&gt;"",A496&lt;&gt;"BS",F496&lt;&gt;"",H496&lt;&gt;"",ISNUMBER(K496),ISNUMBER(L496)),IF(AND(K496&gt;0,L496&gt;0,K496-L496&gt;0,COUNTIFS(A497:A$2005,A496,F497:F$2005,F496,H497:H$2005,H496,AA497:AA$2005,"&gt;0")=0),ROUND(K496-L496,6),""),"")</f>
        <v/>
      </c>
      <c r="X496" s="60" t="str">
        <f>IF(AND(A496="",C496="",D496="",H496="",L496=""),"",IF(A496="","Type manquant",IF(AND(A496&lt;&gt;"BL",A496&lt;&gt;"BR",A496&lt;&gt;"BS"),"Type inconnu (BL, BR ou BS)",IF(AG496=0,"Date manquante ou invalide",IF(D496="",IF(A496="BL","Client manquant",IF(A496="BR","Fournisseur manquant","Service manquant")),IF(IF(A496="BL",ISNA(MATCH(D496,cl_code,0)),IF(A496="BR",ISNA(MATCH(D496,fo_code,0)),ISNA(MATCH(D496,p_services,0)))),IF(A496="BL","Client inconnu",IF(A496="BR","Fournisseur inconnu","Service inconnu")),IF(H496="","Article manquant",IF(ISNA(MATCH(H496,art_ref,0)),"Article inconnu",IF(OR(NOT(ISNUMBER(L496)),N(L496)&lt;=0),"Quantité invalide",IF(AND(K496&lt;&gt;"",OR(NOT(ISNUMBER(K496)),N(K496)&lt;=0)),"Qté commandée invalide",IF(AG496&lt;SUMPRODUCT(MAX((A$6:A495=A496)*AG$6:AG495)),"Date antérieure au bon précédent",IF(AND(A496&lt;&gt;"BR",ISNUMBER(M496),N(M496)&gt;0),IF(A496="BL","Livré plus que commandé","Sorti plus que demandé"),"OK"))))))))))))</f>
        <v/>
      </c>
      <c r="Y496" s="57" t="str">
        <f>IF(AND(OR(A496="BL",A496="BR",A496="BS"),AG496&gt;0,D496&lt;&gt;""),A496&amp;"|"&amp;AG496&amp;"|"&amp;D496&amp;"|"&amp;F496,"")</f>
        <v/>
      </c>
      <c r="Z496" s="57" t="str">
        <f>IF(Y496="","",IF(COUNTIF(Y$6:Y495,Y496)=0,1,0))</f>
        <v/>
      </c>
      <c r="AA496" s="57" t="str">
        <f>IF(Y496="","",IF(Z496=1,COUNTIFS(A$6:A496,A496,Z$6:Z496,1),INDEX(AA$6:AA495,MATCH(Y496,Y$6:Y495,0))))</f>
        <v/>
      </c>
      <c r="AB496" s="57" t="str">
        <f>IF(B496="","",COUNTIF(B$6:B496,B496))</f>
        <v/>
      </c>
      <c r="AC496" s="57" t="str">
        <f>IF(B496="","",B496&amp;"#"&amp;AB496)</f>
        <v/>
      </c>
      <c r="AD496" s="57" t="str">
        <f>IF(Z496=1,A496&amp;AA496,"")</f>
        <v/>
      </c>
      <c r="AE496" s="57" t="str">
        <f>IF(B496="","",YEAR(C496))</f>
        <v/>
      </c>
      <c r="AF496" s="57" t="str">
        <f>IF(B496="","",MONTH(C496))</f>
        <v/>
      </c>
      <c r="AG496" s="57">
        <f>IF(ISNUMBER(C496),C496,0)</f>
        <v>0.0</v>
      </c>
      <c r="AH496" s="57" t="str">
        <f>IF(N(W496)&gt;0,COUNTIF(W$6:W496,"&gt;0"),"")</f>
        <v/>
      </c>
      <c r="AI496" s="57" t="str">
        <f>IF(Z496=1,COUNTIF(Z$6:Z496,1),"")</f>
        <v/>
      </c>
    </row>
    <row r="497">
      <c r="A497" s="54" t="n"/>
      <c r="B497" s="55" t="str">
        <f>IF(AA497="","",A497&amp;"-"&amp;RIGHT("000"&amp;AA497,4))</f>
        <v/>
      </c>
      <c r="C497" s="56" t="n"/>
      <c r="D497" s="54" t="n"/>
      <c r="E497" s="57" t="str">
        <f>IF(D497="","",IF(A497="BL",IFERROR(INDEX(cl_name,MATCH(D497,cl_code,0))&amp;"","Client inconnu"),IF(A497="BR",IFERROR(INDEX(fo_name,MATCH(D497,fo_code,0))&amp;"","Fournisseur inconnu"),IF(A497="BS",IF(ISNA(MATCH(D497,p_services,0)),"Service inconnu",D497&amp;""),""))))</f>
        <v/>
      </c>
      <c r="F497" s="58" t="n"/>
      <c r="G497" s="58" t="n"/>
      <c r="H497" s="59" t="n"/>
      <c r="I497" s="57" t="str">
        <f>IF(H497="","",IFERROR(INDEX(art_des,MATCH(H497,art_ref,0))&amp;"","Article inconnu"))</f>
        <v/>
      </c>
      <c r="J497" s="60" t="str">
        <f>IF(H497="","",IFERROR(INDEX(art_unit,MATCH(H497,art_ref,0))&amp;"",""))</f>
        <v/>
      </c>
      <c r="K497" s="59" t="n"/>
      <c r="L497" s="59" t="n"/>
      <c r="M497" s="61" t="str">
        <f>IF(OR(B497="",NOT(ISNUMBER(K497)),NOT(ISNUMBER(L497))),"",IF(OR(K497&lt;=0,L497&lt;=0),"",ROUND(L497-K497,6)))</f>
        <v/>
      </c>
      <c r="N497" s="58" t="n"/>
      <c r="O497" s="62" t="n"/>
      <c r="P497" s="63" t="str">
        <f>IF(OR(B497="",NOT(ISNUMBER(L497))),"",IF(L497&lt;=0,"",IFERROR(ROUND(L497*N(INDEX(art_w,MATCH(H497,art_ref,0))),3),"")))</f>
        <v/>
      </c>
      <c r="Q497" s="59" t="n"/>
      <c r="R497" s="54" t="n"/>
      <c r="S497" s="59" t="n"/>
      <c r="T497" s="59" t="n"/>
      <c r="U497" s="64" t="str">
        <f>IF(OR(B497="",H497=""),"",IFERROR(IF(A497="BL",IF(N(INDEX(art_price,MATCH(H497,art_ref,0)))=0,"",N(INDEX(art_price,MATCH(H497,art_ref,0)))),IF(N(INDEX(art_cost,MATCH(H497,art_ref,0)))=0,"",N(INDEX(art_cost,MATCH(H497,art_ref,0))))),""))</f>
        <v/>
      </c>
      <c r="V497" s="64" t="str">
        <f>IF(OR(U497="",NOT(ISNUMBER(L497))),"",IF(L497&lt;=0,"",ROUND(L497*U497,2)))</f>
        <v/>
      </c>
      <c r="W497" s="60" t="str">
        <f>IF(AND(B497&lt;&gt;"",A497&lt;&gt;"BS",F497&lt;&gt;"",H497&lt;&gt;"",ISNUMBER(K497),ISNUMBER(L497)),IF(AND(K497&gt;0,L497&gt;0,K497-L497&gt;0,COUNTIFS(A498:A$2005,A497,F498:F$2005,F497,H498:H$2005,H497,AA498:AA$2005,"&gt;0")=0),ROUND(K497-L497,6),""),"")</f>
        <v/>
      </c>
      <c r="X497" s="60" t="str">
        <f>IF(AND(A497="",C497="",D497="",H497="",L497=""),"",IF(A497="","Type manquant",IF(AND(A497&lt;&gt;"BL",A497&lt;&gt;"BR",A497&lt;&gt;"BS"),"Type inconnu (BL, BR ou BS)",IF(AG497=0,"Date manquante ou invalide",IF(D497="",IF(A497="BL","Client manquant",IF(A497="BR","Fournisseur manquant","Service manquant")),IF(IF(A497="BL",ISNA(MATCH(D497,cl_code,0)),IF(A497="BR",ISNA(MATCH(D497,fo_code,0)),ISNA(MATCH(D497,p_services,0)))),IF(A497="BL","Client inconnu",IF(A497="BR","Fournisseur inconnu","Service inconnu")),IF(H497="","Article manquant",IF(ISNA(MATCH(H497,art_ref,0)),"Article inconnu",IF(OR(NOT(ISNUMBER(L497)),N(L497)&lt;=0),"Quantité invalide",IF(AND(K497&lt;&gt;"",OR(NOT(ISNUMBER(K497)),N(K497)&lt;=0)),"Qté commandée invalide",IF(AG497&lt;SUMPRODUCT(MAX((A$6:A496=A497)*AG$6:AG496)),"Date antérieure au bon précédent",IF(AND(A497&lt;&gt;"BR",ISNUMBER(M497),N(M497)&gt;0),IF(A497="BL","Livré plus que commandé","Sorti plus que demandé"),"OK"))))))))))))</f>
        <v/>
      </c>
      <c r="Y497" s="57" t="str">
        <f>IF(AND(OR(A497="BL",A497="BR",A497="BS"),AG497&gt;0,D497&lt;&gt;""),A497&amp;"|"&amp;AG497&amp;"|"&amp;D497&amp;"|"&amp;F497,"")</f>
        <v/>
      </c>
      <c r="Z497" s="57" t="str">
        <f>IF(Y497="","",IF(COUNTIF(Y$6:Y496,Y497)=0,1,0))</f>
        <v/>
      </c>
      <c r="AA497" s="57" t="str">
        <f>IF(Y497="","",IF(Z497=1,COUNTIFS(A$6:A497,A497,Z$6:Z497,1),INDEX(AA$6:AA496,MATCH(Y497,Y$6:Y496,0))))</f>
        <v/>
      </c>
      <c r="AB497" s="57" t="str">
        <f>IF(B497="","",COUNTIF(B$6:B497,B497))</f>
        <v/>
      </c>
      <c r="AC497" s="57" t="str">
        <f>IF(B497="","",B497&amp;"#"&amp;AB497)</f>
        <v/>
      </c>
      <c r="AD497" s="57" t="str">
        <f>IF(Z497=1,A497&amp;AA497,"")</f>
        <v/>
      </c>
      <c r="AE497" s="57" t="str">
        <f>IF(B497="","",YEAR(C497))</f>
        <v/>
      </c>
      <c r="AF497" s="57" t="str">
        <f>IF(B497="","",MONTH(C497))</f>
        <v/>
      </c>
      <c r="AG497" s="57">
        <f>IF(ISNUMBER(C497),C497,0)</f>
        <v>0.0</v>
      </c>
      <c r="AH497" s="57" t="str">
        <f>IF(N(W497)&gt;0,COUNTIF(W$6:W497,"&gt;0"),"")</f>
        <v/>
      </c>
      <c r="AI497" s="57" t="str">
        <f>IF(Z497=1,COUNTIF(Z$6:Z497,1),"")</f>
        <v/>
      </c>
    </row>
    <row r="498">
      <c r="A498" s="54" t="n"/>
      <c r="B498" s="55" t="str">
        <f>IF(AA498="","",A498&amp;"-"&amp;RIGHT("000"&amp;AA498,4))</f>
        <v/>
      </c>
      <c r="C498" s="56" t="n"/>
      <c r="D498" s="54" t="n"/>
      <c r="E498" s="57" t="str">
        <f>IF(D498="","",IF(A498="BL",IFERROR(INDEX(cl_name,MATCH(D498,cl_code,0))&amp;"","Client inconnu"),IF(A498="BR",IFERROR(INDEX(fo_name,MATCH(D498,fo_code,0))&amp;"","Fournisseur inconnu"),IF(A498="BS",IF(ISNA(MATCH(D498,p_services,0)),"Service inconnu",D498&amp;""),""))))</f>
        <v/>
      </c>
      <c r="F498" s="58" t="n"/>
      <c r="G498" s="58" t="n"/>
      <c r="H498" s="59" t="n"/>
      <c r="I498" s="57" t="str">
        <f>IF(H498="","",IFERROR(INDEX(art_des,MATCH(H498,art_ref,0))&amp;"","Article inconnu"))</f>
        <v/>
      </c>
      <c r="J498" s="60" t="str">
        <f>IF(H498="","",IFERROR(INDEX(art_unit,MATCH(H498,art_ref,0))&amp;"",""))</f>
        <v/>
      </c>
      <c r="K498" s="59" t="n"/>
      <c r="L498" s="59" t="n"/>
      <c r="M498" s="61" t="str">
        <f>IF(OR(B498="",NOT(ISNUMBER(K498)),NOT(ISNUMBER(L498))),"",IF(OR(K498&lt;=0,L498&lt;=0),"",ROUND(L498-K498,6)))</f>
        <v/>
      </c>
      <c r="N498" s="58" t="n"/>
      <c r="O498" s="62" t="n"/>
      <c r="P498" s="63" t="str">
        <f>IF(OR(B498="",NOT(ISNUMBER(L498))),"",IF(L498&lt;=0,"",IFERROR(ROUND(L498*N(INDEX(art_w,MATCH(H498,art_ref,0))),3),"")))</f>
        <v/>
      </c>
      <c r="Q498" s="59" t="n"/>
      <c r="R498" s="54" t="n"/>
      <c r="S498" s="59" t="n"/>
      <c r="T498" s="59" t="n"/>
      <c r="U498" s="64" t="str">
        <f>IF(OR(B498="",H498=""),"",IFERROR(IF(A498="BL",IF(N(INDEX(art_price,MATCH(H498,art_ref,0)))=0,"",N(INDEX(art_price,MATCH(H498,art_ref,0)))),IF(N(INDEX(art_cost,MATCH(H498,art_ref,0)))=0,"",N(INDEX(art_cost,MATCH(H498,art_ref,0))))),""))</f>
        <v/>
      </c>
      <c r="V498" s="64" t="str">
        <f>IF(OR(U498="",NOT(ISNUMBER(L498))),"",IF(L498&lt;=0,"",ROUND(L498*U498,2)))</f>
        <v/>
      </c>
      <c r="W498" s="60" t="str">
        <f>IF(AND(B498&lt;&gt;"",A498&lt;&gt;"BS",F498&lt;&gt;"",H498&lt;&gt;"",ISNUMBER(K498),ISNUMBER(L498)),IF(AND(K498&gt;0,L498&gt;0,K498-L498&gt;0,COUNTIFS(A499:A$2005,A498,F499:F$2005,F498,H499:H$2005,H498,AA499:AA$2005,"&gt;0")=0),ROUND(K498-L498,6),""),"")</f>
        <v/>
      </c>
      <c r="X498" s="60" t="str">
        <f>IF(AND(A498="",C498="",D498="",H498="",L498=""),"",IF(A498="","Type manquant",IF(AND(A498&lt;&gt;"BL",A498&lt;&gt;"BR",A498&lt;&gt;"BS"),"Type inconnu (BL, BR ou BS)",IF(AG498=0,"Date manquante ou invalide",IF(D498="",IF(A498="BL","Client manquant",IF(A498="BR","Fournisseur manquant","Service manquant")),IF(IF(A498="BL",ISNA(MATCH(D498,cl_code,0)),IF(A498="BR",ISNA(MATCH(D498,fo_code,0)),ISNA(MATCH(D498,p_services,0)))),IF(A498="BL","Client inconnu",IF(A498="BR","Fournisseur inconnu","Service inconnu")),IF(H498="","Article manquant",IF(ISNA(MATCH(H498,art_ref,0)),"Article inconnu",IF(OR(NOT(ISNUMBER(L498)),N(L498)&lt;=0),"Quantité invalide",IF(AND(K498&lt;&gt;"",OR(NOT(ISNUMBER(K498)),N(K498)&lt;=0)),"Qté commandée invalide",IF(AG498&lt;SUMPRODUCT(MAX((A$6:A497=A498)*AG$6:AG497)),"Date antérieure au bon précédent",IF(AND(A498&lt;&gt;"BR",ISNUMBER(M498),N(M498)&gt;0),IF(A498="BL","Livré plus que commandé","Sorti plus que demandé"),"OK"))))))))))))</f>
        <v/>
      </c>
      <c r="Y498" s="57" t="str">
        <f>IF(AND(OR(A498="BL",A498="BR",A498="BS"),AG498&gt;0,D498&lt;&gt;""),A498&amp;"|"&amp;AG498&amp;"|"&amp;D498&amp;"|"&amp;F498,"")</f>
        <v/>
      </c>
      <c r="Z498" s="57" t="str">
        <f>IF(Y498="","",IF(COUNTIF(Y$6:Y497,Y498)=0,1,0))</f>
        <v/>
      </c>
      <c r="AA498" s="57" t="str">
        <f>IF(Y498="","",IF(Z498=1,COUNTIFS(A$6:A498,A498,Z$6:Z498,1),INDEX(AA$6:AA497,MATCH(Y498,Y$6:Y497,0))))</f>
        <v/>
      </c>
      <c r="AB498" s="57" t="str">
        <f>IF(B498="","",COUNTIF(B$6:B498,B498))</f>
        <v/>
      </c>
      <c r="AC498" s="57" t="str">
        <f>IF(B498="","",B498&amp;"#"&amp;AB498)</f>
        <v/>
      </c>
      <c r="AD498" s="57" t="str">
        <f>IF(Z498=1,A498&amp;AA498,"")</f>
        <v/>
      </c>
      <c r="AE498" s="57" t="str">
        <f>IF(B498="","",YEAR(C498))</f>
        <v/>
      </c>
      <c r="AF498" s="57" t="str">
        <f>IF(B498="","",MONTH(C498))</f>
        <v/>
      </c>
      <c r="AG498" s="57">
        <f>IF(ISNUMBER(C498),C498,0)</f>
        <v>0.0</v>
      </c>
      <c r="AH498" s="57" t="str">
        <f>IF(N(W498)&gt;0,COUNTIF(W$6:W498,"&gt;0"),"")</f>
        <v/>
      </c>
      <c r="AI498" s="57" t="str">
        <f>IF(Z498=1,COUNTIF(Z$6:Z498,1),"")</f>
        <v/>
      </c>
    </row>
    <row r="499">
      <c r="A499" s="54" t="n"/>
      <c r="B499" s="55" t="str">
        <f>IF(AA499="","",A499&amp;"-"&amp;RIGHT("000"&amp;AA499,4))</f>
        <v/>
      </c>
      <c r="C499" s="56" t="n"/>
      <c r="D499" s="54" t="n"/>
      <c r="E499" s="57" t="str">
        <f>IF(D499="","",IF(A499="BL",IFERROR(INDEX(cl_name,MATCH(D499,cl_code,0))&amp;"","Client inconnu"),IF(A499="BR",IFERROR(INDEX(fo_name,MATCH(D499,fo_code,0))&amp;"","Fournisseur inconnu"),IF(A499="BS",IF(ISNA(MATCH(D499,p_services,0)),"Service inconnu",D499&amp;""),""))))</f>
        <v/>
      </c>
      <c r="F499" s="58" t="n"/>
      <c r="G499" s="58" t="n"/>
      <c r="H499" s="59" t="n"/>
      <c r="I499" s="57" t="str">
        <f>IF(H499="","",IFERROR(INDEX(art_des,MATCH(H499,art_ref,0))&amp;"","Article inconnu"))</f>
        <v/>
      </c>
      <c r="J499" s="60" t="str">
        <f>IF(H499="","",IFERROR(INDEX(art_unit,MATCH(H499,art_ref,0))&amp;"",""))</f>
        <v/>
      </c>
      <c r="K499" s="59" t="n"/>
      <c r="L499" s="59" t="n"/>
      <c r="M499" s="61" t="str">
        <f>IF(OR(B499="",NOT(ISNUMBER(K499)),NOT(ISNUMBER(L499))),"",IF(OR(K499&lt;=0,L499&lt;=0),"",ROUND(L499-K499,6)))</f>
        <v/>
      </c>
      <c r="N499" s="58" t="n"/>
      <c r="O499" s="62" t="n"/>
      <c r="P499" s="63" t="str">
        <f>IF(OR(B499="",NOT(ISNUMBER(L499))),"",IF(L499&lt;=0,"",IFERROR(ROUND(L499*N(INDEX(art_w,MATCH(H499,art_ref,0))),3),"")))</f>
        <v/>
      </c>
      <c r="Q499" s="59" t="n"/>
      <c r="R499" s="54" t="n"/>
      <c r="S499" s="59" t="n"/>
      <c r="T499" s="59" t="n"/>
      <c r="U499" s="64" t="str">
        <f>IF(OR(B499="",H499=""),"",IFERROR(IF(A499="BL",IF(N(INDEX(art_price,MATCH(H499,art_ref,0)))=0,"",N(INDEX(art_price,MATCH(H499,art_ref,0)))),IF(N(INDEX(art_cost,MATCH(H499,art_ref,0)))=0,"",N(INDEX(art_cost,MATCH(H499,art_ref,0))))),""))</f>
        <v/>
      </c>
      <c r="V499" s="64" t="str">
        <f>IF(OR(U499="",NOT(ISNUMBER(L499))),"",IF(L499&lt;=0,"",ROUND(L499*U499,2)))</f>
        <v/>
      </c>
      <c r="W499" s="60" t="str">
        <f>IF(AND(B499&lt;&gt;"",A499&lt;&gt;"BS",F499&lt;&gt;"",H499&lt;&gt;"",ISNUMBER(K499),ISNUMBER(L499)),IF(AND(K499&gt;0,L499&gt;0,K499-L499&gt;0,COUNTIFS(A500:A$2005,A499,F500:F$2005,F499,H500:H$2005,H499,AA500:AA$2005,"&gt;0")=0),ROUND(K499-L499,6),""),"")</f>
        <v/>
      </c>
      <c r="X499" s="60" t="str">
        <f>IF(AND(A499="",C499="",D499="",H499="",L499=""),"",IF(A499="","Type manquant",IF(AND(A499&lt;&gt;"BL",A499&lt;&gt;"BR",A499&lt;&gt;"BS"),"Type inconnu (BL, BR ou BS)",IF(AG499=0,"Date manquante ou invalide",IF(D499="",IF(A499="BL","Client manquant",IF(A499="BR","Fournisseur manquant","Service manquant")),IF(IF(A499="BL",ISNA(MATCH(D499,cl_code,0)),IF(A499="BR",ISNA(MATCH(D499,fo_code,0)),ISNA(MATCH(D499,p_services,0)))),IF(A499="BL","Client inconnu",IF(A499="BR","Fournisseur inconnu","Service inconnu")),IF(H499="","Article manquant",IF(ISNA(MATCH(H499,art_ref,0)),"Article inconnu",IF(OR(NOT(ISNUMBER(L499)),N(L499)&lt;=0),"Quantité invalide",IF(AND(K499&lt;&gt;"",OR(NOT(ISNUMBER(K499)),N(K499)&lt;=0)),"Qté commandée invalide",IF(AG499&lt;SUMPRODUCT(MAX((A$6:A498=A499)*AG$6:AG498)),"Date antérieure au bon précédent",IF(AND(A499&lt;&gt;"BR",ISNUMBER(M499),N(M499)&gt;0),IF(A499="BL","Livré plus que commandé","Sorti plus que demandé"),"OK"))))))))))))</f>
        <v/>
      </c>
      <c r="Y499" s="57" t="str">
        <f>IF(AND(OR(A499="BL",A499="BR",A499="BS"),AG499&gt;0,D499&lt;&gt;""),A499&amp;"|"&amp;AG499&amp;"|"&amp;D499&amp;"|"&amp;F499,"")</f>
        <v/>
      </c>
      <c r="Z499" s="57" t="str">
        <f>IF(Y499="","",IF(COUNTIF(Y$6:Y498,Y499)=0,1,0))</f>
        <v/>
      </c>
      <c r="AA499" s="57" t="str">
        <f>IF(Y499="","",IF(Z499=1,COUNTIFS(A$6:A499,A499,Z$6:Z499,1),INDEX(AA$6:AA498,MATCH(Y499,Y$6:Y498,0))))</f>
        <v/>
      </c>
      <c r="AB499" s="57" t="str">
        <f>IF(B499="","",COUNTIF(B$6:B499,B499))</f>
        <v/>
      </c>
      <c r="AC499" s="57" t="str">
        <f>IF(B499="","",B499&amp;"#"&amp;AB499)</f>
        <v/>
      </c>
      <c r="AD499" s="57" t="str">
        <f>IF(Z499=1,A499&amp;AA499,"")</f>
        <v/>
      </c>
      <c r="AE499" s="57" t="str">
        <f>IF(B499="","",YEAR(C499))</f>
        <v/>
      </c>
      <c r="AF499" s="57" t="str">
        <f>IF(B499="","",MONTH(C499))</f>
        <v/>
      </c>
      <c r="AG499" s="57">
        <f>IF(ISNUMBER(C499),C499,0)</f>
        <v>0.0</v>
      </c>
      <c r="AH499" s="57" t="str">
        <f>IF(N(W499)&gt;0,COUNTIF(W$6:W499,"&gt;0"),"")</f>
        <v/>
      </c>
      <c r="AI499" s="57" t="str">
        <f>IF(Z499=1,COUNTIF(Z$6:Z499,1),"")</f>
        <v/>
      </c>
    </row>
    <row r="500">
      <c r="A500" s="54" t="n"/>
      <c r="B500" s="55" t="str">
        <f>IF(AA500="","",A500&amp;"-"&amp;RIGHT("000"&amp;AA500,4))</f>
        <v/>
      </c>
      <c r="C500" s="56" t="n"/>
      <c r="D500" s="54" t="n"/>
      <c r="E500" s="57" t="str">
        <f>IF(D500="","",IF(A500="BL",IFERROR(INDEX(cl_name,MATCH(D500,cl_code,0))&amp;"","Client inconnu"),IF(A500="BR",IFERROR(INDEX(fo_name,MATCH(D500,fo_code,0))&amp;"","Fournisseur inconnu"),IF(A500="BS",IF(ISNA(MATCH(D500,p_services,0)),"Service inconnu",D500&amp;""),""))))</f>
        <v/>
      </c>
      <c r="F500" s="58" t="n"/>
      <c r="G500" s="58" t="n"/>
      <c r="H500" s="59" t="n"/>
      <c r="I500" s="57" t="str">
        <f>IF(H500="","",IFERROR(INDEX(art_des,MATCH(H500,art_ref,0))&amp;"","Article inconnu"))</f>
        <v/>
      </c>
      <c r="J500" s="60" t="str">
        <f>IF(H500="","",IFERROR(INDEX(art_unit,MATCH(H500,art_ref,0))&amp;"",""))</f>
        <v/>
      </c>
      <c r="K500" s="59" t="n"/>
      <c r="L500" s="59" t="n"/>
      <c r="M500" s="61" t="str">
        <f>IF(OR(B500="",NOT(ISNUMBER(K500)),NOT(ISNUMBER(L500))),"",IF(OR(K500&lt;=0,L500&lt;=0),"",ROUND(L500-K500,6)))</f>
        <v/>
      </c>
      <c r="N500" s="58" t="n"/>
      <c r="O500" s="62" t="n"/>
      <c r="P500" s="63" t="str">
        <f>IF(OR(B500="",NOT(ISNUMBER(L500))),"",IF(L500&lt;=0,"",IFERROR(ROUND(L500*N(INDEX(art_w,MATCH(H500,art_ref,0))),3),"")))</f>
        <v/>
      </c>
      <c r="Q500" s="59" t="n"/>
      <c r="R500" s="54" t="n"/>
      <c r="S500" s="59" t="n"/>
      <c r="T500" s="59" t="n"/>
      <c r="U500" s="64" t="str">
        <f>IF(OR(B500="",H500=""),"",IFERROR(IF(A500="BL",IF(N(INDEX(art_price,MATCH(H500,art_ref,0)))=0,"",N(INDEX(art_price,MATCH(H500,art_ref,0)))),IF(N(INDEX(art_cost,MATCH(H500,art_ref,0)))=0,"",N(INDEX(art_cost,MATCH(H500,art_ref,0))))),""))</f>
        <v/>
      </c>
      <c r="V500" s="64" t="str">
        <f>IF(OR(U500="",NOT(ISNUMBER(L500))),"",IF(L500&lt;=0,"",ROUND(L500*U500,2)))</f>
        <v/>
      </c>
      <c r="W500" s="60" t="str">
        <f>IF(AND(B500&lt;&gt;"",A500&lt;&gt;"BS",F500&lt;&gt;"",H500&lt;&gt;"",ISNUMBER(K500),ISNUMBER(L500)),IF(AND(K500&gt;0,L500&gt;0,K500-L500&gt;0,COUNTIFS(A501:A$2005,A500,F501:F$2005,F500,H501:H$2005,H500,AA501:AA$2005,"&gt;0")=0),ROUND(K500-L500,6),""),"")</f>
        <v/>
      </c>
      <c r="X500" s="60" t="str">
        <f>IF(AND(A500="",C500="",D500="",H500="",L500=""),"",IF(A500="","Type manquant",IF(AND(A500&lt;&gt;"BL",A500&lt;&gt;"BR",A500&lt;&gt;"BS"),"Type inconnu (BL, BR ou BS)",IF(AG500=0,"Date manquante ou invalide",IF(D500="",IF(A500="BL","Client manquant",IF(A500="BR","Fournisseur manquant","Service manquant")),IF(IF(A500="BL",ISNA(MATCH(D500,cl_code,0)),IF(A500="BR",ISNA(MATCH(D500,fo_code,0)),ISNA(MATCH(D500,p_services,0)))),IF(A500="BL","Client inconnu",IF(A500="BR","Fournisseur inconnu","Service inconnu")),IF(H500="","Article manquant",IF(ISNA(MATCH(H500,art_ref,0)),"Article inconnu",IF(OR(NOT(ISNUMBER(L500)),N(L500)&lt;=0),"Quantité invalide",IF(AND(K500&lt;&gt;"",OR(NOT(ISNUMBER(K500)),N(K500)&lt;=0)),"Qté commandée invalide",IF(AG500&lt;SUMPRODUCT(MAX((A$6:A499=A500)*AG$6:AG499)),"Date antérieure au bon précédent",IF(AND(A500&lt;&gt;"BR",ISNUMBER(M500),N(M500)&gt;0),IF(A500="BL","Livré plus que commandé","Sorti plus que demandé"),"OK"))))))))))))</f>
        <v/>
      </c>
      <c r="Y500" s="57" t="str">
        <f>IF(AND(OR(A500="BL",A500="BR",A500="BS"),AG500&gt;0,D500&lt;&gt;""),A500&amp;"|"&amp;AG500&amp;"|"&amp;D500&amp;"|"&amp;F500,"")</f>
        <v/>
      </c>
      <c r="Z500" s="57" t="str">
        <f>IF(Y500="","",IF(COUNTIF(Y$6:Y499,Y500)=0,1,0))</f>
        <v/>
      </c>
      <c r="AA500" s="57" t="str">
        <f>IF(Y500="","",IF(Z500=1,COUNTIFS(A$6:A500,A500,Z$6:Z500,1),INDEX(AA$6:AA499,MATCH(Y500,Y$6:Y499,0))))</f>
        <v/>
      </c>
      <c r="AB500" s="57" t="str">
        <f>IF(B500="","",COUNTIF(B$6:B500,B500))</f>
        <v/>
      </c>
      <c r="AC500" s="57" t="str">
        <f>IF(B500="","",B500&amp;"#"&amp;AB500)</f>
        <v/>
      </c>
      <c r="AD500" s="57" t="str">
        <f>IF(Z500=1,A500&amp;AA500,"")</f>
        <v/>
      </c>
      <c r="AE500" s="57" t="str">
        <f>IF(B500="","",YEAR(C500))</f>
        <v/>
      </c>
      <c r="AF500" s="57" t="str">
        <f>IF(B500="","",MONTH(C500))</f>
        <v/>
      </c>
      <c r="AG500" s="57">
        <f>IF(ISNUMBER(C500),C500,0)</f>
        <v>0.0</v>
      </c>
      <c r="AH500" s="57" t="str">
        <f>IF(N(W500)&gt;0,COUNTIF(W$6:W500,"&gt;0"),"")</f>
        <v/>
      </c>
      <c r="AI500" s="57" t="str">
        <f>IF(Z500=1,COUNTIF(Z$6:Z500,1),"")</f>
        <v/>
      </c>
    </row>
    <row r="501">
      <c r="A501" s="54" t="n"/>
      <c r="B501" s="55" t="str">
        <f>IF(AA501="","",A501&amp;"-"&amp;RIGHT("000"&amp;AA501,4))</f>
        <v/>
      </c>
      <c r="C501" s="56" t="n"/>
      <c r="D501" s="54" t="n"/>
      <c r="E501" s="57" t="str">
        <f>IF(D501="","",IF(A501="BL",IFERROR(INDEX(cl_name,MATCH(D501,cl_code,0))&amp;"","Client inconnu"),IF(A501="BR",IFERROR(INDEX(fo_name,MATCH(D501,fo_code,0))&amp;"","Fournisseur inconnu"),IF(A501="BS",IF(ISNA(MATCH(D501,p_services,0)),"Service inconnu",D501&amp;""),""))))</f>
        <v/>
      </c>
      <c r="F501" s="58" t="n"/>
      <c r="G501" s="58" t="n"/>
      <c r="H501" s="59" t="n"/>
      <c r="I501" s="57" t="str">
        <f>IF(H501="","",IFERROR(INDEX(art_des,MATCH(H501,art_ref,0))&amp;"","Article inconnu"))</f>
        <v/>
      </c>
      <c r="J501" s="60" t="str">
        <f>IF(H501="","",IFERROR(INDEX(art_unit,MATCH(H501,art_ref,0))&amp;"",""))</f>
        <v/>
      </c>
      <c r="K501" s="59" t="n"/>
      <c r="L501" s="59" t="n"/>
      <c r="M501" s="61" t="str">
        <f>IF(OR(B501="",NOT(ISNUMBER(K501)),NOT(ISNUMBER(L501))),"",IF(OR(K501&lt;=0,L501&lt;=0),"",ROUND(L501-K501,6)))</f>
        <v/>
      </c>
      <c r="N501" s="58" t="n"/>
      <c r="O501" s="62" t="n"/>
      <c r="P501" s="63" t="str">
        <f>IF(OR(B501="",NOT(ISNUMBER(L501))),"",IF(L501&lt;=0,"",IFERROR(ROUND(L501*N(INDEX(art_w,MATCH(H501,art_ref,0))),3),"")))</f>
        <v/>
      </c>
      <c r="Q501" s="59" t="n"/>
      <c r="R501" s="54" t="n"/>
      <c r="S501" s="59" t="n"/>
      <c r="T501" s="59" t="n"/>
      <c r="U501" s="64" t="str">
        <f>IF(OR(B501="",H501=""),"",IFERROR(IF(A501="BL",IF(N(INDEX(art_price,MATCH(H501,art_ref,0)))=0,"",N(INDEX(art_price,MATCH(H501,art_ref,0)))),IF(N(INDEX(art_cost,MATCH(H501,art_ref,0)))=0,"",N(INDEX(art_cost,MATCH(H501,art_ref,0))))),""))</f>
        <v/>
      </c>
      <c r="V501" s="64" t="str">
        <f>IF(OR(U501="",NOT(ISNUMBER(L501))),"",IF(L501&lt;=0,"",ROUND(L501*U501,2)))</f>
        <v/>
      </c>
      <c r="W501" s="60" t="str">
        <f>IF(AND(B501&lt;&gt;"",A501&lt;&gt;"BS",F501&lt;&gt;"",H501&lt;&gt;"",ISNUMBER(K501),ISNUMBER(L501)),IF(AND(K501&gt;0,L501&gt;0,K501-L501&gt;0,COUNTIFS(A502:A$2005,A501,F502:F$2005,F501,H502:H$2005,H501,AA502:AA$2005,"&gt;0")=0),ROUND(K501-L501,6),""),"")</f>
        <v/>
      </c>
      <c r="X501" s="60" t="str">
        <f>IF(AND(A501="",C501="",D501="",H501="",L501=""),"",IF(A501="","Type manquant",IF(AND(A501&lt;&gt;"BL",A501&lt;&gt;"BR",A501&lt;&gt;"BS"),"Type inconnu (BL, BR ou BS)",IF(AG501=0,"Date manquante ou invalide",IF(D501="",IF(A501="BL","Client manquant",IF(A501="BR","Fournisseur manquant","Service manquant")),IF(IF(A501="BL",ISNA(MATCH(D501,cl_code,0)),IF(A501="BR",ISNA(MATCH(D501,fo_code,0)),ISNA(MATCH(D501,p_services,0)))),IF(A501="BL","Client inconnu",IF(A501="BR","Fournisseur inconnu","Service inconnu")),IF(H501="","Article manquant",IF(ISNA(MATCH(H501,art_ref,0)),"Article inconnu",IF(OR(NOT(ISNUMBER(L501)),N(L501)&lt;=0),"Quantité invalide",IF(AND(K501&lt;&gt;"",OR(NOT(ISNUMBER(K501)),N(K501)&lt;=0)),"Qté commandée invalide",IF(AG501&lt;SUMPRODUCT(MAX((A$6:A500=A501)*AG$6:AG500)),"Date antérieure au bon précédent",IF(AND(A501&lt;&gt;"BR",ISNUMBER(M501),N(M501)&gt;0),IF(A501="BL","Livré plus que commandé","Sorti plus que demandé"),"OK"))))))))))))</f>
        <v/>
      </c>
      <c r="Y501" s="57" t="str">
        <f>IF(AND(OR(A501="BL",A501="BR",A501="BS"),AG501&gt;0,D501&lt;&gt;""),A501&amp;"|"&amp;AG501&amp;"|"&amp;D501&amp;"|"&amp;F501,"")</f>
        <v/>
      </c>
      <c r="Z501" s="57" t="str">
        <f>IF(Y501="","",IF(COUNTIF(Y$6:Y500,Y501)=0,1,0))</f>
        <v/>
      </c>
      <c r="AA501" s="57" t="str">
        <f>IF(Y501="","",IF(Z501=1,COUNTIFS(A$6:A501,A501,Z$6:Z501,1),INDEX(AA$6:AA500,MATCH(Y501,Y$6:Y500,0))))</f>
        <v/>
      </c>
      <c r="AB501" s="57" t="str">
        <f>IF(B501="","",COUNTIF(B$6:B501,B501))</f>
        <v/>
      </c>
      <c r="AC501" s="57" t="str">
        <f>IF(B501="","",B501&amp;"#"&amp;AB501)</f>
        <v/>
      </c>
      <c r="AD501" s="57" t="str">
        <f>IF(Z501=1,A501&amp;AA501,"")</f>
        <v/>
      </c>
      <c r="AE501" s="57" t="str">
        <f>IF(B501="","",YEAR(C501))</f>
        <v/>
      </c>
      <c r="AF501" s="57" t="str">
        <f>IF(B501="","",MONTH(C501))</f>
        <v/>
      </c>
      <c r="AG501" s="57">
        <f>IF(ISNUMBER(C501),C501,0)</f>
        <v>0.0</v>
      </c>
      <c r="AH501" s="57" t="str">
        <f>IF(N(W501)&gt;0,COUNTIF(W$6:W501,"&gt;0"),"")</f>
        <v/>
      </c>
      <c r="AI501" s="57" t="str">
        <f>IF(Z501=1,COUNTIF(Z$6:Z501,1),"")</f>
        <v/>
      </c>
    </row>
    <row r="502">
      <c r="A502" s="54" t="n"/>
      <c r="B502" s="55" t="str">
        <f>IF(AA502="","",A502&amp;"-"&amp;RIGHT("000"&amp;AA502,4))</f>
        <v/>
      </c>
      <c r="C502" s="56" t="n"/>
      <c r="D502" s="54" t="n"/>
      <c r="E502" s="57" t="str">
        <f>IF(D502="","",IF(A502="BL",IFERROR(INDEX(cl_name,MATCH(D502,cl_code,0))&amp;"","Client inconnu"),IF(A502="BR",IFERROR(INDEX(fo_name,MATCH(D502,fo_code,0))&amp;"","Fournisseur inconnu"),IF(A502="BS",IF(ISNA(MATCH(D502,p_services,0)),"Service inconnu",D502&amp;""),""))))</f>
        <v/>
      </c>
      <c r="F502" s="58" t="n"/>
      <c r="G502" s="58" t="n"/>
      <c r="H502" s="59" t="n"/>
      <c r="I502" s="57" t="str">
        <f>IF(H502="","",IFERROR(INDEX(art_des,MATCH(H502,art_ref,0))&amp;"","Article inconnu"))</f>
        <v/>
      </c>
      <c r="J502" s="60" t="str">
        <f>IF(H502="","",IFERROR(INDEX(art_unit,MATCH(H502,art_ref,0))&amp;"",""))</f>
        <v/>
      </c>
      <c r="K502" s="59" t="n"/>
      <c r="L502" s="59" t="n"/>
      <c r="M502" s="61" t="str">
        <f>IF(OR(B502="",NOT(ISNUMBER(K502)),NOT(ISNUMBER(L502))),"",IF(OR(K502&lt;=0,L502&lt;=0),"",ROUND(L502-K502,6)))</f>
        <v/>
      </c>
      <c r="N502" s="58" t="n"/>
      <c r="O502" s="62" t="n"/>
      <c r="P502" s="63" t="str">
        <f>IF(OR(B502="",NOT(ISNUMBER(L502))),"",IF(L502&lt;=0,"",IFERROR(ROUND(L502*N(INDEX(art_w,MATCH(H502,art_ref,0))),3),"")))</f>
        <v/>
      </c>
      <c r="Q502" s="59" t="n"/>
      <c r="R502" s="54" t="n"/>
      <c r="S502" s="59" t="n"/>
      <c r="T502" s="59" t="n"/>
      <c r="U502" s="64" t="str">
        <f>IF(OR(B502="",H502=""),"",IFERROR(IF(A502="BL",IF(N(INDEX(art_price,MATCH(H502,art_ref,0)))=0,"",N(INDEX(art_price,MATCH(H502,art_ref,0)))),IF(N(INDEX(art_cost,MATCH(H502,art_ref,0)))=0,"",N(INDEX(art_cost,MATCH(H502,art_ref,0))))),""))</f>
        <v/>
      </c>
      <c r="V502" s="64" t="str">
        <f>IF(OR(U502="",NOT(ISNUMBER(L502))),"",IF(L502&lt;=0,"",ROUND(L502*U502,2)))</f>
        <v/>
      </c>
      <c r="W502" s="60" t="str">
        <f>IF(AND(B502&lt;&gt;"",A502&lt;&gt;"BS",F502&lt;&gt;"",H502&lt;&gt;"",ISNUMBER(K502),ISNUMBER(L502)),IF(AND(K502&gt;0,L502&gt;0,K502-L502&gt;0,COUNTIFS(A503:A$2005,A502,F503:F$2005,F502,H503:H$2005,H502,AA503:AA$2005,"&gt;0")=0),ROUND(K502-L502,6),""),"")</f>
        <v/>
      </c>
      <c r="X502" s="60" t="str">
        <f>IF(AND(A502="",C502="",D502="",H502="",L502=""),"",IF(A502="","Type manquant",IF(AND(A502&lt;&gt;"BL",A502&lt;&gt;"BR",A502&lt;&gt;"BS"),"Type inconnu (BL, BR ou BS)",IF(AG502=0,"Date manquante ou invalide",IF(D502="",IF(A502="BL","Client manquant",IF(A502="BR","Fournisseur manquant","Service manquant")),IF(IF(A502="BL",ISNA(MATCH(D502,cl_code,0)),IF(A502="BR",ISNA(MATCH(D502,fo_code,0)),ISNA(MATCH(D502,p_services,0)))),IF(A502="BL","Client inconnu",IF(A502="BR","Fournisseur inconnu","Service inconnu")),IF(H502="","Article manquant",IF(ISNA(MATCH(H502,art_ref,0)),"Article inconnu",IF(OR(NOT(ISNUMBER(L502)),N(L502)&lt;=0),"Quantité invalide",IF(AND(K502&lt;&gt;"",OR(NOT(ISNUMBER(K502)),N(K502)&lt;=0)),"Qté commandée invalide",IF(AG502&lt;SUMPRODUCT(MAX((A$6:A501=A502)*AG$6:AG501)),"Date antérieure au bon précédent",IF(AND(A502&lt;&gt;"BR",ISNUMBER(M502),N(M502)&gt;0),IF(A502="BL","Livré plus que commandé","Sorti plus que demandé"),"OK"))))))))))))</f>
        <v/>
      </c>
      <c r="Y502" s="57" t="str">
        <f>IF(AND(OR(A502="BL",A502="BR",A502="BS"),AG502&gt;0,D502&lt;&gt;""),A502&amp;"|"&amp;AG502&amp;"|"&amp;D502&amp;"|"&amp;F502,"")</f>
        <v/>
      </c>
      <c r="Z502" s="57" t="str">
        <f>IF(Y502="","",IF(COUNTIF(Y$6:Y501,Y502)=0,1,0))</f>
        <v/>
      </c>
      <c r="AA502" s="57" t="str">
        <f>IF(Y502="","",IF(Z502=1,COUNTIFS(A$6:A502,A502,Z$6:Z502,1),INDEX(AA$6:AA501,MATCH(Y502,Y$6:Y501,0))))</f>
        <v/>
      </c>
      <c r="AB502" s="57" t="str">
        <f>IF(B502="","",COUNTIF(B$6:B502,B502))</f>
        <v/>
      </c>
      <c r="AC502" s="57" t="str">
        <f>IF(B502="","",B502&amp;"#"&amp;AB502)</f>
        <v/>
      </c>
      <c r="AD502" s="57" t="str">
        <f>IF(Z502=1,A502&amp;AA502,"")</f>
        <v/>
      </c>
      <c r="AE502" s="57" t="str">
        <f>IF(B502="","",YEAR(C502))</f>
        <v/>
      </c>
      <c r="AF502" s="57" t="str">
        <f>IF(B502="","",MONTH(C502))</f>
        <v/>
      </c>
      <c r="AG502" s="57">
        <f>IF(ISNUMBER(C502),C502,0)</f>
        <v>0.0</v>
      </c>
      <c r="AH502" s="57" t="str">
        <f>IF(N(W502)&gt;0,COUNTIF(W$6:W502,"&gt;0"),"")</f>
        <v/>
      </c>
      <c r="AI502" s="57" t="str">
        <f>IF(Z502=1,COUNTIF(Z$6:Z502,1),"")</f>
        <v/>
      </c>
    </row>
    <row r="503">
      <c r="A503" s="54" t="n"/>
      <c r="B503" s="55" t="str">
        <f>IF(AA503="","",A503&amp;"-"&amp;RIGHT("000"&amp;AA503,4))</f>
        <v/>
      </c>
      <c r="C503" s="56" t="n"/>
      <c r="D503" s="54" t="n"/>
      <c r="E503" s="57" t="str">
        <f>IF(D503="","",IF(A503="BL",IFERROR(INDEX(cl_name,MATCH(D503,cl_code,0))&amp;"","Client inconnu"),IF(A503="BR",IFERROR(INDEX(fo_name,MATCH(D503,fo_code,0))&amp;"","Fournisseur inconnu"),IF(A503="BS",IF(ISNA(MATCH(D503,p_services,0)),"Service inconnu",D503&amp;""),""))))</f>
        <v/>
      </c>
      <c r="F503" s="58" t="n"/>
      <c r="G503" s="58" t="n"/>
      <c r="H503" s="59" t="n"/>
      <c r="I503" s="57" t="str">
        <f>IF(H503="","",IFERROR(INDEX(art_des,MATCH(H503,art_ref,0))&amp;"","Article inconnu"))</f>
        <v/>
      </c>
      <c r="J503" s="60" t="str">
        <f>IF(H503="","",IFERROR(INDEX(art_unit,MATCH(H503,art_ref,0))&amp;"",""))</f>
        <v/>
      </c>
      <c r="K503" s="59" t="n"/>
      <c r="L503" s="59" t="n"/>
      <c r="M503" s="61" t="str">
        <f>IF(OR(B503="",NOT(ISNUMBER(K503)),NOT(ISNUMBER(L503))),"",IF(OR(K503&lt;=0,L503&lt;=0),"",ROUND(L503-K503,6)))</f>
        <v/>
      </c>
      <c r="N503" s="58" t="n"/>
      <c r="O503" s="62" t="n"/>
      <c r="P503" s="63" t="str">
        <f>IF(OR(B503="",NOT(ISNUMBER(L503))),"",IF(L503&lt;=0,"",IFERROR(ROUND(L503*N(INDEX(art_w,MATCH(H503,art_ref,0))),3),"")))</f>
        <v/>
      </c>
      <c r="Q503" s="59" t="n"/>
      <c r="R503" s="54" t="n"/>
      <c r="S503" s="59" t="n"/>
      <c r="T503" s="59" t="n"/>
      <c r="U503" s="64" t="str">
        <f>IF(OR(B503="",H503=""),"",IFERROR(IF(A503="BL",IF(N(INDEX(art_price,MATCH(H503,art_ref,0)))=0,"",N(INDEX(art_price,MATCH(H503,art_ref,0)))),IF(N(INDEX(art_cost,MATCH(H503,art_ref,0)))=0,"",N(INDEX(art_cost,MATCH(H503,art_ref,0))))),""))</f>
        <v/>
      </c>
      <c r="V503" s="64" t="str">
        <f>IF(OR(U503="",NOT(ISNUMBER(L503))),"",IF(L503&lt;=0,"",ROUND(L503*U503,2)))</f>
        <v/>
      </c>
      <c r="W503" s="60" t="str">
        <f>IF(AND(B503&lt;&gt;"",A503&lt;&gt;"BS",F503&lt;&gt;"",H503&lt;&gt;"",ISNUMBER(K503),ISNUMBER(L503)),IF(AND(K503&gt;0,L503&gt;0,K503-L503&gt;0,COUNTIFS(A504:A$2005,A503,F504:F$2005,F503,H504:H$2005,H503,AA504:AA$2005,"&gt;0")=0),ROUND(K503-L503,6),""),"")</f>
        <v/>
      </c>
      <c r="X503" s="60" t="str">
        <f>IF(AND(A503="",C503="",D503="",H503="",L503=""),"",IF(A503="","Type manquant",IF(AND(A503&lt;&gt;"BL",A503&lt;&gt;"BR",A503&lt;&gt;"BS"),"Type inconnu (BL, BR ou BS)",IF(AG503=0,"Date manquante ou invalide",IF(D503="",IF(A503="BL","Client manquant",IF(A503="BR","Fournisseur manquant","Service manquant")),IF(IF(A503="BL",ISNA(MATCH(D503,cl_code,0)),IF(A503="BR",ISNA(MATCH(D503,fo_code,0)),ISNA(MATCH(D503,p_services,0)))),IF(A503="BL","Client inconnu",IF(A503="BR","Fournisseur inconnu","Service inconnu")),IF(H503="","Article manquant",IF(ISNA(MATCH(H503,art_ref,0)),"Article inconnu",IF(OR(NOT(ISNUMBER(L503)),N(L503)&lt;=0),"Quantité invalide",IF(AND(K503&lt;&gt;"",OR(NOT(ISNUMBER(K503)),N(K503)&lt;=0)),"Qté commandée invalide",IF(AG503&lt;SUMPRODUCT(MAX((A$6:A502=A503)*AG$6:AG502)),"Date antérieure au bon précédent",IF(AND(A503&lt;&gt;"BR",ISNUMBER(M503),N(M503)&gt;0),IF(A503="BL","Livré plus que commandé","Sorti plus que demandé"),"OK"))))))))))))</f>
        <v/>
      </c>
      <c r="Y503" s="57" t="str">
        <f>IF(AND(OR(A503="BL",A503="BR",A503="BS"),AG503&gt;0,D503&lt;&gt;""),A503&amp;"|"&amp;AG503&amp;"|"&amp;D503&amp;"|"&amp;F503,"")</f>
        <v/>
      </c>
      <c r="Z503" s="57" t="str">
        <f>IF(Y503="","",IF(COUNTIF(Y$6:Y502,Y503)=0,1,0))</f>
        <v/>
      </c>
      <c r="AA503" s="57" t="str">
        <f>IF(Y503="","",IF(Z503=1,COUNTIFS(A$6:A503,A503,Z$6:Z503,1),INDEX(AA$6:AA502,MATCH(Y503,Y$6:Y502,0))))</f>
        <v/>
      </c>
      <c r="AB503" s="57" t="str">
        <f>IF(B503="","",COUNTIF(B$6:B503,B503))</f>
        <v/>
      </c>
      <c r="AC503" s="57" t="str">
        <f>IF(B503="","",B503&amp;"#"&amp;AB503)</f>
        <v/>
      </c>
      <c r="AD503" s="57" t="str">
        <f>IF(Z503=1,A503&amp;AA503,"")</f>
        <v/>
      </c>
      <c r="AE503" s="57" t="str">
        <f>IF(B503="","",YEAR(C503))</f>
        <v/>
      </c>
      <c r="AF503" s="57" t="str">
        <f>IF(B503="","",MONTH(C503))</f>
        <v/>
      </c>
      <c r="AG503" s="57">
        <f>IF(ISNUMBER(C503),C503,0)</f>
        <v>0.0</v>
      </c>
      <c r="AH503" s="57" t="str">
        <f>IF(N(W503)&gt;0,COUNTIF(W$6:W503,"&gt;0"),"")</f>
        <v/>
      </c>
      <c r="AI503" s="57" t="str">
        <f>IF(Z503=1,COUNTIF(Z$6:Z503,1),"")</f>
        <v/>
      </c>
    </row>
    <row r="504">
      <c r="A504" s="54" t="n"/>
      <c r="B504" s="55" t="str">
        <f>IF(AA504="","",A504&amp;"-"&amp;RIGHT("000"&amp;AA504,4))</f>
        <v/>
      </c>
      <c r="C504" s="56" t="n"/>
      <c r="D504" s="54" t="n"/>
      <c r="E504" s="57" t="str">
        <f>IF(D504="","",IF(A504="BL",IFERROR(INDEX(cl_name,MATCH(D504,cl_code,0))&amp;"","Client inconnu"),IF(A504="BR",IFERROR(INDEX(fo_name,MATCH(D504,fo_code,0))&amp;"","Fournisseur inconnu"),IF(A504="BS",IF(ISNA(MATCH(D504,p_services,0)),"Service inconnu",D504&amp;""),""))))</f>
        <v/>
      </c>
      <c r="F504" s="58" t="n"/>
      <c r="G504" s="58" t="n"/>
      <c r="H504" s="59" t="n"/>
      <c r="I504" s="57" t="str">
        <f>IF(H504="","",IFERROR(INDEX(art_des,MATCH(H504,art_ref,0))&amp;"","Article inconnu"))</f>
        <v/>
      </c>
      <c r="J504" s="60" t="str">
        <f>IF(H504="","",IFERROR(INDEX(art_unit,MATCH(H504,art_ref,0))&amp;"",""))</f>
        <v/>
      </c>
      <c r="K504" s="59" t="n"/>
      <c r="L504" s="59" t="n"/>
      <c r="M504" s="61" t="str">
        <f>IF(OR(B504="",NOT(ISNUMBER(K504)),NOT(ISNUMBER(L504))),"",IF(OR(K504&lt;=0,L504&lt;=0),"",ROUND(L504-K504,6)))</f>
        <v/>
      </c>
      <c r="N504" s="58" t="n"/>
      <c r="O504" s="62" t="n"/>
      <c r="P504" s="63" t="str">
        <f>IF(OR(B504="",NOT(ISNUMBER(L504))),"",IF(L504&lt;=0,"",IFERROR(ROUND(L504*N(INDEX(art_w,MATCH(H504,art_ref,0))),3),"")))</f>
        <v/>
      </c>
      <c r="Q504" s="59" t="n"/>
      <c r="R504" s="54" t="n"/>
      <c r="S504" s="59" t="n"/>
      <c r="T504" s="59" t="n"/>
      <c r="U504" s="64" t="str">
        <f>IF(OR(B504="",H504=""),"",IFERROR(IF(A504="BL",IF(N(INDEX(art_price,MATCH(H504,art_ref,0)))=0,"",N(INDEX(art_price,MATCH(H504,art_ref,0)))),IF(N(INDEX(art_cost,MATCH(H504,art_ref,0)))=0,"",N(INDEX(art_cost,MATCH(H504,art_ref,0))))),""))</f>
        <v/>
      </c>
      <c r="V504" s="64" t="str">
        <f>IF(OR(U504="",NOT(ISNUMBER(L504))),"",IF(L504&lt;=0,"",ROUND(L504*U504,2)))</f>
        <v/>
      </c>
      <c r="W504" s="60" t="str">
        <f>IF(AND(B504&lt;&gt;"",A504&lt;&gt;"BS",F504&lt;&gt;"",H504&lt;&gt;"",ISNUMBER(K504),ISNUMBER(L504)),IF(AND(K504&gt;0,L504&gt;0,K504-L504&gt;0,COUNTIFS(A505:A$2005,A504,F505:F$2005,F504,H505:H$2005,H504,AA505:AA$2005,"&gt;0")=0),ROUND(K504-L504,6),""),"")</f>
        <v/>
      </c>
      <c r="X504" s="60" t="str">
        <f>IF(AND(A504="",C504="",D504="",H504="",L504=""),"",IF(A504="","Type manquant",IF(AND(A504&lt;&gt;"BL",A504&lt;&gt;"BR",A504&lt;&gt;"BS"),"Type inconnu (BL, BR ou BS)",IF(AG504=0,"Date manquante ou invalide",IF(D504="",IF(A504="BL","Client manquant",IF(A504="BR","Fournisseur manquant","Service manquant")),IF(IF(A504="BL",ISNA(MATCH(D504,cl_code,0)),IF(A504="BR",ISNA(MATCH(D504,fo_code,0)),ISNA(MATCH(D504,p_services,0)))),IF(A504="BL","Client inconnu",IF(A504="BR","Fournisseur inconnu","Service inconnu")),IF(H504="","Article manquant",IF(ISNA(MATCH(H504,art_ref,0)),"Article inconnu",IF(OR(NOT(ISNUMBER(L504)),N(L504)&lt;=0),"Quantité invalide",IF(AND(K504&lt;&gt;"",OR(NOT(ISNUMBER(K504)),N(K504)&lt;=0)),"Qté commandée invalide",IF(AG504&lt;SUMPRODUCT(MAX((A$6:A503=A504)*AG$6:AG503)),"Date antérieure au bon précédent",IF(AND(A504&lt;&gt;"BR",ISNUMBER(M504),N(M504)&gt;0),IF(A504="BL","Livré plus que commandé","Sorti plus que demandé"),"OK"))))))))))))</f>
        <v/>
      </c>
      <c r="Y504" s="57" t="str">
        <f>IF(AND(OR(A504="BL",A504="BR",A504="BS"),AG504&gt;0,D504&lt;&gt;""),A504&amp;"|"&amp;AG504&amp;"|"&amp;D504&amp;"|"&amp;F504,"")</f>
        <v/>
      </c>
      <c r="Z504" s="57" t="str">
        <f>IF(Y504="","",IF(COUNTIF(Y$6:Y503,Y504)=0,1,0))</f>
        <v/>
      </c>
      <c r="AA504" s="57" t="str">
        <f>IF(Y504="","",IF(Z504=1,COUNTIFS(A$6:A504,A504,Z$6:Z504,1),INDEX(AA$6:AA503,MATCH(Y504,Y$6:Y503,0))))</f>
        <v/>
      </c>
      <c r="AB504" s="57" t="str">
        <f>IF(B504="","",COUNTIF(B$6:B504,B504))</f>
        <v/>
      </c>
      <c r="AC504" s="57" t="str">
        <f>IF(B504="","",B504&amp;"#"&amp;AB504)</f>
        <v/>
      </c>
      <c r="AD504" s="57" t="str">
        <f>IF(Z504=1,A504&amp;AA504,"")</f>
        <v/>
      </c>
      <c r="AE504" s="57" t="str">
        <f>IF(B504="","",YEAR(C504))</f>
        <v/>
      </c>
      <c r="AF504" s="57" t="str">
        <f>IF(B504="","",MONTH(C504))</f>
        <v/>
      </c>
      <c r="AG504" s="57">
        <f>IF(ISNUMBER(C504),C504,0)</f>
        <v>0.0</v>
      </c>
      <c r="AH504" s="57" t="str">
        <f>IF(N(W504)&gt;0,COUNTIF(W$6:W504,"&gt;0"),"")</f>
        <v/>
      </c>
      <c r="AI504" s="57" t="str">
        <f>IF(Z504=1,COUNTIF(Z$6:Z504,1),"")</f>
        <v/>
      </c>
    </row>
    <row r="505">
      <c r="A505" s="54" t="n"/>
      <c r="B505" s="55" t="str">
        <f>IF(AA505="","",A505&amp;"-"&amp;RIGHT("000"&amp;AA505,4))</f>
        <v/>
      </c>
      <c r="C505" s="56" t="n"/>
      <c r="D505" s="54" t="n"/>
      <c r="E505" s="57" t="str">
        <f>IF(D505="","",IF(A505="BL",IFERROR(INDEX(cl_name,MATCH(D505,cl_code,0))&amp;"","Client inconnu"),IF(A505="BR",IFERROR(INDEX(fo_name,MATCH(D505,fo_code,0))&amp;"","Fournisseur inconnu"),IF(A505="BS",IF(ISNA(MATCH(D505,p_services,0)),"Service inconnu",D505&amp;""),""))))</f>
        <v/>
      </c>
      <c r="F505" s="58" t="n"/>
      <c r="G505" s="58" t="n"/>
      <c r="H505" s="59" t="n"/>
      <c r="I505" s="57" t="str">
        <f>IF(H505="","",IFERROR(INDEX(art_des,MATCH(H505,art_ref,0))&amp;"","Article inconnu"))</f>
        <v/>
      </c>
      <c r="J505" s="60" t="str">
        <f>IF(H505="","",IFERROR(INDEX(art_unit,MATCH(H505,art_ref,0))&amp;"",""))</f>
        <v/>
      </c>
      <c r="K505" s="59" t="n"/>
      <c r="L505" s="59" t="n"/>
      <c r="M505" s="61" t="str">
        <f>IF(OR(B505="",NOT(ISNUMBER(K505)),NOT(ISNUMBER(L505))),"",IF(OR(K505&lt;=0,L505&lt;=0),"",ROUND(L505-K505,6)))</f>
        <v/>
      </c>
      <c r="N505" s="58" t="n"/>
      <c r="O505" s="62" t="n"/>
      <c r="P505" s="63" t="str">
        <f>IF(OR(B505="",NOT(ISNUMBER(L505))),"",IF(L505&lt;=0,"",IFERROR(ROUND(L505*N(INDEX(art_w,MATCH(H505,art_ref,0))),3),"")))</f>
        <v/>
      </c>
      <c r="Q505" s="59" t="n"/>
      <c r="R505" s="54" t="n"/>
      <c r="S505" s="59" t="n"/>
      <c r="T505" s="59" t="n"/>
      <c r="U505" s="64" t="str">
        <f>IF(OR(B505="",H505=""),"",IFERROR(IF(A505="BL",IF(N(INDEX(art_price,MATCH(H505,art_ref,0)))=0,"",N(INDEX(art_price,MATCH(H505,art_ref,0)))),IF(N(INDEX(art_cost,MATCH(H505,art_ref,0)))=0,"",N(INDEX(art_cost,MATCH(H505,art_ref,0))))),""))</f>
        <v/>
      </c>
      <c r="V505" s="64" t="str">
        <f>IF(OR(U505="",NOT(ISNUMBER(L505))),"",IF(L505&lt;=0,"",ROUND(L505*U505,2)))</f>
        <v/>
      </c>
      <c r="W505" s="60" t="str">
        <f>IF(AND(B505&lt;&gt;"",A505&lt;&gt;"BS",F505&lt;&gt;"",H505&lt;&gt;"",ISNUMBER(K505),ISNUMBER(L505)),IF(AND(K505&gt;0,L505&gt;0,K505-L505&gt;0,COUNTIFS(A506:A$2005,A505,F506:F$2005,F505,H506:H$2005,H505,AA506:AA$2005,"&gt;0")=0),ROUND(K505-L505,6),""),"")</f>
        <v/>
      </c>
      <c r="X505" s="60" t="str">
        <f>IF(AND(A505="",C505="",D505="",H505="",L505=""),"",IF(A505="","Type manquant",IF(AND(A505&lt;&gt;"BL",A505&lt;&gt;"BR",A505&lt;&gt;"BS"),"Type inconnu (BL, BR ou BS)",IF(AG505=0,"Date manquante ou invalide",IF(D505="",IF(A505="BL","Client manquant",IF(A505="BR","Fournisseur manquant","Service manquant")),IF(IF(A505="BL",ISNA(MATCH(D505,cl_code,0)),IF(A505="BR",ISNA(MATCH(D505,fo_code,0)),ISNA(MATCH(D505,p_services,0)))),IF(A505="BL","Client inconnu",IF(A505="BR","Fournisseur inconnu","Service inconnu")),IF(H505="","Article manquant",IF(ISNA(MATCH(H505,art_ref,0)),"Article inconnu",IF(OR(NOT(ISNUMBER(L505)),N(L505)&lt;=0),"Quantité invalide",IF(AND(K505&lt;&gt;"",OR(NOT(ISNUMBER(K505)),N(K505)&lt;=0)),"Qté commandée invalide",IF(AG505&lt;SUMPRODUCT(MAX((A$6:A504=A505)*AG$6:AG504)),"Date antérieure au bon précédent",IF(AND(A505&lt;&gt;"BR",ISNUMBER(M505),N(M505)&gt;0),IF(A505="BL","Livré plus que commandé","Sorti plus que demandé"),"OK"))))))))))))</f>
        <v/>
      </c>
      <c r="Y505" s="57" t="str">
        <f>IF(AND(OR(A505="BL",A505="BR",A505="BS"),AG505&gt;0,D505&lt;&gt;""),A505&amp;"|"&amp;AG505&amp;"|"&amp;D505&amp;"|"&amp;F505,"")</f>
        <v/>
      </c>
      <c r="Z505" s="57" t="str">
        <f>IF(Y505="","",IF(COUNTIF(Y$6:Y504,Y505)=0,1,0))</f>
        <v/>
      </c>
      <c r="AA505" s="57" t="str">
        <f>IF(Y505="","",IF(Z505=1,COUNTIFS(A$6:A505,A505,Z$6:Z505,1),INDEX(AA$6:AA504,MATCH(Y505,Y$6:Y504,0))))</f>
        <v/>
      </c>
      <c r="AB505" s="57" t="str">
        <f>IF(B505="","",COUNTIF(B$6:B505,B505))</f>
        <v/>
      </c>
      <c r="AC505" s="57" t="str">
        <f>IF(B505="","",B505&amp;"#"&amp;AB505)</f>
        <v/>
      </c>
      <c r="AD505" s="57" t="str">
        <f>IF(Z505=1,A505&amp;AA505,"")</f>
        <v/>
      </c>
      <c r="AE505" s="57" t="str">
        <f>IF(B505="","",YEAR(C505))</f>
        <v/>
      </c>
      <c r="AF505" s="57" t="str">
        <f>IF(B505="","",MONTH(C505))</f>
        <v/>
      </c>
      <c r="AG505" s="57">
        <f>IF(ISNUMBER(C505),C505,0)</f>
        <v>0.0</v>
      </c>
      <c r="AH505" s="57" t="str">
        <f>IF(N(W505)&gt;0,COUNTIF(W$6:W505,"&gt;0"),"")</f>
        <v/>
      </c>
      <c r="AI505" s="57" t="str">
        <f>IF(Z505=1,COUNTIF(Z$6:Z505,1),"")</f>
        <v/>
      </c>
    </row>
    <row r="506">
      <c r="A506" s="54" t="n"/>
      <c r="B506" s="55" t="str">
        <f>IF(AA506="","",A506&amp;"-"&amp;RIGHT("000"&amp;AA506,4))</f>
        <v/>
      </c>
      <c r="C506" s="56" t="n"/>
      <c r="D506" s="54" t="n"/>
      <c r="E506" s="57" t="str">
        <f>IF(D506="","",IF(A506="BL",IFERROR(INDEX(cl_name,MATCH(D506,cl_code,0))&amp;"","Client inconnu"),IF(A506="BR",IFERROR(INDEX(fo_name,MATCH(D506,fo_code,0))&amp;"","Fournisseur inconnu"),IF(A506="BS",IF(ISNA(MATCH(D506,p_services,0)),"Service inconnu",D506&amp;""),""))))</f>
        <v/>
      </c>
      <c r="F506" s="58" t="n"/>
      <c r="G506" s="58" t="n"/>
      <c r="H506" s="59" t="n"/>
      <c r="I506" s="57" t="str">
        <f>IF(H506="","",IFERROR(INDEX(art_des,MATCH(H506,art_ref,0))&amp;"","Article inconnu"))</f>
        <v/>
      </c>
      <c r="J506" s="60" t="str">
        <f>IF(H506="","",IFERROR(INDEX(art_unit,MATCH(H506,art_ref,0))&amp;"",""))</f>
        <v/>
      </c>
      <c r="K506" s="59" t="n"/>
      <c r="L506" s="59" t="n"/>
      <c r="M506" s="61" t="str">
        <f>IF(OR(B506="",NOT(ISNUMBER(K506)),NOT(ISNUMBER(L506))),"",IF(OR(K506&lt;=0,L506&lt;=0),"",ROUND(L506-K506,6)))</f>
        <v/>
      </c>
      <c r="N506" s="58" t="n"/>
      <c r="O506" s="62" t="n"/>
      <c r="P506" s="63" t="str">
        <f>IF(OR(B506="",NOT(ISNUMBER(L506))),"",IF(L506&lt;=0,"",IFERROR(ROUND(L506*N(INDEX(art_w,MATCH(H506,art_ref,0))),3),"")))</f>
        <v/>
      </c>
      <c r="Q506" s="59" t="n"/>
      <c r="R506" s="54" t="n"/>
      <c r="S506" s="59" t="n"/>
      <c r="T506" s="59" t="n"/>
      <c r="U506" s="64" t="str">
        <f>IF(OR(B506="",H506=""),"",IFERROR(IF(A506="BL",IF(N(INDEX(art_price,MATCH(H506,art_ref,0)))=0,"",N(INDEX(art_price,MATCH(H506,art_ref,0)))),IF(N(INDEX(art_cost,MATCH(H506,art_ref,0)))=0,"",N(INDEX(art_cost,MATCH(H506,art_ref,0))))),""))</f>
        <v/>
      </c>
      <c r="V506" s="64" t="str">
        <f>IF(OR(U506="",NOT(ISNUMBER(L506))),"",IF(L506&lt;=0,"",ROUND(L506*U506,2)))</f>
        <v/>
      </c>
      <c r="W506" s="60" t="str">
        <f>IF(AND(B506&lt;&gt;"",A506&lt;&gt;"BS",F506&lt;&gt;"",H506&lt;&gt;"",ISNUMBER(K506),ISNUMBER(L506)),IF(AND(K506&gt;0,L506&gt;0,K506-L506&gt;0,COUNTIFS(A507:A$2005,A506,F507:F$2005,F506,H507:H$2005,H506,AA507:AA$2005,"&gt;0")=0),ROUND(K506-L506,6),""),"")</f>
        <v/>
      </c>
      <c r="X506" s="60" t="str">
        <f>IF(AND(A506="",C506="",D506="",H506="",L506=""),"",IF(A506="","Type manquant",IF(AND(A506&lt;&gt;"BL",A506&lt;&gt;"BR",A506&lt;&gt;"BS"),"Type inconnu (BL, BR ou BS)",IF(AG506=0,"Date manquante ou invalide",IF(D506="",IF(A506="BL","Client manquant",IF(A506="BR","Fournisseur manquant","Service manquant")),IF(IF(A506="BL",ISNA(MATCH(D506,cl_code,0)),IF(A506="BR",ISNA(MATCH(D506,fo_code,0)),ISNA(MATCH(D506,p_services,0)))),IF(A506="BL","Client inconnu",IF(A506="BR","Fournisseur inconnu","Service inconnu")),IF(H506="","Article manquant",IF(ISNA(MATCH(H506,art_ref,0)),"Article inconnu",IF(OR(NOT(ISNUMBER(L506)),N(L506)&lt;=0),"Quantité invalide",IF(AND(K506&lt;&gt;"",OR(NOT(ISNUMBER(K506)),N(K506)&lt;=0)),"Qté commandée invalide",IF(AG506&lt;SUMPRODUCT(MAX((A$6:A505=A506)*AG$6:AG505)),"Date antérieure au bon précédent",IF(AND(A506&lt;&gt;"BR",ISNUMBER(M506),N(M506)&gt;0),IF(A506="BL","Livré plus que commandé","Sorti plus que demandé"),"OK"))))))))))))</f>
        <v/>
      </c>
      <c r="Y506" s="57" t="str">
        <f>IF(AND(OR(A506="BL",A506="BR",A506="BS"),AG506&gt;0,D506&lt;&gt;""),A506&amp;"|"&amp;AG506&amp;"|"&amp;D506&amp;"|"&amp;F506,"")</f>
        <v/>
      </c>
      <c r="Z506" s="57" t="str">
        <f>IF(Y506="","",IF(COUNTIF(Y$6:Y505,Y506)=0,1,0))</f>
        <v/>
      </c>
      <c r="AA506" s="57" t="str">
        <f>IF(Y506="","",IF(Z506=1,COUNTIFS(A$6:A506,A506,Z$6:Z506,1),INDEX(AA$6:AA505,MATCH(Y506,Y$6:Y505,0))))</f>
        <v/>
      </c>
      <c r="AB506" s="57" t="str">
        <f>IF(B506="","",COUNTIF(B$6:B506,B506))</f>
        <v/>
      </c>
      <c r="AC506" s="57" t="str">
        <f>IF(B506="","",B506&amp;"#"&amp;AB506)</f>
        <v/>
      </c>
      <c r="AD506" s="57" t="str">
        <f>IF(Z506=1,A506&amp;AA506,"")</f>
        <v/>
      </c>
      <c r="AE506" s="57" t="str">
        <f>IF(B506="","",YEAR(C506))</f>
        <v/>
      </c>
      <c r="AF506" s="57" t="str">
        <f>IF(B506="","",MONTH(C506))</f>
        <v/>
      </c>
      <c r="AG506" s="57">
        <f>IF(ISNUMBER(C506),C506,0)</f>
        <v>0.0</v>
      </c>
      <c r="AH506" s="57" t="str">
        <f>IF(N(W506)&gt;0,COUNTIF(W$6:W506,"&gt;0"),"")</f>
        <v/>
      </c>
      <c r="AI506" s="57" t="str">
        <f>IF(Z506=1,COUNTIF(Z$6:Z506,1),"")</f>
        <v/>
      </c>
    </row>
    <row r="507">
      <c r="A507" s="54" t="n"/>
      <c r="B507" s="55" t="str">
        <f>IF(AA507="","",A507&amp;"-"&amp;RIGHT("000"&amp;AA507,4))</f>
        <v/>
      </c>
      <c r="C507" s="56" t="n"/>
      <c r="D507" s="54" t="n"/>
      <c r="E507" s="57" t="str">
        <f>IF(D507="","",IF(A507="BL",IFERROR(INDEX(cl_name,MATCH(D507,cl_code,0))&amp;"","Client inconnu"),IF(A507="BR",IFERROR(INDEX(fo_name,MATCH(D507,fo_code,0))&amp;"","Fournisseur inconnu"),IF(A507="BS",IF(ISNA(MATCH(D507,p_services,0)),"Service inconnu",D507&amp;""),""))))</f>
        <v/>
      </c>
      <c r="F507" s="58" t="n"/>
      <c r="G507" s="58" t="n"/>
      <c r="H507" s="59" t="n"/>
      <c r="I507" s="57" t="str">
        <f>IF(H507="","",IFERROR(INDEX(art_des,MATCH(H507,art_ref,0))&amp;"","Article inconnu"))</f>
        <v/>
      </c>
      <c r="J507" s="60" t="str">
        <f>IF(H507="","",IFERROR(INDEX(art_unit,MATCH(H507,art_ref,0))&amp;"",""))</f>
        <v/>
      </c>
      <c r="K507" s="59" t="n"/>
      <c r="L507" s="59" t="n"/>
      <c r="M507" s="61" t="str">
        <f>IF(OR(B507="",NOT(ISNUMBER(K507)),NOT(ISNUMBER(L507))),"",IF(OR(K507&lt;=0,L507&lt;=0),"",ROUND(L507-K507,6)))</f>
        <v/>
      </c>
      <c r="N507" s="58" t="n"/>
      <c r="O507" s="62" t="n"/>
      <c r="P507" s="63" t="str">
        <f>IF(OR(B507="",NOT(ISNUMBER(L507))),"",IF(L507&lt;=0,"",IFERROR(ROUND(L507*N(INDEX(art_w,MATCH(H507,art_ref,0))),3),"")))</f>
        <v/>
      </c>
      <c r="Q507" s="59" t="n"/>
      <c r="R507" s="54" t="n"/>
      <c r="S507" s="59" t="n"/>
      <c r="T507" s="59" t="n"/>
      <c r="U507" s="64" t="str">
        <f>IF(OR(B507="",H507=""),"",IFERROR(IF(A507="BL",IF(N(INDEX(art_price,MATCH(H507,art_ref,0)))=0,"",N(INDEX(art_price,MATCH(H507,art_ref,0)))),IF(N(INDEX(art_cost,MATCH(H507,art_ref,0)))=0,"",N(INDEX(art_cost,MATCH(H507,art_ref,0))))),""))</f>
        <v/>
      </c>
      <c r="V507" s="64" t="str">
        <f>IF(OR(U507="",NOT(ISNUMBER(L507))),"",IF(L507&lt;=0,"",ROUND(L507*U507,2)))</f>
        <v/>
      </c>
      <c r="W507" s="60" t="str">
        <f>IF(AND(B507&lt;&gt;"",A507&lt;&gt;"BS",F507&lt;&gt;"",H507&lt;&gt;"",ISNUMBER(K507),ISNUMBER(L507)),IF(AND(K507&gt;0,L507&gt;0,K507-L507&gt;0,COUNTIFS(A508:A$2005,A507,F508:F$2005,F507,H508:H$2005,H507,AA508:AA$2005,"&gt;0")=0),ROUND(K507-L507,6),""),"")</f>
        <v/>
      </c>
      <c r="X507" s="60" t="str">
        <f>IF(AND(A507="",C507="",D507="",H507="",L507=""),"",IF(A507="","Type manquant",IF(AND(A507&lt;&gt;"BL",A507&lt;&gt;"BR",A507&lt;&gt;"BS"),"Type inconnu (BL, BR ou BS)",IF(AG507=0,"Date manquante ou invalide",IF(D507="",IF(A507="BL","Client manquant",IF(A507="BR","Fournisseur manquant","Service manquant")),IF(IF(A507="BL",ISNA(MATCH(D507,cl_code,0)),IF(A507="BR",ISNA(MATCH(D507,fo_code,0)),ISNA(MATCH(D507,p_services,0)))),IF(A507="BL","Client inconnu",IF(A507="BR","Fournisseur inconnu","Service inconnu")),IF(H507="","Article manquant",IF(ISNA(MATCH(H507,art_ref,0)),"Article inconnu",IF(OR(NOT(ISNUMBER(L507)),N(L507)&lt;=0),"Quantité invalide",IF(AND(K507&lt;&gt;"",OR(NOT(ISNUMBER(K507)),N(K507)&lt;=0)),"Qté commandée invalide",IF(AG507&lt;SUMPRODUCT(MAX((A$6:A506=A507)*AG$6:AG506)),"Date antérieure au bon précédent",IF(AND(A507&lt;&gt;"BR",ISNUMBER(M507),N(M507)&gt;0),IF(A507="BL","Livré plus que commandé","Sorti plus que demandé"),"OK"))))))))))))</f>
        <v/>
      </c>
      <c r="Y507" s="57" t="str">
        <f>IF(AND(OR(A507="BL",A507="BR",A507="BS"),AG507&gt;0,D507&lt;&gt;""),A507&amp;"|"&amp;AG507&amp;"|"&amp;D507&amp;"|"&amp;F507,"")</f>
        <v/>
      </c>
      <c r="Z507" s="57" t="str">
        <f>IF(Y507="","",IF(COUNTIF(Y$6:Y506,Y507)=0,1,0))</f>
        <v/>
      </c>
      <c r="AA507" s="57" t="str">
        <f>IF(Y507="","",IF(Z507=1,COUNTIFS(A$6:A507,A507,Z$6:Z507,1),INDEX(AA$6:AA506,MATCH(Y507,Y$6:Y506,0))))</f>
        <v/>
      </c>
      <c r="AB507" s="57" t="str">
        <f>IF(B507="","",COUNTIF(B$6:B507,B507))</f>
        <v/>
      </c>
      <c r="AC507" s="57" t="str">
        <f>IF(B507="","",B507&amp;"#"&amp;AB507)</f>
        <v/>
      </c>
      <c r="AD507" s="57" t="str">
        <f>IF(Z507=1,A507&amp;AA507,"")</f>
        <v/>
      </c>
      <c r="AE507" s="57" t="str">
        <f>IF(B507="","",YEAR(C507))</f>
        <v/>
      </c>
      <c r="AF507" s="57" t="str">
        <f>IF(B507="","",MONTH(C507))</f>
        <v/>
      </c>
      <c r="AG507" s="57">
        <f>IF(ISNUMBER(C507),C507,0)</f>
        <v>0.0</v>
      </c>
      <c r="AH507" s="57" t="str">
        <f>IF(N(W507)&gt;0,COUNTIF(W$6:W507,"&gt;0"),"")</f>
        <v/>
      </c>
      <c r="AI507" s="57" t="str">
        <f>IF(Z507=1,COUNTIF(Z$6:Z507,1),"")</f>
        <v/>
      </c>
    </row>
    <row r="508">
      <c r="A508" s="54" t="n"/>
      <c r="B508" s="55" t="str">
        <f>IF(AA508="","",A508&amp;"-"&amp;RIGHT("000"&amp;AA508,4))</f>
        <v/>
      </c>
      <c r="C508" s="56" t="n"/>
      <c r="D508" s="54" t="n"/>
      <c r="E508" s="57" t="str">
        <f>IF(D508="","",IF(A508="BL",IFERROR(INDEX(cl_name,MATCH(D508,cl_code,0))&amp;"","Client inconnu"),IF(A508="BR",IFERROR(INDEX(fo_name,MATCH(D508,fo_code,0))&amp;"","Fournisseur inconnu"),IF(A508="BS",IF(ISNA(MATCH(D508,p_services,0)),"Service inconnu",D508&amp;""),""))))</f>
        <v/>
      </c>
      <c r="F508" s="58" t="n"/>
      <c r="G508" s="58" t="n"/>
      <c r="H508" s="59" t="n"/>
      <c r="I508" s="57" t="str">
        <f>IF(H508="","",IFERROR(INDEX(art_des,MATCH(H508,art_ref,0))&amp;"","Article inconnu"))</f>
        <v/>
      </c>
      <c r="J508" s="60" t="str">
        <f>IF(H508="","",IFERROR(INDEX(art_unit,MATCH(H508,art_ref,0))&amp;"",""))</f>
        <v/>
      </c>
      <c r="K508" s="59" t="n"/>
      <c r="L508" s="59" t="n"/>
      <c r="M508" s="61" t="str">
        <f>IF(OR(B508="",NOT(ISNUMBER(K508)),NOT(ISNUMBER(L508))),"",IF(OR(K508&lt;=0,L508&lt;=0),"",ROUND(L508-K508,6)))</f>
        <v/>
      </c>
      <c r="N508" s="58" t="n"/>
      <c r="O508" s="62" t="n"/>
      <c r="P508" s="63" t="str">
        <f>IF(OR(B508="",NOT(ISNUMBER(L508))),"",IF(L508&lt;=0,"",IFERROR(ROUND(L508*N(INDEX(art_w,MATCH(H508,art_ref,0))),3),"")))</f>
        <v/>
      </c>
      <c r="Q508" s="59" t="n"/>
      <c r="R508" s="54" t="n"/>
      <c r="S508" s="59" t="n"/>
      <c r="T508" s="59" t="n"/>
      <c r="U508" s="64" t="str">
        <f>IF(OR(B508="",H508=""),"",IFERROR(IF(A508="BL",IF(N(INDEX(art_price,MATCH(H508,art_ref,0)))=0,"",N(INDEX(art_price,MATCH(H508,art_ref,0)))),IF(N(INDEX(art_cost,MATCH(H508,art_ref,0)))=0,"",N(INDEX(art_cost,MATCH(H508,art_ref,0))))),""))</f>
        <v/>
      </c>
      <c r="V508" s="64" t="str">
        <f>IF(OR(U508="",NOT(ISNUMBER(L508))),"",IF(L508&lt;=0,"",ROUND(L508*U508,2)))</f>
        <v/>
      </c>
      <c r="W508" s="60" t="str">
        <f>IF(AND(B508&lt;&gt;"",A508&lt;&gt;"BS",F508&lt;&gt;"",H508&lt;&gt;"",ISNUMBER(K508),ISNUMBER(L508)),IF(AND(K508&gt;0,L508&gt;0,K508-L508&gt;0,COUNTIFS(A509:A$2005,A508,F509:F$2005,F508,H509:H$2005,H508,AA509:AA$2005,"&gt;0")=0),ROUND(K508-L508,6),""),"")</f>
        <v/>
      </c>
      <c r="X508" s="60" t="str">
        <f>IF(AND(A508="",C508="",D508="",H508="",L508=""),"",IF(A508="","Type manquant",IF(AND(A508&lt;&gt;"BL",A508&lt;&gt;"BR",A508&lt;&gt;"BS"),"Type inconnu (BL, BR ou BS)",IF(AG508=0,"Date manquante ou invalide",IF(D508="",IF(A508="BL","Client manquant",IF(A508="BR","Fournisseur manquant","Service manquant")),IF(IF(A508="BL",ISNA(MATCH(D508,cl_code,0)),IF(A508="BR",ISNA(MATCH(D508,fo_code,0)),ISNA(MATCH(D508,p_services,0)))),IF(A508="BL","Client inconnu",IF(A508="BR","Fournisseur inconnu","Service inconnu")),IF(H508="","Article manquant",IF(ISNA(MATCH(H508,art_ref,0)),"Article inconnu",IF(OR(NOT(ISNUMBER(L508)),N(L508)&lt;=0),"Quantité invalide",IF(AND(K508&lt;&gt;"",OR(NOT(ISNUMBER(K508)),N(K508)&lt;=0)),"Qté commandée invalide",IF(AG508&lt;SUMPRODUCT(MAX((A$6:A507=A508)*AG$6:AG507)),"Date antérieure au bon précédent",IF(AND(A508&lt;&gt;"BR",ISNUMBER(M508),N(M508)&gt;0),IF(A508="BL","Livré plus que commandé","Sorti plus que demandé"),"OK"))))))))))))</f>
        <v/>
      </c>
      <c r="Y508" s="57" t="str">
        <f>IF(AND(OR(A508="BL",A508="BR",A508="BS"),AG508&gt;0,D508&lt;&gt;""),A508&amp;"|"&amp;AG508&amp;"|"&amp;D508&amp;"|"&amp;F508,"")</f>
        <v/>
      </c>
      <c r="Z508" s="57" t="str">
        <f>IF(Y508="","",IF(COUNTIF(Y$6:Y507,Y508)=0,1,0))</f>
        <v/>
      </c>
      <c r="AA508" s="57" t="str">
        <f>IF(Y508="","",IF(Z508=1,COUNTIFS(A$6:A508,A508,Z$6:Z508,1),INDEX(AA$6:AA507,MATCH(Y508,Y$6:Y507,0))))</f>
        <v/>
      </c>
      <c r="AB508" s="57" t="str">
        <f>IF(B508="","",COUNTIF(B$6:B508,B508))</f>
        <v/>
      </c>
      <c r="AC508" s="57" t="str">
        <f>IF(B508="","",B508&amp;"#"&amp;AB508)</f>
        <v/>
      </c>
      <c r="AD508" s="57" t="str">
        <f>IF(Z508=1,A508&amp;AA508,"")</f>
        <v/>
      </c>
      <c r="AE508" s="57" t="str">
        <f>IF(B508="","",YEAR(C508))</f>
        <v/>
      </c>
      <c r="AF508" s="57" t="str">
        <f>IF(B508="","",MONTH(C508))</f>
        <v/>
      </c>
      <c r="AG508" s="57">
        <f>IF(ISNUMBER(C508),C508,0)</f>
        <v>0.0</v>
      </c>
      <c r="AH508" s="57" t="str">
        <f>IF(N(W508)&gt;0,COUNTIF(W$6:W508,"&gt;0"),"")</f>
        <v/>
      </c>
      <c r="AI508" s="57" t="str">
        <f>IF(Z508=1,COUNTIF(Z$6:Z508,1),"")</f>
        <v/>
      </c>
    </row>
    <row r="509">
      <c r="A509" s="54" t="n"/>
      <c r="B509" s="55" t="str">
        <f>IF(AA509="","",A509&amp;"-"&amp;RIGHT("000"&amp;AA509,4))</f>
        <v/>
      </c>
      <c r="C509" s="56" t="n"/>
      <c r="D509" s="54" t="n"/>
      <c r="E509" s="57" t="str">
        <f>IF(D509="","",IF(A509="BL",IFERROR(INDEX(cl_name,MATCH(D509,cl_code,0))&amp;"","Client inconnu"),IF(A509="BR",IFERROR(INDEX(fo_name,MATCH(D509,fo_code,0))&amp;"","Fournisseur inconnu"),IF(A509="BS",IF(ISNA(MATCH(D509,p_services,0)),"Service inconnu",D509&amp;""),""))))</f>
        <v/>
      </c>
      <c r="F509" s="58" t="n"/>
      <c r="G509" s="58" t="n"/>
      <c r="H509" s="59" t="n"/>
      <c r="I509" s="57" t="str">
        <f>IF(H509="","",IFERROR(INDEX(art_des,MATCH(H509,art_ref,0))&amp;"","Article inconnu"))</f>
        <v/>
      </c>
      <c r="J509" s="60" t="str">
        <f>IF(H509="","",IFERROR(INDEX(art_unit,MATCH(H509,art_ref,0))&amp;"",""))</f>
        <v/>
      </c>
      <c r="K509" s="59" t="n"/>
      <c r="L509" s="59" t="n"/>
      <c r="M509" s="61" t="str">
        <f>IF(OR(B509="",NOT(ISNUMBER(K509)),NOT(ISNUMBER(L509))),"",IF(OR(K509&lt;=0,L509&lt;=0),"",ROUND(L509-K509,6)))</f>
        <v/>
      </c>
      <c r="N509" s="58" t="n"/>
      <c r="O509" s="62" t="n"/>
      <c r="P509" s="63" t="str">
        <f>IF(OR(B509="",NOT(ISNUMBER(L509))),"",IF(L509&lt;=0,"",IFERROR(ROUND(L509*N(INDEX(art_w,MATCH(H509,art_ref,0))),3),"")))</f>
        <v/>
      </c>
      <c r="Q509" s="59" t="n"/>
      <c r="R509" s="54" t="n"/>
      <c r="S509" s="59" t="n"/>
      <c r="T509" s="59" t="n"/>
      <c r="U509" s="64" t="str">
        <f>IF(OR(B509="",H509=""),"",IFERROR(IF(A509="BL",IF(N(INDEX(art_price,MATCH(H509,art_ref,0)))=0,"",N(INDEX(art_price,MATCH(H509,art_ref,0)))),IF(N(INDEX(art_cost,MATCH(H509,art_ref,0)))=0,"",N(INDEX(art_cost,MATCH(H509,art_ref,0))))),""))</f>
        <v/>
      </c>
      <c r="V509" s="64" t="str">
        <f>IF(OR(U509="",NOT(ISNUMBER(L509))),"",IF(L509&lt;=0,"",ROUND(L509*U509,2)))</f>
        <v/>
      </c>
      <c r="W509" s="60" t="str">
        <f>IF(AND(B509&lt;&gt;"",A509&lt;&gt;"BS",F509&lt;&gt;"",H509&lt;&gt;"",ISNUMBER(K509),ISNUMBER(L509)),IF(AND(K509&gt;0,L509&gt;0,K509-L509&gt;0,COUNTIFS(A510:A$2005,A509,F510:F$2005,F509,H510:H$2005,H509,AA510:AA$2005,"&gt;0")=0),ROUND(K509-L509,6),""),"")</f>
        <v/>
      </c>
      <c r="X509" s="60" t="str">
        <f>IF(AND(A509="",C509="",D509="",H509="",L509=""),"",IF(A509="","Type manquant",IF(AND(A509&lt;&gt;"BL",A509&lt;&gt;"BR",A509&lt;&gt;"BS"),"Type inconnu (BL, BR ou BS)",IF(AG509=0,"Date manquante ou invalide",IF(D509="",IF(A509="BL","Client manquant",IF(A509="BR","Fournisseur manquant","Service manquant")),IF(IF(A509="BL",ISNA(MATCH(D509,cl_code,0)),IF(A509="BR",ISNA(MATCH(D509,fo_code,0)),ISNA(MATCH(D509,p_services,0)))),IF(A509="BL","Client inconnu",IF(A509="BR","Fournisseur inconnu","Service inconnu")),IF(H509="","Article manquant",IF(ISNA(MATCH(H509,art_ref,0)),"Article inconnu",IF(OR(NOT(ISNUMBER(L509)),N(L509)&lt;=0),"Quantité invalide",IF(AND(K509&lt;&gt;"",OR(NOT(ISNUMBER(K509)),N(K509)&lt;=0)),"Qté commandée invalide",IF(AG509&lt;SUMPRODUCT(MAX((A$6:A508=A509)*AG$6:AG508)),"Date antérieure au bon précédent",IF(AND(A509&lt;&gt;"BR",ISNUMBER(M509),N(M509)&gt;0),IF(A509="BL","Livré plus que commandé","Sorti plus que demandé"),"OK"))))))))))))</f>
        <v/>
      </c>
      <c r="Y509" s="57" t="str">
        <f>IF(AND(OR(A509="BL",A509="BR",A509="BS"),AG509&gt;0,D509&lt;&gt;""),A509&amp;"|"&amp;AG509&amp;"|"&amp;D509&amp;"|"&amp;F509,"")</f>
        <v/>
      </c>
      <c r="Z509" s="57" t="str">
        <f>IF(Y509="","",IF(COUNTIF(Y$6:Y508,Y509)=0,1,0))</f>
        <v/>
      </c>
      <c r="AA509" s="57" t="str">
        <f>IF(Y509="","",IF(Z509=1,COUNTIFS(A$6:A509,A509,Z$6:Z509,1),INDEX(AA$6:AA508,MATCH(Y509,Y$6:Y508,0))))</f>
        <v/>
      </c>
      <c r="AB509" s="57" t="str">
        <f>IF(B509="","",COUNTIF(B$6:B509,B509))</f>
        <v/>
      </c>
      <c r="AC509" s="57" t="str">
        <f>IF(B509="","",B509&amp;"#"&amp;AB509)</f>
        <v/>
      </c>
      <c r="AD509" s="57" t="str">
        <f>IF(Z509=1,A509&amp;AA509,"")</f>
        <v/>
      </c>
      <c r="AE509" s="57" t="str">
        <f>IF(B509="","",YEAR(C509))</f>
        <v/>
      </c>
      <c r="AF509" s="57" t="str">
        <f>IF(B509="","",MONTH(C509))</f>
        <v/>
      </c>
      <c r="AG509" s="57">
        <f>IF(ISNUMBER(C509),C509,0)</f>
        <v>0.0</v>
      </c>
      <c r="AH509" s="57" t="str">
        <f>IF(N(W509)&gt;0,COUNTIF(W$6:W509,"&gt;0"),"")</f>
        <v/>
      </c>
      <c r="AI509" s="57" t="str">
        <f>IF(Z509=1,COUNTIF(Z$6:Z509,1),"")</f>
        <v/>
      </c>
    </row>
    <row r="510">
      <c r="A510" s="54" t="n"/>
      <c r="B510" s="55" t="str">
        <f>IF(AA510="","",A510&amp;"-"&amp;RIGHT("000"&amp;AA510,4))</f>
        <v/>
      </c>
      <c r="C510" s="56" t="n"/>
      <c r="D510" s="54" t="n"/>
      <c r="E510" s="57" t="str">
        <f>IF(D510="","",IF(A510="BL",IFERROR(INDEX(cl_name,MATCH(D510,cl_code,0))&amp;"","Client inconnu"),IF(A510="BR",IFERROR(INDEX(fo_name,MATCH(D510,fo_code,0))&amp;"","Fournisseur inconnu"),IF(A510="BS",IF(ISNA(MATCH(D510,p_services,0)),"Service inconnu",D510&amp;""),""))))</f>
        <v/>
      </c>
      <c r="F510" s="58" t="n"/>
      <c r="G510" s="58" t="n"/>
      <c r="H510" s="59" t="n"/>
      <c r="I510" s="57" t="str">
        <f>IF(H510="","",IFERROR(INDEX(art_des,MATCH(H510,art_ref,0))&amp;"","Article inconnu"))</f>
        <v/>
      </c>
      <c r="J510" s="60" t="str">
        <f>IF(H510="","",IFERROR(INDEX(art_unit,MATCH(H510,art_ref,0))&amp;"",""))</f>
        <v/>
      </c>
      <c r="K510" s="59" t="n"/>
      <c r="L510" s="59" t="n"/>
      <c r="M510" s="61" t="str">
        <f>IF(OR(B510="",NOT(ISNUMBER(K510)),NOT(ISNUMBER(L510))),"",IF(OR(K510&lt;=0,L510&lt;=0),"",ROUND(L510-K510,6)))</f>
        <v/>
      </c>
      <c r="N510" s="58" t="n"/>
      <c r="O510" s="62" t="n"/>
      <c r="P510" s="63" t="str">
        <f>IF(OR(B510="",NOT(ISNUMBER(L510))),"",IF(L510&lt;=0,"",IFERROR(ROUND(L510*N(INDEX(art_w,MATCH(H510,art_ref,0))),3),"")))</f>
        <v/>
      </c>
      <c r="Q510" s="59" t="n"/>
      <c r="R510" s="54" t="n"/>
      <c r="S510" s="59" t="n"/>
      <c r="T510" s="59" t="n"/>
      <c r="U510" s="64" t="str">
        <f>IF(OR(B510="",H510=""),"",IFERROR(IF(A510="BL",IF(N(INDEX(art_price,MATCH(H510,art_ref,0)))=0,"",N(INDEX(art_price,MATCH(H510,art_ref,0)))),IF(N(INDEX(art_cost,MATCH(H510,art_ref,0)))=0,"",N(INDEX(art_cost,MATCH(H510,art_ref,0))))),""))</f>
        <v/>
      </c>
      <c r="V510" s="64" t="str">
        <f>IF(OR(U510="",NOT(ISNUMBER(L510))),"",IF(L510&lt;=0,"",ROUND(L510*U510,2)))</f>
        <v/>
      </c>
      <c r="W510" s="60" t="str">
        <f>IF(AND(B510&lt;&gt;"",A510&lt;&gt;"BS",F510&lt;&gt;"",H510&lt;&gt;"",ISNUMBER(K510),ISNUMBER(L510)),IF(AND(K510&gt;0,L510&gt;0,K510-L510&gt;0,COUNTIFS(A511:A$2005,A510,F511:F$2005,F510,H511:H$2005,H510,AA511:AA$2005,"&gt;0")=0),ROUND(K510-L510,6),""),"")</f>
        <v/>
      </c>
      <c r="X510" s="60" t="str">
        <f>IF(AND(A510="",C510="",D510="",H510="",L510=""),"",IF(A510="","Type manquant",IF(AND(A510&lt;&gt;"BL",A510&lt;&gt;"BR",A510&lt;&gt;"BS"),"Type inconnu (BL, BR ou BS)",IF(AG510=0,"Date manquante ou invalide",IF(D510="",IF(A510="BL","Client manquant",IF(A510="BR","Fournisseur manquant","Service manquant")),IF(IF(A510="BL",ISNA(MATCH(D510,cl_code,0)),IF(A510="BR",ISNA(MATCH(D510,fo_code,0)),ISNA(MATCH(D510,p_services,0)))),IF(A510="BL","Client inconnu",IF(A510="BR","Fournisseur inconnu","Service inconnu")),IF(H510="","Article manquant",IF(ISNA(MATCH(H510,art_ref,0)),"Article inconnu",IF(OR(NOT(ISNUMBER(L510)),N(L510)&lt;=0),"Quantité invalide",IF(AND(K510&lt;&gt;"",OR(NOT(ISNUMBER(K510)),N(K510)&lt;=0)),"Qté commandée invalide",IF(AG510&lt;SUMPRODUCT(MAX((A$6:A509=A510)*AG$6:AG509)),"Date antérieure au bon précédent",IF(AND(A510&lt;&gt;"BR",ISNUMBER(M510),N(M510)&gt;0),IF(A510="BL","Livré plus que commandé","Sorti plus que demandé"),"OK"))))))))))))</f>
        <v/>
      </c>
      <c r="Y510" s="57" t="str">
        <f>IF(AND(OR(A510="BL",A510="BR",A510="BS"),AG510&gt;0,D510&lt;&gt;""),A510&amp;"|"&amp;AG510&amp;"|"&amp;D510&amp;"|"&amp;F510,"")</f>
        <v/>
      </c>
      <c r="Z510" s="57" t="str">
        <f>IF(Y510="","",IF(COUNTIF(Y$6:Y509,Y510)=0,1,0))</f>
        <v/>
      </c>
      <c r="AA510" s="57" t="str">
        <f>IF(Y510="","",IF(Z510=1,COUNTIFS(A$6:A510,A510,Z$6:Z510,1),INDEX(AA$6:AA509,MATCH(Y510,Y$6:Y509,0))))</f>
        <v/>
      </c>
      <c r="AB510" s="57" t="str">
        <f>IF(B510="","",COUNTIF(B$6:B510,B510))</f>
        <v/>
      </c>
      <c r="AC510" s="57" t="str">
        <f>IF(B510="","",B510&amp;"#"&amp;AB510)</f>
        <v/>
      </c>
      <c r="AD510" s="57" t="str">
        <f>IF(Z510=1,A510&amp;AA510,"")</f>
        <v/>
      </c>
      <c r="AE510" s="57" t="str">
        <f>IF(B510="","",YEAR(C510))</f>
        <v/>
      </c>
      <c r="AF510" s="57" t="str">
        <f>IF(B510="","",MONTH(C510))</f>
        <v/>
      </c>
      <c r="AG510" s="57">
        <f>IF(ISNUMBER(C510),C510,0)</f>
        <v>0.0</v>
      </c>
      <c r="AH510" s="57" t="str">
        <f>IF(N(W510)&gt;0,COUNTIF(W$6:W510,"&gt;0"),"")</f>
        <v/>
      </c>
      <c r="AI510" s="57" t="str">
        <f>IF(Z510=1,COUNTIF(Z$6:Z510,1),"")</f>
        <v/>
      </c>
    </row>
    <row r="511">
      <c r="A511" s="54" t="n"/>
      <c r="B511" s="55" t="str">
        <f>IF(AA511="","",A511&amp;"-"&amp;RIGHT("000"&amp;AA511,4))</f>
        <v/>
      </c>
      <c r="C511" s="56" t="n"/>
      <c r="D511" s="54" t="n"/>
      <c r="E511" s="57" t="str">
        <f>IF(D511="","",IF(A511="BL",IFERROR(INDEX(cl_name,MATCH(D511,cl_code,0))&amp;"","Client inconnu"),IF(A511="BR",IFERROR(INDEX(fo_name,MATCH(D511,fo_code,0))&amp;"","Fournisseur inconnu"),IF(A511="BS",IF(ISNA(MATCH(D511,p_services,0)),"Service inconnu",D511&amp;""),""))))</f>
        <v/>
      </c>
      <c r="F511" s="58" t="n"/>
      <c r="G511" s="58" t="n"/>
      <c r="H511" s="59" t="n"/>
      <c r="I511" s="57" t="str">
        <f>IF(H511="","",IFERROR(INDEX(art_des,MATCH(H511,art_ref,0))&amp;"","Article inconnu"))</f>
        <v/>
      </c>
      <c r="J511" s="60" t="str">
        <f>IF(H511="","",IFERROR(INDEX(art_unit,MATCH(H511,art_ref,0))&amp;"",""))</f>
        <v/>
      </c>
      <c r="K511" s="59" t="n"/>
      <c r="L511" s="59" t="n"/>
      <c r="M511" s="61" t="str">
        <f>IF(OR(B511="",NOT(ISNUMBER(K511)),NOT(ISNUMBER(L511))),"",IF(OR(K511&lt;=0,L511&lt;=0),"",ROUND(L511-K511,6)))</f>
        <v/>
      </c>
      <c r="N511" s="58" t="n"/>
      <c r="O511" s="62" t="n"/>
      <c r="P511" s="63" t="str">
        <f>IF(OR(B511="",NOT(ISNUMBER(L511))),"",IF(L511&lt;=0,"",IFERROR(ROUND(L511*N(INDEX(art_w,MATCH(H511,art_ref,0))),3),"")))</f>
        <v/>
      </c>
      <c r="Q511" s="59" t="n"/>
      <c r="R511" s="54" t="n"/>
      <c r="S511" s="59" t="n"/>
      <c r="T511" s="59" t="n"/>
      <c r="U511" s="64" t="str">
        <f>IF(OR(B511="",H511=""),"",IFERROR(IF(A511="BL",IF(N(INDEX(art_price,MATCH(H511,art_ref,0)))=0,"",N(INDEX(art_price,MATCH(H511,art_ref,0)))),IF(N(INDEX(art_cost,MATCH(H511,art_ref,0)))=0,"",N(INDEX(art_cost,MATCH(H511,art_ref,0))))),""))</f>
        <v/>
      </c>
      <c r="V511" s="64" t="str">
        <f>IF(OR(U511="",NOT(ISNUMBER(L511))),"",IF(L511&lt;=0,"",ROUND(L511*U511,2)))</f>
        <v/>
      </c>
      <c r="W511" s="60" t="str">
        <f>IF(AND(B511&lt;&gt;"",A511&lt;&gt;"BS",F511&lt;&gt;"",H511&lt;&gt;"",ISNUMBER(K511),ISNUMBER(L511)),IF(AND(K511&gt;0,L511&gt;0,K511-L511&gt;0,COUNTIFS(A512:A$2005,A511,F512:F$2005,F511,H512:H$2005,H511,AA512:AA$2005,"&gt;0")=0),ROUND(K511-L511,6),""),"")</f>
        <v/>
      </c>
      <c r="X511" s="60" t="str">
        <f>IF(AND(A511="",C511="",D511="",H511="",L511=""),"",IF(A511="","Type manquant",IF(AND(A511&lt;&gt;"BL",A511&lt;&gt;"BR",A511&lt;&gt;"BS"),"Type inconnu (BL, BR ou BS)",IF(AG511=0,"Date manquante ou invalide",IF(D511="",IF(A511="BL","Client manquant",IF(A511="BR","Fournisseur manquant","Service manquant")),IF(IF(A511="BL",ISNA(MATCH(D511,cl_code,0)),IF(A511="BR",ISNA(MATCH(D511,fo_code,0)),ISNA(MATCH(D511,p_services,0)))),IF(A511="BL","Client inconnu",IF(A511="BR","Fournisseur inconnu","Service inconnu")),IF(H511="","Article manquant",IF(ISNA(MATCH(H511,art_ref,0)),"Article inconnu",IF(OR(NOT(ISNUMBER(L511)),N(L511)&lt;=0),"Quantité invalide",IF(AND(K511&lt;&gt;"",OR(NOT(ISNUMBER(K511)),N(K511)&lt;=0)),"Qté commandée invalide",IF(AG511&lt;SUMPRODUCT(MAX((A$6:A510=A511)*AG$6:AG510)),"Date antérieure au bon précédent",IF(AND(A511&lt;&gt;"BR",ISNUMBER(M511),N(M511)&gt;0),IF(A511="BL","Livré plus que commandé","Sorti plus que demandé"),"OK"))))))))))))</f>
        <v/>
      </c>
      <c r="Y511" s="57" t="str">
        <f>IF(AND(OR(A511="BL",A511="BR",A511="BS"),AG511&gt;0,D511&lt;&gt;""),A511&amp;"|"&amp;AG511&amp;"|"&amp;D511&amp;"|"&amp;F511,"")</f>
        <v/>
      </c>
      <c r="Z511" s="57" t="str">
        <f>IF(Y511="","",IF(COUNTIF(Y$6:Y510,Y511)=0,1,0))</f>
        <v/>
      </c>
      <c r="AA511" s="57" t="str">
        <f>IF(Y511="","",IF(Z511=1,COUNTIFS(A$6:A511,A511,Z$6:Z511,1),INDEX(AA$6:AA510,MATCH(Y511,Y$6:Y510,0))))</f>
        <v/>
      </c>
      <c r="AB511" s="57" t="str">
        <f>IF(B511="","",COUNTIF(B$6:B511,B511))</f>
        <v/>
      </c>
      <c r="AC511" s="57" t="str">
        <f>IF(B511="","",B511&amp;"#"&amp;AB511)</f>
        <v/>
      </c>
      <c r="AD511" s="57" t="str">
        <f>IF(Z511=1,A511&amp;AA511,"")</f>
        <v/>
      </c>
      <c r="AE511" s="57" t="str">
        <f>IF(B511="","",YEAR(C511))</f>
        <v/>
      </c>
      <c r="AF511" s="57" t="str">
        <f>IF(B511="","",MONTH(C511))</f>
        <v/>
      </c>
      <c r="AG511" s="57">
        <f>IF(ISNUMBER(C511),C511,0)</f>
        <v>0.0</v>
      </c>
      <c r="AH511" s="57" t="str">
        <f>IF(N(W511)&gt;0,COUNTIF(W$6:W511,"&gt;0"),"")</f>
        <v/>
      </c>
      <c r="AI511" s="57" t="str">
        <f>IF(Z511=1,COUNTIF(Z$6:Z511,1),"")</f>
        <v/>
      </c>
    </row>
    <row r="512">
      <c r="A512" s="54" t="n"/>
      <c r="B512" s="55" t="str">
        <f>IF(AA512="","",A512&amp;"-"&amp;RIGHT("000"&amp;AA512,4))</f>
        <v/>
      </c>
      <c r="C512" s="56" t="n"/>
      <c r="D512" s="54" t="n"/>
      <c r="E512" s="57" t="str">
        <f>IF(D512="","",IF(A512="BL",IFERROR(INDEX(cl_name,MATCH(D512,cl_code,0))&amp;"","Client inconnu"),IF(A512="BR",IFERROR(INDEX(fo_name,MATCH(D512,fo_code,0))&amp;"","Fournisseur inconnu"),IF(A512="BS",IF(ISNA(MATCH(D512,p_services,0)),"Service inconnu",D512&amp;""),""))))</f>
        <v/>
      </c>
      <c r="F512" s="58" t="n"/>
      <c r="G512" s="58" t="n"/>
      <c r="H512" s="59" t="n"/>
      <c r="I512" s="57" t="str">
        <f>IF(H512="","",IFERROR(INDEX(art_des,MATCH(H512,art_ref,0))&amp;"","Article inconnu"))</f>
        <v/>
      </c>
      <c r="J512" s="60" t="str">
        <f>IF(H512="","",IFERROR(INDEX(art_unit,MATCH(H512,art_ref,0))&amp;"",""))</f>
        <v/>
      </c>
      <c r="K512" s="59" t="n"/>
      <c r="L512" s="59" t="n"/>
      <c r="M512" s="61" t="str">
        <f>IF(OR(B512="",NOT(ISNUMBER(K512)),NOT(ISNUMBER(L512))),"",IF(OR(K512&lt;=0,L512&lt;=0),"",ROUND(L512-K512,6)))</f>
        <v/>
      </c>
      <c r="N512" s="58" t="n"/>
      <c r="O512" s="62" t="n"/>
      <c r="P512" s="63" t="str">
        <f>IF(OR(B512="",NOT(ISNUMBER(L512))),"",IF(L512&lt;=0,"",IFERROR(ROUND(L512*N(INDEX(art_w,MATCH(H512,art_ref,0))),3),"")))</f>
        <v/>
      </c>
      <c r="Q512" s="59" t="n"/>
      <c r="R512" s="54" t="n"/>
      <c r="S512" s="59" t="n"/>
      <c r="T512" s="59" t="n"/>
      <c r="U512" s="64" t="str">
        <f>IF(OR(B512="",H512=""),"",IFERROR(IF(A512="BL",IF(N(INDEX(art_price,MATCH(H512,art_ref,0)))=0,"",N(INDEX(art_price,MATCH(H512,art_ref,0)))),IF(N(INDEX(art_cost,MATCH(H512,art_ref,0)))=0,"",N(INDEX(art_cost,MATCH(H512,art_ref,0))))),""))</f>
        <v/>
      </c>
      <c r="V512" s="64" t="str">
        <f>IF(OR(U512="",NOT(ISNUMBER(L512))),"",IF(L512&lt;=0,"",ROUND(L512*U512,2)))</f>
        <v/>
      </c>
      <c r="W512" s="60" t="str">
        <f>IF(AND(B512&lt;&gt;"",A512&lt;&gt;"BS",F512&lt;&gt;"",H512&lt;&gt;"",ISNUMBER(K512),ISNUMBER(L512)),IF(AND(K512&gt;0,L512&gt;0,K512-L512&gt;0,COUNTIFS(A513:A$2005,A512,F513:F$2005,F512,H513:H$2005,H512,AA513:AA$2005,"&gt;0")=0),ROUND(K512-L512,6),""),"")</f>
        <v/>
      </c>
      <c r="X512" s="60" t="str">
        <f>IF(AND(A512="",C512="",D512="",H512="",L512=""),"",IF(A512="","Type manquant",IF(AND(A512&lt;&gt;"BL",A512&lt;&gt;"BR",A512&lt;&gt;"BS"),"Type inconnu (BL, BR ou BS)",IF(AG512=0,"Date manquante ou invalide",IF(D512="",IF(A512="BL","Client manquant",IF(A512="BR","Fournisseur manquant","Service manquant")),IF(IF(A512="BL",ISNA(MATCH(D512,cl_code,0)),IF(A512="BR",ISNA(MATCH(D512,fo_code,0)),ISNA(MATCH(D512,p_services,0)))),IF(A512="BL","Client inconnu",IF(A512="BR","Fournisseur inconnu","Service inconnu")),IF(H512="","Article manquant",IF(ISNA(MATCH(H512,art_ref,0)),"Article inconnu",IF(OR(NOT(ISNUMBER(L512)),N(L512)&lt;=0),"Quantité invalide",IF(AND(K512&lt;&gt;"",OR(NOT(ISNUMBER(K512)),N(K512)&lt;=0)),"Qté commandée invalide",IF(AG512&lt;SUMPRODUCT(MAX((A$6:A511=A512)*AG$6:AG511)),"Date antérieure au bon précédent",IF(AND(A512&lt;&gt;"BR",ISNUMBER(M512),N(M512)&gt;0),IF(A512="BL","Livré plus que commandé","Sorti plus que demandé"),"OK"))))))))))))</f>
        <v/>
      </c>
      <c r="Y512" s="57" t="str">
        <f>IF(AND(OR(A512="BL",A512="BR",A512="BS"),AG512&gt;0,D512&lt;&gt;""),A512&amp;"|"&amp;AG512&amp;"|"&amp;D512&amp;"|"&amp;F512,"")</f>
        <v/>
      </c>
      <c r="Z512" s="57" t="str">
        <f>IF(Y512="","",IF(COUNTIF(Y$6:Y511,Y512)=0,1,0))</f>
        <v/>
      </c>
      <c r="AA512" s="57" t="str">
        <f>IF(Y512="","",IF(Z512=1,COUNTIFS(A$6:A512,A512,Z$6:Z512,1),INDEX(AA$6:AA511,MATCH(Y512,Y$6:Y511,0))))</f>
        <v/>
      </c>
      <c r="AB512" s="57" t="str">
        <f>IF(B512="","",COUNTIF(B$6:B512,B512))</f>
        <v/>
      </c>
      <c r="AC512" s="57" t="str">
        <f>IF(B512="","",B512&amp;"#"&amp;AB512)</f>
        <v/>
      </c>
      <c r="AD512" s="57" t="str">
        <f>IF(Z512=1,A512&amp;AA512,"")</f>
        <v/>
      </c>
      <c r="AE512" s="57" t="str">
        <f>IF(B512="","",YEAR(C512))</f>
        <v/>
      </c>
      <c r="AF512" s="57" t="str">
        <f>IF(B512="","",MONTH(C512))</f>
        <v/>
      </c>
      <c r="AG512" s="57">
        <f>IF(ISNUMBER(C512),C512,0)</f>
        <v>0.0</v>
      </c>
      <c r="AH512" s="57" t="str">
        <f>IF(N(W512)&gt;0,COUNTIF(W$6:W512,"&gt;0"),"")</f>
        <v/>
      </c>
      <c r="AI512" s="57" t="str">
        <f>IF(Z512=1,COUNTIF(Z$6:Z512,1),"")</f>
        <v/>
      </c>
    </row>
    <row r="513">
      <c r="A513" s="54" t="n"/>
      <c r="B513" s="55" t="str">
        <f>IF(AA513="","",A513&amp;"-"&amp;RIGHT("000"&amp;AA513,4))</f>
        <v/>
      </c>
      <c r="C513" s="56" t="n"/>
      <c r="D513" s="54" t="n"/>
      <c r="E513" s="57" t="str">
        <f>IF(D513="","",IF(A513="BL",IFERROR(INDEX(cl_name,MATCH(D513,cl_code,0))&amp;"","Client inconnu"),IF(A513="BR",IFERROR(INDEX(fo_name,MATCH(D513,fo_code,0))&amp;"","Fournisseur inconnu"),IF(A513="BS",IF(ISNA(MATCH(D513,p_services,0)),"Service inconnu",D513&amp;""),""))))</f>
        <v/>
      </c>
      <c r="F513" s="58" t="n"/>
      <c r="G513" s="58" t="n"/>
      <c r="H513" s="59" t="n"/>
      <c r="I513" s="57" t="str">
        <f>IF(H513="","",IFERROR(INDEX(art_des,MATCH(H513,art_ref,0))&amp;"","Article inconnu"))</f>
        <v/>
      </c>
      <c r="J513" s="60" t="str">
        <f>IF(H513="","",IFERROR(INDEX(art_unit,MATCH(H513,art_ref,0))&amp;"",""))</f>
        <v/>
      </c>
      <c r="K513" s="59" t="n"/>
      <c r="L513" s="59" t="n"/>
      <c r="M513" s="61" t="str">
        <f>IF(OR(B513="",NOT(ISNUMBER(K513)),NOT(ISNUMBER(L513))),"",IF(OR(K513&lt;=0,L513&lt;=0),"",ROUND(L513-K513,6)))</f>
        <v/>
      </c>
      <c r="N513" s="58" t="n"/>
      <c r="O513" s="62" t="n"/>
      <c r="P513" s="63" t="str">
        <f>IF(OR(B513="",NOT(ISNUMBER(L513))),"",IF(L513&lt;=0,"",IFERROR(ROUND(L513*N(INDEX(art_w,MATCH(H513,art_ref,0))),3),"")))</f>
        <v/>
      </c>
      <c r="Q513" s="59" t="n"/>
      <c r="R513" s="54" t="n"/>
      <c r="S513" s="59" t="n"/>
      <c r="T513" s="59" t="n"/>
      <c r="U513" s="64" t="str">
        <f>IF(OR(B513="",H513=""),"",IFERROR(IF(A513="BL",IF(N(INDEX(art_price,MATCH(H513,art_ref,0)))=0,"",N(INDEX(art_price,MATCH(H513,art_ref,0)))),IF(N(INDEX(art_cost,MATCH(H513,art_ref,0)))=0,"",N(INDEX(art_cost,MATCH(H513,art_ref,0))))),""))</f>
        <v/>
      </c>
      <c r="V513" s="64" t="str">
        <f>IF(OR(U513="",NOT(ISNUMBER(L513))),"",IF(L513&lt;=0,"",ROUND(L513*U513,2)))</f>
        <v/>
      </c>
      <c r="W513" s="60" t="str">
        <f>IF(AND(B513&lt;&gt;"",A513&lt;&gt;"BS",F513&lt;&gt;"",H513&lt;&gt;"",ISNUMBER(K513),ISNUMBER(L513)),IF(AND(K513&gt;0,L513&gt;0,K513-L513&gt;0,COUNTIFS(A514:A$2005,A513,F514:F$2005,F513,H514:H$2005,H513,AA514:AA$2005,"&gt;0")=0),ROUND(K513-L513,6),""),"")</f>
        <v/>
      </c>
      <c r="X513" s="60" t="str">
        <f>IF(AND(A513="",C513="",D513="",H513="",L513=""),"",IF(A513="","Type manquant",IF(AND(A513&lt;&gt;"BL",A513&lt;&gt;"BR",A513&lt;&gt;"BS"),"Type inconnu (BL, BR ou BS)",IF(AG513=0,"Date manquante ou invalide",IF(D513="",IF(A513="BL","Client manquant",IF(A513="BR","Fournisseur manquant","Service manquant")),IF(IF(A513="BL",ISNA(MATCH(D513,cl_code,0)),IF(A513="BR",ISNA(MATCH(D513,fo_code,0)),ISNA(MATCH(D513,p_services,0)))),IF(A513="BL","Client inconnu",IF(A513="BR","Fournisseur inconnu","Service inconnu")),IF(H513="","Article manquant",IF(ISNA(MATCH(H513,art_ref,0)),"Article inconnu",IF(OR(NOT(ISNUMBER(L513)),N(L513)&lt;=0),"Quantité invalide",IF(AND(K513&lt;&gt;"",OR(NOT(ISNUMBER(K513)),N(K513)&lt;=0)),"Qté commandée invalide",IF(AG513&lt;SUMPRODUCT(MAX((A$6:A512=A513)*AG$6:AG512)),"Date antérieure au bon précédent",IF(AND(A513&lt;&gt;"BR",ISNUMBER(M513),N(M513)&gt;0),IF(A513="BL","Livré plus que commandé","Sorti plus que demandé"),"OK"))))))))))))</f>
        <v/>
      </c>
      <c r="Y513" s="57" t="str">
        <f>IF(AND(OR(A513="BL",A513="BR",A513="BS"),AG513&gt;0,D513&lt;&gt;""),A513&amp;"|"&amp;AG513&amp;"|"&amp;D513&amp;"|"&amp;F513,"")</f>
        <v/>
      </c>
      <c r="Z513" s="57" t="str">
        <f>IF(Y513="","",IF(COUNTIF(Y$6:Y512,Y513)=0,1,0))</f>
        <v/>
      </c>
      <c r="AA513" s="57" t="str">
        <f>IF(Y513="","",IF(Z513=1,COUNTIFS(A$6:A513,A513,Z$6:Z513,1),INDEX(AA$6:AA512,MATCH(Y513,Y$6:Y512,0))))</f>
        <v/>
      </c>
      <c r="AB513" s="57" t="str">
        <f>IF(B513="","",COUNTIF(B$6:B513,B513))</f>
        <v/>
      </c>
      <c r="AC513" s="57" t="str">
        <f>IF(B513="","",B513&amp;"#"&amp;AB513)</f>
        <v/>
      </c>
      <c r="AD513" s="57" t="str">
        <f>IF(Z513=1,A513&amp;AA513,"")</f>
        <v/>
      </c>
      <c r="AE513" s="57" t="str">
        <f>IF(B513="","",YEAR(C513))</f>
        <v/>
      </c>
      <c r="AF513" s="57" t="str">
        <f>IF(B513="","",MONTH(C513))</f>
        <v/>
      </c>
      <c r="AG513" s="57">
        <f>IF(ISNUMBER(C513),C513,0)</f>
        <v>0.0</v>
      </c>
      <c r="AH513" s="57" t="str">
        <f>IF(N(W513)&gt;0,COUNTIF(W$6:W513,"&gt;0"),"")</f>
        <v/>
      </c>
      <c r="AI513" s="57" t="str">
        <f>IF(Z513=1,COUNTIF(Z$6:Z513,1),"")</f>
        <v/>
      </c>
    </row>
    <row r="514">
      <c r="A514" s="54" t="n"/>
      <c r="B514" s="55" t="str">
        <f>IF(AA514="","",A514&amp;"-"&amp;RIGHT("000"&amp;AA514,4))</f>
        <v/>
      </c>
      <c r="C514" s="56" t="n"/>
      <c r="D514" s="54" t="n"/>
      <c r="E514" s="57" t="str">
        <f>IF(D514="","",IF(A514="BL",IFERROR(INDEX(cl_name,MATCH(D514,cl_code,0))&amp;"","Client inconnu"),IF(A514="BR",IFERROR(INDEX(fo_name,MATCH(D514,fo_code,0))&amp;"","Fournisseur inconnu"),IF(A514="BS",IF(ISNA(MATCH(D514,p_services,0)),"Service inconnu",D514&amp;""),""))))</f>
        <v/>
      </c>
      <c r="F514" s="58" t="n"/>
      <c r="G514" s="58" t="n"/>
      <c r="H514" s="59" t="n"/>
      <c r="I514" s="57" t="str">
        <f>IF(H514="","",IFERROR(INDEX(art_des,MATCH(H514,art_ref,0))&amp;"","Article inconnu"))</f>
        <v/>
      </c>
      <c r="J514" s="60" t="str">
        <f>IF(H514="","",IFERROR(INDEX(art_unit,MATCH(H514,art_ref,0))&amp;"",""))</f>
        <v/>
      </c>
      <c r="K514" s="59" t="n"/>
      <c r="L514" s="59" t="n"/>
      <c r="M514" s="61" t="str">
        <f>IF(OR(B514="",NOT(ISNUMBER(K514)),NOT(ISNUMBER(L514))),"",IF(OR(K514&lt;=0,L514&lt;=0),"",ROUND(L514-K514,6)))</f>
        <v/>
      </c>
      <c r="N514" s="58" t="n"/>
      <c r="O514" s="62" t="n"/>
      <c r="P514" s="63" t="str">
        <f>IF(OR(B514="",NOT(ISNUMBER(L514))),"",IF(L514&lt;=0,"",IFERROR(ROUND(L514*N(INDEX(art_w,MATCH(H514,art_ref,0))),3),"")))</f>
        <v/>
      </c>
      <c r="Q514" s="59" t="n"/>
      <c r="R514" s="54" t="n"/>
      <c r="S514" s="59" t="n"/>
      <c r="T514" s="59" t="n"/>
      <c r="U514" s="64" t="str">
        <f>IF(OR(B514="",H514=""),"",IFERROR(IF(A514="BL",IF(N(INDEX(art_price,MATCH(H514,art_ref,0)))=0,"",N(INDEX(art_price,MATCH(H514,art_ref,0)))),IF(N(INDEX(art_cost,MATCH(H514,art_ref,0)))=0,"",N(INDEX(art_cost,MATCH(H514,art_ref,0))))),""))</f>
        <v/>
      </c>
      <c r="V514" s="64" t="str">
        <f>IF(OR(U514="",NOT(ISNUMBER(L514))),"",IF(L514&lt;=0,"",ROUND(L514*U514,2)))</f>
        <v/>
      </c>
      <c r="W514" s="60" t="str">
        <f>IF(AND(B514&lt;&gt;"",A514&lt;&gt;"BS",F514&lt;&gt;"",H514&lt;&gt;"",ISNUMBER(K514),ISNUMBER(L514)),IF(AND(K514&gt;0,L514&gt;0,K514-L514&gt;0,COUNTIFS(A515:A$2005,A514,F515:F$2005,F514,H515:H$2005,H514,AA515:AA$2005,"&gt;0")=0),ROUND(K514-L514,6),""),"")</f>
        <v/>
      </c>
      <c r="X514" s="60" t="str">
        <f>IF(AND(A514="",C514="",D514="",H514="",L514=""),"",IF(A514="","Type manquant",IF(AND(A514&lt;&gt;"BL",A514&lt;&gt;"BR",A514&lt;&gt;"BS"),"Type inconnu (BL, BR ou BS)",IF(AG514=0,"Date manquante ou invalide",IF(D514="",IF(A514="BL","Client manquant",IF(A514="BR","Fournisseur manquant","Service manquant")),IF(IF(A514="BL",ISNA(MATCH(D514,cl_code,0)),IF(A514="BR",ISNA(MATCH(D514,fo_code,0)),ISNA(MATCH(D514,p_services,0)))),IF(A514="BL","Client inconnu",IF(A514="BR","Fournisseur inconnu","Service inconnu")),IF(H514="","Article manquant",IF(ISNA(MATCH(H514,art_ref,0)),"Article inconnu",IF(OR(NOT(ISNUMBER(L514)),N(L514)&lt;=0),"Quantité invalide",IF(AND(K514&lt;&gt;"",OR(NOT(ISNUMBER(K514)),N(K514)&lt;=0)),"Qté commandée invalide",IF(AG514&lt;SUMPRODUCT(MAX((A$6:A513=A514)*AG$6:AG513)),"Date antérieure au bon précédent",IF(AND(A514&lt;&gt;"BR",ISNUMBER(M514),N(M514)&gt;0),IF(A514="BL","Livré plus que commandé","Sorti plus que demandé"),"OK"))))))))))))</f>
        <v/>
      </c>
      <c r="Y514" s="57" t="str">
        <f>IF(AND(OR(A514="BL",A514="BR",A514="BS"),AG514&gt;0,D514&lt;&gt;""),A514&amp;"|"&amp;AG514&amp;"|"&amp;D514&amp;"|"&amp;F514,"")</f>
        <v/>
      </c>
      <c r="Z514" s="57" t="str">
        <f>IF(Y514="","",IF(COUNTIF(Y$6:Y513,Y514)=0,1,0))</f>
        <v/>
      </c>
      <c r="AA514" s="57" t="str">
        <f>IF(Y514="","",IF(Z514=1,COUNTIFS(A$6:A514,A514,Z$6:Z514,1),INDEX(AA$6:AA513,MATCH(Y514,Y$6:Y513,0))))</f>
        <v/>
      </c>
      <c r="AB514" s="57" t="str">
        <f>IF(B514="","",COUNTIF(B$6:B514,B514))</f>
        <v/>
      </c>
      <c r="AC514" s="57" t="str">
        <f>IF(B514="","",B514&amp;"#"&amp;AB514)</f>
        <v/>
      </c>
      <c r="AD514" s="57" t="str">
        <f>IF(Z514=1,A514&amp;AA514,"")</f>
        <v/>
      </c>
      <c r="AE514" s="57" t="str">
        <f>IF(B514="","",YEAR(C514))</f>
        <v/>
      </c>
      <c r="AF514" s="57" t="str">
        <f>IF(B514="","",MONTH(C514))</f>
        <v/>
      </c>
      <c r="AG514" s="57">
        <f>IF(ISNUMBER(C514),C514,0)</f>
        <v>0.0</v>
      </c>
      <c r="AH514" s="57" t="str">
        <f>IF(N(W514)&gt;0,COUNTIF(W$6:W514,"&gt;0"),"")</f>
        <v/>
      </c>
      <c r="AI514" s="57" t="str">
        <f>IF(Z514=1,COUNTIF(Z$6:Z514,1),"")</f>
        <v/>
      </c>
    </row>
    <row r="515">
      <c r="A515" s="54" t="n"/>
      <c r="B515" s="55" t="str">
        <f>IF(AA515="","",A515&amp;"-"&amp;RIGHT("000"&amp;AA515,4))</f>
        <v/>
      </c>
      <c r="C515" s="56" t="n"/>
      <c r="D515" s="54" t="n"/>
      <c r="E515" s="57" t="str">
        <f>IF(D515="","",IF(A515="BL",IFERROR(INDEX(cl_name,MATCH(D515,cl_code,0))&amp;"","Client inconnu"),IF(A515="BR",IFERROR(INDEX(fo_name,MATCH(D515,fo_code,0))&amp;"","Fournisseur inconnu"),IF(A515="BS",IF(ISNA(MATCH(D515,p_services,0)),"Service inconnu",D515&amp;""),""))))</f>
        <v/>
      </c>
      <c r="F515" s="58" t="n"/>
      <c r="G515" s="58" t="n"/>
      <c r="H515" s="59" t="n"/>
      <c r="I515" s="57" t="str">
        <f>IF(H515="","",IFERROR(INDEX(art_des,MATCH(H515,art_ref,0))&amp;"","Article inconnu"))</f>
        <v/>
      </c>
      <c r="J515" s="60" t="str">
        <f>IF(H515="","",IFERROR(INDEX(art_unit,MATCH(H515,art_ref,0))&amp;"",""))</f>
        <v/>
      </c>
      <c r="K515" s="59" t="n"/>
      <c r="L515" s="59" t="n"/>
      <c r="M515" s="61" t="str">
        <f>IF(OR(B515="",NOT(ISNUMBER(K515)),NOT(ISNUMBER(L515))),"",IF(OR(K515&lt;=0,L515&lt;=0),"",ROUND(L515-K515,6)))</f>
        <v/>
      </c>
      <c r="N515" s="58" t="n"/>
      <c r="O515" s="62" t="n"/>
      <c r="P515" s="63" t="str">
        <f>IF(OR(B515="",NOT(ISNUMBER(L515))),"",IF(L515&lt;=0,"",IFERROR(ROUND(L515*N(INDEX(art_w,MATCH(H515,art_ref,0))),3),"")))</f>
        <v/>
      </c>
      <c r="Q515" s="59" t="n"/>
      <c r="R515" s="54" t="n"/>
      <c r="S515" s="59" t="n"/>
      <c r="T515" s="59" t="n"/>
      <c r="U515" s="64" t="str">
        <f>IF(OR(B515="",H515=""),"",IFERROR(IF(A515="BL",IF(N(INDEX(art_price,MATCH(H515,art_ref,0)))=0,"",N(INDEX(art_price,MATCH(H515,art_ref,0)))),IF(N(INDEX(art_cost,MATCH(H515,art_ref,0)))=0,"",N(INDEX(art_cost,MATCH(H515,art_ref,0))))),""))</f>
        <v/>
      </c>
      <c r="V515" s="64" t="str">
        <f>IF(OR(U515="",NOT(ISNUMBER(L515))),"",IF(L515&lt;=0,"",ROUND(L515*U515,2)))</f>
        <v/>
      </c>
      <c r="W515" s="60" t="str">
        <f>IF(AND(B515&lt;&gt;"",A515&lt;&gt;"BS",F515&lt;&gt;"",H515&lt;&gt;"",ISNUMBER(K515),ISNUMBER(L515)),IF(AND(K515&gt;0,L515&gt;0,K515-L515&gt;0,COUNTIFS(A516:A$2005,A515,F516:F$2005,F515,H516:H$2005,H515,AA516:AA$2005,"&gt;0")=0),ROUND(K515-L515,6),""),"")</f>
        <v/>
      </c>
      <c r="X515" s="60" t="str">
        <f>IF(AND(A515="",C515="",D515="",H515="",L515=""),"",IF(A515="","Type manquant",IF(AND(A515&lt;&gt;"BL",A515&lt;&gt;"BR",A515&lt;&gt;"BS"),"Type inconnu (BL, BR ou BS)",IF(AG515=0,"Date manquante ou invalide",IF(D515="",IF(A515="BL","Client manquant",IF(A515="BR","Fournisseur manquant","Service manquant")),IF(IF(A515="BL",ISNA(MATCH(D515,cl_code,0)),IF(A515="BR",ISNA(MATCH(D515,fo_code,0)),ISNA(MATCH(D515,p_services,0)))),IF(A515="BL","Client inconnu",IF(A515="BR","Fournisseur inconnu","Service inconnu")),IF(H515="","Article manquant",IF(ISNA(MATCH(H515,art_ref,0)),"Article inconnu",IF(OR(NOT(ISNUMBER(L515)),N(L515)&lt;=0),"Quantité invalide",IF(AND(K515&lt;&gt;"",OR(NOT(ISNUMBER(K515)),N(K515)&lt;=0)),"Qté commandée invalide",IF(AG515&lt;SUMPRODUCT(MAX((A$6:A514=A515)*AG$6:AG514)),"Date antérieure au bon précédent",IF(AND(A515&lt;&gt;"BR",ISNUMBER(M515),N(M515)&gt;0),IF(A515="BL","Livré plus que commandé","Sorti plus que demandé"),"OK"))))))))))))</f>
        <v/>
      </c>
      <c r="Y515" s="57" t="str">
        <f>IF(AND(OR(A515="BL",A515="BR",A515="BS"),AG515&gt;0,D515&lt;&gt;""),A515&amp;"|"&amp;AG515&amp;"|"&amp;D515&amp;"|"&amp;F515,"")</f>
        <v/>
      </c>
      <c r="Z515" s="57" t="str">
        <f>IF(Y515="","",IF(COUNTIF(Y$6:Y514,Y515)=0,1,0))</f>
        <v/>
      </c>
      <c r="AA515" s="57" t="str">
        <f>IF(Y515="","",IF(Z515=1,COUNTIFS(A$6:A515,A515,Z$6:Z515,1),INDEX(AA$6:AA514,MATCH(Y515,Y$6:Y514,0))))</f>
        <v/>
      </c>
      <c r="AB515" s="57" t="str">
        <f>IF(B515="","",COUNTIF(B$6:B515,B515))</f>
        <v/>
      </c>
      <c r="AC515" s="57" t="str">
        <f>IF(B515="","",B515&amp;"#"&amp;AB515)</f>
        <v/>
      </c>
      <c r="AD515" s="57" t="str">
        <f>IF(Z515=1,A515&amp;AA515,"")</f>
        <v/>
      </c>
      <c r="AE515" s="57" t="str">
        <f>IF(B515="","",YEAR(C515))</f>
        <v/>
      </c>
      <c r="AF515" s="57" t="str">
        <f>IF(B515="","",MONTH(C515))</f>
        <v/>
      </c>
      <c r="AG515" s="57">
        <f>IF(ISNUMBER(C515),C515,0)</f>
        <v>0.0</v>
      </c>
      <c r="AH515" s="57" t="str">
        <f>IF(N(W515)&gt;0,COUNTIF(W$6:W515,"&gt;0"),"")</f>
        <v/>
      </c>
      <c r="AI515" s="57" t="str">
        <f>IF(Z515=1,COUNTIF(Z$6:Z515,1),"")</f>
        <v/>
      </c>
    </row>
    <row r="516">
      <c r="A516" s="54" t="n"/>
      <c r="B516" s="55" t="str">
        <f>IF(AA516="","",A516&amp;"-"&amp;RIGHT("000"&amp;AA516,4))</f>
        <v/>
      </c>
      <c r="C516" s="56" t="n"/>
      <c r="D516" s="54" t="n"/>
      <c r="E516" s="57" t="str">
        <f>IF(D516="","",IF(A516="BL",IFERROR(INDEX(cl_name,MATCH(D516,cl_code,0))&amp;"","Client inconnu"),IF(A516="BR",IFERROR(INDEX(fo_name,MATCH(D516,fo_code,0))&amp;"","Fournisseur inconnu"),IF(A516="BS",IF(ISNA(MATCH(D516,p_services,0)),"Service inconnu",D516&amp;""),""))))</f>
        <v/>
      </c>
      <c r="F516" s="58" t="n"/>
      <c r="G516" s="58" t="n"/>
      <c r="H516" s="59" t="n"/>
      <c r="I516" s="57" t="str">
        <f>IF(H516="","",IFERROR(INDEX(art_des,MATCH(H516,art_ref,0))&amp;"","Article inconnu"))</f>
        <v/>
      </c>
      <c r="J516" s="60" t="str">
        <f>IF(H516="","",IFERROR(INDEX(art_unit,MATCH(H516,art_ref,0))&amp;"",""))</f>
        <v/>
      </c>
      <c r="K516" s="59" t="n"/>
      <c r="L516" s="59" t="n"/>
      <c r="M516" s="61" t="str">
        <f>IF(OR(B516="",NOT(ISNUMBER(K516)),NOT(ISNUMBER(L516))),"",IF(OR(K516&lt;=0,L516&lt;=0),"",ROUND(L516-K516,6)))</f>
        <v/>
      </c>
      <c r="N516" s="58" t="n"/>
      <c r="O516" s="62" t="n"/>
      <c r="P516" s="63" t="str">
        <f>IF(OR(B516="",NOT(ISNUMBER(L516))),"",IF(L516&lt;=0,"",IFERROR(ROUND(L516*N(INDEX(art_w,MATCH(H516,art_ref,0))),3),"")))</f>
        <v/>
      </c>
      <c r="Q516" s="59" t="n"/>
      <c r="R516" s="54" t="n"/>
      <c r="S516" s="59" t="n"/>
      <c r="T516" s="59" t="n"/>
      <c r="U516" s="64" t="str">
        <f>IF(OR(B516="",H516=""),"",IFERROR(IF(A516="BL",IF(N(INDEX(art_price,MATCH(H516,art_ref,0)))=0,"",N(INDEX(art_price,MATCH(H516,art_ref,0)))),IF(N(INDEX(art_cost,MATCH(H516,art_ref,0)))=0,"",N(INDEX(art_cost,MATCH(H516,art_ref,0))))),""))</f>
        <v/>
      </c>
      <c r="V516" s="64" t="str">
        <f>IF(OR(U516="",NOT(ISNUMBER(L516))),"",IF(L516&lt;=0,"",ROUND(L516*U516,2)))</f>
        <v/>
      </c>
      <c r="W516" s="60" t="str">
        <f>IF(AND(B516&lt;&gt;"",A516&lt;&gt;"BS",F516&lt;&gt;"",H516&lt;&gt;"",ISNUMBER(K516),ISNUMBER(L516)),IF(AND(K516&gt;0,L516&gt;0,K516-L516&gt;0,COUNTIFS(A517:A$2005,A516,F517:F$2005,F516,H517:H$2005,H516,AA517:AA$2005,"&gt;0")=0),ROUND(K516-L516,6),""),"")</f>
        <v/>
      </c>
      <c r="X516" s="60" t="str">
        <f>IF(AND(A516="",C516="",D516="",H516="",L516=""),"",IF(A516="","Type manquant",IF(AND(A516&lt;&gt;"BL",A516&lt;&gt;"BR",A516&lt;&gt;"BS"),"Type inconnu (BL, BR ou BS)",IF(AG516=0,"Date manquante ou invalide",IF(D516="",IF(A516="BL","Client manquant",IF(A516="BR","Fournisseur manquant","Service manquant")),IF(IF(A516="BL",ISNA(MATCH(D516,cl_code,0)),IF(A516="BR",ISNA(MATCH(D516,fo_code,0)),ISNA(MATCH(D516,p_services,0)))),IF(A516="BL","Client inconnu",IF(A516="BR","Fournisseur inconnu","Service inconnu")),IF(H516="","Article manquant",IF(ISNA(MATCH(H516,art_ref,0)),"Article inconnu",IF(OR(NOT(ISNUMBER(L516)),N(L516)&lt;=0),"Quantité invalide",IF(AND(K516&lt;&gt;"",OR(NOT(ISNUMBER(K516)),N(K516)&lt;=0)),"Qté commandée invalide",IF(AG516&lt;SUMPRODUCT(MAX((A$6:A515=A516)*AG$6:AG515)),"Date antérieure au bon précédent",IF(AND(A516&lt;&gt;"BR",ISNUMBER(M516),N(M516)&gt;0),IF(A516="BL","Livré plus que commandé","Sorti plus que demandé"),"OK"))))))))))))</f>
        <v/>
      </c>
      <c r="Y516" s="57" t="str">
        <f>IF(AND(OR(A516="BL",A516="BR",A516="BS"),AG516&gt;0,D516&lt;&gt;""),A516&amp;"|"&amp;AG516&amp;"|"&amp;D516&amp;"|"&amp;F516,"")</f>
        <v/>
      </c>
      <c r="Z516" s="57" t="str">
        <f>IF(Y516="","",IF(COUNTIF(Y$6:Y515,Y516)=0,1,0))</f>
        <v/>
      </c>
      <c r="AA516" s="57" t="str">
        <f>IF(Y516="","",IF(Z516=1,COUNTIFS(A$6:A516,A516,Z$6:Z516,1),INDEX(AA$6:AA515,MATCH(Y516,Y$6:Y515,0))))</f>
        <v/>
      </c>
      <c r="AB516" s="57" t="str">
        <f>IF(B516="","",COUNTIF(B$6:B516,B516))</f>
        <v/>
      </c>
      <c r="AC516" s="57" t="str">
        <f>IF(B516="","",B516&amp;"#"&amp;AB516)</f>
        <v/>
      </c>
      <c r="AD516" s="57" t="str">
        <f>IF(Z516=1,A516&amp;AA516,"")</f>
        <v/>
      </c>
      <c r="AE516" s="57" t="str">
        <f>IF(B516="","",YEAR(C516))</f>
        <v/>
      </c>
      <c r="AF516" s="57" t="str">
        <f>IF(B516="","",MONTH(C516))</f>
        <v/>
      </c>
      <c r="AG516" s="57">
        <f>IF(ISNUMBER(C516),C516,0)</f>
        <v>0.0</v>
      </c>
      <c r="AH516" s="57" t="str">
        <f>IF(N(W516)&gt;0,COUNTIF(W$6:W516,"&gt;0"),"")</f>
        <v/>
      </c>
      <c r="AI516" s="57" t="str">
        <f>IF(Z516=1,COUNTIF(Z$6:Z516,1),"")</f>
        <v/>
      </c>
    </row>
    <row r="517">
      <c r="A517" s="54" t="n"/>
      <c r="B517" s="55" t="str">
        <f>IF(AA517="","",A517&amp;"-"&amp;RIGHT("000"&amp;AA517,4))</f>
        <v/>
      </c>
      <c r="C517" s="56" t="n"/>
      <c r="D517" s="54" t="n"/>
      <c r="E517" s="57" t="str">
        <f>IF(D517="","",IF(A517="BL",IFERROR(INDEX(cl_name,MATCH(D517,cl_code,0))&amp;"","Client inconnu"),IF(A517="BR",IFERROR(INDEX(fo_name,MATCH(D517,fo_code,0))&amp;"","Fournisseur inconnu"),IF(A517="BS",IF(ISNA(MATCH(D517,p_services,0)),"Service inconnu",D517&amp;""),""))))</f>
        <v/>
      </c>
      <c r="F517" s="58" t="n"/>
      <c r="G517" s="58" t="n"/>
      <c r="H517" s="59" t="n"/>
      <c r="I517" s="57" t="str">
        <f>IF(H517="","",IFERROR(INDEX(art_des,MATCH(H517,art_ref,0))&amp;"","Article inconnu"))</f>
        <v/>
      </c>
      <c r="J517" s="60" t="str">
        <f>IF(H517="","",IFERROR(INDEX(art_unit,MATCH(H517,art_ref,0))&amp;"",""))</f>
        <v/>
      </c>
      <c r="K517" s="59" t="n"/>
      <c r="L517" s="59" t="n"/>
      <c r="M517" s="61" t="str">
        <f>IF(OR(B517="",NOT(ISNUMBER(K517)),NOT(ISNUMBER(L517))),"",IF(OR(K517&lt;=0,L517&lt;=0),"",ROUND(L517-K517,6)))</f>
        <v/>
      </c>
      <c r="N517" s="58" t="n"/>
      <c r="O517" s="62" t="n"/>
      <c r="P517" s="63" t="str">
        <f>IF(OR(B517="",NOT(ISNUMBER(L517))),"",IF(L517&lt;=0,"",IFERROR(ROUND(L517*N(INDEX(art_w,MATCH(H517,art_ref,0))),3),"")))</f>
        <v/>
      </c>
      <c r="Q517" s="59" t="n"/>
      <c r="R517" s="54" t="n"/>
      <c r="S517" s="59" t="n"/>
      <c r="T517" s="59" t="n"/>
      <c r="U517" s="64" t="str">
        <f>IF(OR(B517="",H517=""),"",IFERROR(IF(A517="BL",IF(N(INDEX(art_price,MATCH(H517,art_ref,0)))=0,"",N(INDEX(art_price,MATCH(H517,art_ref,0)))),IF(N(INDEX(art_cost,MATCH(H517,art_ref,0)))=0,"",N(INDEX(art_cost,MATCH(H517,art_ref,0))))),""))</f>
        <v/>
      </c>
      <c r="V517" s="64" t="str">
        <f>IF(OR(U517="",NOT(ISNUMBER(L517))),"",IF(L517&lt;=0,"",ROUND(L517*U517,2)))</f>
        <v/>
      </c>
      <c r="W517" s="60" t="str">
        <f>IF(AND(B517&lt;&gt;"",A517&lt;&gt;"BS",F517&lt;&gt;"",H517&lt;&gt;"",ISNUMBER(K517),ISNUMBER(L517)),IF(AND(K517&gt;0,L517&gt;0,K517-L517&gt;0,COUNTIFS(A518:A$2005,A517,F518:F$2005,F517,H518:H$2005,H517,AA518:AA$2005,"&gt;0")=0),ROUND(K517-L517,6),""),"")</f>
        <v/>
      </c>
      <c r="X517" s="60" t="str">
        <f>IF(AND(A517="",C517="",D517="",H517="",L517=""),"",IF(A517="","Type manquant",IF(AND(A517&lt;&gt;"BL",A517&lt;&gt;"BR",A517&lt;&gt;"BS"),"Type inconnu (BL, BR ou BS)",IF(AG517=0,"Date manquante ou invalide",IF(D517="",IF(A517="BL","Client manquant",IF(A517="BR","Fournisseur manquant","Service manquant")),IF(IF(A517="BL",ISNA(MATCH(D517,cl_code,0)),IF(A517="BR",ISNA(MATCH(D517,fo_code,0)),ISNA(MATCH(D517,p_services,0)))),IF(A517="BL","Client inconnu",IF(A517="BR","Fournisseur inconnu","Service inconnu")),IF(H517="","Article manquant",IF(ISNA(MATCH(H517,art_ref,0)),"Article inconnu",IF(OR(NOT(ISNUMBER(L517)),N(L517)&lt;=0),"Quantité invalide",IF(AND(K517&lt;&gt;"",OR(NOT(ISNUMBER(K517)),N(K517)&lt;=0)),"Qté commandée invalide",IF(AG517&lt;SUMPRODUCT(MAX((A$6:A516=A517)*AG$6:AG516)),"Date antérieure au bon précédent",IF(AND(A517&lt;&gt;"BR",ISNUMBER(M517),N(M517)&gt;0),IF(A517="BL","Livré plus que commandé","Sorti plus que demandé"),"OK"))))))))))))</f>
        <v/>
      </c>
      <c r="Y517" s="57" t="str">
        <f>IF(AND(OR(A517="BL",A517="BR",A517="BS"),AG517&gt;0,D517&lt;&gt;""),A517&amp;"|"&amp;AG517&amp;"|"&amp;D517&amp;"|"&amp;F517,"")</f>
        <v/>
      </c>
      <c r="Z517" s="57" t="str">
        <f>IF(Y517="","",IF(COUNTIF(Y$6:Y516,Y517)=0,1,0))</f>
        <v/>
      </c>
      <c r="AA517" s="57" t="str">
        <f>IF(Y517="","",IF(Z517=1,COUNTIFS(A$6:A517,A517,Z$6:Z517,1),INDEX(AA$6:AA516,MATCH(Y517,Y$6:Y516,0))))</f>
        <v/>
      </c>
      <c r="AB517" s="57" t="str">
        <f>IF(B517="","",COUNTIF(B$6:B517,B517))</f>
        <v/>
      </c>
      <c r="AC517" s="57" t="str">
        <f>IF(B517="","",B517&amp;"#"&amp;AB517)</f>
        <v/>
      </c>
      <c r="AD517" s="57" t="str">
        <f>IF(Z517=1,A517&amp;AA517,"")</f>
        <v/>
      </c>
      <c r="AE517" s="57" t="str">
        <f>IF(B517="","",YEAR(C517))</f>
        <v/>
      </c>
      <c r="AF517" s="57" t="str">
        <f>IF(B517="","",MONTH(C517))</f>
        <v/>
      </c>
      <c r="AG517" s="57">
        <f>IF(ISNUMBER(C517),C517,0)</f>
        <v>0.0</v>
      </c>
      <c r="AH517" s="57" t="str">
        <f>IF(N(W517)&gt;0,COUNTIF(W$6:W517,"&gt;0"),"")</f>
        <v/>
      </c>
      <c r="AI517" s="57" t="str">
        <f>IF(Z517=1,COUNTIF(Z$6:Z517,1),"")</f>
        <v/>
      </c>
    </row>
    <row r="518">
      <c r="A518" s="54" t="n"/>
      <c r="B518" s="55" t="str">
        <f>IF(AA518="","",A518&amp;"-"&amp;RIGHT("000"&amp;AA518,4))</f>
        <v/>
      </c>
      <c r="C518" s="56" t="n"/>
      <c r="D518" s="54" t="n"/>
      <c r="E518" s="57" t="str">
        <f>IF(D518="","",IF(A518="BL",IFERROR(INDEX(cl_name,MATCH(D518,cl_code,0))&amp;"","Client inconnu"),IF(A518="BR",IFERROR(INDEX(fo_name,MATCH(D518,fo_code,0))&amp;"","Fournisseur inconnu"),IF(A518="BS",IF(ISNA(MATCH(D518,p_services,0)),"Service inconnu",D518&amp;""),""))))</f>
        <v/>
      </c>
      <c r="F518" s="58" t="n"/>
      <c r="G518" s="58" t="n"/>
      <c r="H518" s="59" t="n"/>
      <c r="I518" s="57" t="str">
        <f>IF(H518="","",IFERROR(INDEX(art_des,MATCH(H518,art_ref,0))&amp;"","Article inconnu"))</f>
        <v/>
      </c>
      <c r="J518" s="60" t="str">
        <f>IF(H518="","",IFERROR(INDEX(art_unit,MATCH(H518,art_ref,0))&amp;"",""))</f>
        <v/>
      </c>
      <c r="K518" s="59" t="n"/>
      <c r="L518" s="59" t="n"/>
      <c r="M518" s="61" t="str">
        <f>IF(OR(B518="",NOT(ISNUMBER(K518)),NOT(ISNUMBER(L518))),"",IF(OR(K518&lt;=0,L518&lt;=0),"",ROUND(L518-K518,6)))</f>
        <v/>
      </c>
      <c r="N518" s="58" t="n"/>
      <c r="O518" s="62" t="n"/>
      <c r="P518" s="63" t="str">
        <f>IF(OR(B518="",NOT(ISNUMBER(L518))),"",IF(L518&lt;=0,"",IFERROR(ROUND(L518*N(INDEX(art_w,MATCH(H518,art_ref,0))),3),"")))</f>
        <v/>
      </c>
      <c r="Q518" s="59" t="n"/>
      <c r="R518" s="54" t="n"/>
      <c r="S518" s="59" t="n"/>
      <c r="T518" s="59" t="n"/>
      <c r="U518" s="64" t="str">
        <f>IF(OR(B518="",H518=""),"",IFERROR(IF(A518="BL",IF(N(INDEX(art_price,MATCH(H518,art_ref,0)))=0,"",N(INDEX(art_price,MATCH(H518,art_ref,0)))),IF(N(INDEX(art_cost,MATCH(H518,art_ref,0)))=0,"",N(INDEX(art_cost,MATCH(H518,art_ref,0))))),""))</f>
        <v/>
      </c>
      <c r="V518" s="64" t="str">
        <f>IF(OR(U518="",NOT(ISNUMBER(L518))),"",IF(L518&lt;=0,"",ROUND(L518*U518,2)))</f>
        <v/>
      </c>
      <c r="W518" s="60" t="str">
        <f>IF(AND(B518&lt;&gt;"",A518&lt;&gt;"BS",F518&lt;&gt;"",H518&lt;&gt;"",ISNUMBER(K518),ISNUMBER(L518)),IF(AND(K518&gt;0,L518&gt;0,K518-L518&gt;0,COUNTIFS(A519:A$2005,A518,F519:F$2005,F518,H519:H$2005,H518,AA519:AA$2005,"&gt;0")=0),ROUND(K518-L518,6),""),"")</f>
        <v/>
      </c>
      <c r="X518" s="60" t="str">
        <f>IF(AND(A518="",C518="",D518="",H518="",L518=""),"",IF(A518="","Type manquant",IF(AND(A518&lt;&gt;"BL",A518&lt;&gt;"BR",A518&lt;&gt;"BS"),"Type inconnu (BL, BR ou BS)",IF(AG518=0,"Date manquante ou invalide",IF(D518="",IF(A518="BL","Client manquant",IF(A518="BR","Fournisseur manquant","Service manquant")),IF(IF(A518="BL",ISNA(MATCH(D518,cl_code,0)),IF(A518="BR",ISNA(MATCH(D518,fo_code,0)),ISNA(MATCH(D518,p_services,0)))),IF(A518="BL","Client inconnu",IF(A518="BR","Fournisseur inconnu","Service inconnu")),IF(H518="","Article manquant",IF(ISNA(MATCH(H518,art_ref,0)),"Article inconnu",IF(OR(NOT(ISNUMBER(L518)),N(L518)&lt;=0),"Quantité invalide",IF(AND(K518&lt;&gt;"",OR(NOT(ISNUMBER(K518)),N(K518)&lt;=0)),"Qté commandée invalide",IF(AG518&lt;SUMPRODUCT(MAX((A$6:A517=A518)*AG$6:AG517)),"Date antérieure au bon précédent",IF(AND(A518&lt;&gt;"BR",ISNUMBER(M518),N(M518)&gt;0),IF(A518="BL","Livré plus que commandé","Sorti plus que demandé"),"OK"))))))))))))</f>
        <v/>
      </c>
      <c r="Y518" s="57" t="str">
        <f>IF(AND(OR(A518="BL",A518="BR",A518="BS"),AG518&gt;0,D518&lt;&gt;""),A518&amp;"|"&amp;AG518&amp;"|"&amp;D518&amp;"|"&amp;F518,"")</f>
        <v/>
      </c>
      <c r="Z518" s="57" t="str">
        <f>IF(Y518="","",IF(COUNTIF(Y$6:Y517,Y518)=0,1,0))</f>
        <v/>
      </c>
      <c r="AA518" s="57" t="str">
        <f>IF(Y518="","",IF(Z518=1,COUNTIFS(A$6:A518,A518,Z$6:Z518,1),INDEX(AA$6:AA517,MATCH(Y518,Y$6:Y517,0))))</f>
        <v/>
      </c>
      <c r="AB518" s="57" t="str">
        <f>IF(B518="","",COUNTIF(B$6:B518,B518))</f>
        <v/>
      </c>
      <c r="AC518" s="57" t="str">
        <f>IF(B518="","",B518&amp;"#"&amp;AB518)</f>
        <v/>
      </c>
      <c r="AD518" s="57" t="str">
        <f>IF(Z518=1,A518&amp;AA518,"")</f>
        <v/>
      </c>
      <c r="AE518" s="57" t="str">
        <f>IF(B518="","",YEAR(C518))</f>
        <v/>
      </c>
      <c r="AF518" s="57" t="str">
        <f>IF(B518="","",MONTH(C518))</f>
        <v/>
      </c>
      <c r="AG518" s="57">
        <f>IF(ISNUMBER(C518),C518,0)</f>
        <v>0.0</v>
      </c>
      <c r="AH518" s="57" t="str">
        <f>IF(N(W518)&gt;0,COUNTIF(W$6:W518,"&gt;0"),"")</f>
        <v/>
      </c>
      <c r="AI518" s="57" t="str">
        <f>IF(Z518=1,COUNTIF(Z$6:Z518,1),"")</f>
        <v/>
      </c>
    </row>
    <row r="519">
      <c r="A519" s="54" t="n"/>
      <c r="B519" s="55" t="str">
        <f>IF(AA519="","",A519&amp;"-"&amp;RIGHT("000"&amp;AA519,4))</f>
        <v/>
      </c>
      <c r="C519" s="56" t="n"/>
      <c r="D519" s="54" t="n"/>
      <c r="E519" s="57" t="str">
        <f>IF(D519="","",IF(A519="BL",IFERROR(INDEX(cl_name,MATCH(D519,cl_code,0))&amp;"","Client inconnu"),IF(A519="BR",IFERROR(INDEX(fo_name,MATCH(D519,fo_code,0))&amp;"","Fournisseur inconnu"),IF(A519="BS",IF(ISNA(MATCH(D519,p_services,0)),"Service inconnu",D519&amp;""),""))))</f>
        <v/>
      </c>
      <c r="F519" s="58" t="n"/>
      <c r="G519" s="58" t="n"/>
      <c r="H519" s="59" t="n"/>
      <c r="I519" s="57" t="str">
        <f>IF(H519="","",IFERROR(INDEX(art_des,MATCH(H519,art_ref,0))&amp;"","Article inconnu"))</f>
        <v/>
      </c>
      <c r="J519" s="60" t="str">
        <f>IF(H519="","",IFERROR(INDEX(art_unit,MATCH(H519,art_ref,0))&amp;"",""))</f>
        <v/>
      </c>
      <c r="K519" s="59" t="n"/>
      <c r="L519" s="59" t="n"/>
      <c r="M519" s="61" t="str">
        <f>IF(OR(B519="",NOT(ISNUMBER(K519)),NOT(ISNUMBER(L519))),"",IF(OR(K519&lt;=0,L519&lt;=0),"",ROUND(L519-K519,6)))</f>
        <v/>
      </c>
      <c r="N519" s="58" t="n"/>
      <c r="O519" s="62" t="n"/>
      <c r="P519" s="63" t="str">
        <f>IF(OR(B519="",NOT(ISNUMBER(L519))),"",IF(L519&lt;=0,"",IFERROR(ROUND(L519*N(INDEX(art_w,MATCH(H519,art_ref,0))),3),"")))</f>
        <v/>
      </c>
      <c r="Q519" s="59" t="n"/>
      <c r="R519" s="54" t="n"/>
      <c r="S519" s="59" t="n"/>
      <c r="T519" s="59" t="n"/>
      <c r="U519" s="64" t="str">
        <f>IF(OR(B519="",H519=""),"",IFERROR(IF(A519="BL",IF(N(INDEX(art_price,MATCH(H519,art_ref,0)))=0,"",N(INDEX(art_price,MATCH(H519,art_ref,0)))),IF(N(INDEX(art_cost,MATCH(H519,art_ref,0)))=0,"",N(INDEX(art_cost,MATCH(H519,art_ref,0))))),""))</f>
        <v/>
      </c>
      <c r="V519" s="64" t="str">
        <f>IF(OR(U519="",NOT(ISNUMBER(L519))),"",IF(L519&lt;=0,"",ROUND(L519*U519,2)))</f>
        <v/>
      </c>
      <c r="W519" s="60" t="str">
        <f>IF(AND(B519&lt;&gt;"",A519&lt;&gt;"BS",F519&lt;&gt;"",H519&lt;&gt;"",ISNUMBER(K519),ISNUMBER(L519)),IF(AND(K519&gt;0,L519&gt;0,K519-L519&gt;0,COUNTIFS(A520:A$2005,A519,F520:F$2005,F519,H520:H$2005,H519,AA520:AA$2005,"&gt;0")=0),ROUND(K519-L519,6),""),"")</f>
        <v/>
      </c>
      <c r="X519" s="60" t="str">
        <f>IF(AND(A519="",C519="",D519="",H519="",L519=""),"",IF(A519="","Type manquant",IF(AND(A519&lt;&gt;"BL",A519&lt;&gt;"BR",A519&lt;&gt;"BS"),"Type inconnu (BL, BR ou BS)",IF(AG519=0,"Date manquante ou invalide",IF(D519="",IF(A519="BL","Client manquant",IF(A519="BR","Fournisseur manquant","Service manquant")),IF(IF(A519="BL",ISNA(MATCH(D519,cl_code,0)),IF(A519="BR",ISNA(MATCH(D519,fo_code,0)),ISNA(MATCH(D519,p_services,0)))),IF(A519="BL","Client inconnu",IF(A519="BR","Fournisseur inconnu","Service inconnu")),IF(H519="","Article manquant",IF(ISNA(MATCH(H519,art_ref,0)),"Article inconnu",IF(OR(NOT(ISNUMBER(L519)),N(L519)&lt;=0),"Quantité invalide",IF(AND(K519&lt;&gt;"",OR(NOT(ISNUMBER(K519)),N(K519)&lt;=0)),"Qté commandée invalide",IF(AG519&lt;SUMPRODUCT(MAX((A$6:A518=A519)*AG$6:AG518)),"Date antérieure au bon précédent",IF(AND(A519&lt;&gt;"BR",ISNUMBER(M519),N(M519)&gt;0),IF(A519="BL","Livré plus que commandé","Sorti plus que demandé"),"OK"))))))))))))</f>
        <v/>
      </c>
      <c r="Y519" s="57" t="str">
        <f>IF(AND(OR(A519="BL",A519="BR",A519="BS"),AG519&gt;0,D519&lt;&gt;""),A519&amp;"|"&amp;AG519&amp;"|"&amp;D519&amp;"|"&amp;F519,"")</f>
        <v/>
      </c>
      <c r="Z519" s="57" t="str">
        <f>IF(Y519="","",IF(COUNTIF(Y$6:Y518,Y519)=0,1,0))</f>
        <v/>
      </c>
      <c r="AA519" s="57" t="str">
        <f>IF(Y519="","",IF(Z519=1,COUNTIFS(A$6:A519,A519,Z$6:Z519,1),INDEX(AA$6:AA518,MATCH(Y519,Y$6:Y518,0))))</f>
        <v/>
      </c>
      <c r="AB519" s="57" t="str">
        <f>IF(B519="","",COUNTIF(B$6:B519,B519))</f>
        <v/>
      </c>
      <c r="AC519" s="57" t="str">
        <f>IF(B519="","",B519&amp;"#"&amp;AB519)</f>
        <v/>
      </c>
      <c r="AD519" s="57" t="str">
        <f>IF(Z519=1,A519&amp;AA519,"")</f>
        <v/>
      </c>
      <c r="AE519" s="57" t="str">
        <f>IF(B519="","",YEAR(C519))</f>
        <v/>
      </c>
      <c r="AF519" s="57" t="str">
        <f>IF(B519="","",MONTH(C519))</f>
        <v/>
      </c>
      <c r="AG519" s="57">
        <f>IF(ISNUMBER(C519),C519,0)</f>
        <v>0.0</v>
      </c>
      <c r="AH519" s="57" t="str">
        <f>IF(N(W519)&gt;0,COUNTIF(W$6:W519,"&gt;0"),"")</f>
        <v/>
      </c>
      <c r="AI519" s="57" t="str">
        <f>IF(Z519=1,COUNTIF(Z$6:Z519,1),"")</f>
        <v/>
      </c>
    </row>
    <row r="520">
      <c r="A520" s="54" t="n"/>
      <c r="B520" s="55" t="str">
        <f>IF(AA520="","",A520&amp;"-"&amp;RIGHT("000"&amp;AA520,4))</f>
        <v/>
      </c>
      <c r="C520" s="56" t="n"/>
      <c r="D520" s="54" t="n"/>
      <c r="E520" s="57" t="str">
        <f>IF(D520="","",IF(A520="BL",IFERROR(INDEX(cl_name,MATCH(D520,cl_code,0))&amp;"","Client inconnu"),IF(A520="BR",IFERROR(INDEX(fo_name,MATCH(D520,fo_code,0))&amp;"","Fournisseur inconnu"),IF(A520="BS",IF(ISNA(MATCH(D520,p_services,0)),"Service inconnu",D520&amp;""),""))))</f>
        <v/>
      </c>
      <c r="F520" s="58" t="n"/>
      <c r="G520" s="58" t="n"/>
      <c r="H520" s="59" t="n"/>
      <c r="I520" s="57" t="str">
        <f>IF(H520="","",IFERROR(INDEX(art_des,MATCH(H520,art_ref,0))&amp;"","Article inconnu"))</f>
        <v/>
      </c>
      <c r="J520" s="60" t="str">
        <f>IF(H520="","",IFERROR(INDEX(art_unit,MATCH(H520,art_ref,0))&amp;"",""))</f>
        <v/>
      </c>
      <c r="K520" s="59" t="n"/>
      <c r="L520" s="59" t="n"/>
      <c r="M520" s="61" t="str">
        <f>IF(OR(B520="",NOT(ISNUMBER(K520)),NOT(ISNUMBER(L520))),"",IF(OR(K520&lt;=0,L520&lt;=0),"",ROUND(L520-K520,6)))</f>
        <v/>
      </c>
      <c r="N520" s="58" t="n"/>
      <c r="O520" s="62" t="n"/>
      <c r="P520" s="63" t="str">
        <f>IF(OR(B520="",NOT(ISNUMBER(L520))),"",IF(L520&lt;=0,"",IFERROR(ROUND(L520*N(INDEX(art_w,MATCH(H520,art_ref,0))),3),"")))</f>
        <v/>
      </c>
      <c r="Q520" s="59" t="n"/>
      <c r="R520" s="54" t="n"/>
      <c r="S520" s="59" t="n"/>
      <c r="T520" s="59" t="n"/>
      <c r="U520" s="64" t="str">
        <f>IF(OR(B520="",H520=""),"",IFERROR(IF(A520="BL",IF(N(INDEX(art_price,MATCH(H520,art_ref,0)))=0,"",N(INDEX(art_price,MATCH(H520,art_ref,0)))),IF(N(INDEX(art_cost,MATCH(H520,art_ref,0)))=0,"",N(INDEX(art_cost,MATCH(H520,art_ref,0))))),""))</f>
        <v/>
      </c>
      <c r="V520" s="64" t="str">
        <f>IF(OR(U520="",NOT(ISNUMBER(L520))),"",IF(L520&lt;=0,"",ROUND(L520*U520,2)))</f>
        <v/>
      </c>
      <c r="W520" s="60" t="str">
        <f>IF(AND(B520&lt;&gt;"",A520&lt;&gt;"BS",F520&lt;&gt;"",H520&lt;&gt;"",ISNUMBER(K520),ISNUMBER(L520)),IF(AND(K520&gt;0,L520&gt;0,K520-L520&gt;0,COUNTIFS(A521:A$2005,A520,F521:F$2005,F520,H521:H$2005,H520,AA521:AA$2005,"&gt;0")=0),ROUND(K520-L520,6),""),"")</f>
        <v/>
      </c>
      <c r="X520" s="60" t="str">
        <f>IF(AND(A520="",C520="",D520="",H520="",L520=""),"",IF(A520="","Type manquant",IF(AND(A520&lt;&gt;"BL",A520&lt;&gt;"BR",A520&lt;&gt;"BS"),"Type inconnu (BL, BR ou BS)",IF(AG520=0,"Date manquante ou invalide",IF(D520="",IF(A520="BL","Client manquant",IF(A520="BR","Fournisseur manquant","Service manquant")),IF(IF(A520="BL",ISNA(MATCH(D520,cl_code,0)),IF(A520="BR",ISNA(MATCH(D520,fo_code,0)),ISNA(MATCH(D520,p_services,0)))),IF(A520="BL","Client inconnu",IF(A520="BR","Fournisseur inconnu","Service inconnu")),IF(H520="","Article manquant",IF(ISNA(MATCH(H520,art_ref,0)),"Article inconnu",IF(OR(NOT(ISNUMBER(L520)),N(L520)&lt;=0),"Quantité invalide",IF(AND(K520&lt;&gt;"",OR(NOT(ISNUMBER(K520)),N(K520)&lt;=0)),"Qté commandée invalide",IF(AG520&lt;SUMPRODUCT(MAX((A$6:A519=A520)*AG$6:AG519)),"Date antérieure au bon précédent",IF(AND(A520&lt;&gt;"BR",ISNUMBER(M520),N(M520)&gt;0),IF(A520="BL","Livré plus que commandé","Sorti plus que demandé"),"OK"))))))))))))</f>
        <v/>
      </c>
      <c r="Y520" s="57" t="str">
        <f>IF(AND(OR(A520="BL",A520="BR",A520="BS"),AG520&gt;0,D520&lt;&gt;""),A520&amp;"|"&amp;AG520&amp;"|"&amp;D520&amp;"|"&amp;F520,"")</f>
        <v/>
      </c>
      <c r="Z520" s="57" t="str">
        <f>IF(Y520="","",IF(COUNTIF(Y$6:Y519,Y520)=0,1,0))</f>
        <v/>
      </c>
      <c r="AA520" s="57" t="str">
        <f>IF(Y520="","",IF(Z520=1,COUNTIFS(A$6:A520,A520,Z$6:Z520,1),INDEX(AA$6:AA519,MATCH(Y520,Y$6:Y519,0))))</f>
        <v/>
      </c>
      <c r="AB520" s="57" t="str">
        <f>IF(B520="","",COUNTIF(B$6:B520,B520))</f>
        <v/>
      </c>
      <c r="AC520" s="57" t="str">
        <f>IF(B520="","",B520&amp;"#"&amp;AB520)</f>
        <v/>
      </c>
      <c r="AD520" s="57" t="str">
        <f>IF(Z520=1,A520&amp;AA520,"")</f>
        <v/>
      </c>
      <c r="AE520" s="57" t="str">
        <f>IF(B520="","",YEAR(C520))</f>
        <v/>
      </c>
      <c r="AF520" s="57" t="str">
        <f>IF(B520="","",MONTH(C520))</f>
        <v/>
      </c>
      <c r="AG520" s="57">
        <f>IF(ISNUMBER(C520),C520,0)</f>
        <v>0.0</v>
      </c>
      <c r="AH520" s="57" t="str">
        <f>IF(N(W520)&gt;0,COUNTIF(W$6:W520,"&gt;0"),"")</f>
        <v/>
      </c>
      <c r="AI520" s="57" t="str">
        <f>IF(Z520=1,COUNTIF(Z$6:Z520,1),"")</f>
        <v/>
      </c>
    </row>
    <row r="521">
      <c r="A521" s="54" t="n"/>
      <c r="B521" s="55" t="str">
        <f>IF(AA521="","",A521&amp;"-"&amp;RIGHT("000"&amp;AA521,4))</f>
        <v/>
      </c>
      <c r="C521" s="56" t="n"/>
      <c r="D521" s="54" t="n"/>
      <c r="E521" s="57" t="str">
        <f>IF(D521="","",IF(A521="BL",IFERROR(INDEX(cl_name,MATCH(D521,cl_code,0))&amp;"","Client inconnu"),IF(A521="BR",IFERROR(INDEX(fo_name,MATCH(D521,fo_code,0))&amp;"","Fournisseur inconnu"),IF(A521="BS",IF(ISNA(MATCH(D521,p_services,0)),"Service inconnu",D521&amp;""),""))))</f>
        <v/>
      </c>
      <c r="F521" s="58" t="n"/>
      <c r="G521" s="58" t="n"/>
      <c r="H521" s="59" t="n"/>
      <c r="I521" s="57" t="str">
        <f>IF(H521="","",IFERROR(INDEX(art_des,MATCH(H521,art_ref,0))&amp;"","Article inconnu"))</f>
        <v/>
      </c>
      <c r="J521" s="60" t="str">
        <f>IF(H521="","",IFERROR(INDEX(art_unit,MATCH(H521,art_ref,0))&amp;"",""))</f>
        <v/>
      </c>
      <c r="K521" s="59" t="n"/>
      <c r="L521" s="59" t="n"/>
      <c r="M521" s="61" t="str">
        <f>IF(OR(B521="",NOT(ISNUMBER(K521)),NOT(ISNUMBER(L521))),"",IF(OR(K521&lt;=0,L521&lt;=0),"",ROUND(L521-K521,6)))</f>
        <v/>
      </c>
      <c r="N521" s="58" t="n"/>
      <c r="O521" s="62" t="n"/>
      <c r="P521" s="63" t="str">
        <f>IF(OR(B521="",NOT(ISNUMBER(L521))),"",IF(L521&lt;=0,"",IFERROR(ROUND(L521*N(INDEX(art_w,MATCH(H521,art_ref,0))),3),"")))</f>
        <v/>
      </c>
      <c r="Q521" s="59" t="n"/>
      <c r="R521" s="54" t="n"/>
      <c r="S521" s="59" t="n"/>
      <c r="T521" s="59" t="n"/>
      <c r="U521" s="64" t="str">
        <f>IF(OR(B521="",H521=""),"",IFERROR(IF(A521="BL",IF(N(INDEX(art_price,MATCH(H521,art_ref,0)))=0,"",N(INDEX(art_price,MATCH(H521,art_ref,0)))),IF(N(INDEX(art_cost,MATCH(H521,art_ref,0)))=0,"",N(INDEX(art_cost,MATCH(H521,art_ref,0))))),""))</f>
        <v/>
      </c>
      <c r="V521" s="64" t="str">
        <f>IF(OR(U521="",NOT(ISNUMBER(L521))),"",IF(L521&lt;=0,"",ROUND(L521*U521,2)))</f>
        <v/>
      </c>
      <c r="W521" s="60" t="str">
        <f>IF(AND(B521&lt;&gt;"",A521&lt;&gt;"BS",F521&lt;&gt;"",H521&lt;&gt;"",ISNUMBER(K521),ISNUMBER(L521)),IF(AND(K521&gt;0,L521&gt;0,K521-L521&gt;0,COUNTIFS(A522:A$2005,A521,F522:F$2005,F521,H522:H$2005,H521,AA522:AA$2005,"&gt;0")=0),ROUND(K521-L521,6),""),"")</f>
        <v/>
      </c>
      <c r="X521" s="60" t="str">
        <f>IF(AND(A521="",C521="",D521="",H521="",L521=""),"",IF(A521="","Type manquant",IF(AND(A521&lt;&gt;"BL",A521&lt;&gt;"BR",A521&lt;&gt;"BS"),"Type inconnu (BL, BR ou BS)",IF(AG521=0,"Date manquante ou invalide",IF(D521="",IF(A521="BL","Client manquant",IF(A521="BR","Fournisseur manquant","Service manquant")),IF(IF(A521="BL",ISNA(MATCH(D521,cl_code,0)),IF(A521="BR",ISNA(MATCH(D521,fo_code,0)),ISNA(MATCH(D521,p_services,0)))),IF(A521="BL","Client inconnu",IF(A521="BR","Fournisseur inconnu","Service inconnu")),IF(H521="","Article manquant",IF(ISNA(MATCH(H521,art_ref,0)),"Article inconnu",IF(OR(NOT(ISNUMBER(L521)),N(L521)&lt;=0),"Quantité invalide",IF(AND(K521&lt;&gt;"",OR(NOT(ISNUMBER(K521)),N(K521)&lt;=0)),"Qté commandée invalide",IF(AG521&lt;SUMPRODUCT(MAX((A$6:A520=A521)*AG$6:AG520)),"Date antérieure au bon précédent",IF(AND(A521&lt;&gt;"BR",ISNUMBER(M521),N(M521)&gt;0),IF(A521="BL","Livré plus que commandé","Sorti plus que demandé"),"OK"))))))))))))</f>
        <v/>
      </c>
      <c r="Y521" s="57" t="str">
        <f>IF(AND(OR(A521="BL",A521="BR",A521="BS"),AG521&gt;0,D521&lt;&gt;""),A521&amp;"|"&amp;AG521&amp;"|"&amp;D521&amp;"|"&amp;F521,"")</f>
        <v/>
      </c>
      <c r="Z521" s="57" t="str">
        <f>IF(Y521="","",IF(COUNTIF(Y$6:Y520,Y521)=0,1,0))</f>
        <v/>
      </c>
      <c r="AA521" s="57" t="str">
        <f>IF(Y521="","",IF(Z521=1,COUNTIFS(A$6:A521,A521,Z$6:Z521,1),INDEX(AA$6:AA520,MATCH(Y521,Y$6:Y520,0))))</f>
        <v/>
      </c>
      <c r="AB521" s="57" t="str">
        <f>IF(B521="","",COUNTIF(B$6:B521,B521))</f>
        <v/>
      </c>
      <c r="AC521" s="57" t="str">
        <f>IF(B521="","",B521&amp;"#"&amp;AB521)</f>
        <v/>
      </c>
      <c r="AD521" s="57" t="str">
        <f>IF(Z521=1,A521&amp;AA521,"")</f>
        <v/>
      </c>
      <c r="AE521" s="57" t="str">
        <f>IF(B521="","",YEAR(C521))</f>
        <v/>
      </c>
      <c r="AF521" s="57" t="str">
        <f>IF(B521="","",MONTH(C521))</f>
        <v/>
      </c>
      <c r="AG521" s="57">
        <f>IF(ISNUMBER(C521),C521,0)</f>
        <v>0.0</v>
      </c>
      <c r="AH521" s="57" t="str">
        <f>IF(N(W521)&gt;0,COUNTIF(W$6:W521,"&gt;0"),"")</f>
        <v/>
      </c>
      <c r="AI521" s="57" t="str">
        <f>IF(Z521=1,COUNTIF(Z$6:Z521,1),"")</f>
        <v/>
      </c>
    </row>
    <row r="522">
      <c r="A522" s="54" t="n"/>
      <c r="B522" s="55" t="str">
        <f>IF(AA522="","",A522&amp;"-"&amp;RIGHT("000"&amp;AA522,4))</f>
        <v/>
      </c>
      <c r="C522" s="56" t="n"/>
      <c r="D522" s="54" t="n"/>
      <c r="E522" s="57" t="str">
        <f>IF(D522="","",IF(A522="BL",IFERROR(INDEX(cl_name,MATCH(D522,cl_code,0))&amp;"","Client inconnu"),IF(A522="BR",IFERROR(INDEX(fo_name,MATCH(D522,fo_code,0))&amp;"","Fournisseur inconnu"),IF(A522="BS",IF(ISNA(MATCH(D522,p_services,0)),"Service inconnu",D522&amp;""),""))))</f>
        <v/>
      </c>
      <c r="F522" s="58" t="n"/>
      <c r="G522" s="58" t="n"/>
      <c r="H522" s="59" t="n"/>
      <c r="I522" s="57" t="str">
        <f>IF(H522="","",IFERROR(INDEX(art_des,MATCH(H522,art_ref,0))&amp;"","Article inconnu"))</f>
        <v/>
      </c>
      <c r="J522" s="60" t="str">
        <f>IF(H522="","",IFERROR(INDEX(art_unit,MATCH(H522,art_ref,0))&amp;"",""))</f>
        <v/>
      </c>
      <c r="K522" s="59" t="n"/>
      <c r="L522" s="59" t="n"/>
      <c r="M522" s="61" t="str">
        <f>IF(OR(B522="",NOT(ISNUMBER(K522)),NOT(ISNUMBER(L522))),"",IF(OR(K522&lt;=0,L522&lt;=0),"",ROUND(L522-K522,6)))</f>
        <v/>
      </c>
      <c r="N522" s="58" t="n"/>
      <c r="O522" s="62" t="n"/>
      <c r="P522" s="63" t="str">
        <f>IF(OR(B522="",NOT(ISNUMBER(L522))),"",IF(L522&lt;=0,"",IFERROR(ROUND(L522*N(INDEX(art_w,MATCH(H522,art_ref,0))),3),"")))</f>
        <v/>
      </c>
      <c r="Q522" s="59" t="n"/>
      <c r="R522" s="54" t="n"/>
      <c r="S522" s="59" t="n"/>
      <c r="T522" s="59" t="n"/>
      <c r="U522" s="64" t="str">
        <f>IF(OR(B522="",H522=""),"",IFERROR(IF(A522="BL",IF(N(INDEX(art_price,MATCH(H522,art_ref,0)))=0,"",N(INDEX(art_price,MATCH(H522,art_ref,0)))),IF(N(INDEX(art_cost,MATCH(H522,art_ref,0)))=0,"",N(INDEX(art_cost,MATCH(H522,art_ref,0))))),""))</f>
        <v/>
      </c>
      <c r="V522" s="64" t="str">
        <f>IF(OR(U522="",NOT(ISNUMBER(L522))),"",IF(L522&lt;=0,"",ROUND(L522*U522,2)))</f>
        <v/>
      </c>
      <c r="W522" s="60" t="str">
        <f>IF(AND(B522&lt;&gt;"",A522&lt;&gt;"BS",F522&lt;&gt;"",H522&lt;&gt;"",ISNUMBER(K522),ISNUMBER(L522)),IF(AND(K522&gt;0,L522&gt;0,K522-L522&gt;0,COUNTIFS(A523:A$2005,A522,F523:F$2005,F522,H523:H$2005,H522,AA523:AA$2005,"&gt;0")=0),ROUND(K522-L522,6),""),"")</f>
        <v/>
      </c>
      <c r="X522" s="60" t="str">
        <f>IF(AND(A522="",C522="",D522="",H522="",L522=""),"",IF(A522="","Type manquant",IF(AND(A522&lt;&gt;"BL",A522&lt;&gt;"BR",A522&lt;&gt;"BS"),"Type inconnu (BL, BR ou BS)",IF(AG522=0,"Date manquante ou invalide",IF(D522="",IF(A522="BL","Client manquant",IF(A522="BR","Fournisseur manquant","Service manquant")),IF(IF(A522="BL",ISNA(MATCH(D522,cl_code,0)),IF(A522="BR",ISNA(MATCH(D522,fo_code,0)),ISNA(MATCH(D522,p_services,0)))),IF(A522="BL","Client inconnu",IF(A522="BR","Fournisseur inconnu","Service inconnu")),IF(H522="","Article manquant",IF(ISNA(MATCH(H522,art_ref,0)),"Article inconnu",IF(OR(NOT(ISNUMBER(L522)),N(L522)&lt;=0),"Quantité invalide",IF(AND(K522&lt;&gt;"",OR(NOT(ISNUMBER(K522)),N(K522)&lt;=0)),"Qté commandée invalide",IF(AG522&lt;SUMPRODUCT(MAX((A$6:A521=A522)*AG$6:AG521)),"Date antérieure au bon précédent",IF(AND(A522&lt;&gt;"BR",ISNUMBER(M522),N(M522)&gt;0),IF(A522="BL","Livré plus que commandé","Sorti plus que demandé"),"OK"))))))))))))</f>
        <v/>
      </c>
      <c r="Y522" s="57" t="str">
        <f>IF(AND(OR(A522="BL",A522="BR",A522="BS"),AG522&gt;0,D522&lt;&gt;""),A522&amp;"|"&amp;AG522&amp;"|"&amp;D522&amp;"|"&amp;F522,"")</f>
        <v/>
      </c>
      <c r="Z522" s="57" t="str">
        <f>IF(Y522="","",IF(COUNTIF(Y$6:Y521,Y522)=0,1,0))</f>
        <v/>
      </c>
      <c r="AA522" s="57" t="str">
        <f>IF(Y522="","",IF(Z522=1,COUNTIFS(A$6:A522,A522,Z$6:Z522,1),INDEX(AA$6:AA521,MATCH(Y522,Y$6:Y521,0))))</f>
        <v/>
      </c>
      <c r="AB522" s="57" t="str">
        <f>IF(B522="","",COUNTIF(B$6:B522,B522))</f>
        <v/>
      </c>
      <c r="AC522" s="57" t="str">
        <f>IF(B522="","",B522&amp;"#"&amp;AB522)</f>
        <v/>
      </c>
      <c r="AD522" s="57" t="str">
        <f>IF(Z522=1,A522&amp;AA522,"")</f>
        <v/>
      </c>
      <c r="AE522" s="57" t="str">
        <f>IF(B522="","",YEAR(C522))</f>
        <v/>
      </c>
      <c r="AF522" s="57" t="str">
        <f>IF(B522="","",MONTH(C522))</f>
        <v/>
      </c>
      <c r="AG522" s="57">
        <f>IF(ISNUMBER(C522),C522,0)</f>
        <v>0.0</v>
      </c>
      <c r="AH522" s="57" t="str">
        <f>IF(N(W522)&gt;0,COUNTIF(W$6:W522,"&gt;0"),"")</f>
        <v/>
      </c>
      <c r="AI522" s="57" t="str">
        <f>IF(Z522=1,COUNTIF(Z$6:Z522,1),"")</f>
        <v/>
      </c>
    </row>
    <row r="523">
      <c r="A523" s="54" t="n"/>
      <c r="B523" s="55" t="str">
        <f>IF(AA523="","",A523&amp;"-"&amp;RIGHT("000"&amp;AA523,4))</f>
        <v/>
      </c>
      <c r="C523" s="56" t="n"/>
      <c r="D523" s="54" t="n"/>
      <c r="E523" s="57" t="str">
        <f>IF(D523="","",IF(A523="BL",IFERROR(INDEX(cl_name,MATCH(D523,cl_code,0))&amp;"","Client inconnu"),IF(A523="BR",IFERROR(INDEX(fo_name,MATCH(D523,fo_code,0))&amp;"","Fournisseur inconnu"),IF(A523="BS",IF(ISNA(MATCH(D523,p_services,0)),"Service inconnu",D523&amp;""),""))))</f>
        <v/>
      </c>
      <c r="F523" s="58" t="n"/>
      <c r="G523" s="58" t="n"/>
      <c r="H523" s="59" t="n"/>
      <c r="I523" s="57" t="str">
        <f>IF(H523="","",IFERROR(INDEX(art_des,MATCH(H523,art_ref,0))&amp;"","Article inconnu"))</f>
        <v/>
      </c>
      <c r="J523" s="60" t="str">
        <f>IF(H523="","",IFERROR(INDEX(art_unit,MATCH(H523,art_ref,0))&amp;"",""))</f>
        <v/>
      </c>
      <c r="K523" s="59" t="n"/>
      <c r="L523" s="59" t="n"/>
      <c r="M523" s="61" t="str">
        <f>IF(OR(B523="",NOT(ISNUMBER(K523)),NOT(ISNUMBER(L523))),"",IF(OR(K523&lt;=0,L523&lt;=0),"",ROUND(L523-K523,6)))</f>
        <v/>
      </c>
      <c r="N523" s="58" t="n"/>
      <c r="O523" s="62" t="n"/>
      <c r="P523" s="63" t="str">
        <f>IF(OR(B523="",NOT(ISNUMBER(L523))),"",IF(L523&lt;=0,"",IFERROR(ROUND(L523*N(INDEX(art_w,MATCH(H523,art_ref,0))),3),"")))</f>
        <v/>
      </c>
      <c r="Q523" s="59" t="n"/>
      <c r="R523" s="54" t="n"/>
      <c r="S523" s="59" t="n"/>
      <c r="T523" s="59" t="n"/>
      <c r="U523" s="64" t="str">
        <f>IF(OR(B523="",H523=""),"",IFERROR(IF(A523="BL",IF(N(INDEX(art_price,MATCH(H523,art_ref,0)))=0,"",N(INDEX(art_price,MATCH(H523,art_ref,0)))),IF(N(INDEX(art_cost,MATCH(H523,art_ref,0)))=0,"",N(INDEX(art_cost,MATCH(H523,art_ref,0))))),""))</f>
        <v/>
      </c>
      <c r="V523" s="64" t="str">
        <f>IF(OR(U523="",NOT(ISNUMBER(L523))),"",IF(L523&lt;=0,"",ROUND(L523*U523,2)))</f>
        <v/>
      </c>
      <c r="W523" s="60" t="str">
        <f>IF(AND(B523&lt;&gt;"",A523&lt;&gt;"BS",F523&lt;&gt;"",H523&lt;&gt;"",ISNUMBER(K523),ISNUMBER(L523)),IF(AND(K523&gt;0,L523&gt;0,K523-L523&gt;0,COUNTIFS(A524:A$2005,A523,F524:F$2005,F523,H524:H$2005,H523,AA524:AA$2005,"&gt;0")=0),ROUND(K523-L523,6),""),"")</f>
        <v/>
      </c>
      <c r="X523" s="60" t="str">
        <f>IF(AND(A523="",C523="",D523="",H523="",L523=""),"",IF(A523="","Type manquant",IF(AND(A523&lt;&gt;"BL",A523&lt;&gt;"BR",A523&lt;&gt;"BS"),"Type inconnu (BL, BR ou BS)",IF(AG523=0,"Date manquante ou invalide",IF(D523="",IF(A523="BL","Client manquant",IF(A523="BR","Fournisseur manquant","Service manquant")),IF(IF(A523="BL",ISNA(MATCH(D523,cl_code,0)),IF(A523="BR",ISNA(MATCH(D523,fo_code,0)),ISNA(MATCH(D523,p_services,0)))),IF(A523="BL","Client inconnu",IF(A523="BR","Fournisseur inconnu","Service inconnu")),IF(H523="","Article manquant",IF(ISNA(MATCH(H523,art_ref,0)),"Article inconnu",IF(OR(NOT(ISNUMBER(L523)),N(L523)&lt;=0),"Quantité invalide",IF(AND(K523&lt;&gt;"",OR(NOT(ISNUMBER(K523)),N(K523)&lt;=0)),"Qté commandée invalide",IF(AG523&lt;SUMPRODUCT(MAX((A$6:A522=A523)*AG$6:AG522)),"Date antérieure au bon précédent",IF(AND(A523&lt;&gt;"BR",ISNUMBER(M523),N(M523)&gt;0),IF(A523="BL","Livré plus que commandé","Sorti plus que demandé"),"OK"))))))))))))</f>
        <v/>
      </c>
      <c r="Y523" s="57" t="str">
        <f>IF(AND(OR(A523="BL",A523="BR",A523="BS"),AG523&gt;0,D523&lt;&gt;""),A523&amp;"|"&amp;AG523&amp;"|"&amp;D523&amp;"|"&amp;F523,"")</f>
        <v/>
      </c>
      <c r="Z523" s="57" t="str">
        <f>IF(Y523="","",IF(COUNTIF(Y$6:Y522,Y523)=0,1,0))</f>
        <v/>
      </c>
      <c r="AA523" s="57" t="str">
        <f>IF(Y523="","",IF(Z523=1,COUNTIFS(A$6:A523,A523,Z$6:Z523,1),INDEX(AA$6:AA522,MATCH(Y523,Y$6:Y522,0))))</f>
        <v/>
      </c>
      <c r="AB523" s="57" t="str">
        <f>IF(B523="","",COUNTIF(B$6:B523,B523))</f>
        <v/>
      </c>
      <c r="AC523" s="57" t="str">
        <f>IF(B523="","",B523&amp;"#"&amp;AB523)</f>
        <v/>
      </c>
      <c r="AD523" s="57" t="str">
        <f>IF(Z523=1,A523&amp;AA523,"")</f>
        <v/>
      </c>
      <c r="AE523" s="57" t="str">
        <f>IF(B523="","",YEAR(C523))</f>
        <v/>
      </c>
      <c r="AF523" s="57" t="str">
        <f>IF(B523="","",MONTH(C523))</f>
        <v/>
      </c>
      <c r="AG523" s="57">
        <f>IF(ISNUMBER(C523),C523,0)</f>
        <v>0.0</v>
      </c>
      <c r="AH523" s="57" t="str">
        <f>IF(N(W523)&gt;0,COUNTIF(W$6:W523,"&gt;0"),"")</f>
        <v/>
      </c>
      <c r="AI523" s="57" t="str">
        <f>IF(Z523=1,COUNTIF(Z$6:Z523,1),"")</f>
        <v/>
      </c>
    </row>
    <row r="524">
      <c r="A524" s="54" t="n"/>
      <c r="B524" s="55" t="str">
        <f>IF(AA524="","",A524&amp;"-"&amp;RIGHT("000"&amp;AA524,4))</f>
        <v/>
      </c>
      <c r="C524" s="56" t="n"/>
      <c r="D524" s="54" t="n"/>
      <c r="E524" s="57" t="str">
        <f>IF(D524="","",IF(A524="BL",IFERROR(INDEX(cl_name,MATCH(D524,cl_code,0))&amp;"","Client inconnu"),IF(A524="BR",IFERROR(INDEX(fo_name,MATCH(D524,fo_code,0))&amp;"","Fournisseur inconnu"),IF(A524="BS",IF(ISNA(MATCH(D524,p_services,0)),"Service inconnu",D524&amp;""),""))))</f>
        <v/>
      </c>
      <c r="F524" s="58" t="n"/>
      <c r="G524" s="58" t="n"/>
      <c r="H524" s="59" t="n"/>
      <c r="I524" s="57" t="str">
        <f>IF(H524="","",IFERROR(INDEX(art_des,MATCH(H524,art_ref,0))&amp;"","Article inconnu"))</f>
        <v/>
      </c>
      <c r="J524" s="60" t="str">
        <f>IF(H524="","",IFERROR(INDEX(art_unit,MATCH(H524,art_ref,0))&amp;"",""))</f>
        <v/>
      </c>
      <c r="K524" s="59" t="n"/>
      <c r="L524" s="59" t="n"/>
      <c r="M524" s="61" t="str">
        <f>IF(OR(B524="",NOT(ISNUMBER(K524)),NOT(ISNUMBER(L524))),"",IF(OR(K524&lt;=0,L524&lt;=0),"",ROUND(L524-K524,6)))</f>
        <v/>
      </c>
      <c r="N524" s="58" t="n"/>
      <c r="O524" s="62" t="n"/>
      <c r="P524" s="63" t="str">
        <f>IF(OR(B524="",NOT(ISNUMBER(L524))),"",IF(L524&lt;=0,"",IFERROR(ROUND(L524*N(INDEX(art_w,MATCH(H524,art_ref,0))),3),"")))</f>
        <v/>
      </c>
      <c r="Q524" s="59" t="n"/>
      <c r="R524" s="54" t="n"/>
      <c r="S524" s="59" t="n"/>
      <c r="T524" s="59" t="n"/>
      <c r="U524" s="64" t="str">
        <f>IF(OR(B524="",H524=""),"",IFERROR(IF(A524="BL",IF(N(INDEX(art_price,MATCH(H524,art_ref,0)))=0,"",N(INDEX(art_price,MATCH(H524,art_ref,0)))),IF(N(INDEX(art_cost,MATCH(H524,art_ref,0)))=0,"",N(INDEX(art_cost,MATCH(H524,art_ref,0))))),""))</f>
        <v/>
      </c>
      <c r="V524" s="64" t="str">
        <f>IF(OR(U524="",NOT(ISNUMBER(L524))),"",IF(L524&lt;=0,"",ROUND(L524*U524,2)))</f>
        <v/>
      </c>
      <c r="W524" s="60" t="str">
        <f>IF(AND(B524&lt;&gt;"",A524&lt;&gt;"BS",F524&lt;&gt;"",H524&lt;&gt;"",ISNUMBER(K524),ISNUMBER(L524)),IF(AND(K524&gt;0,L524&gt;0,K524-L524&gt;0,COUNTIFS(A525:A$2005,A524,F525:F$2005,F524,H525:H$2005,H524,AA525:AA$2005,"&gt;0")=0),ROUND(K524-L524,6),""),"")</f>
        <v/>
      </c>
      <c r="X524" s="60" t="str">
        <f>IF(AND(A524="",C524="",D524="",H524="",L524=""),"",IF(A524="","Type manquant",IF(AND(A524&lt;&gt;"BL",A524&lt;&gt;"BR",A524&lt;&gt;"BS"),"Type inconnu (BL, BR ou BS)",IF(AG524=0,"Date manquante ou invalide",IF(D524="",IF(A524="BL","Client manquant",IF(A524="BR","Fournisseur manquant","Service manquant")),IF(IF(A524="BL",ISNA(MATCH(D524,cl_code,0)),IF(A524="BR",ISNA(MATCH(D524,fo_code,0)),ISNA(MATCH(D524,p_services,0)))),IF(A524="BL","Client inconnu",IF(A524="BR","Fournisseur inconnu","Service inconnu")),IF(H524="","Article manquant",IF(ISNA(MATCH(H524,art_ref,0)),"Article inconnu",IF(OR(NOT(ISNUMBER(L524)),N(L524)&lt;=0),"Quantité invalide",IF(AND(K524&lt;&gt;"",OR(NOT(ISNUMBER(K524)),N(K524)&lt;=0)),"Qté commandée invalide",IF(AG524&lt;SUMPRODUCT(MAX((A$6:A523=A524)*AG$6:AG523)),"Date antérieure au bon précédent",IF(AND(A524&lt;&gt;"BR",ISNUMBER(M524),N(M524)&gt;0),IF(A524="BL","Livré plus que commandé","Sorti plus que demandé"),"OK"))))))))))))</f>
        <v/>
      </c>
      <c r="Y524" s="57" t="str">
        <f>IF(AND(OR(A524="BL",A524="BR",A524="BS"),AG524&gt;0,D524&lt;&gt;""),A524&amp;"|"&amp;AG524&amp;"|"&amp;D524&amp;"|"&amp;F524,"")</f>
        <v/>
      </c>
      <c r="Z524" s="57" t="str">
        <f>IF(Y524="","",IF(COUNTIF(Y$6:Y523,Y524)=0,1,0))</f>
        <v/>
      </c>
      <c r="AA524" s="57" t="str">
        <f>IF(Y524="","",IF(Z524=1,COUNTIFS(A$6:A524,A524,Z$6:Z524,1),INDEX(AA$6:AA523,MATCH(Y524,Y$6:Y523,0))))</f>
        <v/>
      </c>
      <c r="AB524" s="57" t="str">
        <f>IF(B524="","",COUNTIF(B$6:B524,B524))</f>
        <v/>
      </c>
      <c r="AC524" s="57" t="str">
        <f>IF(B524="","",B524&amp;"#"&amp;AB524)</f>
        <v/>
      </c>
      <c r="AD524" s="57" t="str">
        <f>IF(Z524=1,A524&amp;AA524,"")</f>
        <v/>
      </c>
      <c r="AE524" s="57" t="str">
        <f>IF(B524="","",YEAR(C524))</f>
        <v/>
      </c>
      <c r="AF524" s="57" t="str">
        <f>IF(B524="","",MONTH(C524))</f>
        <v/>
      </c>
      <c r="AG524" s="57">
        <f>IF(ISNUMBER(C524),C524,0)</f>
        <v>0.0</v>
      </c>
      <c r="AH524" s="57" t="str">
        <f>IF(N(W524)&gt;0,COUNTIF(W$6:W524,"&gt;0"),"")</f>
        <v/>
      </c>
      <c r="AI524" s="57" t="str">
        <f>IF(Z524=1,COUNTIF(Z$6:Z524,1),"")</f>
        <v/>
      </c>
    </row>
    <row r="525">
      <c r="A525" s="54" t="n"/>
      <c r="B525" s="55" t="str">
        <f>IF(AA525="","",A525&amp;"-"&amp;RIGHT("000"&amp;AA525,4))</f>
        <v/>
      </c>
      <c r="C525" s="56" t="n"/>
      <c r="D525" s="54" t="n"/>
      <c r="E525" s="57" t="str">
        <f>IF(D525="","",IF(A525="BL",IFERROR(INDEX(cl_name,MATCH(D525,cl_code,0))&amp;"","Client inconnu"),IF(A525="BR",IFERROR(INDEX(fo_name,MATCH(D525,fo_code,0))&amp;"","Fournisseur inconnu"),IF(A525="BS",IF(ISNA(MATCH(D525,p_services,0)),"Service inconnu",D525&amp;""),""))))</f>
        <v/>
      </c>
      <c r="F525" s="58" t="n"/>
      <c r="G525" s="58" t="n"/>
      <c r="H525" s="59" t="n"/>
      <c r="I525" s="57" t="str">
        <f>IF(H525="","",IFERROR(INDEX(art_des,MATCH(H525,art_ref,0))&amp;"","Article inconnu"))</f>
        <v/>
      </c>
      <c r="J525" s="60" t="str">
        <f>IF(H525="","",IFERROR(INDEX(art_unit,MATCH(H525,art_ref,0))&amp;"",""))</f>
        <v/>
      </c>
      <c r="K525" s="59" t="n"/>
      <c r="L525" s="59" t="n"/>
      <c r="M525" s="61" t="str">
        <f>IF(OR(B525="",NOT(ISNUMBER(K525)),NOT(ISNUMBER(L525))),"",IF(OR(K525&lt;=0,L525&lt;=0),"",ROUND(L525-K525,6)))</f>
        <v/>
      </c>
      <c r="N525" s="58" t="n"/>
      <c r="O525" s="62" t="n"/>
      <c r="P525" s="63" t="str">
        <f>IF(OR(B525="",NOT(ISNUMBER(L525))),"",IF(L525&lt;=0,"",IFERROR(ROUND(L525*N(INDEX(art_w,MATCH(H525,art_ref,0))),3),"")))</f>
        <v/>
      </c>
      <c r="Q525" s="59" t="n"/>
      <c r="R525" s="54" t="n"/>
      <c r="S525" s="59" t="n"/>
      <c r="T525" s="59" t="n"/>
      <c r="U525" s="64" t="str">
        <f>IF(OR(B525="",H525=""),"",IFERROR(IF(A525="BL",IF(N(INDEX(art_price,MATCH(H525,art_ref,0)))=0,"",N(INDEX(art_price,MATCH(H525,art_ref,0)))),IF(N(INDEX(art_cost,MATCH(H525,art_ref,0)))=0,"",N(INDEX(art_cost,MATCH(H525,art_ref,0))))),""))</f>
        <v/>
      </c>
      <c r="V525" s="64" t="str">
        <f>IF(OR(U525="",NOT(ISNUMBER(L525))),"",IF(L525&lt;=0,"",ROUND(L525*U525,2)))</f>
        <v/>
      </c>
      <c r="W525" s="60" t="str">
        <f>IF(AND(B525&lt;&gt;"",A525&lt;&gt;"BS",F525&lt;&gt;"",H525&lt;&gt;"",ISNUMBER(K525),ISNUMBER(L525)),IF(AND(K525&gt;0,L525&gt;0,K525-L525&gt;0,COUNTIFS(A526:A$2005,A525,F526:F$2005,F525,H526:H$2005,H525,AA526:AA$2005,"&gt;0")=0),ROUND(K525-L525,6),""),"")</f>
        <v/>
      </c>
      <c r="X525" s="60" t="str">
        <f>IF(AND(A525="",C525="",D525="",H525="",L525=""),"",IF(A525="","Type manquant",IF(AND(A525&lt;&gt;"BL",A525&lt;&gt;"BR",A525&lt;&gt;"BS"),"Type inconnu (BL, BR ou BS)",IF(AG525=0,"Date manquante ou invalide",IF(D525="",IF(A525="BL","Client manquant",IF(A525="BR","Fournisseur manquant","Service manquant")),IF(IF(A525="BL",ISNA(MATCH(D525,cl_code,0)),IF(A525="BR",ISNA(MATCH(D525,fo_code,0)),ISNA(MATCH(D525,p_services,0)))),IF(A525="BL","Client inconnu",IF(A525="BR","Fournisseur inconnu","Service inconnu")),IF(H525="","Article manquant",IF(ISNA(MATCH(H525,art_ref,0)),"Article inconnu",IF(OR(NOT(ISNUMBER(L525)),N(L525)&lt;=0),"Quantité invalide",IF(AND(K525&lt;&gt;"",OR(NOT(ISNUMBER(K525)),N(K525)&lt;=0)),"Qté commandée invalide",IF(AG525&lt;SUMPRODUCT(MAX((A$6:A524=A525)*AG$6:AG524)),"Date antérieure au bon précédent",IF(AND(A525&lt;&gt;"BR",ISNUMBER(M525),N(M525)&gt;0),IF(A525="BL","Livré plus que commandé","Sorti plus que demandé"),"OK"))))))))))))</f>
        <v/>
      </c>
      <c r="Y525" s="57" t="str">
        <f>IF(AND(OR(A525="BL",A525="BR",A525="BS"),AG525&gt;0,D525&lt;&gt;""),A525&amp;"|"&amp;AG525&amp;"|"&amp;D525&amp;"|"&amp;F525,"")</f>
        <v/>
      </c>
      <c r="Z525" s="57" t="str">
        <f>IF(Y525="","",IF(COUNTIF(Y$6:Y524,Y525)=0,1,0))</f>
        <v/>
      </c>
      <c r="AA525" s="57" t="str">
        <f>IF(Y525="","",IF(Z525=1,COUNTIFS(A$6:A525,A525,Z$6:Z525,1),INDEX(AA$6:AA524,MATCH(Y525,Y$6:Y524,0))))</f>
        <v/>
      </c>
      <c r="AB525" s="57" t="str">
        <f>IF(B525="","",COUNTIF(B$6:B525,B525))</f>
        <v/>
      </c>
      <c r="AC525" s="57" t="str">
        <f>IF(B525="","",B525&amp;"#"&amp;AB525)</f>
        <v/>
      </c>
      <c r="AD525" s="57" t="str">
        <f>IF(Z525=1,A525&amp;AA525,"")</f>
        <v/>
      </c>
      <c r="AE525" s="57" t="str">
        <f>IF(B525="","",YEAR(C525))</f>
        <v/>
      </c>
      <c r="AF525" s="57" t="str">
        <f>IF(B525="","",MONTH(C525))</f>
        <v/>
      </c>
      <c r="AG525" s="57">
        <f>IF(ISNUMBER(C525),C525,0)</f>
        <v>0.0</v>
      </c>
      <c r="AH525" s="57" t="str">
        <f>IF(N(W525)&gt;0,COUNTIF(W$6:W525,"&gt;0"),"")</f>
        <v/>
      </c>
      <c r="AI525" s="57" t="str">
        <f>IF(Z525=1,COUNTIF(Z$6:Z525,1),"")</f>
        <v/>
      </c>
    </row>
    <row r="526">
      <c r="A526" s="54" t="n"/>
      <c r="B526" s="55" t="str">
        <f>IF(AA526="","",A526&amp;"-"&amp;RIGHT("000"&amp;AA526,4))</f>
        <v/>
      </c>
      <c r="C526" s="56" t="n"/>
      <c r="D526" s="54" t="n"/>
      <c r="E526" s="57" t="str">
        <f>IF(D526="","",IF(A526="BL",IFERROR(INDEX(cl_name,MATCH(D526,cl_code,0))&amp;"","Client inconnu"),IF(A526="BR",IFERROR(INDEX(fo_name,MATCH(D526,fo_code,0))&amp;"","Fournisseur inconnu"),IF(A526="BS",IF(ISNA(MATCH(D526,p_services,0)),"Service inconnu",D526&amp;""),""))))</f>
        <v/>
      </c>
      <c r="F526" s="58" t="n"/>
      <c r="G526" s="58" t="n"/>
      <c r="H526" s="59" t="n"/>
      <c r="I526" s="57" t="str">
        <f>IF(H526="","",IFERROR(INDEX(art_des,MATCH(H526,art_ref,0))&amp;"","Article inconnu"))</f>
        <v/>
      </c>
      <c r="J526" s="60" t="str">
        <f>IF(H526="","",IFERROR(INDEX(art_unit,MATCH(H526,art_ref,0))&amp;"",""))</f>
        <v/>
      </c>
      <c r="K526" s="59" t="n"/>
      <c r="L526" s="59" t="n"/>
      <c r="M526" s="61" t="str">
        <f>IF(OR(B526="",NOT(ISNUMBER(K526)),NOT(ISNUMBER(L526))),"",IF(OR(K526&lt;=0,L526&lt;=0),"",ROUND(L526-K526,6)))</f>
        <v/>
      </c>
      <c r="N526" s="58" t="n"/>
      <c r="O526" s="62" t="n"/>
      <c r="P526" s="63" t="str">
        <f>IF(OR(B526="",NOT(ISNUMBER(L526))),"",IF(L526&lt;=0,"",IFERROR(ROUND(L526*N(INDEX(art_w,MATCH(H526,art_ref,0))),3),"")))</f>
        <v/>
      </c>
      <c r="Q526" s="59" t="n"/>
      <c r="R526" s="54" t="n"/>
      <c r="S526" s="59" t="n"/>
      <c r="T526" s="59" t="n"/>
      <c r="U526" s="64" t="str">
        <f>IF(OR(B526="",H526=""),"",IFERROR(IF(A526="BL",IF(N(INDEX(art_price,MATCH(H526,art_ref,0)))=0,"",N(INDEX(art_price,MATCH(H526,art_ref,0)))),IF(N(INDEX(art_cost,MATCH(H526,art_ref,0)))=0,"",N(INDEX(art_cost,MATCH(H526,art_ref,0))))),""))</f>
        <v/>
      </c>
      <c r="V526" s="64" t="str">
        <f>IF(OR(U526="",NOT(ISNUMBER(L526))),"",IF(L526&lt;=0,"",ROUND(L526*U526,2)))</f>
        <v/>
      </c>
      <c r="W526" s="60" t="str">
        <f>IF(AND(B526&lt;&gt;"",A526&lt;&gt;"BS",F526&lt;&gt;"",H526&lt;&gt;"",ISNUMBER(K526),ISNUMBER(L526)),IF(AND(K526&gt;0,L526&gt;0,K526-L526&gt;0,COUNTIFS(A527:A$2005,A526,F527:F$2005,F526,H527:H$2005,H526,AA527:AA$2005,"&gt;0")=0),ROUND(K526-L526,6),""),"")</f>
        <v/>
      </c>
      <c r="X526" s="60" t="str">
        <f>IF(AND(A526="",C526="",D526="",H526="",L526=""),"",IF(A526="","Type manquant",IF(AND(A526&lt;&gt;"BL",A526&lt;&gt;"BR",A526&lt;&gt;"BS"),"Type inconnu (BL, BR ou BS)",IF(AG526=0,"Date manquante ou invalide",IF(D526="",IF(A526="BL","Client manquant",IF(A526="BR","Fournisseur manquant","Service manquant")),IF(IF(A526="BL",ISNA(MATCH(D526,cl_code,0)),IF(A526="BR",ISNA(MATCH(D526,fo_code,0)),ISNA(MATCH(D526,p_services,0)))),IF(A526="BL","Client inconnu",IF(A526="BR","Fournisseur inconnu","Service inconnu")),IF(H526="","Article manquant",IF(ISNA(MATCH(H526,art_ref,0)),"Article inconnu",IF(OR(NOT(ISNUMBER(L526)),N(L526)&lt;=0),"Quantité invalide",IF(AND(K526&lt;&gt;"",OR(NOT(ISNUMBER(K526)),N(K526)&lt;=0)),"Qté commandée invalide",IF(AG526&lt;SUMPRODUCT(MAX((A$6:A525=A526)*AG$6:AG525)),"Date antérieure au bon précédent",IF(AND(A526&lt;&gt;"BR",ISNUMBER(M526),N(M526)&gt;0),IF(A526="BL","Livré plus que commandé","Sorti plus que demandé"),"OK"))))))))))))</f>
        <v/>
      </c>
      <c r="Y526" s="57" t="str">
        <f>IF(AND(OR(A526="BL",A526="BR",A526="BS"),AG526&gt;0,D526&lt;&gt;""),A526&amp;"|"&amp;AG526&amp;"|"&amp;D526&amp;"|"&amp;F526,"")</f>
        <v/>
      </c>
      <c r="Z526" s="57" t="str">
        <f>IF(Y526="","",IF(COUNTIF(Y$6:Y525,Y526)=0,1,0))</f>
        <v/>
      </c>
      <c r="AA526" s="57" t="str">
        <f>IF(Y526="","",IF(Z526=1,COUNTIFS(A$6:A526,A526,Z$6:Z526,1),INDEX(AA$6:AA525,MATCH(Y526,Y$6:Y525,0))))</f>
        <v/>
      </c>
      <c r="AB526" s="57" t="str">
        <f>IF(B526="","",COUNTIF(B$6:B526,B526))</f>
        <v/>
      </c>
      <c r="AC526" s="57" t="str">
        <f>IF(B526="","",B526&amp;"#"&amp;AB526)</f>
        <v/>
      </c>
      <c r="AD526" s="57" t="str">
        <f>IF(Z526=1,A526&amp;AA526,"")</f>
        <v/>
      </c>
      <c r="AE526" s="57" t="str">
        <f>IF(B526="","",YEAR(C526))</f>
        <v/>
      </c>
      <c r="AF526" s="57" t="str">
        <f>IF(B526="","",MONTH(C526))</f>
        <v/>
      </c>
      <c r="AG526" s="57">
        <f>IF(ISNUMBER(C526),C526,0)</f>
        <v>0.0</v>
      </c>
      <c r="AH526" s="57" t="str">
        <f>IF(N(W526)&gt;0,COUNTIF(W$6:W526,"&gt;0"),"")</f>
        <v/>
      </c>
      <c r="AI526" s="57" t="str">
        <f>IF(Z526=1,COUNTIF(Z$6:Z526,1),"")</f>
        <v/>
      </c>
    </row>
    <row r="527">
      <c r="A527" s="54" t="n"/>
      <c r="B527" s="55" t="str">
        <f>IF(AA527="","",A527&amp;"-"&amp;RIGHT("000"&amp;AA527,4))</f>
        <v/>
      </c>
      <c r="C527" s="56" t="n"/>
      <c r="D527" s="54" t="n"/>
      <c r="E527" s="57" t="str">
        <f>IF(D527="","",IF(A527="BL",IFERROR(INDEX(cl_name,MATCH(D527,cl_code,0))&amp;"","Client inconnu"),IF(A527="BR",IFERROR(INDEX(fo_name,MATCH(D527,fo_code,0))&amp;"","Fournisseur inconnu"),IF(A527="BS",IF(ISNA(MATCH(D527,p_services,0)),"Service inconnu",D527&amp;""),""))))</f>
        <v/>
      </c>
      <c r="F527" s="58" t="n"/>
      <c r="G527" s="58" t="n"/>
      <c r="H527" s="59" t="n"/>
      <c r="I527" s="57" t="str">
        <f>IF(H527="","",IFERROR(INDEX(art_des,MATCH(H527,art_ref,0))&amp;"","Article inconnu"))</f>
        <v/>
      </c>
      <c r="J527" s="60" t="str">
        <f>IF(H527="","",IFERROR(INDEX(art_unit,MATCH(H527,art_ref,0))&amp;"",""))</f>
        <v/>
      </c>
      <c r="K527" s="59" t="n"/>
      <c r="L527" s="59" t="n"/>
      <c r="M527" s="61" t="str">
        <f>IF(OR(B527="",NOT(ISNUMBER(K527)),NOT(ISNUMBER(L527))),"",IF(OR(K527&lt;=0,L527&lt;=0),"",ROUND(L527-K527,6)))</f>
        <v/>
      </c>
      <c r="N527" s="58" t="n"/>
      <c r="O527" s="62" t="n"/>
      <c r="P527" s="63" t="str">
        <f>IF(OR(B527="",NOT(ISNUMBER(L527))),"",IF(L527&lt;=0,"",IFERROR(ROUND(L527*N(INDEX(art_w,MATCH(H527,art_ref,0))),3),"")))</f>
        <v/>
      </c>
      <c r="Q527" s="59" t="n"/>
      <c r="R527" s="54" t="n"/>
      <c r="S527" s="59" t="n"/>
      <c r="T527" s="59" t="n"/>
      <c r="U527" s="64" t="str">
        <f>IF(OR(B527="",H527=""),"",IFERROR(IF(A527="BL",IF(N(INDEX(art_price,MATCH(H527,art_ref,0)))=0,"",N(INDEX(art_price,MATCH(H527,art_ref,0)))),IF(N(INDEX(art_cost,MATCH(H527,art_ref,0)))=0,"",N(INDEX(art_cost,MATCH(H527,art_ref,0))))),""))</f>
        <v/>
      </c>
      <c r="V527" s="64" t="str">
        <f>IF(OR(U527="",NOT(ISNUMBER(L527))),"",IF(L527&lt;=0,"",ROUND(L527*U527,2)))</f>
        <v/>
      </c>
      <c r="W527" s="60" t="str">
        <f>IF(AND(B527&lt;&gt;"",A527&lt;&gt;"BS",F527&lt;&gt;"",H527&lt;&gt;"",ISNUMBER(K527),ISNUMBER(L527)),IF(AND(K527&gt;0,L527&gt;0,K527-L527&gt;0,COUNTIFS(A528:A$2005,A527,F528:F$2005,F527,H528:H$2005,H527,AA528:AA$2005,"&gt;0")=0),ROUND(K527-L527,6),""),"")</f>
        <v/>
      </c>
      <c r="X527" s="60" t="str">
        <f>IF(AND(A527="",C527="",D527="",H527="",L527=""),"",IF(A527="","Type manquant",IF(AND(A527&lt;&gt;"BL",A527&lt;&gt;"BR",A527&lt;&gt;"BS"),"Type inconnu (BL, BR ou BS)",IF(AG527=0,"Date manquante ou invalide",IF(D527="",IF(A527="BL","Client manquant",IF(A527="BR","Fournisseur manquant","Service manquant")),IF(IF(A527="BL",ISNA(MATCH(D527,cl_code,0)),IF(A527="BR",ISNA(MATCH(D527,fo_code,0)),ISNA(MATCH(D527,p_services,0)))),IF(A527="BL","Client inconnu",IF(A527="BR","Fournisseur inconnu","Service inconnu")),IF(H527="","Article manquant",IF(ISNA(MATCH(H527,art_ref,0)),"Article inconnu",IF(OR(NOT(ISNUMBER(L527)),N(L527)&lt;=0),"Quantité invalide",IF(AND(K527&lt;&gt;"",OR(NOT(ISNUMBER(K527)),N(K527)&lt;=0)),"Qté commandée invalide",IF(AG527&lt;SUMPRODUCT(MAX((A$6:A526=A527)*AG$6:AG526)),"Date antérieure au bon précédent",IF(AND(A527&lt;&gt;"BR",ISNUMBER(M527),N(M527)&gt;0),IF(A527="BL","Livré plus que commandé","Sorti plus que demandé"),"OK"))))))))))))</f>
        <v/>
      </c>
      <c r="Y527" s="57" t="str">
        <f>IF(AND(OR(A527="BL",A527="BR",A527="BS"),AG527&gt;0,D527&lt;&gt;""),A527&amp;"|"&amp;AG527&amp;"|"&amp;D527&amp;"|"&amp;F527,"")</f>
        <v/>
      </c>
      <c r="Z527" s="57" t="str">
        <f>IF(Y527="","",IF(COUNTIF(Y$6:Y526,Y527)=0,1,0))</f>
        <v/>
      </c>
      <c r="AA527" s="57" t="str">
        <f>IF(Y527="","",IF(Z527=1,COUNTIFS(A$6:A527,A527,Z$6:Z527,1),INDEX(AA$6:AA526,MATCH(Y527,Y$6:Y526,0))))</f>
        <v/>
      </c>
      <c r="AB527" s="57" t="str">
        <f>IF(B527="","",COUNTIF(B$6:B527,B527))</f>
        <v/>
      </c>
      <c r="AC527" s="57" t="str">
        <f>IF(B527="","",B527&amp;"#"&amp;AB527)</f>
        <v/>
      </c>
      <c r="AD527" s="57" t="str">
        <f>IF(Z527=1,A527&amp;AA527,"")</f>
        <v/>
      </c>
      <c r="AE527" s="57" t="str">
        <f>IF(B527="","",YEAR(C527))</f>
        <v/>
      </c>
      <c r="AF527" s="57" t="str">
        <f>IF(B527="","",MONTH(C527))</f>
        <v/>
      </c>
      <c r="AG527" s="57">
        <f>IF(ISNUMBER(C527),C527,0)</f>
        <v>0.0</v>
      </c>
      <c r="AH527" s="57" t="str">
        <f>IF(N(W527)&gt;0,COUNTIF(W$6:W527,"&gt;0"),"")</f>
        <v/>
      </c>
      <c r="AI527" s="57" t="str">
        <f>IF(Z527=1,COUNTIF(Z$6:Z527,1),"")</f>
        <v/>
      </c>
    </row>
    <row r="528">
      <c r="A528" s="54" t="n"/>
      <c r="B528" s="55" t="str">
        <f>IF(AA528="","",A528&amp;"-"&amp;RIGHT("000"&amp;AA528,4))</f>
        <v/>
      </c>
      <c r="C528" s="56" t="n"/>
      <c r="D528" s="54" t="n"/>
      <c r="E528" s="57" t="str">
        <f>IF(D528="","",IF(A528="BL",IFERROR(INDEX(cl_name,MATCH(D528,cl_code,0))&amp;"","Client inconnu"),IF(A528="BR",IFERROR(INDEX(fo_name,MATCH(D528,fo_code,0))&amp;"","Fournisseur inconnu"),IF(A528="BS",IF(ISNA(MATCH(D528,p_services,0)),"Service inconnu",D528&amp;""),""))))</f>
        <v/>
      </c>
      <c r="F528" s="58" t="n"/>
      <c r="G528" s="58" t="n"/>
      <c r="H528" s="59" t="n"/>
      <c r="I528" s="57" t="str">
        <f>IF(H528="","",IFERROR(INDEX(art_des,MATCH(H528,art_ref,0))&amp;"","Article inconnu"))</f>
        <v/>
      </c>
      <c r="J528" s="60" t="str">
        <f>IF(H528="","",IFERROR(INDEX(art_unit,MATCH(H528,art_ref,0))&amp;"",""))</f>
        <v/>
      </c>
      <c r="K528" s="59" t="n"/>
      <c r="L528" s="59" t="n"/>
      <c r="M528" s="61" t="str">
        <f>IF(OR(B528="",NOT(ISNUMBER(K528)),NOT(ISNUMBER(L528))),"",IF(OR(K528&lt;=0,L528&lt;=0),"",ROUND(L528-K528,6)))</f>
        <v/>
      </c>
      <c r="N528" s="58" t="n"/>
      <c r="O528" s="62" t="n"/>
      <c r="P528" s="63" t="str">
        <f>IF(OR(B528="",NOT(ISNUMBER(L528))),"",IF(L528&lt;=0,"",IFERROR(ROUND(L528*N(INDEX(art_w,MATCH(H528,art_ref,0))),3),"")))</f>
        <v/>
      </c>
      <c r="Q528" s="59" t="n"/>
      <c r="R528" s="54" t="n"/>
      <c r="S528" s="59" t="n"/>
      <c r="T528" s="59" t="n"/>
      <c r="U528" s="64" t="str">
        <f>IF(OR(B528="",H528=""),"",IFERROR(IF(A528="BL",IF(N(INDEX(art_price,MATCH(H528,art_ref,0)))=0,"",N(INDEX(art_price,MATCH(H528,art_ref,0)))),IF(N(INDEX(art_cost,MATCH(H528,art_ref,0)))=0,"",N(INDEX(art_cost,MATCH(H528,art_ref,0))))),""))</f>
        <v/>
      </c>
      <c r="V528" s="64" t="str">
        <f>IF(OR(U528="",NOT(ISNUMBER(L528))),"",IF(L528&lt;=0,"",ROUND(L528*U528,2)))</f>
        <v/>
      </c>
      <c r="W528" s="60" t="str">
        <f>IF(AND(B528&lt;&gt;"",A528&lt;&gt;"BS",F528&lt;&gt;"",H528&lt;&gt;"",ISNUMBER(K528),ISNUMBER(L528)),IF(AND(K528&gt;0,L528&gt;0,K528-L528&gt;0,COUNTIFS(A529:A$2005,A528,F529:F$2005,F528,H529:H$2005,H528,AA529:AA$2005,"&gt;0")=0),ROUND(K528-L528,6),""),"")</f>
        <v/>
      </c>
      <c r="X528" s="60" t="str">
        <f>IF(AND(A528="",C528="",D528="",H528="",L528=""),"",IF(A528="","Type manquant",IF(AND(A528&lt;&gt;"BL",A528&lt;&gt;"BR",A528&lt;&gt;"BS"),"Type inconnu (BL, BR ou BS)",IF(AG528=0,"Date manquante ou invalide",IF(D528="",IF(A528="BL","Client manquant",IF(A528="BR","Fournisseur manquant","Service manquant")),IF(IF(A528="BL",ISNA(MATCH(D528,cl_code,0)),IF(A528="BR",ISNA(MATCH(D528,fo_code,0)),ISNA(MATCH(D528,p_services,0)))),IF(A528="BL","Client inconnu",IF(A528="BR","Fournisseur inconnu","Service inconnu")),IF(H528="","Article manquant",IF(ISNA(MATCH(H528,art_ref,0)),"Article inconnu",IF(OR(NOT(ISNUMBER(L528)),N(L528)&lt;=0),"Quantité invalide",IF(AND(K528&lt;&gt;"",OR(NOT(ISNUMBER(K528)),N(K528)&lt;=0)),"Qté commandée invalide",IF(AG528&lt;SUMPRODUCT(MAX((A$6:A527=A528)*AG$6:AG527)),"Date antérieure au bon précédent",IF(AND(A528&lt;&gt;"BR",ISNUMBER(M528),N(M528)&gt;0),IF(A528="BL","Livré plus que commandé","Sorti plus que demandé"),"OK"))))))))))))</f>
        <v/>
      </c>
      <c r="Y528" s="57" t="str">
        <f>IF(AND(OR(A528="BL",A528="BR",A528="BS"),AG528&gt;0,D528&lt;&gt;""),A528&amp;"|"&amp;AG528&amp;"|"&amp;D528&amp;"|"&amp;F528,"")</f>
        <v/>
      </c>
      <c r="Z528" s="57" t="str">
        <f>IF(Y528="","",IF(COUNTIF(Y$6:Y527,Y528)=0,1,0))</f>
        <v/>
      </c>
      <c r="AA528" s="57" t="str">
        <f>IF(Y528="","",IF(Z528=1,COUNTIFS(A$6:A528,A528,Z$6:Z528,1),INDEX(AA$6:AA527,MATCH(Y528,Y$6:Y527,0))))</f>
        <v/>
      </c>
      <c r="AB528" s="57" t="str">
        <f>IF(B528="","",COUNTIF(B$6:B528,B528))</f>
        <v/>
      </c>
      <c r="AC528" s="57" t="str">
        <f>IF(B528="","",B528&amp;"#"&amp;AB528)</f>
        <v/>
      </c>
      <c r="AD528" s="57" t="str">
        <f>IF(Z528=1,A528&amp;AA528,"")</f>
        <v/>
      </c>
      <c r="AE528" s="57" t="str">
        <f>IF(B528="","",YEAR(C528))</f>
        <v/>
      </c>
      <c r="AF528" s="57" t="str">
        <f>IF(B528="","",MONTH(C528))</f>
        <v/>
      </c>
      <c r="AG528" s="57">
        <f>IF(ISNUMBER(C528),C528,0)</f>
        <v>0.0</v>
      </c>
      <c r="AH528" s="57" t="str">
        <f>IF(N(W528)&gt;0,COUNTIF(W$6:W528,"&gt;0"),"")</f>
        <v/>
      </c>
      <c r="AI528" s="57" t="str">
        <f>IF(Z528=1,COUNTIF(Z$6:Z528,1),"")</f>
        <v/>
      </c>
    </row>
    <row r="529">
      <c r="A529" s="54" t="n"/>
      <c r="B529" s="55" t="str">
        <f>IF(AA529="","",A529&amp;"-"&amp;RIGHT("000"&amp;AA529,4))</f>
        <v/>
      </c>
      <c r="C529" s="56" t="n"/>
      <c r="D529" s="54" t="n"/>
      <c r="E529" s="57" t="str">
        <f>IF(D529="","",IF(A529="BL",IFERROR(INDEX(cl_name,MATCH(D529,cl_code,0))&amp;"","Client inconnu"),IF(A529="BR",IFERROR(INDEX(fo_name,MATCH(D529,fo_code,0))&amp;"","Fournisseur inconnu"),IF(A529="BS",IF(ISNA(MATCH(D529,p_services,0)),"Service inconnu",D529&amp;""),""))))</f>
        <v/>
      </c>
      <c r="F529" s="58" t="n"/>
      <c r="G529" s="58" t="n"/>
      <c r="H529" s="59" t="n"/>
      <c r="I529" s="57" t="str">
        <f>IF(H529="","",IFERROR(INDEX(art_des,MATCH(H529,art_ref,0))&amp;"","Article inconnu"))</f>
        <v/>
      </c>
      <c r="J529" s="60" t="str">
        <f>IF(H529="","",IFERROR(INDEX(art_unit,MATCH(H529,art_ref,0))&amp;"",""))</f>
        <v/>
      </c>
      <c r="K529" s="59" t="n"/>
      <c r="L529" s="59" t="n"/>
      <c r="M529" s="61" t="str">
        <f>IF(OR(B529="",NOT(ISNUMBER(K529)),NOT(ISNUMBER(L529))),"",IF(OR(K529&lt;=0,L529&lt;=0),"",ROUND(L529-K529,6)))</f>
        <v/>
      </c>
      <c r="N529" s="58" t="n"/>
      <c r="O529" s="62" t="n"/>
      <c r="P529" s="63" t="str">
        <f>IF(OR(B529="",NOT(ISNUMBER(L529))),"",IF(L529&lt;=0,"",IFERROR(ROUND(L529*N(INDEX(art_w,MATCH(H529,art_ref,0))),3),"")))</f>
        <v/>
      </c>
      <c r="Q529" s="59" t="n"/>
      <c r="R529" s="54" t="n"/>
      <c r="S529" s="59" t="n"/>
      <c r="T529" s="59" t="n"/>
      <c r="U529" s="64" t="str">
        <f>IF(OR(B529="",H529=""),"",IFERROR(IF(A529="BL",IF(N(INDEX(art_price,MATCH(H529,art_ref,0)))=0,"",N(INDEX(art_price,MATCH(H529,art_ref,0)))),IF(N(INDEX(art_cost,MATCH(H529,art_ref,0)))=0,"",N(INDEX(art_cost,MATCH(H529,art_ref,0))))),""))</f>
        <v/>
      </c>
      <c r="V529" s="64" t="str">
        <f>IF(OR(U529="",NOT(ISNUMBER(L529))),"",IF(L529&lt;=0,"",ROUND(L529*U529,2)))</f>
        <v/>
      </c>
      <c r="W529" s="60" t="str">
        <f>IF(AND(B529&lt;&gt;"",A529&lt;&gt;"BS",F529&lt;&gt;"",H529&lt;&gt;"",ISNUMBER(K529),ISNUMBER(L529)),IF(AND(K529&gt;0,L529&gt;0,K529-L529&gt;0,COUNTIFS(A530:A$2005,A529,F530:F$2005,F529,H530:H$2005,H529,AA530:AA$2005,"&gt;0")=0),ROUND(K529-L529,6),""),"")</f>
        <v/>
      </c>
      <c r="X529" s="60" t="str">
        <f>IF(AND(A529="",C529="",D529="",H529="",L529=""),"",IF(A529="","Type manquant",IF(AND(A529&lt;&gt;"BL",A529&lt;&gt;"BR",A529&lt;&gt;"BS"),"Type inconnu (BL, BR ou BS)",IF(AG529=0,"Date manquante ou invalide",IF(D529="",IF(A529="BL","Client manquant",IF(A529="BR","Fournisseur manquant","Service manquant")),IF(IF(A529="BL",ISNA(MATCH(D529,cl_code,0)),IF(A529="BR",ISNA(MATCH(D529,fo_code,0)),ISNA(MATCH(D529,p_services,0)))),IF(A529="BL","Client inconnu",IF(A529="BR","Fournisseur inconnu","Service inconnu")),IF(H529="","Article manquant",IF(ISNA(MATCH(H529,art_ref,0)),"Article inconnu",IF(OR(NOT(ISNUMBER(L529)),N(L529)&lt;=0),"Quantité invalide",IF(AND(K529&lt;&gt;"",OR(NOT(ISNUMBER(K529)),N(K529)&lt;=0)),"Qté commandée invalide",IF(AG529&lt;SUMPRODUCT(MAX((A$6:A528=A529)*AG$6:AG528)),"Date antérieure au bon précédent",IF(AND(A529&lt;&gt;"BR",ISNUMBER(M529),N(M529)&gt;0),IF(A529="BL","Livré plus que commandé","Sorti plus que demandé"),"OK"))))))))))))</f>
        <v/>
      </c>
      <c r="Y529" s="57" t="str">
        <f>IF(AND(OR(A529="BL",A529="BR",A529="BS"),AG529&gt;0,D529&lt;&gt;""),A529&amp;"|"&amp;AG529&amp;"|"&amp;D529&amp;"|"&amp;F529,"")</f>
        <v/>
      </c>
      <c r="Z529" s="57" t="str">
        <f>IF(Y529="","",IF(COUNTIF(Y$6:Y528,Y529)=0,1,0))</f>
        <v/>
      </c>
      <c r="AA529" s="57" t="str">
        <f>IF(Y529="","",IF(Z529=1,COUNTIFS(A$6:A529,A529,Z$6:Z529,1),INDEX(AA$6:AA528,MATCH(Y529,Y$6:Y528,0))))</f>
        <v/>
      </c>
      <c r="AB529" s="57" t="str">
        <f>IF(B529="","",COUNTIF(B$6:B529,B529))</f>
        <v/>
      </c>
      <c r="AC529" s="57" t="str">
        <f>IF(B529="","",B529&amp;"#"&amp;AB529)</f>
        <v/>
      </c>
      <c r="AD529" s="57" t="str">
        <f>IF(Z529=1,A529&amp;AA529,"")</f>
        <v/>
      </c>
      <c r="AE529" s="57" t="str">
        <f>IF(B529="","",YEAR(C529))</f>
        <v/>
      </c>
      <c r="AF529" s="57" t="str">
        <f>IF(B529="","",MONTH(C529))</f>
        <v/>
      </c>
      <c r="AG529" s="57">
        <f>IF(ISNUMBER(C529),C529,0)</f>
        <v>0.0</v>
      </c>
      <c r="AH529" s="57" t="str">
        <f>IF(N(W529)&gt;0,COUNTIF(W$6:W529,"&gt;0"),"")</f>
        <v/>
      </c>
      <c r="AI529" s="57" t="str">
        <f>IF(Z529=1,COUNTIF(Z$6:Z529,1),"")</f>
        <v/>
      </c>
    </row>
    <row r="530">
      <c r="A530" s="54" t="n"/>
      <c r="B530" s="55" t="str">
        <f>IF(AA530="","",A530&amp;"-"&amp;RIGHT("000"&amp;AA530,4))</f>
        <v/>
      </c>
      <c r="C530" s="56" t="n"/>
      <c r="D530" s="54" t="n"/>
      <c r="E530" s="57" t="str">
        <f>IF(D530="","",IF(A530="BL",IFERROR(INDEX(cl_name,MATCH(D530,cl_code,0))&amp;"","Client inconnu"),IF(A530="BR",IFERROR(INDEX(fo_name,MATCH(D530,fo_code,0))&amp;"","Fournisseur inconnu"),IF(A530="BS",IF(ISNA(MATCH(D530,p_services,0)),"Service inconnu",D530&amp;""),""))))</f>
        <v/>
      </c>
      <c r="F530" s="58" t="n"/>
      <c r="G530" s="58" t="n"/>
      <c r="H530" s="59" t="n"/>
      <c r="I530" s="57" t="str">
        <f>IF(H530="","",IFERROR(INDEX(art_des,MATCH(H530,art_ref,0))&amp;"","Article inconnu"))</f>
        <v/>
      </c>
      <c r="J530" s="60" t="str">
        <f>IF(H530="","",IFERROR(INDEX(art_unit,MATCH(H530,art_ref,0))&amp;"",""))</f>
        <v/>
      </c>
      <c r="K530" s="59" t="n"/>
      <c r="L530" s="59" t="n"/>
      <c r="M530" s="61" t="str">
        <f>IF(OR(B530="",NOT(ISNUMBER(K530)),NOT(ISNUMBER(L530))),"",IF(OR(K530&lt;=0,L530&lt;=0),"",ROUND(L530-K530,6)))</f>
        <v/>
      </c>
      <c r="N530" s="58" t="n"/>
      <c r="O530" s="62" t="n"/>
      <c r="P530" s="63" t="str">
        <f>IF(OR(B530="",NOT(ISNUMBER(L530))),"",IF(L530&lt;=0,"",IFERROR(ROUND(L530*N(INDEX(art_w,MATCH(H530,art_ref,0))),3),"")))</f>
        <v/>
      </c>
      <c r="Q530" s="59" t="n"/>
      <c r="R530" s="54" t="n"/>
      <c r="S530" s="59" t="n"/>
      <c r="T530" s="59" t="n"/>
      <c r="U530" s="64" t="str">
        <f>IF(OR(B530="",H530=""),"",IFERROR(IF(A530="BL",IF(N(INDEX(art_price,MATCH(H530,art_ref,0)))=0,"",N(INDEX(art_price,MATCH(H530,art_ref,0)))),IF(N(INDEX(art_cost,MATCH(H530,art_ref,0)))=0,"",N(INDEX(art_cost,MATCH(H530,art_ref,0))))),""))</f>
        <v/>
      </c>
      <c r="V530" s="64" t="str">
        <f>IF(OR(U530="",NOT(ISNUMBER(L530))),"",IF(L530&lt;=0,"",ROUND(L530*U530,2)))</f>
        <v/>
      </c>
      <c r="W530" s="60" t="str">
        <f>IF(AND(B530&lt;&gt;"",A530&lt;&gt;"BS",F530&lt;&gt;"",H530&lt;&gt;"",ISNUMBER(K530),ISNUMBER(L530)),IF(AND(K530&gt;0,L530&gt;0,K530-L530&gt;0,COUNTIFS(A531:A$2005,A530,F531:F$2005,F530,H531:H$2005,H530,AA531:AA$2005,"&gt;0")=0),ROUND(K530-L530,6),""),"")</f>
        <v/>
      </c>
      <c r="X530" s="60" t="str">
        <f>IF(AND(A530="",C530="",D530="",H530="",L530=""),"",IF(A530="","Type manquant",IF(AND(A530&lt;&gt;"BL",A530&lt;&gt;"BR",A530&lt;&gt;"BS"),"Type inconnu (BL, BR ou BS)",IF(AG530=0,"Date manquante ou invalide",IF(D530="",IF(A530="BL","Client manquant",IF(A530="BR","Fournisseur manquant","Service manquant")),IF(IF(A530="BL",ISNA(MATCH(D530,cl_code,0)),IF(A530="BR",ISNA(MATCH(D530,fo_code,0)),ISNA(MATCH(D530,p_services,0)))),IF(A530="BL","Client inconnu",IF(A530="BR","Fournisseur inconnu","Service inconnu")),IF(H530="","Article manquant",IF(ISNA(MATCH(H530,art_ref,0)),"Article inconnu",IF(OR(NOT(ISNUMBER(L530)),N(L530)&lt;=0),"Quantité invalide",IF(AND(K530&lt;&gt;"",OR(NOT(ISNUMBER(K530)),N(K530)&lt;=0)),"Qté commandée invalide",IF(AG530&lt;SUMPRODUCT(MAX((A$6:A529=A530)*AG$6:AG529)),"Date antérieure au bon précédent",IF(AND(A530&lt;&gt;"BR",ISNUMBER(M530),N(M530)&gt;0),IF(A530="BL","Livré plus que commandé","Sorti plus que demandé"),"OK"))))))))))))</f>
        <v/>
      </c>
      <c r="Y530" s="57" t="str">
        <f>IF(AND(OR(A530="BL",A530="BR",A530="BS"),AG530&gt;0,D530&lt;&gt;""),A530&amp;"|"&amp;AG530&amp;"|"&amp;D530&amp;"|"&amp;F530,"")</f>
        <v/>
      </c>
      <c r="Z530" s="57" t="str">
        <f>IF(Y530="","",IF(COUNTIF(Y$6:Y529,Y530)=0,1,0))</f>
        <v/>
      </c>
      <c r="AA530" s="57" t="str">
        <f>IF(Y530="","",IF(Z530=1,COUNTIFS(A$6:A530,A530,Z$6:Z530,1),INDEX(AA$6:AA529,MATCH(Y530,Y$6:Y529,0))))</f>
        <v/>
      </c>
      <c r="AB530" s="57" t="str">
        <f>IF(B530="","",COUNTIF(B$6:B530,B530))</f>
        <v/>
      </c>
      <c r="AC530" s="57" t="str">
        <f>IF(B530="","",B530&amp;"#"&amp;AB530)</f>
        <v/>
      </c>
      <c r="AD530" s="57" t="str">
        <f>IF(Z530=1,A530&amp;AA530,"")</f>
        <v/>
      </c>
      <c r="AE530" s="57" t="str">
        <f>IF(B530="","",YEAR(C530))</f>
        <v/>
      </c>
      <c r="AF530" s="57" t="str">
        <f>IF(B530="","",MONTH(C530))</f>
        <v/>
      </c>
      <c r="AG530" s="57">
        <f>IF(ISNUMBER(C530),C530,0)</f>
        <v>0.0</v>
      </c>
      <c r="AH530" s="57" t="str">
        <f>IF(N(W530)&gt;0,COUNTIF(W$6:W530,"&gt;0"),"")</f>
        <v/>
      </c>
      <c r="AI530" s="57" t="str">
        <f>IF(Z530=1,COUNTIF(Z$6:Z530,1),"")</f>
        <v/>
      </c>
    </row>
    <row r="531">
      <c r="A531" s="54" t="n"/>
      <c r="B531" s="55" t="str">
        <f>IF(AA531="","",A531&amp;"-"&amp;RIGHT("000"&amp;AA531,4))</f>
        <v/>
      </c>
      <c r="C531" s="56" t="n"/>
      <c r="D531" s="54" t="n"/>
      <c r="E531" s="57" t="str">
        <f>IF(D531="","",IF(A531="BL",IFERROR(INDEX(cl_name,MATCH(D531,cl_code,0))&amp;"","Client inconnu"),IF(A531="BR",IFERROR(INDEX(fo_name,MATCH(D531,fo_code,0))&amp;"","Fournisseur inconnu"),IF(A531="BS",IF(ISNA(MATCH(D531,p_services,0)),"Service inconnu",D531&amp;""),""))))</f>
        <v/>
      </c>
      <c r="F531" s="58" t="n"/>
      <c r="G531" s="58" t="n"/>
      <c r="H531" s="59" t="n"/>
      <c r="I531" s="57" t="str">
        <f>IF(H531="","",IFERROR(INDEX(art_des,MATCH(H531,art_ref,0))&amp;"","Article inconnu"))</f>
        <v/>
      </c>
      <c r="J531" s="60" t="str">
        <f>IF(H531="","",IFERROR(INDEX(art_unit,MATCH(H531,art_ref,0))&amp;"",""))</f>
        <v/>
      </c>
      <c r="K531" s="59" t="n"/>
      <c r="L531" s="59" t="n"/>
      <c r="M531" s="61" t="str">
        <f>IF(OR(B531="",NOT(ISNUMBER(K531)),NOT(ISNUMBER(L531))),"",IF(OR(K531&lt;=0,L531&lt;=0),"",ROUND(L531-K531,6)))</f>
        <v/>
      </c>
      <c r="N531" s="58" t="n"/>
      <c r="O531" s="62" t="n"/>
      <c r="P531" s="63" t="str">
        <f>IF(OR(B531="",NOT(ISNUMBER(L531))),"",IF(L531&lt;=0,"",IFERROR(ROUND(L531*N(INDEX(art_w,MATCH(H531,art_ref,0))),3),"")))</f>
        <v/>
      </c>
      <c r="Q531" s="59" t="n"/>
      <c r="R531" s="54" t="n"/>
      <c r="S531" s="59" t="n"/>
      <c r="T531" s="59" t="n"/>
      <c r="U531" s="64" t="str">
        <f>IF(OR(B531="",H531=""),"",IFERROR(IF(A531="BL",IF(N(INDEX(art_price,MATCH(H531,art_ref,0)))=0,"",N(INDEX(art_price,MATCH(H531,art_ref,0)))),IF(N(INDEX(art_cost,MATCH(H531,art_ref,0)))=0,"",N(INDEX(art_cost,MATCH(H531,art_ref,0))))),""))</f>
        <v/>
      </c>
      <c r="V531" s="64" t="str">
        <f>IF(OR(U531="",NOT(ISNUMBER(L531))),"",IF(L531&lt;=0,"",ROUND(L531*U531,2)))</f>
        <v/>
      </c>
      <c r="W531" s="60" t="str">
        <f>IF(AND(B531&lt;&gt;"",A531&lt;&gt;"BS",F531&lt;&gt;"",H531&lt;&gt;"",ISNUMBER(K531),ISNUMBER(L531)),IF(AND(K531&gt;0,L531&gt;0,K531-L531&gt;0,COUNTIFS(A532:A$2005,A531,F532:F$2005,F531,H532:H$2005,H531,AA532:AA$2005,"&gt;0")=0),ROUND(K531-L531,6),""),"")</f>
        <v/>
      </c>
      <c r="X531" s="60" t="str">
        <f>IF(AND(A531="",C531="",D531="",H531="",L531=""),"",IF(A531="","Type manquant",IF(AND(A531&lt;&gt;"BL",A531&lt;&gt;"BR",A531&lt;&gt;"BS"),"Type inconnu (BL, BR ou BS)",IF(AG531=0,"Date manquante ou invalide",IF(D531="",IF(A531="BL","Client manquant",IF(A531="BR","Fournisseur manquant","Service manquant")),IF(IF(A531="BL",ISNA(MATCH(D531,cl_code,0)),IF(A531="BR",ISNA(MATCH(D531,fo_code,0)),ISNA(MATCH(D531,p_services,0)))),IF(A531="BL","Client inconnu",IF(A531="BR","Fournisseur inconnu","Service inconnu")),IF(H531="","Article manquant",IF(ISNA(MATCH(H531,art_ref,0)),"Article inconnu",IF(OR(NOT(ISNUMBER(L531)),N(L531)&lt;=0),"Quantité invalide",IF(AND(K531&lt;&gt;"",OR(NOT(ISNUMBER(K531)),N(K531)&lt;=0)),"Qté commandée invalide",IF(AG531&lt;SUMPRODUCT(MAX((A$6:A530=A531)*AG$6:AG530)),"Date antérieure au bon précédent",IF(AND(A531&lt;&gt;"BR",ISNUMBER(M531),N(M531)&gt;0),IF(A531="BL","Livré plus que commandé","Sorti plus que demandé"),"OK"))))))))))))</f>
        <v/>
      </c>
      <c r="Y531" s="57" t="str">
        <f>IF(AND(OR(A531="BL",A531="BR",A531="BS"),AG531&gt;0,D531&lt;&gt;""),A531&amp;"|"&amp;AG531&amp;"|"&amp;D531&amp;"|"&amp;F531,"")</f>
        <v/>
      </c>
      <c r="Z531" s="57" t="str">
        <f>IF(Y531="","",IF(COUNTIF(Y$6:Y530,Y531)=0,1,0))</f>
        <v/>
      </c>
      <c r="AA531" s="57" t="str">
        <f>IF(Y531="","",IF(Z531=1,COUNTIFS(A$6:A531,A531,Z$6:Z531,1),INDEX(AA$6:AA530,MATCH(Y531,Y$6:Y530,0))))</f>
        <v/>
      </c>
      <c r="AB531" s="57" t="str">
        <f>IF(B531="","",COUNTIF(B$6:B531,B531))</f>
        <v/>
      </c>
      <c r="AC531" s="57" t="str">
        <f>IF(B531="","",B531&amp;"#"&amp;AB531)</f>
        <v/>
      </c>
      <c r="AD531" s="57" t="str">
        <f>IF(Z531=1,A531&amp;AA531,"")</f>
        <v/>
      </c>
      <c r="AE531" s="57" t="str">
        <f>IF(B531="","",YEAR(C531))</f>
        <v/>
      </c>
      <c r="AF531" s="57" t="str">
        <f>IF(B531="","",MONTH(C531))</f>
        <v/>
      </c>
      <c r="AG531" s="57">
        <f>IF(ISNUMBER(C531),C531,0)</f>
        <v>0.0</v>
      </c>
      <c r="AH531" s="57" t="str">
        <f>IF(N(W531)&gt;0,COUNTIF(W$6:W531,"&gt;0"),"")</f>
        <v/>
      </c>
      <c r="AI531" s="57" t="str">
        <f>IF(Z531=1,COUNTIF(Z$6:Z531,1),"")</f>
        <v/>
      </c>
    </row>
    <row r="532">
      <c r="A532" s="54" t="n"/>
      <c r="B532" s="55" t="str">
        <f>IF(AA532="","",A532&amp;"-"&amp;RIGHT("000"&amp;AA532,4))</f>
        <v/>
      </c>
      <c r="C532" s="56" t="n"/>
      <c r="D532" s="54" t="n"/>
      <c r="E532" s="57" t="str">
        <f>IF(D532="","",IF(A532="BL",IFERROR(INDEX(cl_name,MATCH(D532,cl_code,0))&amp;"","Client inconnu"),IF(A532="BR",IFERROR(INDEX(fo_name,MATCH(D532,fo_code,0))&amp;"","Fournisseur inconnu"),IF(A532="BS",IF(ISNA(MATCH(D532,p_services,0)),"Service inconnu",D532&amp;""),""))))</f>
        <v/>
      </c>
      <c r="F532" s="58" t="n"/>
      <c r="G532" s="58" t="n"/>
      <c r="H532" s="59" t="n"/>
      <c r="I532" s="57" t="str">
        <f>IF(H532="","",IFERROR(INDEX(art_des,MATCH(H532,art_ref,0))&amp;"","Article inconnu"))</f>
        <v/>
      </c>
      <c r="J532" s="60" t="str">
        <f>IF(H532="","",IFERROR(INDEX(art_unit,MATCH(H532,art_ref,0))&amp;"",""))</f>
        <v/>
      </c>
      <c r="K532" s="59" t="n"/>
      <c r="L532" s="59" t="n"/>
      <c r="M532" s="61" t="str">
        <f>IF(OR(B532="",NOT(ISNUMBER(K532)),NOT(ISNUMBER(L532))),"",IF(OR(K532&lt;=0,L532&lt;=0),"",ROUND(L532-K532,6)))</f>
        <v/>
      </c>
      <c r="N532" s="58" t="n"/>
      <c r="O532" s="62" t="n"/>
      <c r="P532" s="63" t="str">
        <f>IF(OR(B532="",NOT(ISNUMBER(L532))),"",IF(L532&lt;=0,"",IFERROR(ROUND(L532*N(INDEX(art_w,MATCH(H532,art_ref,0))),3),"")))</f>
        <v/>
      </c>
      <c r="Q532" s="59" t="n"/>
      <c r="R532" s="54" t="n"/>
      <c r="S532" s="59" t="n"/>
      <c r="T532" s="59" t="n"/>
      <c r="U532" s="64" t="str">
        <f>IF(OR(B532="",H532=""),"",IFERROR(IF(A532="BL",IF(N(INDEX(art_price,MATCH(H532,art_ref,0)))=0,"",N(INDEX(art_price,MATCH(H532,art_ref,0)))),IF(N(INDEX(art_cost,MATCH(H532,art_ref,0)))=0,"",N(INDEX(art_cost,MATCH(H532,art_ref,0))))),""))</f>
        <v/>
      </c>
      <c r="V532" s="64" t="str">
        <f>IF(OR(U532="",NOT(ISNUMBER(L532))),"",IF(L532&lt;=0,"",ROUND(L532*U532,2)))</f>
        <v/>
      </c>
      <c r="W532" s="60" t="str">
        <f>IF(AND(B532&lt;&gt;"",A532&lt;&gt;"BS",F532&lt;&gt;"",H532&lt;&gt;"",ISNUMBER(K532),ISNUMBER(L532)),IF(AND(K532&gt;0,L532&gt;0,K532-L532&gt;0,COUNTIFS(A533:A$2005,A532,F533:F$2005,F532,H533:H$2005,H532,AA533:AA$2005,"&gt;0")=0),ROUND(K532-L532,6),""),"")</f>
        <v/>
      </c>
      <c r="X532" s="60" t="str">
        <f>IF(AND(A532="",C532="",D532="",H532="",L532=""),"",IF(A532="","Type manquant",IF(AND(A532&lt;&gt;"BL",A532&lt;&gt;"BR",A532&lt;&gt;"BS"),"Type inconnu (BL, BR ou BS)",IF(AG532=0,"Date manquante ou invalide",IF(D532="",IF(A532="BL","Client manquant",IF(A532="BR","Fournisseur manquant","Service manquant")),IF(IF(A532="BL",ISNA(MATCH(D532,cl_code,0)),IF(A532="BR",ISNA(MATCH(D532,fo_code,0)),ISNA(MATCH(D532,p_services,0)))),IF(A532="BL","Client inconnu",IF(A532="BR","Fournisseur inconnu","Service inconnu")),IF(H532="","Article manquant",IF(ISNA(MATCH(H532,art_ref,0)),"Article inconnu",IF(OR(NOT(ISNUMBER(L532)),N(L532)&lt;=0),"Quantité invalide",IF(AND(K532&lt;&gt;"",OR(NOT(ISNUMBER(K532)),N(K532)&lt;=0)),"Qté commandée invalide",IF(AG532&lt;SUMPRODUCT(MAX((A$6:A531=A532)*AG$6:AG531)),"Date antérieure au bon précédent",IF(AND(A532&lt;&gt;"BR",ISNUMBER(M532),N(M532)&gt;0),IF(A532="BL","Livré plus que commandé","Sorti plus que demandé"),"OK"))))))))))))</f>
        <v/>
      </c>
      <c r="Y532" s="57" t="str">
        <f>IF(AND(OR(A532="BL",A532="BR",A532="BS"),AG532&gt;0,D532&lt;&gt;""),A532&amp;"|"&amp;AG532&amp;"|"&amp;D532&amp;"|"&amp;F532,"")</f>
        <v/>
      </c>
      <c r="Z532" s="57" t="str">
        <f>IF(Y532="","",IF(COUNTIF(Y$6:Y531,Y532)=0,1,0))</f>
        <v/>
      </c>
      <c r="AA532" s="57" t="str">
        <f>IF(Y532="","",IF(Z532=1,COUNTIFS(A$6:A532,A532,Z$6:Z532,1),INDEX(AA$6:AA531,MATCH(Y532,Y$6:Y531,0))))</f>
        <v/>
      </c>
      <c r="AB532" s="57" t="str">
        <f>IF(B532="","",COUNTIF(B$6:B532,B532))</f>
        <v/>
      </c>
      <c r="AC532" s="57" t="str">
        <f>IF(B532="","",B532&amp;"#"&amp;AB532)</f>
        <v/>
      </c>
      <c r="AD532" s="57" t="str">
        <f>IF(Z532=1,A532&amp;AA532,"")</f>
        <v/>
      </c>
      <c r="AE532" s="57" t="str">
        <f>IF(B532="","",YEAR(C532))</f>
        <v/>
      </c>
      <c r="AF532" s="57" t="str">
        <f>IF(B532="","",MONTH(C532))</f>
        <v/>
      </c>
      <c r="AG532" s="57">
        <f>IF(ISNUMBER(C532),C532,0)</f>
        <v>0.0</v>
      </c>
      <c r="AH532" s="57" t="str">
        <f>IF(N(W532)&gt;0,COUNTIF(W$6:W532,"&gt;0"),"")</f>
        <v/>
      </c>
      <c r="AI532" s="57" t="str">
        <f>IF(Z532=1,COUNTIF(Z$6:Z532,1),"")</f>
        <v/>
      </c>
    </row>
    <row r="533">
      <c r="A533" s="54" t="n"/>
      <c r="B533" s="55" t="str">
        <f>IF(AA533="","",A533&amp;"-"&amp;RIGHT("000"&amp;AA533,4))</f>
        <v/>
      </c>
      <c r="C533" s="56" t="n"/>
      <c r="D533" s="54" t="n"/>
      <c r="E533" s="57" t="str">
        <f>IF(D533="","",IF(A533="BL",IFERROR(INDEX(cl_name,MATCH(D533,cl_code,0))&amp;"","Client inconnu"),IF(A533="BR",IFERROR(INDEX(fo_name,MATCH(D533,fo_code,0))&amp;"","Fournisseur inconnu"),IF(A533="BS",IF(ISNA(MATCH(D533,p_services,0)),"Service inconnu",D533&amp;""),""))))</f>
        <v/>
      </c>
      <c r="F533" s="58" t="n"/>
      <c r="G533" s="58" t="n"/>
      <c r="H533" s="59" t="n"/>
      <c r="I533" s="57" t="str">
        <f>IF(H533="","",IFERROR(INDEX(art_des,MATCH(H533,art_ref,0))&amp;"","Article inconnu"))</f>
        <v/>
      </c>
      <c r="J533" s="60" t="str">
        <f>IF(H533="","",IFERROR(INDEX(art_unit,MATCH(H533,art_ref,0))&amp;"",""))</f>
        <v/>
      </c>
      <c r="K533" s="59" t="n"/>
      <c r="L533" s="59" t="n"/>
      <c r="M533" s="61" t="str">
        <f>IF(OR(B533="",NOT(ISNUMBER(K533)),NOT(ISNUMBER(L533))),"",IF(OR(K533&lt;=0,L533&lt;=0),"",ROUND(L533-K533,6)))</f>
        <v/>
      </c>
      <c r="N533" s="58" t="n"/>
      <c r="O533" s="62" t="n"/>
      <c r="P533" s="63" t="str">
        <f>IF(OR(B533="",NOT(ISNUMBER(L533))),"",IF(L533&lt;=0,"",IFERROR(ROUND(L533*N(INDEX(art_w,MATCH(H533,art_ref,0))),3),"")))</f>
        <v/>
      </c>
      <c r="Q533" s="59" t="n"/>
      <c r="R533" s="54" t="n"/>
      <c r="S533" s="59" t="n"/>
      <c r="T533" s="59" t="n"/>
      <c r="U533" s="64" t="str">
        <f>IF(OR(B533="",H533=""),"",IFERROR(IF(A533="BL",IF(N(INDEX(art_price,MATCH(H533,art_ref,0)))=0,"",N(INDEX(art_price,MATCH(H533,art_ref,0)))),IF(N(INDEX(art_cost,MATCH(H533,art_ref,0)))=0,"",N(INDEX(art_cost,MATCH(H533,art_ref,0))))),""))</f>
        <v/>
      </c>
      <c r="V533" s="64" t="str">
        <f>IF(OR(U533="",NOT(ISNUMBER(L533))),"",IF(L533&lt;=0,"",ROUND(L533*U533,2)))</f>
        <v/>
      </c>
      <c r="W533" s="60" t="str">
        <f>IF(AND(B533&lt;&gt;"",A533&lt;&gt;"BS",F533&lt;&gt;"",H533&lt;&gt;"",ISNUMBER(K533),ISNUMBER(L533)),IF(AND(K533&gt;0,L533&gt;0,K533-L533&gt;0,COUNTIFS(A534:A$2005,A533,F534:F$2005,F533,H534:H$2005,H533,AA534:AA$2005,"&gt;0")=0),ROUND(K533-L533,6),""),"")</f>
        <v/>
      </c>
      <c r="X533" s="60" t="str">
        <f>IF(AND(A533="",C533="",D533="",H533="",L533=""),"",IF(A533="","Type manquant",IF(AND(A533&lt;&gt;"BL",A533&lt;&gt;"BR",A533&lt;&gt;"BS"),"Type inconnu (BL, BR ou BS)",IF(AG533=0,"Date manquante ou invalide",IF(D533="",IF(A533="BL","Client manquant",IF(A533="BR","Fournisseur manquant","Service manquant")),IF(IF(A533="BL",ISNA(MATCH(D533,cl_code,0)),IF(A533="BR",ISNA(MATCH(D533,fo_code,0)),ISNA(MATCH(D533,p_services,0)))),IF(A533="BL","Client inconnu",IF(A533="BR","Fournisseur inconnu","Service inconnu")),IF(H533="","Article manquant",IF(ISNA(MATCH(H533,art_ref,0)),"Article inconnu",IF(OR(NOT(ISNUMBER(L533)),N(L533)&lt;=0),"Quantité invalide",IF(AND(K533&lt;&gt;"",OR(NOT(ISNUMBER(K533)),N(K533)&lt;=0)),"Qté commandée invalide",IF(AG533&lt;SUMPRODUCT(MAX((A$6:A532=A533)*AG$6:AG532)),"Date antérieure au bon précédent",IF(AND(A533&lt;&gt;"BR",ISNUMBER(M533),N(M533)&gt;0),IF(A533="BL","Livré plus que commandé","Sorti plus que demandé"),"OK"))))))))))))</f>
        <v/>
      </c>
      <c r="Y533" s="57" t="str">
        <f>IF(AND(OR(A533="BL",A533="BR",A533="BS"),AG533&gt;0,D533&lt;&gt;""),A533&amp;"|"&amp;AG533&amp;"|"&amp;D533&amp;"|"&amp;F533,"")</f>
        <v/>
      </c>
      <c r="Z533" s="57" t="str">
        <f>IF(Y533="","",IF(COUNTIF(Y$6:Y532,Y533)=0,1,0))</f>
        <v/>
      </c>
      <c r="AA533" s="57" t="str">
        <f>IF(Y533="","",IF(Z533=1,COUNTIFS(A$6:A533,A533,Z$6:Z533,1),INDEX(AA$6:AA532,MATCH(Y533,Y$6:Y532,0))))</f>
        <v/>
      </c>
      <c r="AB533" s="57" t="str">
        <f>IF(B533="","",COUNTIF(B$6:B533,B533))</f>
        <v/>
      </c>
      <c r="AC533" s="57" t="str">
        <f>IF(B533="","",B533&amp;"#"&amp;AB533)</f>
        <v/>
      </c>
      <c r="AD533" s="57" t="str">
        <f>IF(Z533=1,A533&amp;AA533,"")</f>
        <v/>
      </c>
      <c r="AE533" s="57" t="str">
        <f>IF(B533="","",YEAR(C533))</f>
        <v/>
      </c>
      <c r="AF533" s="57" t="str">
        <f>IF(B533="","",MONTH(C533))</f>
        <v/>
      </c>
      <c r="AG533" s="57">
        <f>IF(ISNUMBER(C533),C533,0)</f>
        <v>0.0</v>
      </c>
      <c r="AH533" s="57" t="str">
        <f>IF(N(W533)&gt;0,COUNTIF(W$6:W533,"&gt;0"),"")</f>
        <v/>
      </c>
      <c r="AI533" s="57" t="str">
        <f>IF(Z533=1,COUNTIF(Z$6:Z533,1),"")</f>
        <v/>
      </c>
    </row>
    <row r="534">
      <c r="A534" s="54" t="n"/>
      <c r="B534" s="55" t="str">
        <f>IF(AA534="","",A534&amp;"-"&amp;RIGHT("000"&amp;AA534,4))</f>
        <v/>
      </c>
      <c r="C534" s="56" t="n"/>
      <c r="D534" s="54" t="n"/>
      <c r="E534" s="57" t="str">
        <f>IF(D534="","",IF(A534="BL",IFERROR(INDEX(cl_name,MATCH(D534,cl_code,0))&amp;"","Client inconnu"),IF(A534="BR",IFERROR(INDEX(fo_name,MATCH(D534,fo_code,0))&amp;"","Fournisseur inconnu"),IF(A534="BS",IF(ISNA(MATCH(D534,p_services,0)),"Service inconnu",D534&amp;""),""))))</f>
        <v/>
      </c>
      <c r="F534" s="58" t="n"/>
      <c r="G534" s="58" t="n"/>
      <c r="H534" s="59" t="n"/>
      <c r="I534" s="57" t="str">
        <f>IF(H534="","",IFERROR(INDEX(art_des,MATCH(H534,art_ref,0))&amp;"","Article inconnu"))</f>
        <v/>
      </c>
      <c r="J534" s="60" t="str">
        <f>IF(H534="","",IFERROR(INDEX(art_unit,MATCH(H534,art_ref,0))&amp;"",""))</f>
        <v/>
      </c>
      <c r="K534" s="59" t="n"/>
      <c r="L534" s="59" t="n"/>
      <c r="M534" s="61" t="str">
        <f>IF(OR(B534="",NOT(ISNUMBER(K534)),NOT(ISNUMBER(L534))),"",IF(OR(K534&lt;=0,L534&lt;=0),"",ROUND(L534-K534,6)))</f>
        <v/>
      </c>
      <c r="N534" s="58" t="n"/>
      <c r="O534" s="62" t="n"/>
      <c r="P534" s="63" t="str">
        <f>IF(OR(B534="",NOT(ISNUMBER(L534))),"",IF(L534&lt;=0,"",IFERROR(ROUND(L534*N(INDEX(art_w,MATCH(H534,art_ref,0))),3),"")))</f>
        <v/>
      </c>
      <c r="Q534" s="59" t="n"/>
      <c r="R534" s="54" t="n"/>
      <c r="S534" s="59" t="n"/>
      <c r="T534" s="59" t="n"/>
      <c r="U534" s="64" t="str">
        <f>IF(OR(B534="",H534=""),"",IFERROR(IF(A534="BL",IF(N(INDEX(art_price,MATCH(H534,art_ref,0)))=0,"",N(INDEX(art_price,MATCH(H534,art_ref,0)))),IF(N(INDEX(art_cost,MATCH(H534,art_ref,0)))=0,"",N(INDEX(art_cost,MATCH(H534,art_ref,0))))),""))</f>
        <v/>
      </c>
      <c r="V534" s="64" t="str">
        <f>IF(OR(U534="",NOT(ISNUMBER(L534))),"",IF(L534&lt;=0,"",ROUND(L534*U534,2)))</f>
        <v/>
      </c>
      <c r="W534" s="60" t="str">
        <f>IF(AND(B534&lt;&gt;"",A534&lt;&gt;"BS",F534&lt;&gt;"",H534&lt;&gt;"",ISNUMBER(K534),ISNUMBER(L534)),IF(AND(K534&gt;0,L534&gt;0,K534-L534&gt;0,COUNTIFS(A535:A$2005,A534,F535:F$2005,F534,H535:H$2005,H534,AA535:AA$2005,"&gt;0")=0),ROUND(K534-L534,6),""),"")</f>
        <v/>
      </c>
      <c r="X534" s="60" t="str">
        <f>IF(AND(A534="",C534="",D534="",H534="",L534=""),"",IF(A534="","Type manquant",IF(AND(A534&lt;&gt;"BL",A534&lt;&gt;"BR",A534&lt;&gt;"BS"),"Type inconnu (BL, BR ou BS)",IF(AG534=0,"Date manquante ou invalide",IF(D534="",IF(A534="BL","Client manquant",IF(A534="BR","Fournisseur manquant","Service manquant")),IF(IF(A534="BL",ISNA(MATCH(D534,cl_code,0)),IF(A534="BR",ISNA(MATCH(D534,fo_code,0)),ISNA(MATCH(D534,p_services,0)))),IF(A534="BL","Client inconnu",IF(A534="BR","Fournisseur inconnu","Service inconnu")),IF(H534="","Article manquant",IF(ISNA(MATCH(H534,art_ref,0)),"Article inconnu",IF(OR(NOT(ISNUMBER(L534)),N(L534)&lt;=0),"Quantité invalide",IF(AND(K534&lt;&gt;"",OR(NOT(ISNUMBER(K534)),N(K534)&lt;=0)),"Qté commandée invalide",IF(AG534&lt;SUMPRODUCT(MAX((A$6:A533=A534)*AG$6:AG533)),"Date antérieure au bon précédent",IF(AND(A534&lt;&gt;"BR",ISNUMBER(M534),N(M534)&gt;0),IF(A534="BL","Livré plus que commandé","Sorti plus que demandé"),"OK"))))))))))))</f>
        <v/>
      </c>
      <c r="Y534" s="57" t="str">
        <f>IF(AND(OR(A534="BL",A534="BR",A534="BS"),AG534&gt;0,D534&lt;&gt;""),A534&amp;"|"&amp;AG534&amp;"|"&amp;D534&amp;"|"&amp;F534,"")</f>
        <v/>
      </c>
      <c r="Z534" s="57" t="str">
        <f>IF(Y534="","",IF(COUNTIF(Y$6:Y533,Y534)=0,1,0))</f>
        <v/>
      </c>
      <c r="AA534" s="57" t="str">
        <f>IF(Y534="","",IF(Z534=1,COUNTIFS(A$6:A534,A534,Z$6:Z534,1),INDEX(AA$6:AA533,MATCH(Y534,Y$6:Y533,0))))</f>
        <v/>
      </c>
      <c r="AB534" s="57" t="str">
        <f>IF(B534="","",COUNTIF(B$6:B534,B534))</f>
        <v/>
      </c>
      <c r="AC534" s="57" t="str">
        <f>IF(B534="","",B534&amp;"#"&amp;AB534)</f>
        <v/>
      </c>
      <c r="AD534" s="57" t="str">
        <f>IF(Z534=1,A534&amp;AA534,"")</f>
        <v/>
      </c>
      <c r="AE534" s="57" t="str">
        <f>IF(B534="","",YEAR(C534))</f>
        <v/>
      </c>
      <c r="AF534" s="57" t="str">
        <f>IF(B534="","",MONTH(C534))</f>
        <v/>
      </c>
      <c r="AG534" s="57">
        <f>IF(ISNUMBER(C534),C534,0)</f>
        <v>0.0</v>
      </c>
      <c r="AH534" s="57" t="str">
        <f>IF(N(W534)&gt;0,COUNTIF(W$6:W534,"&gt;0"),"")</f>
        <v/>
      </c>
      <c r="AI534" s="57" t="str">
        <f>IF(Z534=1,COUNTIF(Z$6:Z534,1),"")</f>
        <v/>
      </c>
    </row>
    <row r="535">
      <c r="A535" s="54" t="n"/>
      <c r="B535" s="55" t="str">
        <f>IF(AA535="","",A535&amp;"-"&amp;RIGHT("000"&amp;AA535,4))</f>
        <v/>
      </c>
      <c r="C535" s="56" t="n"/>
      <c r="D535" s="54" t="n"/>
      <c r="E535" s="57" t="str">
        <f>IF(D535="","",IF(A535="BL",IFERROR(INDEX(cl_name,MATCH(D535,cl_code,0))&amp;"","Client inconnu"),IF(A535="BR",IFERROR(INDEX(fo_name,MATCH(D535,fo_code,0))&amp;"","Fournisseur inconnu"),IF(A535="BS",IF(ISNA(MATCH(D535,p_services,0)),"Service inconnu",D535&amp;""),""))))</f>
        <v/>
      </c>
      <c r="F535" s="58" t="n"/>
      <c r="G535" s="58" t="n"/>
      <c r="H535" s="59" t="n"/>
      <c r="I535" s="57" t="str">
        <f>IF(H535="","",IFERROR(INDEX(art_des,MATCH(H535,art_ref,0))&amp;"","Article inconnu"))</f>
        <v/>
      </c>
      <c r="J535" s="60" t="str">
        <f>IF(H535="","",IFERROR(INDEX(art_unit,MATCH(H535,art_ref,0))&amp;"",""))</f>
        <v/>
      </c>
      <c r="K535" s="59" t="n"/>
      <c r="L535" s="59" t="n"/>
      <c r="M535" s="61" t="str">
        <f>IF(OR(B535="",NOT(ISNUMBER(K535)),NOT(ISNUMBER(L535))),"",IF(OR(K535&lt;=0,L535&lt;=0),"",ROUND(L535-K535,6)))</f>
        <v/>
      </c>
      <c r="N535" s="58" t="n"/>
      <c r="O535" s="62" t="n"/>
      <c r="P535" s="63" t="str">
        <f>IF(OR(B535="",NOT(ISNUMBER(L535))),"",IF(L535&lt;=0,"",IFERROR(ROUND(L535*N(INDEX(art_w,MATCH(H535,art_ref,0))),3),"")))</f>
        <v/>
      </c>
      <c r="Q535" s="59" t="n"/>
      <c r="R535" s="54" t="n"/>
      <c r="S535" s="59" t="n"/>
      <c r="T535" s="59" t="n"/>
      <c r="U535" s="64" t="str">
        <f>IF(OR(B535="",H535=""),"",IFERROR(IF(A535="BL",IF(N(INDEX(art_price,MATCH(H535,art_ref,0)))=0,"",N(INDEX(art_price,MATCH(H535,art_ref,0)))),IF(N(INDEX(art_cost,MATCH(H535,art_ref,0)))=0,"",N(INDEX(art_cost,MATCH(H535,art_ref,0))))),""))</f>
        <v/>
      </c>
      <c r="V535" s="64" t="str">
        <f>IF(OR(U535="",NOT(ISNUMBER(L535))),"",IF(L535&lt;=0,"",ROUND(L535*U535,2)))</f>
        <v/>
      </c>
      <c r="W535" s="60" t="str">
        <f>IF(AND(B535&lt;&gt;"",A535&lt;&gt;"BS",F535&lt;&gt;"",H535&lt;&gt;"",ISNUMBER(K535),ISNUMBER(L535)),IF(AND(K535&gt;0,L535&gt;0,K535-L535&gt;0,COUNTIFS(A536:A$2005,A535,F536:F$2005,F535,H536:H$2005,H535,AA536:AA$2005,"&gt;0")=0),ROUND(K535-L535,6),""),"")</f>
        <v/>
      </c>
      <c r="X535" s="60" t="str">
        <f>IF(AND(A535="",C535="",D535="",H535="",L535=""),"",IF(A535="","Type manquant",IF(AND(A535&lt;&gt;"BL",A535&lt;&gt;"BR",A535&lt;&gt;"BS"),"Type inconnu (BL, BR ou BS)",IF(AG535=0,"Date manquante ou invalide",IF(D535="",IF(A535="BL","Client manquant",IF(A535="BR","Fournisseur manquant","Service manquant")),IF(IF(A535="BL",ISNA(MATCH(D535,cl_code,0)),IF(A535="BR",ISNA(MATCH(D535,fo_code,0)),ISNA(MATCH(D535,p_services,0)))),IF(A535="BL","Client inconnu",IF(A535="BR","Fournisseur inconnu","Service inconnu")),IF(H535="","Article manquant",IF(ISNA(MATCH(H535,art_ref,0)),"Article inconnu",IF(OR(NOT(ISNUMBER(L535)),N(L535)&lt;=0),"Quantité invalide",IF(AND(K535&lt;&gt;"",OR(NOT(ISNUMBER(K535)),N(K535)&lt;=0)),"Qté commandée invalide",IF(AG535&lt;SUMPRODUCT(MAX((A$6:A534=A535)*AG$6:AG534)),"Date antérieure au bon précédent",IF(AND(A535&lt;&gt;"BR",ISNUMBER(M535),N(M535)&gt;0),IF(A535="BL","Livré plus que commandé","Sorti plus que demandé"),"OK"))))))))))))</f>
        <v/>
      </c>
      <c r="Y535" s="57" t="str">
        <f>IF(AND(OR(A535="BL",A535="BR",A535="BS"),AG535&gt;0,D535&lt;&gt;""),A535&amp;"|"&amp;AG535&amp;"|"&amp;D535&amp;"|"&amp;F535,"")</f>
        <v/>
      </c>
      <c r="Z535" s="57" t="str">
        <f>IF(Y535="","",IF(COUNTIF(Y$6:Y534,Y535)=0,1,0))</f>
        <v/>
      </c>
      <c r="AA535" s="57" t="str">
        <f>IF(Y535="","",IF(Z535=1,COUNTIFS(A$6:A535,A535,Z$6:Z535,1),INDEX(AA$6:AA534,MATCH(Y535,Y$6:Y534,0))))</f>
        <v/>
      </c>
      <c r="AB535" s="57" t="str">
        <f>IF(B535="","",COUNTIF(B$6:B535,B535))</f>
        <v/>
      </c>
      <c r="AC535" s="57" t="str">
        <f>IF(B535="","",B535&amp;"#"&amp;AB535)</f>
        <v/>
      </c>
      <c r="AD535" s="57" t="str">
        <f>IF(Z535=1,A535&amp;AA535,"")</f>
        <v/>
      </c>
      <c r="AE535" s="57" t="str">
        <f>IF(B535="","",YEAR(C535))</f>
        <v/>
      </c>
      <c r="AF535" s="57" t="str">
        <f>IF(B535="","",MONTH(C535))</f>
        <v/>
      </c>
      <c r="AG535" s="57">
        <f>IF(ISNUMBER(C535),C535,0)</f>
        <v>0.0</v>
      </c>
      <c r="AH535" s="57" t="str">
        <f>IF(N(W535)&gt;0,COUNTIF(W$6:W535,"&gt;0"),"")</f>
        <v/>
      </c>
      <c r="AI535" s="57" t="str">
        <f>IF(Z535=1,COUNTIF(Z$6:Z535,1),"")</f>
        <v/>
      </c>
    </row>
    <row r="536">
      <c r="A536" s="54" t="n"/>
      <c r="B536" s="55" t="str">
        <f>IF(AA536="","",A536&amp;"-"&amp;RIGHT("000"&amp;AA536,4))</f>
        <v/>
      </c>
      <c r="C536" s="56" t="n"/>
      <c r="D536" s="54" t="n"/>
      <c r="E536" s="57" t="str">
        <f>IF(D536="","",IF(A536="BL",IFERROR(INDEX(cl_name,MATCH(D536,cl_code,0))&amp;"","Client inconnu"),IF(A536="BR",IFERROR(INDEX(fo_name,MATCH(D536,fo_code,0))&amp;"","Fournisseur inconnu"),IF(A536="BS",IF(ISNA(MATCH(D536,p_services,0)),"Service inconnu",D536&amp;""),""))))</f>
        <v/>
      </c>
      <c r="F536" s="58" t="n"/>
      <c r="G536" s="58" t="n"/>
      <c r="H536" s="59" t="n"/>
      <c r="I536" s="57" t="str">
        <f>IF(H536="","",IFERROR(INDEX(art_des,MATCH(H536,art_ref,0))&amp;"","Article inconnu"))</f>
        <v/>
      </c>
      <c r="J536" s="60" t="str">
        <f>IF(H536="","",IFERROR(INDEX(art_unit,MATCH(H536,art_ref,0))&amp;"",""))</f>
        <v/>
      </c>
      <c r="K536" s="59" t="n"/>
      <c r="L536" s="59" t="n"/>
      <c r="M536" s="61" t="str">
        <f>IF(OR(B536="",NOT(ISNUMBER(K536)),NOT(ISNUMBER(L536))),"",IF(OR(K536&lt;=0,L536&lt;=0),"",ROUND(L536-K536,6)))</f>
        <v/>
      </c>
      <c r="N536" s="58" t="n"/>
      <c r="O536" s="62" t="n"/>
      <c r="P536" s="63" t="str">
        <f>IF(OR(B536="",NOT(ISNUMBER(L536))),"",IF(L536&lt;=0,"",IFERROR(ROUND(L536*N(INDEX(art_w,MATCH(H536,art_ref,0))),3),"")))</f>
        <v/>
      </c>
      <c r="Q536" s="59" t="n"/>
      <c r="R536" s="54" t="n"/>
      <c r="S536" s="59" t="n"/>
      <c r="T536" s="59" t="n"/>
      <c r="U536" s="64" t="str">
        <f>IF(OR(B536="",H536=""),"",IFERROR(IF(A536="BL",IF(N(INDEX(art_price,MATCH(H536,art_ref,0)))=0,"",N(INDEX(art_price,MATCH(H536,art_ref,0)))),IF(N(INDEX(art_cost,MATCH(H536,art_ref,0)))=0,"",N(INDEX(art_cost,MATCH(H536,art_ref,0))))),""))</f>
        <v/>
      </c>
      <c r="V536" s="64" t="str">
        <f>IF(OR(U536="",NOT(ISNUMBER(L536))),"",IF(L536&lt;=0,"",ROUND(L536*U536,2)))</f>
        <v/>
      </c>
      <c r="W536" s="60" t="str">
        <f>IF(AND(B536&lt;&gt;"",A536&lt;&gt;"BS",F536&lt;&gt;"",H536&lt;&gt;"",ISNUMBER(K536),ISNUMBER(L536)),IF(AND(K536&gt;0,L536&gt;0,K536-L536&gt;0,COUNTIFS(A537:A$2005,A536,F537:F$2005,F536,H537:H$2005,H536,AA537:AA$2005,"&gt;0")=0),ROUND(K536-L536,6),""),"")</f>
        <v/>
      </c>
      <c r="X536" s="60" t="str">
        <f>IF(AND(A536="",C536="",D536="",H536="",L536=""),"",IF(A536="","Type manquant",IF(AND(A536&lt;&gt;"BL",A536&lt;&gt;"BR",A536&lt;&gt;"BS"),"Type inconnu (BL, BR ou BS)",IF(AG536=0,"Date manquante ou invalide",IF(D536="",IF(A536="BL","Client manquant",IF(A536="BR","Fournisseur manquant","Service manquant")),IF(IF(A536="BL",ISNA(MATCH(D536,cl_code,0)),IF(A536="BR",ISNA(MATCH(D536,fo_code,0)),ISNA(MATCH(D536,p_services,0)))),IF(A536="BL","Client inconnu",IF(A536="BR","Fournisseur inconnu","Service inconnu")),IF(H536="","Article manquant",IF(ISNA(MATCH(H536,art_ref,0)),"Article inconnu",IF(OR(NOT(ISNUMBER(L536)),N(L536)&lt;=0),"Quantité invalide",IF(AND(K536&lt;&gt;"",OR(NOT(ISNUMBER(K536)),N(K536)&lt;=0)),"Qté commandée invalide",IF(AG536&lt;SUMPRODUCT(MAX((A$6:A535=A536)*AG$6:AG535)),"Date antérieure au bon précédent",IF(AND(A536&lt;&gt;"BR",ISNUMBER(M536),N(M536)&gt;0),IF(A536="BL","Livré plus que commandé","Sorti plus que demandé"),"OK"))))))))))))</f>
        <v/>
      </c>
      <c r="Y536" s="57" t="str">
        <f>IF(AND(OR(A536="BL",A536="BR",A536="BS"),AG536&gt;0,D536&lt;&gt;""),A536&amp;"|"&amp;AG536&amp;"|"&amp;D536&amp;"|"&amp;F536,"")</f>
        <v/>
      </c>
      <c r="Z536" s="57" t="str">
        <f>IF(Y536="","",IF(COUNTIF(Y$6:Y535,Y536)=0,1,0))</f>
        <v/>
      </c>
      <c r="AA536" s="57" t="str">
        <f>IF(Y536="","",IF(Z536=1,COUNTIFS(A$6:A536,A536,Z$6:Z536,1),INDEX(AA$6:AA535,MATCH(Y536,Y$6:Y535,0))))</f>
        <v/>
      </c>
      <c r="AB536" s="57" t="str">
        <f>IF(B536="","",COUNTIF(B$6:B536,B536))</f>
        <v/>
      </c>
      <c r="AC536" s="57" t="str">
        <f>IF(B536="","",B536&amp;"#"&amp;AB536)</f>
        <v/>
      </c>
      <c r="AD536" s="57" t="str">
        <f>IF(Z536=1,A536&amp;AA536,"")</f>
        <v/>
      </c>
      <c r="AE536" s="57" t="str">
        <f>IF(B536="","",YEAR(C536))</f>
        <v/>
      </c>
      <c r="AF536" s="57" t="str">
        <f>IF(B536="","",MONTH(C536))</f>
        <v/>
      </c>
      <c r="AG536" s="57">
        <f>IF(ISNUMBER(C536),C536,0)</f>
        <v>0.0</v>
      </c>
      <c r="AH536" s="57" t="str">
        <f>IF(N(W536)&gt;0,COUNTIF(W$6:W536,"&gt;0"),"")</f>
        <v/>
      </c>
      <c r="AI536" s="57" t="str">
        <f>IF(Z536=1,COUNTIF(Z$6:Z536,1),"")</f>
        <v/>
      </c>
    </row>
    <row r="537">
      <c r="A537" s="54" t="n"/>
      <c r="B537" s="55" t="str">
        <f>IF(AA537="","",A537&amp;"-"&amp;RIGHT("000"&amp;AA537,4))</f>
        <v/>
      </c>
      <c r="C537" s="56" t="n"/>
      <c r="D537" s="54" t="n"/>
      <c r="E537" s="57" t="str">
        <f>IF(D537="","",IF(A537="BL",IFERROR(INDEX(cl_name,MATCH(D537,cl_code,0))&amp;"","Client inconnu"),IF(A537="BR",IFERROR(INDEX(fo_name,MATCH(D537,fo_code,0))&amp;"","Fournisseur inconnu"),IF(A537="BS",IF(ISNA(MATCH(D537,p_services,0)),"Service inconnu",D537&amp;""),""))))</f>
        <v/>
      </c>
      <c r="F537" s="58" t="n"/>
      <c r="G537" s="58" t="n"/>
      <c r="H537" s="59" t="n"/>
      <c r="I537" s="57" t="str">
        <f>IF(H537="","",IFERROR(INDEX(art_des,MATCH(H537,art_ref,0))&amp;"","Article inconnu"))</f>
        <v/>
      </c>
      <c r="J537" s="60" t="str">
        <f>IF(H537="","",IFERROR(INDEX(art_unit,MATCH(H537,art_ref,0))&amp;"",""))</f>
        <v/>
      </c>
      <c r="K537" s="59" t="n"/>
      <c r="L537" s="59" t="n"/>
      <c r="M537" s="61" t="str">
        <f>IF(OR(B537="",NOT(ISNUMBER(K537)),NOT(ISNUMBER(L537))),"",IF(OR(K537&lt;=0,L537&lt;=0),"",ROUND(L537-K537,6)))</f>
        <v/>
      </c>
      <c r="N537" s="58" t="n"/>
      <c r="O537" s="62" t="n"/>
      <c r="P537" s="63" t="str">
        <f>IF(OR(B537="",NOT(ISNUMBER(L537))),"",IF(L537&lt;=0,"",IFERROR(ROUND(L537*N(INDEX(art_w,MATCH(H537,art_ref,0))),3),"")))</f>
        <v/>
      </c>
      <c r="Q537" s="59" t="n"/>
      <c r="R537" s="54" t="n"/>
      <c r="S537" s="59" t="n"/>
      <c r="T537" s="59" t="n"/>
      <c r="U537" s="64" t="str">
        <f>IF(OR(B537="",H537=""),"",IFERROR(IF(A537="BL",IF(N(INDEX(art_price,MATCH(H537,art_ref,0)))=0,"",N(INDEX(art_price,MATCH(H537,art_ref,0)))),IF(N(INDEX(art_cost,MATCH(H537,art_ref,0)))=0,"",N(INDEX(art_cost,MATCH(H537,art_ref,0))))),""))</f>
        <v/>
      </c>
      <c r="V537" s="64" t="str">
        <f>IF(OR(U537="",NOT(ISNUMBER(L537))),"",IF(L537&lt;=0,"",ROUND(L537*U537,2)))</f>
        <v/>
      </c>
      <c r="W537" s="60" t="str">
        <f>IF(AND(B537&lt;&gt;"",A537&lt;&gt;"BS",F537&lt;&gt;"",H537&lt;&gt;"",ISNUMBER(K537),ISNUMBER(L537)),IF(AND(K537&gt;0,L537&gt;0,K537-L537&gt;0,COUNTIFS(A538:A$2005,A537,F538:F$2005,F537,H538:H$2005,H537,AA538:AA$2005,"&gt;0")=0),ROUND(K537-L537,6),""),"")</f>
        <v/>
      </c>
      <c r="X537" s="60" t="str">
        <f>IF(AND(A537="",C537="",D537="",H537="",L537=""),"",IF(A537="","Type manquant",IF(AND(A537&lt;&gt;"BL",A537&lt;&gt;"BR",A537&lt;&gt;"BS"),"Type inconnu (BL, BR ou BS)",IF(AG537=0,"Date manquante ou invalide",IF(D537="",IF(A537="BL","Client manquant",IF(A537="BR","Fournisseur manquant","Service manquant")),IF(IF(A537="BL",ISNA(MATCH(D537,cl_code,0)),IF(A537="BR",ISNA(MATCH(D537,fo_code,0)),ISNA(MATCH(D537,p_services,0)))),IF(A537="BL","Client inconnu",IF(A537="BR","Fournisseur inconnu","Service inconnu")),IF(H537="","Article manquant",IF(ISNA(MATCH(H537,art_ref,0)),"Article inconnu",IF(OR(NOT(ISNUMBER(L537)),N(L537)&lt;=0),"Quantité invalide",IF(AND(K537&lt;&gt;"",OR(NOT(ISNUMBER(K537)),N(K537)&lt;=0)),"Qté commandée invalide",IF(AG537&lt;SUMPRODUCT(MAX((A$6:A536=A537)*AG$6:AG536)),"Date antérieure au bon précédent",IF(AND(A537&lt;&gt;"BR",ISNUMBER(M537),N(M537)&gt;0),IF(A537="BL","Livré plus que commandé","Sorti plus que demandé"),"OK"))))))))))))</f>
        <v/>
      </c>
      <c r="Y537" s="57" t="str">
        <f>IF(AND(OR(A537="BL",A537="BR",A537="BS"),AG537&gt;0,D537&lt;&gt;""),A537&amp;"|"&amp;AG537&amp;"|"&amp;D537&amp;"|"&amp;F537,"")</f>
        <v/>
      </c>
      <c r="Z537" s="57" t="str">
        <f>IF(Y537="","",IF(COUNTIF(Y$6:Y536,Y537)=0,1,0))</f>
        <v/>
      </c>
      <c r="AA537" s="57" t="str">
        <f>IF(Y537="","",IF(Z537=1,COUNTIFS(A$6:A537,A537,Z$6:Z537,1),INDEX(AA$6:AA536,MATCH(Y537,Y$6:Y536,0))))</f>
        <v/>
      </c>
      <c r="AB537" s="57" t="str">
        <f>IF(B537="","",COUNTIF(B$6:B537,B537))</f>
        <v/>
      </c>
      <c r="AC537" s="57" t="str">
        <f>IF(B537="","",B537&amp;"#"&amp;AB537)</f>
        <v/>
      </c>
      <c r="AD537" s="57" t="str">
        <f>IF(Z537=1,A537&amp;AA537,"")</f>
        <v/>
      </c>
      <c r="AE537" s="57" t="str">
        <f>IF(B537="","",YEAR(C537))</f>
        <v/>
      </c>
      <c r="AF537" s="57" t="str">
        <f>IF(B537="","",MONTH(C537))</f>
        <v/>
      </c>
      <c r="AG537" s="57">
        <f>IF(ISNUMBER(C537),C537,0)</f>
        <v>0.0</v>
      </c>
      <c r="AH537" s="57" t="str">
        <f>IF(N(W537)&gt;0,COUNTIF(W$6:W537,"&gt;0"),"")</f>
        <v/>
      </c>
      <c r="AI537" s="57" t="str">
        <f>IF(Z537=1,COUNTIF(Z$6:Z537,1),"")</f>
        <v/>
      </c>
    </row>
    <row r="538">
      <c r="A538" s="54" t="n"/>
      <c r="B538" s="55" t="str">
        <f>IF(AA538="","",A538&amp;"-"&amp;RIGHT("000"&amp;AA538,4))</f>
        <v/>
      </c>
      <c r="C538" s="56" t="n"/>
      <c r="D538" s="54" t="n"/>
      <c r="E538" s="57" t="str">
        <f>IF(D538="","",IF(A538="BL",IFERROR(INDEX(cl_name,MATCH(D538,cl_code,0))&amp;"","Client inconnu"),IF(A538="BR",IFERROR(INDEX(fo_name,MATCH(D538,fo_code,0))&amp;"","Fournisseur inconnu"),IF(A538="BS",IF(ISNA(MATCH(D538,p_services,0)),"Service inconnu",D538&amp;""),""))))</f>
        <v/>
      </c>
      <c r="F538" s="58" t="n"/>
      <c r="G538" s="58" t="n"/>
      <c r="H538" s="59" t="n"/>
      <c r="I538" s="57" t="str">
        <f>IF(H538="","",IFERROR(INDEX(art_des,MATCH(H538,art_ref,0))&amp;"","Article inconnu"))</f>
        <v/>
      </c>
      <c r="J538" s="60" t="str">
        <f>IF(H538="","",IFERROR(INDEX(art_unit,MATCH(H538,art_ref,0))&amp;"",""))</f>
        <v/>
      </c>
      <c r="K538" s="59" t="n"/>
      <c r="L538" s="59" t="n"/>
      <c r="M538" s="61" t="str">
        <f>IF(OR(B538="",NOT(ISNUMBER(K538)),NOT(ISNUMBER(L538))),"",IF(OR(K538&lt;=0,L538&lt;=0),"",ROUND(L538-K538,6)))</f>
        <v/>
      </c>
      <c r="N538" s="58" t="n"/>
      <c r="O538" s="62" t="n"/>
      <c r="P538" s="63" t="str">
        <f>IF(OR(B538="",NOT(ISNUMBER(L538))),"",IF(L538&lt;=0,"",IFERROR(ROUND(L538*N(INDEX(art_w,MATCH(H538,art_ref,0))),3),"")))</f>
        <v/>
      </c>
      <c r="Q538" s="59" t="n"/>
      <c r="R538" s="54" t="n"/>
      <c r="S538" s="59" t="n"/>
      <c r="T538" s="59" t="n"/>
      <c r="U538" s="64" t="str">
        <f>IF(OR(B538="",H538=""),"",IFERROR(IF(A538="BL",IF(N(INDEX(art_price,MATCH(H538,art_ref,0)))=0,"",N(INDEX(art_price,MATCH(H538,art_ref,0)))),IF(N(INDEX(art_cost,MATCH(H538,art_ref,0)))=0,"",N(INDEX(art_cost,MATCH(H538,art_ref,0))))),""))</f>
        <v/>
      </c>
      <c r="V538" s="64" t="str">
        <f>IF(OR(U538="",NOT(ISNUMBER(L538))),"",IF(L538&lt;=0,"",ROUND(L538*U538,2)))</f>
        <v/>
      </c>
      <c r="W538" s="60" t="str">
        <f>IF(AND(B538&lt;&gt;"",A538&lt;&gt;"BS",F538&lt;&gt;"",H538&lt;&gt;"",ISNUMBER(K538),ISNUMBER(L538)),IF(AND(K538&gt;0,L538&gt;0,K538-L538&gt;0,COUNTIFS(A539:A$2005,A538,F539:F$2005,F538,H539:H$2005,H538,AA539:AA$2005,"&gt;0")=0),ROUND(K538-L538,6),""),"")</f>
        <v/>
      </c>
      <c r="X538" s="60" t="str">
        <f>IF(AND(A538="",C538="",D538="",H538="",L538=""),"",IF(A538="","Type manquant",IF(AND(A538&lt;&gt;"BL",A538&lt;&gt;"BR",A538&lt;&gt;"BS"),"Type inconnu (BL, BR ou BS)",IF(AG538=0,"Date manquante ou invalide",IF(D538="",IF(A538="BL","Client manquant",IF(A538="BR","Fournisseur manquant","Service manquant")),IF(IF(A538="BL",ISNA(MATCH(D538,cl_code,0)),IF(A538="BR",ISNA(MATCH(D538,fo_code,0)),ISNA(MATCH(D538,p_services,0)))),IF(A538="BL","Client inconnu",IF(A538="BR","Fournisseur inconnu","Service inconnu")),IF(H538="","Article manquant",IF(ISNA(MATCH(H538,art_ref,0)),"Article inconnu",IF(OR(NOT(ISNUMBER(L538)),N(L538)&lt;=0),"Quantité invalide",IF(AND(K538&lt;&gt;"",OR(NOT(ISNUMBER(K538)),N(K538)&lt;=0)),"Qté commandée invalide",IF(AG538&lt;SUMPRODUCT(MAX((A$6:A537=A538)*AG$6:AG537)),"Date antérieure au bon précédent",IF(AND(A538&lt;&gt;"BR",ISNUMBER(M538),N(M538)&gt;0),IF(A538="BL","Livré plus que commandé","Sorti plus que demandé"),"OK"))))))))))))</f>
        <v/>
      </c>
      <c r="Y538" s="57" t="str">
        <f>IF(AND(OR(A538="BL",A538="BR",A538="BS"),AG538&gt;0,D538&lt;&gt;""),A538&amp;"|"&amp;AG538&amp;"|"&amp;D538&amp;"|"&amp;F538,"")</f>
        <v/>
      </c>
      <c r="Z538" s="57" t="str">
        <f>IF(Y538="","",IF(COUNTIF(Y$6:Y537,Y538)=0,1,0))</f>
        <v/>
      </c>
      <c r="AA538" s="57" t="str">
        <f>IF(Y538="","",IF(Z538=1,COUNTIFS(A$6:A538,A538,Z$6:Z538,1),INDEX(AA$6:AA537,MATCH(Y538,Y$6:Y537,0))))</f>
        <v/>
      </c>
      <c r="AB538" s="57" t="str">
        <f>IF(B538="","",COUNTIF(B$6:B538,B538))</f>
        <v/>
      </c>
      <c r="AC538" s="57" t="str">
        <f>IF(B538="","",B538&amp;"#"&amp;AB538)</f>
        <v/>
      </c>
      <c r="AD538" s="57" t="str">
        <f>IF(Z538=1,A538&amp;AA538,"")</f>
        <v/>
      </c>
      <c r="AE538" s="57" t="str">
        <f>IF(B538="","",YEAR(C538))</f>
        <v/>
      </c>
      <c r="AF538" s="57" t="str">
        <f>IF(B538="","",MONTH(C538))</f>
        <v/>
      </c>
      <c r="AG538" s="57">
        <f>IF(ISNUMBER(C538),C538,0)</f>
        <v>0.0</v>
      </c>
      <c r="AH538" s="57" t="str">
        <f>IF(N(W538)&gt;0,COUNTIF(W$6:W538,"&gt;0"),"")</f>
        <v/>
      </c>
      <c r="AI538" s="57" t="str">
        <f>IF(Z538=1,COUNTIF(Z$6:Z538,1),"")</f>
        <v/>
      </c>
    </row>
    <row r="539">
      <c r="A539" s="54" t="n"/>
      <c r="B539" s="55" t="str">
        <f>IF(AA539="","",A539&amp;"-"&amp;RIGHT("000"&amp;AA539,4))</f>
        <v/>
      </c>
      <c r="C539" s="56" t="n"/>
      <c r="D539" s="54" t="n"/>
      <c r="E539" s="57" t="str">
        <f>IF(D539="","",IF(A539="BL",IFERROR(INDEX(cl_name,MATCH(D539,cl_code,0))&amp;"","Client inconnu"),IF(A539="BR",IFERROR(INDEX(fo_name,MATCH(D539,fo_code,0))&amp;"","Fournisseur inconnu"),IF(A539="BS",IF(ISNA(MATCH(D539,p_services,0)),"Service inconnu",D539&amp;""),""))))</f>
        <v/>
      </c>
      <c r="F539" s="58" t="n"/>
      <c r="G539" s="58" t="n"/>
      <c r="H539" s="59" t="n"/>
      <c r="I539" s="57" t="str">
        <f>IF(H539="","",IFERROR(INDEX(art_des,MATCH(H539,art_ref,0))&amp;"","Article inconnu"))</f>
        <v/>
      </c>
      <c r="J539" s="60" t="str">
        <f>IF(H539="","",IFERROR(INDEX(art_unit,MATCH(H539,art_ref,0))&amp;"",""))</f>
        <v/>
      </c>
      <c r="K539" s="59" t="n"/>
      <c r="L539" s="59" t="n"/>
      <c r="M539" s="61" t="str">
        <f>IF(OR(B539="",NOT(ISNUMBER(K539)),NOT(ISNUMBER(L539))),"",IF(OR(K539&lt;=0,L539&lt;=0),"",ROUND(L539-K539,6)))</f>
        <v/>
      </c>
      <c r="N539" s="58" t="n"/>
      <c r="O539" s="62" t="n"/>
      <c r="P539" s="63" t="str">
        <f>IF(OR(B539="",NOT(ISNUMBER(L539))),"",IF(L539&lt;=0,"",IFERROR(ROUND(L539*N(INDEX(art_w,MATCH(H539,art_ref,0))),3),"")))</f>
        <v/>
      </c>
      <c r="Q539" s="59" t="n"/>
      <c r="R539" s="54" t="n"/>
      <c r="S539" s="59" t="n"/>
      <c r="T539" s="59" t="n"/>
      <c r="U539" s="64" t="str">
        <f>IF(OR(B539="",H539=""),"",IFERROR(IF(A539="BL",IF(N(INDEX(art_price,MATCH(H539,art_ref,0)))=0,"",N(INDEX(art_price,MATCH(H539,art_ref,0)))),IF(N(INDEX(art_cost,MATCH(H539,art_ref,0)))=0,"",N(INDEX(art_cost,MATCH(H539,art_ref,0))))),""))</f>
        <v/>
      </c>
      <c r="V539" s="64" t="str">
        <f>IF(OR(U539="",NOT(ISNUMBER(L539))),"",IF(L539&lt;=0,"",ROUND(L539*U539,2)))</f>
        <v/>
      </c>
      <c r="W539" s="60" t="str">
        <f>IF(AND(B539&lt;&gt;"",A539&lt;&gt;"BS",F539&lt;&gt;"",H539&lt;&gt;"",ISNUMBER(K539),ISNUMBER(L539)),IF(AND(K539&gt;0,L539&gt;0,K539-L539&gt;0,COUNTIFS(A540:A$2005,A539,F540:F$2005,F539,H540:H$2005,H539,AA540:AA$2005,"&gt;0")=0),ROUND(K539-L539,6),""),"")</f>
        <v/>
      </c>
      <c r="X539" s="60" t="str">
        <f>IF(AND(A539="",C539="",D539="",H539="",L539=""),"",IF(A539="","Type manquant",IF(AND(A539&lt;&gt;"BL",A539&lt;&gt;"BR",A539&lt;&gt;"BS"),"Type inconnu (BL, BR ou BS)",IF(AG539=0,"Date manquante ou invalide",IF(D539="",IF(A539="BL","Client manquant",IF(A539="BR","Fournisseur manquant","Service manquant")),IF(IF(A539="BL",ISNA(MATCH(D539,cl_code,0)),IF(A539="BR",ISNA(MATCH(D539,fo_code,0)),ISNA(MATCH(D539,p_services,0)))),IF(A539="BL","Client inconnu",IF(A539="BR","Fournisseur inconnu","Service inconnu")),IF(H539="","Article manquant",IF(ISNA(MATCH(H539,art_ref,0)),"Article inconnu",IF(OR(NOT(ISNUMBER(L539)),N(L539)&lt;=0),"Quantité invalide",IF(AND(K539&lt;&gt;"",OR(NOT(ISNUMBER(K539)),N(K539)&lt;=0)),"Qté commandée invalide",IF(AG539&lt;SUMPRODUCT(MAX((A$6:A538=A539)*AG$6:AG538)),"Date antérieure au bon précédent",IF(AND(A539&lt;&gt;"BR",ISNUMBER(M539),N(M539)&gt;0),IF(A539="BL","Livré plus que commandé","Sorti plus que demandé"),"OK"))))))))))))</f>
        <v/>
      </c>
      <c r="Y539" s="57" t="str">
        <f>IF(AND(OR(A539="BL",A539="BR",A539="BS"),AG539&gt;0,D539&lt;&gt;""),A539&amp;"|"&amp;AG539&amp;"|"&amp;D539&amp;"|"&amp;F539,"")</f>
        <v/>
      </c>
      <c r="Z539" s="57" t="str">
        <f>IF(Y539="","",IF(COUNTIF(Y$6:Y538,Y539)=0,1,0))</f>
        <v/>
      </c>
      <c r="AA539" s="57" t="str">
        <f>IF(Y539="","",IF(Z539=1,COUNTIFS(A$6:A539,A539,Z$6:Z539,1),INDEX(AA$6:AA538,MATCH(Y539,Y$6:Y538,0))))</f>
        <v/>
      </c>
      <c r="AB539" s="57" t="str">
        <f>IF(B539="","",COUNTIF(B$6:B539,B539))</f>
        <v/>
      </c>
      <c r="AC539" s="57" t="str">
        <f>IF(B539="","",B539&amp;"#"&amp;AB539)</f>
        <v/>
      </c>
      <c r="AD539" s="57" t="str">
        <f>IF(Z539=1,A539&amp;AA539,"")</f>
        <v/>
      </c>
      <c r="AE539" s="57" t="str">
        <f>IF(B539="","",YEAR(C539))</f>
        <v/>
      </c>
      <c r="AF539" s="57" t="str">
        <f>IF(B539="","",MONTH(C539))</f>
        <v/>
      </c>
      <c r="AG539" s="57">
        <f>IF(ISNUMBER(C539),C539,0)</f>
        <v>0.0</v>
      </c>
      <c r="AH539" s="57" t="str">
        <f>IF(N(W539)&gt;0,COUNTIF(W$6:W539,"&gt;0"),"")</f>
        <v/>
      </c>
      <c r="AI539" s="57" t="str">
        <f>IF(Z539=1,COUNTIF(Z$6:Z539,1),"")</f>
        <v/>
      </c>
    </row>
    <row r="540">
      <c r="A540" s="54" t="n"/>
      <c r="B540" s="55" t="str">
        <f>IF(AA540="","",A540&amp;"-"&amp;RIGHT("000"&amp;AA540,4))</f>
        <v/>
      </c>
      <c r="C540" s="56" t="n"/>
      <c r="D540" s="54" t="n"/>
      <c r="E540" s="57" t="str">
        <f>IF(D540="","",IF(A540="BL",IFERROR(INDEX(cl_name,MATCH(D540,cl_code,0))&amp;"","Client inconnu"),IF(A540="BR",IFERROR(INDEX(fo_name,MATCH(D540,fo_code,0))&amp;"","Fournisseur inconnu"),IF(A540="BS",IF(ISNA(MATCH(D540,p_services,0)),"Service inconnu",D540&amp;""),""))))</f>
        <v/>
      </c>
      <c r="F540" s="58" t="n"/>
      <c r="G540" s="58" t="n"/>
      <c r="H540" s="59" t="n"/>
      <c r="I540" s="57" t="str">
        <f>IF(H540="","",IFERROR(INDEX(art_des,MATCH(H540,art_ref,0))&amp;"","Article inconnu"))</f>
        <v/>
      </c>
      <c r="J540" s="60" t="str">
        <f>IF(H540="","",IFERROR(INDEX(art_unit,MATCH(H540,art_ref,0))&amp;"",""))</f>
        <v/>
      </c>
      <c r="K540" s="59" t="n"/>
      <c r="L540" s="59" t="n"/>
      <c r="M540" s="61" t="str">
        <f>IF(OR(B540="",NOT(ISNUMBER(K540)),NOT(ISNUMBER(L540))),"",IF(OR(K540&lt;=0,L540&lt;=0),"",ROUND(L540-K540,6)))</f>
        <v/>
      </c>
      <c r="N540" s="58" t="n"/>
      <c r="O540" s="62" t="n"/>
      <c r="P540" s="63" t="str">
        <f>IF(OR(B540="",NOT(ISNUMBER(L540))),"",IF(L540&lt;=0,"",IFERROR(ROUND(L540*N(INDEX(art_w,MATCH(H540,art_ref,0))),3),"")))</f>
        <v/>
      </c>
      <c r="Q540" s="59" t="n"/>
      <c r="R540" s="54" t="n"/>
      <c r="S540" s="59" t="n"/>
      <c r="T540" s="59" t="n"/>
      <c r="U540" s="64" t="str">
        <f>IF(OR(B540="",H540=""),"",IFERROR(IF(A540="BL",IF(N(INDEX(art_price,MATCH(H540,art_ref,0)))=0,"",N(INDEX(art_price,MATCH(H540,art_ref,0)))),IF(N(INDEX(art_cost,MATCH(H540,art_ref,0)))=0,"",N(INDEX(art_cost,MATCH(H540,art_ref,0))))),""))</f>
        <v/>
      </c>
      <c r="V540" s="64" t="str">
        <f>IF(OR(U540="",NOT(ISNUMBER(L540))),"",IF(L540&lt;=0,"",ROUND(L540*U540,2)))</f>
        <v/>
      </c>
      <c r="W540" s="60" t="str">
        <f>IF(AND(B540&lt;&gt;"",A540&lt;&gt;"BS",F540&lt;&gt;"",H540&lt;&gt;"",ISNUMBER(K540),ISNUMBER(L540)),IF(AND(K540&gt;0,L540&gt;0,K540-L540&gt;0,COUNTIFS(A541:A$2005,A540,F541:F$2005,F540,H541:H$2005,H540,AA541:AA$2005,"&gt;0")=0),ROUND(K540-L540,6),""),"")</f>
        <v/>
      </c>
      <c r="X540" s="60" t="str">
        <f>IF(AND(A540="",C540="",D540="",H540="",L540=""),"",IF(A540="","Type manquant",IF(AND(A540&lt;&gt;"BL",A540&lt;&gt;"BR",A540&lt;&gt;"BS"),"Type inconnu (BL, BR ou BS)",IF(AG540=0,"Date manquante ou invalide",IF(D540="",IF(A540="BL","Client manquant",IF(A540="BR","Fournisseur manquant","Service manquant")),IF(IF(A540="BL",ISNA(MATCH(D540,cl_code,0)),IF(A540="BR",ISNA(MATCH(D540,fo_code,0)),ISNA(MATCH(D540,p_services,0)))),IF(A540="BL","Client inconnu",IF(A540="BR","Fournisseur inconnu","Service inconnu")),IF(H540="","Article manquant",IF(ISNA(MATCH(H540,art_ref,0)),"Article inconnu",IF(OR(NOT(ISNUMBER(L540)),N(L540)&lt;=0),"Quantité invalide",IF(AND(K540&lt;&gt;"",OR(NOT(ISNUMBER(K540)),N(K540)&lt;=0)),"Qté commandée invalide",IF(AG540&lt;SUMPRODUCT(MAX((A$6:A539=A540)*AG$6:AG539)),"Date antérieure au bon précédent",IF(AND(A540&lt;&gt;"BR",ISNUMBER(M540),N(M540)&gt;0),IF(A540="BL","Livré plus que commandé","Sorti plus que demandé"),"OK"))))))))))))</f>
        <v/>
      </c>
      <c r="Y540" s="57" t="str">
        <f>IF(AND(OR(A540="BL",A540="BR",A540="BS"),AG540&gt;0,D540&lt;&gt;""),A540&amp;"|"&amp;AG540&amp;"|"&amp;D540&amp;"|"&amp;F540,"")</f>
        <v/>
      </c>
      <c r="Z540" s="57" t="str">
        <f>IF(Y540="","",IF(COUNTIF(Y$6:Y539,Y540)=0,1,0))</f>
        <v/>
      </c>
      <c r="AA540" s="57" t="str">
        <f>IF(Y540="","",IF(Z540=1,COUNTIFS(A$6:A540,A540,Z$6:Z540,1),INDEX(AA$6:AA539,MATCH(Y540,Y$6:Y539,0))))</f>
        <v/>
      </c>
      <c r="AB540" s="57" t="str">
        <f>IF(B540="","",COUNTIF(B$6:B540,B540))</f>
        <v/>
      </c>
      <c r="AC540" s="57" t="str">
        <f>IF(B540="","",B540&amp;"#"&amp;AB540)</f>
        <v/>
      </c>
      <c r="AD540" s="57" t="str">
        <f>IF(Z540=1,A540&amp;AA540,"")</f>
        <v/>
      </c>
      <c r="AE540" s="57" t="str">
        <f>IF(B540="","",YEAR(C540))</f>
        <v/>
      </c>
      <c r="AF540" s="57" t="str">
        <f>IF(B540="","",MONTH(C540))</f>
        <v/>
      </c>
      <c r="AG540" s="57">
        <f>IF(ISNUMBER(C540),C540,0)</f>
        <v>0.0</v>
      </c>
      <c r="AH540" s="57" t="str">
        <f>IF(N(W540)&gt;0,COUNTIF(W$6:W540,"&gt;0"),"")</f>
        <v/>
      </c>
      <c r="AI540" s="57" t="str">
        <f>IF(Z540=1,COUNTIF(Z$6:Z540,1),"")</f>
        <v/>
      </c>
    </row>
    <row r="541">
      <c r="A541" s="54" t="n"/>
      <c r="B541" s="55" t="str">
        <f>IF(AA541="","",A541&amp;"-"&amp;RIGHT("000"&amp;AA541,4))</f>
        <v/>
      </c>
      <c r="C541" s="56" t="n"/>
      <c r="D541" s="54" t="n"/>
      <c r="E541" s="57" t="str">
        <f>IF(D541="","",IF(A541="BL",IFERROR(INDEX(cl_name,MATCH(D541,cl_code,0))&amp;"","Client inconnu"),IF(A541="BR",IFERROR(INDEX(fo_name,MATCH(D541,fo_code,0))&amp;"","Fournisseur inconnu"),IF(A541="BS",IF(ISNA(MATCH(D541,p_services,0)),"Service inconnu",D541&amp;""),""))))</f>
        <v/>
      </c>
      <c r="F541" s="58" t="n"/>
      <c r="G541" s="58" t="n"/>
      <c r="H541" s="59" t="n"/>
      <c r="I541" s="57" t="str">
        <f>IF(H541="","",IFERROR(INDEX(art_des,MATCH(H541,art_ref,0))&amp;"","Article inconnu"))</f>
        <v/>
      </c>
      <c r="J541" s="60" t="str">
        <f>IF(H541="","",IFERROR(INDEX(art_unit,MATCH(H541,art_ref,0))&amp;"",""))</f>
        <v/>
      </c>
      <c r="K541" s="59" t="n"/>
      <c r="L541" s="59" t="n"/>
      <c r="M541" s="61" t="str">
        <f>IF(OR(B541="",NOT(ISNUMBER(K541)),NOT(ISNUMBER(L541))),"",IF(OR(K541&lt;=0,L541&lt;=0),"",ROUND(L541-K541,6)))</f>
        <v/>
      </c>
      <c r="N541" s="58" t="n"/>
      <c r="O541" s="62" t="n"/>
      <c r="P541" s="63" t="str">
        <f>IF(OR(B541="",NOT(ISNUMBER(L541))),"",IF(L541&lt;=0,"",IFERROR(ROUND(L541*N(INDEX(art_w,MATCH(H541,art_ref,0))),3),"")))</f>
        <v/>
      </c>
      <c r="Q541" s="59" t="n"/>
      <c r="R541" s="54" t="n"/>
      <c r="S541" s="59" t="n"/>
      <c r="T541" s="59" t="n"/>
      <c r="U541" s="64" t="str">
        <f>IF(OR(B541="",H541=""),"",IFERROR(IF(A541="BL",IF(N(INDEX(art_price,MATCH(H541,art_ref,0)))=0,"",N(INDEX(art_price,MATCH(H541,art_ref,0)))),IF(N(INDEX(art_cost,MATCH(H541,art_ref,0)))=0,"",N(INDEX(art_cost,MATCH(H541,art_ref,0))))),""))</f>
        <v/>
      </c>
      <c r="V541" s="64" t="str">
        <f>IF(OR(U541="",NOT(ISNUMBER(L541))),"",IF(L541&lt;=0,"",ROUND(L541*U541,2)))</f>
        <v/>
      </c>
      <c r="W541" s="60" t="str">
        <f>IF(AND(B541&lt;&gt;"",A541&lt;&gt;"BS",F541&lt;&gt;"",H541&lt;&gt;"",ISNUMBER(K541),ISNUMBER(L541)),IF(AND(K541&gt;0,L541&gt;0,K541-L541&gt;0,COUNTIFS(A542:A$2005,A541,F542:F$2005,F541,H542:H$2005,H541,AA542:AA$2005,"&gt;0")=0),ROUND(K541-L541,6),""),"")</f>
        <v/>
      </c>
      <c r="X541" s="60" t="str">
        <f>IF(AND(A541="",C541="",D541="",H541="",L541=""),"",IF(A541="","Type manquant",IF(AND(A541&lt;&gt;"BL",A541&lt;&gt;"BR",A541&lt;&gt;"BS"),"Type inconnu (BL, BR ou BS)",IF(AG541=0,"Date manquante ou invalide",IF(D541="",IF(A541="BL","Client manquant",IF(A541="BR","Fournisseur manquant","Service manquant")),IF(IF(A541="BL",ISNA(MATCH(D541,cl_code,0)),IF(A541="BR",ISNA(MATCH(D541,fo_code,0)),ISNA(MATCH(D541,p_services,0)))),IF(A541="BL","Client inconnu",IF(A541="BR","Fournisseur inconnu","Service inconnu")),IF(H541="","Article manquant",IF(ISNA(MATCH(H541,art_ref,0)),"Article inconnu",IF(OR(NOT(ISNUMBER(L541)),N(L541)&lt;=0),"Quantité invalide",IF(AND(K541&lt;&gt;"",OR(NOT(ISNUMBER(K541)),N(K541)&lt;=0)),"Qté commandée invalide",IF(AG541&lt;SUMPRODUCT(MAX((A$6:A540=A541)*AG$6:AG540)),"Date antérieure au bon précédent",IF(AND(A541&lt;&gt;"BR",ISNUMBER(M541),N(M541)&gt;0),IF(A541="BL","Livré plus que commandé","Sorti plus que demandé"),"OK"))))))))))))</f>
        <v/>
      </c>
      <c r="Y541" s="57" t="str">
        <f>IF(AND(OR(A541="BL",A541="BR",A541="BS"),AG541&gt;0,D541&lt;&gt;""),A541&amp;"|"&amp;AG541&amp;"|"&amp;D541&amp;"|"&amp;F541,"")</f>
        <v/>
      </c>
      <c r="Z541" s="57" t="str">
        <f>IF(Y541="","",IF(COUNTIF(Y$6:Y540,Y541)=0,1,0))</f>
        <v/>
      </c>
      <c r="AA541" s="57" t="str">
        <f>IF(Y541="","",IF(Z541=1,COUNTIFS(A$6:A541,A541,Z$6:Z541,1),INDEX(AA$6:AA540,MATCH(Y541,Y$6:Y540,0))))</f>
        <v/>
      </c>
      <c r="AB541" s="57" t="str">
        <f>IF(B541="","",COUNTIF(B$6:B541,B541))</f>
        <v/>
      </c>
      <c r="AC541" s="57" t="str">
        <f>IF(B541="","",B541&amp;"#"&amp;AB541)</f>
        <v/>
      </c>
      <c r="AD541" s="57" t="str">
        <f>IF(Z541=1,A541&amp;AA541,"")</f>
        <v/>
      </c>
      <c r="AE541" s="57" t="str">
        <f>IF(B541="","",YEAR(C541))</f>
        <v/>
      </c>
      <c r="AF541" s="57" t="str">
        <f>IF(B541="","",MONTH(C541))</f>
        <v/>
      </c>
      <c r="AG541" s="57">
        <f>IF(ISNUMBER(C541),C541,0)</f>
        <v>0.0</v>
      </c>
      <c r="AH541" s="57" t="str">
        <f>IF(N(W541)&gt;0,COUNTIF(W$6:W541,"&gt;0"),"")</f>
        <v/>
      </c>
      <c r="AI541" s="57" t="str">
        <f>IF(Z541=1,COUNTIF(Z$6:Z541,1),"")</f>
        <v/>
      </c>
    </row>
    <row r="542">
      <c r="A542" s="54" t="n"/>
      <c r="B542" s="55" t="str">
        <f>IF(AA542="","",A542&amp;"-"&amp;RIGHT("000"&amp;AA542,4))</f>
        <v/>
      </c>
      <c r="C542" s="56" t="n"/>
      <c r="D542" s="54" t="n"/>
      <c r="E542" s="57" t="str">
        <f>IF(D542="","",IF(A542="BL",IFERROR(INDEX(cl_name,MATCH(D542,cl_code,0))&amp;"","Client inconnu"),IF(A542="BR",IFERROR(INDEX(fo_name,MATCH(D542,fo_code,0))&amp;"","Fournisseur inconnu"),IF(A542="BS",IF(ISNA(MATCH(D542,p_services,0)),"Service inconnu",D542&amp;""),""))))</f>
        <v/>
      </c>
      <c r="F542" s="58" t="n"/>
      <c r="G542" s="58" t="n"/>
      <c r="H542" s="59" t="n"/>
      <c r="I542" s="57" t="str">
        <f>IF(H542="","",IFERROR(INDEX(art_des,MATCH(H542,art_ref,0))&amp;"","Article inconnu"))</f>
        <v/>
      </c>
      <c r="J542" s="60" t="str">
        <f>IF(H542="","",IFERROR(INDEX(art_unit,MATCH(H542,art_ref,0))&amp;"",""))</f>
        <v/>
      </c>
      <c r="K542" s="59" t="n"/>
      <c r="L542" s="59" t="n"/>
      <c r="M542" s="61" t="str">
        <f>IF(OR(B542="",NOT(ISNUMBER(K542)),NOT(ISNUMBER(L542))),"",IF(OR(K542&lt;=0,L542&lt;=0),"",ROUND(L542-K542,6)))</f>
        <v/>
      </c>
      <c r="N542" s="58" t="n"/>
      <c r="O542" s="62" t="n"/>
      <c r="P542" s="63" t="str">
        <f>IF(OR(B542="",NOT(ISNUMBER(L542))),"",IF(L542&lt;=0,"",IFERROR(ROUND(L542*N(INDEX(art_w,MATCH(H542,art_ref,0))),3),"")))</f>
        <v/>
      </c>
      <c r="Q542" s="59" t="n"/>
      <c r="R542" s="54" t="n"/>
      <c r="S542" s="59" t="n"/>
      <c r="T542" s="59" t="n"/>
      <c r="U542" s="64" t="str">
        <f>IF(OR(B542="",H542=""),"",IFERROR(IF(A542="BL",IF(N(INDEX(art_price,MATCH(H542,art_ref,0)))=0,"",N(INDEX(art_price,MATCH(H542,art_ref,0)))),IF(N(INDEX(art_cost,MATCH(H542,art_ref,0)))=0,"",N(INDEX(art_cost,MATCH(H542,art_ref,0))))),""))</f>
        <v/>
      </c>
      <c r="V542" s="64" t="str">
        <f>IF(OR(U542="",NOT(ISNUMBER(L542))),"",IF(L542&lt;=0,"",ROUND(L542*U542,2)))</f>
        <v/>
      </c>
      <c r="W542" s="60" t="str">
        <f>IF(AND(B542&lt;&gt;"",A542&lt;&gt;"BS",F542&lt;&gt;"",H542&lt;&gt;"",ISNUMBER(K542),ISNUMBER(L542)),IF(AND(K542&gt;0,L542&gt;0,K542-L542&gt;0,COUNTIFS(A543:A$2005,A542,F543:F$2005,F542,H543:H$2005,H542,AA543:AA$2005,"&gt;0")=0),ROUND(K542-L542,6),""),"")</f>
        <v/>
      </c>
      <c r="X542" s="60" t="str">
        <f>IF(AND(A542="",C542="",D542="",H542="",L542=""),"",IF(A542="","Type manquant",IF(AND(A542&lt;&gt;"BL",A542&lt;&gt;"BR",A542&lt;&gt;"BS"),"Type inconnu (BL, BR ou BS)",IF(AG542=0,"Date manquante ou invalide",IF(D542="",IF(A542="BL","Client manquant",IF(A542="BR","Fournisseur manquant","Service manquant")),IF(IF(A542="BL",ISNA(MATCH(D542,cl_code,0)),IF(A542="BR",ISNA(MATCH(D542,fo_code,0)),ISNA(MATCH(D542,p_services,0)))),IF(A542="BL","Client inconnu",IF(A542="BR","Fournisseur inconnu","Service inconnu")),IF(H542="","Article manquant",IF(ISNA(MATCH(H542,art_ref,0)),"Article inconnu",IF(OR(NOT(ISNUMBER(L542)),N(L542)&lt;=0),"Quantité invalide",IF(AND(K542&lt;&gt;"",OR(NOT(ISNUMBER(K542)),N(K542)&lt;=0)),"Qté commandée invalide",IF(AG542&lt;SUMPRODUCT(MAX((A$6:A541=A542)*AG$6:AG541)),"Date antérieure au bon précédent",IF(AND(A542&lt;&gt;"BR",ISNUMBER(M542),N(M542)&gt;0),IF(A542="BL","Livré plus que commandé","Sorti plus que demandé"),"OK"))))))))))))</f>
        <v/>
      </c>
      <c r="Y542" s="57" t="str">
        <f>IF(AND(OR(A542="BL",A542="BR",A542="BS"),AG542&gt;0,D542&lt;&gt;""),A542&amp;"|"&amp;AG542&amp;"|"&amp;D542&amp;"|"&amp;F542,"")</f>
        <v/>
      </c>
      <c r="Z542" s="57" t="str">
        <f>IF(Y542="","",IF(COUNTIF(Y$6:Y541,Y542)=0,1,0))</f>
        <v/>
      </c>
      <c r="AA542" s="57" t="str">
        <f>IF(Y542="","",IF(Z542=1,COUNTIFS(A$6:A542,A542,Z$6:Z542,1),INDEX(AA$6:AA541,MATCH(Y542,Y$6:Y541,0))))</f>
        <v/>
      </c>
      <c r="AB542" s="57" t="str">
        <f>IF(B542="","",COUNTIF(B$6:B542,B542))</f>
        <v/>
      </c>
      <c r="AC542" s="57" t="str">
        <f>IF(B542="","",B542&amp;"#"&amp;AB542)</f>
        <v/>
      </c>
      <c r="AD542" s="57" t="str">
        <f>IF(Z542=1,A542&amp;AA542,"")</f>
        <v/>
      </c>
      <c r="AE542" s="57" t="str">
        <f>IF(B542="","",YEAR(C542))</f>
        <v/>
      </c>
      <c r="AF542" s="57" t="str">
        <f>IF(B542="","",MONTH(C542))</f>
        <v/>
      </c>
      <c r="AG542" s="57">
        <f>IF(ISNUMBER(C542),C542,0)</f>
        <v>0.0</v>
      </c>
      <c r="AH542" s="57" t="str">
        <f>IF(N(W542)&gt;0,COUNTIF(W$6:W542,"&gt;0"),"")</f>
        <v/>
      </c>
      <c r="AI542" s="57" t="str">
        <f>IF(Z542=1,COUNTIF(Z$6:Z542,1),"")</f>
        <v/>
      </c>
    </row>
    <row r="543">
      <c r="A543" s="54" t="n"/>
      <c r="B543" s="55" t="str">
        <f>IF(AA543="","",A543&amp;"-"&amp;RIGHT("000"&amp;AA543,4))</f>
        <v/>
      </c>
      <c r="C543" s="56" t="n"/>
      <c r="D543" s="54" t="n"/>
      <c r="E543" s="57" t="str">
        <f>IF(D543="","",IF(A543="BL",IFERROR(INDEX(cl_name,MATCH(D543,cl_code,0))&amp;"","Client inconnu"),IF(A543="BR",IFERROR(INDEX(fo_name,MATCH(D543,fo_code,0))&amp;"","Fournisseur inconnu"),IF(A543="BS",IF(ISNA(MATCH(D543,p_services,0)),"Service inconnu",D543&amp;""),""))))</f>
        <v/>
      </c>
      <c r="F543" s="58" t="n"/>
      <c r="G543" s="58" t="n"/>
      <c r="H543" s="59" t="n"/>
      <c r="I543" s="57" t="str">
        <f>IF(H543="","",IFERROR(INDEX(art_des,MATCH(H543,art_ref,0))&amp;"","Article inconnu"))</f>
        <v/>
      </c>
      <c r="J543" s="60" t="str">
        <f>IF(H543="","",IFERROR(INDEX(art_unit,MATCH(H543,art_ref,0))&amp;"",""))</f>
        <v/>
      </c>
      <c r="K543" s="59" t="n"/>
      <c r="L543" s="59" t="n"/>
      <c r="M543" s="61" t="str">
        <f>IF(OR(B543="",NOT(ISNUMBER(K543)),NOT(ISNUMBER(L543))),"",IF(OR(K543&lt;=0,L543&lt;=0),"",ROUND(L543-K543,6)))</f>
        <v/>
      </c>
      <c r="N543" s="58" t="n"/>
      <c r="O543" s="62" t="n"/>
      <c r="P543" s="63" t="str">
        <f>IF(OR(B543="",NOT(ISNUMBER(L543))),"",IF(L543&lt;=0,"",IFERROR(ROUND(L543*N(INDEX(art_w,MATCH(H543,art_ref,0))),3),"")))</f>
        <v/>
      </c>
      <c r="Q543" s="59" t="n"/>
      <c r="R543" s="54" t="n"/>
      <c r="S543" s="59" t="n"/>
      <c r="T543" s="59" t="n"/>
      <c r="U543" s="64" t="str">
        <f>IF(OR(B543="",H543=""),"",IFERROR(IF(A543="BL",IF(N(INDEX(art_price,MATCH(H543,art_ref,0)))=0,"",N(INDEX(art_price,MATCH(H543,art_ref,0)))),IF(N(INDEX(art_cost,MATCH(H543,art_ref,0)))=0,"",N(INDEX(art_cost,MATCH(H543,art_ref,0))))),""))</f>
        <v/>
      </c>
      <c r="V543" s="64" t="str">
        <f>IF(OR(U543="",NOT(ISNUMBER(L543))),"",IF(L543&lt;=0,"",ROUND(L543*U543,2)))</f>
        <v/>
      </c>
      <c r="W543" s="60" t="str">
        <f>IF(AND(B543&lt;&gt;"",A543&lt;&gt;"BS",F543&lt;&gt;"",H543&lt;&gt;"",ISNUMBER(K543),ISNUMBER(L543)),IF(AND(K543&gt;0,L543&gt;0,K543-L543&gt;0,COUNTIFS(A544:A$2005,A543,F544:F$2005,F543,H544:H$2005,H543,AA544:AA$2005,"&gt;0")=0),ROUND(K543-L543,6),""),"")</f>
        <v/>
      </c>
      <c r="X543" s="60" t="str">
        <f>IF(AND(A543="",C543="",D543="",H543="",L543=""),"",IF(A543="","Type manquant",IF(AND(A543&lt;&gt;"BL",A543&lt;&gt;"BR",A543&lt;&gt;"BS"),"Type inconnu (BL, BR ou BS)",IF(AG543=0,"Date manquante ou invalide",IF(D543="",IF(A543="BL","Client manquant",IF(A543="BR","Fournisseur manquant","Service manquant")),IF(IF(A543="BL",ISNA(MATCH(D543,cl_code,0)),IF(A543="BR",ISNA(MATCH(D543,fo_code,0)),ISNA(MATCH(D543,p_services,0)))),IF(A543="BL","Client inconnu",IF(A543="BR","Fournisseur inconnu","Service inconnu")),IF(H543="","Article manquant",IF(ISNA(MATCH(H543,art_ref,0)),"Article inconnu",IF(OR(NOT(ISNUMBER(L543)),N(L543)&lt;=0),"Quantité invalide",IF(AND(K543&lt;&gt;"",OR(NOT(ISNUMBER(K543)),N(K543)&lt;=0)),"Qté commandée invalide",IF(AG543&lt;SUMPRODUCT(MAX((A$6:A542=A543)*AG$6:AG542)),"Date antérieure au bon précédent",IF(AND(A543&lt;&gt;"BR",ISNUMBER(M543),N(M543)&gt;0),IF(A543="BL","Livré plus que commandé","Sorti plus que demandé"),"OK"))))))))))))</f>
        <v/>
      </c>
      <c r="Y543" s="57" t="str">
        <f>IF(AND(OR(A543="BL",A543="BR",A543="BS"),AG543&gt;0,D543&lt;&gt;""),A543&amp;"|"&amp;AG543&amp;"|"&amp;D543&amp;"|"&amp;F543,"")</f>
        <v/>
      </c>
      <c r="Z543" s="57" t="str">
        <f>IF(Y543="","",IF(COUNTIF(Y$6:Y542,Y543)=0,1,0))</f>
        <v/>
      </c>
      <c r="AA543" s="57" t="str">
        <f>IF(Y543="","",IF(Z543=1,COUNTIFS(A$6:A543,A543,Z$6:Z543,1),INDEX(AA$6:AA542,MATCH(Y543,Y$6:Y542,0))))</f>
        <v/>
      </c>
      <c r="AB543" s="57" t="str">
        <f>IF(B543="","",COUNTIF(B$6:B543,B543))</f>
        <v/>
      </c>
      <c r="AC543" s="57" t="str">
        <f>IF(B543="","",B543&amp;"#"&amp;AB543)</f>
        <v/>
      </c>
      <c r="AD543" s="57" t="str">
        <f>IF(Z543=1,A543&amp;AA543,"")</f>
        <v/>
      </c>
      <c r="AE543" s="57" t="str">
        <f>IF(B543="","",YEAR(C543))</f>
        <v/>
      </c>
      <c r="AF543" s="57" t="str">
        <f>IF(B543="","",MONTH(C543))</f>
        <v/>
      </c>
      <c r="AG543" s="57">
        <f>IF(ISNUMBER(C543),C543,0)</f>
        <v>0.0</v>
      </c>
      <c r="AH543" s="57" t="str">
        <f>IF(N(W543)&gt;0,COUNTIF(W$6:W543,"&gt;0"),"")</f>
        <v/>
      </c>
      <c r="AI543" s="57" t="str">
        <f>IF(Z543=1,COUNTIF(Z$6:Z543,1),"")</f>
        <v/>
      </c>
    </row>
    <row r="544">
      <c r="A544" s="54" t="n"/>
      <c r="B544" s="55" t="str">
        <f>IF(AA544="","",A544&amp;"-"&amp;RIGHT("000"&amp;AA544,4))</f>
        <v/>
      </c>
      <c r="C544" s="56" t="n"/>
      <c r="D544" s="54" t="n"/>
      <c r="E544" s="57" t="str">
        <f>IF(D544="","",IF(A544="BL",IFERROR(INDEX(cl_name,MATCH(D544,cl_code,0))&amp;"","Client inconnu"),IF(A544="BR",IFERROR(INDEX(fo_name,MATCH(D544,fo_code,0))&amp;"","Fournisseur inconnu"),IF(A544="BS",IF(ISNA(MATCH(D544,p_services,0)),"Service inconnu",D544&amp;""),""))))</f>
        <v/>
      </c>
      <c r="F544" s="58" t="n"/>
      <c r="G544" s="58" t="n"/>
      <c r="H544" s="59" t="n"/>
      <c r="I544" s="57" t="str">
        <f>IF(H544="","",IFERROR(INDEX(art_des,MATCH(H544,art_ref,0))&amp;"","Article inconnu"))</f>
        <v/>
      </c>
      <c r="J544" s="60" t="str">
        <f>IF(H544="","",IFERROR(INDEX(art_unit,MATCH(H544,art_ref,0))&amp;"",""))</f>
        <v/>
      </c>
      <c r="K544" s="59" t="n"/>
      <c r="L544" s="59" t="n"/>
      <c r="M544" s="61" t="str">
        <f>IF(OR(B544="",NOT(ISNUMBER(K544)),NOT(ISNUMBER(L544))),"",IF(OR(K544&lt;=0,L544&lt;=0),"",ROUND(L544-K544,6)))</f>
        <v/>
      </c>
      <c r="N544" s="58" t="n"/>
      <c r="O544" s="62" t="n"/>
      <c r="P544" s="63" t="str">
        <f>IF(OR(B544="",NOT(ISNUMBER(L544))),"",IF(L544&lt;=0,"",IFERROR(ROUND(L544*N(INDEX(art_w,MATCH(H544,art_ref,0))),3),"")))</f>
        <v/>
      </c>
      <c r="Q544" s="59" t="n"/>
      <c r="R544" s="54" t="n"/>
      <c r="S544" s="59" t="n"/>
      <c r="T544" s="59" t="n"/>
      <c r="U544" s="64" t="str">
        <f>IF(OR(B544="",H544=""),"",IFERROR(IF(A544="BL",IF(N(INDEX(art_price,MATCH(H544,art_ref,0)))=0,"",N(INDEX(art_price,MATCH(H544,art_ref,0)))),IF(N(INDEX(art_cost,MATCH(H544,art_ref,0)))=0,"",N(INDEX(art_cost,MATCH(H544,art_ref,0))))),""))</f>
        <v/>
      </c>
      <c r="V544" s="64" t="str">
        <f>IF(OR(U544="",NOT(ISNUMBER(L544))),"",IF(L544&lt;=0,"",ROUND(L544*U544,2)))</f>
        <v/>
      </c>
      <c r="W544" s="60" t="str">
        <f>IF(AND(B544&lt;&gt;"",A544&lt;&gt;"BS",F544&lt;&gt;"",H544&lt;&gt;"",ISNUMBER(K544),ISNUMBER(L544)),IF(AND(K544&gt;0,L544&gt;0,K544-L544&gt;0,COUNTIFS(A545:A$2005,A544,F545:F$2005,F544,H545:H$2005,H544,AA545:AA$2005,"&gt;0")=0),ROUND(K544-L544,6),""),"")</f>
        <v/>
      </c>
      <c r="X544" s="60" t="str">
        <f>IF(AND(A544="",C544="",D544="",H544="",L544=""),"",IF(A544="","Type manquant",IF(AND(A544&lt;&gt;"BL",A544&lt;&gt;"BR",A544&lt;&gt;"BS"),"Type inconnu (BL, BR ou BS)",IF(AG544=0,"Date manquante ou invalide",IF(D544="",IF(A544="BL","Client manquant",IF(A544="BR","Fournisseur manquant","Service manquant")),IF(IF(A544="BL",ISNA(MATCH(D544,cl_code,0)),IF(A544="BR",ISNA(MATCH(D544,fo_code,0)),ISNA(MATCH(D544,p_services,0)))),IF(A544="BL","Client inconnu",IF(A544="BR","Fournisseur inconnu","Service inconnu")),IF(H544="","Article manquant",IF(ISNA(MATCH(H544,art_ref,0)),"Article inconnu",IF(OR(NOT(ISNUMBER(L544)),N(L544)&lt;=0),"Quantité invalide",IF(AND(K544&lt;&gt;"",OR(NOT(ISNUMBER(K544)),N(K544)&lt;=0)),"Qté commandée invalide",IF(AG544&lt;SUMPRODUCT(MAX((A$6:A543=A544)*AG$6:AG543)),"Date antérieure au bon précédent",IF(AND(A544&lt;&gt;"BR",ISNUMBER(M544),N(M544)&gt;0),IF(A544="BL","Livré plus que commandé","Sorti plus que demandé"),"OK"))))))))))))</f>
        <v/>
      </c>
      <c r="Y544" s="57" t="str">
        <f>IF(AND(OR(A544="BL",A544="BR",A544="BS"),AG544&gt;0,D544&lt;&gt;""),A544&amp;"|"&amp;AG544&amp;"|"&amp;D544&amp;"|"&amp;F544,"")</f>
        <v/>
      </c>
      <c r="Z544" s="57" t="str">
        <f>IF(Y544="","",IF(COUNTIF(Y$6:Y543,Y544)=0,1,0))</f>
        <v/>
      </c>
      <c r="AA544" s="57" t="str">
        <f>IF(Y544="","",IF(Z544=1,COUNTIFS(A$6:A544,A544,Z$6:Z544,1),INDEX(AA$6:AA543,MATCH(Y544,Y$6:Y543,0))))</f>
        <v/>
      </c>
      <c r="AB544" s="57" t="str">
        <f>IF(B544="","",COUNTIF(B$6:B544,B544))</f>
        <v/>
      </c>
      <c r="AC544" s="57" t="str">
        <f>IF(B544="","",B544&amp;"#"&amp;AB544)</f>
        <v/>
      </c>
      <c r="AD544" s="57" t="str">
        <f>IF(Z544=1,A544&amp;AA544,"")</f>
        <v/>
      </c>
      <c r="AE544" s="57" t="str">
        <f>IF(B544="","",YEAR(C544))</f>
        <v/>
      </c>
      <c r="AF544" s="57" t="str">
        <f>IF(B544="","",MONTH(C544))</f>
        <v/>
      </c>
      <c r="AG544" s="57">
        <f>IF(ISNUMBER(C544),C544,0)</f>
        <v>0.0</v>
      </c>
      <c r="AH544" s="57" t="str">
        <f>IF(N(W544)&gt;0,COUNTIF(W$6:W544,"&gt;0"),"")</f>
        <v/>
      </c>
      <c r="AI544" s="57" t="str">
        <f>IF(Z544=1,COUNTIF(Z$6:Z544,1),"")</f>
        <v/>
      </c>
    </row>
    <row r="545">
      <c r="A545" s="54" t="n"/>
      <c r="B545" s="55" t="str">
        <f>IF(AA545="","",A545&amp;"-"&amp;RIGHT("000"&amp;AA545,4))</f>
        <v/>
      </c>
      <c r="C545" s="56" t="n"/>
      <c r="D545" s="54" t="n"/>
      <c r="E545" s="57" t="str">
        <f>IF(D545="","",IF(A545="BL",IFERROR(INDEX(cl_name,MATCH(D545,cl_code,0))&amp;"","Client inconnu"),IF(A545="BR",IFERROR(INDEX(fo_name,MATCH(D545,fo_code,0))&amp;"","Fournisseur inconnu"),IF(A545="BS",IF(ISNA(MATCH(D545,p_services,0)),"Service inconnu",D545&amp;""),""))))</f>
        <v/>
      </c>
      <c r="F545" s="58" t="n"/>
      <c r="G545" s="58" t="n"/>
      <c r="H545" s="59" t="n"/>
      <c r="I545" s="57" t="str">
        <f>IF(H545="","",IFERROR(INDEX(art_des,MATCH(H545,art_ref,0))&amp;"","Article inconnu"))</f>
        <v/>
      </c>
      <c r="J545" s="60" t="str">
        <f>IF(H545="","",IFERROR(INDEX(art_unit,MATCH(H545,art_ref,0))&amp;"",""))</f>
        <v/>
      </c>
      <c r="K545" s="59" t="n"/>
      <c r="L545" s="59" t="n"/>
      <c r="M545" s="61" t="str">
        <f>IF(OR(B545="",NOT(ISNUMBER(K545)),NOT(ISNUMBER(L545))),"",IF(OR(K545&lt;=0,L545&lt;=0),"",ROUND(L545-K545,6)))</f>
        <v/>
      </c>
      <c r="N545" s="58" t="n"/>
      <c r="O545" s="62" t="n"/>
      <c r="P545" s="63" t="str">
        <f>IF(OR(B545="",NOT(ISNUMBER(L545))),"",IF(L545&lt;=0,"",IFERROR(ROUND(L545*N(INDEX(art_w,MATCH(H545,art_ref,0))),3),"")))</f>
        <v/>
      </c>
      <c r="Q545" s="59" t="n"/>
      <c r="R545" s="54" t="n"/>
      <c r="S545" s="59" t="n"/>
      <c r="T545" s="59" t="n"/>
      <c r="U545" s="64" t="str">
        <f>IF(OR(B545="",H545=""),"",IFERROR(IF(A545="BL",IF(N(INDEX(art_price,MATCH(H545,art_ref,0)))=0,"",N(INDEX(art_price,MATCH(H545,art_ref,0)))),IF(N(INDEX(art_cost,MATCH(H545,art_ref,0)))=0,"",N(INDEX(art_cost,MATCH(H545,art_ref,0))))),""))</f>
        <v/>
      </c>
      <c r="V545" s="64" t="str">
        <f>IF(OR(U545="",NOT(ISNUMBER(L545))),"",IF(L545&lt;=0,"",ROUND(L545*U545,2)))</f>
        <v/>
      </c>
      <c r="W545" s="60" t="str">
        <f>IF(AND(B545&lt;&gt;"",A545&lt;&gt;"BS",F545&lt;&gt;"",H545&lt;&gt;"",ISNUMBER(K545),ISNUMBER(L545)),IF(AND(K545&gt;0,L545&gt;0,K545-L545&gt;0,COUNTIFS(A546:A$2005,A545,F546:F$2005,F545,H546:H$2005,H545,AA546:AA$2005,"&gt;0")=0),ROUND(K545-L545,6),""),"")</f>
        <v/>
      </c>
      <c r="X545" s="60" t="str">
        <f>IF(AND(A545="",C545="",D545="",H545="",L545=""),"",IF(A545="","Type manquant",IF(AND(A545&lt;&gt;"BL",A545&lt;&gt;"BR",A545&lt;&gt;"BS"),"Type inconnu (BL, BR ou BS)",IF(AG545=0,"Date manquante ou invalide",IF(D545="",IF(A545="BL","Client manquant",IF(A545="BR","Fournisseur manquant","Service manquant")),IF(IF(A545="BL",ISNA(MATCH(D545,cl_code,0)),IF(A545="BR",ISNA(MATCH(D545,fo_code,0)),ISNA(MATCH(D545,p_services,0)))),IF(A545="BL","Client inconnu",IF(A545="BR","Fournisseur inconnu","Service inconnu")),IF(H545="","Article manquant",IF(ISNA(MATCH(H545,art_ref,0)),"Article inconnu",IF(OR(NOT(ISNUMBER(L545)),N(L545)&lt;=0),"Quantité invalide",IF(AND(K545&lt;&gt;"",OR(NOT(ISNUMBER(K545)),N(K545)&lt;=0)),"Qté commandée invalide",IF(AG545&lt;SUMPRODUCT(MAX((A$6:A544=A545)*AG$6:AG544)),"Date antérieure au bon précédent",IF(AND(A545&lt;&gt;"BR",ISNUMBER(M545),N(M545)&gt;0),IF(A545="BL","Livré plus que commandé","Sorti plus que demandé"),"OK"))))))))))))</f>
        <v/>
      </c>
      <c r="Y545" s="57" t="str">
        <f>IF(AND(OR(A545="BL",A545="BR",A545="BS"),AG545&gt;0,D545&lt;&gt;""),A545&amp;"|"&amp;AG545&amp;"|"&amp;D545&amp;"|"&amp;F545,"")</f>
        <v/>
      </c>
      <c r="Z545" s="57" t="str">
        <f>IF(Y545="","",IF(COUNTIF(Y$6:Y544,Y545)=0,1,0))</f>
        <v/>
      </c>
      <c r="AA545" s="57" t="str">
        <f>IF(Y545="","",IF(Z545=1,COUNTIFS(A$6:A545,A545,Z$6:Z545,1),INDEX(AA$6:AA544,MATCH(Y545,Y$6:Y544,0))))</f>
        <v/>
      </c>
      <c r="AB545" s="57" t="str">
        <f>IF(B545="","",COUNTIF(B$6:B545,B545))</f>
        <v/>
      </c>
      <c r="AC545" s="57" t="str">
        <f>IF(B545="","",B545&amp;"#"&amp;AB545)</f>
        <v/>
      </c>
      <c r="AD545" s="57" t="str">
        <f>IF(Z545=1,A545&amp;AA545,"")</f>
        <v/>
      </c>
      <c r="AE545" s="57" t="str">
        <f>IF(B545="","",YEAR(C545))</f>
        <v/>
      </c>
      <c r="AF545" s="57" t="str">
        <f>IF(B545="","",MONTH(C545))</f>
        <v/>
      </c>
      <c r="AG545" s="57">
        <f>IF(ISNUMBER(C545),C545,0)</f>
        <v>0.0</v>
      </c>
      <c r="AH545" s="57" t="str">
        <f>IF(N(W545)&gt;0,COUNTIF(W$6:W545,"&gt;0"),"")</f>
        <v/>
      </c>
      <c r="AI545" s="57" t="str">
        <f>IF(Z545=1,COUNTIF(Z$6:Z545,1),"")</f>
        <v/>
      </c>
    </row>
    <row r="546">
      <c r="A546" s="54" t="n"/>
      <c r="B546" s="55" t="str">
        <f>IF(AA546="","",A546&amp;"-"&amp;RIGHT("000"&amp;AA546,4))</f>
        <v/>
      </c>
      <c r="C546" s="56" t="n"/>
      <c r="D546" s="54" t="n"/>
      <c r="E546" s="57" t="str">
        <f>IF(D546="","",IF(A546="BL",IFERROR(INDEX(cl_name,MATCH(D546,cl_code,0))&amp;"","Client inconnu"),IF(A546="BR",IFERROR(INDEX(fo_name,MATCH(D546,fo_code,0))&amp;"","Fournisseur inconnu"),IF(A546="BS",IF(ISNA(MATCH(D546,p_services,0)),"Service inconnu",D546&amp;""),""))))</f>
        <v/>
      </c>
      <c r="F546" s="58" t="n"/>
      <c r="G546" s="58" t="n"/>
      <c r="H546" s="59" t="n"/>
      <c r="I546" s="57" t="str">
        <f>IF(H546="","",IFERROR(INDEX(art_des,MATCH(H546,art_ref,0))&amp;"","Article inconnu"))</f>
        <v/>
      </c>
      <c r="J546" s="60" t="str">
        <f>IF(H546="","",IFERROR(INDEX(art_unit,MATCH(H546,art_ref,0))&amp;"",""))</f>
        <v/>
      </c>
      <c r="K546" s="59" t="n"/>
      <c r="L546" s="59" t="n"/>
      <c r="M546" s="61" t="str">
        <f>IF(OR(B546="",NOT(ISNUMBER(K546)),NOT(ISNUMBER(L546))),"",IF(OR(K546&lt;=0,L546&lt;=0),"",ROUND(L546-K546,6)))</f>
        <v/>
      </c>
      <c r="N546" s="58" t="n"/>
      <c r="O546" s="62" t="n"/>
      <c r="P546" s="63" t="str">
        <f>IF(OR(B546="",NOT(ISNUMBER(L546))),"",IF(L546&lt;=0,"",IFERROR(ROUND(L546*N(INDEX(art_w,MATCH(H546,art_ref,0))),3),"")))</f>
        <v/>
      </c>
      <c r="Q546" s="59" t="n"/>
      <c r="R546" s="54" t="n"/>
      <c r="S546" s="59" t="n"/>
      <c r="T546" s="59" t="n"/>
      <c r="U546" s="64" t="str">
        <f>IF(OR(B546="",H546=""),"",IFERROR(IF(A546="BL",IF(N(INDEX(art_price,MATCH(H546,art_ref,0)))=0,"",N(INDEX(art_price,MATCH(H546,art_ref,0)))),IF(N(INDEX(art_cost,MATCH(H546,art_ref,0)))=0,"",N(INDEX(art_cost,MATCH(H546,art_ref,0))))),""))</f>
        <v/>
      </c>
      <c r="V546" s="64" t="str">
        <f>IF(OR(U546="",NOT(ISNUMBER(L546))),"",IF(L546&lt;=0,"",ROUND(L546*U546,2)))</f>
        <v/>
      </c>
      <c r="W546" s="60" t="str">
        <f>IF(AND(B546&lt;&gt;"",A546&lt;&gt;"BS",F546&lt;&gt;"",H546&lt;&gt;"",ISNUMBER(K546),ISNUMBER(L546)),IF(AND(K546&gt;0,L546&gt;0,K546-L546&gt;0,COUNTIFS(A547:A$2005,A546,F547:F$2005,F546,H547:H$2005,H546,AA547:AA$2005,"&gt;0")=0),ROUND(K546-L546,6),""),"")</f>
        <v/>
      </c>
      <c r="X546" s="60" t="str">
        <f>IF(AND(A546="",C546="",D546="",H546="",L546=""),"",IF(A546="","Type manquant",IF(AND(A546&lt;&gt;"BL",A546&lt;&gt;"BR",A546&lt;&gt;"BS"),"Type inconnu (BL, BR ou BS)",IF(AG546=0,"Date manquante ou invalide",IF(D546="",IF(A546="BL","Client manquant",IF(A546="BR","Fournisseur manquant","Service manquant")),IF(IF(A546="BL",ISNA(MATCH(D546,cl_code,0)),IF(A546="BR",ISNA(MATCH(D546,fo_code,0)),ISNA(MATCH(D546,p_services,0)))),IF(A546="BL","Client inconnu",IF(A546="BR","Fournisseur inconnu","Service inconnu")),IF(H546="","Article manquant",IF(ISNA(MATCH(H546,art_ref,0)),"Article inconnu",IF(OR(NOT(ISNUMBER(L546)),N(L546)&lt;=0),"Quantité invalide",IF(AND(K546&lt;&gt;"",OR(NOT(ISNUMBER(K546)),N(K546)&lt;=0)),"Qté commandée invalide",IF(AG546&lt;SUMPRODUCT(MAX((A$6:A545=A546)*AG$6:AG545)),"Date antérieure au bon précédent",IF(AND(A546&lt;&gt;"BR",ISNUMBER(M546),N(M546)&gt;0),IF(A546="BL","Livré plus que commandé","Sorti plus que demandé"),"OK"))))))))))))</f>
        <v/>
      </c>
      <c r="Y546" s="57" t="str">
        <f>IF(AND(OR(A546="BL",A546="BR",A546="BS"),AG546&gt;0,D546&lt;&gt;""),A546&amp;"|"&amp;AG546&amp;"|"&amp;D546&amp;"|"&amp;F546,"")</f>
        <v/>
      </c>
      <c r="Z546" s="57" t="str">
        <f>IF(Y546="","",IF(COUNTIF(Y$6:Y545,Y546)=0,1,0))</f>
        <v/>
      </c>
      <c r="AA546" s="57" t="str">
        <f>IF(Y546="","",IF(Z546=1,COUNTIFS(A$6:A546,A546,Z$6:Z546,1),INDEX(AA$6:AA545,MATCH(Y546,Y$6:Y545,0))))</f>
        <v/>
      </c>
      <c r="AB546" s="57" t="str">
        <f>IF(B546="","",COUNTIF(B$6:B546,B546))</f>
        <v/>
      </c>
      <c r="AC546" s="57" t="str">
        <f>IF(B546="","",B546&amp;"#"&amp;AB546)</f>
        <v/>
      </c>
      <c r="AD546" s="57" t="str">
        <f>IF(Z546=1,A546&amp;AA546,"")</f>
        <v/>
      </c>
      <c r="AE546" s="57" t="str">
        <f>IF(B546="","",YEAR(C546))</f>
        <v/>
      </c>
      <c r="AF546" s="57" t="str">
        <f>IF(B546="","",MONTH(C546))</f>
        <v/>
      </c>
      <c r="AG546" s="57">
        <f>IF(ISNUMBER(C546),C546,0)</f>
        <v>0.0</v>
      </c>
      <c r="AH546" s="57" t="str">
        <f>IF(N(W546)&gt;0,COUNTIF(W$6:W546,"&gt;0"),"")</f>
        <v/>
      </c>
      <c r="AI546" s="57" t="str">
        <f>IF(Z546=1,COUNTIF(Z$6:Z546,1),"")</f>
        <v/>
      </c>
    </row>
    <row r="547">
      <c r="A547" s="54" t="n"/>
      <c r="B547" s="55" t="str">
        <f>IF(AA547="","",A547&amp;"-"&amp;RIGHT("000"&amp;AA547,4))</f>
        <v/>
      </c>
      <c r="C547" s="56" t="n"/>
      <c r="D547" s="54" t="n"/>
      <c r="E547" s="57" t="str">
        <f>IF(D547="","",IF(A547="BL",IFERROR(INDEX(cl_name,MATCH(D547,cl_code,0))&amp;"","Client inconnu"),IF(A547="BR",IFERROR(INDEX(fo_name,MATCH(D547,fo_code,0))&amp;"","Fournisseur inconnu"),IF(A547="BS",IF(ISNA(MATCH(D547,p_services,0)),"Service inconnu",D547&amp;""),""))))</f>
        <v/>
      </c>
      <c r="F547" s="58" t="n"/>
      <c r="G547" s="58" t="n"/>
      <c r="H547" s="59" t="n"/>
      <c r="I547" s="57" t="str">
        <f>IF(H547="","",IFERROR(INDEX(art_des,MATCH(H547,art_ref,0))&amp;"","Article inconnu"))</f>
        <v/>
      </c>
      <c r="J547" s="60" t="str">
        <f>IF(H547="","",IFERROR(INDEX(art_unit,MATCH(H547,art_ref,0))&amp;"",""))</f>
        <v/>
      </c>
      <c r="K547" s="59" t="n"/>
      <c r="L547" s="59" t="n"/>
      <c r="M547" s="61" t="str">
        <f>IF(OR(B547="",NOT(ISNUMBER(K547)),NOT(ISNUMBER(L547))),"",IF(OR(K547&lt;=0,L547&lt;=0),"",ROUND(L547-K547,6)))</f>
        <v/>
      </c>
      <c r="N547" s="58" t="n"/>
      <c r="O547" s="62" t="n"/>
      <c r="P547" s="63" t="str">
        <f>IF(OR(B547="",NOT(ISNUMBER(L547))),"",IF(L547&lt;=0,"",IFERROR(ROUND(L547*N(INDEX(art_w,MATCH(H547,art_ref,0))),3),"")))</f>
        <v/>
      </c>
      <c r="Q547" s="59" t="n"/>
      <c r="R547" s="54" t="n"/>
      <c r="S547" s="59" t="n"/>
      <c r="T547" s="59" t="n"/>
      <c r="U547" s="64" t="str">
        <f>IF(OR(B547="",H547=""),"",IFERROR(IF(A547="BL",IF(N(INDEX(art_price,MATCH(H547,art_ref,0)))=0,"",N(INDEX(art_price,MATCH(H547,art_ref,0)))),IF(N(INDEX(art_cost,MATCH(H547,art_ref,0)))=0,"",N(INDEX(art_cost,MATCH(H547,art_ref,0))))),""))</f>
        <v/>
      </c>
      <c r="V547" s="64" t="str">
        <f>IF(OR(U547="",NOT(ISNUMBER(L547))),"",IF(L547&lt;=0,"",ROUND(L547*U547,2)))</f>
        <v/>
      </c>
      <c r="W547" s="60" t="str">
        <f>IF(AND(B547&lt;&gt;"",A547&lt;&gt;"BS",F547&lt;&gt;"",H547&lt;&gt;"",ISNUMBER(K547),ISNUMBER(L547)),IF(AND(K547&gt;0,L547&gt;0,K547-L547&gt;0,COUNTIFS(A548:A$2005,A547,F548:F$2005,F547,H548:H$2005,H547,AA548:AA$2005,"&gt;0")=0),ROUND(K547-L547,6),""),"")</f>
        <v/>
      </c>
      <c r="X547" s="60" t="str">
        <f>IF(AND(A547="",C547="",D547="",H547="",L547=""),"",IF(A547="","Type manquant",IF(AND(A547&lt;&gt;"BL",A547&lt;&gt;"BR",A547&lt;&gt;"BS"),"Type inconnu (BL, BR ou BS)",IF(AG547=0,"Date manquante ou invalide",IF(D547="",IF(A547="BL","Client manquant",IF(A547="BR","Fournisseur manquant","Service manquant")),IF(IF(A547="BL",ISNA(MATCH(D547,cl_code,0)),IF(A547="BR",ISNA(MATCH(D547,fo_code,0)),ISNA(MATCH(D547,p_services,0)))),IF(A547="BL","Client inconnu",IF(A547="BR","Fournisseur inconnu","Service inconnu")),IF(H547="","Article manquant",IF(ISNA(MATCH(H547,art_ref,0)),"Article inconnu",IF(OR(NOT(ISNUMBER(L547)),N(L547)&lt;=0),"Quantité invalide",IF(AND(K547&lt;&gt;"",OR(NOT(ISNUMBER(K547)),N(K547)&lt;=0)),"Qté commandée invalide",IF(AG547&lt;SUMPRODUCT(MAX((A$6:A546=A547)*AG$6:AG546)),"Date antérieure au bon précédent",IF(AND(A547&lt;&gt;"BR",ISNUMBER(M547),N(M547)&gt;0),IF(A547="BL","Livré plus que commandé","Sorti plus que demandé"),"OK"))))))))))))</f>
        <v/>
      </c>
      <c r="Y547" s="57" t="str">
        <f>IF(AND(OR(A547="BL",A547="BR",A547="BS"),AG547&gt;0,D547&lt;&gt;""),A547&amp;"|"&amp;AG547&amp;"|"&amp;D547&amp;"|"&amp;F547,"")</f>
        <v/>
      </c>
      <c r="Z547" s="57" t="str">
        <f>IF(Y547="","",IF(COUNTIF(Y$6:Y546,Y547)=0,1,0))</f>
        <v/>
      </c>
      <c r="AA547" s="57" t="str">
        <f>IF(Y547="","",IF(Z547=1,COUNTIFS(A$6:A547,A547,Z$6:Z547,1),INDEX(AA$6:AA546,MATCH(Y547,Y$6:Y546,0))))</f>
        <v/>
      </c>
      <c r="AB547" s="57" t="str">
        <f>IF(B547="","",COUNTIF(B$6:B547,B547))</f>
        <v/>
      </c>
      <c r="AC547" s="57" t="str">
        <f>IF(B547="","",B547&amp;"#"&amp;AB547)</f>
        <v/>
      </c>
      <c r="AD547" s="57" t="str">
        <f>IF(Z547=1,A547&amp;AA547,"")</f>
        <v/>
      </c>
      <c r="AE547" s="57" t="str">
        <f>IF(B547="","",YEAR(C547))</f>
        <v/>
      </c>
      <c r="AF547" s="57" t="str">
        <f>IF(B547="","",MONTH(C547))</f>
        <v/>
      </c>
      <c r="AG547" s="57">
        <f>IF(ISNUMBER(C547),C547,0)</f>
        <v>0.0</v>
      </c>
      <c r="AH547" s="57" t="str">
        <f>IF(N(W547)&gt;0,COUNTIF(W$6:W547,"&gt;0"),"")</f>
        <v/>
      </c>
      <c r="AI547" s="57" t="str">
        <f>IF(Z547=1,COUNTIF(Z$6:Z547,1),"")</f>
        <v/>
      </c>
    </row>
    <row r="548">
      <c r="A548" s="54" t="n"/>
      <c r="B548" s="55" t="str">
        <f>IF(AA548="","",A548&amp;"-"&amp;RIGHT("000"&amp;AA548,4))</f>
        <v/>
      </c>
      <c r="C548" s="56" t="n"/>
      <c r="D548" s="54" t="n"/>
      <c r="E548" s="57" t="str">
        <f>IF(D548="","",IF(A548="BL",IFERROR(INDEX(cl_name,MATCH(D548,cl_code,0))&amp;"","Client inconnu"),IF(A548="BR",IFERROR(INDEX(fo_name,MATCH(D548,fo_code,0))&amp;"","Fournisseur inconnu"),IF(A548="BS",IF(ISNA(MATCH(D548,p_services,0)),"Service inconnu",D548&amp;""),""))))</f>
        <v/>
      </c>
      <c r="F548" s="58" t="n"/>
      <c r="G548" s="58" t="n"/>
      <c r="H548" s="59" t="n"/>
      <c r="I548" s="57" t="str">
        <f>IF(H548="","",IFERROR(INDEX(art_des,MATCH(H548,art_ref,0))&amp;"","Article inconnu"))</f>
        <v/>
      </c>
      <c r="J548" s="60" t="str">
        <f>IF(H548="","",IFERROR(INDEX(art_unit,MATCH(H548,art_ref,0))&amp;"",""))</f>
        <v/>
      </c>
      <c r="K548" s="59" t="n"/>
      <c r="L548" s="59" t="n"/>
      <c r="M548" s="61" t="str">
        <f>IF(OR(B548="",NOT(ISNUMBER(K548)),NOT(ISNUMBER(L548))),"",IF(OR(K548&lt;=0,L548&lt;=0),"",ROUND(L548-K548,6)))</f>
        <v/>
      </c>
      <c r="N548" s="58" t="n"/>
      <c r="O548" s="62" t="n"/>
      <c r="P548" s="63" t="str">
        <f>IF(OR(B548="",NOT(ISNUMBER(L548))),"",IF(L548&lt;=0,"",IFERROR(ROUND(L548*N(INDEX(art_w,MATCH(H548,art_ref,0))),3),"")))</f>
        <v/>
      </c>
      <c r="Q548" s="59" t="n"/>
      <c r="R548" s="54" t="n"/>
      <c r="S548" s="59" t="n"/>
      <c r="T548" s="59" t="n"/>
      <c r="U548" s="64" t="str">
        <f>IF(OR(B548="",H548=""),"",IFERROR(IF(A548="BL",IF(N(INDEX(art_price,MATCH(H548,art_ref,0)))=0,"",N(INDEX(art_price,MATCH(H548,art_ref,0)))),IF(N(INDEX(art_cost,MATCH(H548,art_ref,0)))=0,"",N(INDEX(art_cost,MATCH(H548,art_ref,0))))),""))</f>
        <v/>
      </c>
      <c r="V548" s="64" t="str">
        <f>IF(OR(U548="",NOT(ISNUMBER(L548))),"",IF(L548&lt;=0,"",ROUND(L548*U548,2)))</f>
        <v/>
      </c>
      <c r="W548" s="60" t="str">
        <f>IF(AND(B548&lt;&gt;"",A548&lt;&gt;"BS",F548&lt;&gt;"",H548&lt;&gt;"",ISNUMBER(K548),ISNUMBER(L548)),IF(AND(K548&gt;0,L548&gt;0,K548-L548&gt;0,COUNTIFS(A549:A$2005,A548,F549:F$2005,F548,H549:H$2005,H548,AA549:AA$2005,"&gt;0")=0),ROUND(K548-L548,6),""),"")</f>
        <v/>
      </c>
      <c r="X548" s="60" t="str">
        <f>IF(AND(A548="",C548="",D548="",H548="",L548=""),"",IF(A548="","Type manquant",IF(AND(A548&lt;&gt;"BL",A548&lt;&gt;"BR",A548&lt;&gt;"BS"),"Type inconnu (BL, BR ou BS)",IF(AG548=0,"Date manquante ou invalide",IF(D548="",IF(A548="BL","Client manquant",IF(A548="BR","Fournisseur manquant","Service manquant")),IF(IF(A548="BL",ISNA(MATCH(D548,cl_code,0)),IF(A548="BR",ISNA(MATCH(D548,fo_code,0)),ISNA(MATCH(D548,p_services,0)))),IF(A548="BL","Client inconnu",IF(A548="BR","Fournisseur inconnu","Service inconnu")),IF(H548="","Article manquant",IF(ISNA(MATCH(H548,art_ref,0)),"Article inconnu",IF(OR(NOT(ISNUMBER(L548)),N(L548)&lt;=0),"Quantité invalide",IF(AND(K548&lt;&gt;"",OR(NOT(ISNUMBER(K548)),N(K548)&lt;=0)),"Qté commandée invalide",IF(AG548&lt;SUMPRODUCT(MAX((A$6:A547=A548)*AG$6:AG547)),"Date antérieure au bon précédent",IF(AND(A548&lt;&gt;"BR",ISNUMBER(M548),N(M548)&gt;0),IF(A548="BL","Livré plus que commandé","Sorti plus que demandé"),"OK"))))))))))))</f>
        <v/>
      </c>
      <c r="Y548" s="57" t="str">
        <f>IF(AND(OR(A548="BL",A548="BR",A548="BS"),AG548&gt;0,D548&lt;&gt;""),A548&amp;"|"&amp;AG548&amp;"|"&amp;D548&amp;"|"&amp;F548,"")</f>
        <v/>
      </c>
      <c r="Z548" s="57" t="str">
        <f>IF(Y548="","",IF(COUNTIF(Y$6:Y547,Y548)=0,1,0))</f>
        <v/>
      </c>
      <c r="AA548" s="57" t="str">
        <f>IF(Y548="","",IF(Z548=1,COUNTIFS(A$6:A548,A548,Z$6:Z548,1),INDEX(AA$6:AA547,MATCH(Y548,Y$6:Y547,0))))</f>
        <v/>
      </c>
      <c r="AB548" s="57" t="str">
        <f>IF(B548="","",COUNTIF(B$6:B548,B548))</f>
        <v/>
      </c>
      <c r="AC548" s="57" t="str">
        <f>IF(B548="","",B548&amp;"#"&amp;AB548)</f>
        <v/>
      </c>
      <c r="AD548" s="57" t="str">
        <f>IF(Z548=1,A548&amp;AA548,"")</f>
        <v/>
      </c>
      <c r="AE548" s="57" t="str">
        <f>IF(B548="","",YEAR(C548))</f>
        <v/>
      </c>
      <c r="AF548" s="57" t="str">
        <f>IF(B548="","",MONTH(C548))</f>
        <v/>
      </c>
      <c r="AG548" s="57">
        <f>IF(ISNUMBER(C548),C548,0)</f>
        <v>0.0</v>
      </c>
      <c r="AH548" s="57" t="str">
        <f>IF(N(W548)&gt;0,COUNTIF(W$6:W548,"&gt;0"),"")</f>
        <v/>
      </c>
      <c r="AI548" s="57" t="str">
        <f>IF(Z548=1,COUNTIF(Z$6:Z548,1),"")</f>
        <v/>
      </c>
    </row>
    <row r="549">
      <c r="A549" s="54" t="n"/>
      <c r="B549" s="55" t="str">
        <f>IF(AA549="","",A549&amp;"-"&amp;RIGHT("000"&amp;AA549,4))</f>
        <v/>
      </c>
      <c r="C549" s="56" t="n"/>
      <c r="D549" s="54" t="n"/>
      <c r="E549" s="57" t="str">
        <f>IF(D549="","",IF(A549="BL",IFERROR(INDEX(cl_name,MATCH(D549,cl_code,0))&amp;"","Client inconnu"),IF(A549="BR",IFERROR(INDEX(fo_name,MATCH(D549,fo_code,0))&amp;"","Fournisseur inconnu"),IF(A549="BS",IF(ISNA(MATCH(D549,p_services,0)),"Service inconnu",D549&amp;""),""))))</f>
        <v/>
      </c>
      <c r="F549" s="58" t="n"/>
      <c r="G549" s="58" t="n"/>
      <c r="H549" s="59" t="n"/>
      <c r="I549" s="57" t="str">
        <f>IF(H549="","",IFERROR(INDEX(art_des,MATCH(H549,art_ref,0))&amp;"","Article inconnu"))</f>
        <v/>
      </c>
      <c r="J549" s="60" t="str">
        <f>IF(H549="","",IFERROR(INDEX(art_unit,MATCH(H549,art_ref,0))&amp;"",""))</f>
        <v/>
      </c>
      <c r="K549" s="59" t="n"/>
      <c r="L549" s="59" t="n"/>
      <c r="M549" s="61" t="str">
        <f>IF(OR(B549="",NOT(ISNUMBER(K549)),NOT(ISNUMBER(L549))),"",IF(OR(K549&lt;=0,L549&lt;=0),"",ROUND(L549-K549,6)))</f>
        <v/>
      </c>
      <c r="N549" s="58" t="n"/>
      <c r="O549" s="62" t="n"/>
      <c r="P549" s="63" t="str">
        <f>IF(OR(B549="",NOT(ISNUMBER(L549))),"",IF(L549&lt;=0,"",IFERROR(ROUND(L549*N(INDEX(art_w,MATCH(H549,art_ref,0))),3),"")))</f>
        <v/>
      </c>
      <c r="Q549" s="59" t="n"/>
      <c r="R549" s="54" t="n"/>
      <c r="S549" s="59" t="n"/>
      <c r="T549" s="59" t="n"/>
      <c r="U549" s="64" t="str">
        <f>IF(OR(B549="",H549=""),"",IFERROR(IF(A549="BL",IF(N(INDEX(art_price,MATCH(H549,art_ref,0)))=0,"",N(INDEX(art_price,MATCH(H549,art_ref,0)))),IF(N(INDEX(art_cost,MATCH(H549,art_ref,0)))=0,"",N(INDEX(art_cost,MATCH(H549,art_ref,0))))),""))</f>
        <v/>
      </c>
      <c r="V549" s="64" t="str">
        <f>IF(OR(U549="",NOT(ISNUMBER(L549))),"",IF(L549&lt;=0,"",ROUND(L549*U549,2)))</f>
        <v/>
      </c>
      <c r="W549" s="60" t="str">
        <f>IF(AND(B549&lt;&gt;"",A549&lt;&gt;"BS",F549&lt;&gt;"",H549&lt;&gt;"",ISNUMBER(K549),ISNUMBER(L549)),IF(AND(K549&gt;0,L549&gt;0,K549-L549&gt;0,COUNTIFS(A550:A$2005,A549,F550:F$2005,F549,H550:H$2005,H549,AA550:AA$2005,"&gt;0")=0),ROUND(K549-L549,6),""),"")</f>
        <v/>
      </c>
      <c r="X549" s="60" t="str">
        <f>IF(AND(A549="",C549="",D549="",H549="",L549=""),"",IF(A549="","Type manquant",IF(AND(A549&lt;&gt;"BL",A549&lt;&gt;"BR",A549&lt;&gt;"BS"),"Type inconnu (BL, BR ou BS)",IF(AG549=0,"Date manquante ou invalide",IF(D549="",IF(A549="BL","Client manquant",IF(A549="BR","Fournisseur manquant","Service manquant")),IF(IF(A549="BL",ISNA(MATCH(D549,cl_code,0)),IF(A549="BR",ISNA(MATCH(D549,fo_code,0)),ISNA(MATCH(D549,p_services,0)))),IF(A549="BL","Client inconnu",IF(A549="BR","Fournisseur inconnu","Service inconnu")),IF(H549="","Article manquant",IF(ISNA(MATCH(H549,art_ref,0)),"Article inconnu",IF(OR(NOT(ISNUMBER(L549)),N(L549)&lt;=0),"Quantité invalide",IF(AND(K549&lt;&gt;"",OR(NOT(ISNUMBER(K549)),N(K549)&lt;=0)),"Qté commandée invalide",IF(AG549&lt;SUMPRODUCT(MAX((A$6:A548=A549)*AG$6:AG548)),"Date antérieure au bon précédent",IF(AND(A549&lt;&gt;"BR",ISNUMBER(M549),N(M549)&gt;0),IF(A549="BL","Livré plus que commandé","Sorti plus que demandé"),"OK"))))))))))))</f>
        <v/>
      </c>
      <c r="Y549" s="57" t="str">
        <f>IF(AND(OR(A549="BL",A549="BR",A549="BS"),AG549&gt;0,D549&lt;&gt;""),A549&amp;"|"&amp;AG549&amp;"|"&amp;D549&amp;"|"&amp;F549,"")</f>
        <v/>
      </c>
      <c r="Z549" s="57" t="str">
        <f>IF(Y549="","",IF(COUNTIF(Y$6:Y548,Y549)=0,1,0))</f>
        <v/>
      </c>
      <c r="AA549" s="57" t="str">
        <f>IF(Y549="","",IF(Z549=1,COUNTIFS(A$6:A549,A549,Z$6:Z549,1),INDEX(AA$6:AA548,MATCH(Y549,Y$6:Y548,0))))</f>
        <v/>
      </c>
      <c r="AB549" s="57" t="str">
        <f>IF(B549="","",COUNTIF(B$6:B549,B549))</f>
        <v/>
      </c>
      <c r="AC549" s="57" t="str">
        <f>IF(B549="","",B549&amp;"#"&amp;AB549)</f>
        <v/>
      </c>
      <c r="AD549" s="57" t="str">
        <f>IF(Z549=1,A549&amp;AA549,"")</f>
        <v/>
      </c>
      <c r="AE549" s="57" t="str">
        <f>IF(B549="","",YEAR(C549))</f>
        <v/>
      </c>
      <c r="AF549" s="57" t="str">
        <f>IF(B549="","",MONTH(C549))</f>
        <v/>
      </c>
      <c r="AG549" s="57">
        <f>IF(ISNUMBER(C549),C549,0)</f>
        <v>0.0</v>
      </c>
      <c r="AH549" s="57" t="str">
        <f>IF(N(W549)&gt;0,COUNTIF(W$6:W549,"&gt;0"),"")</f>
        <v/>
      </c>
      <c r="AI549" s="57" t="str">
        <f>IF(Z549=1,COUNTIF(Z$6:Z549,1),"")</f>
        <v/>
      </c>
    </row>
    <row r="550">
      <c r="A550" s="54" t="n"/>
      <c r="B550" s="55" t="str">
        <f>IF(AA550="","",A550&amp;"-"&amp;RIGHT("000"&amp;AA550,4))</f>
        <v/>
      </c>
      <c r="C550" s="56" t="n"/>
      <c r="D550" s="54" t="n"/>
      <c r="E550" s="57" t="str">
        <f>IF(D550="","",IF(A550="BL",IFERROR(INDEX(cl_name,MATCH(D550,cl_code,0))&amp;"","Client inconnu"),IF(A550="BR",IFERROR(INDEX(fo_name,MATCH(D550,fo_code,0))&amp;"","Fournisseur inconnu"),IF(A550="BS",IF(ISNA(MATCH(D550,p_services,0)),"Service inconnu",D550&amp;""),""))))</f>
        <v/>
      </c>
      <c r="F550" s="58" t="n"/>
      <c r="G550" s="58" t="n"/>
      <c r="H550" s="59" t="n"/>
      <c r="I550" s="57" t="str">
        <f>IF(H550="","",IFERROR(INDEX(art_des,MATCH(H550,art_ref,0))&amp;"","Article inconnu"))</f>
        <v/>
      </c>
      <c r="J550" s="60" t="str">
        <f>IF(H550="","",IFERROR(INDEX(art_unit,MATCH(H550,art_ref,0))&amp;"",""))</f>
        <v/>
      </c>
      <c r="K550" s="59" t="n"/>
      <c r="L550" s="59" t="n"/>
      <c r="M550" s="61" t="str">
        <f>IF(OR(B550="",NOT(ISNUMBER(K550)),NOT(ISNUMBER(L550))),"",IF(OR(K550&lt;=0,L550&lt;=0),"",ROUND(L550-K550,6)))</f>
        <v/>
      </c>
      <c r="N550" s="58" t="n"/>
      <c r="O550" s="62" t="n"/>
      <c r="P550" s="63" t="str">
        <f>IF(OR(B550="",NOT(ISNUMBER(L550))),"",IF(L550&lt;=0,"",IFERROR(ROUND(L550*N(INDEX(art_w,MATCH(H550,art_ref,0))),3),"")))</f>
        <v/>
      </c>
      <c r="Q550" s="59" t="n"/>
      <c r="R550" s="54" t="n"/>
      <c r="S550" s="59" t="n"/>
      <c r="T550" s="59" t="n"/>
      <c r="U550" s="64" t="str">
        <f>IF(OR(B550="",H550=""),"",IFERROR(IF(A550="BL",IF(N(INDEX(art_price,MATCH(H550,art_ref,0)))=0,"",N(INDEX(art_price,MATCH(H550,art_ref,0)))),IF(N(INDEX(art_cost,MATCH(H550,art_ref,0)))=0,"",N(INDEX(art_cost,MATCH(H550,art_ref,0))))),""))</f>
        <v/>
      </c>
      <c r="V550" s="64" t="str">
        <f>IF(OR(U550="",NOT(ISNUMBER(L550))),"",IF(L550&lt;=0,"",ROUND(L550*U550,2)))</f>
        <v/>
      </c>
      <c r="W550" s="60" t="str">
        <f>IF(AND(B550&lt;&gt;"",A550&lt;&gt;"BS",F550&lt;&gt;"",H550&lt;&gt;"",ISNUMBER(K550),ISNUMBER(L550)),IF(AND(K550&gt;0,L550&gt;0,K550-L550&gt;0,COUNTIFS(A551:A$2005,A550,F551:F$2005,F550,H551:H$2005,H550,AA551:AA$2005,"&gt;0")=0),ROUND(K550-L550,6),""),"")</f>
        <v/>
      </c>
      <c r="X550" s="60" t="str">
        <f>IF(AND(A550="",C550="",D550="",H550="",L550=""),"",IF(A550="","Type manquant",IF(AND(A550&lt;&gt;"BL",A550&lt;&gt;"BR",A550&lt;&gt;"BS"),"Type inconnu (BL, BR ou BS)",IF(AG550=0,"Date manquante ou invalide",IF(D550="",IF(A550="BL","Client manquant",IF(A550="BR","Fournisseur manquant","Service manquant")),IF(IF(A550="BL",ISNA(MATCH(D550,cl_code,0)),IF(A550="BR",ISNA(MATCH(D550,fo_code,0)),ISNA(MATCH(D550,p_services,0)))),IF(A550="BL","Client inconnu",IF(A550="BR","Fournisseur inconnu","Service inconnu")),IF(H550="","Article manquant",IF(ISNA(MATCH(H550,art_ref,0)),"Article inconnu",IF(OR(NOT(ISNUMBER(L550)),N(L550)&lt;=0),"Quantité invalide",IF(AND(K550&lt;&gt;"",OR(NOT(ISNUMBER(K550)),N(K550)&lt;=0)),"Qté commandée invalide",IF(AG550&lt;SUMPRODUCT(MAX((A$6:A549=A550)*AG$6:AG549)),"Date antérieure au bon précédent",IF(AND(A550&lt;&gt;"BR",ISNUMBER(M550),N(M550)&gt;0),IF(A550="BL","Livré plus que commandé","Sorti plus que demandé"),"OK"))))))))))))</f>
        <v/>
      </c>
      <c r="Y550" s="57" t="str">
        <f>IF(AND(OR(A550="BL",A550="BR",A550="BS"),AG550&gt;0,D550&lt;&gt;""),A550&amp;"|"&amp;AG550&amp;"|"&amp;D550&amp;"|"&amp;F550,"")</f>
        <v/>
      </c>
      <c r="Z550" s="57" t="str">
        <f>IF(Y550="","",IF(COUNTIF(Y$6:Y549,Y550)=0,1,0))</f>
        <v/>
      </c>
      <c r="AA550" s="57" t="str">
        <f>IF(Y550="","",IF(Z550=1,COUNTIFS(A$6:A550,A550,Z$6:Z550,1),INDEX(AA$6:AA549,MATCH(Y550,Y$6:Y549,0))))</f>
        <v/>
      </c>
      <c r="AB550" s="57" t="str">
        <f>IF(B550="","",COUNTIF(B$6:B550,B550))</f>
        <v/>
      </c>
      <c r="AC550" s="57" t="str">
        <f>IF(B550="","",B550&amp;"#"&amp;AB550)</f>
        <v/>
      </c>
      <c r="AD550" s="57" t="str">
        <f>IF(Z550=1,A550&amp;AA550,"")</f>
        <v/>
      </c>
      <c r="AE550" s="57" t="str">
        <f>IF(B550="","",YEAR(C550))</f>
        <v/>
      </c>
      <c r="AF550" s="57" t="str">
        <f>IF(B550="","",MONTH(C550))</f>
        <v/>
      </c>
      <c r="AG550" s="57">
        <f>IF(ISNUMBER(C550),C550,0)</f>
        <v>0.0</v>
      </c>
      <c r="AH550" s="57" t="str">
        <f>IF(N(W550)&gt;0,COUNTIF(W$6:W550,"&gt;0"),"")</f>
        <v/>
      </c>
      <c r="AI550" s="57" t="str">
        <f>IF(Z550=1,COUNTIF(Z$6:Z550,1),"")</f>
        <v/>
      </c>
    </row>
    <row r="551">
      <c r="A551" s="54" t="n"/>
      <c r="B551" s="55" t="str">
        <f>IF(AA551="","",A551&amp;"-"&amp;RIGHT("000"&amp;AA551,4))</f>
        <v/>
      </c>
      <c r="C551" s="56" t="n"/>
      <c r="D551" s="54" t="n"/>
      <c r="E551" s="57" t="str">
        <f>IF(D551="","",IF(A551="BL",IFERROR(INDEX(cl_name,MATCH(D551,cl_code,0))&amp;"","Client inconnu"),IF(A551="BR",IFERROR(INDEX(fo_name,MATCH(D551,fo_code,0))&amp;"","Fournisseur inconnu"),IF(A551="BS",IF(ISNA(MATCH(D551,p_services,0)),"Service inconnu",D551&amp;""),""))))</f>
        <v/>
      </c>
      <c r="F551" s="58" t="n"/>
      <c r="G551" s="58" t="n"/>
      <c r="H551" s="59" t="n"/>
      <c r="I551" s="57" t="str">
        <f>IF(H551="","",IFERROR(INDEX(art_des,MATCH(H551,art_ref,0))&amp;"","Article inconnu"))</f>
        <v/>
      </c>
      <c r="J551" s="60" t="str">
        <f>IF(H551="","",IFERROR(INDEX(art_unit,MATCH(H551,art_ref,0))&amp;"",""))</f>
        <v/>
      </c>
      <c r="K551" s="59" t="n"/>
      <c r="L551" s="59" t="n"/>
      <c r="M551" s="61" t="str">
        <f>IF(OR(B551="",NOT(ISNUMBER(K551)),NOT(ISNUMBER(L551))),"",IF(OR(K551&lt;=0,L551&lt;=0),"",ROUND(L551-K551,6)))</f>
        <v/>
      </c>
      <c r="N551" s="58" t="n"/>
      <c r="O551" s="62" t="n"/>
      <c r="P551" s="63" t="str">
        <f>IF(OR(B551="",NOT(ISNUMBER(L551))),"",IF(L551&lt;=0,"",IFERROR(ROUND(L551*N(INDEX(art_w,MATCH(H551,art_ref,0))),3),"")))</f>
        <v/>
      </c>
      <c r="Q551" s="59" t="n"/>
      <c r="R551" s="54" t="n"/>
      <c r="S551" s="59" t="n"/>
      <c r="T551" s="59" t="n"/>
      <c r="U551" s="64" t="str">
        <f>IF(OR(B551="",H551=""),"",IFERROR(IF(A551="BL",IF(N(INDEX(art_price,MATCH(H551,art_ref,0)))=0,"",N(INDEX(art_price,MATCH(H551,art_ref,0)))),IF(N(INDEX(art_cost,MATCH(H551,art_ref,0)))=0,"",N(INDEX(art_cost,MATCH(H551,art_ref,0))))),""))</f>
        <v/>
      </c>
      <c r="V551" s="64" t="str">
        <f>IF(OR(U551="",NOT(ISNUMBER(L551))),"",IF(L551&lt;=0,"",ROUND(L551*U551,2)))</f>
        <v/>
      </c>
      <c r="W551" s="60" t="str">
        <f>IF(AND(B551&lt;&gt;"",A551&lt;&gt;"BS",F551&lt;&gt;"",H551&lt;&gt;"",ISNUMBER(K551),ISNUMBER(L551)),IF(AND(K551&gt;0,L551&gt;0,K551-L551&gt;0,COUNTIFS(A552:A$2005,A551,F552:F$2005,F551,H552:H$2005,H551,AA552:AA$2005,"&gt;0")=0),ROUND(K551-L551,6),""),"")</f>
        <v/>
      </c>
      <c r="X551" s="60" t="str">
        <f>IF(AND(A551="",C551="",D551="",H551="",L551=""),"",IF(A551="","Type manquant",IF(AND(A551&lt;&gt;"BL",A551&lt;&gt;"BR",A551&lt;&gt;"BS"),"Type inconnu (BL, BR ou BS)",IF(AG551=0,"Date manquante ou invalide",IF(D551="",IF(A551="BL","Client manquant",IF(A551="BR","Fournisseur manquant","Service manquant")),IF(IF(A551="BL",ISNA(MATCH(D551,cl_code,0)),IF(A551="BR",ISNA(MATCH(D551,fo_code,0)),ISNA(MATCH(D551,p_services,0)))),IF(A551="BL","Client inconnu",IF(A551="BR","Fournisseur inconnu","Service inconnu")),IF(H551="","Article manquant",IF(ISNA(MATCH(H551,art_ref,0)),"Article inconnu",IF(OR(NOT(ISNUMBER(L551)),N(L551)&lt;=0),"Quantité invalide",IF(AND(K551&lt;&gt;"",OR(NOT(ISNUMBER(K551)),N(K551)&lt;=0)),"Qté commandée invalide",IF(AG551&lt;SUMPRODUCT(MAX((A$6:A550=A551)*AG$6:AG550)),"Date antérieure au bon précédent",IF(AND(A551&lt;&gt;"BR",ISNUMBER(M551),N(M551)&gt;0),IF(A551="BL","Livré plus que commandé","Sorti plus que demandé"),"OK"))))))))))))</f>
        <v/>
      </c>
      <c r="Y551" s="57" t="str">
        <f>IF(AND(OR(A551="BL",A551="BR",A551="BS"),AG551&gt;0,D551&lt;&gt;""),A551&amp;"|"&amp;AG551&amp;"|"&amp;D551&amp;"|"&amp;F551,"")</f>
        <v/>
      </c>
      <c r="Z551" s="57" t="str">
        <f>IF(Y551="","",IF(COUNTIF(Y$6:Y550,Y551)=0,1,0))</f>
        <v/>
      </c>
      <c r="AA551" s="57" t="str">
        <f>IF(Y551="","",IF(Z551=1,COUNTIFS(A$6:A551,A551,Z$6:Z551,1),INDEX(AA$6:AA550,MATCH(Y551,Y$6:Y550,0))))</f>
        <v/>
      </c>
      <c r="AB551" s="57" t="str">
        <f>IF(B551="","",COUNTIF(B$6:B551,B551))</f>
        <v/>
      </c>
      <c r="AC551" s="57" t="str">
        <f>IF(B551="","",B551&amp;"#"&amp;AB551)</f>
        <v/>
      </c>
      <c r="AD551" s="57" t="str">
        <f>IF(Z551=1,A551&amp;AA551,"")</f>
        <v/>
      </c>
      <c r="AE551" s="57" t="str">
        <f>IF(B551="","",YEAR(C551))</f>
        <v/>
      </c>
      <c r="AF551" s="57" t="str">
        <f>IF(B551="","",MONTH(C551))</f>
        <v/>
      </c>
      <c r="AG551" s="57">
        <f>IF(ISNUMBER(C551),C551,0)</f>
        <v>0.0</v>
      </c>
      <c r="AH551" s="57" t="str">
        <f>IF(N(W551)&gt;0,COUNTIF(W$6:W551,"&gt;0"),"")</f>
        <v/>
      </c>
      <c r="AI551" s="57" t="str">
        <f>IF(Z551=1,COUNTIF(Z$6:Z551,1),"")</f>
        <v/>
      </c>
    </row>
    <row r="552">
      <c r="A552" s="54" t="n"/>
      <c r="B552" s="55" t="str">
        <f>IF(AA552="","",A552&amp;"-"&amp;RIGHT("000"&amp;AA552,4))</f>
        <v/>
      </c>
      <c r="C552" s="56" t="n"/>
      <c r="D552" s="54" t="n"/>
      <c r="E552" s="57" t="str">
        <f>IF(D552="","",IF(A552="BL",IFERROR(INDEX(cl_name,MATCH(D552,cl_code,0))&amp;"","Client inconnu"),IF(A552="BR",IFERROR(INDEX(fo_name,MATCH(D552,fo_code,0))&amp;"","Fournisseur inconnu"),IF(A552="BS",IF(ISNA(MATCH(D552,p_services,0)),"Service inconnu",D552&amp;""),""))))</f>
        <v/>
      </c>
      <c r="F552" s="58" t="n"/>
      <c r="G552" s="58" t="n"/>
      <c r="H552" s="59" t="n"/>
      <c r="I552" s="57" t="str">
        <f>IF(H552="","",IFERROR(INDEX(art_des,MATCH(H552,art_ref,0))&amp;"","Article inconnu"))</f>
        <v/>
      </c>
      <c r="J552" s="60" t="str">
        <f>IF(H552="","",IFERROR(INDEX(art_unit,MATCH(H552,art_ref,0))&amp;"",""))</f>
        <v/>
      </c>
      <c r="K552" s="59" t="n"/>
      <c r="L552" s="59" t="n"/>
      <c r="M552" s="61" t="str">
        <f>IF(OR(B552="",NOT(ISNUMBER(K552)),NOT(ISNUMBER(L552))),"",IF(OR(K552&lt;=0,L552&lt;=0),"",ROUND(L552-K552,6)))</f>
        <v/>
      </c>
      <c r="N552" s="58" t="n"/>
      <c r="O552" s="62" t="n"/>
      <c r="P552" s="63" t="str">
        <f>IF(OR(B552="",NOT(ISNUMBER(L552))),"",IF(L552&lt;=0,"",IFERROR(ROUND(L552*N(INDEX(art_w,MATCH(H552,art_ref,0))),3),"")))</f>
        <v/>
      </c>
      <c r="Q552" s="59" t="n"/>
      <c r="R552" s="54" t="n"/>
      <c r="S552" s="59" t="n"/>
      <c r="T552" s="59" t="n"/>
      <c r="U552" s="64" t="str">
        <f>IF(OR(B552="",H552=""),"",IFERROR(IF(A552="BL",IF(N(INDEX(art_price,MATCH(H552,art_ref,0)))=0,"",N(INDEX(art_price,MATCH(H552,art_ref,0)))),IF(N(INDEX(art_cost,MATCH(H552,art_ref,0)))=0,"",N(INDEX(art_cost,MATCH(H552,art_ref,0))))),""))</f>
        <v/>
      </c>
      <c r="V552" s="64" t="str">
        <f>IF(OR(U552="",NOT(ISNUMBER(L552))),"",IF(L552&lt;=0,"",ROUND(L552*U552,2)))</f>
        <v/>
      </c>
      <c r="W552" s="60" t="str">
        <f>IF(AND(B552&lt;&gt;"",A552&lt;&gt;"BS",F552&lt;&gt;"",H552&lt;&gt;"",ISNUMBER(K552),ISNUMBER(L552)),IF(AND(K552&gt;0,L552&gt;0,K552-L552&gt;0,COUNTIFS(A553:A$2005,A552,F553:F$2005,F552,H553:H$2005,H552,AA553:AA$2005,"&gt;0")=0),ROUND(K552-L552,6),""),"")</f>
        <v/>
      </c>
      <c r="X552" s="60" t="str">
        <f>IF(AND(A552="",C552="",D552="",H552="",L552=""),"",IF(A552="","Type manquant",IF(AND(A552&lt;&gt;"BL",A552&lt;&gt;"BR",A552&lt;&gt;"BS"),"Type inconnu (BL, BR ou BS)",IF(AG552=0,"Date manquante ou invalide",IF(D552="",IF(A552="BL","Client manquant",IF(A552="BR","Fournisseur manquant","Service manquant")),IF(IF(A552="BL",ISNA(MATCH(D552,cl_code,0)),IF(A552="BR",ISNA(MATCH(D552,fo_code,0)),ISNA(MATCH(D552,p_services,0)))),IF(A552="BL","Client inconnu",IF(A552="BR","Fournisseur inconnu","Service inconnu")),IF(H552="","Article manquant",IF(ISNA(MATCH(H552,art_ref,0)),"Article inconnu",IF(OR(NOT(ISNUMBER(L552)),N(L552)&lt;=0),"Quantité invalide",IF(AND(K552&lt;&gt;"",OR(NOT(ISNUMBER(K552)),N(K552)&lt;=0)),"Qté commandée invalide",IF(AG552&lt;SUMPRODUCT(MAX((A$6:A551=A552)*AG$6:AG551)),"Date antérieure au bon précédent",IF(AND(A552&lt;&gt;"BR",ISNUMBER(M552),N(M552)&gt;0),IF(A552="BL","Livré plus que commandé","Sorti plus que demandé"),"OK"))))))))))))</f>
        <v/>
      </c>
      <c r="Y552" s="57" t="str">
        <f>IF(AND(OR(A552="BL",A552="BR",A552="BS"),AG552&gt;0,D552&lt;&gt;""),A552&amp;"|"&amp;AG552&amp;"|"&amp;D552&amp;"|"&amp;F552,"")</f>
        <v/>
      </c>
      <c r="Z552" s="57" t="str">
        <f>IF(Y552="","",IF(COUNTIF(Y$6:Y551,Y552)=0,1,0))</f>
        <v/>
      </c>
      <c r="AA552" s="57" t="str">
        <f>IF(Y552="","",IF(Z552=1,COUNTIFS(A$6:A552,A552,Z$6:Z552,1),INDEX(AA$6:AA551,MATCH(Y552,Y$6:Y551,0))))</f>
        <v/>
      </c>
      <c r="AB552" s="57" t="str">
        <f>IF(B552="","",COUNTIF(B$6:B552,B552))</f>
        <v/>
      </c>
      <c r="AC552" s="57" t="str">
        <f>IF(B552="","",B552&amp;"#"&amp;AB552)</f>
        <v/>
      </c>
      <c r="AD552" s="57" t="str">
        <f>IF(Z552=1,A552&amp;AA552,"")</f>
        <v/>
      </c>
      <c r="AE552" s="57" t="str">
        <f>IF(B552="","",YEAR(C552))</f>
        <v/>
      </c>
      <c r="AF552" s="57" t="str">
        <f>IF(B552="","",MONTH(C552))</f>
        <v/>
      </c>
      <c r="AG552" s="57">
        <f>IF(ISNUMBER(C552),C552,0)</f>
        <v>0.0</v>
      </c>
      <c r="AH552" s="57" t="str">
        <f>IF(N(W552)&gt;0,COUNTIF(W$6:W552,"&gt;0"),"")</f>
        <v/>
      </c>
      <c r="AI552" s="57" t="str">
        <f>IF(Z552=1,COUNTIF(Z$6:Z552,1),"")</f>
        <v/>
      </c>
    </row>
    <row r="553">
      <c r="A553" s="54" t="n"/>
      <c r="B553" s="55" t="str">
        <f>IF(AA553="","",A553&amp;"-"&amp;RIGHT("000"&amp;AA553,4))</f>
        <v/>
      </c>
      <c r="C553" s="56" t="n"/>
      <c r="D553" s="54" t="n"/>
      <c r="E553" s="57" t="str">
        <f>IF(D553="","",IF(A553="BL",IFERROR(INDEX(cl_name,MATCH(D553,cl_code,0))&amp;"","Client inconnu"),IF(A553="BR",IFERROR(INDEX(fo_name,MATCH(D553,fo_code,0))&amp;"","Fournisseur inconnu"),IF(A553="BS",IF(ISNA(MATCH(D553,p_services,0)),"Service inconnu",D553&amp;""),""))))</f>
        <v/>
      </c>
      <c r="F553" s="58" t="n"/>
      <c r="G553" s="58" t="n"/>
      <c r="H553" s="59" t="n"/>
      <c r="I553" s="57" t="str">
        <f>IF(H553="","",IFERROR(INDEX(art_des,MATCH(H553,art_ref,0))&amp;"","Article inconnu"))</f>
        <v/>
      </c>
      <c r="J553" s="60" t="str">
        <f>IF(H553="","",IFERROR(INDEX(art_unit,MATCH(H553,art_ref,0))&amp;"",""))</f>
        <v/>
      </c>
      <c r="K553" s="59" t="n"/>
      <c r="L553" s="59" t="n"/>
      <c r="M553" s="61" t="str">
        <f>IF(OR(B553="",NOT(ISNUMBER(K553)),NOT(ISNUMBER(L553))),"",IF(OR(K553&lt;=0,L553&lt;=0),"",ROUND(L553-K553,6)))</f>
        <v/>
      </c>
      <c r="N553" s="58" t="n"/>
      <c r="O553" s="62" t="n"/>
      <c r="P553" s="63" t="str">
        <f>IF(OR(B553="",NOT(ISNUMBER(L553))),"",IF(L553&lt;=0,"",IFERROR(ROUND(L553*N(INDEX(art_w,MATCH(H553,art_ref,0))),3),"")))</f>
        <v/>
      </c>
      <c r="Q553" s="59" t="n"/>
      <c r="R553" s="54" t="n"/>
      <c r="S553" s="59" t="n"/>
      <c r="T553" s="59" t="n"/>
      <c r="U553" s="64" t="str">
        <f>IF(OR(B553="",H553=""),"",IFERROR(IF(A553="BL",IF(N(INDEX(art_price,MATCH(H553,art_ref,0)))=0,"",N(INDEX(art_price,MATCH(H553,art_ref,0)))),IF(N(INDEX(art_cost,MATCH(H553,art_ref,0)))=0,"",N(INDEX(art_cost,MATCH(H553,art_ref,0))))),""))</f>
        <v/>
      </c>
      <c r="V553" s="64" t="str">
        <f>IF(OR(U553="",NOT(ISNUMBER(L553))),"",IF(L553&lt;=0,"",ROUND(L553*U553,2)))</f>
        <v/>
      </c>
      <c r="W553" s="60" t="str">
        <f>IF(AND(B553&lt;&gt;"",A553&lt;&gt;"BS",F553&lt;&gt;"",H553&lt;&gt;"",ISNUMBER(K553),ISNUMBER(L553)),IF(AND(K553&gt;0,L553&gt;0,K553-L553&gt;0,COUNTIFS(A554:A$2005,A553,F554:F$2005,F553,H554:H$2005,H553,AA554:AA$2005,"&gt;0")=0),ROUND(K553-L553,6),""),"")</f>
        <v/>
      </c>
      <c r="X553" s="60" t="str">
        <f>IF(AND(A553="",C553="",D553="",H553="",L553=""),"",IF(A553="","Type manquant",IF(AND(A553&lt;&gt;"BL",A553&lt;&gt;"BR",A553&lt;&gt;"BS"),"Type inconnu (BL, BR ou BS)",IF(AG553=0,"Date manquante ou invalide",IF(D553="",IF(A553="BL","Client manquant",IF(A553="BR","Fournisseur manquant","Service manquant")),IF(IF(A553="BL",ISNA(MATCH(D553,cl_code,0)),IF(A553="BR",ISNA(MATCH(D553,fo_code,0)),ISNA(MATCH(D553,p_services,0)))),IF(A553="BL","Client inconnu",IF(A553="BR","Fournisseur inconnu","Service inconnu")),IF(H553="","Article manquant",IF(ISNA(MATCH(H553,art_ref,0)),"Article inconnu",IF(OR(NOT(ISNUMBER(L553)),N(L553)&lt;=0),"Quantité invalide",IF(AND(K553&lt;&gt;"",OR(NOT(ISNUMBER(K553)),N(K553)&lt;=0)),"Qté commandée invalide",IF(AG553&lt;SUMPRODUCT(MAX((A$6:A552=A553)*AG$6:AG552)),"Date antérieure au bon précédent",IF(AND(A553&lt;&gt;"BR",ISNUMBER(M553),N(M553)&gt;0),IF(A553="BL","Livré plus que commandé","Sorti plus que demandé"),"OK"))))))))))))</f>
        <v/>
      </c>
      <c r="Y553" s="57" t="str">
        <f>IF(AND(OR(A553="BL",A553="BR",A553="BS"),AG553&gt;0,D553&lt;&gt;""),A553&amp;"|"&amp;AG553&amp;"|"&amp;D553&amp;"|"&amp;F553,"")</f>
        <v/>
      </c>
      <c r="Z553" s="57" t="str">
        <f>IF(Y553="","",IF(COUNTIF(Y$6:Y552,Y553)=0,1,0))</f>
        <v/>
      </c>
      <c r="AA553" s="57" t="str">
        <f>IF(Y553="","",IF(Z553=1,COUNTIFS(A$6:A553,A553,Z$6:Z553,1),INDEX(AA$6:AA552,MATCH(Y553,Y$6:Y552,0))))</f>
        <v/>
      </c>
      <c r="AB553" s="57" t="str">
        <f>IF(B553="","",COUNTIF(B$6:B553,B553))</f>
        <v/>
      </c>
      <c r="AC553" s="57" t="str">
        <f>IF(B553="","",B553&amp;"#"&amp;AB553)</f>
        <v/>
      </c>
      <c r="AD553" s="57" t="str">
        <f>IF(Z553=1,A553&amp;AA553,"")</f>
        <v/>
      </c>
      <c r="AE553" s="57" t="str">
        <f>IF(B553="","",YEAR(C553))</f>
        <v/>
      </c>
      <c r="AF553" s="57" t="str">
        <f>IF(B553="","",MONTH(C553))</f>
        <v/>
      </c>
      <c r="AG553" s="57">
        <f>IF(ISNUMBER(C553),C553,0)</f>
        <v>0.0</v>
      </c>
      <c r="AH553" s="57" t="str">
        <f>IF(N(W553)&gt;0,COUNTIF(W$6:W553,"&gt;0"),"")</f>
        <v/>
      </c>
      <c r="AI553" s="57" t="str">
        <f>IF(Z553=1,COUNTIF(Z$6:Z553,1),"")</f>
        <v/>
      </c>
    </row>
    <row r="554">
      <c r="A554" s="54" t="n"/>
      <c r="B554" s="55" t="str">
        <f>IF(AA554="","",A554&amp;"-"&amp;RIGHT("000"&amp;AA554,4))</f>
        <v/>
      </c>
      <c r="C554" s="56" t="n"/>
      <c r="D554" s="54" t="n"/>
      <c r="E554" s="57" t="str">
        <f>IF(D554="","",IF(A554="BL",IFERROR(INDEX(cl_name,MATCH(D554,cl_code,0))&amp;"","Client inconnu"),IF(A554="BR",IFERROR(INDEX(fo_name,MATCH(D554,fo_code,0))&amp;"","Fournisseur inconnu"),IF(A554="BS",IF(ISNA(MATCH(D554,p_services,0)),"Service inconnu",D554&amp;""),""))))</f>
        <v/>
      </c>
      <c r="F554" s="58" t="n"/>
      <c r="G554" s="58" t="n"/>
      <c r="H554" s="59" t="n"/>
      <c r="I554" s="57" t="str">
        <f>IF(H554="","",IFERROR(INDEX(art_des,MATCH(H554,art_ref,0))&amp;"","Article inconnu"))</f>
        <v/>
      </c>
      <c r="J554" s="60" t="str">
        <f>IF(H554="","",IFERROR(INDEX(art_unit,MATCH(H554,art_ref,0))&amp;"",""))</f>
        <v/>
      </c>
      <c r="K554" s="59" t="n"/>
      <c r="L554" s="59" t="n"/>
      <c r="M554" s="61" t="str">
        <f>IF(OR(B554="",NOT(ISNUMBER(K554)),NOT(ISNUMBER(L554))),"",IF(OR(K554&lt;=0,L554&lt;=0),"",ROUND(L554-K554,6)))</f>
        <v/>
      </c>
      <c r="N554" s="58" t="n"/>
      <c r="O554" s="62" t="n"/>
      <c r="P554" s="63" t="str">
        <f>IF(OR(B554="",NOT(ISNUMBER(L554))),"",IF(L554&lt;=0,"",IFERROR(ROUND(L554*N(INDEX(art_w,MATCH(H554,art_ref,0))),3),"")))</f>
        <v/>
      </c>
      <c r="Q554" s="59" t="n"/>
      <c r="R554" s="54" t="n"/>
      <c r="S554" s="59" t="n"/>
      <c r="T554" s="59" t="n"/>
      <c r="U554" s="64" t="str">
        <f>IF(OR(B554="",H554=""),"",IFERROR(IF(A554="BL",IF(N(INDEX(art_price,MATCH(H554,art_ref,0)))=0,"",N(INDEX(art_price,MATCH(H554,art_ref,0)))),IF(N(INDEX(art_cost,MATCH(H554,art_ref,0)))=0,"",N(INDEX(art_cost,MATCH(H554,art_ref,0))))),""))</f>
        <v/>
      </c>
      <c r="V554" s="64" t="str">
        <f>IF(OR(U554="",NOT(ISNUMBER(L554))),"",IF(L554&lt;=0,"",ROUND(L554*U554,2)))</f>
        <v/>
      </c>
      <c r="W554" s="60" t="str">
        <f>IF(AND(B554&lt;&gt;"",A554&lt;&gt;"BS",F554&lt;&gt;"",H554&lt;&gt;"",ISNUMBER(K554),ISNUMBER(L554)),IF(AND(K554&gt;0,L554&gt;0,K554-L554&gt;0,COUNTIFS(A555:A$2005,A554,F555:F$2005,F554,H555:H$2005,H554,AA555:AA$2005,"&gt;0")=0),ROUND(K554-L554,6),""),"")</f>
        <v/>
      </c>
      <c r="X554" s="60" t="str">
        <f>IF(AND(A554="",C554="",D554="",H554="",L554=""),"",IF(A554="","Type manquant",IF(AND(A554&lt;&gt;"BL",A554&lt;&gt;"BR",A554&lt;&gt;"BS"),"Type inconnu (BL, BR ou BS)",IF(AG554=0,"Date manquante ou invalide",IF(D554="",IF(A554="BL","Client manquant",IF(A554="BR","Fournisseur manquant","Service manquant")),IF(IF(A554="BL",ISNA(MATCH(D554,cl_code,0)),IF(A554="BR",ISNA(MATCH(D554,fo_code,0)),ISNA(MATCH(D554,p_services,0)))),IF(A554="BL","Client inconnu",IF(A554="BR","Fournisseur inconnu","Service inconnu")),IF(H554="","Article manquant",IF(ISNA(MATCH(H554,art_ref,0)),"Article inconnu",IF(OR(NOT(ISNUMBER(L554)),N(L554)&lt;=0),"Quantité invalide",IF(AND(K554&lt;&gt;"",OR(NOT(ISNUMBER(K554)),N(K554)&lt;=0)),"Qté commandée invalide",IF(AG554&lt;SUMPRODUCT(MAX((A$6:A553=A554)*AG$6:AG553)),"Date antérieure au bon précédent",IF(AND(A554&lt;&gt;"BR",ISNUMBER(M554),N(M554)&gt;0),IF(A554="BL","Livré plus que commandé","Sorti plus que demandé"),"OK"))))))))))))</f>
        <v/>
      </c>
      <c r="Y554" s="57" t="str">
        <f>IF(AND(OR(A554="BL",A554="BR",A554="BS"),AG554&gt;0,D554&lt;&gt;""),A554&amp;"|"&amp;AG554&amp;"|"&amp;D554&amp;"|"&amp;F554,"")</f>
        <v/>
      </c>
      <c r="Z554" s="57" t="str">
        <f>IF(Y554="","",IF(COUNTIF(Y$6:Y553,Y554)=0,1,0))</f>
        <v/>
      </c>
      <c r="AA554" s="57" t="str">
        <f>IF(Y554="","",IF(Z554=1,COUNTIFS(A$6:A554,A554,Z$6:Z554,1),INDEX(AA$6:AA553,MATCH(Y554,Y$6:Y553,0))))</f>
        <v/>
      </c>
      <c r="AB554" s="57" t="str">
        <f>IF(B554="","",COUNTIF(B$6:B554,B554))</f>
        <v/>
      </c>
      <c r="AC554" s="57" t="str">
        <f>IF(B554="","",B554&amp;"#"&amp;AB554)</f>
        <v/>
      </c>
      <c r="AD554" s="57" t="str">
        <f>IF(Z554=1,A554&amp;AA554,"")</f>
        <v/>
      </c>
      <c r="AE554" s="57" t="str">
        <f>IF(B554="","",YEAR(C554))</f>
        <v/>
      </c>
      <c r="AF554" s="57" t="str">
        <f>IF(B554="","",MONTH(C554))</f>
        <v/>
      </c>
      <c r="AG554" s="57">
        <f>IF(ISNUMBER(C554),C554,0)</f>
        <v>0.0</v>
      </c>
      <c r="AH554" s="57" t="str">
        <f>IF(N(W554)&gt;0,COUNTIF(W$6:W554,"&gt;0"),"")</f>
        <v/>
      </c>
      <c r="AI554" s="57" t="str">
        <f>IF(Z554=1,COUNTIF(Z$6:Z554,1),"")</f>
        <v/>
      </c>
    </row>
    <row r="555">
      <c r="A555" s="54" t="n"/>
      <c r="B555" s="55" t="str">
        <f>IF(AA555="","",A555&amp;"-"&amp;RIGHT("000"&amp;AA555,4))</f>
        <v/>
      </c>
      <c r="C555" s="56" t="n"/>
      <c r="D555" s="54" t="n"/>
      <c r="E555" s="57" t="str">
        <f>IF(D555="","",IF(A555="BL",IFERROR(INDEX(cl_name,MATCH(D555,cl_code,0))&amp;"","Client inconnu"),IF(A555="BR",IFERROR(INDEX(fo_name,MATCH(D555,fo_code,0))&amp;"","Fournisseur inconnu"),IF(A555="BS",IF(ISNA(MATCH(D555,p_services,0)),"Service inconnu",D555&amp;""),""))))</f>
        <v/>
      </c>
      <c r="F555" s="58" t="n"/>
      <c r="G555" s="58" t="n"/>
      <c r="H555" s="59" t="n"/>
      <c r="I555" s="57" t="str">
        <f>IF(H555="","",IFERROR(INDEX(art_des,MATCH(H555,art_ref,0))&amp;"","Article inconnu"))</f>
        <v/>
      </c>
      <c r="J555" s="60" t="str">
        <f>IF(H555="","",IFERROR(INDEX(art_unit,MATCH(H555,art_ref,0))&amp;"",""))</f>
        <v/>
      </c>
      <c r="K555" s="59" t="n"/>
      <c r="L555" s="59" t="n"/>
      <c r="M555" s="61" t="str">
        <f>IF(OR(B555="",NOT(ISNUMBER(K555)),NOT(ISNUMBER(L555))),"",IF(OR(K555&lt;=0,L555&lt;=0),"",ROUND(L555-K555,6)))</f>
        <v/>
      </c>
      <c r="N555" s="58" t="n"/>
      <c r="O555" s="62" t="n"/>
      <c r="P555" s="63" t="str">
        <f>IF(OR(B555="",NOT(ISNUMBER(L555))),"",IF(L555&lt;=0,"",IFERROR(ROUND(L555*N(INDEX(art_w,MATCH(H555,art_ref,0))),3),"")))</f>
        <v/>
      </c>
      <c r="Q555" s="59" t="n"/>
      <c r="R555" s="54" t="n"/>
      <c r="S555" s="59" t="n"/>
      <c r="T555" s="59" t="n"/>
      <c r="U555" s="64" t="str">
        <f>IF(OR(B555="",H555=""),"",IFERROR(IF(A555="BL",IF(N(INDEX(art_price,MATCH(H555,art_ref,0)))=0,"",N(INDEX(art_price,MATCH(H555,art_ref,0)))),IF(N(INDEX(art_cost,MATCH(H555,art_ref,0)))=0,"",N(INDEX(art_cost,MATCH(H555,art_ref,0))))),""))</f>
        <v/>
      </c>
      <c r="V555" s="64" t="str">
        <f>IF(OR(U555="",NOT(ISNUMBER(L555))),"",IF(L555&lt;=0,"",ROUND(L555*U555,2)))</f>
        <v/>
      </c>
      <c r="W555" s="60" t="str">
        <f>IF(AND(B555&lt;&gt;"",A555&lt;&gt;"BS",F555&lt;&gt;"",H555&lt;&gt;"",ISNUMBER(K555),ISNUMBER(L555)),IF(AND(K555&gt;0,L555&gt;0,K555-L555&gt;0,COUNTIFS(A556:A$2005,A555,F556:F$2005,F555,H556:H$2005,H555,AA556:AA$2005,"&gt;0")=0),ROUND(K555-L555,6),""),"")</f>
        <v/>
      </c>
      <c r="X555" s="60" t="str">
        <f>IF(AND(A555="",C555="",D555="",H555="",L555=""),"",IF(A555="","Type manquant",IF(AND(A555&lt;&gt;"BL",A555&lt;&gt;"BR",A555&lt;&gt;"BS"),"Type inconnu (BL, BR ou BS)",IF(AG555=0,"Date manquante ou invalide",IF(D555="",IF(A555="BL","Client manquant",IF(A555="BR","Fournisseur manquant","Service manquant")),IF(IF(A555="BL",ISNA(MATCH(D555,cl_code,0)),IF(A555="BR",ISNA(MATCH(D555,fo_code,0)),ISNA(MATCH(D555,p_services,0)))),IF(A555="BL","Client inconnu",IF(A555="BR","Fournisseur inconnu","Service inconnu")),IF(H555="","Article manquant",IF(ISNA(MATCH(H555,art_ref,0)),"Article inconnu",IF(OR(NOT(ISNUMBER(L555)),N(L555)&lt;=0),"Quantité invalide",IF(AND(K555&lt;&gt;"",OR(NOT(ISNUMBER(K555)),N(K555)&lt;=0)),"Qté commandée invalide",IF(AG555&lt;SUMPRODUCT(MAX((A$6:A554=A555)*AG$6:AG554)),"Date antérieure au bon précédent",IF(AND(A555&lt;&gt;"BR",ISNUMBER(M555),N(M555)&gt;0),IF(A555="BL","Livré plus que commandé","Sorti plus que demandé"),"OK"))))))))))))</f>
        <v/>
      </c>
      <c r="Y555" s="57" t="str">
        <f>IF(AND(OR(A555="BL",A555="BR",A555="BS"),AG555&gt;0,D555&lt;&gt;""),A555&amp;"|"&amp;AG555&amp;"|"&amp;D555&amp;"|"&amp;F555,"")</f>
        <v/>
      </c>
      <c r="Z555" s="57" t="str">
        <f>IF(Y555="","",IF(COUNTIF(Y$6:Y554,Y555)=0,1,0))</f>
        <v/>
      </c>
      <c r="AA555" s="57" t="str">
        <f>IF(Y555="","",IF(Z555=1,COUNTIFS(A$6:A555,A555,Z$6:Z555,1),INDEX(AA$6:AA554,MATCH(Y555,Y$6:Y554,0))))</f>
        <v/>
      </c>
      <c r="AB555" s="57" t="str">
        <f>IF(B555="","",COUNTIF(B$6:B555,B555))</f>
        <v/>
      </c>
      <c r="AC555" s="57" t="str">
        <f>IF(B555="","",B555&amp;"#"&amp;AB555)</f>
        <v/>
      </c>
      <c r="AD555" s="57" t="str">
        <f>IF(Z555=1,A555&amp;AA555,"")</f>
        <v/>
      </c>
      <c r="AE555" s="57" t="str">
        <f>IF(B555="","",YEAR(C555))</f>
        <v/>
      </c>
      <c r="AF555" s="57" t="str">
        <f>IF(B555="","",MONTH(C555))</f>
        <v/>
      </c>
      <c r="AG555" s="57">
        <f>IF(ISNUMBER(C555),C555,0)</f>
        <v>0.0</v>
      </c>
      <c r="AH555" s="57" t="str">
        <f>IF(N(W555)&gt;0,COUNTIF(W$6:W555,"&gt;0"),"")</f>
        <v/>
      </c>
      <c r="AI555" s="57" t="str">
        <f>IF(Z555=1,COUNTIF(Z$6:Z555,1),"")</f>
        <v/>
      </c>
    </row>
    <row r="556">
      <c r="A556" s="54" t="n"/>
      <c r="B556" s="55" t="str">
        <f>IF(AA556="","",A556&amp;"-"&amp;RIGHT("000"&amp;AA556,4))</f>
        <v/>
      </c>
      <c r="C556" s="56" t="n"/>
      <c r="D556" s="54" t="n"/>
      <c r="E556" s="57" t="str">
        <f>IF(D556="","",IF(A556="BL",IFERROR(INDEX(cl_name,MATCH(D556,cl_code,0))&amp;"","Client inconnu"),IF(A556="BR",IFERROR(INDEX(fo_name,MATCH(D556,fo_code,0))&amp;"","Fournisseur inconnu"),IF(A556="BS",IF(ISNA(MATCH(D556,p_services,0)),"Service inconnu",D556&amp;""),""))))</f>
        <v/>
      </c>
      <c r="F556" s="58" t="n"/>
      <c r="G556" s="58" t="n"/>
      <c r="H556" s="59" t="n"/>
      <c r="I556" s="57" t="str">
        <f>IF(H556="","",IFERROR(INDEX(art_des,MATCH(H556,art_ref,0))&amp;"","Article inconnu"))</f>
        <v/>
      </c>
      <c r="J556" s="60" t="str">
        <f>IF(H556="","",IFERROR(INDEX(art_unit,MATCH(H556,art_ref,0))&amp;"",""))</f>
        <v/>
      </c>
      <c r="K556" s="59" t="n"/>
      <c r="L556" s="59" t="n"/>
      <c r="M556" s="61" t="str">
        <f>IF(OR(B556="",NOT(ISNUMBER(K556)),NOT(ISNUMBER(L556))),"",IF(OR(K556&lt;=0,L556&lt;=0),"",ROUND(L556-K556,6)))</f>
        <v/>
      </c>
      <c r="N556" s="58" t="n"/>
      <c r="O556" s="62" t="n"/>
      <c r="P556" s="63" t="str">
        <f>IF(OR(B556="",NOT(ISNUMBER(L556))),"",IF(L556&lt;=0,"",IFERROR(ROUND(L556*N(INDEX(art_w,MATCH(H556,art_ref,0))),3),"")))</f>
        <v/>
      </c>
      <c r="Q556" s="59" t="n"/>
      <c r="R556" s="54" t="n"/>
      <c r="S556" s="59" t="n"/>
      <c r="T556" s="59" t="n"/>
      <c r="U556" s="64" t="str">
        <f>IF(OR(B556="",H556=""),"",IFERROR(IF(A556="BL",IF(N(INDEX(art_price,MATCH(H556,art_ref,0)))=0,"",N(INDEX(art_price,MATCH(H556,art_ref,0)))),IF(N(INDEX(art_cost,MATCH(H556,art_ref,0)))=0,"",N(INDEX(art_cost,MATCH(H556,art_ref,0))))),""))</f>
        <v/>
      </c>
      <c r="V556" s="64" t="str">
        <f>IF(OR(U556="",NOT(ISNUMBER(L556))),"",IF(L556&lt;=0,"",ROUND(L556*U556,2)))</f>
        <v/>
      </c>
      <c r="W556" s="60" t="str">
        <f>IF(AND(B556&lt;&gt;"",A556&lt;&gt;"BS",F556&lt;&gt;"",H556&lt;&gt;"",ISNUMBER(K556),ISNUMBER(L556)),IF(AND(K556&gt;0,L556&gt;0,K556-L556&gt;0,COUNTIFS(A557:A$2005,A556,F557:F$2005,F556,H557:H$2005,H556,AA557:AA$2005,"&gt;0")=0),ROUND(K556-L556,6),""),"")</f>
        <v/>
      </c>
      <c r="X556" s="60" t="str">
        <f>IF(AND(A556="",C556="",D556="",H556="",L556=""),"",IF(A556="","Type manquant",IF(AND(A556&lt;&gt;"BL",A556&lt;&gt;"BR",A556&lt;&gt;"BS"),"Type inconnu (BL, BR ou BS)",IF(AG556=0,"Date manquante ou invalide",IF(D556="",IF(A556="BL","Client manquant",IF(A556="BR","Fournisseur manquant","Service manquant")),IF(IF(A556="BL",ISNA(MATCH(D556,cl_code,0)),IF(A556="BR",ISNA(MATCH(D556,fo_code,0)),ISNA(MATCH(D556,p_services,0)))),IF(A556="BL","Client inconnu",IF(A556="BR","Fournisseur inconnu","Service inconnu")),IF(H556="","Article manquant",IF(ISNA(MATCH(H556,art_ref,0)),"Article inconnu",IF(OR(NOT(ISNUMBER(L556)),N(L556)&lt;=0),"Quantité invalide",IF(AND(K556&lt;&gt;"",OR(NOT(ISNUMBER(K556)),N(K556)&lt;=0)),"Qté commandée invalide",IF(AG556&lt;SUMPRODUCT(MAX((A$6:A555=A556)*AG$6:AG555)),"Date antérieure au bon précédent",IF(AND(A556&lt;&gt;"BR",ISNUMBER(M556),N(M556)&gt;0),IF(A556="BL","Livré plus que commandé","Sorti plus que demandé"),"OK"))))))))))))</f>
        <v/>
      </c>
      <c r="Y556" s="57" t="str">
        <f>IF(AND(OR(A556="BL",A556="BR",A556="BS"),AG556&gt;0,D556&lt;&gt;""),A556&amp;"|"&amp;AG556&amp;"|"&amp;D556&amp;"|"&amp;F556,"")</f>
        <v/>
      </c>
      <c r="Z556" s="57" t="str">
        <f>IF(Y556="","",IF(COUNTIF(Y$6:Y555,Y556)=0,1,0))</f>
        <v/>
      </c>
      <c r="AA556" s="57" t="str">
        <f>IF(Y556="","",IF(Z556=1,COUNTIFS(A$6:A556,A556,Z$6:Z556,1),INDEX(AA$6:AA555,MATCH(Y556,Y$6:Y555,0))))</f>
        <v/>
      </c>
      <c r="AB556" s="57" t="str">
        <f>IF(B556="","",COUNTIF(B$6:B556,B556))</f>
        <v/>
      </c>
      <c r="AC556" s="57" t="str">
        <f>IF(B556="","",B556&amp;"#"&amp;AB556)</f>
        <v/>
      </c>
      <c r="AD556" s="57" t="str">
        <f>IF(Z556=1,A556&amp;AA556,"")</f>
        <v/>
      </c>
      <c r="AE556" s="57" t="str">
        <f>IF(B556="","",YEAR(C556))</f>
        <v/>
      </c>
      <c r="AF556" s="57" t="str">
        <f>IF(B556="","",MONTH(C556))</f>
        <v/>
      </c>
      <c r="AG556" s="57">
        <f>IF(ISNUMBER(C556),C556,0)</f>
        <v>0.0</v>
      </c>
      <c r="AH556" s="57" t="str">
        <f>IF(N(W556)&gt;0,COUNTIF(W$6:W556,"&gt;0"),"")</f>
        <v/>
      </c>
      <c r="AI556" s="57" t="str">
        <f>IF(Z556=1,COUNTIF(Z$6:Z556,1),"")</f>
        <v/>
      </c>
    </row>
    <row r="557">
      <c r="A557" s="54" t="n"/>
      <c r="B557" s="55" t="str">
        <f>IF(AA557="","",A557&amp;"-"&amp;RIGHT("000"&amp;AA557,4))</f>
        <v/>
      </c>
      <c r="C557" s="56" t="n"/>
      <c r="D557" s="54" t="n"/>
      <c r="E557" s="57" t="str">
        <f>IF(D557="","",IF(A557="BL",IFERROR(INDEX(cl_name,MATCH(D557,cl_code,0))&amp;"","Client inconnu"),IF(A557="BR",IFERROR(INDEX(fo_name,MATCH(D557,fo_code,0))&amp;"","Fournisseur inconnu"),IF(A557="BS",IF(ISNA(MATCH(D557,p_services,0)),"Service inconnu",D557&amp;""),""))))</f>
        <v/>
      </c>
      <c r="F557" s="58" t="n"/>
      <c r="G557" s="58" t="n"/>
      <c r="H557" s="59" t="n"/>
      <c r="I557" s="57" t="str">
        <f>IF(H557="","",IFERROR(INDEX(art_des,MATCH(H557,art_ref,0))&amp;"","Article inconnu"))</f>
        <v/>
      </c>
      <c r="J557" s="60" t="str">
        <f>IF(H557="","",IFERROR(INDEX(art_unit,MATCH(H557,art_ref,0))&amp;"",""))</f>
        <v/>
      </c>
      <c r="K557" s="59" t="n"/>
      <c r="L557" s="59" t="n"/>
      <c r="M557" s="61" t="str">
        <f>IF(OR(B557="",NOT(ISNUMBER(K557)),NOT(ISNUMBER(L557))),"",IF(OR(K557&lt;=0,L557&lt;=0),"",ROUND(L557-K557,6)))</f>
        <v/>
      </c>
      <c r="N557" s="58" t="n"/>
      <c r="O557" s="62" t="n"/>
      <c r="P557" s="63" t="str">
        <f>IF(OR(B557="",NOT(ISNUMBER(L557))),"",IF(L557&lt;=0,"",IFERROR(ROUND(L557*N(INDEX(art_w,MATCH(H557,art_ref,0))),3),"")))</f>
        <v/>
      </c>
      <c r="Q557" s="59" t="n"/>
      <c r="R557" s="54" t="n"/>
      <c r="S557" s="59" t="n"/>
      <c r="T557" s="59" t="n"/>
      <c r="U557" s="64" t="str">
        <f>IF(OR(B557="",H557=""),"",IFERROR(IF(A557="BL",IF(N(INDEX(art_price,MATCH(H557,art_ref,0)))=0,"",N(INDEX(art_price,MATCH(H557,art_ref,0)))),IF(N(INDEX(art_cost,MATCH(H557,art_ref,0)))=0,"",N(INDEX(art_cost,MATCH(H557,art_ref,0))))),""))</f>
        <v/>
      </c>
      <c r="V557" s="64" t="str">
        <f>IF(OR(U557="",NOT(ISNUMBER(L557))),"",IF(L557&lt;=0,"",ROUND(L557*U557,2)))</f>
        <v/>
      </c>
      <c r="W557" s="60" t="str">
        <f>IF(AND(B557&lt;&gt;"",A557&lt;&gt;"BS",F557&lt;&gt;"",H557&lt;&gt;"",ISNUMBER(K557),ISNUMBER(L557)),IF(AND(K557&gt;0,L557&gt;0,K557-L557&gt;0,COUNTIFS(A558:A$2005,A557,F558:F$2005,F557,H558:H$2005,H557,AA558:AA$2005,"&gt;0")=0),ROUND(K557-L557,6),""),"")</f>
        <v/>
      </c>
      <c r="X557" s="60" t="str">
        <f>IF(AND(A557="",C557="",D557="",H557="",L557=""),"",IF(A557="","Type manquant",IF(AND(A557&lt;&gt;"BL",A557&lt;&gt;"BR",A557&lt;&gt;"BS"),"Type inconnu (BL, BR ou BS)",IF(AG557=0,"Date manquante ou invalide",IF(D557="",IF(A557="BL","Client manquant",IF(A557="BR","Fournisseur manquant","Service manquant")),IF(IF(A557="BL",ISNA(MATCH(D557,cl_code,0)),IF(A557="BR",ISNA(MATCH(D557,fo_code,0)),ISNA(MATCH(D557,p_services,0)))),IF(A557="BL","Client inconnu",IF(A557="BR","Fournisseur inconnu","Service inconnu")),IF(H557="","Article manquant",IF(ISNA(MATCH(H557,art_ref,0)),"Article inconnu",IF(OR(NOT(ISNUMBER(L557)),N(L557)&lt;=0),"Quantité invalide",IF(AND(K557&lt;&gt;"",OR(NOT(ISNUMBER(K557)),N(K557)&lt;=0)),"Qté commandée invalide",IF(AG557&lt;SUMPRODUCT(MAX((A$6:A556=A557)*AG$6:AG556)),"Date antérieure au bon précédent",IF(AND(A557&lt;&gt;"BR",ISNUMBER(M557),N(M557)&gt;0),IF(A557="BL","Livré plus que commandé","Sorti plus que demandé"),"OK"))))))))))))</f>
        <v/>
      </c>
      <c r="Y557" s="57" t="str">
        <f>IF(AND(OR(A557="BL",A557="BR",A557="BS"),AG557&gt;0,D557&lt;&gt;""),A557&amp;"|"&amp;AG557&amp;"|"&amp;D557&amp;"|"&amp;F557,"")</f>
        <v/>
      </c>
      <c r="Z557" s="57" t="str">
        <f>IF(Y557="","",IF(COUNTIF(Y$6:Y556,Y557)=0,1,0))</f>
        <v/>
      </c>
      <c r="AA557" s="57" t="str">
        <f>IF(Y557="","",IF(Z557=1,COUNTIFS(A$6:A557,A557,Z$6:Z557,1),INDEX(AA$6:AA556,MATCH(Y557,Y$6:Y556,0))))</f>
        <v/>
      </c>
      <c r="AB557" s="57" t="str">
        <f>IF(B557="","",COUNTIF(B$6:B557,B557))</f>
        <v/>
      </c>
      <c r="AC557" s="57" t="str">
        <f>IF(B557="","",B557&amp;"#"&amp;AB557)</f>
        <v/>
      </c>
      <c r="AD557" s="57" t="str">
        <f>IF(Z557=1,A557&amp;AA557,"")</f>
        <v/>
      </c>
      <c r="AE557" s="57" t="str">
        <f>IF(B557="","",YEAR(C557))</f>
        <v/>
      </c>
      <c r="AF557" s="57" t="str">
        <f>IF(B557="","",MONTH(C557))</f>
        <v/>
      </c>
      <c r="AG557" s="57">
        <f>IF(ISNUMBER(C557),C557,0)</f>
        <v>0.0</v>
      </c>
      <c r="AH557" s="57" t="str">
        <f>IF(N(W557)&gt;0,COUNTIF(W$6:W557,"&gt;0"),"")</f>
        <v/>
      </c>
      <c r="AI557" s="57" t="str">
        <f>IF(Z557=1,COUNTIF(Z$6:Z557,1),"")</f>
        <v/>
      </c>
    </row>
    <row r="558">
      <c r="A558" s="54" t="n"/>
      <c r="B558" s="55" t="str">
        <f>IF(AA558="","",A558&amp;"-"&amp;RIGHT("000"&amp;AA558,4))</f>
        <v/>
      </c>
      <c r="C558" s="56" t="n"/>
      <c r="D558" s="54" t="n"/>
      <c r="E558" s="57" t="str">
        <f>IF(D558="","",IF(A558="BL",IFERROR(INDEX(cl_name,MATCH(D558,cl_code,0))&amp;"","Client inconnu"),IF(A558="BR",IFERROR(INDEX(fo_name,MATCH(D558,fo_code,0))&amp;"","Fournisseur inconnu"),IF(A558="BS",IF(ISNA(MATCH(D558,p_services,0)),"Service inconnu",D558&amp;""),""))))</f>
        <v/>
      </c>
      <c r="F558" s="58" t="n"/>
      <c r="G558" s="58" t="n"/>
      <c r="H558" s="59" t="n"/>
      <c r="I558" s="57" t="str">
        <f>IF(H558="","",IFERROR(INDEX(art_des,MATCH(H558,art_ref,0))&amp;"","Article inconnu"))</f>
        <v/>
      </c>
      <c r="J558" s="60" t="str">
        <f>IF(H558="","",IFERROR(INDEX(art_unit,MATCH(H558,art_ref,0))&amp;"",""))</f>
        <v/>
      </c>
      <c r="K558" s="59" t="n"/>
      <c r="L558" s="59" t="n"/>
      <c r="M558" s="61" t="str">
        <f>IF(OR(B558="",NOT(ISNUMBER(K558)),NOT(ISNUMBER(L558))),"",IF(OR(K558&lt;=0,L558&lt;=0),"",ROUND(L558-K558,6)))</f>
        <v/>
      </c>
      <c r="N558" s="58" t="n"/>
      <c r="O558" s="62" t="n"/>
      <c r="P558" s="63" t="str">
        <f>IF(OR(B558="",NOT(ISNUMBER(L558))),"",IF(L558&lt;=0,"",IFERROR(ROUND(L558*N(INDEX(art_w,MATCH(H558,art_ref,0))),3),"")))</f>
        <v/>
      </c>
      <c r="Q558" s="59" t="n"/>
      <c r="R558" s="54" t="n"/>
      <c r="S558" s="59" t="n"/>
      <c r="T558" s="59" t="n"/>
      <c r="U558" s="64" t="str">
        <f>IF(OR(B558="",H558=""),"",IFERROR(IF(A558="BL",IF(N(INDEX(art_price,MATCH(H558,art_ref,0)))=0,"",N(INDEX(art_price,MATCH(H558,art_ref,0)))),IF(N(INDEX(art_cost,MATCH(H558,art_ref,0)))=0,"",N(INDEX(art_cost,MATCH(H558,art_ref,0))))),""))</f>
        <v/>
      </c>
      <c r="V558" s="64" t="str">
        <f>IF(OR(U558="",NOT(ISNUMBER(L558))),"",IF(L558&lt;=0,"",ROUND(L558*U558,2)))</f>
        <v/>
      </c>
      <c r="W558" s="60" t="str">
        <f>IF(AND(B558&lt;&gt;"",A558&lt;&gt;"BS",F558&lt;&gt;"",H558&lt;&gt;"",ISNUMBER(K558),ISNUMBER(L558)),IF(AND(K558&gt;0,L558&gt;0,K558-L558&gt;0,COUNTIFS(A559:A$2005,A558,F559:F$2005,F558,H559:H$2005,H558,AA559:AA$2005,"&gt;0")=0),ROUND(K558-L558,6),""),"")</f>
        <v/>
      </c>
      <c r="X558" s="60" t="str">
        <f>IF(AND(A558="",C558="",D558="",H558="",L558=""),"",IF(A558="","Type manquant",IF(AND(A558&lt;&gt;"BL",A558&lt;&gt;"BR",A558&lt;&gt;"BS"),"Type inconnu (BL, BR ou BS)",IF(AG558=0,"Date manquante ou invalide",IF(D558="",IF(A558="BL","Client manquant",IF(A558="BR","Fournisseur manquant","Service manquant")),IF(IF(A558="BL",ISNA(MATCH(D558,cl_code,0)),IF(A558="BR",ISNA(MATCH(D558,fo_code,0)),ISNA(MATCH(D558,p_services,0)))),IF(A558="BL","Client inconnu",IF(A558="BR","Fournisseur inconnu","Service inconnu")),IF(H558="","Article manquant",IF(ISNA(MATCH(H558,art_ref,0)),"Article inconnu",IF(OR(NOT(ISNUMBER(L558)),N(L558)&lt;=0),"Quantité invalide",IF(AND(K558&lt;&gt;"",OR(NOT(ISNUMBER(K558)),N(K558)&lt;=0)),"Qté commandée invalide",IF(AG558&lt;SUMPRODUCT(MAX((A$6:A557=A558)*AG$6:AG557)),"Date antérieure au bon précédent",IF(AND(A558&lt;&gt;"BR",ISNUMBER(M558),N(M558)&gt;0),IF(A558="BL","Livré plus que commandé","Sorti plus que demandé"),"OK"))))))))))))</f>
        <v/>
      </c>
      <c r="Y558" s="57" t="str">
        <f>IF(AND(OR(A558="BL",A558="BR",A558="BS"),AG558&gt;0,D558&lt;&gt;""),A558&amp;"|"&amp;AG558&amp;"|"&amp;D558&amp;"|"&amp;F558,"")</f>
        <v/>
      </c>
      <c r="Z558" s="57" t="str">
        <f>IF(Y558="","",IF(COUNTIF(Y$6:Y557,Y558)=0,1,0))</f>
        <v/>
      </c>
      <c r="AA558" s="57" t="str">
        <f>IF(Y558="","",IF(Z558=1,COUNTIFS(A$6:A558,A558,Z$6:Z558,1),INDEX(AA$6:AA557,MATCH(Y558,Y$6:Y557,0))))</f>
        <v/>
      </c>
      <c r="AB558" s="57" t="str">
        <f>IF(B558="","",COUNTIF(B$6:B558,B558))</f>
        <v/>
      </c>
      <c r="AC558" s="57" t="str">
        <f>IF(B558="","",B558&amp;"#"&amp;AB558)</f>
        <v/>
      </c>
      <c r="AD558" s="57" t="str">
        <f>IF(Z558=1,A558&amp;AA558,"")</f>
        <v/>
      </c>
      <c r="AE558" s="57" t="str">
        <f>IF(B558="","",YEAR(C558))</f>
        <v/>
      </c>
      <c r="AF558" s="57" t="str">
        <f>IF(B558="","",MONTH(C558))</f>
        <v/>
      </c>
      <c r="AG558" s="57">
        <f>IF(ISNUMBER(C558),C558,0)</f>
        <v>0.0</v>
      </c>
      <c r="AH558" s="57" t="str">
        <f>IF(N(W558)&gt;0,COUNTIF(W$6:W558,"&gt;0"),"")</f>
        <v/>
      </c>
      <c r="AI558" s="57" t="str">
        <f>IF(Z558=1,COUNTIF(Z$6:Z558,1),"")</f>
        <v/>
      </c>
    </row>
    <row r="559">
      <c r="A559" s="54" t="n"/>
      <c r="B559" s="55" t="str">
        <f>IF(AA559="","",A559&amp;"-"&amp;RIGHT("000"&amp;AA559,4))</f>
        <v/>
      </c>
      <c r="C559" s="56" t="n"/>
      <c r="D559" s="54" t="n"/>
      <c r="E559" s="57" t="str">
        <f>IF(D559="","",IF(A559="BL",IFERROR(INDEX(cl_name,MATCH(D559,cl_code,0))&amp;"","Client inconnu"),IF(A559="BR",IFERROR(INDEX(fo_name,MATCH(D559,fo_code,0))&amp;"","Fournisseur inconnu"),IF(A559="BS",IF(ISNA(MATCH(D559,p_services,0)),"Service inconnu",D559&amp;""),""))))</f>
        <v/>
      </c>
      <c r="F559" s="58" t="n"/>
      <c r="G559" s="58" t="n"/>
      <c r="H559" s="59" t="n"/>
      <c r="I559" s="57" t="str">
        <f>IF(H559="","",IFERROR(INDEX(art_des,MATCH(H559,art_ref,0))&amp;"","Article inconnu"))</f>
        <v/>
      </c>
      <c r="J559" s="60" t="str">
        <f>IF(H559="","",IFERROR(INDEX(art_unit,MATCH(H559,art_ref,0))&amp;"",""))</f>
        <v/>
      </c>
      <c r="K559" s="59" t="n"/>
      <c r="L559" s="59" t="n"/>
      <c r="M559" s="61" t="str">
        <f>IF(OR(B559="",NOT(ISNUMBER(K559)),NOT(ISNUMBER(L559))),"",IF(OR(K559&lt;=0,L559&lt;=0),"",ROUND(L559-K559,6)))</f>
        <v/>
      </c>
      <c r="N559" s="58" t="n"/>
      <c r="O559" s="62" t="n"/>
      <c r="P559" s="63" t="str">
        <f>IF(OR(B559="",NOT(ISNUMBER(L559))),"",IF(L559&lt;=0,"",IFERROR(ROUND(L559*N(INDEX(art_w,MATCH(H559,art_ref,0))),3),"")))</f>
        <v/>
      </c>
      <c r="Q559" s="59" t="n"/>
      <c r="R559" s="54" t="n"/>
      <c r="S559" s="59" t="n"/>
      <c r="T559" s="59" t="n"/>
      <c r="U559" s="64" t="str">
        <f>IF(OR(B559="",H559=""),"",IFERROR(IF(A559="BL",IF(N(INDEX(art_price,MATCH(H559,art_ref,0)))=0,"",N(INDEX(art_price,MATCH(H559,art_ref,0)))),IF(N(INDEX(art_cost,MATCH(H559,art_ref,0)))=0,"",N(INDEX(art_cost,MATCH(H559,art_ref,0))))),""))</f>
        <v/>
      </c>
      <c r="V559" s="64" t="str">
        <f>IF(OR(U559="",NOT(ISNUMBER(L559))),"",IF(L559&lt;=0,"",ROUND(L559*U559,2)))</f>
        <v/>
      </c>
      <c r="W559" s="60" t="str">
        <f>IF(AND(B559&lt;&gt;"",A559&lt;&gt;"BS",F559&lt;&gt;"",H559&lt;&gt;"",ISNUMBER(K559),ISNUMBER(L559)),IF(AND(K559&gt;0,L559&gt;0,K559-L559&gt;0,COUNTIFS(A560:A$2005,A559,F560:F$2005,F559,H560:H$2005,H559,AA560:AA$2005,"&gt;0")=0),ROUND(K559-L559,6),""),"")</f>
        <v/>
      </c>
      <c r="X559" s="60" t="str">
        <f>IF(AND(A559="",C559="",D559="",H559="",L559=""),"",IF(A559="","Type manquant",IF(AND(A559&lt;&gt;"BL",A559&lt;&gt;"BR",A559&lt;&gt;"BS"),"Type inconnu (BL, BR ou BS)",IF(AG559=0,"Date manquante ou invalide",IF(D559="",IF(A559="BL","Client manquant",IF(A559="BR","Fournisseur manquant","Service manquant")),IF(IF(A559="BL",ISNA(MATCH(D559,cl_code,0)),IF(A559="BR",ISNA(MATCH(D559,fo_code,0)),ISNA(MATCH(D559,p_services,0)))),IF(A559="BL","Client inconnu",IF(A559="BR","Fournisseur inconnu","Service inconnu")),IF(H559="","Article manquant",IF(ISNA(MATCH(H559,art_ref,0)),"Article inconnu",IF(OR(NOT(ISNUMBER(L559)),N(L559)&lt;=0),"Quantité invalide",IF(AND(K559&lt;&gt;"",OR(NOT(ISNUMBER(K559)),N(K559)&lt;=0)),"Qté commandée invalide",IF(AG559&lt;SUMPRODUCT(MAX((A$6:A558=A559)*AG$6:AG558)),"Date antérieure au bon précédent",IF(AND(A559&lt;&gt;"BR",ISNUMBER(M559),N(M559)&gt;0),IF(A559="BL","Livré plus que commandé","Sorti plus que demandé"),"OK"))))))))))))</f>
        <v/>
      </c>
      <c r="Y559" s="57" t="str">
        <f>IF(AND(OR(A559="BL",A559="BR",A559="BS"),AG559&gt;0,D559&lt;&gt;""),A559&amp;"|"&amp;AG559&amp;"|"&amp;D559&amp;"|"&amp;F559,"")</f>
        <v/>
      </c>
      <c r="Z559" s="57" t="str">
        <f>IF(Y559="","",IF(COUNTIF(Y$6:Y558,Y559)=0,1,0))</f>
        <v/>
      </c>
      <c r="AA559" s="57" t="str">
        <f>IF(Y559="","",IF(Z559=1,COUNTIFS(A$6:A559,A559,Z$6:Z559,1),INDEX(AA$6:AA558,MATCH(Y559,Y$6:Y558,0))))</f>
        <v/>
      </c>
      <c r="AB559" s="57" t="str">
        <f>IF(B559="","",COUNTIF(B$6:B559,B559))</f>
        <v/>
      </c>
      <c r="AC559" s="57" t="str">
        <f>IF(B559="","",B559&amp;"#"&amp;AB559)</f>
        <v/>
      </c>
      <c r="AD559" s="57" t="str">
        <f>IF(Z559=1,A559&amp;AA559,"")</f>
        <v/>
      </c>
      <c r="AE559" s="57" t="str">
        <f>IF(B559="","",YEAR(C559))</f>
        <v/>
      </c>
      <c r="AF559" s="57" t="str">
        <f>IF(B559="","",MONTH(C559))</f>
        <v/>
      </c>
      <c r="AG559" s="57">
        <f>IF(ISNUMBER(C559),C559,0)</f>
        <v>0.0</v>
      </c>
      <c r="AH559" s="57" t="str">
        <f>IF(N(W559)&gt;0,COUNTIF(W$6:W559,"&gt;0"),"")</f>
        <v/>
      </c>
      <c r="AI559" s="57" t="str">
        <f>IF(Z559=1,COUNTIF(Z$6:Z559,1),"")</f>
        <v/>
      </c>
    </row>
    <row r="560">
      <c r="A560" s="54" t="n"/>
      <c r="B560" s="55" t="str">
        <f>IF(AA560="","",A560&amp;"-"&amp;RIGHT("000"&amp;AA560,4))</f>
        <v/>
      </c>
      <c r="C560" s="56" t="n"/>
      <c r="D560" s="54" t="n"/>
      <c r="E560" s="57" t="str">
        <f>IF(D560="","",IF(A560="BL",IFERROR(INDEX(cl_name,MATCH(D560,cl_code,0))&amp;"","Client inconnu"),IF(A560="BR",IFERROR(INDEX(fo_name,MATCH(D560,fo_code,0))&amp;"","Fournisseur inconnu"),IF(A560="BS",IF(ISNA(MATCH(D560,p_services,0)),"Service inconnu",D560&amp;""),""))))</f>
        <v/>
      </c>
      <c r="F560" s="58" t="n"/>
      <c r="G560" s="58" t="n"/>
      <c r="H560" s="59" t="n"/>
      <c r="I560" s="57" t="str">
        <f>IF(H560="","",IFERROR(INDEX(art_des,MATCH(H560,art_ref,0))&amp;"","Article inconnu"))</f>
        <v/>
      </c>
      <c r="J560" s="60" t="str">
        <f>IF(H560="","",IFERROR(INDEX(art_unit,MATCH(H560,art_ref,0))&amp;"",""))</f>
        <v/>
      </c>
      <c r="K560" s="59" t="n"/>
      <c r="L560" s="59" t="n"/>
      <c r="M560" s="61" t="str">
        <f>IF(OR(B560="",NOT(ISNUMBER(K560)),NOT(ISNUMBER(L560))),"",IF(OR(K560&lt;=0,L560&lt;=0),"",ROUND(L560-K560,6)))</f>
        <v/>
      </c>
      <c r="N560" s="58" t="n"/>
      <c r="O560" s="62" t="n"/>
      <c r="P560" s="63" t="str">
        <f>IF(OR(B560="",NOT(ISNUMBER(L560))),"",IF(L560&lt;=0,"",IFERROR(ROUND(L560*N(INDEX(art_w,MATCH(H560,art_ref,0))),3),"")))</f>
        <v/>
      </c>
      <c r="Q560" s="59" t="n"/>
      <c r="R560" s="54" t="n"/>
      <c r="S560" s="59" t="n"/>
      <c r="T560" s="59" t="n"/>
      <c r="U560" s="64" t="str">
        <f>IF(OR(B560="",H560=""),"",IFERROR(IF(A560="BL",IF(N(INDEX(art_price,MATCH(H560,art_ref,0)))=0,"",N(INDEX(art_price,MATCH(H560,art_ref,0)))),IF(N(INDEX(art_cost,MATCH(H560,art_ref,0)))=0,"",N(INDEX(art_cost,MATCH(H560,art_ref,0))))),""))</f>
        <v/>
      </c>
      <c r="V560" s="64" t="str">
        <f>IF(OR(U560="",NOT(ISNUMBER(L560))),"",IF(L560&lt;=0,"",ROUND(L560*U560,2)))</f>
        <v/>
      </c>
      <c r="W560" s="60" t="str">
        <f>IF(AND(B560&lt;&gt;"",A560&lt;&gt;"BS",F560&lt;&gt;"",H560&lt;&gt;"",ISNUMBER(K560),ISNUMBER(L560)),IF(AND(K560&gt;0,L560&gt;0,K560-L560&gt;0,COUNTIFS(A561:A$2005,A560,F561:F$2005,F560,H561:H$2005,H560,AA561:AA$2005,"&gt;0")=0),ROUND(K560-L560,6),""),"")</f>
        <v/>
      </c>
      <c r="X560" s="60" t="str">
        <f>IF(AND(A560="",C560="",D560="",H560="",L560=""),"",IF(A560="","Type manquant",IF(AND(A560&lt;&gt;"BL",A560&lt;&gt;"BR",A560&lt;&gt;"BS"),"Type inconnu (BL, BR ou BS)",IF(AG560=0,"Date manquante ou invalide",IF(D560="",IF(A560="BL","Client manquant",IF(A560="BR","Fournisseur manquant","Service manquant")),IF(IF(A560="BL",ISNA(MATCH(D560,cl_code,0)),IF(A560="BR",ISNA(MATCH(D560,fo_code,0)),ISNA(MATCH(D560,p_services,0)))),IF(A560="BL","Client inconnu",IF(A560="BR","Fournisseur inconnu","Service inconnu")),IF(H560="","Article manquant",IF(ISNA(MATCH(H560,art_ref,0)),"Article inconnu",IF(OR(NOT(ISNUMBER(L560)),N(L560)&lt;=0),"Quantité invalide",IF(AND(K560&lt;&gt;"",OR(NOT(ISNUMBER(K560)),N(K560)&lt;=0)),"Qté commandée invalide",IF(AG560&lt;SUMPRODUCT(MAX((A$6:A559=A560)*AG$6:AG559)),"Date antérieure au bon précédent",IF(AND(A560&lt;&gt;"BR",ISNUMBER(M560),N(M560)&gt;0),IF(A560="BL","Livré plus que commandé","Sorti plus que demandé"),"OK"))))))))))))</f>
        <v/>
      </c>
      <c r="Y560" s="57" t="str">
        <f>IF(AND(OR(A560="BL",A560="BR",A560="BS"),AG560&gt;0,D560&lt;&gt;""),A560&amp;"|"&amp;AG560&amp;"|"&amp;D560&amp;"|"&amp;F560,"")</f>
        <v/>
      </c>
      <c r="Z560" s="57" t="str">
        <f>IF(Y560="","",IF(COUNTIF(Y$6:Y559,Y560)=0,1,0))</f>
        <v/>
      </c>
      <c r="AA560" s="57" t="str">
        <f>IF(Y560="","",IF(Z560=1,COUNTIFS(A$6:A560,A560,Z$6:Z560,1),INDEX(AA$6:AA559,MATCH(Y560,Y$6:Y559,0))))</f>
        <v/>
      </c>
      <c r="AB560" s="57" t="str">
        <f>IF(B560="","",COUNTIF(B$6:B560,B560))</f>
        <v/>
      </c>
      <c r="AC560" s="57" t="str">
        <f>IF(B560="","",B560&amp;"#"&amp;AB560)</f>
        <v/>
      </c>
      <c r="AD560" s="57" t="str">
        <f>IF(Z560=1,A560&amp;AA560,"")</f>
        <v/>
      </c>
      <c r="AE560" s="57" t="str">
        <f>IF(B560="","",YEAR(C560))</f>
        <v/>
      </c>
      <c r="AF560" s="57" t="str">
        <f>IF(B560="","",MONTH(C560))</f>
        <v/>
      </c>
      <c r="AG560" s="57">
        <f>IF(ISNUMBER(C560),C560,0)</f>
        <v>0.0</v>
      </c>
      <c r="AH560" s="57" t="str">
        <f>IF(N(W560)&gt;0,COUNTIF(W$6:W560,"&gt;0"),"")</f>
        <v/>
      </c>
      <c r="AI560" s="57" t="str">
        <f>IF(Z560=1,COUNTIF(Z$6:Z560,1),"")</f>
        <v/>
      </c>
    </row>
    <row r="561">
      <c r="A561" s="54" t="n"/>
      <c r="B561" s="55" t="str">
        <f>IF(AA561="","",A561&amp;"-"&amp;RIGHT("000"&amp;AA561,4))</f>
        <v/>
      </c>
      <c r="C561" s="56" t="n"/>
      <c r="D561" s="54" t="n"/>
      <c r="E561" s="57" t="str">
        <f>IF(D561="","",IF(A561="BL",IFERROR(INDEX(cl_name,MATCH(D561,cl_code,0))&amp;"","Client inconnu"),IF(A561="BR",IFERROR(INDEX(fo_name,MATCH(D561,fo_code,0))&amp;"","Fournisseur inconnu"),IF(A561="BS",IF(ISNA(MATCH(D561,p_services,0)),"Service inconnu",D561&amp;""),""))))</f>
        <v/>
      </c>
      <c r="F561" s="58" t="n"/>
      <c r="G561" s="58" t="n"/>
      <c r="H561" s="59" t="n"/>
      <c r="I561" s="57" t="str">
        <f>IF(H561="","",IFERROR(INDEX(art_des,MATCH(H561,art_ref,0))&amp;"","Article inconnu"))</f>
        <v/>
      </c>
      <c r="J561" s="60" t="str">
        <f>IF(H561="","",IFERROR(INDEX(art_unit,MATCH(H561,art_ref,0))&amp;"",""))</f>
        <v/>
      </c>
      <c r="K561" s="59" t="n"/>
      <c r="L561" s="59" t="n"/>
      <c r="M561" s="61" t="str">
        <f>IF(OR(B561="",NOT(ISNUMBER(K561)),NOT(ISNUMBER(L561))),"",IF(OR(K561&lt;=0,L561&lt;=0),"",ROUND(L561-K561,6)))</f>
        <v/>
      </c>
      <c r="N561" s="58" t="n"/>
      <c r="O561" s="62" t="n"/>
      <c r="P561" s="63" t="str">
        <f>IF(OR(B561="",NOT(ISNUMBER(L561))),"",IF(L561&lt;=0,"",IFERROR(ROUND(L561*N(INDEX(art_w,MATCH(H561,art_ref,0))),3),"")))</f>
        <v/>
      </c>
      <c r="Q561" s="59" t="n"/>
      <c r="R561" s="54" t="n"/>
      <c r="S561" s="59" t="n"/>
      <c r="T561" s="59" t="n"/>
      <c r="U561" s="64" t="str">
        <f>IF(OR(B561="",H561=""),"",IFERROR(IF(A561="BL",IF(N(INDEX(art_price,MATCH(H561,art_ref,0)))=0,"",N(INDEX(art_price,MATCH(H561,art_ref,0)))),IF(N(INDEX(art_cost,MATCH(H561,art_ref,0)))=0,"",N(INDEX(art_cost,MATCH(H561,art_ref,0))))),""))</f>
        <v/>
      </c>
      <c r="V561" s="64" t="str">
        <f>IF(OR(U561="",NOT(ISNUMBER(L561))),"",IF(L561&lt;=0,"",ROUND(L561*U561,2)))</f>
        <v/>
      </c>
      <c r="W561" s="60" t="str">
        <f>IF(AND(B561&lt;&gt;"",A561&lt;&gt;"BS",F561&lt;&gt;"",H561&lt;&gt;"",ISNUMBER(K561),ISNUMBER(L561)),IF(AND(K561&gt;0,L561&gt;0,K561-L561&gt;0,COUNTIFS(A562:A$2005,A561,F562:F$2005,F561,H562:H$2005,H561,AA562:AA$2005,"&gt;0")=0),ROUND(K561-L561,6),""),"")</f>
        <v/>
      </c>
      <c r="X561" s="60" t="str">
        <f>IF(AND(A561="",C561="",D561="",H561="",L561=""),"",IF(A561="","Type manquant",IF(AND(A561&lt;&gt;"BL",A561&lt;&gt;"BR",A561&lt;&gt;"BS"),"Type inconnu (BL, BR ou BS)",IF(AG561=0,"Date manquante ou invalide",IF(D561="",IF(A561="BL","Client manquant",IF(A561="BR","Fournisseur manquant","Service manquant")),IF(IF(A561="BL",ISNA(MATCH(D561,cl_code,0)),IF(A561="BR",ISNA(MATCH(D561,fo_code,0)),ISNA(MATCH(D561,p_services,0)))),IF(A561="BL","Client inconnu",IF(A561="BR","Fournisseur inconnu","Service inconnu")),IF(H561="","Article manquant",IF(ISNA(MATCH(H561,art_ref,0)),"Article inconnu",IF(OR(NOT(ISNUMBER(L561)),N(L561)&lt;=0),"Quantité invalide",IF(AND(K561&lt;&gt;"",OR(NOT(ISNUMBER(K561)),N(K561)&lt;=0)),"Qté commandée invalide",IF(AG561&lt;SUMPRODUCT(MAX((A$6:A560=A561)*AG$6:AG560)),"Date antérieure au bon précédent",IF(AND(A561&lt;&gt;"BR",ISNUMBER(M561),N(M561)&gt;0),IF(A561="BL","Livré plus que commandé","Sorti plus que demandé"),"OK"))))))))))))</f>
        <v/>
      </c>
      <c r="Y561" s="57" t="str">
        <f>IF(AND(OR(A561="BL",A561="BR",A561="BS"),AG561&gt;0,D561&lt;&gt;""),A561&amp;"|"&amp;AG561&amp;"|"&amp;D561&amp;"|"&amp;F561,"")</f>
        <v/>
      </c>
      <c r="Z561" s="57" t="str">
        <f>IF(Y561="","",IF(COUNTIF(Y$6:Y560,Y561)=0,1,0))</f>
        <v/>
      </c>
      <c r="AA561" s="57" t="str">
        <f>IF(Y561="","",IF(Z561=1,COUNTIFS(A$6:A561,A561,Z$6:Z561,1),INDEX(AA$6:AA560,MATCH(Y561,Y$6:Y560,0))))</f>
        <v/>
      </c>
      <c r="AB561" s="57" t="str">
        <f>IF(B561="","",COUNTIF(B$6:B561,B561))</f>
        <v/>
      </c>
      <c r="AC561" s="57" t="str">
        <f>IF(B561="","",B561&amp;"#"&amp;AB561)</f>
        <v/>
      </c>
      <c r="AD561" s="57" t="str">
        <f>IF(Z561=1,A561&amp;AA561,"")</f>
        <v/>
      </c>
      <c r="AE561" s="57" t="str">
        <f>IF(B561="","",YEAR(C561))</f>
        <v/>
      </c>
      <c r="AF561" s="57" t="str">
        <f>IF(B561="","",MONTH(C561))</f>
        <v/>
      </c>
      <c r="AG561" s="57">
        <f>IF(ISNUMBER(C561),C561,0)</f>
        <v>0.0</v>
      </c>
      <c r="AH561" s="57" t="str">
        <f>IF(N(W561)&gt;0,COUNTIF(W$6:W561,"&gt;0"),"")</f>
        <v/>
      </c>
      <c r="AI561" s="57" t="str">
        <f>IF(Z561=1,COUNTIF(Z$6:Z561,1),"")</f>
        <v/>
      </c>
    </row>
    <row r="562">
      <c r="A562" s="54" t="n"/>
      <c r="B562" s="55" t="str">
        <f>IF(AA562="","",A562&amp;"-"&amp;RIGHT("000"&amp;AA562,4))</f>
        <v/>
      </c>
      <c r="C562" s="56" t="n"/>
      <c r="D562" s="54" t="n"/>
      <c r="E562" s="57" t="str">
        <f>IF(D562="","",IF(A562="BL",IFERROR(INDEX(cl_name,MATCH(D562,cl_code,0))&amp;"","Client inconnu"),IF(A562="BR",IFERROR(INDEX(fo_name,MATCH(D562,fo_code,0))&amp;"","Fournisseur inconnu"),IF(A562="BS",IF(ISNA(MATCH(D562,p_services,0)),"Service inconnu",D562&amp;""),""))))</f>
        <v/>
      </c>
      <c r="F562" s="58" t="n"/>
      <c r="G562" s="58" t="n"/>
      <c r="H562" s="59" t="n"/>
      <c r="I562" s="57" t="str">
        <f>IF(H562="","",IFERROR(INDEX(art_des,MATCH(H562,art_ref,0))&amp;"","Article inconnu"))</f>
        <v/>
      </c>
      <c r="J562" s="60" t="str">
        <f>IF(H562="","",IFERROR(INDEX(art_unit,MATCH(H562,art_ref,0))&amp;"",""))</f>
        <v/>
      </c>
      <c r="K562" s="59" t="n"/>
      <c r="L562" s="59" t="n"/>
      <c r="M562" s="61" t="str">
        <f>IF(OR(B562="",NOT(ISNUMBER(K562)),NOT(ISNUMBER(L562))),"",IF(OR(K562&lt;=0,L562&lt;=0),"",ROUND(L562-K562,6)))</f>
        <v/>
      </c>
      <c r="N562" s="58" t="n"/>
      <c r="O562" s="62" t="n"/>
      <c r="P562" s="63" t="str">
        <f>IF(OR(B562="",NOT(ISNUMBER(L562))),"",IF(L562&lt;=0,"",IFERROR(ROUND(L562*N(INDEX(art_w,MATCH(H562,art_ref,0))),3),"")))</f>
        <v/>
      </c>
      <c r="Q562" s="59" t="n"/>
      <c r="R562" s="54" t="n"/>
      <c r="S562" s="59" t="n"/>
      <c r="T562" s="59" t="n"/>
      <c r="U562" s="64" t="str">
        <f>IF(OR(B562="",H562=""),"",IFERROR(IF(A562="BL",IF(N(INDEX(art_price,MATCH(H562,art_ref,0)))=0,"",N(INDEX(art_price,MATCH(H562,art_ref,0)))),IF(N(INDEX(art_cost,MATCH(H562,art_ref,0)))=0,"",N(INDEX(art_cost,MATCH(H562,art_ref,0))))),""))</f>
        <v/>
      </c>
      <c r="V562" s="64" t="str">
        <f>IF(OR(U562="",NOT(ISNUMBER(L562))),"",IF(L562&lt;=0,"",ROUND(L562*U562,2)))</f>
        <v/>
      </c>
      <c r="W562" s="60" t="str">
        <f>IF(AND(B562&lt;&gt;"",A562&lt;&gt;"BS",F562&lt;&gt;"",H562&lt;&gt;"",ISNUMBER(K562),ISNUMBER(L562)),IF(AND(K562&gt;0,L562&gt;0,K562-L562&gt;0,COUNTIFS(A563:A$2005,A562,F563:F$2005,F562,H563:H$2005,H562,AA563:AA$2005,"&gt;0")=0),ROUND(K562-L562,6),""),"")</f>
        <v/>
      </c>
      <c r="X562" s="60" t="str">
        <f>IF(AND(A562="",C562="",D562="",H562="",L562=""),"",IF(A562="","Type manquant",IF(AND(A562&lt;&gt;"BL",A562&lt;&gt;"BR",A562&lt;&gt;"BS"),"Type inconnu (BL, BR ou BS)",IF(AG562=0,"Date manquante ou invalide",IF(D562="",IF(A562="BL","Client manquant",IF(A562="BR","Fournisseur manquant","Service manquant")),IF(IF(A562="BL",ISNA(MATCH(D562,cl_code,0)),IF(A562="BR",ISNA(MATCH(D562,fo_code,0)),ISNA(MATCH(D562,p_services,0)))),IF(A562="BL","Client inconnu",IF(A562="BR","Fournisseur inconnu","Service inconnu")),IF(H562="","Article manquant",IF(ISNA(MATCH(H562,art_ref,0)),"Article inconnu",IF(OR(NOT(ISNUMBER(L562)),N(L562)&lt;=0),"Quantité invalide",IF(AND(K562&lt;&gt;"",OR(NOT(ISNUMBER(K562)),N(K562)&lt;=0)),"Qté commandée invalide",IF(AG562&lt;SUMPRODUCT(MAX((A$6:A561=A562)*AG$6:AG561)),"Date antérieure au bon précédent",IF(AND(A562&lt;&gt;"BR",ISNUMBER(M562),N(M562)&gt;0),IF(A562="BL","Livré plus que commandé","Sorti plus que demandé"),"OK"))))))))))))</f>
        <v/>
      </c>
      <c r="Y562" s="57" t="str">
        <f>IF(AND(OR(A562="BL",A562="BR",A562="BS"),AG562&gt;0,D562&lt;&gt;""),A562&amp;"|"&amp;AG562&amp;"|"&amp;D562&amp;"|"&amp;F562,"")</f>
        <v/>
      </c>
      <c r="Z562" s="57" t="str">
        <f>IF(Y562="","",IF(COUNTIF(Y$6:Y561,Y562)=0,1,0))</f>
        <v/>
      </c>
      <c r="AA562" s="57" t="str">
        <f>IF(Y562="","",IF(Z562=1,COUNTIFS(A$6:A562,A562,Z$6:Z562,1),INDEX(AA$6:AA561,MATCH(Y562,Y$6:Y561,0))))</f>
        <v/>
      </c>
      <c r="AB562" s="57" t="str">
        <f>IF(B562="","",COUNTIF(B$6:B562,B562))</f>
        <v/>
      </c>
      <c r="AC562" s="57" t="str">
        <f>IF(B562="","",B562&amp;"#"&amp;AB562)</f>
        <v/>
      </c>
      <c r="AD562" s="57" t="str">
        <f>IF(Z562=1,A562&amp;AA562,"")</f>
        <v/>
      </c>
      <c r="AE562" s="57" t="str">
        <f>IF(B562="","",YEAR(C562))</f>
        <v/>
      </c>
      <c r="AF562" s="57" t="str">
        <f>IF(B562="","",MONTH(C562))</f>
        <v/>
      </c>
      <c r="AG562" s="57">
        <f>IF(ISNUMBER(C562),C562,0)</f>
        <v>0.0</v>
      </c>
      <c r="AH562" s="57" t="str">
        <f>IF(N(W562)&gt;0,COUNTIF(W$6:W562,"&gt;0"),"")</f>
        <v/>
      </c>
      <c r="AI562" s="57" t="str">
        <f>IF(Z562=1,COUNTIF(Z$6:Z562,1),"")</f>
        <v/>
      </c>
    </row>
    <row r="563">
      <c r="A563" s="54" t="n"/>
      <c r="B563" s="55" t="str">
        <f>IF(AA563="","",A563&amp;"-"&amp;RIGHT("000"&amp;AA563,4))</f>
        <v/>
      </c>
      <c r="C563" s="56" t="n"/>
      <c r="D563" s="54" t="n"/>
      <c r="E563" s="57" t="str">
        <f>IF(D563="","",IF(A563="BL",IFERROR(INDEX(cl_name,MATCH(D563,cl_code,0))&amp;"","Client inconnu"),IF(A563="BR",IFERROR(INDEX(fo_name,MATCH(D563,fo_code,0))&amp;"","Fournisseur inconnu"),IF(A563="BS",IF(ISNA(MATCH(D563,p_services,0)),"Service inconnu",D563&amp;""),""))))</f>
        <v/>
      </c>
      <c r="F563" s="58" t="n"/>
      <c r="G563" s="58" t="n"/>
      <c r="H563" s="59" t="n"/>
      <c r="I563" s="57" t="str">
        <f>IF(H563="","",IFERROR(INDEX(art_des,MATCH(H563,art_ref,0))&amp;"","Article inconnu"))</f>
        <v/>
      </c>
      <c r="J563" s="60" t="str">
        <f>IF(H563="","",IFERROR(INDEX(art_unit,MATCH(H563,art_ref,0))&amp;"",""))</f>
        <v/>
      </c>
      <c r="K563" s="59" t="n"/>
      <c r="L563" s="59" t="n"/>
      <c r="M563" s="61" t="str">
        <f>IF(OR(B563="",NOT(ISNUMBER(K563)),NOT(ISNUMBER(L563))),"",IF(OR(K563&lt;=0,L563&lt;=0),"",ROUND(L563-K563,6)))</f>
        <v/>
      </c>
      <c r="N563" s="58" t="n"/>
      <c r="O563" s="62" t="n"/>
      <c r="P563" s="63" t="str">
        <f>IF(OR(B563="",NOT(ISNUMBER(L563))),"",IF(L563&lt;=0,"",IFERROR(ROUND(L563*N(INDEX(art_w,MATCH(H563,art_ref,0))),3),"")))</f>
        <v/>
      </c>
      <c r="Q563" s="59" t="n"/>
      <c r="R563" s="54" t="n"/>
      <c r="S563" s="59" t="n"/>
      <c r="T563" s="59" t="n"/>
      <c r="U563" s="64" t="str">
        <f>IF(OR(B563="",H563=""),"",IFERROR(IF(A563="BL",IF(N(INDEX(art_price,MATCH(H563,art_ref,0)))=0,"",N(INDEX(art_price,MATCH(H563,art_ref,0)))),IF(N(INDEX(art_cost,MATCH(H563,art_ref,0)))=0,"",N(INDEX(art_cost,MATCH(H563,art_ref,0))))),""))</f>
        <v/>
      </c>
      <c r="V563" s="64" t="str">
        <f>IF(OR(U563="",NOT(ISNUMBER(L563))),"",IF(L563&lt;=0,"",ROUND(L563*U563,2)))</f>
        <v/>
      </c>
      <c r="W563" s="60" t="str">
        <f>IF(AND(B563&lt;&gt;"",A563&lt;&gt;"BS",F563&lt;&gt;"",H563&lt;&gt;"",ISNUMBER(K563),ISNUMBER(L563)),IF(AND(K563&gt;0,L563&gt;0,K563-L563&gt;0,COUNTIFS(A564:A$2005,A563,F564:F$2005,F563,H564:H$2005,H563,AA564:AA$2005,"&gt;0")=0),ROUND(K563-L563,6),""),"")</f>
        <v/>
      </c>
      <c r="X563" s="60" t="str">
        <f>IF(AND(A563="",C563="",D563="",H563="",L563=""),"",IF(A563="","Type manquant",IF(AND(A563&lt;&gt;"BL",A563&lt;&gt;"BR",A563&lt;&gt;"BS"),"Type inconnu (BL, BR ou BS)",IF(AG563=0,"Date manquante ou invalide",IF(D563="",IF(A563="BL","Client manquant",IF(A563="BR","Fournisseur manquant","Service manquant")),IF(IF(A563="BL",ISNA(MATCH(D563,cl_code,0)),IF(A563="BR",ISNA(MATCH(D563,fo_code,0)),ISNA(MATCH(D563,p_services,0)))),IF(A563="BL","Client inconnu",IF(A563="BR","Fournisseur inconnu","Service inconnu")),IF(H563="","Article manquant",IF(ISNA(MATCH(H563,art_ref,0)),"Article inconnu",IF(OR(NOT(ISNUMBER(L563)),N(L563)&lt;=0),"Quantité invalide",IF(AND(K563&lt;&gt;"",OR(NOT(ISNUMBER(K563)),N(K563)&lt;=0)),"Qté commandée invalide",IF(AG563&lt;SUMPRODUCT(MAX((A$6:A562=A563)*AG$6:AG562)),"Date antérieure au bon précédent",IF(AND(A563&lt;&gt;"BR",ISNUMBER(M563),N(M563)&gt;0),IF(A563="BL","Livré plus que commandé","Sorti plus que demandé"),"OK"))))))))))))</f>
        <v/>
      </c>
      <c r="Y563" s="57" t="str">
        <f>IF(AND(OR(A563="BL",A563="BR",A563="BS"),AG563&gt;0,D563&lt;&gt;""),A563&amp;"|"&amp;AG563&amp;"|"&amp;D563&amp;"|"&amp;F563,"")</f>
        <v/>
      </c>
      <c r="Z563" s="57" t="str">
        <f>IF(Y563="","",IF(COUNTIF(Y$6:Y562,Y563)=0,1,0))</f>
        <v/>
      </c>
      <c r="AA563" s="57" t="str">
        <f>IF(Y563="","",IF(Z563=1,COUNTIFS(A$6:A563,A563,Z$6:Z563,1),INDEX(AA$6:AA562,MATCH(Y563,Y$6:Y562,0))))</f>
        <v/>
      </c>
      <c r="AB563" s="57" t="str">
        <f>IF(B563="","",COUNTIF(B$6:B563,B563))</f>
        <v/>
      </c>
      <c r="AC563" s="57" t="str">
        <f>IF(B563="","",B563&amp;"#"&amp;AB563)</f>
        <v/>
      </c>
      <c r="AD563" s="57" t="str">
        <f>IF(Z563=1,A563&amp;AA563,"")</f>
        <v/>
      </c>
      <c r="AE563" s="57" t="str">
        <f>IF(B563="","",YEAR(C563))</f>
        <v/>
      </c>
      <c r="AF563" s="57" t="str">
        <f>IF(B563="","",MONTH(C563))</f>
        <v/>
      </c>
      <c r="AG563" s="57">
        <f>IF(ISNUMBER(C563),C563,0)</f>
        <v>0.0</v>
      </c>
      <c r="AH563" s="57" t="str">
        <f>IF(N(W563)&gt;0,COUNTIF(W$6:W563,"&gt;0"),"")</f>
        <v/>
      </c>
      <c r="AI563" s="57" t="str">
        <f>IF(Z563=1,COUNTIF(Z$6:Z563,1),"")</f>
        <v/>
      </c>
    </row>
    <row r="564">
      <c r="A564" s="54" t="n"/>
      <c r="B564" s="55" t="str">
        <f>IF(AA564="","",A564&amp;"-"&amp;RIGHT("000"&amp;AA564,4))</f>
        <v/>
      </c>
      <c r="C564" s="56" t="n"/>
      <c r="D564" s="54" t="n"/>
      <c r="E564" s="57" t="str">
        <f>IF(D564="","",IF(A564="BL",IFERROR(INDEX(cl_name,MATCH(D564,cl_code,0))&amp;"","Client inconnu"),IF(A564="BR",IFERROR(INDEX(fo_name,MATCH(D564,fo_code,0))&amp;"","Fournisseur inconnu"),IF(A564="BS",IF(ISNA(MATCH(D564,p_services,0)),"Service inconnu",D564&amp;""),""))))</f>
        <v/>
      </c>
      <c r="F564" s="58" t="n"/>
      <c r="G564" s="58" t="n"/>
      <c r="H564" s="59" t="n"/>
      <c r="I564" s="57" t="str">
        <f>IF(H564="","",IFERROR(INDEX(art_des,MATCH(H564,art_ref,0))&amp;"","Article inconnu"))</f>
        <v/>
      </c>
      <c r="J564" s="60" t="str">
        <f>IF(H564="","",IFERROR(INDEX(art_unit,MATCH(H564,art_ref,0))&amp;"",""))</f>
        <v/>
      </c>
      <c r="K564" s="59" t="n"/>
      <c r="L564" s="59" t="n"/>
      <c r="M564" s="61" t="str">
        <f>IF(OR(B564="",NOT(ISNUMBER(K564)),NOT(ISNUMBER(L564))),"",IF(OR(K564&lt;=0,L564&lt;=0),"",ROUND(L564-K564,6)))</f>
        <v/>
      </c>
      <c r="N564" s="58" t="n"/>
      <c r="O564" s="62" t="n"/>
      <c r="P564" s="63" t="str">
        <f>IF(OR(B564="",NOT(ISNUMBER(L564))),"",IF(L564&lt;=0,"",IFERROR(ROUND(L564*N(INDEX(art_w,MATCH(H564,art_ref,0))),3),"")))</f>
        <v/>
      </c>
      <c r="Q564" s="59" t="n"/>
      <c r="R564" s="54" t="n"/>
      <c r="S564" s="59" t="n"/>
      <c r="T564" s="59" t="n"/>
      <c r="U564" s="64" t="str">
        <f>IF(OR(B564="",H564=""),"",IFERROR(IF(A564="BL",IF(N(INDEX(art_price,MATCH(H564,art_ref,0)))=0,"",N(INDEX(art_price,MATCH(H564,art_ref,0)))),IF(N(INDEX(art_cost,MATCH(H564,art_ref,0)))=0,"",N(INDEX(art_cost,MATCH(H564,art_ref,0))))),""))</f>
        <v/>
      </c>
      <c r="V564" s="64" t="str">
        <f>IF(OR(U564="",NOT(ISNUMBER(L564))),"",IF(L564&lt;=0,"",ROUND(L564*U564,2)))</f>
        <v/>
      </c>
      <c r="W564" s="60" t="str">
        <f>IF(AND(B564&lt;&gt;"",A564&lt;&gt;"BS",F564&lt;&gt;"",H564&lt;&gt;"",ISNUMBER(K564),ISNUMBER(L564)),IF(AND(K564&gt;0,L564&gt;0,K564-L564&gt;0,COUNTIFS(A565:A$2005,A564,F565:F$2005,F564,H565:H$2005,H564,AA565:AA$2005,"&gt;0")=0),ROUND(K564-L564,6),""),"")</f>
        <v/>
      </c>
      <c r="X564" s="60" t="str">
        <f>IF(AND(A564="",C564="",D564="",H564="",L564=""),"",IF(A564="","Type manquant",IF(AND(A564&lt;&gt;"BL",A564&lt;&gt;"BR",A564&lt;&gt;"BS"),"Type inconnu (BL, BR ou BS)",IF(AG564=0,"Date manquante ou invalide",IF(D564="",IF(A564="BL","Client manquant",IF(A564="BR","Fournisseur manquant","Service manquant")),IF(IF(A564="BL",ISNA(MATCH(D564,cl_code,0)),IF(A564="BR",ISNA(MATCH(D564,fo_code,0)),ISNA(MATCH(D564,p_services,0)))),IF(A564="BL","Client inconnu",IF(A564="BR","Fournisseur inconnu","Service inconnu")),IF(H564="","Article manquant",IF(ISNA(MATCH(H564,art_ref,0)),"Article inconnu",IF(OR(NOT(ISNUMBER(L564)),N(L564)&lt;=0),"Quantité invalide",IF(AND(K564&lt;&gt;"",OR(NOT(ISNUMBER(K564)),N(K564)&lt;=0)),"Qté commandée invalide",IF(AG564&lt;SUMPRODUCT(MAX((A$6:A563=A564)*AG$6:AG563)),"Date antérieure au bon précédent",IF(AND(A564&lt;&gt;"BR",ISNUMBER(M564),N(M564)&gt;0),IF(A564="BL","Livré plus que commandé","Sorti plus que demandé"),"OK"))))))))))))</f>
        <v/>
      </c>
      <c r="Y564" s="57" t="str">
        <f>IF(AND(OR(A564="BL",A564="BR",A564="BS"),AG564&gt;0,D564&lt;&gt;""),A564&amp;"|"&amp;AG564&amp;"|"&amp;D564&amp;"|"&amp;F564,"")</f>
        <v/>
      </c>
      <c r="Z564" s="57" t="str">
        <f>IF(Y564="","",IF(COUNTIF(Y$6:Y563,Y564)=0,1,0))</f>
        <v/>
      </c>
      <c r="AA564" s="57" t="str">
        <f>IF(Y564="","",IF(Z564=1,COUNTIFS(A$6:A564,A564,Z$6:Z564,1),INDEX(AA$6:AA563,MATCH(Y564,Y$6:Y563,0))))</f>
        <v/>
      </c>
      <c r="AB564" s="57" t="str">
        <f>IF(B564="","",COUNTIF(B$6:B564,B564))</f>
        <v/>
      </c>
      <c r="AC564" s="57" t="str">
        <f>IF(B564="","",B564&amp;"#"&amp;AB564)</f>
        <v/>
      </c>
      <c r="AD564" s="57" t="str">
        <f>IF(Z564=1,A564&amp;AA564,"")</f>
        <v/>
      </c>
      <c r="AE564" s="57" t="str">
        <f>IF(B564="","",YEAR(C564))</f>
        <v/>
      </c>
      <c r="AF564" s="57" t="str">
        <f>IF(B564="","",MONTH(C564))</f>
        <v/>
      </c>
      <c r="AG564" s="57">
        <f>IF(ISNUMBER(C564),C564,0)</f>
        <v>0.0</v>
      </c>
      <c r="AH564" s="57" t="str">
        <f>IF(N(W564)&gt;0,COUNTIF(W$6:W564,"&gt;0"),"")</f>
        <v/>
      </c>
      <c r="AI564" s="57" t="str">
        <f>IF(Z564=1,COUNTIF(Z$6:Z564,1),"")</f>
        <v/>
      </c>
    </row>
    <row r="565">
      <c r="A565" s="54" t="n"/>
      <c r="B565" s="55" t="str">
        <f>IF(AA565="","",A565&amp;"-"&amp;RIGHT("000"&amp;AA565,4))</f>
        <v/>
      </c>
      <c r="C565" s="56" t="n"/>
      <c r="D565" s="54" t="n"/>
      <c r="E565" s="57" t="str">
        <f>IF(D565="","",IF(A565="BL",IFERROR(INDEX(cl_name,MATCH(D565,cl_code,0))&amp;"","Client inconnu"),IF(A565="BR",IFERROR(INDEX(fo_name,MATCH(D565,fo_code,0))&amp;"","Fournisseur inconnu"),IF(A565="BS",IF(ISNA(MATCH(D565,p_services,0)),"Service inconnu",D565&amp;""),""))))</f>
        <v/>
      </c>
      <c r="F565" s="58" t="n"/>
      <c r="G565" s="58" t="n"/>
      <c r="H565" s="59" t="n"/>
      <c r="I565" s="57" t="str">
        <f>IF(H565="","",IFERROR(INDEX(art_des,MATCH(H565,art_ref,0))&amp;"","Article inconnu"))</f>
        <v/>
      </c>
      <c r="J565" s="60" t="str">
        <f>IF(H565="","",IFERROR(INDEX(art_unit,MATCH(H565,art_ref,0))&amp;"",""))</f>
        <v/>
      </c>
      <c r="K565" s="59" t="n"/>
      <c r="L565" s="59" t="n"/>
      <c r="M565" s="61" t="str">
        <f>IF(OR(B565="",NOT(ISNUMBER(K565)),NOT(ISNUMBER(L565))),"",IF(OR(K565&lt;=0,L565&lt;=0),"",ROUND(L565-K565,6)))</f>
        <v/>
      </c>
      <c r="N565" s="58" t="n"/>
      <c r="O565" s="62" t="n"/>
      <c r="P565" s="63" t="str">
        <f>IF(OR(B565="",NOT(ISNUMBER(L565))),"",IF(L565&lt;=0,"",IFERROR(ROUND(L565*N(INDEX(art_w,MATCH(H565,art_ref,0))),3),"")))</f>
        <v/>
      </c>
      <c r="Q565" s="59" t="n"/>
      <c r="R565" s="54" t="n"/>
      <c r="S565" s="59" t="n"/>
      <c r="T565" s="59" t="n"/>
      <c r="U565" s="64" t="str">
        <f>IF(OR(B565="",H565=""),"",IFERROR(IF(A565="BL",IF(N(INDEX(art_price,MATCH(H565,art_ref,0)))=0,"",N(INDEX(art_price,MATCH(H565,art_ref,0)))),IF(N(INDEX(art_cost,MATCH(H565,art_ref,0)))=0,"",N(INDEX(art_cost,MATCH(H565,art_ref,0))))),""))</f>
        <v/>
      </c>
      <c r="V565" s="64" t="str">
        <f>IF(OR(U565="",NOT(ISNUMBER(L565))),"",IF(L565&lt;=0,"",ROUND(L565*U565,2)))</f>
        <v/>
      </c>
      <c r="W565" s="60" t="str">
        <f>IF(AND(B565&lt;&gt;"",A565&lt;&gt;"BS",F565&lt;&gt;"",H565&lt;&gt;"",ISNUMBER(K565),ISNUMBER(L565)),IF(AND(K565&gt;0,L565&gt;0,K565-L565&gt;0,COUNTIFS(A566:A$2005,A565,F566:F$2005,F565,H566:H$2005,H565,AA566:AA$2005,"&gt;0")=0),ROUND(K565-L565,6),""),"")</f>
        <v/>
      </c>
      <c r="X565" s="60" t="str">
        <f>IF(AND(A565="",C565="",D565="",H565="",L565=""),"",IF(A565="","Type manquant",IF(AND(A565&lt;&gt;"BL",A565&lt;&gt;"BR",A565&lt;&gt;"BS"),"Type inconnu (BL, BR ou BS)",IF(AG565=0,"Date manquante ou invalide",IF(D565="",IF(A565="BL","Client manquant",IF(A565="BR","Fournisseur manquant","Service manquant")),IF(IF(A565="BL",ISNA(MATCH(D565,cl_code,0)),IF(A565="BR",ISNA(MATCH(D565,fo_code,0)),ISNA(MATCH(D565,p_services,0)))),IF(A565="BL","Client inconnu",IF(A565="BR","Fournisseur inconnu","Service inconnu")),IF(H565="","Article manquant",IF(ISNA(MATCH(H565,art_ref,0)),"Article inconnu",IF(OR(NOT(ISNUMBER(L565)),N(L565)&lt;=0),"Quantité invalide",IF(AND(K565&lt;&gt;"",OR(NOT(ISNUMBER(K565)),N(K565)&lt;=0)),"Qté commandée invalide",IF(AG565&lt;SUMPRODUCT(MAX((A$6:A564=A565)*AG$6:AG564)),"Date antérieure au bon précédent",IF(AND(A565&lt;&gt;"BR",ISNUMBER(M565),N(M565)&gt;0),IF(A565="BL","Livré plus que commandé","Sorti plus que demandé"),"OK"))))))))))))</f>
        <v/>
      </c>
      <c r="Y565" s="57" t="str">
        <f>IF(AND(OR(A565="BL",A565="BR",A565="BS"),AG565&gt;0,D565&lt;&gt;""),A565&amp;"|"&amp;AG565&amp;"|"&amp;D565&amp;"|"&amp;F565,"")</f>
        <v/>
      </c>
      <c r="Z565" s="57" t="str">
        <f>IF(Y565="","",IF(COUNTIF(Y$6:Y564,Y565)=0,1,0))</f>
        <v/>
      </c>
      <c r="AA565" s="57" t="str">
        <f>IF(Y565="","",IF(Z565=1,COUNTIFS(A$6:A565,A565,Z$6:Z565,1),INDEX(AA$6:AA564,MATCH(Y565,Y$6:Y564,0))))</f>
        <v/>
      </c>
      <c r="AB565" s="57" t="str">
        <f>IF(B565="","",COUNTIF(B$6:B565,B565))</f>
        <v/>
      </c>
      <c r="AC565" s="57" t="str">
        <f>IF(B565="","",B565&amp;"#"&amp;AB565)</f>
        <v/>
      </c>
      <c r="AD565" s="57" t="str">
        <f>IF(Z565=1,A565&amp;AA565,"")</f>
        <v/>
      </c>
      <c r="AE565" s="57" t="str">
        <f>IF(B565="","",YEAR(C565))</f>
        <v/>
      </c>
      <c r="AF565" s="57" t="str">
        <f>IF(B565="","",MONTH(C565))</f>
        <v/>
      </c>
      <c r="AG565" s="57">
        <f>IF(ISNUMBER(C565),C565,0)</f>
        <v>0.0</v>
      </c>
      <c r="AH565" s="57" t="str">
        <f>IF(N(W565)&gt;0,COUNTIF(W$6:W565,"&gt;0"),"")</f>
        <v/>
      </c>
      <c r="AI565" s="57" t="str">
        <f>IF(Z565=1,COUNTIF(Z$6:Z565,1),"")</f>
        <v/>
      </c>
    </row>
    <row r="566">
      <c r="A566" s="54" t="n"/>
      <c r="B566" s="55" t="str">
        <f>IF(AA566="","",A566&amp;"-"&amp;RIGHT("000"&amp;AA566,4))</f>
        <v/>
      </c>
      <c r="C566" s="56" t="n"/>
      <c r="D566" s="54" t="n"/>
      <c r="E566" s="57" t="str">
        <f>IF(D566="","",IF(A566="BL",IFERROR(INDEX(cl_name,MATCH(D566,cl_code,0))&amp;"","Client inconnu"),IF(A566="BR",IFERROR(INDEX(fo_name,MATCH(D566,fo_code,0))&amp;"","Fournisseur inconnu"),IF(A566="BS",IF(ISNA(MATCH(D566,p_services,0)),"Service inconnu",D566&amp;""),""))))</f>
        <v/>
      </c>
      <c r="F566" s="58" t="n"/>
      <c r="G566" s="58" t="n"/>
      <c r="H566" s="59" t="n"/>
      <c r="I566" s="57" t="str">
        <f>IF(H566="","",IFERROR(INDEX(art_des,MATCH(H566,art_ref,0))&amp;"","Article inconnu"))</f>
        <v/>
      </c>
      <c r="J566" s="60" t="str">
        <f>IF(H566="","",IFERROR(INDEX(art_unit,MATCH(H566,art_ref,0))&amp;"",""))</f>
        <v/>
      </c>
      <c r="K566" s="59" t="n"/>
      <c r="L566" s="59" t="n"/>
      <c r="M566" s="61" t="str">
        <f>IF(OR(B566="",NOT(ISNUMBER(K566)),NOT(ISNUMBER(L566))),"",IF(OR(K566&lt;=0,L566&lt;=0),"",ROUND(L566-K566,6)))</f>
        <v/>
      </c>
      <c r="N566" s="58" t="n"/>
      <c r="O566" s="62" t="n"/>
      <c r="P566" s="63" t="str">
        <f>IF(OR(B566="",NOT(ISNUMBER(L566))),"",IF(L566&lt;=0,"",IFERROR(ROUND(L566*N(INDEX(art_w,MATCH(H566,art_ref,0))),3),"")))</f>
        <v/>
      </c>
      <c r="Q566" s="59" t="n"/>
      <c r="R566" s="54" t="n"/>
      <c r="S566" s="59" t="n"/>
      <c r="T566" s="59" t="n"/>
      <c r="U566" s="64" t="str">
        <f>IF(OR(B566="",H566=""),"",IFERROR(IF(A566="BL",IF(N(INDEX(art_price,MATCH(H566,art_ref,0)))=0,"",N(INDEX(art_price,MATCH(H566,art_ref,0)))),IF(N(INDEX(art_cost,MATCH(H566,art_ref,0)))=0,"",N(INDEX(art_cost,MATCH(H566,art_ref,0))))),""))</f>
        <v/>
      </c>
      <c r="V566" s="64" t="str">
        <f>IF(OR(U566="",NOT(ISNUMBER(L566))),"",IF(L566&lt;=0,"",ROUND(L566*U566,2)))</f>
        <v/>
      </c>
      <c r="W566" s="60" t="str">
        <f>IF(AND(B566&lt;&gt;"",A566&lt;&gt;"BS",F566&lt;&gt;"",H566&lt;&gt;"",ISNUMBER(K566),ISNUMBER(L566)),IF(AND(K566&gt;0,L566&gt;0,K566-L566&gt;0,COUNTIFS(A567:A$2005,A566,F567:F$2005,F566,H567:H$2005,H566,AA567:AA$2005,"&gt;0")=0),ROUND(K566-L566,6),""),"")</f>
        <v/>
      </c>
      <c r="X566" s="60" t="str">
        <f>IF(AND(A566="",C566="",D566="",H566="",L566=""),"",IF(A566="","Type manquant",IF(AND(A566&lt;&gt;"BL",A566&lt;&gt;"BR",A566&lt;&gt;"BS"),"Type inconnu (BL, BR ou BS)",IF(AG566=0,"Date manquante ou invalide",IF(D566="",IF(A566="BL","Client manquant",IF(A566="BR","Fournisseur manquant","Service manquant")),IF(IF(A566="BL",ISNA(MATCH(D566,cl_code,0)),IF(A566="BR",ISNA(MATCH(D566,fo_code,0)),ISNA(MATCH(D566,p_services,0)))),IF(A566="BL","Client inconnu",IF(A566="BR","Fournisseur inconnu","Service inconnu")),IF(H566="","Article manquant",IF(ISNA(MATCH(H566,art_ref,0)),"Article inconnu",IF(OR(NOT(ISNUMBER(L566)),N(L566)&lt;=0),"Quantité invalide",IF(AND(K566&lt;&gt;"",OR(NOT(ISNUMBER(K566)),N(K566)&lt;=0)),"Qté commandée invalide",IF(AG566&lt;SUMPRODUCT(MAX((A$6:A565=A566)*AG$6:AG565)),"Date antérieure au bon précédent",IF(AND(A566&lt;&gt;"BR",ISNUMBER(M566),N(M566)&gt;0),IF(A566="BL","Livré plus que commandé","Sorti plus que demandé"),"OK"))))))))))))</f>
        <v/>
      </c>
      <c r="Y566" s="57" t="str">
        <f>IF(AND(OR(A566="BL",A566="BR",A566="BS"),AG566&gt;0,D566&lt;&gt;""),A566&amp;"|"&amp;AG566&amp;"|"&amp;D566&amp;"|"&amp;F566,"")</f>
        <v/>
      </c>
      <c r="Z566" s="57" t="str">
        <f>IF(Y566="","",IF(COUNTIF(Y$6:Y565,Y566)=0,1,0))</f>
        <v/>
      </c>
      <c r="AA566" s="57" t="str">
        <f>IF(Y566="","",IF(Z566=1,COUNTIFS(A$6:A566,A566,Z$6:Z566,1),INDEX(AA$6:AA565,MATCH(Y566,Y$6:Y565,0))))</f>
        <v/>
      </c>
      <c r="AB566" s="57" t="str">
        <f>IF(B566="","",COUNTIF(B$6:B566,B566))</f>
        <v/>
      </c>
      <c r="AC566" s="57" t="str">
        <f>IF(B566="","",B566&amp;"#"&amp;AB566)</f>
        <v/>
      </c>
      <c r="AD566" s="57" t="str">
        <f>IF(Z566=1,A566&amp;AA566,"")</f>
        <v/>
      </c>
      <c r="AE566" s="57" t="str">
        <f>IF(B566="","",YEAR(C566))</f>
        <v/>
      </c>
      <c r="AF566" s="57" t="str">
        <f>IF(B566="","",MONTH(C566))</f>
        <v/>
      </c>
      <c r="AG566" s="57">
        <f>IF(ISNUMBER(C566),C566,0)</f>
        <v>0.0</v>
      </c>
      <c r="AH566" s="57" t="str">
        <f>IF(N(W566)&gt;0,COUNTIF(W$6:W566,"&gt;0"),"")</f>
        <v/>
      </c>
      <c r="AI566" s="57" t="str">
        <f>IF(Z566=1,COUNTIF(Z$6:Z566,1),"")</f>
        <v/>
      </c>
    </row>
    <row r="567">
      <c r="A567" s="54" t="n"/>
      <c r="B567" s="55" t="str">
        <f>IF(AA567="","",A567&amp;"-"&amp;RIGHT("000"&amp;AA567,4))</f>
        <v/>
      </c>
      <c r="C567" s="56" t="n"/>
      <c r="D567" s="54" t="n"/>
      <c r="E567" s="57" t="str">
        <f>IF(D567="","",IF(A567="BL",IFERROR(INDEX(cl_name,MATCH(D567,cl_code,0))&amp;"","Client inconnu"),IF(A567="BR",IFERROR(INDEX(fo_name,MATCH(D567,fo_code,0))&amp;"","Fournisseur inconnu"),IF(A567="BS",IF(ISNA(MATCH(D567,p_services,0)),"Service inconnu",D567&amp;""),""))))</f>
        <v/>
      </c>
      <c r="F567" s="58" t="n"/>
      <c r="G567" s="58" t="n"/>
      <c r="H567" s="59" t="n"/>
      <c r="I567" s="57" t="str">
        <f>IF(H567="","",IFERROR(INDEX(art_des,MATCH(H567,art_ref,0))&amp;"","Article inconnu"))</f>
        <v/>
      </c>
      <c r="J567" s="60" t="str">
        <f>IF(H567="","",IFERROR(INDEX(art_unit,MATCH(H567,art_ref,0))&amp;"",""))</f>
        <v/>
      </c>
      <c r="K567" s="59" t="n"/>
      <c r="L567" s="59" t="n"/>
      <c r="M567" s="61" t="str">
        <f>IF(OR(B567="",NOT(ISNUMBER(K567)),NOT(ISNUMBER(L567))),"",IF(OR(K567&lt;=0,L567&lt;=0),"",ROUND(L567-K567,6)))</f>
        <v/>
      </c>
      <c r="N567" s="58" t="n"/>
      <c r="O567" s="62" t="n"/>
      <c r="P567" s="63" t="str">
        <f>IF(OR(B567="",NOT(ISNUMBER(L567))),"",IF(L567&lt;=0,"",IFERROR(ROUND(L567*N(INDEX(art_w,MATCH(H567,art_ref,0))),3),"")))</f>
        <v/>
      </c>
      <c r="Q567" s="59" t="n"/>
      <c r="R567" s="54" t="n"/>
      <c r="S567" s="59" t="n"/>
      <c r="T567" s="59" t="n"/>
      <c r="U567" s="64" t="str">
        <f>IF(OR(B567="",H567=""),"",IFERROR(IF(A567="BL",IF(N(INDEX(art_price,MATCH(H567,art_ref,0)))=0,"",N(INDEX(art_price,MATCH(H567,art_ref,0)))),IF(N(INDEX(art_cost,MATCH(H567,art_ref,0)))=0,"",N(INDEX(art_cost,MATCH(H567,art_ref,0))))),""))</f>
        <v/>
      </c>
      <c r="V567" s="64" t="str">
        <f>IF(OR(U567="",NOT(ISNUMBER(L567))),"",IF(L567&lt;=0,"",ROUND(L567*U567,2)))</f>
        <v/>
      </c>
      <c r="W567" s="60" t="str">
        <f>IF(AND(B567&lt;&gt;"",A567&lt;&gt;"BS",F567&lt;&gt;"",H567&lt;&gt;"",ISNUMBER(K567),ISNUMBER(L567)),IF(AND(K567&gt;0,L567&gt;0,K567-L567&gt;0,COUNTIFS(A568:A$2005,A567,F568:F$2005,F567,H568:H$2005,H567,AA568:AA$2005,"&gt;0")=0),ROUND(K567-L567,6),""),"")</f>
        <v/>
      </c>
      <c r="X567" s="60" t="str">
        <f>IF(AND(A567="",C567="",D567="",H567="",L567=""),"",IF(A567="","Type manquant",IF(AND(A567&lt;&gt;"BL",A567&lt;&gt;"BR",A567&lt;&gt;"BS"),"Type inconnu (BL, BR ou BS)",IF(AG567=0,"Date manquante ou invalide",IF(D567="",IF(A567="BL","Client manquant",IF(A567="BR","Fournisseur manquant","Service manquant")),IF(IF(A567="BL",ISNA(MATCH(D567,cl_code,0)),IF(A567="BR",ISNA(MATCH(D567,fo_code,0)),ISNA(MATCH(D567,p_services,0)))),IF(A567="BL","Client inconnu",IF(A567="BR","Fournisseur inconnu","Service inconnu")),IF(H567="","Article manquant",IF(ISNA(MATCH(H567,art_ref,0)),"Article inconnu",IF(OR(NOT(ISNUMBER(L567)),N(L567)&lt;=0),"Quantité invalide",IF(AND(K567&lt;&gt;"",OR(NOT(ISNUMBER(K567)),N(K567)&lt;=0)),"Qté commandée invalide",IF(AG567&lt;SUMPRODUCT(MAX((A$6:A566=A567)*AG$6:AG566)),"Date antérieure au bon précédent",IF(AND(A567&lt;&gt;"BR",ISNUMBER(M567),N(M567)&gt;0),IF(A567="BL","Livré plus que commandé","Sorti plus que demandé"),"OK"))))))))))))</f>
        <v/>
      </c>
      <c r="Y567" s="57" t="str">
        <f>IF(AND(OR(A567="BL",A567="BR",A567="BS"),AG567&gt;0,D567&lt;&gt;""),A567&amp;"|"&amp;AG567&amp;"|"&amp;D567&amp;"|"&amp;F567,"")</f>
        <v/>
      </c>
      <c r="Z567" s="57" t="str">
        <f>IF(Y567="","",IF(COUNTIF(Y$6:Y566,Y567)=0,1,0))</f>
        <v/>
      </c>
      <c r="AA567" s="57" t="str">
        <f>IF(Y567="","",IF(Z567=1,COUNTIFS(A$6:A567,A567,Z$6:Z567,1),INDEX(AA$6:AA566,MATCH(Y567,Y$6:Y566,0))))</f>
        <v/>
      </c>
      <c r="AB567" s="57" t="str">
        <f>IF(B567="","",COUNTIF(B$6:B567,B567))</f>
        <v/>
      </c>
      <c r="AC567" s="57" t="str">
        <f>IF(B567="","",B567&amp;"#"&amp;AB567)</f>
        <v/>
      </c>
      <c r="AD567" s="57" t="str">
        <f>IF(Z567=1,A567&amp;AA567,"")</f>
        <v/>
      </c>
      <c r="AE567" s="57" t="str">
        <f>IF(B567="","",YEAR(C567))</f>
        <v/>
      </c>
      <c r="AF567" s="57" t="str">
        <f>IF(B567="","",MONTH(C567))</f>
        <v/>
      </c>
      <c r="AG567" s="57">
        <f>IF(ISNUMBER(C567),C567,0)</f>
        <v>0.0</v>
      </c>
      <c r="AH567" s="57" t="str">
        <f>IF(N(W567)&gt;0,COUNTIF(W$6:W567,"&gt;0"),"")</f>
        <v/>
      </c>
      <c r="AI567" s="57" t="str">
        <f>IF(Z567=1,COUNTIF(Z$6:Z567,1),"")</f>
        <v/>
      </c>
    </row>
    <row r="568">
      <c r="A568" s="54" t="n"/>
      <c r="B568" s="55" t="str">
        <f>IF(AA568="","",A568&amp;"-"&amp;RIGHT("000"&amp;AA568,4))</f>
        <v/>
      </c>
      <c r="C568" s="56" t="n"/>
      <c r="D568" s="54" t="n"/>
      <c r="E568" s="57" t="str">
        <f>IF(D568="","",IF(A568="BL",IFERROR(INDEX(cl_name,MATCH(D568,cl_code,0))&amp;"","Client inconnu"),IF(A568="BR",IFERROR(INDEX(fo_name,MATCH(D568,fo_code,0))&amp;"","Fournisseur inconnu"),IF(A568="BS",IF(ISNA(MATCH(D568,p_services,0)),"Service inconnu",D568&amp;""),""))))</f>
        <v/>
      </c>
      <c r="F568" s="58" t="n"/>
      <c r="G568" s="58" t="n"/>
      <c r="H568" s="59" t="n"/>
      <c r="I568" s="57" t="str">
        <f>IF(H568="","",IFERROR(INDEX(art_des,MATCH(H568,art_ref,0))&amp;"","Article inconnu"))</f>
        <v/>
      </c>
      <c r="J568" s="60" t="str">
        <f>IF(H568="","",IFERROR(INDEX(art_unit,MATCH(H568,art_ref,0))&amp;"",""))</f>
        <v/>
      </c>
      <c r="K568" s="59" t="n"/>
      <c r="L568" s="59" t="n"/>
      <c r="M568" s="61" t="str">
        <f>IF(OR(B568="",NOT(ISNUMBER(K568)),NOT(ISNUMBER(L568))),"",IF(OR(K568&lt;=0,L568&lt;=0),"",ROUND(L568-K568,6)))</f>
        <v/>
      </c>
      <c r="N568" s="58" t="n"/>
      <c r="O568" s="62" t="n"/>
      <c r="P568" s="63" t="str">
        <f>IF(OR(B568="",NOT(ISNUMBER(L568))),"",IF(L568&lt;=0,"",IFERROR(ROUND(L568*N(INDEX(art_w,MATCH(H568,art_ref,0))),3),"")))</f>
        <v/>
      </c>
      <c r="Q568" s="59" t="n"/>
      <c r="R568" s="54" t="n"/>
      <c r="S568" s="59" t="n"/>
      <c r="T568" s="59" t="n"/>
      <c r="U568" s="64" t="str">
        <f>IF(OR(B568="",H568=""),"",IFERROR(IF(A568="BL",IF(N(INDEX(art_price,MATCH(H568,art_ref,0)))=0,"",N(INDEX(art_price,MATCH(H568,art_ref,0)))),IF(N(INDEX(art_cost,MATCH(H568,art_ref,0)))=0,"",N(INDEX(art_cost,MATCH(H568,art_ref,0))))),""))</f>
        <v/>
      </c>
      <c r="V568" s="64" t="str">
        <f>IF(OR(U568="",NOT(ISNUMBER(L568))),"",IF(L568&lt;=0,"",ROUND(L568*U568,2)))</f>
        <v/>
      </c>
      <c r="W568" s="60" t="str">
        <f>IF(AND(B568&lt;&gt;"",A568&lt;&gt;"BS",F568&lt;&gt;"",H568&lt;&gt;"",ISNUMBER(K568),ISNUMBER(L568)),IF(AND(K568&gt;0,L568&gt;0,K568-L568&gt;0,COUNTIFS(A569:A$2005,A568,F569:F$2005,F568,H569:H$2005,H568,AA569:AA$2005,"&gt;0")=0),ROUND(K568-L568,6),""),"")</f>
        <v/>
      </c>
      <c r="X568" s="60" t="str">
        <f>IF(AND(A568="",C568="",D568="",H568="",L568=""),"",IF(A568="","Type manquant",IF(AND(A568&lt;&gt;"BL",A568&lt;&gt;"BR",A568&lt;&gt;"BS"),"Type inconnu (BL, BR ou BS)",IF(AG568=0,"Date manquante ou invalide",IF(D568="",IF(A568="BL","Client manquant",IF(A568="BR","Fournisseur manquant","Service manquant")),IF(IF(A568="BL",ISNA(MATCH(D568,cl_code,0)),IF(A568="BR",ISNA(MATCH(D568,fo_code,0)),ISNA(MATCH(D568,p_services,0)))),IF(A568="BL","Client inconnu",IF(A568="BR","Fournisseur inconnu","Service inconnu")),IF(H568="","Article manquant",IF(ISNA(MATCH(H568,art_ref,0)),"Article inconnu",IF(OR(NOT(ISNUMBER(L568)),N(L568)&lt;=0),"Quantité invalide",IF(AND(K568&lt;&gt;"",OR(NOT(ISNUMBER(K568)),N(K568)&lt;=0)),"Qté commandée invalide",IF(AG568&lt;SUMPRODUCT(MAX((A$6:A567=A568)*AG$6:AG567)),"Date antérieure au bon précédent",IF(AND(A568&lt;&gt;"BR",ISNUMBER(M568),N(M568)&gt;0),IF(A568="BL","Livré plus que commandé","Sorti plus que demandé"),"OK"))))))))))))</f>
        <v/>
      </c>
      <c r="Y568" s="57" t="str">
        <f>IF(AND(OR(A568="BL",A568="BR",A568="BS"),AG568&gt;0,D568&lt;&gt;""),A568&amp;"|"&amp;AG568&amp;"|"&amp;D568&amp;"|"&amp;F568,"")</f>
        <v/>
      </c>
      <c r="Z568" s="57" t="str">
        <f>IF(Y568="","",IF(COUNTIF(Y$6:Y567,Y568)=0,1,0))</f>
        <v/>
      </c>
      <c r="AA568" s="57" t="str">
        <f>IF(Y568="","",IF(Z568=1,COUNTIFS(A$6:A568,A568,Z$6:Z568,1),INDEX(AA$6:AA567,MATCH(Y568,Y$6:Y567,0))))</f>
        <v/>
      </c>
      <c r="AB568" s="57" t="str">
        <f>IF(B568="","",COUNTIF(B$6:B568,B568))</f>
        <v/>
      </c>
      <c r="AC568" s="57" t="str">
        <f>IF(B568="","",B568&amp;"#"&amp;AB568)</f>
        <v/>
      </c>
      <c r="AD568" s="57" t="str">
        <f>IF(Z568=1,A568&amp;AA568,"")</f>
        <v/>
      </c>
      <c r="AE568" s="57" t="str">
        <f>IF(B568="","",YEAR(C568))</f>
        <v/>
      </c>
      <c r="AF568" s="57" t="str">
        <f>IF(B568="","",MONTH(C568))</f>
        <v/>
      </c>
      <c r="AG568" s="57">
        <f>IF(ISNUMBER(C568),C568,0)</f>
        <v>0.0</v>
      </c>
      <c r="AH568" s="57" t="str">
        <f>IF(N(W568)&gt;0,COUNTIF(W$6:W568,"&gt;0"),"")</f>
        <v/>
      </c>
      <c r="AI568" s="57" t="str">
        <f>IF(Z568=1,COUNTIF(Z$6:Z568,1),"")</f>
        <v/>
      </c>
    </row>
    <row r="569">
      <c r="A569" s="54" t="n"/>
      <c r="B569" s="55" t="str">
        <f>IF(AA569="","",A569&amp;"-"&amp;RIGHT("000"&amp;AA569,4))</f>
        <v/>
      </c>
      <c r="C569" s="56" t="n"/>
      <c r="D569" s="54" t="n"/>
      <c r="E569" s="57" t="str">
        <f>IF(D569="","",IF(A569="BL",IFERROR(INDEX(cl_name,MATCH(D569,cl_code,0))&amp;"","Client inconnu"),IF(A569="BR",IFERROR(INDEX(fo_name,MATCH(D569,fo_code,0))&amp;"","Fournisseur inconnu"),IF(A569="BS",IF(ISNA(MATCH(D569,p_services,0)),"Service inconnu",D569&amp;""),""))))</f>
        <v/>
      </c>
      <c r="F569" s="58" t="n"/>
      <c r="G569" s="58" t="n"/>
      <c r="H569" s="59" t="n"/>
      <c r="I569" s="57" t="str">
        <f>IF(H569="","",IFERROR(INDEX(art_des,MATCH(H569,art_ref,0))&amp;"","Article inconnu"))</f>
        <v/>
      </c>
      <c r="J569" s="60" t="str">
        <f>IF(H569="","",IFERROR(INDEX(art_unit,MATCH(H569,art_ref,0))&amp;"",""))</f>
        <v/>
      </c>
      <c r="K569" s="59" t="n"/>
      <c r="L569" s="59" t="n"/>
      <c r="M569" s="61" t="str">
        <f>IF(OR(B569="",NOT(ISNUMBER(K569)),NOT(ISNUMBER(L569))),"",IF(OR(K569&lt;=0,L569&lt;=0),"",ROUND(L569-K569,6)))</f>
        <v/>
      </c>
      <c r="N569" s="58" t="n"/>
      <c r="O569" s="62" t="n"/>
      <c r="P569" s="63" t="str">
        <f>IF(OR(B569="",NOT(ISNUMBER(L569))),"",IF(L569&lt;=0,"",IFERROR(ROUND(L569*N(INDEX(art_w,MATCH(H569,art_ref,0))),3),"")))</f>
        <v/>
      </c>
      <c r="Q569" s="59" t="n"/>
      <c r="R569" s="54" t="n"/>
      <c r="S569" s="59" t="n"/>
      <c r="T569" s="59" t="n"/>
      <c r="U569" s="64" t="str">
        <f>IF(OR(B569="",H569=""),"",IFERROR(IF(A569="BL",IF(N(INDEX(art_price,MATCH(H569,art_ref,0)))=0,"",N(INDEX(art_price,MATCH(H569,art_ref,0)))),IF(N(INDEX(art_cost,MATCH(H569,art_ref,0)))=0,"",N(INDEX(art_cost,MATCH(H569,art_ref,0))))),""))</f>
        <v/>
      </c>
      <c r="V569" s="64" t="str">
        <f>IF(OR(U569="",NOT(ISNUMBER(L569))),"",IF(L569&lt;=0,"",ROUND(L569*U569,2)))</f>
        <v/>
      </c>
      <c r="W569" s="60" t="str">
        <f>IF(AND(B569&lt;&gt;"",A569&lt;&gt;"BS",F569&lt;&gt;"",H569&lt;&gt;"",ISNUMBER(K569),ISNUMBER(L569)),IF(AND(K569&gt;0,L569&gt;0,K569-L569&gt;0,COUNTIFS(A570:A$2005,A569,F570:F$2005,F569,H570:H$2005,H569,AA570:AA$2005,"&gt;0")=0),ROUND(K569-L569,6),""),"")</f>
        <v/>
      </c>
      <c r="X569" s="60" t="str">
        <f>IF(AND(A569="",C569="",D569="",H569="",L569=""),"",IF(A569="","Type manquant",IF(AND(A569&lt;&gt;"BL",A569&lt;&gt;"BR",A569&lt;&gt;"BS"),"Type inconnu (BL, BR ou BS)",IF(AG569=0,"Date manquante ou invalide",IF(D569="",IF(A569="BL","Client manquant",IF(A569="BR","Fournisseur manquant","Service manquant")),IF(IF(A569="BL",ISNA(MATCH(D569,cl_code,0)),IF(A569="BR",ISNA(MATCH(D569,fo_code,0)),ISNA(MATCH(D569,p_services,0)))),IF(A569="BL","Client inconnu",IF(A569="BR","Fournisseur inconnu","Service inconnu")),IF(H569="","Article manquant",IF(ISNA(MATCH(H569,art_ref,0)),"Article inconnu",IF(OR(NOT(ISNUMBER(L569)),N(L569)&lt;=0),"Quantité invalide",IF(AND(K569&lt;&gt;"",OR(NOT(ISNUMBER(K569)),N(K569)&lt;=0)),"Qté commandée invalide",IF(AG569&lt;SUMPRODUCT(MAX((A$6:A568=A569)*AG$6:AG568)),"Date antérieure au bon précédent",IF(AND(A569&lt;&gt;"BR",ISNUMBER(M569),N(M569)&gt;0),IF(A569="BL","Livré plus que commandé","Sorti plus que demandé"),"OK"))))))))))))</f>
        <v/>
      </c>
      <c r="Y569" s="57" t="str">
        <f>IF(AND(OR(A569="BL",A569="BR",A569="BS"),AG569&gt;0,D569&lt;&gt;""),A569&amp;"|"&amp;AG569&amp;"|"&amp;D569&amp;"|"&amp;F569,"")</f>
        <v/>
      </c>
      <c r="Z569" s="57" t="str">
        <f>IF(Y569="","",IF(COUNTIF(Y$6:Y568,Y569)=0,1,0))</f>
        <v/>
      </c>
      <c r="AA569" s="57" t="str">
        <f>IF(Y569="","",IF(Z569=1,COUNTIFS(A$6:A569,A569,Z$6:Z569,1),INDEX(AA$6:AA568,MATCH(Y569,Y$6:Y568,0))))</f>
        <v/>
      </c>
      <c r="AB569" s="57" t="str">
        <f>IF(B569="","",COUNTIF(B$6:B569,B569))</f>
        <v/>
      </c>
      <c r="AC569" s="57" t="str">
        <f>IF(B569="","",B569&amp;"#"&amp;AB569)</f>
        <v/>
      </c>
      <c r="AD569" s="57" t="str">
        <f>IF(Z569=1,A569&amp;AA569,"")</f>
        <v/>
      </c>
      <c r="AE569" s="57" t="str">
        <f>IF(B569="","",YEAR(C569))</f>
        <v/>
      </c>
      <c r="AF569" s="57" t="str">
        <f>IF(B569="","",MONTH(C569))</f>
        <v/>
      </c>
      <c r="AG569" s="57">
        <f>IF(ISNUMBER(C569),C569,0)</f>
        <v>0.0</v>
      </c>
      <c r="AH569" s="57" t="str">
        <f>IF(N(W569)&gt;0,COUNTIF(W$6:W569,"&gt;0"),"")</f>
        <v/>
      </c>
      <c r="AI569" s="57" t="str">
        <f>IF(Z569=1,COUNTIF(Z$6:Z569,1),"")</f>
        <v/>
      </c>
    </row>
    <row r="570">
      <c r="A570" s="54" t="n"/>
      <c r="B570" s="55" t="str">
        <f>IF(AA570="","",A570&amp;"-"&amp;RIGHT("000"&amp;AA570,4))</f>
        <v/>
      </c>
      <c r="C570" s="56" t="n"/>
      <c r="D570" s="54" t="n"/>
      <c r="E570" s="57" t="str">
        <f>IF(D570="","",IF(A570="BL",IFERROR(INDEX(cl_name,MATCH(D570,cl_code,0))&amp;"","Client inconnu"),IF(A570="BR",IFERROR(INDEX(fo_name,MATCH(D570,fo_code,0))&amp;"","Fournisseur inconnu"),IF(A570="BS",IF(ISNA(MATCH(D570,p_services,0)),"Service inconnu",D570&amp;""),""))))</f>
        <v/>
      </c>
      <c r="F570" s="58" t="n"/>
      <c r="G570" s="58" t="n"/>
      <c r="H570" s="59" t="n"/>
      <c r="I570" s="57" t="str">
        <f>IF(H570="","",IFERROR(INDEX(art_des,MATCH(H570,art_ref,0))&amp;"","Article inconnu"))</f>
        <v/>
      </c>
      <c r="J570" s="60" t="str">
        <f>IF(H570="","",IFERROR(INDEX(art_unit,MATCH(H570,art_ref,0))&amp;"",""))</f>
        <v/>
      </c>
      <c r="K570" s="59" t="n"/>
      <c r="L570" s="59" t="n"/>
      <c r="M570" s="61" t="str">
        <f>IF(OR(B570="",NOT(ISNUMBER(K570)),NOT(ISNUMBER(L570))),"",IF(OR(K570&lt;=0,L570&lt;=0),"",ROUND(L570-K570,6)))</f>
        <v/>
      </c>
      <c r="N570" s="58" t="n"/>
      <c r="O570" s="62" t="n"/>
      <c r="P570" s="63" t="str">
        <f>IF(OR(B570="",NOT(ISNUMBER(L570))),"",IF(L570&lt;=0,"",IFERROR(ROUND(L570*N(INDEX(art_w,MATCH(H570,art_ref,0))),3),"")))</f>
        <v/>
      </c>
      <c r="Q570" s="59" t="n"/>
      <c r="R570" s="54" t="n"/>
      <c r="S570" s="59" t="n"/>
      <c r="T570" s="59" t="n"/>
      <c r="U570" s="64" t="str">
        <f>IF(OR(B570="",H570=""),"",IFERROR(IF(A570="BL",IF(N(INDEX(art_price,MATCH(H570,art_ref,0)))=0,"",N(INDEX(art_price,MATCH(H570,art_ref,0)))),IF(N(INDEX(art_cost,MATCH(H570,art_ref,0)))=0,"",N(INDEX(art_cost,MATCH(H570,art_ref,0))))),""))</f>
        <v/>
      </c>
      <c r="V570" s="64" t="str">
        <f>IF(OR(U570="",NOT(ISNUMBER(L570))),"",IF(L570&lt;=0,"",ROUND(L570*U570,2)))</f>
        <v/>
      </c>
      <c r="W570" s="60" t="str">
        <f>IF(AND(B570&lt;&gt;"",A570&lt;&gt;"BS",F570&lt;&gt;"",H570&lt;&gt;"",ISNUMBER(K570),ISNUMBER(L570)),IF(AND(K570&gt;0,L570&gt;0,K570-L570&gt;0,COUNTIFS(A571:A$2005,A570,F571:F$2005,F570,H571:H$2005,H570,AA571:AA$2005,"&gt;0")=0),ROUND(K570-L570,6),""),"")</f>
        <v/>
      </c>
      <c r="X570" s="60" t="str">
        <f>IF(AND(A570="",C570="",D570="",H570="",L570=""),"",IF(A570="","Type manquant",IF(AND(A570&lt;&gt;"BL",A570&lt;&gt;"BR",A570&lt;&gt;"BS"),"Type inconnu (BL, BR ou BS)",IF(AG570=0,"Date manquante ou invalide",IF(D570="",IF(A570="BL","Client manquant",IF(A570="BR","Fournisseur manquant","Service manquant")),IF(IF(A570="BL",ISNA(MATCH(D570,cl_code,0)),IF(A570="BR",ISNA(MATCH(D570,fo_code,0)),ISNA(MATCH(D570,p_services,0)))),IF(A570="BL","Client inconnu",IF(A570="BR","Fournisseur inconnu","Service inconnu")),IF(H570="","Article manquant",IF(ISNA(MATCH(H570,art_ref,0)),"Article inconnu",IF(OR(NOT(ISNUMBER(L570)),N(L570)&lt;=0),"Quantité invalide",IF(AND(K570&lt;&gt;"",OR(NOT(ISNUMBER(K570)),N(K570)&lt;=0)),"Qté commandée invalide",IF(AG570&lt;SUMPRODUCT(MAX((A$6:A569=A570)*AG$6:AG569)),"Date antérieure au bon précédent",IF(AND(A570&lt;&gt;"BR",ISNUMBER(M570),N(M570)&gt;0),IF(A570="BL","Livré plus que commandé","Sorti plus que demandé"),"OK"))))))))))))</f>
        <v/>
      </c>
      <c r="Y570" s="57" t="str">
        <f>IF(AND(OR(A570="BL",A570="BR",A570="BS"),AG570&gt;0,D570&lt;&gt;""),A570&amp;"|"&amp;AG570&amp;"|"&amp;D570&amp;"|"&amp;F570,"")</f>
        <v/>
      </c>
      <c r="Z570" s="57" t="str">
        <f>IF(Y570="","",IF(COUNTIF(Y$6:Y569,Y570)=0,1,0))</f>
        <v/>
      </c>
      <c r="AA570" s="57" t="str">
        <f>IF(Y570="","",IF(Z570=1,COUNTIFS(A$6:A570,A570,Z$6:Z570,1),INDEX(AA$6:AA569,MATCH(Y570,Y$6:Y569,0))))</f>
        <v/>
      </c>
      <c r="AB570" s="57" t="str">
        <f>IF(B570="","",COUNTIF(B$6:B570,B570))</f>
        <v/>
      </c>
      <c r="AC570" s="57" t="str">
        <f>IF(B570="","",B570&amp;"#"&amp;AB570)</f>
        <v/>
      </c>
      <c r="AD570" s="57" t="str">
        <f>IF(Z570=1,A570&amp;AA570,"")</f>
        <v/>
      </c>
      <c r="AE570" s="57" t="str">
        <f>IF(B570="","",YEAR(C570))</f>
        <v/>
      </c>
      <c r="AF570" s="57" t="str">
        <f>IF(B570="","",MONTH(C570))</f>
        <v/>
      </c>
      <c r="AG570" s="57">
        <f>IF(ISNUMBER(C570),C570,0)</f>
        <v>0.0</v>
      </c>
      <c r="AH570" s="57" t="str">
        <f>IF(N(W570)&gt;0,COUNTIF(W$6:W570,"&gt;0"),"")</f>
        <v/>
      </c>
      <c r="AI570" s="57" t="str">
        <f>IF(Z570=1,COUNTIF(Z$6:Z570,1),"")</f>
        <v/>
      </c>
    </row>
    <row r="571">
      <c r="A571" s="54" t="n"/>
      <c r="B571" s="55" t="str">
        <f>IF(AA571="","",A571&amp;"-"&amp;RIGHT("000"&amp;AA571,4))</f>
        <v/>
      </c>
      <c r="C571" s="56" t="n"/>
      <c r="D571" s="54" t="n"/>
      <c r="E571" s="57" t="str">
        <f>IF(D571="","",IF(A571="BL",IFERROR(INDEX(cl_name,MATCH(D571,cl_code,0))&amp;"","Client inconnu"),IF(A571="BR",IFERROR(INDEX(fo_name,MATCH(D571,fo_code,0))&amp;"","Fournisseur inconnu"),IF(A571="BS",IF(ISNA(MATCH(D571,p_services,0)),"Service inconnu",D571&amp;""),""))))</f>
        <v/>
      </c>
      <c r="F571" s="58" t="n"/>
      <c r="G571" s="58" t="n"/>
      <c r="H571" s="59" t="n"/>
      <c r="I571" s="57" t="str">
        <f>IF(H571="","",IFERROR(INDEX(art_des,MATCH(H571,art_ref,0))&amp;"","Article inconnu"))</f>
        <v/>
      </c>
      <c r="J571" s="60" t="str">
        <f>IF(H571="","",IFERROR(INDEX(art_unit,MATCH(H571,art_ref,0))&amp;"",""))</f>
        <v/>
      </c>
      <c r="K571" s="59" t="n"/>
      <c r="L571" s="59" t="n"/>
      <c r="M571" s="61" t="str">
        <f>IF(OR(B571="",NOT(ISNUMBER(K571)),NOT(ISNUMBER(L571))),"",IF(OR(K571&lt;=0,L571&lt;=0),"",ROUND(L571-K571,6)))</f>
        <v/>
      </c>
      <c r="N571" s="58" t="n"/>
      <c r="O571" s="62" t="n"/>
      <c r="P571" s="63" t="str">
        <f>IF(OR(B571="",NOT(ISNUMBER(L571))),"",IF(L571&lt;=0,"",IFERROR(ROUND(L571*N(INDEX(art_w,MATCH(H571,art_ref,0))),3),"")))</f>
        <v/>
      </c>
      <c r="Q571" s="59" t="n"/>
      <c r="R571" s="54" t="n"/>
      <c r="S571" s="59" t="n"/>
      <c r="T571" s="59" t="n"/>
      <c r="U571" s="64" t="str">
        <f>IF(OR(B571="",H571=""),"",IFERROR(IF(A571="BL",IF(N(INDEX(art_price,MATCH(H571,art_ref,0)))=0,"",N(INDEX(art_price,MATCH(H571,art_ref,0)))),IF(N(INDEX(art_cost,MATCH(H571,art_ref,0)))=0,"",N(INDEX(art_cost,MATCH(H571,art_ref,0))))),""))</f>
        <v/>
      </c>
      <c r="V571" s="64" t="str">
        <f>IF(OR(U571="",NOT(ISNUMBER(L571))),"",IF(L571&lt;=0,"",ROUND(L571*U571,2)))</f>
        <v/>
      </c>
      <c r="W571" s="60" t="str">
        <f>IF(AND(B571&lt;&gt;"",A571&lt;&gt;"BS",F571&lt;&gt;"",H571&lt;&gt;"",ISNUMBER(K571),ISNUMBER(L571)),IF(AND(K571&gt;0,L571&gt;0,K571-L571&gt;0,COUNTIFS(A572:A$2005,A571,F572:F$2005,F571,H572:H$2005,H571,AA572:AA$2005,"&gt;0")=0),ROUND(K571-L571,6),""),"")</f>
        <v/>
      </c>
      <c r="X571" s="60" t="str">
        <f>IF(AND(A571="",C571="",D571="",H571="",L571=""),"",IF(A571="","Type manquant",IF(AND(A571&lt;&gt;"BL",A571&lt;&gt;"BR",A571&lt;&gt;"BS"),"Type inconnu (BL, BR ou BS)",IF(AG571=0,"Date manquante ou invalide",IF(D571="",IF(A571="BL","Client manquant",IF(A571="BR","Fournisseur manquant","Service manquant")),IF(IF(A571="BL",ISNA(MATCH(D571,cl_code,0)),IF(A571="BR",ISNA(MATCH(D571,fo_code,0)),ISNA(MATCH(D571,p_services,0)))),IF(A571="BL","Client inconnu",IF(A571="BR","Fournisseur inconnu","Service inconnu")),IF(H571="","Article manquant",IF(ISNA(MATCH(H571,art_ref,0)),"Article inconnu",IF(OR(NOT(ISNUMBER(L571)),N(L571)&lt;=0),"Quantité invalide",IF(AND(K571&lt;&gt;"",OR(NOT(ISNUMBER(K571)),N(K571)&lt;=0)),"Qté commandée invalide",IF(AG571&lt;SUMPRODUCT(MAX((A$6:A570=A571)*AG$6:AG570)),"Date antérieure au bon précédent",IF(AND(A571&lt;&gt;"BR",ISNUMBER(M571),N(M571)&gt;0),IF(A571="BL","Livré plus que commandé","Sorti plus que demandé"),"OK"))))))))))))</f>
        <v/>
      </c>
      <c r="Y571" s="57" t="str">
        <f>IF(AND(OR(A571="BL",A571="BR",A571="BS"),AG571&gt;0,D571&lt;&gt;""),A571&amp;"|"&amp;AG571&amp;"|"&amp;D571&amp;"|"&amp;F571,"")</f>
        <v/>
      </c>
      <c r="Z571" s="57" t="str">
        <f>IF(Y571="","",IF(COUNTIF(Y$6:Y570,Y571)=0,1,0))</f>
        <v/>
      </c>
      <c r="AA571" s="57" t="str">
        <f>IF(Y571="","",IF(Z571=1,COUNTIFS(A$6:A571,A571,Z$6:Z571,1),INDEX(AA$6:AA570,MATCH(Y571,Y$6:Y570,0))))</f>
        <v/>
      </c>
      <c r="AB571" s="57" t="str">
        <f>IF(B571="","",COUNTIF(B$6:B571,B571))</f>
        <v/>
      </c>
      <c r="AC571" s="57" t="str">
        <f>IF(B571="","",B571&amp;"#"&amp;AB571)</f>
        <v/>
      </c>
      <c r="AD571" s="57" t="str">
        <f>IF(Z571=1,A571&amp;AA571,"")</f>
        <v/>
      </c>
      <c r="AE571" s="57" t="str">
        <f>IF(B571="","",YEAR(C571))</f>
        <v/>
      </c>
      <c r="AF571" s="57" t="str">
        <f>IF(B571="","",MONTH(C571))</f>
        <v/>
      </c>
      <c r="AG571" s="57">
        <f>IF(ISNUMBER(C571),C571,0)</f>
        <v>0.0</v>
      </c>
      <c r="AH571" s="57" t="str">
        <f>IF(N(W571)&gt;0,COUNTIF(W$6:W571,"&gt;0"),"")</f>
        <v/>
      </c>
      <c r="AI571" s="57" t="str">
        <f>IF(Z571=1,COUNTIF(Z$6:Z571,1),"")</f>
        <v/>
      </c>
    </row>
    <row r="572">
      <c r="A572" s="54" t="n"/>
      <c r="B572" s="55" t="str">
        <f>IF(AA572="","",A572&amp;"-"&amp;RIGHT("000"&amp;AA572,4))</f>
        <v/>
      </c>
      <c r="C572" s="56" t="n"/>
      <c r="D572" s="54" t="n"/>
      <c r="E572" s="57" t="str">
        <f>IF(D572="","",IF(A572="BL",IFERROR(INDEX(cl_name,MATCH(D572,cl_code,0))&amp;"","Client inconnu"),IF(A572="BR",IFERROR(INDEX(fo_name,MATCH(D572,fo_code,0))&amp;"","Fournisseur inconnu"),IF(A572="BS",IF(ISNA(MATCH(D572,p_services,0)),"Service inconnu",D572&amp;""),""))))</f>
        <v/>
      </c>
      <c r="F572" s="58" t="n"/>
      <c r="G572" s="58" t="n"/>
      <c r="H572" s="59" t="n"/>
      <c r="I572" s="57" t="str">
        <f>IF(H572="","",IFERROR(INDEX(art_des,MATCH(H572,art_ref,0))&amp;"","Article inconnu"))</f>
        <v/>
      </c>
      <c r="J572" s="60" t="str">
        <f>IF(H572="","",IFERROR(INDEX(art_unit,MATCH(H572,art_ref,0))&amp;"",""))</f>
        <v/>
      </c>
      <c r="K572" s="59" t="n"/>
      <c r="L572" s="59" t="n"/>
      <c r="M572" s="61" t="str">
        <f>IF(OR(B572="",NOT(ISNUMBER(K572)),NOT(ISNUMBER(L572))),"",IF(OR(K572&lt;=0,L572&lt;=0),"",ROUND(L572-K572,6)))</f>
        <v/>
      </c>
      <c r="N572" s="58" t="n"/>
      <c r="O572" s="62" t="n"/>
      <c r="P572" s="63" t="str">
        <f>IF(OR(B572="",NOT(ISNUMBER(L572))),"",IF(L572&lt;=0,"",IFERROR(ROUND(L572*N(INDEX(art_w,MATCH(H572,art_ref,0))),3),"")))</f>
        <v/>
      </c>
      <c r="Q572" s="59" t="n"/>
      <c r="R572" s="54" t="n"/>
      <c r="S572" s="59" t="n"/>
      <c r="T572" s="59" t="n"/>
      <c r="U572" s="64" t="str">
        <f>IF(OR(B572="",H572=""),"",IFERROR(IF(A572="BL",IF(N(INDEX(art_price,MATCH(H572,art_ref,0)))=0,"",N(INDEX(art_price,MATCH(H572,art_ref,0)))),IF(N(INDEX(art_cost,MATCH(H572,art_ref,0)))=0,"",N(INDEX(art_cost,MATCH(H572,art_ref,0))))),""))</f>
        <v/>
      </c>
      <c r="V572" s="64" t="str">
        <f>IF(OR(U572="",NOT(ISNUMBER(L572))),"",IF(L572&lt;=0,"",ROUND(L572*U572,2)))</f>
        <v/>
      </c>
      <c r="W572" s="60" t="str">
        <f>IF(AND(B572&lt;&gt;"",A572&lt;&gt;"BS",F572&lt;&gt;"",H572&lt;&gt;"",ISNUMBER(K572),ISNUMBER(L572)),IF(AND(K572&gt;0,L572&gt;0,K572-L572&gt;0,COUNTIFS(A573:A$2005,A572,F573:F$2005,F572,H573:H$2005,H572,AA573:AA$2005,"&gt;0")=0),ROUND(K572-L572,6),""),"")</f>
        <v/>
      </c>
      <c r="X572" s="60" t="str">
        <f>IF(AND(A572="",C572="",D572="",H572="",L572=""),"",IF(A572="","Type manquant",IF(AND(A572&lt;&gt;"BL",A572&lt;&gt;"BR",A572&lt;&gt;"BS"),"Type inconnu (BL, BR ou BS)",IF(AG572=0,"Date manquante ou invalide",IF(D572="",IF(A572="BL","Client manquant",IF(A572="BR","Fournisseur manquant","Service manquant")),IF(IF(A572="BL",ISNA(MATCH(D572,cl_code,0)),IF(A572="BR",ISNA(MATCH(D572,fo_code,0)),ISNA(MATCH(D572,p_services,0)))),IF(A572="BL","Client inconnu",IF(A572="BR","Fournisseur inconnu","Service inconnu")),IF(H572="","Article manquant",IF(ISNA(MATCH(H572,art_ref,0)),"Article inconnu",IF(OR(NOT(ISNUMBER(L572)),N(L572)&lt;=0),"Quantité invalide",IF(AND(K572&lt;&gt;"",OR(NOT(ISNUMBER(K572)),N(K572)&lt;=0)),"Qté commandée invalide",IF(AG572&lt;SUMPRODUCT(MAX((A$6:A571=A572)*AG$6:AG571)),"Date antérieure au bon précédent",IF(AND(A572&lt;&gt;"BR",ISNUMBER(M572),N(M572)&gt;0),IF(A572="BL","Livré plus que commandé","Sorti plus que demandé"),"OK"))))))))))))</f>
        <v/>
      </c>
      <c r="Y572" s="57" t="str">
        <f>IF(AND(OR(A572="BL",A572="BR",A572="BS"),AG572&gt;0,D572&lt;&gt;""),A572&amp;"|"&amp;AG572&amp;"|"&amp;D572&amp;"|"&amp;F572,"")</f>
        <v/>
      </c>
      <c r="Z572" s="57" t="str">
        <f>IF(Y572="","",IF(COUNTIF(Y$6:Y571,Y572)=0,1,0))</f>
        <v/>
      </c>
      <c r="AA572" s="57" t="str">
        <f>IF(Y572="","",IF(Z572=1,COUNTIFS(A$6:A572,A572,Z$6:Z572,1),INDEX(AA$6:AA571,MATCH(Y572,Y$6:Y571,0))))</f>
        <v/>
      </c>
      <c r="AB572" s="57" t="str">
        <f>IF(B572="","",COUNTIF(B$6:B572,B572))</f>
        <v/>
      </c>
      <c r="AC572" s="57" t="str">
        <f>IF(B572="","",B572&amp;"#"&amp;AB572)</f>
        <v/>
      </c>
      <c r="AD572" s="57" t="str">
        <f>IF(Z572=1,A572&amp;AA572,"")</f>
        <v/>
      </c>
      <c r="AE572" s="57" t="str">
        <f>IF(B572="","",YEAR(C572))</f>
        <v/>
      </c>
      <c r="AF572" s="57" t="str">
        <f>IF(B572="","",MONTH(C572))</f>
        <v/>
      </c>
      <c r="AG572" s="57">
        <f>IF(ISNUMBER(C572),C572,0)</f>
        <v>0.0</v>
      </c>
      <c r="AH572" s="57" t="str">
        <f>IF(N(W572)&gt;0,COUNTIF(W$6:W572,"&gt;0"),"")</f>
        <v/>
      </c>
      <c r="AI572" s="57" t="str">
        <f>IF(Z572=1,COUNTIF(Z$6:Z572,1),"")</f>
        <v/>
      </c>
    </row>
    <row r="573">
      <c r="A573" s="54" t="n"/>
      <c r="B573" s="55" t="str">
        <f>IF(AA573="","",A573&amp;"-"&amp;RIGHT("000"&amp;AA573,4))</f>
        <v/>
      </c>
      <c r="C573" s="56" t="n"/>
      <c r="D573" s="54" t="n"/>
      <c r="E573" s="57" t="str">
        <f>IF(D573="","",IF(A573="BL",IFERROR(INDEX(cl_name,MATCH(D573,cl_code,0))&amp;"","Client inconnu"),IF(A573="BR",IFERROR(INDEX(fo_name,MATCH(D573,fo_code,0))&amp;"","Fournisseur inconnu"),IF(A573="BS",IF(ISNA(MATCH(D573,p_services,0)),"Service inconnu",D573&amp;""),""))))</f>
        <v/>
      </c>
      <c r="F573" s="58" t="n"/>
      <c r="G573" s="58" t="n"/>
      <c r="H573" s="59" t="n"/>
      <c r="I573" s="57" t="str">
        <f>IF(H573="","",IFERROR(INDEX(art_des,MATCH(H573,art_ref,0))&amp;"","Article inconnu"))</f>
        <v/>
      </c>
      <c r="J573" s="60" t="str">
        <f>IF(H573="","",IFERROR(INDEX(art_unit,MATCH(H573,art_ref,0))&amp;"",""))</f>
        <v/>
      </c>
      <c r="K573" s="59" t="n"/>
      <c r="L573" s="59" t="n"/>
      <c r="M573" s="61" t="str">
        <f>IF(OR(B573="",NOT(ISNUMBER(K573)),NOT(ISNUMBER(L573))),"",IF(OR(K573&lt;=0,L573&lt;=0),"",ROUND(L573-K573,6)))</f>
        <v/>
      </c>
      <c r="N573" s="58" t="n"/>
      <c r="O573" s="62" t="n"/>
      <c r="P573" s="63" t="str">
        <f>IF(OR(B573="",NOT(ISNUMBER(L573))),"",IF(L573&lt;=0,"",IFERROR(ROUND(L573*N(INDEX(art_w,MATCH(H573,art_ref,0))),3),"")))</f>
        <v/>
      </c>
      <c r="Q573" s="59" t="n"/>
      <c r="R573" s="54" t="n"/>
      <c r="S573" s="59" t="n"/>
      <c r="T573" s="59" t="n"/>
      <c r="U573" s="64" t="str">
        <f>IF(OR(B573="",H573=""),"",IFERROR(IF(A573="BL",IF(N(INDEX(art_price,MATCH(H573,art_ref,0)))=0,"",N(INDEX(art_price,MATCH(H573,art_ref,0)))),IF(N(INDEX(art_cost,MATCH(H573,art_ref,0)))=0,"",N(INDEX(art_cost,MATCH(H573,art_ref,0))))),""))</f>
        <v/>
      </c>
      <c r="V573" s="64" t="str">
        <f>IF(OR(U573="",NOT(ISNUMBER(L573))),"",IF(L573&lt;=0,"",ROUND(L573*U573,2)))</f>
        <v/>
      </c>
      <c r="W573" s="60" t="str">
        <f>IF(AND(B573&lt;&gt;"",A573&lt;&gt;"BS",F573&lt;&gt;"",H573&lt;&gt;"",ISNUMBER(K573),ISNUMBER(L573)),IF(AND(K573&gt;0,L573&gt;0,K573-L573&gt;0,COUNTIFS(A574:A$2005,A573,F574:F$2005,F573,H574:H$2005,H573,AA574:AA$2005,"&gt;0")=0),ROUND(K573-L573,6),""),"")</f>
        <v/>
      </c>
      <c r="X573" s="60" t="str">
        <f>IF(AND(A573="",C573="",D573="",H573="",L573=""),"",IF(A573="","Type manquant",IF(AND(A573&lt;&gt;"BL",A573&lt;&gt;"BR",A573&lt;&gt;"BS"),"Type inconnu (BL, BR ou BS)",IF(AG573=0,"Date manquante ou invalide",IF(D573="",IF(A573="BL","Client manquant",IF(A573="BR","Fournisseur manquant","Service manquant")),IF(IF(A573="BL",ISNA(MATCH(D573,cl_code,0)),IF(A573="BR",ISNA(MATCH(D573,fo_code,0)),ISNA(MATCH(D573,p_services,0)))),IF(A573="BL","Client inconnu",IF(A573="BR","Fournisseur inconnu","Service inconnu")),IF(H573="","Article manquant",IF(ISNA(MATCH(H573,art_ref,0)),"Article inconnu",IF(OR(NOT(ISNUMBER(L573)),N(L573)&lt;=0),"Quantité invalide",IF(AND(K573&lt;&gt;"",OR(NOT(ISNUMBER(K573)),N(K573)&lt;=0)),"Qté commandée invalide",IF(AG573&lt;SUMPRODUCT(MAX((A$6:A572=A573)*AG$6:AG572)),"Date antérieure au bon précédent",IF(AND(A573&lt;&gt;"BR",ISNUMBER(M573),N(M573)&gt;0),IF(A573="BL","Livré plus que commandé","Sorti plus que demandé"),"OK"))))))))))))</f>
        <v/>
      </c>
      <c r="Y573" s="57" t="str">
        <f>IF(AND(OR(A573="BL",A573="BR",A573="BS"),AG573&gt;0,D573&lt;&gt;""),A573&amp;"|"&amp;AG573&amp;"|"&amp;D573&amp;"|"&amp;F573,"")</f>
        <v/>
      </c>
      <c r="Z573" s="57" t="str">
        <f>IF(Y573="","",IF(COUNTIF(Y$6:Y572,Y573)=0,1,0))</f>
        <v/>
      </c>
      <c r="AA573" s="57" t="str">
        <f>IF(Y573="","",IF(Z573=1,COUNTIFS(A$6:A573,A573,Z$6:Z573,1),INDEX(AA$6:AA572,MATCH(Y573,Y$6:Y572,0))))</f>
        <v/>
      </c>
      <c r="AB573" s="57" t="str">
        <f>IF(B573="","",COUNTIF(B$6:B573,B573))</f>
        <v/>
      </c>
      <c r="AC573" s="57" t="str">
        <f>IF(B573="","",B573&amp;"#"&amp;AB573)</f>
        <v/>
      </c>
      <c r="AD573" s="57" t="str">
        <f>IF(Z573=1,A573&amp;AA573,"")</f>
        <v/>
      </c>
      <c r="AE573" s="57" t="str">
        <f>IF(B573="","",YEAR(C573))</f>
        <v/>
      </c>
      <c r="AF573" s="57" t="str">
        <f>IF(B573="","",MONTH(C573))</f>
        <v/>
      </c>
      <c r="AG573" s="57">
        <f>IF(ISNUMBER(C573),C573,0)</f>
        <v>0.0</v>
      </c>
      <c r="AH573" s="57" t="str">
        <f>IF(N(W573)&gt;0,COUNTIF(W$6:W573,"&gt;0"),"")</f>
        <v/>
      </c>
      <c r="AI573" s="57" t="str">
        <f>IF(Z573=1,COUNTIF(Z$6:Z573,1),"")</f>
        <v/>
      </c>
    </row>
    <row r="574">
      <c r="A574" s="54" t="n"/>
      <c r="B574" s="55" t="str">
        <f>IF(AA574="","",A574&amp;"-"&amp;RIGHT("000"&amp;AA574,4))</f>
        <v/>
      </c>
      <c r="C574" s="56" t="n"/>
      <c r="D574" s="54" t="n"/>
      <c r="E574" s="57" t="str">
        <f>IF(D574="","",IF(A574="BL",IFERROR(INDEX(cl_name,MATCH(D574,cl_code,0))&amp;"","Client inconnu"),IF(A574="BR",IFERROR(INDEX(fo_name,MATCH(D574,fo_code,0))&amp;"","Fournisseur inconnu"),IF(A574="BS",IF(ISNA(MATCH(D574,p_services,0)),"Service inconnu",D574&amp;""),""))))</f>
        <v/>
      </c>
      <c r="F574" s="58" t="n"/>
      <c r="G574" s="58" t="n"/>
      <c r="H574" s="59" t="n"/>
      <c r="I574" s="57" t="str">
        <f>IF(H574="","",IFERROR(INDEX(art_des,MATCH(H574,art_ref,0))&amp;"","Article inconnu"))</f>
        <v/>
      </c>
      <c r="J574" s="60" t="str">
        <f>IF(H574="","",IFERROR(INDEX(art_unit,MATCH(H574,art_ref,0))&amp;"",""))</f>
        <v/>
      </c>
      <c r="K574" s="59" t="n"/>
      <c r="L574" s="59" t="n"/>
      <c r="M574" s="61" t="str">
        <f>IF(OR(B574="",NOT(ISNUMBER(K574)),NOT(ISNUMBER(L574))),"",IF(OR(K574&lt;=0,L574&lt;=0),"",ROUND(L574-K574,6)))</f>
        <v/>
      </c>
      <c r="N574" s="58" t="n"/>
      <c r="O574" s="62" t="n"/>
      <c r="P574" s="63" t="str">
        <f>IF(OR(B574="",NOT(ISNUMBER(L574))),"",IF(L574&lt;=0,"",IFERROR(ROUND(L574*N(INDEX(art_w,MATCH(H574,art_ref,0))),3),"")))</f>
        <v/>
      </c>
      <c r="Q574" s="59" t="n"/>
      <c r="R574" s="54" t="n"/>
      <c r="S574" s="59" t="n"/>
      <c r="T574" s="59" t="n"/>
      <c r="U574" s="64" t="str">
        <f>IF(OR(B574="",H574=""),"",IFERROR(IF(A574="BL",IF(N(INDEX(art_price,MATCH(H574,art_ref,0)))=0,"",N(INDEX(art_price,MATCH(H574,art_ref,0)))),IF(N(INDEX(art_cost,MATCH(H574,art_ref,0)))=0,"",N(INDEX(art_cost,MATCH(H574,art_ref,0))))),""))</f>
        <v/>
      </c>
      <c r="V574" s="64" t="str">
        <f>IF(OR(U574="",NOT(ISNUMBER(L574))),"",IF(L574&lt;=0,"",ROUND(L574*U574,2)))</f>
        <v/>
      </c>
      <c r="W574" s="60" t="str">
        <f>IF(AND(B574&lt;&gt;"",A574&lt;&gt;"BS",F574&lt;&gt;"",H574&lt;&gt;"",ISNUMBER(K574),ISNUMBER(L574)),IF(AND(K574&gt;0,L574&gt;0,K574-L574&gt;0,COUNTIFS(A575:A$2005,A574,F575:F$2005,F574,H575:H$2005,H574,AA575:AA$2005,"&gt;0")=0),ROUND(K574-L574,6),""),"")</f>
        <v/>
      </c>
      <c r="X574" s="60" t="str">
        <f>IF(AND(A574="",C574="",D574="",H574="",L574=""),"",IF(A574="","Type manquant",IF(AND(A574&lt;&gt;"BL",A574&lt;&gt;"BR",A574&lt;&gt;"BS"),"Type inconnu (BL, BR ou BS)",IF(AG574=0,"Date manquante ou invalide",IF(D574="",IF(A574="BL","Client manquant",IF(A574="BR","Fournisseur manquant","Service manquant")),IF(IF(A574="BL",ISNA(MATCH(D574,cl_code,0)),IF(A574="BR",ISNA(MATCH(D574,fo_code,0)),ISNA(MATCH(D574,p_services,0)))),IF(A574="BL","Client inconnu",IF(A574="BR","Fournisseur inconnu","Service inconnu")),IF(H574="","Article manquant",IF(ISNA(MATCH(H574,art_ref,0)),"Article inconnu",IF(OR(NOT(ISNUMBER(L574)),N(L574)&lt;=0),"Quantité invalide",IF(AND(K574&lt;&gt;"",OR(NOT(ISNUMBER(K574)),N(K574)&lt;=0)),"Qté commandée invalide",IF(AG574&lt;SUMPRODUCT(MAX((A$6:A573=A574)*AG$6:AG573)),"Date antérieure au bon précédent",IF(AND(A574&lt;&gt;"BR",ISNUMBER(M574),N(M574)&gt;0),IF(A574="BL","Livré plus que commandé","Sorti plus que demandé"),"OK"))))))))))))</f>
        <v/>
      </c>
      <c r="Y574" s="57" t="str">
        <f>IF(AND(OR(A574="BL",A574="BR",A574="BS"),AG574&gt;0,D574&lt;&gt;""),A574&amp;"|"&amp;AG574&amp;"|"&amp;D574&amp;"|"&amp;F574,"")</f>
        <v/>
      </c>
      <c r="Z574" s="57" t="str">
        <f>IF(Y574="","",IF(COUNTIF(Y$6:Y573,Y574)=0,1,0))</f>
        <v/>
      </c>
      <c r="AA574" s="57" t="str">
        <f>IF(Y574="","",IF(Z574=1,COUNTIFS(A$6:A574,A574,Z$6:Z574,1),INDEX(AA$6:AA573,MATCH(Y574,Y$6:Y573,0))))</f>
        <v/>
      </c>
      <c r="AB574" s="57" t="str">
        <f>IF(B574="","",COUNTIF(B$6:B574,B574))</f>
        <v/>
      </c>
      <c r="AC574" s="57" t="str">
        <f>IF(B574="","",B574&amp;"#"&amp;AB574)</f>
        <v/>
      </c>
      <c r="AD574" s="57" t="str">
        <f>IF(Z574=1,A574&amp;AA574,"")</f>
        <v/>
      </c>
      <c r="AE574" s="57" t="str">
        <f>IF(B574="","",YEAR(C574))</f>
        <v/>
      </c>
      <c r="AF574" s="57" t="str">
        <f>IF(B574="","",MONTH(C574))</f>
        <v/>
      </c>
      <c r="AG574" s="57">
        <f>IF(ISNUMBER(C574),C574,0)</f>
        <v>0.0</v>
      </c>
      <c r="AH574" s="57" t="str">
        <f>IF(N(W574)&gt;0,COUNTIF(W$6:W574,"&gt;0"),"")</f>
        <v/>
      </c>
      <c r="AI574" s="57" t="str">
        <f>IF(Z574=1,COUNTIF(Z$6:Z574,1),"")</f>
        <v/>
      </c>
    </row>
    <row r="575">
      <c r="A575" s="54" t="n"/>
      <c r="B575" s="55" t="str">
        <f>IF(AA575="","",A575&amp;"-"&amp;RIGHT("000"&amp;AA575,4))</f>
        <v/>
      </c>
      <c r="C575" s="56" t="n"/>
      <c r="D575" s="54" t="n"/>
      <c r="E575" s="57" t="str">
        <f>IF(D575="","",IF(A575="BL",IFERROR(INDEX(cl_name,MATCH(D575,cl_code,0))&amp;"","Client inconnu"),IF(A575="BR",IFERROR(INDEX(fo_name,MATCH(D575,fo_code,0))&amp;"","Fournisseur inconnu"),IF(A575="BS",IF(ISNA(MATCH(D575,p_services,0)),"Service inconnu",D575&amp;""),""))))</f>
        <v/>
      </c>
      <c r="F575" s="58" t="n"/>
      <c r="G575" s="58" t="n"/>
      <c r="H575" s="59" t="n"/>
      <c r="I575" s="57" t="str">
        <f>IF(H575="","",IFERROR(INDEX(art_des,MATCH(H575,art_ref,0))&amp;"","Article inconnu"))</f>
        <v/>
      </c>
      <c r="J575" s="60" t="str">
        <f>IF(H575="","",IFERROR(INDEX(art_unit,MATCH(H575,art_ref,0))&amp;"",""))</f>
        <v/>
      </c>
      <c r="K575" s="59" t="n"/>
      <c r="L575" s="59" t="n"/>
      <c r="M575" s="61" t="str">
        <f>IF(OR(B575="",NOT(ISNUMBER(K575)),NOT(ISNUMBER(L575))),"",IF(OR(K575&lt;=0,L575&lt;=0),"",ROUND(L575-K575,6)))</f>
        <v/>
      </c>
      <c r="N575" s="58" t="n"/>
      <c r="O575" s="62" t="n"/>
      <c r="P575" s="63" t="str">
        <f>IF(OR(B575="",NOT(ISNUMBER(L575))),"",IF(L575&lt;=0,"",IFERROR(ROUND(L575*N(INDEX(art_w,MATCH(H575,art_ref,0))),3),"")))</f>
        <v/>
      </c>
      <c r="Q575" s="59" t="n"/>
      <c r="R575" s="54" t="n"/>
      <c r="S575" s="59" t="n"/>
      <c r="T575" s="59" t="n"/>
      <c r="U575" s="64" t="str">
        <f>IF(OR(B575="",H575=""),"",IFERROR(IF(A575="BL",IF(N(INDEX(art_price,MATCH(H575,art_ref,0)))=0,"",N(INDEX(art_price,MATCH(H575,art_ref,0)))),IF(N(INDEX(art_cost,MATCH(H575,art_ref,0)))=0,"",N(INDEX(art_cost,MATCH(H575,art_ref,0))))),""))</f>
        <v/>
      </c>
      <c r="V575" s="64" t="str">
        <f>IF(OR(U575="",NOT(ISNUMBER(L575))),"",IF(L575&lt;=0,"",ROUND(L575*U575,2)))</f>
        <v/>
      </c>
      <c r="W575" s="60" t="str">
        <f>IF(AND(B575&lt;&gt;"",A575&lt;&gt;"BS",F575&lt;&gt;"",H575&lt;&gt;"",ISNUMBER(K575),ISNUMBER(L575)),IF(AND(K575&gt;0,L575&gt;0,K575-L575&gt;0,COUNTIFS(A576:A$2005,A575,F576:F$2005,F575,H576:H$2005,H575,AA576:AA$2005,"&gt;0")=0),ROUND(K575-L575,6),""),"")</f>
        <v/>
      </c>
      <c r="X575" s="60" t="str">
        <f>IF(AND(A575="",C575="",D575="",H575="",L575=""),"",IF(A575="","Type manquant",IF(AND(A575&lt;&gt;"BL",A575&lt;&gt;"BR",A575&lt;&gt;"BS"),"Type inconnu (BL, BR ou BS)",IF(AG575=0,"Date manquante ou invalide",IF(D575="",IF(A575="BL","Client manquant",IF(A575="BR","Fournisseur manquant","Service manquant")),IF(IF(A575="BL",ISNA(MATCH(D575,cl_code,0)),IF(A575="BR",ISNA(MATCH(D575,fo_code,0)),ISNA(MATCH(D575,p_services,0)))),IF(A575="BL","Client inconnu",IF(A575="BR","Fournisseur inconnu","Service inconnu")),IF(H575="","Article manquant",IF(ISNA(MATCH(H575,art_ref,0)),"Article inconnu",IF(OR(NOT(ISNUMBER(L575)),N(L575)&lt;=0),"Quantité invalide",IF(AND(K575&lt;&gt;"",OR(NOT(ISNUMBER(K575)),N(K575)&lt;=0)),"Qté commandée invalide",IF(AG575&lt;SUMPRODUCT(MAX((A$6:A574=A575)*AG$6:AG574)),"Date antérieure au bon précédent",IF(AND(A575&lt;&gt;"BR",ISNUMBER(M575),N(M575)&gt;0),IF(A575="BL","Livré plus que commandé","Sorti plus que demandé"),"OK"))))))))))))</f>
        <v/>
      </c>
      <c r="Y575" s="57" t="str">
        <f>IF(AND(OR(A575="BL",A575="BR",A575="BS"),AG575&gt;0,D575&lt;&gt;""),A575&amp;"|"&amp;AG575&amp;"|"&amp;D575&amp;"|"&amp;F575,"")</f>
        <v/>
      </c>
      <c r="Z575" s="57" t="str">
        <f>IF(Y575="","",IF(COUNTIF(Y$6:Y574,Y575)=0,1,0))</f>
        <v/>
      </c>
      <c r="AA575" s="57" t="str">
        <f>IF(Y575="","",IF(Z575=1,COUNTIFS(A$6:A575,A575,Z$6:Z575,1),INDEX(AA$6:AA574,MATCH(Y575,Y$6:Y574,0))))</f>
        <v/>
      </c>
      <c r="AB575" s="57" t="str">
        <f>IF(B575="","",COUNTIF(B$6:B575,B575))</f>
        <v/>
      </c>
      <c r="AC575" s="57" t="str">
        <f>IF(B575="","",B575&amp;"#"&amp;AB575)</f>
        <v/>
      </c>
      <c r="AD575" s="57" t="str">
        <f>IF(Z575=1,A575&amp;AA575,"")</f>
        <v/>
      </c>
      <c r="AE575" s="57" t="str">
        <f>IF(B575="","",YEAR(C575))</f>
        <v/>
      </c>
      <c r="AF575" s="57" t="str">
        <f>IF(B575="","",MONTH(C575))</f>
        <v/>
      </c>
      <c r="AG575" s="57">
        <f>IF(ISNUMBER(C575),C575,0)</f>
        <v>0.0</v>
      </c>
      <c r="AH575" s="57" t="str">
        <f>IF(N(W575)&gt;0,COUNTIF(W$6:W575,"&gt;0"),"")</f>
        <v/>
      </c>
      <c r="AI575" s="57" t="str">
        <f>IF(Z575=1,COUNTIF(Z$6:Z575,1),"")</f>
        <v/>
      </c>
    </row>
    <row r="576">
      <c r="A576" s="54" t="n"/>
      <c r="B576" s="55" t="str">
        <f>IF(AA576="","",A576&amp;"-"&amp;RIGHT("000"&amp;AA576,4))</f>
        <v/>
      </c>
      <c r="C576" s="56" t="n"/>
      <c r="D576" s="54" t="n"/>
      <c r="E576" s="57" t="str">
        <f>IF(D576="","",IF(A576="BL",IFERROR(INDEX(cl_name,MATCH(D576,cl_code,0))&amp;"","Client inconnu"),IF(A576="BR",IFERROR(INDEX(fo_name,MATCH(D576,fo_code,0))&amp;"","Fournisseur inconnu"),IF(A576="BS",IF(ISNA(MATCH(D576,p_services,0)),"Service inconnu",D576&amp;""),""))))</f>
        <v/>
      </c>
      <c r="F576" s="58" t="n"/>
      <c r="G576" s="58" t="n"/>
      <c r="H576" s="59" t="n"/>
      <c r="I576" s="57" t="str">
        <f>IF(H576="","",IFERROR(INDEX(art_des,MATCH(H576,art_ref,0))&amp;"","Article inconnu"))</f>
        <v/>
      </c>
      <c r="J576" s="60" t="str">
        <f>IF(H576="","",IFERROR(INDEX(art_unit,MATCH(H576,art_ref,0))&amp;"",""))</f>
        <v/>
      </c>
      <c r="K576" s="59" t="n"/>
      <c r="L576" s="59" t="n"/>
      <c r="M576" s="61" t="str">
        <f>IF(OR(B576="",NOT(ISNUMBER(K576)),NOT(ISNUMBER(L576))),"",IF(OR(K576&lt;=0,L576&lt;=0),"",ROUND(L576-K576,6)))</f>
        <v/>
      </c>
      <c r="N576" s="58" t="n"/>
      <c r="O576" s="62" t="n"/>
      <c r="P576" s="63" t="str">
        <f>IF(OR(B576="",NOT(ISNUMBER(L576))),"",IF(L576&lt;=0,"",IFERROR(ROUND(L576*N(INDEX(art_w,MATCH(H576,art_ref,0))),3),"")))</f>
        <v/>
      </c>
      <c r="Q576" s="59" t="n"/>
      <c r="R576" s="54" t="n"/>
      <c r="S576" s="59" t="n"/>
      <c r="T576" s="59" t="n"/>
      <c r="U576" s="64" t="str">
        <f>IF(OR(B576="",H576=""),"",IFERROR(IF(A576="BL",IF(N(INDEX(art_price,MATCH(H576,art_ref,0)))=0,"",N(INDEX(art_price,MATCH(H576,art_ref,0)))),IF(N(INDEX(art_cost,MATCH(H576,art_ref,0)))=0,"",N(INDEX(art_cost,MATCH(H576,art_ref,0))))),""))</f>
        <v/>
      </c>
      <c r="V576" s="64" t="str">
        <f>IF(OR(U576="",NOT(ISNUMBER(L576))),"",IF(L576&lt;=0,"",ROUND(L576*U576,2)))</f>
        <v/>
      </c>
      <c r="W576" s="60" t="str">
        <f>IF(AND(B576&lt;&gt;"",A576&lt;&gt;"BS",F576&lt;&gt;"",H576&lt;&gt;"",ISNUMBER(K576),ISNUMBER(L576)),IF(AND(K576&gt;0,L576&gt;0,K576-L576&gt;0,COUNTIFS(A577:A$2005,A576,F577:F$2005,F576,H577:H$2005,H576,AA577:AA$2005,"&gt;0")=0),ROUND(K576-L576,6),""),"")</f>
        <v/>
      </c>
      <c r="X576" s="60" t="str">
        <f>IF(AND(A576="",C576="",D576="",H576="",L576=""),"",IF(A576="","Type manquant",IF(AND(A576&lt;&gt;"BL",A576&lt;&gt;"BR",A576&lt;&gt;"BS"),"Type inconnu (BL, BR ou BS)",IF(AG576=0,"Date manquante ou invalide",IF(D576="",IF(A576="BL","Client manquant",IF(A576="BR","Fournisseur manquant","Service manquant")),IF(IF(A576="BL",ISNA(MATCH(D576,cl_code,0)),IF(A576="BR",ISNA(MATCH(D576,fo_code,0)),ISNA(MATCH(D576,p_services,0)))),IF(A576="BL","Client inconnu",IF(A576="BR","Fournisseur inconnu","Service inconnu")),IF(H576="","Article manquant",IF(ISNA(MATCH(H576,art_ref,0)),"Article inconnu",IF(OR(NOT(ISNUMBER(L576)),N(L576)&lt;=0),"Quantité invalide",IF(AND(K576&lt;&gt;"",OR(NOT(ISNUMBER(K576)),N(K576)&lt;=0)),"Qté commandée invalide",IF(AG576&lt;SUMPRODUCT(MAX((A$6:A575=A576)*AG$6:AG575)),"Date antérieure au bon précédent",IF(AND(A576&lt;&gt;"BR",ISNUMBER(M576),N(M576)&gt;0),IF(A576="BL","Livré plus que commandé","Sorti plus que demandé"),"OK"))))))))))))</f>
        <v/>
      </c>
      <c r="Y576" s="57" t="str">
        <f>IF(AND(OR(A576="BL",A576="BR",A576="BS"),AG576&gt;0,D576&lt;&gt;""),A576&amp;"|"&amp;AG576&amp;"|"&amp;D576&amp;"|"&amp;F576,"")</f>
        <v/>
      </c>
      <c r="Z576" s="57" t="str">
        <f>IF(Y576="","",IF(COUNTIF(Y$6:Y575,Y576)=0,1,0))</f>
        <v/>
      </c>
      <c r="AA576" s="57" t="str">
        <f>IF(Y576="","",IF(Z576=1,COUNTIFS(A$6:A576,A576,Z$6:Z576,1),INDEX(AA$6:AA575,MATCH(Y576,Y$6:Y575,0))))</f>
        <v/>
      </c>
      <c r="AB576" s="57" t="str">
        <f>IF(B576="","",COUNTIF(B$6:B576,B576))</f>
        <v/>
      </c>
      <c r="AC576" s="57" t="str">
        <f>IF(B576="","",B576&amp;"#"&amp;AB576)</f>
        <v/>
      </c>
      <c r="AD576" s="57" t="str">
        <f>IF(Z576=1,A576&amp;AA576,"")</f>
        <v/>
      </c>
      <c r="AE576" s="57" t="str">
        <f>IF(B576="","",YEAR(C576))</f>
        <v/>
      </c>
      <c r="AF576" s="57" t="str">
        <f>IF(B576="","",MONTH(C576))</f>
        <v/>
      </c>
      <c r="AG576" s="57">
        <f>IF(ISNUMBER(C576),C576,0)</f>
        <v>0.0</v>
      </c>
      <c r="AH576" s="57" t="str">
        <f>IF(N(W576)&gt;0,COUNTIF(W$6:W576,"&gt;0"),"")</f>
        <v/>
      </c>
      <c r="AI576" s="57" t="str">
        <f>IF(Z576=1,COUNTIF(Z$6:Z576,1),"")</f>
        <v/>
      </c>
    </row>
    <row r="577">
      <c r="A577" s="54" t="n"/>
      <c r="B577" s="55" t="str">
        <f>IF(AA577="","",A577&amp;"-"&amp;RIGHT("000"&amp;AA577,4))</f>
        <v/>
      </c>
      <c r="C577" s="56" t="n"/>
      <c r="D577" s="54" t="n"/>
      <c r="E577" s="57" t="str">
        <f>IF(D577="","",IF(A577="BL",IFERROR(INDEX(cl_name,MATCH(D577,cl_code,0))&amp;"","Client inconnu"),IF(A577="BR",IFERROR(INDEX(fo_name,MATCH(D577,fo_code,0))&amp;"","Fournisseur inconnu"),IF(A577="BS",IF(ISNA(MATCH(D577,p_services,0)),"Service inconnu",D577&amp;""),""))))</f>
        <v/>
      </c>
      <c r="F577" s="58" t="n"/>
      <c r="G577" s="58" t="n"/>
      <c r="H577" s="59" t="n"/>
      <c r="I577" s="57" t="str">
        <f>IF(H577="","",IFERROR(INDEX(art_des,MATCH(H577,art_ref,0))&amp;"","Article inconnu"))</f>
        <v/>
      </c>
      <c r="J577" s="60" t="str">
        <f>IF(H577="","",IFERROR(INDEX(art_unit,MATCH(H577,art_ref,0))&amp;"",""))</f>
        <v/>
      </c>
      <c r="K577" s="59" t="n"/>
      <c r="L577" s="59" t="n"/>
      <c r="M577" s="61" t="str">
        <f>IF(OR(B577="",NOT(ISNUMBER(K577)),NOT(ISNUMBER(L577))),"",IF(OR(K577&lt;=0,L577&lt;=0),"",ROUND(L577-K577,6)))</f>
        <v/>
      </c>
      <c r="N577" s="58" t="n"/>
      <c r="O577" s="62" t="n"/>
      <c r="P577" s="63" t="str">
        <f>IF(OR(B577="",NOT(ISNUMBER(L577))),"",IF(L577&lt;=0,"",IFERROR(ROUND(L577*N(INDEX(art_w,MATCH(H577,art_ref,0))),3),"")))</f>
        <v/>
      </c>
      <c r="Q577" s="59" t="n"/>
      <c r="R577" s="54" t="n"/>
      <c r="S577" s="59" t="n"/>
      <c r="T577" s="59" t="n"/>
      <c r="U577" s="64" t="str">
        <f>IF(OR(B577="",H577=""),"",IFERROR(IF(A577="BL",IF(N(INDEX(art_price,MATCH(H577,art_ref,0)))=0,"",N(INDEX(art_price,MATCH(H577,art_ref,0)))),IF(N(INDEX(art_cost,MATCH(H577,art_ref,0)))=0,"",N(INDEX(art_cost,MATCH(H577,art_ref,0))))),""))</f>
        <v/>
      </c>
      <c r="V577" s="64" t="str">
        <f>IF(OR(U577="",NOT(ISNUMBER(L577))),"",IF(L577&lt;=0,"",ROUND(L577*U577,2)))</f>
        <v/>
      </c>
      <c r="W577" s="60" t="str">
        <f>IF(AND(B577&lt;&gt;"",A577&lt;&gt;"BS",F577&lt;&gt;"",H577&lt;&gt;"",ISNUMBER(K577),ISNUMBER(L577)),IF(AND(K577&gt;0,L577&gt;0,K577-L577&gt;0,COUNTIFS(A578:A$2005,A577,F578:F$2005,F577,H578:H$2005,H577,AA578:AA$2005,"&gt;0")=0),ROUND(K577-L577,6),""),"")</f>
        <v/>
      </c>
      <c r="X577" s="60" t="str">
        <f>IF(AND(A577="",C577="",D577="",H577="",L577=""),"",IF(A577="","Type manquant",IF(AND(A577&lt;&gt;"BL",A577&lt;&gt;"BR",A577&lt;&gt;"BS"),"Type inconnu (BL, BR ou BS)",IF(AG577=0,"Date manquante ou invalide",IF(D577="",IF(A577="BL","Client manquant",IF(A577="BR","Fournisseur manquant","Service manquant")),IF(IF(A577="BL",ISNA(MATCH(D577,cl_code,0)),IF(A577="BR",ISNA(MATCH(D577,fo_code,0)),ISNA(MATCH(D577,p_services,0)))),IF(A577="BL","Client inconnu",IF(A577="BR","Fournisseur inconnu","Service inconnu")),IF(H577="","Article manquant",IF(ISNA(MATCH(H577,art_ref,0)),"Article inconnu",IF(OR(NOT(ISNUMBER(L577)),N(L577)&lt;=0),"Quantité invalide",IF(AND(K577&lt;&gt;"",OR(NOT(ISNUMBER(K577)),N(K577)&lt;=0)),"Qté commandée invalide",IF(AG577&lt;SUMPRODUCT(MAX((A$6:A576=A577)*AG$6:AG576)),"Date antérieure au bon précédent",IF(AND(A577&lt;&gt;"BR",ISNUMBER(M577),N(M577)&gt;0),IF(A577="BL","Livré plus que commandé","Sorti plus que demandé"),"OK"))))))))))))</f>
        <v/>
      </c>
      <c r="Y577" s="57" t="str">
        <f>IF(AND(OR(A577="BL",A577="BR",A577="BS"),AG577&gt;0,D577&lt;&gt;""),A577&amp;"|"&amp;AG577&amp;"|"&amp;D577&amp;"|"&amp;F577,"")</f>
        <v/>
      </c>
      <c r="Z577" s="57" t="str">
        <f>IF(Y577="","",IF(COUNTIF(Y$6:Y576,Y577)=0,1,0))</f>
        <v/>
      </c>
      <c r="AA577" s="57" t="str">
        <f>IF(Y577="","",IF(Z577=1,COUNTIFS(A$6:A577,A577,Z$6:Z577,1),INDEX(AA$6:AA576,MATCH(Y577,Y$6:Y576,0))))</f>
        <v/>
      </c>
      <c r="AB577" s="57" t="str">
        <f>IF(B577="","",COUNTIF(B$6:B577,B577))</f>
        <v/>
      </c>
      <c r="AC577" s="57" t="str">
        <f>IF(B577="","",B577&amp;"#"&amp;AB577)</f>
        <v/>
      </c>
      <c r="AD577" s="57" t="str">
        <f>IF(Z577=1,A577&amp;AA577,"")</f>
        <v/>
      </c>
      <c r="AE577" s="57" t="str">
        <f>IF(B577="","",YEAR(C577))</f>
        <v/>
      </c>
      <c r="AF577" s="57" t="str">
        <f>IF(B577="","",MONTH(C577))</f>
        <v/>
      </c>
      <c r="AG577" s="57">
        <f>IF(ISNUMBER(C577),C577,0)</f>
        <v>0.0</v>
      </c>
      <c r="AH577" s="57" t="str">
        <f>IF(N(W577)&gt;0,COUNTIF(W$6:W577,"&gt;0"),"")</f>
        <v/>
      </c>
      <c r="AI577" s="57" t="str">
        <f>IF(Z577=1,COUNTIF(Z$6:Z577,1),"")</f>
        <v/>
      </c>
    </row>
    <row r="578">
      <c r="A578" s="54" t="n"/>
      <c r="B578" s="55" t="str">
        <f>IF(AA578="","",A578&amp;"-"&amp;RIGHT("000"&amp;AA578,4))</f>
        <v/>
      </c>
      <c r="C578" s="56" t="n"/>
      <c r="D578" s="54" t="n"/>
      <c r="E578" s="57" t="str">
        <f>IF(D578="","",IF(A578="BL",IFERROR(INDEX(cl_name,MATCH(D578,cl_code,0))&amp;"","Client inconnu"),IF(A578="BR",IFERROR(INDEX(fo_name,MATCH(D578,fo_code,0))&amp;"","Fournisseur inconnu"),IF(A578="BS",IF(ISNA(MATCH(D578,p_services,0)),"Service inconnu",D578&amp;""),""))))</f>
        <v/>
      </c>
      <c r="F578" s="58" t="n"/>
      <c r="G578" s="58" t="n"/>
      <c r="H578" s="59" t="n"/>
      <c r="I578" s="57" t="str">
        <f>IF(H578="","",IFERROR(INDEX(art_des,MATCH(H578,art_ref,0))&amp;"","Article inconnu"))</f>
        <v/>
      </c>
      <c r="J578" s="60" t="str">
        <f>IF(H578="","",IFERROR(INDEX(art_unit,MATCH(H578,art_ref,0))&amp;"",""))</f>
        <v/>
      </c>
      <c r="K578" s="59" t="n"/>
      <c r="L578" s="59" t="n"/>
      <c r="M578" s="61" t="str">
        <f>IF(OR(B578="",NOT(ISNUMBER(K578)),NOT(ISNUMBER(L578))),"",IF(OR(K578&lt;=0,L578&lt;=0),"",ROUND(L578-K578,6)))</f>
        <v/>
      </c>
      <c r="N578" s="58" t="n"/>
      <c r="O578" s="62" t="n"/>
      <c r="P578" s="63" t="str">
        <f>IF(OR(B578="",NOT(ISNUMBER(L578))),"",IF(L578&lt;=0,"",IFERROR(ROUND(L578*N(INDEX(art_w,MATCH(H578,art_ref,0))),3),"")))</f>
        <v/>
      </c>
      <c r="Q578" s="59" t="n"/>
      <c r="R578" s="54" t="n"/>
      <c r="S578" s="59" t="n"/>
      <c r="T578" s="59" t="n"/>
      <c r="U578" s="64" t="str">
        <f>IF(OR(B578="",H578=""),"",IFERROR(IF(A578="BL",IF(N(INDEX(art_price,MATCH(H578,art_ref,0)))=0,"",N(INDEX(art_price,MATCH(H578,art_ref,0)))),IF(N(INDEX(art_cost,MATCH(H578,art_ref,0)))=0,"",N(INDEX(art_cost,MATCH(H578,art_ref,0))))),""))</f>
        <v/>
      </c>
      <c r="V578" s="64" t="str">
        <f>IF(OR(U578="",NOT(ISNUMBER(L578))),"",IF(L578&lt;=0,"",ROUND(L578*U578,2)))</f>
        <v/>
      </c>
      <c r="W578" s="60" t="str">
        <f>IF(AND(B578&lt;&gt;"",A578&lt;&gt;"BS",F578&lt;&gt;"",H578&lt;&gt;"",ISNUMBER(K578),ISNUMBER(L578)),IF(AND(K578&gt;0,L578&gt;0,K578-L578&gt;0,COUNTIFS(A579:A$2005,A578,F579:F$2005,F578,H579:H$2005,H578,AA579:AA$2005,"&gt;0")=0),ROUND(K578-L578,6),""),"")</f>
        <v/>
      </c>
      <c r="X578" s="60" t="str">
        <f>IF(AND(A578="",C578="",D578="",H578="",L578=""),"",IF(A578="","Type manquant",IF(AND(A578&lt;&gt;"BL",A578&lt;&gt;"BR",A578&lt;&gt;"BS"),"Type inconnu (BL, BR ou BS)",IF(AG578=0,"Date manquante ou invalide",IF(D578="",IF(A578="BL","Client manquant",IF(A578="BR","Fournisseur manquant","Service manquant")),IF(IF(A578="BL",ISNA(MATCH(D578,cl_code,0)),IF(A578="BR",ISNA(MATCH(D578,fo_code,0)),ISNA(MATCH(D578,p_services,0)))),IF(A578="BL","Client inconnu",IF(A578="BR","Fournisseur inconnu","Service inconnu")),IF(H578="","Article manquant",IF(ISNA(MATCH(H578,art_ref,0)),"Article inconnu",IF(OR(NOT(ISNUMBER(L578)),N(L578)&lt;=0),"Quantité invalide",IF(AND(K578&lt;&gt;"",OR(NOT(ISNUMBER(K578)),N(K578)&lt;=0)),"Qté commandée invalide",IF(AG578&lt;SUMPRODUCT(MAX((A$6:A577=A578)*AG$6:AG577)),"Date antérieure au bon précédent",IF(AND(A578&lt;&gt;"BR",ISNUMBER(M578),N(M578)&gt;0),IF(A578="BL","Livré plus que commandé","Sorti plus que demandé"),"OK"))))))))))))</f>
        <v/>
      </c>
      <c r="Y578" s="57" t="str">
        <f>IF(AND(OR(A578="BL",A578="BR",A578="BS"),AG578&gt;0,D578&lt;&gt;""),A578&amp;"|"&amp;AG578&amp;"|"&amp;D578&amp;"|"&amp;F578,"")</f>
        <v/>
      </c>
      <c r="Z578" s="57" t="str">
        <f>IF(Y578="","",IF(COUNTIF(Y$6:Y577,Y578)=0,1,0))</f>
        <v/>
      </c>
      <c r="AA578" s="57" t="str">
        <f>IF(Y578="","",IF(Z578=1,COUNTIFS(A$6:A578,A578,Z$6:Z578,1),INDEX(AA$6:AA577,MATCH(Y578,Y$6:Y577,0))))</f>
        <v/>
      </c>
      <c r="AB578" s="57" t="str">
        <f>IF(B578="","",COUNTIF(B$6:B578,B578))</f>
        <v/>
      </c>
      <c r="AC578" s="57" t="str">
        <f>IF(B578="","",B578&amp;"#"&amp;AB578)</f>
        <v/>
      </c>
      <c r="AD578" s="57" t="str">
        <f>IF(Z578=1,A578&amp;AA578,"")</f>
        <v/>
      </c>
      <c r="AE578" s="57" t="str">
        <f>IF(B578="","",YEAR(C578))</f>
        <v/>
      </c>
      <c r="AF578" s="57" t="str">
        <f>IF(B578="","",MONTH(C578))</f>
        <v/>
      </c>
      <c r="AG578" s="57">
        <f>IF(ISNUMBER(C578),C578,0)</f>
        <v>0.0</v>
      </c>
      <c r="AH578" s="57" t="str">
        <f>IF(N(W578)&gt;0,COUNTIF(W$6:W578,"&gt;0"),"")</f>
        <v/>
      </c>
      <c r="AI578" s="57" t="str">
        <f>IF(Z578=1,COUNTIF(Z$6:Z578,1),"")</f>
        <v/>
      </c>
    </row>
    <row r="579">
      <c r="A579" s="54" t="n"/>
      <c r="B579" s="55" t="str">
        <f>IF(AA579="","",A579&amp;"-"&amp;RIGHT("000"&amp;AA579,4))</f>
        <v/>
      </c>
      <c r="C579" s="56" t="n"/>
      <c r="D579" s="54" t="n"/>
      <c r="E579" s="57" t="str">
        <f>IF(D579="","",IF(A579="BL",IFERROR(INDEX(cl_name,MATCH(D579,cl_code,0))&amp;"","Client inconnu"),IF(A579="BR",IFERROR(INDEX(fo_name,MATCH(D579,fo_code,0))&amp;"","Fournisseur inconnu"),IF(A579="BS",IF(ISNA(MATCH(D579,p_services,0)),"Service inconnu",D579&amp;""),""))))</f>
        <v/>
      </c>
      <c r="F579" s="58" t="n"/>
      <c r="G579" s="58" t="n"/>
      <c r="H579" s="59" t="n"/>
      <c r="I579" s="57" t="str">
        <f>IF(H579="","",IFERROR(INDEX(art_des,MATCH(H579,art_ref,0))&amp;"","Article inconnu"))</f>
        <v/>
      </c>
      <c r="J579" s="60" t="str">
        <f>IF(H579="","",IFERROR(INDEX(art_unit,MATCH(H579,art_ref,0))&amp;"",""))</f>
        <v/>
      </c>
      <c r="K579" s="59" t="n"/>
      <c r="L579" s="59" t="n"/>
      <c r="M579" s="61" t="str">
        <f>IF(OR(B579="",NOT(ISNUMBER(K579)),NOT(ISNUMBER(L579))),"",IF(OR(K579&lt;=0,L579&lt;=0),"",ROUND(L579-K579,6)))</f>
        <v/>
      </c>
      <c r="N579" s="58" t="n"/>
      <c r="O579" s="62" t="n"/>
      <c r="P579" s="63" t="str">
        <f>IF(OR(B579="",NOT(ISNUMBER(L579))),"",IF(L579&lt;=0,"",IFERROR(ROUND(L579*N(INDEX(art_w,MATCH(H579,art_ref,0))),3),"")))</f>
        <v/>
      </c>
      <c r="Q579" s="59" t="n"/>
      <c r="R579" s="54" t="n"/>
      <c r="S579" s="59" t="n"/>
      <c r="T579" s="59" t="n"/>
      <c r="U579" s="64" t="str">
        <f>IF(OR(B579="",H579=""),"",IFERROR(IF(A579="BL",IF(N(INDEX(art_price,MATCH(H579,art_ref,0)))=0,"",N(INDEX(art_price,MATCH(H579,art_ref,0)))),IF(N(INDEX(art_cost,MATCH(H579,art_ref,0)))=0,"",N(INDEX(art_cost,MATCH(H579,art_ref,0))))),""))</f>
        <v/>
      </c>
      <c r="V579" s="64" t="str">
        <f>IF(OR(U579="",NOT(ISNUMBER(L579))),"",IF(L579&lt;=0,"",ROUND(L579*U579,2)))</f>
        <v/>
      </c>
      <c r="W579" s="60" t="str">
        <f>IF(AND(B579&lt;&gt;"",A579&lt;&gt;"BS",F579&lt;&gt;"",H579&lt;&gt;"",ISNUMBER(K579),ISNUMBER(L579)),IF(AND(K579&gt;0,L579&gt;0,K579-L579&gt;0,COUNTIFS(A580:A$2005,A579,F580:F$2005,F579,H580:H$2005,H579,AA580:AA$2005,"&gt;0")=0),ROUND(K579-L579,6),""),"")</f>
        <v/>
      </c>
      <c r="X579" s="60" t="str">
        <f>IF(AND(A579="",C579="",D579="",H579="",L579=""),"",IF(A579="","Type manquant",IF(AND(A579&lt;&gt;"BL",A579&lt;&gt;"BR",A579&lt;&gt;"BS"),"Type inconnu (BL, BR ou BS)",IF(AG579=0,"Date manquante ou invalide",IF(D579="",IF(A579="BL","Client manquant",IF(A579="BR","Fournisseur manquant","Service manquant")),IF(IF(A579="BL",ISNA(MATCH(D579,cl_code,0)),IF(A579="BR",ISNA(MATCH(D579,fo_code,0)),ISNA(MATCH(D579,p_services,0)))),IF(A579="BL","Client inconnu",IF(A579="BR","Fournisseur inconnu","Service inconnu")),IF(H579="","Article manquant",IF(ISNA(MATCH(H579,art_ref,0)),"Article inconnu",IF(OR(NOT(ISNUMBER(L579)),N(L579)&lt;=0),"Quantité invalide",IF(AND(K579&lt;&gt;"",OR(NOT(ISNUMBER(K579)),N(K579)&lt;=0)),"Qté commandée invalide",IF(AG579&lt;SUMPRODUCT(MAX((A$6:A578=A579)*AG$6:AG578)),"Date antérieure au bon précédent",IF(AND(A579&lt;&gt;"BR",ISNUMBER(M579),N(M579)&gt;0),IF(A579="BL","Livré plus que commandé","Sorti plus que demandé"),"OK"))))))))))))</f>
        <v/>
      </c>
      <c r="Y579" s="57" t="str">
        <f>IF(AND(OR(A579="BL",A579="BR",A579="BS"),AG579&gt;0,D579&lt;&gt;""),A579&amp;"|"&amp;AG579&amp;"|"&amp;D579&amp;"|"&amp;F579,"")</f>
        <v/>
      </c>
      <c r="Z579" s="57" t="str">
        <f>IF(Y579="","",IF(COUNTIF(Y$6:Y578,Y579)=0,1,0))</f>
        <v/>
      </c>
      <c r="AA579" s="57" t="str">
        <f>IF(Y579="","",IF(Z579=1,COUNTIFS(A$6:A579,A579,Z$6:Z579,1),INDEX(AA$6:AA578,MATCH(Y579,Y$6:Y578,0))))</f>
        <v/>
      </c>
      <c r="AB579" s="57" t="str">
        <f>IF(B579="","",COUNTIF(B$6:B579,B579))</f>
        <v/>
      </c>
      <c r="AC579" s="57" t="str">
        <f>IF(B579="","",B579&amp;"#"&amp;AB579)</f>
        <v/>
      </c>
      <c r="AD579" s="57" t="str">
        <f>IF(Z579=1,A579&amp;AA579,"")</f>
        <v/>
      </c>
      <c r="AE579" s="57" t="str">
        <f>IF(B579="","",YEAR(C579))</f>
        <v/>
      </c>
      <c r="AF579" s="57" t="str">
        <f>IF(B579="","",MONTH(C579))</f>
        <v/>
      </c>
      <c r="AG579" s="57">
        <f>IF(ISNUMBER(C579),C579,0)</f>
        <v>0.0</v>
      </c>
      <c r="AH579" s="57" t="str">
        <f>IF(N(W579)&gt;0,COUNTIF(W$6:W579,"&gt;0"),"")</f>
        <v/>
      </c>
      <c r="AI579" s="57" t="str">
        <f>IF(Z579=1,COUNTIF(Z$6:Z579,1),"")</f>
        <v/>
      </c>
    </row>
    <row r="580">
      <c r="A580" s="54" t="n"/>
      <c r="B580" s="55" t="str">
        <f>IF(AA580="","",A580&amp;"-"&amp;RIGHT("000"&amp;AA580,4))</f>
        <v/>
      </c>
      <c r="C580" s="56" t="n"/>
      <c r="D580" s="54" t="n"/>
      <c r="E580" s="57" t="str">
        <f>IF(D580="","",IF(A580="BL",IFERROR(INDEX(cl_name,MATCH(D580,cl_code,0))&amp;"","Client inconnu"),IF(A580="BR",IFERROR(INDEX(fo_name,MATCH(D580,fo_code,0))&amp;"","Fournisseur inconnu"),IF(A580="BS",IF(ISNA(MATCH(D580,p_services,0)),"Service inconnu",D580&amp;""),""))))</f>
        <v/>
      </c>
      <c r="F580" s="58" t="n"/>
      <c r="G580" s="58" t="n"/>
      <c r="H580" s="59" t="n"/>
      <c r="I580" s="57" t="str">
        <f>IF(H580="","",IFERROR(INDEX(art_des,MATCH(H580,art_ref,0))&amp;"","Article inconnu"))</f>
        <v/>
      </c>
      <c r="J580" s="60" t="str">
        <f>IF(H580="","",IFERROR(INDEX(art_unit,MATCH(H580,art_ref,0))&amp;"",""))</f>
        <v/>
      </c>
      <c r="K580" s="59" t="n"/>
      <c r="L580" s="59" t="n"/>
      <c r="M580" s="61" t="str">
        <f>IF(OR(B580="",NOT(ISNUMBER(K580)),NOT(ISNUMBER(L580))),"",IF(OR(K580&lt;=0,L580&lt;=0),"",ROUND(L580-K580,6)))</f>
        <v/>
      </c>
      <c r="N580" s="58" t="n"/>
      <c r="O580" s="62" t="n"/>
      <c r="P580" s="63" t="str">
        <f>IF(OR(B580="",NOT(ISNUMBER(L580))),"",IF(L580&lt;=0,"",IFERROR(ROUND(L580*N(INDEX(art_w,MATCH(H580,art_ref,0))),3),"")))</f>
        <v/>
      </c>
      <c r="Q580" s="59" t="n"/>
      <c r="R580" s="54" t="n"/>
      <c r="S580" s="59" t="n"/>
      <c r="T580" s="59" t="n"/>
      <c r="U580" s="64" t="str">
        <f>IF(OR(B580="",H580=""),"",IFERROR(IF(A580="BL",IF(N(INDEX(art_price,MATCH(H580,art_ref,0)))=0,"",N(INDEX(art_price,MATCH(H580,art_ref,0)))),IF(N(INDEX(art_cost,MATCH(H580,art_ref,0)))=0,"",N(INDEX(art_cost,MATCH(H580,art_ref,0))))),""))</f>
        <v/>
      </c>
      <c r="V580" s="64" t="str">
        <f>IF(OR(U580="",NOT(ISNUMBER(L580))),"",IF(L580&lt;=0,"",ROUND(L580*U580,2)))</f>
        <v/>
      </c>
      <c r="W580" s="60" t="str">
        <f>IF(AND(B580&lt;&gt;"",A580&lt;&gt;"BS",F580&lt;&gt;"",H580&lt;&gt;"",ISNUMBER(K580),ISNUMBER(L580)),IF(AND(K580&gt;0,L580&gt;0,K580-L580&gt;0,COUNTIFS(A581:A$2005,A580,F581:F$2005,F580,H581:H$2005,H580,AA581:AA$2005,"&gt;0")=0),ROUND(K580-L580,6),""),"")</f>
        <v/>
      </c>
      <c r="X580" s="60" t="str">
        <f>IF(AND(A580="",C580="",D580="",H580="",L580=""),"",IF(A580="","Type manquant",IF(AND(A580&lt;&gt;"BL",A580&lt;&gt;"BR",A580&lt;&gt;"BS"),"Type inconnu (BL, BR ou BS)",IF(AG580=0,"Date manquante ou invalide",IF(D580="",IF(A580="BL","Client manquant",IF(A580="BR","Fournisseur manquant","Service manquant")),IF(IF(A580="BL",ISNA(MATCH(D580,cl_code,0)),IF(A580="BR",ISNA(MATCH(D580,fo_code,0)),ISNA(MATCH(D580,p_services,0)))),IF(A580="BL","Client inconnu",IF(A580="BR","Fournisseur inconnu","Service inconnu")),IF(H580="","Article manquant",IF(ISNA(MATCH(H580,art_ref,0)),"Article inconnu",IF(OR(NOT(ISNUMBER(L580)),N(L580)&lt;=0),"Quantité invalide",IF(AND(K580&lt;&gt;"",OR(NOT(ISNUMBER(K580)),N(K580)&lt;=0)),"Qté commandée invalide",IF(AG580&lt;SUMPRODUCT(MAX((A$6:A579=A580)*AG$6:AG579)),"Date antérieure au bon précédent",IF(AND(A580&lt;&gt;"BR",ISNUMBER(M580),N(M580)&gt;0),IF(A580="BL","Livré plus que commandé","Sorti plus que demandé"),"OK"))))))))))))</f>
        <v/>
      </c>
      <c r="Y580" s="57" t="str">
        <f>IF(AND(OR(A580="BL",A580="BR",A580="BS"),AG580&gt;0,D580&lt;&gt;""),A580&amp;"|"&amp;AG580&amp;"|"&amp;D580&amp;"|"&amp;F580,"")</f>
        <v/>
      </c>
      <c r="Z580" s="57" t="str">
        <f>IF(Y580="","",IF(COUNTIF(Y$6:Y579,Y580)=0,1,0))</f>
        <v/>
      </c>
      <c r="AA580" s="57" t="str">
        <f>IF(Y580="","",IF(Z580=1,COUNTIFS(A$6:A580,A580,Z$6:Z580,1),INDEX(AA$6:AA579,MATCH(Y580,Y$6:Y579,0))))</f>
        <v/>
      </c>
      <c r="AB580" s="57" t="str">
        <f>IF(B580="","",COUNTIF(B$6:B580,B580))</f>
        <v/>
      </c>
      <c r="AC580" s="57" t="str">
        <f>IF(B580="","",B580&amp;"#"&amp;AB580)</f>
        <v/>
      </c>
      <c r="AD580" s="57" t="str">
        <f>IF(Z580=1,A580&amp;AA580,"")</f>
        <v/>
      </c>
      <c r="AE580" s="57" t="str">
        <f>IF(B580="","",YEAR(C580))</f>
        <v/>
      </c>
      <c r="AF580" s="57" t="str">
        <f>IF(B580="","",MONTH(C580))</f>
        <v/>
      </c>
      <c r="AG580" s="57">
        <f>IF(ISNUMBER(C580),C580,0)</f>
        <v>0.0</v>
      </c>
      <c r="AH580" s="57" t="str">
        <f>IF(N(W580)&gt;0,COUNTIF(W$6:W580,"&gt;0"),"")</f>
        <v/>
      </c>
      <c r="AI580" s="57" t="str">
        <f>IF(Z580=1,COUNTIF(Z$6:Z580,1),"")</f>
        <v/>
      </c>
    </row>
    <row r="581">
      <c r="A581" s="54" t="n"/>
      <c r="B581" s="55" t="str">
        <f>IF(AA581="","",A581&amp;"-"&amp;RIGHT("000"&amp;AA581,4))</f>
        <v/>
      </c>
      <c r="C581" s="56" t="n"/>
      <c r="D581" s="54" t="n"/>
      <c r="E581" s="57" t="str">
        <f>IF(D581="","",IF(A581="BL",IFERROR(INDEX(cl_name,MATCH(D581,cl_code,0))&amp;"","Client inconnu"),IF(A581="BR",IFERROR(INDEX(fo_name,MATCH(D581,fo_code,0))&amp;"","Fournisseur inconnu"),IF(A581="BS",IF(ISNA(MATCH(D581,p_services,0)),"Service inconnu",D581&amp;""),""))))</f>
        <v/>
      </c>
      <c r="F581" s="58" t="n"/>
      <c r="G581" s="58" t="n"/>
      <c r="H581" s="59" t="n"/>
      <c r="I581" s="57" t="str">
        <f>IF(H581="","",IFERROR(INDEX(art_des,MATCH(H581,art_ref,0))&amp;"","Article inconnu"))</f>
        <v/>
      </c>
      <c r="J581" s="60" t="str">
        <f>IF(H581="","",IFERROR(INDEX(art_unit,MATCH(H581,art_ref,0))&amp;"",""))</f>
        <v/>
      </c>
      <c r="K581" s="59" t="n"/>
      <c r="L581" s="59" t="n"/>
      <c r="M581" s="61" t="str">
        <f>IF(OR(B581="",NOT(ISNUMBER(K581)),NOT(ISNUMBER(L581))),"",IF(OR(K581&lt;=0,L581&lt;=0),"",ROUND(L581-K581,6)))</f>
        <v/>
      </c>
      <c r="N581" s="58" t="n"/>
      <c r="O581" s="62" t="n"/>
      <c r="P581" s="63" t="str">
        <f>IF(OR(B581="",NOT(ISNUMBER(L581))),"",IF(L581&lt;=0,"",IFERROR(ROUND(L581*N(INDEX(art_w,MATCH(H581,art_ref,0))),3),"")))</f>
        <v/>
      </c>
      <c r="Q581" s="59" t="n"/>
      <c r="R581" s="54" t="n"/>
      <c r="S581" s="59" t="n"/>
      <c r="T581" s="59" t="n"/>
      <c r="U581" s="64" t="str">
        <f>IF(OR(B581="",H581=""),"",IFERROR(IF(A581="BL",IF(N(INDEX(art_price,MATCH(H581,art_ref,0)))=0,"",N(INDEX(art_price,MATCH(H581,art_ref,0)))),IF(N(INDEX(art_cost,MATCH(H581,art_ref,0)))=0,"",N(INDEX(art_cost,MATCH(H581,art_ref,0))))),""))</f>
        <v/>
      </c>
      <c r="V581" s="64" t="str">
        <f>IF(OR(U581="",NOT(ISNUMBER(L581))),"",IF(L581&lt;=0,"",ROUND(L581*U581,2)))</f>
        <v/>
      </c>
      <c r="W581" s="60" t="str">
        <f>IF(AND(B581&lt;&gt;"",A581&lt;&gt;"BS",F581&lt;&gt;"",H581&lt;&gt;"",ISNUMBER(K581),ISNUMBER(L581)),IF(AND(K581&gt;0,L581&gt;0,K581-L581&gt;0,COUNTIFS(A582:A$2005,A581,F582:F$2005,F581,H582:H$2005,H581,AA582:AA$2005,"&gt;0")=0),ROUND(K581-L581,6),""),"")</f>
        <v/>
      </c>
      <c r="X581" s="60" t="str">
        <f>IF(AND(A581="",C581="",D581="",H581="",L581=""),"",IF(A581="","Type manquant",IF(AND(A581&lt;&gt;"BL",A581&lt;&gt;"BR",A581&lt;&gt;"BS"),"Type inconnu (BL, BR ou BS)",IF(AG581=0,"Date manquante ou invalide",IF(D581="",IF(A581="BL","Client manquant",IF(A581="BR","Fournisseur manquant","Service manquant")),IF(IF(A581="BL",ISNA(MATCH(D581,cl_code,0)),IF(A581="BR",ISNA(MATCH(D581,fo_code,0)),ISNA(MATCH(D581,p_services,0)))),IF(A581="BL","Client inconnu",IF(A581="BR","Fournisseur inconnu","Service inconnu")),IF(H581="","Article manquant",IF(ISNA(MATCH(H581,art_ref,0)),"Article inconnu",IF(OR(NOT(ISNUMBER(L581)),N(L581)&lt;=0),"Quantité invalide",IF(AND(K581&lt;&gt;"",OR(NOT(ISNUMBER(K581)),N(K581)&lt;=0)),"Qté commandée invalide",IF(AG581&lt;SUMPRODUCT(MAX((A$6:A580=A581)*AG$6:AG580)),"Date antérieure au bon précédent",IF(AND(A581&lt;&gt;"BR",ISNUMBER(M581),N(M581)&gt;0),IF(A581="BL","Livré plus que commandé","Sorti plus que demandé"),"OK"))))))))))))</f>
        <v/>
      </c>
      <c r="Y581" s="57" t="str">
        <f>IF(AND(OR(A581="BL",A581="BR",A581="BS"),AG581&gt;0,D581&lt;&gt;""),A581&amp;"|"&amp;AG581&amp;"|"&amp;D581&amp;"|"&amp;F581,"")</f>
        <v/>
      </c>
      <c r="Z581" s="57" t="str">
        <f>IF(Y581="","",IF(COUNTIF(Y$6:Y580,Y581)=0,1,0))</f>
        <v/>
      </c>
      <c r="AA581" s="57" t="str">
        <f>IF(Y581="","",IF(Z581=1,COUNTIFS(A$6:A581,A581,Z$6:Z581,1),INDEX(AA$6:AA580,MATCH(Y581,Y$6:Y580,0))))</f>
        <v/>
      </c>
      <c r="AB581" s="57" t="str">
        <f>IF(B581="","",COUNTIF(B$6:B581,B581))</f>
        <v/>
      </c>
      <c r="AC581" s="57" t="str">
        <f>IF(B581="","",B581&amp;"#"&amp;AB581)</f>
        <v/>
      </c>
      <c r="AD581" s="57" t="str">
        <f>IF(Z581=1,A581&amp;AA581,"")</f>
        <v/>
      </c>
      <c r="AE581" s="57" t="str">
        <f>IF(B581="","",YEAR(C581))</f>
        <v/>
      </c>
      <c r="AF581" s="57" t="str">
        <f>IF(B581="","",MONTH(C581))</f>
        <v/>
      </c>
      <c r="AG581" s="57">
        <f>IF(ISNUMBER(C581),C581,0)</f>
        <v>0.0</v>
      </c>
      <c r="AH581" s="57" t="str">
        <f>IF(N(W581)&gt;0,COUNTIF(W$6:W581,"&gt;0"),"")</f>
        <v/>
      </c>
      <c r="AI581" s="57" t="str">
        <f>IF(Z581=1,COUNTIF(Z$6:Z581,1),"")</f>
        <v/>
      </c>
    </row>
    <row r="582">
      <c r="A582" s="54" t="n"/>
      <c r="B582" s="55" t="str">
        <f>IF(AA582="","",A582&amp;"-"&amp;RIGHT("000"&amp;AA582,4))</f>
        <v/>
      </c>
      <c r="C582" s="56" t="n"/>
      <c r="D582" s="54" t="n"/>
      <c r="E582" s="57" t="str">
        <f>IF(D582="","",IF(A582="BL",IFERROR(INDEX(cl_name,MATCH(D582,cl_code,0))&amp;"","Client inconnu"),IF(A582="BR",IFERROR(INDEX(fo_name,MATCH(D582,fo_code,0))&amp;"","Fournisseur inconnu"),IF(A582="BS",IF(ISNA(MATCH(D582,p_services,0)),"Service inconnu",D582&amp;""),""))))</f>
        <v/>
      </c>
      <c r="F582" s="58" t="n"/>
      <c r="G582" s="58" t="n"/>
      <c r="H582" s="59" t="n"/>
      <c r="I582" s="57" t="str">
        <f>IF(H582="","",IFERROR(INDEX(art_des,MATCH(H582,art_ref,0))&amp;"","Article inconnu"))</f>
        <v/>
      </c>
      <c r="J582" s="60" t="str">
        <f>IF(H582="","",IFERROR(INDEX(art_unit,MATCH(H582,art_ref,0))&amp;"",""))</f>
        <v/>
      </c>
      <c r="K582" s="59" t="n"/>
      <c r="L582" s="59" t="n"/>
      <c r="M582" s="61" t="str">
        <f>IF(OR(B582="",NOT(ISNUMBER(K582)),NOT(ISNUMBER(L582))),"",IF(OR(K582&lt;=0,L582&lt;=0),"",ROUND(L582-K582,6)))</f>
        <v/>
      </c>
      <c r="N582" s="58" t="n"/>
      <c r="O582" s="62" t="n"/>
      <c r="P582" s="63" t="str">
        <f>IF(OR(B582="",NOT(ISNUMBER(L582))),"",IF(L582&lt;=0,"",IFERROR(ROUND(L582*N(INDEX(art_w,MATCH(H582,art_ref,0))),3),"")))</f>
        <v/>
      </c>
      <c r="Q582" s="59" t="n"/>
      <c r="R582" s="54" t="n"/>
      <c r="S582" s="59" t="n"/>
      <c r="T582" s="59" t="n"/>
      <c r="U582" s="64" t="str">
        <f>IF(OR(B582="",H582=""),"",IFERROR(IF(A582="BL",IF(N(INDEX(art_price,MATCH(H582,art_ref,0)))=0,"",N(INDEX(art_price,MATCH(H582,art_ref,0)))),IF(N(INDEX(art_cost,MATCH(H582,art_ref,0)))=0,"",N(INDEX(art_cost,MATCH(H582,art_ref,0))))),""))</f>
        <v/>
      </c>
      <c r="V582" s="64" t="str">
        <f>IF(OR(U582="",NOT(ISNUMBER(L582))),"",IF(L582&lt;=0,"",ROUND(L582*U582,2)))</f>
        <v/>
      </c>
      <c r="W582" s="60" t="str">
        <f>IF(AND(B582&lt;&gt;"",A582&lt;&gt;"BS",F582&lt;&gt;"",H582&lt;&gt;"",ISNUMBER(K582),ISNUMBER(L582)),IF(AND(K582&gt;0,L582&gt;0,K582-L582&gt;0,COUNTIFS(A583:A$2005,A582,F583:F$2005,F582,H583:H$2005,H582,AA583:AA$2005,"&gt;0")=0),ROUND(K582-L582,6),""),"")</f>
        <v/>
      </c>
      <c r="X582" s="60" t="str">
        <f>IF(AND(A582="",C582="",D582="",H582="",L582=""),"",IF(A582="","Type manquant",IF(AND(A582&lt;&gt;"BL",A582&lt;&gt;"BR",A582&lt;&gt;"BS"),"Type inconnu (BL, BR ou BS)",IF(AG582=0,"Date manquante ou invalide",IF(D582="",IF(A582="BL","Client manquant",IF(A582="BR","Fournisseur manquant","Service manquant")),IF(IF(A582="BL",ISNA(MATCH(D582,cl_code,0)),IF(A582="BR",ISNA(MATCH(D582,fo_code,0)),ISNA(MATCH(D582,p_services,0)))),IF(A582="BL","Client inconnu",IF(A582="BR","Fournisseur inconnu","Service inconnu")),IF(H582="","Article manquant",IF(ISNA(MATCH(H582,art_ref,0)),"Article inconnu",IF(OR(NOT(ISNUMBER(L582)),N(L582)&lt;=0),"Quantité invalide",IF(AND(K582&lt;&gt;"",OR(NOT(ISNUMBER(K582)),N(K582)&lt;=0)),"Qté commandée invalide",IF(AG582&lt;SUMPRODUCT(MAX((A$6:A581=A582)*AG$6:AG581)),"Date antérieure au bon précédent",IF(AND(A582&lt;&gt;"BR",ISNUMBER(M582),N(M582)&gt;0),IF(A582="BL","Livré plus que commandé","Sorti plus que demandé"),"OK"))))))))))))</f>
        <v/>
      </c>
      <c r="Y582" s="57" t="str">
        <f>IF(AND(OR(A582="BL",A582="BR",A582="BS"),AG582&gt;0,D582&lt;&gt;""),A582&amp;"|"&amp;AG582&amp;"|"&amp;D582&amp;"|"&amp;F582,"")</f>
        <v/>
      </c>
      <c r="Z582" s="57" t="str">
        <f>IF(Y582="","",IF(COUNTIF(Y$6:Y581,Y582)=0,1,0))</f>
        <v/>
      </c>
      <c r="AA582" s="57" t="str">
        <f>IF(Y582="","",IF(Z582=1,COUNTIFS(A$6:A582,A582,Z$6:Z582,1),INDEX(AA$6:AA581,MATCH(Y582,Y$6:Y581,0))))</f>
        <v/>
      </c>
      <c r="AB582" s="57" t="str">
        <f>IF(B582="","",COUNTIF(B$6:B582,B582))</f>
        <v/>
      </c>
      <c r="AC582" s="57" t="str">
        <f>IF(B582="","",B582&amp;"#"&amp;AB582)</f>
        <v/>
      </c>
      <c r="AD582" s="57" t="str">
        <f>IF(Z582=1,A582&amp;AA582,"")</f>
        <v/>
      </c>
      <c r="AE582" s="57" t="str">
        <f>IF(B582="","",YEAR(C582))</f>
        <v/>
      </c>
      <c r="AF582" s="57" t="str">
        <f>IF(B582="","",MONTH(C582))</f>
        <v/>
      </c>
      <c r="AG582" s="57">
        <f>IF(ISNUMBER(C582),C582,0)</f>
        <v>0.0</v>
      </c>
      <c r="AH582" s="57" t="str">
        <f>IF(N(W582)&gt;0,COUNTIF(W$6:W582,"&gt;0"),"")</f>
        <v/>
      </c>
      <c r="AI582" s="57" t="str">
        <f>IF(Z582=1,COUNTIF(Z$6:Z582,1),"")</f>
        <v/>
      </c>
    </row>
    <row r="583">
      <c r="A583" s="54" t="n"/>
      <c r="B583" s="55" t="str">
        <f>IF(AA583="","",A583&amp;"-"&amp;RIGHT("000"&amp;AA583,4))</f>
        <v/>
      </c>
      <c r="C583" s="56" t="n"/>
      <c r="D583" s="54" t="n"/>
      <c r="E583" s="57" t="str">
        <f>IF(D583="","",IF(A583="BL",IFERROR(INDEX(cl_name,MATCH(D583,cl_code,0))&amp;"","Client inconnu"),IF(A583="BR",IFERROR(INDEX(fo_name,MATCH(D583,fo_code,0))&amp;"","Fournisseur inconnu"),IF(A583="BS",IF(ISNA(MATCH(D583,p_services,0)),"Service inconnu",D583&amp;""),""))))</f>
        <v/>
      </c>
      <c r="F583" s="58" t="n"/>
      <c r="G583" s="58" t="n"/>
      <c r="H583" s="59" t="n"/>
      <c r="I583" s="57" t="str">
        <f>IF(H583="","",IFERROR(INDEX(art_des,MATCH(H583,art_ref,0))&amp;"","Article inconnu"))</f>
        <v/>
      </c>
      <c r="J583" s="60" t="str">
        <f>IF(H583="","",IFERROR(INDEX(art_unit,MATCH(H583,art_ref,0))&amp;"",""))</f>
        <v/>
      </c>
      <c r="K583" s="59" t="n"/>
      <c r="L583" s="59" t="n"/>
      <c r="M583" s="61" t="str">
        <f>IF(OR(B583="",NOT(ISNUMBER(K583)),NOT(ISNUMBER(L583))),"",IF(OR(K583&lt;=0,L583&lt;=0),"",ROUND(L583-K583,6)))</f>
        <v/>
      </c>
      <c r="N583" s="58" t="n"/>
      <c r="O583" s="62" t="n"/>
      <c r="P583" s="63" t="str">
        <f>IF(OR(B583="",NOT(ISNUMBER(L583))),"",IF(L583&lt;=0,"",IFERROR(ROUND(L583*N(INDEX(art_w,MATCH(H583,art_ref,0))),3),"")))</f>
        <v/>
      </c>
      <c r="Q583" s="59" t="n"/>
      <c r="R583" s="54" t="n"/>
      <c r="S583" s="59" t="n"/>
      <c r="T583" s="59" t="n"/>
      <c r="U583" s="64" t="str">
        <f>IF(OR(B583="",H583=""),"",IFERROR(IF(A583="BL",IF(N(INDEX(art_price,MATCH(H583,art_ref,0)))=0,"",N(INDEX(art_price,MATCH(H583,art_ref,0)))),IF(N(INDEX(art_cost,MATCH(H583,art_ref,0)))=0,"",N(INDEX(art_cost,MATCH(H583,art_ref,0))))),""))</f>
        <v/>
      </c>
      <c r="V583" s="64" t="str">
        <f>IF(OR(U583="",NOT(ISNUMBER(L583))),"",IF(L583&lt;=0,"",ROUND(L583*U583,2)))</f>
        <v/>
      </c>
      <c r="W583" s="60" t="str">
        <f>IF(AND(B583&lt;&gt;"",A583&lt;&gt;"BS",F583&lt;&gt;"",H583&lt;&gt;"",ISNUMBER(K583),ISNUMBER(L583)),IF(AND(K583&gt;0,L583&gt;0,K583-L583&gt;0,COUNTIFS(A584:A$2005,A583,F584:F$2005,F583,H584:H$2005,H583,AA584:AA$2005,"&gt;0")=0),ROUND(K583-L583,6),""),"")</f>
        <v/>
      </c>
      <c r="X583" s="60" t="str">
        <f>IF(AND(A583="",C583="",D583="",H583="",L583=""),"",IF(A583="","Type manquant",IF(AND(A583&lt;&gt;"BL",A583&lt;&gt;"BR",A583&lt;&gt;"BS"),"Type inconnu (BL, BR ou BS)",IF(AG583=0,"Date manquante ou invalide",IF(D583="",IF(A583="BL","Client manquant",IF(A583="BR","Fournisseur manquant","Service manquant")),IF(IF(A583="BL",ISNA(MATCH(D583,cl_code,0)),IF(A583="BR",ISNA(MATCH(D583,fo_code,0)),ISNA(MATCH(D583,p_services,0)))),IF(A583="BL","Client inconnu",IF(A583="BR","Fournisseur inconnu","Service inconnu")),IF(H583="","Article manquant",IF(ISNA(MATCH(H583,art_ref,0)),"Article inconnu",IF(OR(NOT(ISNUMBER(L583)),N(L583)&lt;=0),"Quantité invalide",IF(AND(K583&lt;&gt;"",OR(NOT(ISNUMBER(K583)),N(K583)&lt;=0)),"Qté commandée invalide",IF(AG583&lt;SUMPRODUCT(MAX((A$6:A582=A583)*AG$6:AG582)),"Date antérieure au bon précédent",IF(AND(A583&lt;&gt;"BR",ISNUMBER(M583),N(M583)&gt;0),IF(A583="BL","Livré plus que commandé","Sorti plus que demandé"),"OK"))))))))))))</f>
        <v/>
      </c>
      <c r="Y583" s="57" t="str">
        <f>IF(AND(OR(A583="BL",A583="BR",A583="BS"),AG583&gt;0,D583&lt;&gt;""),A583&amp;"|"&amp;AG583&amp;"|"&amp;D583&amp;"|"&amp;F583,"")</f>
        <v/>
      </c>
      <c r="Z583" s="57" t="str">
        <f>IF(Y583="","",IF(COUNTIF(Y$6:Y582,Y583)=0,1,0))</f>
        <v/>
      </c>
      <c r="AA583" s="57" t="str">
        <f>IF(Y583="","",IF(Z583=1,COUNTIFS(A$6:A583,A583,Z$6:Z583,1),INDEX(AA$6:AA582,MATCH(Y583,Y$6:Y582,0))))</f>
        <v/>
      </c>
      <c r="AB583" s="57" t="str">
        <f>IF(B583="","",COUNTIF(B$6:B583,B583))</f>
        <v/>
      </c>
      <c r="AC583" s="57" t="str">
        <f>IF(B583="","",B583&amp;"#"&amp;AB583)</f>
        <v/>
      </c>
      <c r="AD583" s="57" t="str">
        <f>IF(Z583=1,A583&amp;AA583,"")</f>
        <v/>
      </c>
      <c r="AE583" s="57" t="str">
        <f>IF(B583="","",YEAR(C583))</f>
        <v/>
      </c>
      <c r="AF583" s="57" t="str">
        <f>IF(B583="","",MONTH(C583))</f>
        <v/>
      </c>
      <c r="AG583" s="57">
        <f>IF(ISNUMBER(C583),C583,0)</f>
        <v>0.0</v>
      </c>
      <c r="AH583" s="57" t="str">
        <f>IF(N(W583)&gt;0,COUNTIF(W$6:W583,"&gt;0"),"")</f>
        <v/>
      </c>
      <c r="AI583" s="57" t="str">
        <f>IF(Z583=1,COUNTIF(Z$6:Z583,1),"")</f>
        <v/>
      </c>
    </row>
    <row r="584">
      <c r="A584" s="54" t="n"/>
      <c r="B584" s="55" t="str">
        <f>IF(AA584="","",A584&amp;"-"&amp;RIGHT("000"&amp;AA584,4))</f>
        <v/>
      </c>
      <c r="C584" s="56" t="n"/>
      <c r="D584" s="54" t="n"/>
      <c r="E584" s="57" t="str">
        <f>IF(D584="","",IF(A584="BL",IFERROR(INDEX(cl_name,MATCH(D584,cl_code,0))&amp;"","Client inconnu"),IF(A584="BR",IFERROR(INDEX(fo_name,MATCH(D584,fo_code,0))&amp;"","Fournisseur inconnu"),IF(A584="BS",IF(ISNA(MATCH(D584,p_services,0)),"Service inconnu",D584&amp;""),""))))</f>
        <v/>
      </c>
      <c r="F584" s="58" t="n"/>
      <c r="G584" s="58" t="n"/>
      <c r="H584" s="59" t="n"/>
      <c r="I584" s="57" t="str">
        <f>IF(H584="","",IFERROR(INDEX(art_des,MATCH(H584,art_ref,0))&amp;"","Article inconnu"))</f>
        <v/>
      </c>
      <c r="J584" s="60" t="str">
        <f>IF(H584="","",IFERROR(INDEX(art_unit,MATCH(H584,art_ref,0))&amp;"",""))</f>
        <v/>
      </c>
      <c r="K584" s="59" t="n"/>
      <c r="L584" s="59" t="n"/>
      <c r="M584" s="61" t="str">
        <f>IF(OR(B584="",NOT(ISNUMBER(K584)),NOT(ISNUMBER(L584))),"",IF(OR(K584&lt;=0,L584&lt;=0),"",ROUND(L584-K584,6)))</f>
        <v/>
      </c>
      <c r="N584" s="58" t="n"/>
      <c r="O584" s="62" t="n"/>
      <c r="P584" s="63" t="str">
        <f>IF(OR(B584="",NOT(ISNUMBER(L584))),"",IF(L584&lt;=0,"",IFERROR(ROUND(L584*N(INDEX(art_w,MATCH(H584,art_ref,0))),3),"")))</f>
        <v/>
      </c>
      <c r="Q584" s="59" t="n"/>
      <c r="R584" s="54" t="n"/>
      <c r="S584" s="59" t="n"/>
      <c r="T584" s="59" t="n"/>
      <c r="U584" s="64" t="str">
        <f>IF(OR(B584="",H584=""),"",IFERROR(IF(A584="BL",IF(N(INDEX(art_price,MATCH(H584,art_ref,0)))=0,"",N(INDEX(art_price,MATCH(H584,art_ref,0)))),IF(N(INDEX(art_cost,MATCH(H584,art_ref,0)))=0,"",N(INDEX(art_cost,MATCH(H584,art_ref,0))))),""))</f>
        <v/>
      </c>
      <c r="V584" s="64" t="str">
        <f>IF(OR(U584="",NOT(ISNUMBER(L584))),"",IF(L584&lt;=0,"",ROUND(L584*U584,2)))</f>
        <v/>
      </c>
      <c r="W584" s="60" t="str">
        <f>IF(AND(B584&lt;&gt;"",A584&lt;&gt;"BS",F584&lt;&gt;"",H584&lt;&gt;"",ISNUMBER(K584),ISNUMBER(L584)),IF(AND(K584&gt;0,L584&gt;0,K584-L584&gt;0,COUNTIFS(A585:A$2005,A584,F585:F$2005,F584,H585:H$2005,H584,AA585:AA$2005,"&gt;0")=0),ROUND(K584-L584,6),""),"")</f>
        <v/>
      </c>
      <c r="X584" s="60" t="str">
        <f>IF(AND(A584="",C584="",D584="",H584="",L584=""),"",IF(A584="","Type manquant",IF(AND(A584&lt;&gt;"BL",A584&lt;&gt;"BR",A584&lt;&gt;"BS"),"Type inconnu (BL, BR ou BS)",IF(AG584=0,"Date manquante ou invalide",IF(D584="",IF(A584="BL","Client manquant",IF(A584="BR","Fournisseur manquant","Service manquant")),IF(IF(A584="BL",ISNA(MATCH(D584,cl_code,0)),IF(A584="BR",ISNA(MATCH(D584,fo_code,0)),ISNA(MATCH(D584,p_services,0)))),IF(A584="BL","Client inconnu",IF(A584="BR","Fournisseur inconnu","Service inconnu")),IF(H584="","Article manquant",IF(ISNA(MATCH(H584,art_ref,0)),"Article inconnu",IF(OR(NOT(ISNUMBER(L584)),N(L584)&lt;=0),"Quantité invalide",IF(AND(K584&lt;&gt;"",OR(NOT(ISNUMBER(K584)),N(K584)&lt;=0)),"Qté commandée invalide",IF(AG584&lt;SUMPRODUCT(MAX((A$6:A583=A584)*AG$6:AG583)),"Date antérieure au bon précédent",IF(AND(A584&lt;&gt;"BR",ISNUMBER(M584),N(M584)&gt;0),IF(A584="BL","Livré plus que commandé","Sorti plus que demandé"),"OK"))))))))))))</f>
        <v/>
      </c>
      <c r="Y584" s="57" t="str">
        <f>IF(AND(OR(A584="BL",A584="BR",A584="BS"),AG584&gt;0,D584&lt;&gt;""),A584&amp;"|"&amp;AG584&amp;"|"&amp;D584&amp;"|"&amp;F584,"")</f>
        <v/>
      </c>
      <c r="Z584" s="57" t="str">
        <f>IF(Y584="","",IF(COUNTIF(Y$6:Y583,Y584)=0,1,0))</f>
        <v/>
      </c>
      <c r="AA584" s="57" t="str">
        <f>IF(Y584="","",IF(Z584=1,COUNTIFS(A$6:A584,A584,Z$6:Z584,1),INDEX(AA$6:AA583,MATCH(Y584,Y$6:Y583,0))))</f>
        <v/>
      </c>
      <c r="AB584" s="57" t="str">
        <f>IF(B584="","",COUNTIF(B$6:B584,B584))</f>
        <v/>
      </c>
      <c r="AC584" s="57" t="str">
        <f>IF(B584="","",B584&amp;"#"&amp;AB584)</f>
        <v/>
      </c>
      <c r="AD584" s="57" t="str">
        <f>IF(Z584=1,A584&amp;AA584,"")</f>
        <v/>
      </c>
      <c r="AE584" s="57" t="str">
        <f>IF(B584="","",YEAR(C584))</f>
        <v/>
      </c>
      <c r="AF584" s="57" t="str">
        <f>IF(B584="","",MONTH(C584))</f>
        <v/>
      </c>
      <c r="AG584" s="57">
        <f>IF(ISNUMBER(C584),C584,0)</f>
        <v>0.0</v>
      </c>
      <c r="AH584" s="57" t="str">
        <f>IF(N(W584)&gt;0,COUNTIF(W$6:W584,"&gt;0"),"")</f>
        <v/>
      </c>
      <c r="AI584" s="57" t="str">
        <f>IF(Z584=1,COUNTIF(Z$6:Z584,1),"")</f>
        <v/>
      </c>
    </row>
    <row r="585">
      <c r="A585" s="54" t="n"/>
      <c r="B585" s="55" t="str">
        <f>IF(AA585="","",A585&amp;"-"&amp;RIGHT("000"&amp;AA585,4))</f>
        <v/>
      </c>
      <c r="C585" s="56" t="n"/>
      <c r="D585" s="54" t="n"/>
      <c r="E585" s="57" t="str">
        <f>IF(D585="","",IF(A585="BL",IFERROR(INDEX(cl_name,MATCH(D585,cl_code,0))&amp;"","Client inconnu"),IF(A585="BR",IFERROR(INDEX(fo_name,MATCH(D585,fo_code,0))&amp;"","Fournisseur inconnu"),IF(A585="BS",IF(ISNA(MATCH(D585,p_services,0)),"Service inconnu",D585&amp;""),""))))</f>
        <v/>
      </c>
      <c r="F585" s="58" t="n"/>
      <c r="G585" s="58" t="n"/>
      <c r="H585" s="59" t="n"/>
      <c r="I585" s="57" t="str">
        <f>IF(H585="","",IFERROR(INDEX(art_des,MATCH(H585,art_ref,0))&amp;"","Article inconnu"))</f>
        <v/>
      </c>
      <c r="J585" s="60" t="str">
        <f>IF(H585="","",IFERROR(INDEX(art_unit,MATCH(H585,art_ref,0))&amp;"",""))</f>
        <v/>
      </c>
      <c r="K585" s="59" t="n"/>
      <c r="L585" s="59" t="n"/>
      <c r="M585" s="61" t="str">
        <f>IF(OR(B585="",NOT(ISNUMBER(K585)),NOT(ISNUMBER(L585))),"",IF(OR(K585&lt;=0,L585&lt;=0),"",ROUND(L585-K585,6)))</f>
        <v/>
      </c>
      <c r="N585" s="58" t="n"/>
      <c r="O585" s="62" t="n"/>
      <c r="P585" s="63" t="str">
        <f>IF(OR(B585="",NOT(ISNUMBER(L585))),"",IF(L585&lt;=0,"",IFERROR(ROUND(L585*N(INDEX(art_w,MATCH(H585,art_ref,0))),3),"")))</f>
        <v/>
      </c>
      <c r="Q585" s="59" t="n"/>
      <c r="R585" s="54" t="n"/>
      <c r="S585" s="59" t="n"/>
      <c r="T585" s="59" t="n"/>
      <c r="U585" s="64" t="str">
        <f>IF(OR(B585="",H585=""),"",IFERROR(IF(A585="BL",IF(N(INDEX(art_price,MATCH(H585,art_ref,0)))=0,"",N(INDEX(art_price,MATCH(H585,art_ref,0)))),IF(N(INDEX(art_cost,MATCH(H585,art_ref,0)))=0,"",N(INDEX(art_cost,MATCH(H585,art_ref,0))))),""))</f>
        <v/>
      </c>
      <c r="V585" s="64" t="str">
        <f>IF(OR(U585="",NOT(ISNUMBER(L585))),"",IF(L585&lt;=0,"",ROUND(L585*U585,2)))</f>
        <v/>
      </c>
      <c r="W585" s="60" t="str">
        <f>IF(AND(B585&lt;&gt;"",A585&lt;&gt;"BS",F585&lt;&gt;"",H585&lt;&gt;"",ISNUMBER(K585),ISNUMBER(L585)),IF(AND(K585&gt;0,L585&gt;0,K585-L585&gt;0,COUNTIFS(A586:A$2005,A585,F586:F$2005,F585,H586:H$2005,H585,AA586:AA$2005,"&gt;0")=0),ROUND(K585-L585,6),""),"")</f>
        <v/>
      </c>
      <c r="X585" s="60" t="str">
        <f>IF(AND(A585="",C585="",D585="",H585="",L585=""),"",IF(A585="","Type manquant",IF(AND(A585&lt;&gt;"BL",A585&lt;&gt;"BR",A585&lt;&gt;"BS"),"Type inconnu (BL, BR ou BS)",IF(AG585=0,"Date manquante ou invalide",IF(D585="",IF(A585="BL","Client manquant",IF(A585="BR","Fournisseur manquant","Service manquant")),IF(IF(A585="BL",ISNA(MATCH(D585,cl_code,0)),IF(A585="BR",ISNA(MATCH(D585,fo_code,0)),ISNA(MATCH(D585,p_services,0)))),IF(A585="BL","Client inconnu",IF(A585="BR","Fournisseur inconnu","Service inconnu")),IF(H585="","Article manquant",IF(ISNA(MATCH(H585,art_ref,0)),"Article inconnu",IF(OR(NOT(ISNUMBER(L585)),N(L585)&lt;=0),"Quantité invalide",IF(AND(K585&lt;&gt;"",OR(NOT(ISNUMBER(K585)),N(K585)&lt;=0)),"Qté commandée invalide",IF(AG585&lt;SUMPRODUCT(MAX((A$6:A584=A585)*AG$6:AG584)),"Date antérieure au bon précédent",IF(AND(A585&lt;&gt;"BR",ISNUMBER(M585),N(M585)&gt;0),IF(A585="BL","Livré plus que commandé","Sorti plus que demandé"),"OK"))))))))))))</f>
        <v/>
      </c>
      <c r="Y585" s="57" t="str">
        <f>IF(AND(OR(A585="BL",A585="BR",A585="BS"),AG585&gt;0,D585&lt;&gt;""),A585&amp;"|"&amp;AG585&amp;"|"&amp;D585&amp;"|"&amp;F585,"")</f>
        <v/>
      </c>
      <c r="Z585" s="57" t="str">
        <f>IF(Y585="","",IF(COUNTIF(Y$6:Y584,Y585)=0,1,0))</f>
        <v/>
      </c>
      <c r="AA585" s="57" t="str">
        <f>IF(Y585="","",IF(Z585=1,COUNTIFS(A$6:A585,A585,Z$6:Z585,1),INDEX(AA$6:AA584,MATCH(Y585,Y$6:Y584,0))))</f>
        <v/>
      </c>
      <c r="AB585" s="57" t="str">
        <f>IF(B585="","",COUNTIF(B$6:B585,B585))</f>
        <v/>
      </c>
      <c r="AC585" s="57" t="str">
        <f>IF(B585="","",B585&amp;"#"&amp;AB585)</f>
        <v/>
      </c>
      <c r="AD585" s="57" t="str">
        <f>IF(Z585=1,A585&amp;AA585,"")</f>
        <v/>
      </c>
      <c r="AE585" s="57" t="str">
        <f>IF(B585="","",YEAR(C585))</f>
        <v/>
      </c>
      <c r="AF585" s="57" t="str">
        <f>IF(B585="","",MONTH(C585))</f>
        <v/>
      </c>
      <c r="AG585" s="57">
        <f>IF(ISNUMBER(C585),C585,0)</f>
        <v>0.0</v>
      </c>
      <c r="AH585" s="57" t="str">
        <f>IF(N(W585)&gt;0,COUNTIF(W$6:W585,"&gt;0"),"")</f>
        <v/>
      </c>
      <c r="AI585" s="57" t="str">
        <f>IF(Z585=1,COUNTIF(Z$6:Z585,1),"")</f>
        <v/>
      </c>
    </row>
    <row r="586">
      <c r="A586" s="54" t="n"/>
      <c r="B586" s="55" t="str">
        <f>IF(AA586="","",A586&amp;"-"&amp;RIGHT("000"&amp;AA586,4))</f>
        <v/>
      </c>
      <c r="C586" s="56" t="n"/>
      <c r="D586" s="54" t="n"/>
      <c r="E586" s="57" t="str">
        <f>IF(D586="","",IF(A586="BL",IFERROR(INDEX(cl_name,MATCH(D586,cl_code,0))&amp;"","Client inconnu"),IF(A586="BR",IFERROR(INDEX(fo_name,MATCH(D586,fo_code,0))&amp;"","Fournisseur inconnu"),IF(A586="BS",IF(ISNA(MATCH(D586,p_services,0)),"Service inconnu",D586&amp;""),""))))</f>
        <v/>
      </c>
      <c r="F586" s="58" t="n"/>
      <c r="G586" s="58" t="n"/>
      <c r="H586" s="59" t="n"/>
      <c r="I586" s="57" t="str">
        <f>IF(H586="","",IFERROR(INDEX(art_des,MATCH(H586,art_ref,0))&amp;"","Article inconnu"))</f>
        <v/>
      </c>
      <c r="J586" s="60" t="str">
        <f>IF(H586="","",IFERROR(INDEX(art_unit,MATCH(H586,art_ref,0))&amp;"",""))</f>
        <v/>
      </c>
      <c r="K586" s="59" t="n"/>
      <c r="L586" s="59" t="n"/>
      <c r="M586" s="61" t="str">
        <f>IF(OR(B586="",NOT(ISNUMBER(K586)),NOT(ISNUMBER(L586))),"",IF(OR(K586&lt;=0,L586&lt;=0),"",ROUND(L586-K586,6)))</f>
        <v/>
      </c>
      <c r="N586" s="58" t="n"/>
      <c r="O586" s="62" t="n"/>
      <c r="P586" s="63" t="str">
        <f>IF(OR(B586="",NOT(ISNUMBER(L586))),"",IF(L586&lt;=0,"",IFERROR(ROUND(L586*N(INDEX(art_w,MATCH(H586,art_ref,0))),3),"")))</f>
        <v/>
      </c>
      <c r="Q586" s="59" t="n"/>
      <c r="R586" s="54" t="n"/>
      <c r="S586" s="59" t="n"/>
      <c r="T586" s="59" t="n"/>
      <c r="U586" s="64" t="str">
        <f>IF(OR(B586="",H586=""),"",IFERROR(IF(A586="BL",IF(N(INDEX(art_price,MATCH(H586,art_ref,0)))=0,"",N(INDEX(art_price,MATCH(H586,art_ref,0)))),IF(N(INDEX(art_cost,MATCH(H586,art_ref,0)))=0,"",N(INDEX(art_cost,MATCH(H586,art_ref,0))))),""))</f>
        <v/>
      </c>
      <c r="V586" s="64" t="str">
        <f>IF(OR(U586="",NOT(ISNUMBER(L586))),"",IF(L586&lt;=0,"",ROUND(L586*U586,2)))</f>
        <v/>
      </c>
      <c r="W586" s="60" t="str">
        <f>IF(AND(B586&lt;&gt;"",A586&lt;&gt;"BS",F586&lt;&gt;"",H586&lt;&gt;"",ISNUMBER(K586),ISNUMBER(L586)),IF(AND(K586&gt;0,L586&gt;0,K586-L586&gt;0,COUNTIFS(A587:A$2005,A586,F587:F$2005,F586,H587:H$2005,H586,AA587:AA$2005,"&gt;0")=0),ROUND(K586-L586,6),""),"")</f>
        <v/>
      </c>
      <c r="X586" s="60" t="str">
        <f>IF(AND(A586="",C586="",D586="",H586="",L586=""),"",IF(A586="","Type manquant",IF(AND(A586&lt;&gt;"BL",A586&lt;&gt;"BR",A586&lt;&gt;"BS"),"Type inconnu (BL, BR ou BS)",IF(AG586=0,"Date manquante ou invalide",IF(D586="",IF(A586="BL","Client manquant",IF(A586="BR","Fournisseur manquant","Service manquant")),IF(IF(A586="BL",ISNA(MATCH(D586,cl_code,0)),IF(A586="BR",ISNA(MATCH(D586,fo_code,0)),ISNA(MATCH(D586,p_services,0)))),IF(A586="BL","Client inconnu",IF(A586="BR","Fournisseur inconnu","Service inconnu")),IF(H586="","Article manquant",IF(ISNA(MATCH(H586,art_ref,0)),"Article inconnu",IF(OR(NOT(ISNUMBER(L586)),N(L586)&lt;=0),"Quantité invalide",IF(AND(K586&lt;&gt;"",OR(NOT(ISNUMBER(K586)),N(K586)&lt;=0)),"Qté commandée invalide",IF(AG586&lt;SUMPRODUCT(MAX((A$6:A585=A586)*AG$6:AG585)),"Date antérieure au bon précédent",IF(AND(A586&lt;&gt;"BR",ISNUMBER(M586),N(M586)&gt;0),IF(A586="BL","Livré plus que commandé","Sorti plus que demandé"),"OK"))))))))))))</f>
        <v/>
      </c>
      <c r="Y586" s="57" t="str">
        <f>IF(AND(OR(A586="BL",A586="BR",A586="BS"),AG586&gt;0,D586&lt;&gt;""),A586&amp;"|"&amp;AG586&amp;"|"&amp;D586&amp;"|"&amp;F586,"")</f>
        <v/>
      </c>
      <c r="Z586" s="57" t="str">
        <f>IF(Y586="","",IF(COUNTIF(Y$6:Y585,Y586)=0,1,0))</f>
        <v/>
      </c>
      <c r="AA586" s="57" t="str">
        <f>IF(Y586="","",IF(Z586=1,COUNTIFS(A$6:A586,A586,Z$6:Z586,1),INDEX(AA$6:AA585,MATCH(Y586,Y$6:Y585,0))))</f>
        <v/>
      </c>
      <c r="AB586" s="57" t="str">
        <f>IF(B586="","",COUNTIF(B$6:B586,B586))</f>
        <v/>
      </c>
      <c r="AC586" s="57" t="str">
        <f>IF(B586="","",B586&amp;"#"&amp;AB586)</f>
        <v/>
      </c>
      <c r="AD586" s="57" t="str">
        <f>IF(Z586=1,A586&amp;AA586,"")</f>
        <v/>
      </c>
      <c r="AE586" s="57" t="str">
        <f>IF(B586="","",YEAR(C586))</f>
        <v/>
      </c>
      <c r="AF586" s="57" t="str">
        <f>IF(B586="","",MONTH(C586))</f>
        <v/>
      </c>
      <c r="AG586" s="57">
        <f>IF(ISNUMBER(C586),C586,0)</f>
        <v>0.0</v>
      </c>
      <c r="AH586" s="57" t="str">
        <f>IF(N(W586)&gt;0,COUNTIF(W$6:W586,"&gt;0"),"")</f>
        <v/>
      </c>
      <c r="AI586" s="57" t="str">
        <f>IF(Z586=1,COUNTIF(Z$6:Z586,1),"")</f>
        <v/>
      </c>
    </row>
    <row r="587">
      <c r="A587" s="54" t="n"/>
      <c r="B587" s="55" t="str">
        <f>IF(AA587="","",A587&amp;"-"&amp;RIGHT("000"&amp;AA587,4))</f>
        <v/>
      </c>
      <c r="C587" s="56" t="n"/>
      <c r="D587" s="54" t="n"/>
      <c r="E587" s="57" t="str">
        <f>IF(D587="","",IF(A587="BL",IFERROR(INDEX(cl_name,MATCH(D587,cl_code,0))&amp;"","Client inconnu"),IF(A587="BR",IFERROR(INDEX(fo_name,MATCH(D587,fo_code,0))&amp;"","Fournisseur inconnu"),IF(A587="BS",IF(ISNA(MATCH(D587,p_services,0)),"Service inconnu",D587&amp;""),""))))</f>
        <v/>
      </c>
      <c r="F587" s="58" t="n"/>
      <c r="G587" s="58" t="n"/>
      <c r="H587" s="59" t="n"/>
      <c r="I587" s="57" t="str">
        <f>IF(H587="","",IFERROR(INDEX(art_des,MATCH(H587,art_ref,0))&amp;"","Article inconnu"))</f>
        <v/>
      </c>
      <c r="J587" s="60" t="str">
        <f>IF(H587="","",IFERROR(INDEX(art_unit,MATCH(H587,art_ref,0))&amp;"",""))</f>
        <v/>
      </c>
      <c r="K587" s="59" t="n"/>
      <c r="L587" s="59" t="n"/>
      <c r="M587" s="61" t="str">
        <f>IF(OR(B587="",NOT(ISNUMBER(K587)),NOT(ISNUMBER(L587))),"",IF(OR(K587&lt;=0,L587&lt;=0),"",ROUND(L587-K587,6)))</f>
        <v/>
      </c>
      <c r="N587" s="58" t="n"/>
      <c r="O587" s="62" t="n"/>
      <c r="P587" s="63" t="str">
        <f>IF(OR(B587="",NOT(ISNUMBER(L587))),"",IF(L587&lt;=0,"",IFERROR(ROUND(L587*N(INDEX(art_w,MATCH(H587,art_ref,0))),3),"")))</f>
        <v/>
      </c>
      <c r="Q587" s="59" t="n"/>
      <c r="R587" s="54" t="n"/>
      <c r="S587" s="59" t="n"/>
      <c r="T587" s="59" t="n"/>
      <c r="U587" s="64" t="str">
        <f>IF(OR(B587="",H587=""),"",IFERROR(IF(A587="BL",IF(N(INDEX(art_price,MATCH(H587,art_ref,0)))=0,"",N(INDEX(art_price,MATCH(H587,art_ref,0)))),IF(N(INDEX(art_cost,MATCH(H587,art_ref,0)))=0,"",N(INDEX(art_cost,MATCH(H587,art_ref,0))))),""))</f>
        <v/>
      </c>
      <c r="V587" s="64" t="str">
        <f>IF(OR(U587="",NOT(ISNUMBER(L587))),"",IF(L587&lt;=0,"",ROUND(L587*U587,2)))</f>
        <v/>
      </c>
      <c r="W587" s="60" t="str">
        <f>IF(AND(B587&lt;&gt;"",A587&lt;&gt;"BS",F587&lt;&gt;"",H587&lt;&gt;"",ISNUMBER(K587),ISNUMBER(L587)),IF(AND(K587&gt;0,L587&gt;0,K587-L587&gt;0,COUNTIFS(A588:A$2005,A587,F588:F$2005,F587,H588:H$2005,H587,AA588:AA$2005,"&gt;0")=0),ROUND(K587-L587,6),""),"")</f>
        <v/>
      </c>
      <c r="X587" s="60" t="str">
        <f>IF(AND(A587="",C587="",D587="",H587="",L587=""),"",IF(A587="","Type manquant",IF(AND(A587&lt;&gt;"BL",A587&lt;&gt;"BR",A587&lt;&gt;"BS"),"Type inconnu (BL, BR ou BS)",IF(AG587=0,"Date manquante ou invalide",IF(D587="",IF(A587="BL","Client manquant",IF(A587="BR","Fournisseur manquant","Service manquant")),IF(IF(A587="BL",ISNA(MATCH(D587,cl_code,0)),IF(A587="BR",ISNA(MATCH(D587,fo_code,0)),ISNA(MATCH(D587,p_services,0)))),IF(A587="BL","Client inconnu",IF(A587="BR","Fournisseur inconnu","Service inconnu")),IF(H587="","Article manquant",IF(ISNA(MATCH(H587,art_ref,0)),"Article inconnu",IF(OR(NOT(ISNUMBER(L587)),N(L587)&lt;=0),"Quantité invalide",IF(AND(K587&lt;&gt;"",OR(NOT(ISNUMBER(K587)),N(K587)&lt;=0)),"Qté commandée invalide",IF(AG587&lt;SUMPRODUCT(MAX((A$6:A586=A587)*AG$6:AG586)),"Date antérieure au bon précédent",IF(AND(A587&lt;&gt;"BR",ISNUMBER(M587),N(M587)&gt;0),IF(A587="BL","Livré plus que commandé","Sorti plus que demandé"),"OK"))))))))))))</f>
        <v/>
      </c>
      <c r="Y587" s="57" t="str">
        <f>IF(AND(OR(A587="BL",A587="BR",A587="BS"),AG587&gt;0,D587&lt;&gt;""),A587&amp;"|"&amp;AG587&amp;"|"&amp;D587&amp;"|"&amp;F587,"")</f>
        <v/>
      </c>
      <c r="Z587" s="57" t="str">
        <f>IF(Y587="","",IF(COUNTIF(Y$6:Y586,Y587)=0,1,0))</f>
        <v/>
      </c>
      <c r="AA587" s="57" t="str">
        <f>IF(Y587="","",IF(Z587=1,COUNTIFS(A$6:A587,A587,Z$6:Z587,1),INDEX(AA$6:AA586,MATCH(Y587,Y$6:Y586,0))))</f>
        <v/>
      </c>
      <c r="AB587" s="57" t="str">
        <f>IF(B587="","",COUNTIF(B$6:B587,B587))</f>
        <v/>
      </c>
      <c r="AC587" s="57" t="str">
        <f>IF(B587="","",B587&amp;"#"&amp;AB587)</f>
        <v/>
      </c>
      <c r="AD587" s="57" t="str">
        <f>IF(Z587=1,A587&amp;AA587,"")</f>
        <v/>
      </c>
      <c r="AE587" s="57" t="str">
        <f>IF(B587="","",YEAR(C587))</f>
        <v/>
      </c>
      <c r="AF587" s="57" t="str">
        <f>IF(B587="","",MONTH(C587))</f>
        <v/>
      </c>
      <c r="AG587" s="57">
        <f>IF(ISNUMBER(C587),C587,0)</f>
        <v>0.0</v>
      </c>
      <c r="AH587" s="57" t="str">
        <f>IF(N(W587)&gt;0,COUNTIF(W$6:W587,"&gt;0"),"")</f>
        <v/>
      </c>
      <c r="AI587" s="57" t="str">
        <f>IF(Z587=1,COUNTIF(Z$6:Z587,1),"")</f>
        <v/>
      </c>
    </row>
    <row r="588">
      <c r="A588" s="54" t="n"/>
      <c r="B588" s="55" t="str">
        <f>IF(AA588="","",A588&amp;"-"&amp;RIGHT("000"&amp;AA588,4))</f>
        <v/>
      </c>
      <c r="C588" s="56" t="n"/>
      <c r="D588" s="54" t="n"/>
      <c r="E588" s="57" t="str">
        <f>IF(D588="","",IF(A588="BL",IFERROR(INDEX(cl_name,MATCH(D588,cl_code,0))&amp;"","Client inconnu"),IF(A588="BR",IFERROR(INDEX(fo_name,MATCH(D588,fo_code,0))&amp;"","Fournisseur inconnu"),IF(A588="BS",IF(ISNA(MATCH(D588,p_services,0)),"Service inconnu",D588&amp;""),""))))</f>
        <v/>
      </c>
      <c r="F588" s="58" t="n"/>
      <c r="G588" s="58" t="n"/>
      <c r="H588" s="59" t="n"/>
      <c r="I588" s="57" t="str">
        <f>IF(H588="","",IFERROR(INDEX(art_des,MATCH(H588,art_ref,0))&amp;"","Article inconnu"))</f>
        <v/>
      </c>
      <c r="J588" s="60" t="str">
        <f>IF(H588="","",IFERROR(INDEX(art_unit,MATCH(H588,art_ref,0))&amp;"",""))</f>
        <v/>
      </c>
      <c r="K588" s="59" t="n"/>
      <c r="L588" s="59" t="n"/>
      <c r="M588" s="61" t="str">
        <f>IF(OR(B588="",NOT(ISNUMBER(K588)),NOT(ISNUMBER(L588))),"",IF(OR(K588&lt;=0,L588&lt;=0),"",ROUND(L588-K588,6)))</f>
        <v/>
      </c>
      <c r="N588" s="58" t="n"/>
      <c r="O588" s="62" t="n"/>
      <c r="P588" s="63" t="str">
        <f>IF(OR(B588="",NOT(ISNUMBER(L588))),"",IF(L588&lt;=0,"",IFERROR(ROUND(L588*N(INDEX(art_w,MATCH(H588,art_ref,0))),3),"")))</f>
        <v/>
      </c>
      <c r="Q588" s="59" t="n"/>
      <c r="R588" s="54" t="n"/>
      <c r="S588" s="59" t="n"/>
      <c r="T588" s="59" t="n"/>
      <c r="U588" s="64" t="str">
        <f>IF(OR(B588="",H588=""),"",IFERROR(IF(A588="BL",IF(N(INDEX(art_price,MATCH(H588,art_ref,0)))=0,"",N(INDEX(art_price,MATCH(H588,art_ref,0)))),IF(N(INDEX(art_cost,MATCH(H588,art_ref,0)))=0,"",N(INDEX(art_cost,MATCH(H588,art_ref,0))))),""))</f>
        <v/>
      </c>
      <c r="V588" s="64" t="str">
        <f>IF(OR(U588="",NOT(ISNUMBER(L588))),"",IF(L588&lt;=0,"",ROUND(L588*U588,2)))</f>
        <v/>
      </c>
      <c r="W588" s="60" t="str">
        <f>IF(AND(B588&lt;&gt;"",A588&lt;&gt;"BS",F588&lt;&gt;"",H588&lt;&gt;"",ISNUMBER(K588),ISNUMBER(L588)),IF(AND(K588&gt;0,L588&gt;0,K588-L588&gt;0,COUNTIFS(A589:A$2005,A588,F589:F$2005,F588,H589:H$2005,H588,AA589:AA$2005,"&gt;0")=0),ROUND(K588-L588,6),""),"")</f>
        <v/>
      </c>
      <c r="X588" s="60" t="str">
        <f>IF(AND(A588="",C588="",D588="",H588="",L588=""),"",IF(A588="","Type manquant",IF(AND(A588&lt;&gt;"BL",A588&lt;&gt;"BR",A588&lt;&gt;"BS"),"Type inconnu (BL, BR ou BS)",IF(AG588=0,"Date manquante ou invalide",IF(D588="",IF(A588="BL","Client manquant",IF(A588="BR","Fournisseur manquant","Service manquant")),IF(IF(A588="BL",ISNA(MATCH(D588,cl_code,0)),IF(A588="BR",ISNA(MATCH(D588,fo_code,0)),ISNA(MATCH(D588,p_services,0)))),IF(A588="BL","Client inconnu",IF(A588="BR","Fournisseur inconnu","Service inconnu")),IF(H588="","Article manquant",IF(ISNA(MATCH(H588,art_ref,0)),"Article inconnu",IF(OR(NOT(ISNUMBER(L588)),N(L588)&lt;=0),"Quantité invalide",IF(AND(K588&lt;&gt;"",OR(NOT(ISNUMBER(K588)),N(K588)&lt;=0)),"Qté commandée invalide",IF(AG588&lt;SUMPRODUCT(MAX((A$6:A587=A588)*AG$6:AG587)),"Date antérieure au bon précédent",IF(AND(A588&lt;&gt;"BR",ISNUMBER(M588),N(M588)&gt;0),IF(A588="BL","Livré plus que commandé","Sorti plus que demandé"),"OK"))))))))))))</f>
        <v/>
      </c>
      <c r="Y588" s="57" t="str">
        <f>IF(AND(OR(A588="BL",A588="BR",A588="BS"),AG588&gt;0,D588&lt;&gt;""),A588&amp;"|"&amp;AG588&amp;"|"&amp;D588&amp;"|"&amp;F588,"")</f>
        <v/>
      </c>
      <c r="Z588" s="57" t="str">
        <f>IF(Y588="","",IF(COUNTIF(Y$6:Y587,Y588)=0,1,0))</f>
        <v/>
      </c>
      <c r="AA588" s="57" t="str">
        <f>IF(Y588="","",IF(Z588=1,COUNTIFS(A$6:A588,A588,Z$6:Z588,1),INDEX(AA$6:AA587,MATCH(Y588,Y$6:Y587,0))))</f>
        <v/>
      </c>
      <c r="AB588" s="57" t="str">
        <f>IF(B588="","",COUNTIF(B$6:B588,B588))</f>
        <v/>
      </c>
      <c r="AC588" s="57" t="str">
        <f>IF(B588="","",B588&amp;"#"&amp;AB588)</f>
        <v/>
      </c>
      <c r="AD588" s="57" t="str">
        <f>IF(Z588=1,A588&amp;AA588,"")</f>
        <v/>
      </c>
      <c r="AE588" s="57" t="str">
        <f>IF(B588="","",YEAR(C588))</f>
        <v/>
      </c>
      <c r="AF588" s="57" t="str">
        <f>IF(B588="","",MONTH(C588))</f>
        <v/>
      </c>
      <c r="AG588" s="57">
        <f>IF(ISNUMBER(C588),C588,0)</f>
        <v>0.0</v>
      </c>
      <c r="AH588" s="57" t="str">
        <f>IF(N(W588)&gt;0,COUNTIF(W$6:W588,"&gt;0"),"")</f>
        <v/>
      </c>
      <c r="AI588" s="57" t="str">
        <f>IF(Z588=1,COUNTIF(Z$6:Z588,1),"")</f>
        <v/>
      </c>
    </row>
    <row r="589">
      <c r="A589" s="54" t="n"/>
      <c r="B589" s="55" t="str">
        <f>IF(AA589="","",A589&amp;"-"&amp;RIGHT("000"&amp;AA589,4))</f>
        <v/>
      </c>
      <c r="C589" s="56" t="n"/>
      <c r="D589" s="54" t="n"/>
      <c r="E589" s="57" t="str">
        <f>IF(D589="","",IF(A589="BL",IFERROR(INDEX(cl_name,MATCH(D589,cl_code,0))&amp;"","Client inconnu"),IF(A589="BR",IFERROR(INDEX(fo_name,MATCH(D589,fo_code,0))&amp;"","Fournisseur inconnu"),IF(A589="BS",IF(ISNA(MATCH(D589,p_services,0)),"Service inconnu",D589&amp;""),""))))</f>
        <v/>
      </c>
      <c r="F589" s="58" t="n"/>
      <c r="G589" s="58" t="n"/>
      <c r="H589" s="59" t="n"/>
      <c r="I589" s="57" t="str">
        <f>IF(H589="","",IFERROR(INDEX(art_des,MATCH(H589,art_ref,0))&amp;"","Article inconnu"))</f>
        <v/>
      </c>
      <c r="J589" s="60" t="str">
        <f>IF(H589="","",IFERROR(INDEX(art_unit,MATCH(H589,art_ref,0))&amp;"",""))</f>
        <v/>
      </c>
      <c r="K589" s="59" t="n"/>
      <c r="L589" s="59" t="n"/>
      <c r="M589" s="61" t="str">
        <f>IF(OR(B589="",NOT(ISNUMBER(K589)),NOT(ISNUMBER(L589))),"",IF(OR(K589&lt;=0,L589&lt;=0),"",ROUND(L589-K589,6)))</f>
        <v/>
      </c>
      <c r="N589" s="58" t="n"/>
      <c r="O589" s="62" t="n"/>
      <c r="P589" s="63" t="str">
        <f>IF(OR(B589="",NOT(ISNUMBER(L589))),"",IF(L589&lt;=0,"",IFERROR(ROUND(L589*N(INDEX(art_w,MATCH(H589,art_ref,0))),3),"")))</f>
        <v/>
      </c>
      <c r="Q589" s="59" t="n"/>
      <c r="R589" s="54" t="n"/>
      <c r="S589" s="59" t="n"/>
      <c r="T589" s="59" t="n"/>
      <c r="U589" s="64" t="str">
        <f>IF(OR(B589="",H589=""),"",IFERROR(IF(A589="BL",IF(N(INDEX(art_price,MATCH(H589,art_ref,0)))=0,"",N(INDEX(art_price,MATCH(H589,art_ref,0)))),IF(N(INDEX(art_cost,MATCH(H589,art_ref,0)))=0,"",N(INDEX(art_cost,MATCH(H589,art_ref,0))))),""))</f>
        <v/>
      </c>
      <c r="V589" s="64" t="str">
        <f>IF(OR(U589="",NOT(ISNUMBER(L589))),"",IF(L589&lt;=0,"",ROUND(L589*U589,2)))</f>
        <v/>
      </c>
      <c r="W589" s="60" t="str">
        <f>IF(AND(B589&lt;&gt;"",A589&lt;&gt;"BS",F589&lt;&gt;"",H589&lt;&gt;"",ISNUMBER(K589),ISNUMBER(L589)),IF(AND(K589&gt;0,L589&gt;0,K589-L589&gt;0,COUNTIFS(A590:A$2005,A589,F590:F$2005,F589,H590:H$2005,H589,AA590:AA$2005,"&gt;0")=0),ROUND(K589-L589,6),""),"")</f>
        <v/>
      </c>
      <c r="X589" s="60" t="str">
        <f>IF(AND(A589="",C589="",D589="",H589="",L589=""),"",IF(A589="","Type manquant",IF(AND(A589&lt;&gt;"BL",A589&lt;&gt;"BR",A589&lt;&gt;"BS"),"Type inconnu (BL, BR ou BS)",IF(AG589=0,"Date manquante ou invalide",IF(D589="",IF(A589="BL","Client manquant",IF(A589="BR","Fournisseur manquant","Service manquant")),IF(IF(A589="BL",ISNA(MATCH(D589,cl_code,0)),IF(A589="BR",ISNA(MATCH(D589,fo_code,0)),ISNA(MATCH(D589,p_services,0)))),IF(A589="BL","Client inconnu",IF(A589="BR","Fournisseur inconnu","Service inconnu")),IF(H589="","Article manquant",IF(ISNA(MATCH(H589,art_ref,0)),"Article inconnu",IF(OR(NOT(ISNUMBER(L589)),N(L589)&lt;=0),"Quantité invalide",IF(AND(K589&lt;&gt;"",OR(NOT(ISNUMBER(K589)),N(K589)&lt;=0)),"Qté commandée invalide",IF(AG589&lt;SUMPRODUCT(MAX((A$6:A588=A589)*AG$6:AG588)),"Date antérieure au bon précédent",IF(AND(A589&lt;&gt;"BR",ISNUMBER(M589),N(M589)&gt;0),IF(A589="BL","Livré plus que commandé","Sorti plus que demandé"),"OK"))))))))))))</f>
        <v/>
      </c>
      <c r="Y589" s="57" t="str">
        <f>IF(AND(OR(A589="BL",A589="BR",A589="BS"),AG589&gt;0,D589&lt;&gt;""),A589&amp;"|"&amp;AG589&amp;"|"&amp;D589&amp;"|"&amp;F589,"")</f>
        <v/>
      </c>
      <c r="Z589" s="57" t="str">
        <f>IF(Y589="","",IF(COUNTIF(Y$6:Y588,Y589)=0,1,0))</f>
        <v/>
      </c>
      <c r="AA589" s="57" t="str">
        <f>IF(Y589="","",IF(Z589=1,COUNTIFS(A$6:A589,A589,Z$6:Z589,1),INDEX(AA$6:AA588,MATCH(Y589,Y$6:Y588,0))))</f>
        <v/>
      </c>
      <c r="AB589" s="57" t="str">
        <f>IF(B589="","",COUNTIF(B$6:B589,B589))</f>
        <v/>
      </c>
      <c r="AC589" s="57" t="str">
        <f>IF(B589="","",B589&amp;"#"&amp;AB589)</f>
        <v/>
      </c>
      <c r="AD589" s="57" t="str">
        <f>IF(Z589=1,A589&amp;AA589,"")</f>
        <v/>
      </c>
      <c r="AE589" s="57" t="str">
        <f>IF(B589="","",YEAR(C589))</f>
        <v/>
      </c>
      <c r="AF589" s="57" t="str">
        <f>IF(B589="","",MONTH(C589))</f>
        <v/>
      </c>
      <c r="AG589" s="57">
        <f>IF(ISNUMBER(C589),C589,0)</f>
        <v>0.0</v>
      </c>
      <c r="AH589" s="57" t="str">
        <f>IF(N(W589)&gt;0,COUNTIF(W$6:W589,"&gt;0"),"")</f>
        <v/>
      </c>
      <c r="AI589" s="57" t="str">
        <f>IF(Z589=1,COUNTIF(Z$6:Z589,1),"")</f>
        <v/>
      </c>
    </row>
    <row r="590">
      <c r="A590" s="54" t="n"/>
      <c r="B590" s="55" t="str">
        <f>IF(AA590="","",A590&amp;"-"&amp;RIGHT("000"&amp;AA590,4))</f>
        <v/>
      </c>
      <c r="C590" s="56" t="n"/>
      <c r="D590" s="54" t="n"/>
      <c r="E590" s="57" t="str">
        <f>IF(D590="","",IF(A590="BL",IFERROR(INDEX(cl_name,MATCH(D590,cl_code,0))&amp;"","Client inconnu"),IF(A590="BR",IFERROR(INDEX(fo_name,MATCH(D590,fo_code,0))&amp;"","Fournisseur inconnu"),IF(A590="BS",IF(ISNA(MATCH(D590,p_services,0)),"Service inconnu",D590&amp;""),""))))</f>
        <v/>
      </c>
      <c r="F590" s="58" t="n"/>
      <c r="G590" s="58" t="n"/>
      <c r="H590" s="59" t="n"/>
      <c r="I590" s="57" t="str">
        <f>IF(H590="","",IFERROR(INDEX(art_des,MATCH(H590,art_ref,0))&amp;"","Article inconnu"))</f>
        <v/>
      </c>
      <c r="J590" s="60" t="str">
        <f>IF(H590="","",IFERROR(INDEX(art_unit,MATCH(H590,art_ref,0))&amp;"",""))</f>
        <v/>
      </c>
      <c r="K590" s="59" t="n"/>
      <c r="L590" s="59" t="n"/>
      <c r="M590" s="61" t="str">
        <f>IF(OR(B590="",NOT(ISNUMBER(K590)),NOT(ISNUMBER(L590))),"",IF(OR(K590&lt;=0,L590&lt;=0),"",ROUND(L590-K590,6)))</f>
        <v/>
      </c>
      <c r="N590" s="58" t="n"/>
      <c r="O590" s="62" t="n"/>
      <c r="P590" s="63" t="str">
        <f>IF(OR(B590="",NOT(ISNUMBER(L590))),"",IF(L590&lt;=0,"",IFERROR(ROUND(L590*N(INDEX(art_w,MATCH(H590,art_ref,0))),3),"")))</f>
        <v/>
      </c>
      <c r="Q590" s="59" t="n"/>
      <c r="R590" s="54" t="n"/>
      <c r="S590" s="59" t="n"/>
      <c r="T590" s="59" t="n"/>
      <c r="U590" s="64" t="str">
        <f>IF(OR(B590="",H590=""),"",IFERROR(IF(A590="BL",IF(N(INDEX(art_price,MATCH(H590,art_ref,0)))=0,"",N(INDEX(art_price,MATCH(H590,art_ref,0)))),IF(N(INDEX(art_cost,MATCH(H590,art_ref,0)))=0,"",N(INDEX(art_cost,MATCH(H590,art_ref,0))))),""))</f>
        <v/>
      </c>
      <c r="V590" s="64" t="str">
        <f>IF(OR(U590="",NOT(ISNUMBER(L590))),"",IF(L590&lt;=0,"",ROUND(L590*U590,2)))</f>
        <v/>
      </c>
      <c r="W590" s="60" t="str">
        <f>IF(AND(B590&lt;&gt;"",A590&lt;&gt;"BS",F590&lt;&gt;"",H590&lt;&gt;"",ISNUMBER(K590),ISNUMBER(L590)),IF(AND(K590&gt;0,L590&gt;0,K590-L590&gt;0,COUNTIFS(A591:A$2005,A590,F591:F$2005,F590,H591:H$2005,H590,AA591:AA$2005,"&gt;0")=0),ROUND(K590-L590,6),""),"")</f>
        <v/>
      </c>
      <c r="X590" s="60" t="str">
        <f>IF(AND(A590="",C590="",D590="",H590="",L590=""),"",IF(A590="","Type manquant",IF(AND(A590&lt;&gt;"BL",A590&lt;&gt;"BR",A590&lt;&gt;"BS"),"Type inconnu (BL, BR ou BS)",IF(AG590=0,"Date manquante ou invalide",IF(D590="",IF(A590="BL","Client manquant",IF(A590="BR","Fournisseur manquant","Service manquant")),IF(IF(A590="BL",ISNA(MATCH(D590,cl_code,0)),IF(A590="BR",ISNA(MATCH(D590,fo_code,0)),ISNA(MATCH(D590,p_services,0)))),IF(A590="BL","Client inconnu",IF(A590="BR","Fournisseur inconnu","Service inconnu")),IF(H590="","Article manquant",IF(ISNA(MATCH(H590,art_ref,0)),"Article inconnu",IF(OR(NOT(ISNUMBER(L590)),N(L590)&lt;=0),"Quantité invalide",IF(AND(K590&lt;&gt;"",OR(NOT(ISNUMBER(K590)),N(K590)&lt;=0)),"Qté commandée invalide",IF(AG590&lt;SUMPRODUCT(MAX((A$6:A589=A590)*AG$6:AG589)),"Date antérieure au bon précédent",IF(AND(A590&lt;&gt;"BR",ISNUMBER(M590),N(M590)&gt;0),IF(A590="BL","Livré plus que commandé","Sorti plus que demandé"),"OK"))))))))))))</f>
        <v/>
      </c>
      <c r="Y590" s="57" t="str">
        <f>IF(AND(OR(A590="BL",A590="BR",A590="BS"),AG590&gt;0,D590&lt;&gt;""),A590&amp;"|"&amp;AG590&amp;"|"&amp;D590&amp;"|"&amp;F590,"")</f>
        <v/>
      </c>
      <c r="Z590" s="57" t="str">
        <f>IF(Y590="","",IF(COUNTIF(Y$6:Y589,Y590)=0,1,0))</f>
        <v/>
      </c>
      <c r="AA590" s="57" t="str">
        <f>IF(Y590="","",IF(Z590=1,COUNTIFS(A$6:A590,A590,Z$6:Z590,1),INDEX(AA$6:AA589,MATCH(Y590,Y$6:Y589,0))))</f>
        <v/>
      </c>
      <c r="AB590" s="57" t="str">
        <f>IF(B590="","",COUNTIF(B$6:B590,B590))</f>
        <v/>
      </c>
      <c r="AC590" s="57" t="str">
        <f>IF(B590="","",B590&amp;"#"&amp;AB590)</f>
        <v/>
      </c>
      <c r="AD590" s="57" t="str">
        <f>IF(Z590=1,A590&amp;AA590,"")</f>
        <v/>
      </c>
      <c r="AE590" s="57" t="str">
        <f>IF(B590="","",YEAR(C590))</f>
        <v/>
      </c>
      <c r="AF590" s="57" t="str">
        <f>IF(B590="","",MONTH(C590))</f>
        <v/>
      </c>
      <c r="AG590" s="57">
        <f>IF(ISNUMBER(C590),C590,0)</f>
        <v>0.0</v>
      </c>
      <c r="AH590" s="57" t="str">
        <f>IF(N(W590)&gt;0,COUNTIF(W$6:W590,"&gt;0"),"")</f>
        <v/>
      </c>
      <c r="AI590" s="57" t="str">
        <f>IF(Z590=1,COUNTIF(Z$6:Z590,1),"")</f>
        <v/>
      </c>
    </row>
    <row r="591">
      <c r="A591" s="54" t="n"/>
      <c r="B591" s="55" t="str">
        <f>IF(AA591="","",A591&amp;"-"&amp;RIGHT("000"&amp;AA591,4))</f>
        <v/>
      </c>
      <c r="C591" s="56" t="n"/>
      <c r="D591" s="54" t="n"/>
      <c r="E591" s="57" t="str">
        <f>IF(D591="","",IF(A591="BL",IFERROR(INDEX(cl_name,MATCH(D591,cl_code,0))&amp;"","Client inconnu"),IF(A591="BR",IFERROR(INDEX(fo_name,MATCH(D591,fo_code,0))&amp;"","Fournisseur inconnu"),IF(A591="BS",IF(ISNA(MATCH(D591,p_services,0)),"Service inconnu",D591&amp;""),""))))</f>
        <v/>
      </c>
      <c r="F591" s="58" t="n"/>
      <c r="G591" s="58" t="n"/>
      <c r="H591" s="59" t="n"/>
      <c r="I591" s="57" t="str">
        <f>IF(H591="","",IFERROR(INDEX(art_des,MATCH(H591,art_ref,0))&amp;"","Article inconnu"))</f>
        <v/>
      </c>
      <c r="J591" s="60" t="str">
        <f>IF(H591="","",IFERROR(INDEX(art_unit,MATCH(H591,art_ref,0))&amp;"",""))</f>
        <v/>
      </c>
      <c r="K591" s="59" t="n"/>
      <c r="L591" s="59" t="n"/>
      <c r="M591" s="61" t="str">
        <f>IF(OR(B591="",NOT(ISNUMBER(K591)),NOT(ISNUMBER(L591))),"",IF(OR(K591&lt;=0,L591&lt;=0),"",ROUND(L591-K591,6)))</f>
        <v/>
      </c>
      <c r="N591" s="58" t="n"/>
      <c r="O591" s="62" t="n"/>
      <c r="P591" s="63" t="str">
        <f>IF(OR(B591="",NOT(ISNUMBER(L591))),"",IF(L591&lt;=0,"",IFERROR(ROUND(L591*N(INDEX(art_w,MATCH(H591,art_ref,0))),3),"")))</f>
        <v/>
      </c>
      <c r="Q591" s="59" t="n"/>
      <c r="R591" s="54" t="n"/>
      <c r="S591" s="59" t="n"/>
      <c r="T591" s="59" t="n"/>
      <c r="U591" s="64" t="str">
        <f>IF(OR(B591="",H591=""),"",IFERROR(IF(A591="BL",IF(N(INDEX(art_price,MATCH(H591,art_ref,0)))=0,"",N(INDEX(art_price,MATCH(H591,art_ref,0)))),IF(N(INDEX(art_cost,MATCH(H591,art_ref,0)))=0,"",N(INDEX(art_cost,MATCH(H591,art_ref,0))))),""))</f>
        <v/>
      </c>
      <c r="V591" s="64" t="str">
        <f>IF(OR(U591="",NOT(ISNUMBER(L591))),"",IF(L591&lt;=0,"",ROUND(L591*U591,2)))</f>
        <v/>
      </c>
      <c r="W591" s="60" t="str">
        <f>IF(AND(B591&lt;&gt;"",A591&lt;&gt;"BS",F591&lt;&gt;"",H591&lt;&gt;"",ISNUMBER(K591),ISNUMBER(L591)),IF(AND(K591&gt;0,L591&gt;0,K591-L591&gt;0,COUNTIFS(A592:A$2005,A591,F592:F$2005,F591,H592:H$2005,H591,AA592:AA$2005,"&gt;0")=0),ROUND(K591-L591,6),""),"")</f>
        <v/>
      </c>
      <c r="X591" s="60" t="str">
        <f>IF(AND(A591="",C591="",D591="",H591="",L591=""),"",IF(A591="","Type manquant",IF(AND(A591&lt;&gt;"BL",A591&lt;&gt;"BR",A591&lt;&gt;"BS"),"Type inconnu (BL, BR ou BS)",IF(AG591=0,"Date manquante ou invalide",IF(D591="",IF(A591="BL","Client manquant",IF(A591="BR","Fournisseur manquant","Service manquant")),IF(IF(A591="BL",ISNA(MATCH(D591,cl_code,0)),IF(A591="BR",ISNA(MATCH(D591,fo_code,0)),ISNA(MATCH(D591,p_services,0)))),IF(A591="BL","Client inconnu",IF(A591="BR","Fournisseur inconnu","Service inconnu")),IF(H591="","Article manquant",IF(ISNA(MATCH(H591,art_ref,0)),"Article inconnu",IF(OR(NOT(ISNUMBER(L591)),N(L591)&lt;=0),"Quantité invalide",IF(AND(K591&lt;&gt;"",OR(NOT(ISNUMBER(K591)),N(K591)&lt;=0)),"Qté commandée invalide",IF(AG591&lt;SUMPRODUCT(MAX((A$6:A590=A591)*AG$6:AG590)),"Date antérieure au bon précédent",IF(AND(A591&lt;&gt;"BR",ISNUMBER(M591),N(M591)&gt;0),IF(A591="BL","Livré plus que commandé","Sorti plus que demandé"),"OK"))))))))))))</f>
        <v/>
      </c>
      <c r="Y591" s="57" t="str">
        <f>IF(AND(OR(A591="BL",A591="BR",A591="BS"),AG591&gt;0,D591&lt;&gt;""),A591&amp;"|"&amp;AG591&amp;"|"&amp;D591&amp;"|"&amp;F591,"")</f>
        <v/>
      </c>
      <c r="Z591" s="57" t="str">
        <f>IF(Y591="","",IF(COUNTIF(Y$6:Y590,Y591)=0,1,0))</f>
        <v/>
      </c>
      <c r="AA591" s="57" t="str">
        <f>IF(Y591="","",IF(Z591=1,COUNTIFS(A$6:A591,A591,Z$6:Z591,1),INDEX(AA$6:AA590,MATCH(Y591,Y$6:Y590,0))))</f>
        <v/>
      </c>
      <c r="AB591" s="57" t="str">
        <f>IF(B591="","",COUNTIF(B$6:B591,B591))</f>
        <v/>
      </c>
      <c r="AC591" s="57" t="str">
        <f>IF(B591="","",B591&amp;"#"&amp;AB591)</f>
        <v/>
      </c>
      <c r="AD591" s="57" t="str">
        <f>IF(Z591=1,A591&amp;AA591,"")</f>
        <v/>
      </c>
      <c r="AE591" s="57" t="str">
        <f>IF(B591="","",YEAR(C591))</f>
        <v/>
      </c>
      <c r="AF591" s="57" t="str">
        <f>IF(B591="","",MONTH(C591))</f>
        <v/>
      </c>
      <c r="AG591" s="57">
        <f>IF(ISNUMBER(C591),C591,0)</f>
        <v>0.0</v>
      </c>
      <c r="AH591" s="57" t="str">
        <f>IF(N(W591)&gt;0,COUNTIF(W$6:W591,"&gt;0"),"")</f>
        <v/>
      </c>
      <c r="AI591" s="57" t="str">
        <f>IF(Z591=1,COUNTIF(Z$6:Z591,1),"")</f>
        <v/>
      </c>
    </row>
    <row r="592">
      <c r="A592" s="54" t="n"/>
      <c r="B592" s="55" t="str">
        <f>IF(AA592="","",A592&amp;"-"&amp;RIGHT("000"&amp;AA592,4))</f>
        <v/>
      </c>
      <c r="C592" s="56" t="n"/>
      <c r="D592" s="54" t="n"/>
      <c r="E592" s="57" t="str">
        <f>IF(D592="","",IF(A592="BL",IFERROR(INDEX(cl_name,MATCH(D592,cl_code,0))&amp;"","Client inconnu"),IF(A592="BR",IFERROR(INDEX(fo_name,MATCH(D592,fo_code,0))&amp;"","Fournisseur inconnu"),IF(A592="BS",IF(ISNA(MATCH(D592,p_services,0)),"Service inconnu",D592&amp;""),""))))</f>
        <v/>
      </c>
      <c r="F592" s="58" t="n"/>
      <c r="G592" s="58" t="n"/>
      <c r="H592" s="59" t="n"/>
      <c r="I592" s="57" t="str">
        <f>IF(H592="","",IFERROR(INDEX(art_des,MATCH(H592,art_ref,0))&amp;"","Article inconnu"))</f>
        <v/>
      </c>
      <c r="J592" s="60" t="str">
        <f>IF(H592="","",IFERROR(INDEX(art_unit,MATCH(H592,art_ref,0))&amp;"",""))</f>
        <v/>
      </c>
      <c r="K592" s="59" t="n"/>
      <c r="L592" s="59" t="n"/>
      <c r="M592" s="61" t="str">
        <f>IF(OR(B592="",NOT(ISNUMBER(K592)),NOT(ISNUMBER(L592))),"",IF(OR(K592&lt;=0,L592&lt;=0),"",ROUND(L592-K592,6)))</f>
        <v/>
      </c>
      <c r="N592" s="58" t="n"/>
      <c r="O592" s="62" t="n"/>
      <c r="P592" s="63" t="str">
        <f>IF(OR(B592="",NOT(ISNUMBER(L592))),"",IF(L592&lt;=0,"",IFERROR(ROUND(L592*N(INDEX(art_w,MATCH(H592,art_ref,0))),3),"")))</f>
        <v/>
      </c>
      <c r="Q592" s="59" t="n"/>
      <c r="R592" s="54" t="n"/>
      <c r="S592" s="59" t="n"/>
      <c r="T592" s="59" t="n"/>
      <c r="U592" s="64" t="str">
        <f>IF(OR(B592="",H592=""),"",IFERROR(IF(A592="BL",IF(N(INDEX(art_price,MATCH(H592,art_ref,0)))=0,"",N(INDEX(art_price,MATCH(H592,art_ref,0)))),IF(N(INDEX(art_cost,MATCH(H592,art_ref,0)))=0,"",N(INDEX(art_cost,MATCH(H592,art_ref,0))))),""))</f>
        <v/>
      </c>
      <c r="V592" s="64" t="str">
        <f>IF(OR(U592="",NOT(ISNUMBER(L592))),"",IF(L592&lt;=0,"",ROUND(L592*U592,2)))</f>
        <v/>
      </c>
      <c r="W592" s="60" t="str">
        <f>IF(AND(B592&lt;&gt;"",A592&lt;&gt;"BS",F592&lt;&gt;"",H592&lt;&gt;"",ISNUMBER(K592),ISNUMBER(L592)),IF(AND(K592&gt;0,L592&gt;0,K592-L592&gt;0,COUNTIFS(A593:A$2005,A592,F593:F$2005,F592,H593:H$2005,H592,AA593:AA$2005,"&gt;0")=0),ROUND(K592-L592,6),""),"")</f>
        <v/>
      </c>
      <c r="X592" s="60" t="str">
        <f>IF(AND(A592="",C592="",D592="",H592="",L592=""),"",IF(A592="","Type manquant",IF(AND(A592&lt;&gt;"BL",A592&lt;&gt;"BR",A592&lt;&gt;"BS"),"Type inconnu (BL, BR ou BS)",IF(AG592=0,"Date manquante ou invalide",IF(D592="",IF(A592="BL","Client manquant",IF(A592="BR","Fournisseur manquant","Service manquant")),IF(IF(A592="BL",ISNA(MATCH(D592,cl_code,0)),IF(A592="BR",ISNA(MATCH(D592,fo_code,0)),ISNA(MATCH(D592,p_services,0)))),IF(A592="BL","Client inconnu",IF(A592="BR","Fournisseur inconnu","Service inconnu")),IF(H592="","Article manquant",IF(ISNA(MATCH(H592,art_ref,0)),"Article inconnu",IF(OR(NOT(ISNUMBER(L592)),N(L592)&lt;=0),"Quantité invalide",IF(AND(K592&lt;&gt;"",OR(NOT(ISNUMBER(K592)),N(K592)&lt;=0)),"Qté commandée invalide",IF(AG592&lt;SUMPRODUCT(MAX((A$6:A591=A592)*AG$6:AG591)),"Date antérieure au bon précédent",IF(AND(A592&lt;&gt;"BR",ISNUMBER(M592),N(M592)&gt;0),IF(A592="BL","Livré plus que commandé","Sorti plus que demandé"),"OK"))))))))))))</f>
        <v/>
      </c>
      <c r="Y592" s="57" t="str">
        <f>IF(AND(OR(A592="BL",A592="BR",A592="BS"),AG592&gt;0,D592&lt;&gt;""),A592&amp;"|"&amp;AG592&amp;"|"&amp;D592&amp;"|"&amp;F592,"")</f>
        <v/>
      </c>
      <c r="Z592" s="57" t="str">
        <f>IF(Y592="","",IF(COUNTIF(Y$6:Y591,Y592)=0,1,0))</f>
        <v/>
      </c>
      <c r="AA592" s="57" t="str">
        <f>IF(Y592="","",IF(Z592=1,COUNTIFS(A$6:A592,A592,Z$6:Z592,1),INDEX(AA$6:AA591,MATCH(Y592,Y$6:Y591,0))))</f>
        <v/>
      </c>
      <c r="AB592" s="57" t="str">
        <f>IF(B592="","",COUNTIF(B$6:B592,B592))</f>
        <v/>
      </c>
      <c r="AC592" s="57" t="str">
        <f>IF(B592="","",B592&amp;"#"&amp;AB592)</f>
        <v/>
      </c>
      <c r="AD592" s="57" t="str">
        <f>IF(Z592=1,A592&amp;AA592,"")</f>
        <v/>
      </c>
      <c r="AE592" s="57" t="str">
        <f>IF(B592="","",YEAR(C592))</f>
        <v/>
      </c>
      <c r="AF592" s="57" t="str">
        <f>IF(B592="","",MONTH(C592))</f>
        <v/>
      </c>
      <c r="AG592" s="57">
        <f>IF(ISNUMBER(C592),C592,0)</f>
        <v>0.0</v>
      </c>
      <c r="AH592" s="57" t="str">
        <f>IF(N(W592)&gt;0,COUNTIF(W$6:W592,"&gt;0"),"")</f>
        <v/>
      </c>
      <c r="AI592" s="57" t="str">
        <f>IF(Z592=1,COUNTIF(Z$6:Z592,1),"")</f>
        <v/>
      </c>
    </row>
    <row r="593">
      <c r="A593" s="54" t="n"/>
      <c r="B593" s="55" t="str">
        <f>IF(AA593="","",A593&amp;"-"&amp;RIGHT("000"&amp;AA593,4))</f>
        <v/>
      </c>
      <c r="C593" s="56" t="n"/>
      <c r="D593" s="54" t="n"/>
      <c r="E593" s="57" t="str">
        <f>IF(D593="","",IF(A593="BL",IFERROR(INDEX(cl_name,MATCH(D593,cl_code,0))&amp;"","Client inconnu"),IF(A593="BR",IFERROR(INDEX(fo_name,MATCH(D593,fo_code,0))&amp;"","Fournisseur inconnu"),IF(A593="BS",IF(ISNA(MATCH(D593,p_services,0)),"Service inconnu",D593&amp;""),""))))</f>
        <v/>
      </c>
      <c r="F593" s="58" t="n"/>
      <c r="G593" s="58" t="n"/>
      <c r="H593" s="59" t="n"/>
      <c r="I593" s="57" t="str">
        <f>IF(H593="","",IFERROR(INDEX(art_des,MATCH(H593,art_ref,0))&amp;"","Article inconnu"))</f>
        <v/>
      </c>
      <c r="J593" s="60" t="str">
        <f>IF(H593="","",IFERROR(INDEX(art_unit,MATCH(H593,art_ref,0))&amp;"",""))</f>
        <v/>
      </c>
      <c r="K593" s="59" t="n"/>
      <c r="L593" s="59" t="n"/>
      <c r="M593" s="61" t="str">
        <f>IF(OR(B593="",NOT(ISNUMBER(K593)),NOT(ISNUMBER(L593))),"",IF(OR(K593&lt;=0,L593&lt;=0),"",ROUND(L593-K593,6)))</f>
        <v/>
      </c>
      <c r="N593" s="58" t="n"/>
      <c r="O593" s="62" t="n"/>
      <c r="P593" s="63" t="str">
        <f>IF(OR(B593="",NOT(ISNUMBER(L593))),"",IF(L593&lt;=0,"",IFERROR(ROUND(L593*N(INDEX(art_w,MATCH(H593,art_ref,0))),3),"")))</f>
        <v/>
      </c>
      <c r="Q593" s="59" t="n"/>
      <c r="R593" s="54" t="n"/>
      <c r="S593" s="59" t="n"/>
      <c r="T593" s="59" t="n"/>
      <c r="U593" s="64" t="str">
        <f>IF(OR(B593="",H593=""),"",IFERROR(IF(A593="BL",IF(N(INDEX(art_price,MATCH(H593,art_ref,0)))=0,"",N(INDEX(art_price,MATCH(H593,art_ref,0)))),IF(N(INDEX(art_cost,MATCH(H593,art_ref,0)))=0,"",N(INDEX(art_cost,MATCH(H593,art_ref,0))))),""))</f>
        <v/>
      </c>
      <c r="V593" s="64" t="str">
        <f>IF(OR(U593="",NOT(ISNUMBER(L593))),"",IF(L593&lt;=0,"",ROUND(L593*U593,2)))</f>
        <v/>
      </c>
      <c r="W593" s="60" t="str">
        <f>IF(AND(B593&lt;&gt;"",A593&lt;&gt;"BS",F593&lt;&gt;"",H593&lt;&gt;"",ISNUMBER(K593),ISNUMBER(L593)),IF(AND(K593&gt;0,L593&gt;0,K593-L593&gt;0,COUNTIFS(A594:A$2005,A593,F594:F$2005,F593,H594:H$2005,H593,AA594:AA$2005,"&gt;0")=0),ROUND(K593-L593,6),""),"")</f>
        <v/>
      </c>
      <c r="X593" s="60" t="str">
        <f>IF(AND(A593="",C593="",D593="",H593="",L593=""),"",IF(A593="","Type manquant",IF(AND(A593&lt;&gt;"BL",A593&lt;&gt;"BR",A593&lt;&gt;"BS"),"Type inconnu (BL, BR ou BS)",IF(AG593=0,"Date manquante ou invalide",IF(D593="",IF(A593="BL","Client manquant",IF(A593="BR","Fournisseur manquant","Service manquant")),IF(IF(A593="BL",ISNA(MATCH(D593,cl_code,0)),IF(A593="BR",ISNA(MATCH(D593,fo_code,0)),ISNA(MATCH(D593,p_services,0)))),IF(A593="BL","Client inconnu",IF(A593="BR","Fournisseur inconnu","Service inconnu")),IF(H593="","Article manquant",IF(ISNA(MATCH(H593,art_ref,0)),"Article inconnu",IF(OR(NOT(ISNUMBER(L593)),N(L593)&lt;=0),"Quantité invalide",IF(AND(K593&lt;&gt;"",OR(NOT(ISNUMBER(K593)),N(K593)&lt;=0)),"Qté commandée invalide",IF(AG593&lt;SUMPRODUCT(MAX((A$6:A592=A593)*AG$6:AG592)),"Date antérieure au bon précédent",IF(AND(A593&lt;&gt;"BR",ISNUMBER(M593),N(M593)&gt;0),IF(A593="BL","Livré plus que commandé","Sorti plus que demandé"),"OK"))))))))))))</f>
        <v/>
      </c>
      <c r="Y593" s="57" t="str">
        <f>IF(AND(OR(A593="BL",A593="BR",A593="BS"),AG593&gt;0,D593&lt;&gt;""),A593&amp;"|"&amp;AG593&amp;"|"&amp;D593&amp;"|"&amp;F593,"")</f>
        <v/>
      </c>
      <c r="Z593" s="57" t="str">
        <f>IF(Y593="","",IF(COUNTIF(Y$6:Y592,Y593)=0,1,0))</f>
        <v/>
      </c>
      <c r="AA593" s="57" t="str">
        <f>IF(Y593="","",IF(Z593=1,COUNTIFS(A$6:A593,A593,Z$6:Z593,1),INDEX(AA$6:AA592,MATCH(Y593,Y$6:Y592,0))))</f>
        <v/>
      </c>
      <c r="AB593" s="57" t="str">
        <f>IF(B593="","",COUNTIF(B$6:B593,B593))</f>
        <v/>
      </c>
      <c r="AC593" s="57" t="str">
        <f>IF(B593="","",B593&amp;"#"&amp;AB593)</f>
        <v/>
      </c>
      <c r="AD593" s="57" t="str">
        <f>IF(Z593=1,A593&amp;AA593,"")</f>
        <v/>
      </c>
      <c r="AE593" s="57" t="str">
        <f>IF(B593="","",YEAR(C593))</f>
        <v/>
      </c>
      <c r="AF593" s="57" t="str">
        <f>IF(B593="","",MONTH(C593))</f>
        <v/>
      </c>
      <c r="AG593" s="57">
        <f>IF(ISNUMBER(C593),C593,0)</f>
        <v>0.0</v>
      </c>
      <c r="AH593" s="57" t="str">
        <f>IF(N(W593)&gt;0,COUNTIF(W$6:W593,"&gt;0"),"")</f>
        <v/>
      </c>
      <c r="AI593" s="57" t="str">
        <f>IF(Z593=1,COUNTIF(Z$6:Z593,1),"")</f>
        <v/>
      </c>
    </row>
    <row r="594">
      <c r="A594" s="54" t="n"/>
      <c r="B594" s="55" t="str">
        <f>IF(AA594="","",A594&amp;"-"&amp;RIGHT("000"&amp;AA594,4))</f>
        <v/>
      </c>
      <c r="C594" s="56" t="n"/>
      <c r="D594" s="54" t="n"/>
      <c r="E594" s="57" t="str">
        <f>IF(D594="","",IF(A594="BL",IFERROR(INDEX(cl_name,MATCH(D594,cl_code,0))&amp;"","Client inconnu"),IF(A594="BR",IFERROR(INDEX(fo_name,MATCH(D594,fo_code,0))&amp;"","Fournisseur inconnu"),IF(A594="BS",IF(ISNA(MATCH(D594,p_services,0)),"Service inconnu",D594&amp;""),""))))</f>
        <v/>
      </c>
      <c r="F594" s="58" t="n"/>
      <c r="G594" s="58" t="n"/>
      <c r="H594" s="59" t="n"/>
      <c r="I594" s="57" t="str">
        <f>IF(H594="","",IFERROR(INDEX(art_des,MATCH(H594,art_ref,0))&amp;"","Article inconnu"))</f>
        <v/>
      </c>
      <c r="J594" s="60" t="str">
        <f>IF(H594="","",IFERROR(INDEX(art_unit,MATCH(H594,art_ref,0))&amp;"",""))</f>
        <v/>
      </c>
      <c r="K594" s="59" t="n"/>
      <c r="L594" s="59" t="n"/>
      <c r="M594" s="61" t="str">
        <f>IF(OR(B594="",NOT(ISNUMBER(K594)),NOT(ISNUMBER(L594))),"",IF(OR(K594&lt;=0,L594&lt;=0),"",ROUND(L594-K594,6)))</f>
        <v/>
      </c>
      <c r="N594" s="58" t="n"/>
      <c r="O594" s="62" t="n"/>
      <c r="P594" s="63" t="str">
        <f>IF(OR(B594="",NOT(ISNUMBER(L594))),"",IF(L594&lt;=0,"",IFERROR(ROUND(L594*N(INDEX(art_w,MATCH(H594,art_ref,0))),3),"")))</f>
        <v/>
      </c>
      <c r="Q594" s="59" t="n"/>
      <c r="R594" s="54" t="n"/>
      <c r="S594" s="59" t="n"/>
      <c r="T594" s="59" t="n"/>
      <c r="U594" s="64" t="str">
        <f>IF(OR(B594="",H594=""),"",IFERROR(IF(A594="BL",IF(N(INDEX(art_price,MATCH(H594,art_ref,0)))=0,"",N(INDEX(art_price,MATCH(H594,art_ref,0)))),IF(N(INDEX(art_cost,MATCH(H594,art_ref,0)))=0,"",N(INDEX(art_cost,MATCH(H594,art_ref,0))))),""))</f>
        <v/>
      </c>
      <c r="V594" s="64" t="str">
        <f>IF(OR(U594="",NOT(ISNUMBER(L594))),"",IF(L594&lt;=0,"",ROUND(L594*U594,2)))</f>
        <v/>
      </c>
      <c r="W594" s="60" t="str">
        <f>IF(AND(B594&lt;&gt;"",A594&lt;&gt;"BS",F594&lt;&gt;"",H594&lt;&gt;"",ISNUMBER(K594),ISNUMBER(L594)),IF(AND(K594&gt;0,L594&gt;0,K594-L594&gt;0,COUNTIFS(A595:A$2005,A594,F595:F$2005,F594,H595:H$2005,H594,AA595:AA$2005,"&gt;0")=0),ROUND(K594-L594,6),""),"")</f>
        <v/>
      </c>
      <c r="X594" s="60" t="str">
        <f>IF(AND(A594="",C594="",D594="",H594="",L594=""),"",IF(A594="","Type manquant",IF(AND(A594&lt;&gt;"BL",A594&lt;&gt;"BR",A594&lt;&gt;"BS"),"Type inconnu (BL, BR ou BS)",IF(AG594=0,"Date manquante ou invalide",IF(D594="",IF(A594="BL","Client manquant",IF(A594="BR","Fournisseur manquant","Service manquant")),IF(IF(A594="BL",ISNA(MATCH(D594,cl_code,0)),IF(A594="BR",ISNA(MATCH(D594,fo_code,0)),ISNA(MATCH(D594,p_services,0)))),IF(A594="BL","Client inconnu",IF(A594="BR","Fournisseur inconnu","Service inconnu")),IF(H594="","Article manquant",IF(ISNA(MATCH(H594,art_ref,0)),"Article inconnu",IF(OR(NOT(ISNUMBER(L594)),N(L594)&lt;=0),"Quantité invalide",IF(AND(K594&lt;&gt;"",OR(NOT(ISNUMBER(K594)),N(K594)&lt;=0)),"Qté commandée invalide",IF(AG594&lt;SUMPRODUCT(MAX((A$6:A593=A594)*AG$6:AG593)),"Date antérieure au bon précédent",IF(AND(A594&lt;&gt;"BR",ISNUMBER(M594),N(M594)&gt;0),IF(A594="BL","Livré plus que commandé","Sorti plus que demandé"),"OK"))))))))))))</f>
        <v/>
      </c>
      <c r="Y594" s="57" t="str">
        <f>IF(AND(OR(A594="BL",A594="BR",A594="BS"),AG594&gt;0,D594&lt;&gt;""),A594&amp;"|"&amp;AG594&amp;"|"&amp;D594&amp;"|"&amp;F594,"")</f>
        <v/>
      </c>
      <c r="Z594" s="57" t="str">
        <f>IF(Y594="","",IF(COUNTIF(Y$6:Y593,Y594)=0,1,0))</f>
        <v/>
      </c>
      <c r="AA594" s="57" t="str">
        <f>IF(Y594="","",IF(Z594=1,COUNTIFS(A$6:A594,A594,Z$6:Z594,1),INDEX(AA$6:AA593,MATCH(Y594,Y$6:Y593,0))))</f>
        <v/>
      </c>
      <c r="AB594" s="57" t="str">
        <f>IF(B594="","",COUNTIF(B$6:B594,B594))</f>
        <v/>
      </c>
      <c r="AC594" s="57" t="str">
        <f>IF(B594="","",B594&amp;"#"&amp;AB594)</f>
        <v/>
      </c>
      <c r="AD594" s="57" t="str">
        <f>IF(Z594=1,A594&amp;AA594,"")</f>
        <v/>
      </c>
      <c r="AE594" s="57" t="str">
        <f>IF(B594="","",YEAR(C594))</f>
        <v/>
      </c>
      <c r="AF594" s="57" t="str">
        <f>IF(B594="","",MONTH(C594))</f>
        <v/>
      </c>
      <c r="AG594" s="57">
        <f>IF(ISNUMBER(C594),C594,0)</f>
        <v>0.0</v>
      </c>
      <c r="AH594" s="57" t="str">
        <f>IF(N(W594)&gt;0,COUNTIF(W$6:W594,"&gt;0"),"")</f>
        <v/>
      </c>
      <c r="AI594" s="57" t="str">
        <f>IF(Z594=1,COUNTIF(Z$6:Z594,1),"")</f>
        <v/>
      </c>
    </row>
    <row r="595">
      <c r="A595" s="54" t="n"/>
      <c r="B595" s="55" t="str">
        <f>IF(AA595="","",A595&amp;"-"&amp;RIGHT("000"&amp;AA595,4))</f>
        <v/>
      </c>
      <c r="C595" s="56" t="n"/>
      <c r="D595" s="54" t="n"/>
      <c r="E595" s="57" t="str">
        <f>IF(D595="","",IF(A595="BL",IFERROR(INDEX(cl_name,MATCH(D595,cl_code,0))&amp;"","Client inconnu"),IF(A595="BR",IFERROR(INDEX(fo_name,MATCH(D595,fo_code,0))&amp;"","Fournisseur inconnu"),IF(A595="BS",IF(ISNA(MATCH(D595,p_services,0)),"Service inconnu",D595&amp;""),""))))</f>
        <v/>
      </c>
      <c r="F595" s="58" t="n"/>
      <c r="G595" s="58" t="n"/>
      <c r="H595" s="59" t="n"/>
      <c r="I595" s="57" t="str">
        <f>IF(H595="","",IFERROR(INDEX(art_des,MATCH(H595,art_ref,0))&amp;"","Article inconnu"))</f>
        <v/>
      </c>
      <c r="J595" s="60" t="str">
        <f>IF(H595="","",IFERROR(INDEX(art_unit,MATCH(H595,art_ref,0))&amp;"",""))</f>
        <v/>
      </c>
      <c r="K595" s="59" t="n"/>
      <c r="L595" s="59" t="n"/>
      <c r="M595" s="61" t="str">
        <f>IF(OR(B595="",NOT(ISNUMBER(K595)),NOT(ISNUMBER(L595))),"",IF(OR(K595&lt;=0,L595&lt;=0),"",ROUND(L595-K595,6)))</f>
        <v/>
      </c>
      <c r="N595" s="58" t="n"/>
      <c r="O595" s="62" t="n"/>
      <c r="P595" s="63" t="str">
        <f>IF(OR(B595="",NOT(ISNUMBER(L595))),"",IF(L595&lt;=0,"",IFERROR(ROUND(L595*N(INDEX(art_w,MATCH(H595,art_ref,0))),3),"")))</f>
        <v/>
      </c>
      <c r="Q595" s="59" t="n"/>
      <c r="R595" s="54" t="n"/>
      <c r="S595" s="59" t="n"/>
      <c r="T595" s="59" t="n"/>
      <c r="U595" s="64" t="str">
        <f>IF(OR(B595="",H595=""),"",IFERROR(IF(A595="BL",IF(N(INDEX(art_price,MATCH(H595,art_ref,0)))=0,"",N(INDEX(art_price,MATCH(H595,art_ref,0)))),IF(N(INDEX(art_cost,MATCH(H595,art_ref,0)))=0,"",N(INDEX(art_cost,MATCH(H595,art_ref,0))))),""))</f>
        <v/>
      </c>
      <c r="V595" s="64" t="str">
        <f>IF(OR(U595="",NOT(ISNUMBER(L595))),"",IF(L595&lt;=0,"",ROUND(L595*U595,2)))</f>
        <v/>
      </c>
      <c r="W595" s="60" t="str">
        <f>IF(AND(B595&lt;&gt;"",A595&lt;&gt;"BS",F595&lt;&gt;"",H595&lt;&gt;"",ISNUMBER(K595),ISNUMBER(L595)),IF(AND(K595&gt;0,L595&gt;0,K595-L595&gt;0,COUNTIFS(A596:A$2005,A595,F596:F$2005,F595,H596:H$2005,H595,AA596:AA$2005,"&gt;0")=0),ROUND(K595-L595,6),""),"")</f>
        <v/>
      </c>
      <c r="X595" s="60" t="str">
        <f>IF(AND(A595="",C595="",D595="",H595="",L595=""),"",IF(A595="","Type manquant",IF(AND(A595&lt;&gt;"BL",A595&lt;&gt;"BR",A595&lt;&gt;"BS"),"Type inconnu (BL, BR ou BS)",IF(AG595=0,"Date manquante ou invalide",IF(D595="",IF(A595="BL","Client manquant",IF(A595="BR","Fournisseur manquant","Service manquant")),IF(IF(A595="BL",ISNA(MATCH(D595,cl_code,0)),IF(A595="BR",ISNA(MATCH(D595,fo_code,0)),ISNA(MATCH(D595,p_services,0)))),IF(A595="BL","Client inconnu",IF(A595="BR","Fournisseur inconnu","Service inconnu")),IF(H595="","Article manquant",IF(ISNA(MATCH(H595,art_ref,0)),"Article inconnu",IF(OR(NOT(ISNUMBER(L595)),N(L595)&lt;=0),"Quantité invalide",IF(AND(K595&lt;&gt;"",OR(NOT(ISNUMBER(K595)),N(K595)&lt;=0)),"Qté commandée invalide",IF(AG595&lt;SUMPRODUCT(MAX((A$6:A594=A595)*AG$6:AG594)),"Date antérieure au bon précédent",IF(AND(A595&lt;&gt;"BR",ISNUMBER(M595),N(M595)&gt;0),IF(A595="BL","Livré plus que commandé","Sorti plus que demandé"),"OK"))))))))))))</f>
        <v/>
      </c>
      <c r="Y595" s="57" t="str">
        <f>IF(AND(OR(A595="BL",A595="BR",A595="BS"),AG595&gt;0,D595&lt;&gt;""),A595&amp;"|"&amp;AG595&amp;"|"&amp;D595&amp;"|"&amp;F595,"")</f>
        <v/>
      </c>
      <c r="Z595" s="57" t="str">
        <f>IF(Y595="","",IF(COUNTIF(Y$6:Y594,Y595)=0,1,0))</f>
        <v/>
      </c>
      <c r="AA595" s="57" t="str">
        <f>IF(Y595="","",IF(Z595=1,COUNTIFS(A$6:A595,A595,Z$6:Z595,1),INDEX(AA$6:AA594,MATCH(Y595,Y$6:Y594,0))))</f>
        <v/>
      </c>
      <c r="AB595" s="57" t="str">
        <f>IF(B595="","",COUNTIF(B$6:B595,B595))</f>
        <v/>
      </c>
      <c r="AC595" s="57" t="str">
        <f>IF(B595="","",B595&amp;"#"&amp;AB595)</f>
        <v/>
      </c>
      <c r="AD595" s="57" t="str">
        <f>IF(Z595=1,A595&amp;AA595,"")</f>
        <v/>
      </c>
      <c r="AE595" s="57" t="str">
        <f>IF(B595="","",YEAR(C595))</f>
        <v/>
      </c>
      <c r="AF595" s="57" t="str">
        <f>IF(B595="","",MONTH(C595))</f>
        <v/>
      </c>
      <c r="AG595" s="57">
        <f>IF(ISNUMBER(C595),C595,0)</f>
        <v>0.0</v>
      </c>
      <c r="AH595" s="57" t="str">
        <f>IF(N(W595)&gt;0,COUNTIF(W$6:W595,"&gt;0"),"")</f>
        <v/>
      </c>
      <c r="AI595" s="57" t="str">
        <f>IF(Z595=1,COUNTIF(Z$6:Z595,1),"")</f>
        <v/>
      </c>
    </row>
    <row r="596">
      <c r="A596" s="54" t="n"/>
      <c r="B596" s="55" t="str">
        <f>IF(AA596="","",A596&amp;"-"&amp;RIGHT("000"&amp;AA596,4))</f>
        <v/>
      </c>
      <c r="C596" s="56" t="n"/>
      <c r="D596" s="54" t="n"/>
      <c r="E596" s="57" t="str">
        <f>IF(D596="","",IF(A596="BL",IFERROR(INDEX(cl_name,MATCH(D596,cl_code,0))&amp;"","Client inconnu"),IF(A596="BR",IFERROR(INDEX(fo_name,MATCH(D596,fo_code,0))&amp;"","Fournisseur inconnu"),IF(A596="BS",IF(ISNA(MATCH(D596,p_services,0)),"Service inconnu",D596&amp;""),""))))</f>
        <v/>
      </c>
      <c r="F596" s="58" t="n"/>
      <c r="G596" s="58" t="n"/>
      <c r="H596" s="59" t="n"/>
      <c r="I596" s="57" t="str">
        <f>IF(H596="","",IFERROR(INDEX(art_des,MATCH(H596,art_ref,0))&amp;"","Article inconnu"))</f>
        <v/>
      </c>
      <c r="J596" s="60" t="str">
        <f>IF(H596="","",IFERROR(INDEX(art_unit,MATCH(H596,art_ref,0))&amp;"",""))</f>
        <v/>
      </c>
      <c r="K596" s="59" t="n"/>
      <c r="L596" s="59" t="n"/>
      <c r="M596" s="61" t="str">
        <f>IF(OR(B596="",NOT(ISNUMBER(K596)),NOT(ISNUMBER(L596))),"",IF(OR(K596&lt;=0,L596&lt;=0),"",ROUND(L596-K596,6)))</f>
        <v/>
      </c>
      <c r="N596" s="58" t="n"/>
      <c r="O596" s="62" t="n"/>
      <c r="P596" s="63" t="str">
        <f>IF(OR(B596="",NOT(ISNUMBER(L596))),"",IF(L596&lt;=0,"",IFERROR(ROUND(L596*N(INDEX(art_w,MATCH(H596,art_ref,0))),3),"")))</f>
        <v/>
      </c>
      <c r="Q596" s="59" t="n"/>
      <c r="R596" s="54" t="n"/>
      <c r="S596" s="59" t="n"/>
      <c r="T596" s="59" t="n"/>
      <c r="U596" s="64" t="str">
        <f>IF(OR(B596="",H596=""),"",IFERROR(IF(A596="BL",IF(N(INDEX(art_price,MATCH(H596,art_ref,0)))=0,"",N(INDEX(art_price,MATCH(H596,art_ref,0)))),IF(N(INDEX(art_cost,MATCH(H596,art_ref,0)))=0,"",N(INDEX(art_cost,MATCH(H596,art_ref,0))))),""))</f>
        <v/>
      </c>
      <c r="V596" s="64" t="str">
        <f>IF(OR(U596="",NOT(ISNUMBER(L596))),"",IF(L596&lt;=0,"",ROUND(L596*U596,2)))</f>
        <v/>
      </c>
      <c r="W596" s="60" t="str">
        <f>IF(AND(B596&lt;&gt;"",A596&lt;&gt;"BS",F596&lt;&gt;"",H596&lt;&gt;"",ISNUMBER(K596),ISNUMBER(L596)),IF(AND(K596&gt;0,L596&gt;0,K596-L596&gt;0,COUNTIFS(A597:A$2005,A596,F597:F$2005,F596,H597:H$2005,H596,AA597:AA$2005,"&gt;0")=0),ROUND(K596-L596,6),""),"")</f>
        <v/>
      </c>
      <c r="X596" s="60" t="str">
        <f>IF(AND(A596="",C596="",D596="",H596="",L596=""),"",IF(A596="","Type manquant",IF(AND(A596&lt;&gt;"BL",A596&lt;&gt;"BR",A596&lt;&gt;"BS"),"Type inconnu (BL, BR ou BS)",IF(AG596=0,"Date manquante ou invalide",IF(D596="",IF(A596="BL","Client manquant",IF(A596="BR","Fournisseur manquant","Service manquant")),IF(IF(A596="BL",ISNA(MATCH(D596,cl_code,0)),IF(A596="BR",ISNA(MATCH(D596,fo_code,0)),ISNA(MATCH(D596,p_services,0)))),IF(A596="BL","Client inconnu",IF(A596="BR","Fournisseur inconnu","Service inconnu")),IF(H596="","Article manquant",IF(ISNA(MATCH(H596,art_ref,0)),"Article inconnu",IF(OR(NOT(ISNUMBER(L596)),N(L596)&lt;=0),"Quantité invalide",IF(AND(K596&lt;&gt;"",OR(NOT(ISNUMBER(K596)),N(K596)&lt;=0)),"Qté commandée invalide",IF(AG596&lt;SUMPRODUCT(MAX((A$6:A595=A596)*AG$6:AG595)),"Date antérieure au bon précédent",IF(AND(A596&lt;&gt;"BR",ISNUMBER(M596),N(M596)&gt;0),IF(A596="BL","Livré plus que commandé","Sorti plus que demandé"),"OK"))))))))))))</f>
        <v/>
      </c>
      <c r="Y596" s="57" t="str">
        <f>IF(AND(OR(A596="BL",A596="BR",A596="BS"),AG596&gt;0,D596&lt;&gt;""),A596&amp;"|"&amp;AG596&amp;"|"&amp;D596&amp;"|"&amp;F596,"")</f>
        <v/>
      </c>
      <c r="Z596" s="57" t="str">
        <f>IF(Y596="","",IF(COUNTIF(Y$6:Y595,Y596)=0,1,0))</f>
        <v/>
      </c>
      <c r="AA596" s="57" t="str">
        <f>IF(Y596="","",IF(Z596=1,COUNTIFS(A$6:A596,A596,Z$6:Z596,1),INDEX(AA$6:AA595,MATCH(Y596,Y$6:Y595,0))))</f>
        <v/>
      </c>
      <c r="AB596" s="57" t="str">
        <f>IF(B596="","",COUNTIF(B$6:B596,B596))</f>
        <v/>
      </c>
      <c r="AC596" s="57" t="str">
        <f>IF(B596="","",B596&amp;"#"&amp;AB596)</f>
        <v/>
      </c>
      <c r="AD596" s="57" t="str">
        <f>IF(Z596=1,A596&amp;AA596,"")</f>
        <v/>
      </c>
      <c r="AE596" s="57" t="str">
        <f>IF(B596="","",YEAR(C596))</f>
        <v/>
      </c>
      <c r="AF596" s="57" t="str">
        <f>IF(B596="","",MONTH(C596))</f>
        <v/>
      </c>
      <c r="AG596" s="57">
        <f>IF(ISNUMBER(C596),C596,0)</f>
        <v>0.0</v>
      </c>
      <c r="AH596" s="57" t="str">
        <f>IF(N(W596)&gt;0,COUNTIF(W$6:W596,"&gt;0"),"")</f>
        <v/>
      </c>
      <c r="AI596" s="57" t="str">
        <f>IF(Z596=1,COUNTIF(Z$6:Z596,1),"")</f>
        <v/>
      </c>
    </row>
    <row r="597">
      <c r="A597" s="54" t="n"/>
      <c r="B597" s="55" t="str">
        <f>IF(AA597="","",A597&amp;"-"&amp;RIGHT("000"&amp;AA597,4))</f>
        <v/>
      </c>
      <c r="C597" s="56" t="n"/>
      <c r="D597" s="54" t="n"/>
      <c r="E597" s="57" t="str">
        <f>IF(D597="","",IF(A597="BL",IFERROR(INDEX(cl_name,MATCH(D597,cl_code,0))&amp;"","Client inconnu"),IF(A597="BR",IFERROR(INDEX(fo_name,MATCH(D597,fo_code,0))&amp;"","Fournisseur inconnu"),IF(A597="BS",IF(ISNA(MATCH(D597,p_services,0)),"Service inconnu",D597&amp;""),""))))</f>
        <v/>
      </c>
      <c r="F597" s="58" t="n"/>
      <c r="G597" s="58" t="n"/>
      <c r="H597" s="59" t="n"/>
      <c r="I597" s="57" t="str">
        <f>IF(H597="","",IFERROR(INDEX(art_des,MATCH(H597,art_ref,0))&amp;"","Article inconnu"))</f>
        <v/>
      </c>
      <c r="J597" s="60" t="str">
        <f>IF(H597="","",IFERROR(INDEX(art_unit,MATCH(H597,art_ref,0))&amp;"",""))</f>
        <v/>
      </c>
      <c r="K597" s="59" t="n"/>
      <c r="L597" s="59" t="n"/>
      <c r="M597" s="61" t="str">
        <f>IF(OR(B597="",NOT(ISNUMBER(K597)),NOT(ISNUMBER(L597))),"",IF(OR(K597&lt;=0,L597&lt;=0),"",ROUND(L597-K597,6)))</f>
        <v/>
      </c>
      <c r="N597" s="58" t="n"/>
      <c r="O597" s="62" t="n"/>
      <c r="P597" s="63" t="str">
        <f>IF(OR(B597="",NOT(ISNUMBER(L597))),"",IF(L597&lt;=0,"",IFERROR(ROUND(L597*N(INDEX(art_w,MATCH(H597,art_ref,0))),3),"")))</f>
        <v/>
      </c>
      <c r="Q597" s="59" t="n"/>
      <c r="R597" s="54" t="n"/>
      <c r="S597" s="59" t="n"/>
      <c r="T597" s="59" t="n"/>
      <c r="U597" s="64" t="str">
        <f>IF(OR(B597="",H597=""),"",IFERROR(IF(A597="BL",IF(N(INDEX(art_price,MATCH(H597,art_ref,0)))=0,"",N(INDEX(art_price,MATCH(H597,art_ref,0)))),IF(N(INDEX(art_cost,MATCH(H597,art_ref,0)))=0,"",N(INDEX(art_cost,MATCH(H597,art_ref,0))))),""))</f>
        <v/>
      </c>
      <c r="V597" s="64" t="str">
        <f>IF(OR(U597="",NOT(ISNUMBER(L597))),"",IF(L597&lt;=0,"",ROUND(L597*U597,2)))</f>
        <v/>
      </c>
      <c r="W597" s="60" t="str">
        <f>IF(AND(B597&lt;&gt;"",A597&lt;&gt;"BS",F597&lt;&gt;"",H597&lt;&gt;"",ISNUMBER(K597),ISNUMBER(L597)),IF(AND(K597&gt;0,L597&gt;0,K597-L597&gt;0,COUNTIFS(A598:A$2005,A597,F598:F$2005,F597,H598:H$2005,H597,AA598:AA$2005,"&gt;0")=0),ROUND(K597-L597,6),""),"")</f>
        <v/>
      </c>
      <c r="X597" s="60" t="str">
        <f>IF(AND(A597="",C597="",D597="",H597="",L597=""),"",IF(A597="","Type manquant",IF(AND(A597&lt;&gt;"BL",A597&lt;&gt;"BR",A597&lt;&gt;"BS"),"Type inconnu (BL, BR ou BS)",IF(AG597=0,"Date manquante ou invalide",IF(D597="",IF(A597="BL","Client manquant",IF(A597="BR","Fournisseur manquant","Service manquant")),IF(IF(A597="BL",ISNA(MATCH(D597,cl_code,0)),IF(A597="BR",ISNA(MATCH(D597,fo_code,0)),ISNA(MATCH(D597,p_services,0)))),IF(A597="BL","Client inconnu",IF(A597="BR","Fournisseur inconnu","Service inconnu")),IF(H597="","Article manquant",IF(ISNA(MATCH(H597,art_ref,0)),"Article inconnu",IF(OR(NOT(ISNUMBER(L597)),N(L597)&lt;=0),"Quantité invalide",IF(AND(K597&lt;&gt;"",OR(NOT(ISNUMBER(K597)),N(K597)&lt;=0)),"Qté commandée invalide",IF(AG597&lt;SUMPRODUCT(MAX((A$6:A596=A597)*AG$6:AG596)),"Date antérieure au bon précédent",IF(AND(A597&lt;&gt;"BR",ISNUMBER(M597),N(M597)&gt;0),IF(A597="BL","Livré plus que commandé","Sorti plus que demandé"),"OK"))))))))))))</f>
        <v/>
      </c>
      <c r="Y597" s="57" t="str">
        <f>IF(AND(OR(A597="BL",A597="BR",A597="BS"),AG597&gt;0,D597&lt;&gt;""),A597&amp;"|"&amp;AG597&amp;"|"&amp;D597&amp;"|"&amp;F597,"")</f>
        <v/>
      </c>
      <c r="Z597" s="57" t="str">
        <f>IF(Y597="","",IF(COUNTIF(Y$6:Y596,Y597)=0,1,0))</f>
        <v/>
      </c>
      <c r="AA597" s="57" t="str">
        <f>IF(Y597="","",IF(Z597=1,COUNTIFS(A$6:A597,A597,Z$6:Z597,1),INDEX(AA$6:AA596,MATCH(Y597,Y$6:Y596,0))))</f>
        <v/>
      </c>
      <c r="AB597" s="57" t="str">
        <f>IF(B597="","",COUNTIF(B$6:B597,B597))</f>
        <v/>
      </c>
      <c r="AC597" s="57" t="str">
        <f>IF(B597="","",B597&amp;"#"&amp;AB597)</f>
        <v/>
      </c>
      <c r="AD597" s="57" t="str">
        <f>IF(Z597=1,A597&amp;AA597,"")</f>
        <v/>
      </c>
      <c r="AE597" s="57" t="str">
        <f>IF(B597="","",YEAR(C597))</f>
        <v/>
      </c>
      <c r="AF597" s="57" t="str">
        <f>IF(B597="","",MONTH(C597))</f>
        <v/>
      </c>
      <c r="AG597" s="57">
        <f>IF(ISNUMBER(C597),C597,0)</f>
        <v>0.0</v>
      </c>
      <c r="AH597" s="57" t="str">
        <f>IF(N(W597)&gt;0,COUNTIF(W$6:W597,"&gt;0"),"")</f>
        <v/>
      </c>
      <c r="AI597" s="57" t="str">
        <f>IF(Z597=1,COUNTIF(Z$6:Z597,1),"")</f>
        <v/>
      </c>
    </row>
    <row r="598">
      <c r="A598" s="54" t="n"/>
      <c r="B598" s="55" t="str">
        <f>IF(AA598="","",A598&amp;"-"&amp;RIGHT("000"&amp;AA598,4))</f>
        <v/>
      </c>
      <c r="C598" s="56" t="n"/>
      <c r="D598" s="54" t="n"/>
      <c r="E598" s="57" t="str">
        <f>IF(D598="","",IF(A598="BL",IFERROR(INDEX(cl_name,MATCH(D598,cl_code,0))&amp;"","Client inconnu"),IF(A598="BR",IFERROR(INDEX(fo_name,MATCH(D598,fo_code,0))&amp;"","Fournisseur inconnu"),IF(A598="BS",IF(ISNA(MATCH(D598,p_services,0)),"Service inconnu",D598&amp;""),""))))</f>
        <v/>
      </c>
      <c r="F598" s="58" t="n"/>
      <c r="G598" s="58" t="n"/>
      <c r="H598" s="59" t="n"/>
      <c r="I598" s="57" t="str">
        <f>IF(H598="","",IFERROR(INDEX(art_des,MATCH(H598,art_ref,0))&amp;"","Article inconnu"))</f>
        <v/>
      </c>
      <c r="J598" s="60" t="str">
        <f>IF(H598="","",IFERROR(INDEX(art_unit,MATCH(H598,art_ref,0))&amp;"",""))</f>
        <v/>
      </c>
      <c r="K598" s="59" t="n"/>
      <c r="L598" s="59" t="n"/>
      <c r="M598" s="61" t="str">
        <f>IF(OR(B598="",NOT(ISNUMBER(K598)),NOT(ISNUMBER(L598))),"",IF(OR(K598&lt;=0,L598&lt;=0),"",ROUND(L598-K598,6)))</f>
        <v/>
      </c>
      <c r="N598" s="58" t="n"/>
      <c r="O598" s="62" t="n"/>
      <c r="P598" s="63" t="str">
        <f>IF(OR(B598="",NOT(ISNUMBER(L598))),"",IF(L598&lt;=0,"",IFERROR(ROUND(L598*N(INDEX(art_w,MATCH(H598,art_ref,0))),3),"")))</f>
        <v/>
      </c>
      <c r="Q598" s="59" t="n"/>
      <c r="R598" s="54" t="n"/>
      <c r="S598" s="59" t="n"/>
      <c r="T598" s="59" t="n"/>
      <c r="U598" s="64" t="str">
        <f>IF(OR(B598="",H598=""),"",IFERROR(IF(A598="BL",IF(N(INDEX(art_price,MATCH(H598,art_ref,0)))=0,"",N(INDEX(art_price,MATCH(H598,art_ref,0)))),IF(N(INDEX(art_cost,MATCH(H598,art_ref,0)))=0,"",N(INDEX(art_cost,MATCH(H598,art_ref,0))))),""))</f>
        <v/>
      </c>
      <c r="V598" s="64" t="str">
        <f>IF(OR(U598="",NOT(ISNUMBER(L598))),"",IF(L598&lt;=0,"",ROUND(L598*U598,2)))</f>
        <v/>
      </c>
      <c r="W598" s="60" t="str">
        <f>IF(AND(B598&lt;&gt;"",A598&lt;&gt;"BS",F598&lt;&gt;"",H598&lt;&gt;"",ISNUMBER(K598),ISNUMBER(L598)),IF(AND(K598&gt;0,L598&gt;0,K598-L598&gt;0,COUNTIFS(A599:A$2005,A598,F599:F$2005,F598,H599:H$2005,H598,AA599:AA$2005,"&gt;0")=0),ROUND(K598-L598,6),""),"")</f>
        <v/>
      </c>
      <c r="X598" s="60" t="str">
        <f>IF(AND(A598="",C598="",D598="",H598="",L598=""),"",IF(A598="","Type manquant",IF(AND(A598&lt;&gt;"BL",A598&lt;&gt;"BR",A598&lt;&gt;"BS"),"Type inconnu (BL, BR ou BS)",IF(AG598=0,"Date manquante ou invalide",IF(D598="",IF(A598="BL","Client manquant",IF(A598="BR","Fournisseur manquant","Service manquant")),IF(IF(A598="BL",ISNA(MATCH(D598,cl_code,0)),IF(A598="BR",ISNA(MATCH(D598,fo_code,0)),ISNA(MATCH(D598,p_services,0)))),IF(A598="BL","Client inconnu",IF(A598="BR","Fournisseur inconnu","Service inconnu")),IF(H598="","Article manquant",IF(ISNA(MATCH(H598,art_ref,0)),"Article inconnu",IF(OR(NOT(ISNUMBER(L598)),N(L598)&lt;=0),"Quantité invalide",IF(AND(K598&lt;&gt;"",OR(NOT(ISNUMBER(K598)),N(K598)&lt;=0)),"Qté commandée invalide",IF(AG598&lt;SUMPRODUCT(MAX((A$6:A597=A598)*AG$6:AG597)),"Date antérieure au bon précédent",IF(AND(A598&lt;&gt;"BR",ISNUMBER(M598),N(M598)&gt;0),IF(A598="BL","Livré plus que commandé","Sorti plus que demandé"),"OK"))))))))))))</f>
        <v/>
      </c>
      <c r="Y598" s="57" t="str">
        <f>IF(AND(OR(A598="BL",A598="BR",A598="BS"),AG598&gt;0,D598&lt;&gt;""),A598&amp;"|"&amp;AG598&amp;"|"&amp;D598&amp;"|"&amp;F598,"")</f>
        <v/>
      </c>
      <c r="Z598" s="57" t="str">
        <f>IF(Y598="","",IF(COUNTIF(Y$6:Y597,Y598)=0,1,0))</f>
        <v/>
      </c>
      <c r="AA598" s="57" t="str">
        <f>IF(Y598="","",IF(Z598=1,COUNTIFS(A$6:A598,A598,Z$6:Z598,1),INDEX(AA$6:AA597,MATCH(Y598,Y$6:Y597,0))))</f>
        <v/>
      </c>
      <c r="AB598" s="57" t="str">
        <f>IF(B598="","",COUNTIF(B$6:B598,B598))</f>
        <v/>
      </c>
      <c r="AC598" s="57" t="str">
        <f>IF(B598="","",B598&amp;"#"&amp;AB598)</f>
        <v/>
      </c>
      <c r="AD598" s="57" t="str">
        <f>IF(Z598=1,A598&amp;AA598,"")</f>
        <v/>
      </c>
      <c r="AE598" s="57" t="str">
        <f>IF(B598="","",YEAR(C598))</f>
        <v/>
      </c>
      <c r="AF598" s="57" t="str">
        <f>IF(B598="","",MONTH(C598))</f>
        <v/>
      </c>
      <c r="AG598" s="57">
        <f>IF(ISNUMBER(C598),C598,0)</f>
        <v>0.0</v>
      </c>
      <c r="AH598" s="57" t="str">
        <f>IF(N(W598)&gt;0,COUNTIF(W$6:W598,"&gt;0"),"")</f>
        <v/>
      </c>
      <c r="AI598" s="57" t="str">
        <f>IF(Z598=1,COUNTIF(Z$6:Z598,1),"")</f>
        <v/>
      </c>
    </row>
    <row r="599">
      <c r="A599" s="54" t="n"/>
      <c r="B599" s="55" t="str">
        <f>IF(AA599="","",A599&amp;"-"&amp;RIGHT("000"&amp;AA599,4))</f>
        <v/>
      </c>
      <c r="C599" s="56" t="n"/>
      <c r="D599" s="54" t="n"/>
      <c r="E599" s="57" t="str">
        <f>IF(D599="","",IF(A599="BL",IFERROR(INDEX(cl_name,MATCH(D599,cl_code,0))&amp;"","Client inconnu"),IF(A599="BR",IFERROR(INDEX(fo_name,MATCH(D599,fo_code,0))&amp;"","Fournisseur inconnu"),IF(A599="BS",IF(ISNA(MATCH(D599,p_services,0)),"Service inconnu",D599&amp;""),""))))</f>
        <v/>
      </c>
      <c r="F599" s="58" t="n"/>
      <c r="G599" s="58" t="n"/>
      <c r="H599" s="59" t="n"/>
      <c r="I599" s="57" t="str">
        <f>IF(H599="","",IFERROR(INDEX(art_des,MATCH(H599,art_ref,0))&amp;"","Article inconnu"))</f>
        <v/>
      </c>
      <c r="J599" s="60" t="str">
        <f>IF(H599="","",IFERROR(INDEX(art_unit,MATCH(H599,art_ref,0))&amp;"",""))</f>
        <v/>
      </c>
      <c r="K599" s="59" t="n"/>
      <c r="L599" s="59" t="n"/>
      <c r="M599" s="61" t="str">
        <f>IF(OR(B599="",NOT(ISNUMBER(K599)),NOT(ISNUMBER(L599))),"",IF(OR(K599&lt;=0,L599&lt;=0),"",ROUND(L599-K599,6)))</f>
        <v/>
      </c>
      <c r="N599" s="58" t="n"/>
      <c r="O599" s="62" t="n"/>
      <c r="P599" s="63" t="str">
        <f>IF(OR(B599="",NOT(ISNUMBER(L599))),"",IF(L599&lt;=0,"",IFERROR(ROUND(L599*N(INDEX(art_w,MATCH(H599,art_ref,0))),3),"")))</f>
        <v/>
      </c>
      <c r="Q599" s="59" t="n"/>
      <c r="R599" s="54" t="n"/>
      <c r="S599" s="59" t="n"/>
      <c r="T599" s="59" t="n"/>
      <c r="U599" s="64" t="str">
        <f>IF(OR(B599="",H599=""),"",IFERROR(IF(A599="BL",IF(N(INDEX(art_price,MATCH(H599,art_ref,0)))=0,"",N(INDEX(art_price,MATCH(H599,art_ref,0)))),IF(N(INDEX(art_cost,MATCH(H599,art_ref,0)))=0,"",N(INDEX(art_cost,MATCH(H599,art_ref,0))))),""))</f>
        <v/>
      </c>
      <c r="V599" s="64" t="str">
        <f>IF(OR(U599="",NOT(ISNUMBER(L599))),"",IF(L599&lt;=0,"",ROUND(L599*U599,2)))</f>
        <v/>
      </c>
      <c r="W599" s="60" t="str">
        <f>IF(AND(B599&lt;&gt;"",A599&lt;&gt;"BS",F599&lt;&gt;"",H599&lt;&gt;"",ISNUMBER(K599),ISNUMBER(L599)),IF(AND(K599&gt;0,L599&gt;0,K599-L599&gt;0,COUNTIFS(A600:A$2005,A599,F600:F$2005,F599,H600:H$2005,H599,AA600:AA$2005,"&gt;0")=0),ROUND(K599-L599,6),""),"")</f>
        <v/>
      </c>
      <c r="X599" s="60" t="str">
        <f>IF(AND(A599="",C599="",D599="",H599="",L599=""),"",IF(A599="","Type manquant",IF(AND(A599&lt;&gt;"BL",A599&lt;&gt;"BR",A599&lt;&gt;"BS"),"Type inconnu (BL, BR ou BS)",IF(AG599=0,"Date manquante ou invalide",IF(D599="",IF(A599="BL","Client manquant",IF(A599="BR","Fournisseur manquant","Service manquant")),IF(IF(A599="BL",ISNA(MATCH(D599,cl_code,0)),IF(A599="BR",ISNA(MATCH(D599,fo_code,0)),ISNA(MATCH(D599,p_services,0)))),IF(A599="BL","Client inconnu",IF(A599="BR","Fournisseur inconnu","Service inconnu")),IF(H599="","Article manquant",IF(ISNA(MATCH(H599,art_ref,0)),"Article inconnu",IF(OR(NOT(ISNUMBER(L599)),N(L599)&lt;=0),"Quantité invalide",IF(AND(K599&lt;&gt;"",OR(NOT(ISNUMBER(K599)),N(K599)&lt;=0)),"Qté commandée invalide",IF(AG599&lt;SUMPRODUCT(MAX((A$6:A598=A599)*AG$6:AG598)),"Date antérieure au bon précédent",IF(AND(A599&lt;&gt;"BR",ISNUMBER(M599),N(M599)&gt;0),IF(A599="BL","Livré plus que commandé","Sorti plus que demandé"),"OK"))))))))))))</f>
        <v/>
      </c>
      <c r="Y599" s="57" t="str">
        <f>IF(AND(OR(A599="BL",A599="BR",A599="BS"),AG599&gt;0,D599&lt;&gt;""),A599&amp;"|"&amp;AG599&amp;"|"&amp;D599&amp;"|"&amp;F599,"")</f>
        <v/>
      </c>
      <c r="Z599" s="57" t="str">
        <f>IF(Y599="","",IF(COUNTIF(Y$6:Y598,Y599)=0,1,0))</f>
        <v/>
      </c>
      <c r="AA599" s="57" t="str">
        <f>IF(Y599="","",IF(Z599=1,COUNTIFS(A$6:A599,A599,Z$6:Z599,1),INDEX(AA$6:AA598,MATCH(Y599,Y$6:Y598,0))))</f>
        <v/>
      </c>
      <c r="AB599" s="57" t="str">
        <f>IF(B599="","",COUNTIF(B$6:B599,B599))</f>
        <v/>
      </c>
      <c r="AC599" s="57" t="str">
        <f>IF(B599="","",B599&amp;"#"&amp;AB599)</f>
        <v/>
      </c>
      <c r="AD599" s="57" t="str">
        <f>IF(Z599=1,A599&amp;AA599,"")</f>
        <v/>
      </c>
      <c r="AE599" s="57" t="str">
        <f>IF(B599="","",YEAR(C599))</f>
        <v/>
      </c>
      <c r="AF599" s="57" t="str">
        <f>IF(B599="","",MONTH(C599))</f>
        <v/>
      </c>
      <c r="AG599" s="57">
        <f>IF(ISNUMBER(C599),C599,0)</f>
        <v>0.0</v>
      </c>
      <c r="AH599" s="57" t="str">
        <f>IF(N(W599)&gt;0,COUNTIF(W$6:W599,"&gt;0"),"")</f>
        <v/>
      </c>
      <c r="AI599" s="57" t="str">
        <f>IF(Z599=1,COUNTIF(Z$6:Z599,1),"")</f>
        <v/>
      </c>
    </row>
    <row r="600">
      <c r="A600" s="54" t="n"/>
      <c r="B600" s="55" t="str">
        <f>IF(AA600="","",A600&amp;"-"&amp;RIGHT("000"&amp;AA600,4))</f>
        <v/>
      </c>
      <c r="C600" s="56" t="n"/>
      <c r="D600" s="54" t="n"/>
      <c r="E600" s="57" t="str">
        <f>IF(D600="","",IF(A600="BL",IFERROR(INDEX(cl_name,MATCH(D600,cl_code,0))&amp;"","Client inconnu"),IF(A600="BR",IFERROR(INDEX(fo_name,MATCH(D600,fo_code,0))&amp;"","Fournisseur inconnu"),IF(A600="BS",IF(ISNA(MATCH(D600,p_services,0)),"Service inconnu",D600&amp;""),""))))</f>
        <v/>
      </c>
      <c r="F600" s="58" t="n"/>
      <c r="G600" s="58" t="n"/>
      <c r="H600" s="59" t="n"/>
      <c r="I600" s="57" t="str">
        <f>IF(H600="","",IFERROR(INDEX(art_des,MATCH(H600,art_ref,0))&amp;"","Article inconnu"))</f>
        <v/>
      </c>
      <c r="J600" s="60" t="str">
        <f>IF(H600="","",IFERROR(INDEX(art_unit,MATCH(H600,art_ref,0))&amp;"",""))</f>
        <v/>
      </c>
      <c r="K600" s="59" t="n"/>
      <c r="L600" s="59" t="n"/>
      <c r="M600" s="61" t="str">
        <f>IF(OR(B600="",NOT(ISNUMBER(K600)),NOT(ISNUMBER(L600))),"",IF(OR(K600&lt;=0,L600&lt;=0),"",ROUND(L600-K600,6)))</f>
        <v/>
      </c>
      <c r="N600" s="58" t="n"/>
      <c r="O600" s="62" t="n"/>
      <c r="P600" s="63" t="str">
        <f>IF(OR(B600="",NOT(ISNUMBER(L600))),"",IF(L600&lt;=0,"",IFERROR(ROUND(L600*N(INDEX(art_w,MATCH(H600,art_ref,0))),3),"")))</f>
        <v/>
      </c>
      <c r="Q600" s="59" t="n"/>
      <c r="R600" s="54" t="n"/>
      <c r="S600" s="59" t="n"/>
      <c r="T600" s="59" t="n"/>
      <c r="U600" s="64" t="str">
        <f>IF(OR(B600="",H600=""),"",IFERROR(IF(A600="BL",IF(N(INDEX(art_price,MATCH(H600,art_ref,0)))=0,"",N(INDEX(art_price,MATCH(H600,art_ref,0)))),IF(N(INDEX(art_cost,MATCH(H600,art_ref,0)))=0,"",N(INDEX(art_cost,MATCH(H600,art_ref,0))))),""))</f>
        <v/>
      </c>
      <c r="V600" s="64" t="str">
        <f>IF(OR(U600="",NOT(ISNUMBER(L600))),"",IF(L600&lt;=0,"",ROUND(L600*U600,2)))</f>
        <v/>
      </c>
      <c r="W600" s="60" t="str">
        <f>IF(AND(B600&lt;&gt;"",A600&lt;&gt;"BS",F600&lt;&gt;"",H600&lt;&gt;"",ISNUMBER(K600),ISNUMBER(L600)),IF(AND(K600&gt;0,L600&gt;0,K600-L600&gt;0,COUNTIFS(A601:A$2005,A600,F601:F$2005,F600,H601:H$2005,H600,AA601:AA$2005,"&gt;0")=0),ROUND(K600-L600,6),""),"")</f>
        <v/>
      </c>
      <c r="X600" s="60" t="str">
        <f>IF(AND(A600="",C600="",D600="",H600="",L600=""),"",IF(A600="","Type manquant",IF(AND(A600&lt;&gt;"BL",A600&lt;&gt;"BR",A600&lt;&gt;"BS"),"Type inconnu (BL, BR ou BS)",IF(AG600=0,"Date manquante ou invalide",IF(D600="",IF(A600="BL","Client manquant",IF(A600="BR","Fournisseur manquant","Service manquant")),IF(IF(A600="BL",ISNA(MATCH(D600,cl_code,0)),IF(A600="BR",ISNA(MATCH(D600,fo_code,0)),ISNA(MATCH(D600,p_services,0)))),IF(A600="BL","Client inconnu",IF(A600="BR","Fournisseur inconnu","Service inconnu")),IF(H600="","Article manquant",IF(ISNA(MATCH(H600,art_ref,0)),"Article inconnu",IF(OR(NOT(ISNUMBER(L600)),N(L600)&lt;=0),"Quantité invalide",IF(AND(K600&lt;&gt;"",OR(NOT(ISNUMBER(K600)),N(K600)&lt;=0)),"Qté commandée invalide",IF(AG600&lt;SUMPRODUCT(MAX((A$6:A599=A600)*AG$6:AG599)),"Date antérieure au bon précédent",IF(AND(A600&lt;&gt;"BR",ISNUMBER(M600),N(M600)&gt;0),IF(A600="BL","Livré plus que commandé","Sorti plus que demandé"),"OK"))))))))))))</f>
        <v/>
      </c>
      <c r="Y600" s="57" t="str">
        <f>IF(AND(OR(A600="BL",A600="BR",A600="BS"),AG600&gt;0,D600&lt;&gt;""),A600&amp;"|"&amp;AG600&amp;"|"&amp;D600&amp;"|"&amp;F600,"")</f>
        <v/>
      </c>
      <c r="Z600" s="57" t="str">
        <f>IF(Y600="","",IF(COUNTIF(Y$6:Y599,Y600)=0,1,0))</f>
        <v/>
      </c>
      <c r="AA600" s="57" t="str">
        <f>IF(Y600="","",IF(Z600=1,COUNTIFS(A$6:A600,A600,Z$6:Z600,1),INDEX(AA$6:AA599,MATCH(Y600,Y$6:Y599,0))))</f>
        <v/>
      </c>
      <c r="AB600" s="57" t="str">
        <f>IF(B600="","",COUNTIF(B$6:B600,B600))</f>
        <v/>
      </c>
      <c r="AC600" s="57" t="str">
        <f>IF(B600="","",B600&amp;"#"&amp;AB600)</f>
        <v/>
      </c>
      <c r="AD600" s="57" t="str">
        <f>IF(Z600=1,A600&amp;AA600,"")</f>
        <v/>
      </c>
      <c r="AE600" s="57" t="str">
        <f>IF(B600="","",YEAR(C600))</f>
        <v/>
      </c>
      <c r="AF600" s="57" t="str">
        <f>IF(B600="","",MONTH(C600))</f>
        <v/>
      </c>
      <c r="AG600" s="57">
        <f>IF(ISNUMBER(C600),C600,0)</f>
        <v>0.0</v>
      </c>
      <c r="AH600" s="57" t="str">
        <f>IF(N(W600)&gt;0,COUNTIF(W$6:W600,"&gt;0"),"")</f>
        <v/>
      </c>
      <c r="AI600" s="57" t="str">
        <f>IF(Z600=1,COUNTIF(Z$6:Z600,1),"")</f>
        <v/>
      </c>
    </row>
    <row r="601">
      <c r="A601" s="54" t="n"/>
      <c r="B601" s="55" t="str">
        <f>IF(AA601="","",A601&amp;"-"&amp;RIGHT("000"&amp;AA601,4))</f>
        <v/>
      </c>
      <c r="C601" s="56" t="n"/>
      <c r="D601" s="54" t="n"/>
      <c r="E601" s="57" t="str">
        <f>IF(D601="","",IF(A601="BL",IFERROR(INDEX(cl_name,MATCH(D601,cl_code,0))&amp;"","Client inconnu"),IF(A601="BR",IFERROR(INDEX(fo_name,MATCH(D601,fo_code,0))&amp;"","Fournisseur inconnu"),IF(A601="BS",IF(ISNA(MATCH(D601,p_services,0)),"Service inconnu",D601&amp;""),""))))</f>
        <v/>
      </c>
      <c r="F601" s="58" t="n"/>
      <c r="G601" s="58" t="n"/>
      <c r="H601" s="59" t="n"/>
      <c r="I601" s="57" t="str">
        <f>IF(H601="","",IFERROR(INDEX(art_des,MATCH(H601,art_ref,0))&amp;"","Article inconnu"))</f>
        <v/>
      </c>
      <c r="J601" s="60" t="str">
        <f>IF(H601="","",IFERROR(INDEX(art_unit,MATCH(H601,art_ref,0))&amp;"",""))</f>
        <v/>
      </c>
      <c r="K601" s="59" t="n"/>
      <c r="L601" s="59" t="n"/>
      <c r="M601" s="61" t="str">
        <f>IF(OR(B601="",NOT(ISNUMBER(K601)),NOT(ISNUMBER(L601))),"",IF(OR(K601&lt;=0,L601&lt;=0),"",ROUND(L601-K601,6)))</f>
        <v/>
      </c>
      <c r="N601" s="58" t="n"/>
      <c r="O601" s="62" t="n"/>
      <c r="P601" s="63" t="str">
        <f>IF(OR(B601="",NOT(ISNUMBER(L601))),"",IF(L601&lt;=0,"",IFERROR(ROUND(L601*N(INDEX(art_w,MATCH(H601,art_ref,0))),3),"")))</f>
        <v/>
      </c>
      <c r="Q601" s="59" t="n"/>
      <c r="R601" s="54" t="n"/>
      <c r="S601" s="59" t="n"/>
      <c r="T601" s="59" t="n"/>
      <c r="U601" s="64" t="str">
        <f>IF(OR(B601="",H601=""),"",IFERROR(IF(A601="BL",IF(N(INDEX(art_price,MATCH(H601,art_ref,0)))=0,"",N(INDEX(art_price,MATCH(H601,art_ref,0)))),IF(N(INDEX(art_cost,MATCH(H601,art_ref,0)))=0,"",N(INDEX(art_cost,MATCH(H601,art_ref,0))))),""))</f>
        <v/>
      </c>
      <c r="V601" s="64" t="str">
        <f>IF(OR(U601="",NOT(ISNUMBER(L601))),"",IF(L601&lt;=0,"",ROUND(L601*U601,2)))</f>
        <v/>
      </c>
      <c r="W601" s="60" t="str">
        <f>IF(AND(B601&lt;&gt;"",A601&lt;&gt;"BS",F601&lt;&gt;"",H601&lt;&gt;"",ISNUMBER(K601),ISNUMBER(L601)),IF(AND(K601&gt;0,L601&gt;0,K601-L601&gt;0,COUNTIFS(A602:A$2005,A601,F602:F$2005,F601,H602:H$2005,H601,AA602:AA$2005,"&gt;0")=0),ROUND(K601-L601,6),""),"")</f>
        <v/>
      </c>
      <c r="X601" s="60" t="str">
        <f>IF(AND(A601="",C601="",D601="",H601="",L601=""),"",IF(A601="","Type manquant",IF(AND(A601&lt;&gt;"BL",A601&lt;&gt;"BR",A601&lt;&gt;"BS"),"Type inconnu (BL, BR ou BS)",IF(AG601=0,"Date manquante ou invalide",IF(D601="",IF(A601="BL","Client manquant",IF(A601="BR","Fournisseur manquant","Service manquant")),IF(IF(A601="BL",ISNA(MATCH(D601,cl_code,0)),IF(A601="BR",ISNA(MATCH(D601,fo_code,0)),ISNA(MATCH(D601,p_services,0)))),IF(A601="BL","Client inconnu",IF(A601="BR","Fournisseur inconnu","Service inconnu")),IF(H601="","Article manquant",IF(ISNA(MATCH(H601,art_ref,0)),"Article inconnu",IF(OR(NOT(ISNUMBER(L601)),N(L601)&lt;=0),"Quantité invalide",IF(AND(K601&lt;&gt;"",OR(NOT(ISNUMBER(K601)),N(K601)&lt;=0)),"Qté commandée invalide",IF(AG601&lt;SUMPRODUCT(MAX((A$6:A600=A601)*AG$6:AG600)),"Date antérieure au bon précédent",IF(AND(A601&lt;&gt;"BR",ISNUMBER(M601),N(M601)&gt;0),IF(A601="BL","Livré plus que commandé","Sorti plus que demandé"),"OK"))))))))))))</f>
        <v/>
      </c>
      <c r="Y601" s="57" t="str">
        <f>IF(AND(OR(A601="BL",A601="BR",A601="BS"),AG601&gt;0,D601&lt;&gt;""),A601&amp;"|"&amp;AG601&amp;"|"&amp;D601&amp;"|"&amp;F601,"")</f>
        <v/>
      </c>
      <c r="Z601" s="57" t="str">
        <f>IF(Y601="","",IF(COUNTIF(Y$6:Y600,Y601)=0,1,0))</f>
        <v/>
      </c>
      <c r="AA601" s="57" t="str">
        <f>IF(Y601="","",IF(Z601=1,COUNTIFS(A$6:A601,A601,Z$6:Z601,1),INDEX(AA$6:AA600,MATCH(Y601,Y$6:Y600,0))))</f>
        <v/>
      </c>
      <c r="AB601" s="57" t="str">
        <f>IF(B601="","",COUNTIF(B$6:B601,B601))</f>
        <v/>
      </c>
      <c r="AC601" s="57" t="str">
        <f>IF(B601="","",B601&amp;"#"&amp;AB601)</f>
        <v/>
      </c>
      <c r="AD601" s="57" t="str">
        <f>IF(Z601=1,A601&amp;AA601,"")</f>
        <v/>
      </c>
      <c r="AE601" s="57" t="str">
        <f>IF(B601="","",YEAR(C601))</f>
        <v/>
      </c>
      <c r="AF601" s="57" t="str">
        <f>IF(B601="","",MONTH(C601))</f>
        <v/>
      </c>
      <c r="AG601" s="57">
        <f>IF(ISNUMBER(C601),C601,0)</f>
        <v>0.0</v>
      </c>
      <c r="AH601" s="57" t="str">
        <f>IF(N(W601)&gt;0,COUNTIF(W$6:W601,"&gt;0"),"")</f>
        <v/>
      </c>
      <c r="AI601" s="57" t="str">
        <f>IF(Z601=1,COUNTIF(Z$6:Z601,1),"")</f>
        <v/>
      </c>
    </row>
    <row r="602">
      <c r="A602" s="54" t="n"/>
      <c r="B602" s="55" t="str">
        <f>IF(AA602="","",A602&amp;"-"&amp;RIGHT("000"&amp;AA602,4))</f>
        <v/>
      </c>
      <c r="C602" s="56" t="n"/>
      <c r="D602" s="54" t="n"/>
      <c r="E602" s="57" t="str">
        <f>IF(D602="","",IF(A602="BL",IFERROR(INDEX(cl_name,MATCH(D602,cl_code,0))&amp;"","Client inconnu"),IF(A602="BR",IFERROR(INDEX(fo_name,MATCH(D602,fo_code,0))&amp;"","Fournisseur inconnu"),IF(A602="BS",IF(ISNA(MATCH(D602,p_services,0)),"Service inconnu",D602&amp;""),""))))</f>
        <v/>
      </c>
      <c r="F602" s="58" t="n"/>
      <c r="G602" s="58" t="n"/>
      <c r="H602" s="59" t="n"/>
      <c r="I602" s="57" t="str">
        <f>IF(H602="","",IFERROR(INDEX(art_des,MATCH(H602,art_ref,0))&amp;"","Article inconnu"))</f>
        <v/>
      </c>
      <c r="J602" s="60" t="str">
        <f>IF(H602="","",IFERROR(INDEX(art_unit,MATCH(H602,art_ref,0))&amp;"",""))</f>
        <v/>
      </c>
      <c r="K602" s="59" t="n"/>
      <c r="L602" s="59" t="n"/>
      <c r="M602" s="61" t="str">
        <f>IF(OR(B602="",NOT(ISNUMBER(K602)),NOT(ISNUMBER(L602))),"",IF(OR(K602&lt;=0,L602&lt;=0),"",ROUND(L602-K602,6)))</f>
        <v/>
      </c>
      <c r="N602" s="58" t="n"/>
      <c r="O602" s="62" t="n"/>
      <c r="P602" s="63" t="str">
        <f>IF(OR(B602="",NOT(ISNUMBER(L602))),"",IF(L602&lt;=0,"",IFERROR(ROUND(L602*N(INDEX(art_w,MATCH(H602,art_ref,0))),3),"")))</f>
        <v/>
      </c>
      <c r="Q602" s="59" t="n"/>
      <c r="R602" s="54" t="n"/>
      <c r="S602" s="59" t="n"/>
      <c r="T602" s="59" t="n"/>
      <c r="U602" s="64" t="str">
        <f>IF(OR(B602="",H602=""),"",IFERROR(IF(A602="BL",IF(N(INDEX(art_price,MATCH(H602,art_ref,0)))=0,"",N(INDEX(art_price,MATCH(H602,art_ref,0)))),IF(N(INDEX(art_cost,MATCH(H602,art_ref,0)))=0,"",N(INDEX(art_cost,MATCH(H602,art_ref,0))))),""))</f>
        <v/>
      </c>
      <c r="V602" s="64" t="str">
        <f>IF(OR(U602="",NOT(ISNUMBER(L602))),"",IF(L602&lt;=0,"",ROUND(L602*U602,2)))</f>
        <v/>
      </c>
      <c r="W602" s="60" t="str">
        <f>IF(AND(B602&lt;&gt;"",A602&lt;&gt;"BS",F602&lt;&gt;"",H602&lt;&gt;"",ISNUMBER(K602),ISNUMBER(L602)),IF(AND(K602&gt;0,L602&gt;0,K602-L602&gt;0,COUNTIFS(A603:A$2005,A602,F603:F$2005,F602,H603:H$2005,H602,AA603:AA$2005,"&gt;0")=0),ROUND(K602-L602,6),""),"")</f>
        <v/>
      </c>
      <c r="X602" s="60" t="str">
        <f>IF(AND(A602="",C602="",D602="",H602="",L602=""),"",IF(A602="","Type manquant",IF(AND(A602&lt;&gt;"BL",A602&lt;&gt;"BR",A602&lt;&gt;"BS"),"Type inconnu (BL, BR ou BS)",IF(AG602=0,"Date manquante ou invalide",IF(D602="",IF(A602="BL","Client manquant",IF(A602="BR","Fournisseur manquant","Service manquant")),IF(IF(A602="BL",ISNA(MATCH(D602,cl_code,0)),IF(A602="BR",ISNA(MATCH(D602,fo_code,0)),ISNA(MATCH(D602,p_services,0)))),IF(A602="BL","Client inconnu",IF(A602="BR","Fournisseur inconnu","Service inconnu")),IF(H602="","Article manquant",IF(ISNA(MATCH(H602,art_ref,0)),"Article inconnu",IF(OR(NOT(ISNUMBER(L602)),N(L602)&lt;=0),"Quantité invalide",IF(AND(K602&lt;&gt;"",OR(NOT(ISNUMBER(K602)),N(K602)&lt;=0)),"Qté commandée invalide",IF(AG602&lt;SUMPRODUCT(MAX((A$6:A601=A602)*AG$6:AG601)),"Date antérieure au bon précédent",IF(AND(A602&lt;&gt;"BR",ISNUMBER(M602),N(M602)&gt;0),IF(A602="BL","Livré plus que commandé","Sorti plus que demandé"),"OK"))))))))))))</f>
        <v/>
      </c>
      <c r="Y602" s="57" t="str">
        <f>IF(AND(OR(A602="BL",A602="BR",A602="BS"),AG602&gt;0,D602&lt;&gt;""),A602&amp;"|"&amp;AG602&amp;"|"&amp;D602&amp;"|"&amp;F602,"")</f>
        <v/>
      </c>
      <c r="Z602" s="57" t="str">
        <f>IF(Y602="","",IF(COUNTIF(Y$6:Y601,Y602)=0,1,0))</f>
        <v/>
      </c>
      <c r="AA602" s="57" t="str">
        <f>IF(Y602="","",IF(Z602=1,COUNTIFS(A$6:A602,A602,Z$6:Z602,1),INDEX(AA$6:AA601,MATCH(Y602,Y$6:Y601,0))))</f>
        <v/>
      </c>
      <c r="AB602" s="57" t="str">
        <f>IF(B602="","",COUNTIF(B$6:B602,B602))</f>
        <v/>
      </c>
      <c r="AC602" s="57" t="str">
        <f>IF(B602="","",B602&amp;"#"&amp;AB602)</f>
        <v/>
      </c>
      <c r="AD602" s="57" t="str">
        <f>IF(Z602=1,A602&amp;AA602,"")</f>
        <v/>
      </c>
      <c r="AE602" s="57" t="str">
        <f>IF(B602="","",YEAR(C602))</f>
        <v/>
      </c>
      <c r="AF602" s="57" t="str">
        <f>IF(B602="","",MONTH(C602))</f>
        <v/>
      </c>
      <c r="AG602" s="57">
        <f>IF(ISNUMBER(C602),C602,0)</f>
        <v>0.0</v>
      </c>
      <c r="AH602" s="57" t="str">
        <f>IF(N(W602)&gt;0,COUNTIF(W$6:W602,"&gt;0"),"")</f>
        <v/>
      </c>
      <c r="AI602" s="57" t="str">
        <f>IF(Z602=1,COUNTIF(Z$6:Z602,1),"")</f>
        <v/>
      </c>
    </row>
    <row r="603">
      <c r="A603" s="54" t="n"/>
      <c r="B603" s="55" t="str">
        <f>IF(AA603="","",A603&amp;"-"&amp;RIGHT("000"&amp;AA603,4))</f>
        <v/>
      </c>
      <c r="C603" s="56" t="n"/>
      <c r="D603" s="54" t="n"/>
      <c r="E603" s="57" t="str">
        <f>IF(D603="","",IF(A603="BL",IFERROR(INDEX(cl_name,MATCH(D603,cl_code,0))&amp;"","Client inconnu"),IF(A603="BR",IFERROR(INDEX(fo_name,MATCH(D603,fo_code,0))&amp;"","Fournisseur inconnu"),IF(A603="BS",IF(ISNA(MATCH(D603,p_services,0)),"Service inconnu",D603&amp;""),""))))</f>
        <v/>
      </c>
      <c r="F603" s="58" t="n"/>
      <c r="G603" s="58" t="n"/>
      <c r="H603" s="59" t="n"/>
      <c r="I603" s="57" t="str">
        <f>IF(H603="","",IFERROR(INDEX(art_des,MATCH(H603,art_ref,0))&amp;"","Article inconnu"))</f>
        <v/>
      </c>
      <c r="J603" s="60" t="str">
        <f>IF(H603="","",IFERROR(INDEX(art_unit,MATCH(H603,art_ref,0))&amp;"",""))</f>
        <v/>
      </c>
      <c r="K603" s="59" t="n"/>
      <c r="L603" s="59" t="n"/>
      <c r="M603" s="61" t="str">
        <f>IF(OR(B603="",NOT(ISNUMBER(K603)),NOT(ISNUMBER(L603))),"",IF(OR(K603&lt;=0,L603&lt;=0),"",ROUND(L603-K603,6)))</f>
        <v/>
      </c>
      <c r="N603" s="58" t="n"/>
      <c r="O603" s="62" t="n"/>
      <c r="P603" s="63" t="str">
        <f>IF(OR(B603="",NOT(ISNUMBER(L603))),"",IF(L603&lt;=0,"",IFERROR(ROUND(L603*N(INDEX(art_w,MATCH(H603,art_ref,0))),3),"")))</f>
        <v/>
      </c>
      <c r="Q603" s="59" t="n"/>
      <c r="R603" s="54" t="n"/>
      <c r="S603" s="59" t="n"/>
      <c r="T603" s="59" t="n"/>
      <c r="U603" s="64" t="str">
        <f>IF(OR(B603="",H603=""),"",IFERROR(IF(A603="BL",IF(N(INDEX(art_price,MATCH(H603,art_ref,0)))=0,"",N(INDEX(art_price,MATCH(H603,art_ref,0)))),IF(N(INDEX(art_cost,MATCH(H603,art_ref,0)))=0,"",N(INDEX(art_cost,MATCH(H603,art_ref,0))))),""))</f>
        <v/>
      </c>
      <c r="V603" s="64" t="str">
        <f>IF(OR(U603="",NOT(ISNUMBER(L603))),"",IF(L603&lt;=0,"",ROUND(L603*U603,2)))</f>
        <v/>
      </c>
      <c r="W603" s="60" t="str">
        <f>IF(AND(B603&lt;&gt;"",A603&lt;&gt;"BS",F603&lt;&gt;"",H603&lt;&gt;"",ISNUMBER(K603),ISNUMBER(L603)),IF(AND(K603&gt;0,L603&gt;0,K603-L603&gt;0,COUNTIFS(A604:A$2005,A603,F604:F$2005,F603,H604:H$2005,H603,AA604:AA$2005,"&gt;0")=0),ROUND(K603-L603,6),""),"")</f>
        <v/>
      </c>
      <c r="X603" s="60" t="str">
        <f>IF(AND(A603="",C603="",D603="",H603="",L603=""),"",IF(A603="","Type manquant",IF(AND(A603&lt;&gt;"BL",A603&lt;&gt;"BR",A603&lt;&gt;"BS"),"Type inconnu (BL, BR ou BS)",IF(AG603=0,"Date manquante ou invalide",IF(D603="",IF(A603="BL","Client manquant",IF(A603="BR","Fournisseur manquant","Service manquant")),IF(IF(A603="BL",ISNA(MATCH(D603,cl_code,0)),IF(A603="BR",ISNA(MATCH(D603,fo_code,0)),ISNA(MATCH(D603,p_services,0)))),IF(A603="BL","Client inconnu",IF(A603="BR","Fournisseur inconnu","Service inconnu")),IF(H603="","Article manquant",IF(ISNA(MATCH(H603,art_ref,0)),"Article inconnu",IF(OR(NOT(ISNUMBER(L603)),N(L603)&lt;=0),"Quantité invalide",IF(AND(K603&lt;&gt;"",OR(NOT(ISNUMBER(K603)),N(K603)&lt;=0)),"Qté commandée invalide",IF(AG603&lt;SUMPRODUCT(MAX((A$6:A602=A603)*AG$6:AG602)),"Date antérieure au bon précédent",IF(AND(A603&lt;&gt;"BR",ISNUMBER(M603),N(M603)&gt;0),IF(A603="BL","Livré plus que commandé","Sorti plus que demandé"),"OK"))))))))))))</f>
        <v/>
      </c>
      <c r="Y603" s="57" t="str">
        <f>IF(AND(OR(A603="BL",A603="BR",A603="BS"),AG603&gt;0,D603&lt;&gt;""),A603&amp;"|"&amp;AG603&amp;"|"&amp;D603&amp;"|"&amp;F603,"")</f>
        <v/>
      </c>
      <c r="Z603" s="57" t="str">
        <f>IF(Y603="","",IF(COUNTIF(Y$6:Y602,Y603)=0,1,0))</f>
        <v/>
      </c>
      <c r="AA603" s="57" t="str">
        <f>IF(Y603="","",IF(Z603=1,COUNTIFS(A$6:A603,A603,Z$6:Z603,1),INDEX(AA$6:AA602,MATCH(Y603,Y$6:Y602,0))))</f>
        <v/>
      </c>
      <c r="AB603" s="57" t="str">
        <f>IF(B603="","",COUNTIF(B$6:B603,B603))</f>
        <v/>
      </c>
      <c r="AC603" s="57" t="str">
        <f>IF(B603="","",B603&amp;"#"&amp;AB603)</f>
        <v/>
      </c>
      <c r="AD603" s="57" t="str">
        <f>IF(Z603=1,A603&amp;AA603,"")</f>
        <v/>
      </c>
      <c r="AE603" s="57" t="str">
        <f>IF(B603="","",YEAR(C603))</f>
        <v/>
      </c>
      <c r="AF603" s="57" t="str">
        <f>IF(B603="","",MONTH(C603))</f>
        <v/>
      </c>
      <c r="AG603" s="57">
        <f>IF(ISNUMBER(C603),C603,0)</f>
        <v>0.0</v>
      </c>
      <c r="AH603" s="57" t="str">
        <f>IF(N(W603)&gt;0,COUNTIF(W$6:W603,"&gt;0"),"")</f>
        <v/>
      </c>
      <c r="AI603" s="57" t="str">
        <f>IF(Z603=1,COUNTIF(Z$6:Z603,1),"")</f>
        <v/>
      </c>
    </row>
    <row r="604">
      <c r="A604" s="54" t="n"/>
      <c r="B604" s="55" t="str">
        <f>IF(AA604="","",A604&amp;"-"&amp;RIGHT("000"&amp;AA604,4))</f>
        <v/>
      </c>
      <c r="C604" s="56" t="n"/>
      <c r="D604" s="54" t="n"/>
      <c r="E604" s="57" t="str">
        <f>IF(D604="","",IF(A604="BL",IFERROR(INDEX(cl_name,MATCH(D604,cl_code,0))&amp;"","Client inconnu"),IF(A604="BR",IFERROR(INDEX(fo_name,MATCH(D604,fo_code,0))&amp;"","Fournisseur inconnu"),IF(A604="BS",IF(ISNA(MATCH(D604,p_services,0)),"Service inconnu",D604&amp;""),""))))</f>
        <v/>
      </c>
      <c r="F604" s="58" t="n"/>
      <c r="G604" s="58" t="n"/>
      <c r="H604" s="59" t="n"/>
      <c r="I604" s="57" t="str">
        <f>IF(H604="","",IFERROR(INDEX(art_des,MATCH(H604,art_ref,0))&amp;"","Article inconnu"))</f>
        <v/>
      </c>
      <c r="J604" s="60" t="str">
        <f>IF(H604="","",IFERROR(INDEX(art_unit,MATCH(H604,art_ref,0))&amp;"",""))</f>
        <v/>
      </c>
      <c r="K604" s="59" t="n"/>
      <c r="L604" s="59" t="n"/>
      <c r="M604" s="61" t="str">
        <f>IF(OR(B604="",NOT(ISNUMBER(K604)),NOT(ISNUMBER(L604))),"",IF(OR(K604&lt;=0,L604&lt;=0),"",ROUND(L604-K604,6)))</f>
        <v/>
      </c>
      <c r="N604" s="58" t="n"/>
      <c r="O604" s="62" t="n"/>
      <c r="P604" s="63" t="str">
        <f>IF(OR(B604="",NOT(ISNUMBER(L604))),"",IF(L604&lt;=0,"",IFERROR(ROUND(L604*N(INDEX(art_w,MATCH(H604,art_ref,0))),3),"")))</f>
        <v/>
      </c>
      <c r="Q604" s="59" t="n"/>
      <c r="R604" s="54" t="n"/>
      <c r="S604" s="59" t="n"/>
      <c r="T604" s="59" t="n"/>
      <c r="U604" s="64" t="str">
        <f>IF(OR(B604="",H604=""),"",IFERROR(IF(A604="BL",IF(N(INDEX(art_price,MATCH(H604,art_ref,0)))=0,"",N(INDEX(art_price,MATCH(H604,art_ref,0)))),IF(N(INDEX(art_cost,MATCH(H604,art_ref,0)))=0,"",N(INDEX(art_cost,MATCH(H604,art_ref,0))))),""))</f>
        <v/>
      </c>
      <c r="V604" s="64" t="str">
        <f>IF(OR(U604="",NOT(ISNUMBER(L604))),"",IF(L604&lt;=0,"",ROUND(L604*U604,2)))</f>
        <v/>
      </c>
      <c r="W604" s="60" t="str">
        <f>IF(AND(B604&lt;&gt;"",A604&lt;&gt;"BS",F604&lt;&gt;"",H604&lt;&gt;"",ISNUMBER(K604),ISNUMBER(L604)),IF(AND(K604&gt;0,L604&gt;0,K604-L604&gt;0,COUNTIFS(A605:A$2005,A604,F605:F$2005,F604,H605:H$2005,H604,AA605:AA$2005,"&gt;0")=0),ROUND(K604-L604,6),""),"")</f>
        <v/>
      </c>
      <c r="X604" s="60" t="str">
        <f>IF(AND(A604="",C604="",D604="",H604="",L604=""),"",IF(A604="","Type manquant",IF(AND(A604&lt;&gt;"BL",A604&lt;&gt;"BR",A604&lt;&gt;"BS"),"Type inconnu (BL, BR ou BS)",IF(AG604=0,"Date manquante ou invalide",IF(D604="",IF(A604="BL","Client manquant",IF(A604="BR","Fournisseur manquant","Service manquant")),IF(IF(A604="BL",ISNA(MATCH(D604,cl_code,0)),IF(A604="BR",ISNA(MATCH(D604,fo_code,0)),ISNA(MATCH(D604,p_services,0)))),IF(A604="BL","Client inconnu",IF(A604="BR","Fournisseur inconnu","Service inconnu")),IF(H604="","Article manquant",IF(ISNA(MATCH(H604,art_ref,0)),"Article inconnu",IF(OR(NOT(ISNUMBER(L604)),N(L604)&lt;=0),"Quantité invalide",IF(AND(K604&lt;&gt;"",OR(NOT(ISNUMBER(K604)),N(K604)&lt;=0)),"Qté commandée invalide",IF(AG604&lt;SUMPRODUCT(MAX((A$6:A603=A604)*AG$6:AG603)),"Date antérieure au bon précédent",IF(AND(A604&lt;&gt;"BR",ISNUMBER(M604),N(M604)&gt;0),IF(A604="BL","Livré plus que commandé","Sorti plus que demandé"),"OK"))))))))))))</f>
        <v/>
      </c>
      <c r="Y604" s="57" t="str">
        <f>IF(AND(OR(A604="BL",A604="BR",A604="BS"),AG604&gt;0,D604&lt;&gt;""),A604&amp;"|"&amp;AG604&amp;"|"&amp;D604&amp;"|"&amp;F604,"")</f>
        <v/>
      </c>
      <c r="Z604" s="57" t="str">
        <f>IF(Y604="","",IF(COUNTIF(Y$6:Y603,Y604)=0,1,0))</f>
        <v/>
      </c>
      <c r="AA604" s="57" t="str">
        <f>IF(Y604="","",IF(Z604=1,COUNTIFS(A$6:A604,A604,Z$6:Z604,1),INDEX(AA$6:AA603,MATCH(Y604,Y$6:Y603,0))))</f>
        <v/>
      </c>
      <c r="AB604" s="57" t="str">
        <f>IF(B604="","",COUNTIF(B$6:B604,B604))</f>
        <v/>
      </c>
      <c r="AC604" s="57" t="str">
        <f>IF(B604="","",B604&amp;"#"&amp;AB604)</f>
        <v/>
      </c>
      <c r="AD604" s="57" t="str">
        <f>IF(Z604=1,A604&amp;AA604,"")</f>
        <v/>
      </c>
      <c r="AE604" s="57" t="str">
        <f>IF(B604="","",YEAR(C604))</f>
        <v/>
      </c>
      <c r="AF604" s="57" t="str">
        <f>IF(B604="","",MONTH(C604))</f>
        <v/>
      </c>
      <c r="AG604" s="57">
        <f>IF(ISNUMBER(C604),C604,0)</f>
        <v>0.0</v>
      </c>
      <c r="AH604" s="57" t="str">
        <f>IF(N(W604)&gt;0,COUNTIF(W$6:W604,"&gt;0"),"")</f>
        <v/>
      </c>
      <c r="AI604" s="57" t="str">
        <f>IF(Z604=1,COUNTIF(Z$6:Z604,1),"")</f>
        <v/>
      </c>
    </row>
    <row r="605">
      <c r="A605" s="54" t="n"/>
      <c r="B605" s="55" t="str">
        <f>IF(AA605="","",A605&amp;"-"&amp;RIGHT("000"&amp;AA605,4))</f>
        <v/>
      </c>
      <c r="C605" s="56" t="n"/>
      <c r="D605" s="54" t="n"/>
      <c r="E605" s="57" t="str">
        <f>IF(D605="","",IF(A605="BL",IFERROR(INDEX(cl_name,MATCH(D605,cl_code,0))&amp;"","Client inconnu"),IF(A605="BR",IFERROR(INDEX(fo_name,MATCH(D605,fo_code,0))&amp;"","Fournisseur inconnu"),IF(A605="BS",IF(ISNA(MATCH(D605,p_services,0)),"Service inconnu",D605&amp;""),""))))</f>
        <v/>
      </c>
      <c r="F605" s="58" t="n"/>
      <c r="G605" s="58" t="n"/>
      <c r="H605" s="59" t="n"/>
      <c r="I605" s="57" t="str">
        <f>IF(H605="","",IFERROR(INDEX(art_des,MATCH(H605,art_ref,0))&amp;"","Article inconnu"))</f>
        <v/>
      </c>
      <c r="J605" s="60" t="str">
        <f>IF(H605="","",IFERROR(INDEX(art_unit,MATCH(H605,art_ref,0))&amp;"",""))</f>
        <v/>
      </c>
      <c r="K605" s="59" t="n"/>
      <c r="L605" s="59" t="n"/>
      <c r="M605" s="61" t="str">
        <f>IF(OR(B605="",NOT(ISNUMBER(K605)),NOT(ISNUMBER(L605))),"",IF(OR(K605&lt;=0,L605&lt;=0),"",ROUND(L605-K605,6)))</f>
        <v/>
      </c>
      <c r="N605" s="58" t="n"/>
      <c r="O605" s="62" t="n"/>
      <c r="P605" s="63" t="str">
        <f>IF(OR(B605="",NOT(ISNUMBER(L605))),"",IF(L605&lt;=0,"",IFERROR(ROUND(L605*N(INDEX(art_w,MATCH(H605,art_ref,0))),3),"")))</f>
        <v/>
      </c>
      <c r="Q605" s="59" t="n"/>
      <c r="R605" s="54" t="n"/>
      <c r="S605" s="59" t="n"/>
      <c r="T605" s="59" t="n"/>
      <c r="U605" s="64" t="str">
        <f>IF(OR(B605="",H605=""),"",IFERROR(IF(A605="BL",IF(N(INDEX(art_price,MATCH(H605,art_ref,0)))=0,"",N(INDEX(art_price,MATCH(H605,art_ref,0)))),IF(N(INDEX(art_cost,MATCH(H605,art_ref,0)))=0,"",N(INDEX(art_cost,MATCH(H605,art_ref,0))))),""))</f>
        <v/>
      </c>
      <c r="V605" s="64" t="str">
        <f>IF(OR(U605="",NOT(ISNUMBER(L605))),"",IF(L605&lt;=0,"",ROUND(L605*U605,2)))</f>
        <v/>
      </c>
      <c r="W605" s="60" t="str">
        <f>IF(AND(B605&lt;&gt;"",A605&lt;&gt;"BS",F605&lt;&gt;"",H605&lt;&gt;"",ISNUMBER(K605),ISNUMBER(L605)),IF(AND(K605&gt;0,L605&gt;0,K605-L605&gt;0,COUNTIFS(A606:A$2005,A605,F606:F$2005,F605,H606:H$2005,H605,AA606:AA$2005,"&gt;0")=0),ROUND(K605-L605,6),""),"")</f>
        <v/>
      </c>
      <c r="X605" s="60" t="str">
        <f>IF(AND(A605="",C605="",D605="",H605="",L605=""),"",IF(A605="","Type manquant",IF(AND(A605&lt;&gt;"BL",A605&lt;&gt;"BR",A605&lt;&gt;"BS"),"Type inconnu (BL, BR ou BS)",IF(AG605=0,"Date manquante ou invalide",IF(D605="",IF(A605="BL","Client manquant",IF(A605="BR","Fournisseur manquant","Service manquant")),IF(IF(A605="BL",ISNA(MATCH(D605,cl_code,0)),IF(A605="BR",ISNA(MATCH(D605,fo_code,0)),ISNA(MATCH(D605,p_services,0)))),IF(A605="BL","Client inconnu",IF(A605="BR","Fournisseur inconnu","Service inconnu")),IF(H605="","Article manquant",IF(ISNA(MATCH(H605,art_ref,0)),"Article inconnu",IF(OR(NOT(ISNUMBER(L605)),N(L605)&lt;=0),"Quantité invalide",IF(AND(K605&lt;&gt;"",OR(NOT(ISNUMBER(K605)),N(K605)&lt;=0)),"Qté commandée invalide",IF(AG605&lt;SUMPRODUCT(MAX((A$6:A604=A605)*AG$6:AG604)),"Date antérieure au bon précédent",IF(AND(A605&lt;&gt;"BR",ISNUMBER(M605),N(M605)&gt;0),IF(A605="BL","Livré plus que commandé","Sorti plus que demandé"),"OK"))))))))))))</f>
        <v/>
      </c>
      <c r="Y605" s="57" t="str">
        <f>IF(AND(OR(A605="BL",A605="BR",A605="BS"),AG605&gt;0,D605&lt;&gt;""),A605&amp;"|"&amp;AG605&amp;"|"&amp;D605&amp;"|"&amp;F605,"")</f>
        <v/>
      </c>
      <c r="Z605" s="57" t="str">
        <f>IF(Y605="","",IF(COUNTIF(Y$6:Y604,Y605)=0,1,0))</f>
        <v/>
      </c>
      <c r="AA605" s="57" t="str">
        <f>IF(Y605="","",IF(Z605=1,COUNTIFS(A$6:A605,A605,Z$6:Z605,1),INDEX(AA$6:AA604,MATCH(Y605,Y$6:Y604,0))))</f>
        <v/>
      </c>
      <c r="AB605" s="57" t="str">
        <f>IF(B605="","",COUNTIF(B$6:B605,B605))</f>
        <v/>
      </c>
      <c r="AC605" s="57" t="str">
        <f>IF(B605="","",B605&amp;"#"&amp;AB605)</f>
        <v/>
      </c>
      <c r="AD605" s="57" t="str">
        <f>IF(Z605=1,A605&amp;AA605,"")</f>
        <v/>
      </c>
      <c r="AE605" s="57" t="str">
        <f>IF(B605="","",YEAR(C605))</f>
        <v/>
      </c>
      <c r="AF605" s="57" t="str">
        <f>IF(B605="","",MONTH(C605))</f>
        <v/>
      </c>
      <c r="AG605" s="57">
        <f>IF(ISNUMBER(C605),C605,0)</f>
        <v>0.0</v>
      </c>
      <c r="AH605" s="57" t="str">
        <f>IF(N(W605)&gt;0,COUNTIF(W$6:W605,"&gt;0"),"")</f>
        <v/>
      </c>
      <c r="AI605" s="57" t="str">
        <f>IF(Z605=1,COUNTIF(Z$6:Z605,1),"")</f>
        <v/>
      </c>
    </row>
    <row r="606">
      <c r="A606" s="54" t="n"/>
      <c r="B606" s="55" t="str">
        <f>IF(AA606="","",A606&amp;"-"&amp;RIGHT("000"&amp;AA606,4))</f>
        <v/>
      </c>
      <c r="C606" s="56" t="n"/>
      <c r="D606" s="54" t="n"/>
      <c r="E606" s="57" t="str">
        <f>IF(D606="","",IF(A606="BL",IFERROR(INDEX(cl_name,MATCH(D606,cl_code,0))&amp;"","Client inconnu"),IF(A606="BR",IFERROR(INDEX(fo_name,MATCH(D606,fo_code,0))&amp;"","Fournisseur inconnu"),IF(A606="BS",IF(ISNA(MATCH(D606,p_services,0)),"Service inconnu",D606&amp;""),""))))</f>
        <v/>
      </c>
      <c r="F606" s="58" t="n"/>
      <c r="G606" s="58" t="n"/>
      <c r="H606" s="59" t="n"/>
      <c r="I606" s="57" t="str">
        <f>IF(H606="","",IFERROR(INDEX(art_des,MATCH(H606,art_ref,0))&amp;"","Article inconnu"))</f>
        <v/>
      </c>
      <c r="J606" s="60" t="str">
        <f>IF(H606="","",IFERROR(INDEX(art_unit,MATCH(H606,art_ref,0))&amp;"",""))</f>
        <v/>
      </c>
      <c r="K606" s="59" t="n"/>
      <c r="L606" s="59" t="n"/>
      <c r="M606" s="61" t="str">
        <f>IF(OR(B606="",NOT(ISNUMBER(K606)),NOT(ISNUMBER(L606))),"",IF(OR(K606&lt;=0,L606&lt;=0),"",ROUND(L606-K606,6)))</f>
        <v/>
      </c>
      <c r="N606" s="58" t="n"/>
      <c r="O606" s="62" t="n"/>
      <c r="P606" s="63" t="str">
        <f>IF(OR(B606="",NOT(ISNUMBER(L606))),"",IF(L606&lt;=0,"",IFERROR(ROUND(L606*N(INDEX(art_w,MATCH(H606,art_ref,0))),3),"")))</f>
        <v/>
      </c>
      <c r="Q606" s="59" t="n"/>
      <c r="R606" s="54" t="n"/>
      <c r="S606" s="59" t="n"/>
      <c r="T606" s="59" t="n"/>
      <c r="U606" s="64" t="str">
        <f>IF(OR(B606="",H606=""),"",IFERROR(IF(A606="BL",IF(N(INDEX(art_price,MATCH(H606,art_ref,0)))=0,"",N(INDEX(art_price,MATCH(H606,art_ref,0)))),IF(N(INDEX(art_cost,MATCH(H606,art_ref,0)))=0,"",N(INDEX(art_cost,MATCH(H606,art_ref,0))))),""))</f>
        <v/>
      </c>
      <c r="V606" s="64" t="str">
        <f>IF(OR(U606="",NOT(ISNUMBER(L606))),"",IF(L606&lt;=0,"",ROUND(L606*U606,2)))</f>
        <v/>
      </c>
      <c r="W606" s="60" t="str">
        <f>IF(AND(B606&lt;&gt;"",A606&lt;&gt;"BS",F606&lt;&gt;"",H606&lt;&gt;"",ISNUMBER(K606),ISNUMBER(L606)),IF(AND(K606&gt;0,L606&gt;0,K606-L606&gt;0,COUNTIFS(A607:A$2005,A606,F607:F$2005,F606,H607:H$2005,H606,AA607:AA$2005,"&gt;0")=0),ROUND(K606-L606,6),""),"")</f>
        <v/>
      </c>
      <c r="X606" s="60" t="str">
        <f>IF(AND(A606="",C606="",D606="",H606="",L606=""),"",IF(A606="","Type manquant",IF(AND(A606&lt;&gt;"BL",A606&lt;&gt;"BR",A606&lt;&gt;"BS"),"Type inconnu (BL, BR ou BS)",IF(AG606=0,"Date manquante ou invalide",IF(D606="",IF(A606="BL","Client manquant",IF(A606="BR","Fournisseur manquant","Service manquant")),IF(IF(A606="BL",ISNA(MATCH(D606,cl_code,0)),IF(A606="BR",ISNA(MATCH(D606,fo_code,0)),ISNA(MATCH(D606,p_services,0)))),IF(A606="BL","Client inconnu",IF(A606="BR","Fournisseur inconnu","Service inconnu")),IF(H606="","Article manquant",IF(ISNA(MATCH(H606,art_ref,0)),"Article inconnu",IF(OR(NOT(ISNUMBER(L606)),N(L606)&lt;=0),"Quantité invalide",IF(AND(K606&lt;&gt;"",OR(NOT(ISNUMBER(K606)),N(K606)&lt;=0)),"Qté commandée invalide",IF(AG606&lt;SUMPRODUCT(MAX((A$6:A605=A606)*AG$6:AG605)),"Date antérieure au bon précédent",IF(AND(A606&lt;&gt;"BR",ISNUMBER(M606),N(M606)&gt;0),IF(A606="BL","Livré plus que commandé","Sorti plus que demandé"),"OK"))))))))))))</f>
        <v/>
      </c>
      <c r="Y606" s="57" t="str">
        <f>IF(AND(OR(A606="BL",A606="BR",A606="BS"),AG606&gt;0,D606&lt;&gt;""),A606&amp;"|"&amp;AG606&amp;"|"&amp;D606&amp;"|"&amp;F606,"")</f>
        <v/>
      </c>
      <c r="Z606" s="57" t="str">
        <f>IF(Y606="","",IF(COUNTIF(Y$6:Y605,Y606)=0,1,0))</f>
        <v/>
      </c>
      <c r="AA606" s="57" t="str">
        <f>IF(Y606="","",IF(Z606=1,COUNTIFS(A$6:A606,A606,Z$6:Z606,1),INDEX(AA$6:AA605,MATCH(Y606,Y$6:Y605,0))))</f>
        <v/>
      </c>
      <c r="AB606" s="57" t="str">
        <f>IF(B606="","",COUNTIF(B$6:B606,B606))</f>
        <v/>
      </c>
      <c r="AC606" s="57" t="str">
        <f>IF(B606="","",B606&amp;"#"&amp;AB606)</f>
        <v/>
      </c>
      <c r="AD606" s="57" t="str">
        <f>IF(Z606=1,A606&amp;AA606,"")</f>
        <v/>
      </c>
      <c r="AE606" s="57" t="str">
        <f>IF(B606="","",YEAR(C606))</f>
        <v/>
      </c>
      <c r="AF606" s="57" t="str">
        <f>IF(B606="","",MONTH(C606))</f>
        <v/>
      </c>
      <c r="AG606" s="57">
        <f>IF(ISNUMBER(C606),C606,0)</f>
        <v>0.0</v>
      </c>
      <c r="AH606" s="57" t="str">
        <f>IF(N(W606)&gt;0,COUNTIF(W$6:W606,"&gt;0"),"")</f>
        <v/>
      </c>
      <c r="AI606" s="57" t="str">
        <f>IF(Z606=1,COUNTIF(Z$6:Z606,1),"")</f>
        <v/>
      </c>
    </row>
    <row r="607">
      <c r="A607" s="54" t="n"/>
      <c r="B607" s="55" t="str">
        <f>IF(AA607="","",A607&amp;"-"&amp;RIGHT("000"&amp;AA607,4))</f>
        <v/>
      </c>
      <c r="C607" s="56" t="n"/>
      <c r="D607" s="54" t="n"/>
      <c r="E607" s="57" t="str">
        <f>IF(D607="","",IF(A607="BL",IFERROR(INDEX(cl_name,MATCH(D607,cl_code,0))&amp;"","Client inconnu"),IF(A607="BR",IFERROR(INDEX(fo_name,MATCH(D607,fo_code,0))&amp;"","Fournisseur inconnu"),IF(A607="BS",IF(ISNA(MATCH(D607,p_services,0)),"Service inconnu",D607&amp;""),""))))</f>
        <v/>
      </c>
      <c r="F607" s="58" t="n"/>
      <c r="G607" s="58" t="n"/>
      <c r="H607" s="59" t="n"/>
      <c r="I607" s="57" t="str">
        <f>IF(H607="","",IFERROR(INDEX(art_des,MATCH(H607,art_ref,0))&amp;"","Article inconnu"))</f>
        <v/>
      </c>
      <c r="J607" s="60" t="str">
        <f>IF(H607="","",IFERROR(INDEX(art_unit,MATCH(H607,art_ref,0))&amp;"",""))</f>
        <v/>
      </c>
      <c r="K607" s="59" t="n"/>
      <c r="L607" s="59" t="n"/>
      <c r="M607" s="61" t="str">
        <f>IF(OR(B607="",NOT(ISNUMBER(K607)),NOT(ISNUMBER(L607))),"",IF(OR(K607&lt;=0,L607&lt;=0),"",ROUND(L607-K607,6)))</f>
        <v/>
      </c>
      <c r="N607" s="58" t="n"/>
      <c r="O607" s="62" t="n"/>
      <c r="P607" s="63" t="str">
        <f>IF(OR(B607="",NOT(ISNUMBER(L607))),"",IF(L607&lt;=0,"",IFERROR(ROUND(L607*N(INDEX(art_w,MATCH(H607,art_ref,0))),3),"")))</f>
        <v/>
      </c>
      <c r="Q607" s="59" t="n"/>
      <c r="R607" s="54" t="n"/>
      <c r="S607" s="59" t="n"/>
      <c r="T607" s="59" t="n"/>
      <c r="U607" s="64" t="str">
        <f>IF(OR(B607="",H607=""),"",IFERROR(IF(A607="BL",IF(N(INDEX(art_price,MATCH(H607,art_ref,0)))=0,"",N(INDEX(art_price,MATCH(H607,art_ref,0)))),IF(N(INDEX(art_cost,MATCH(H607,art_ref,0)))=0,"",N(INDEX(art_cost,MATCH(H607,art_ref,0))))),""))</f>
        <v/>
      </c>
      <c r="V607" s="64" t="str">
        <f>IF(OR(U607="",NOT(ISNUMBER(L607))),"",IF(L607&lt;=0,"",ROUND(L607*U607,2)))</f>
        <v/>
      </c>
      <c r="W607" s="60" t="str">
        <f>IF(AND(B607&lt;&gt;"",A607&lt;&gt;"BS",F607&lt;&gt;"",H607&lt;&gt;"",ISNUMBER(K607),ISNUMBER(L607)),IF(AND(K607&gt;0,L607&gt;0,K607-L607&gt;0,COUNTIFS(A608:A$2005,A607,F608:F$2005,F607,H608:H$2005,H607,AA608:AA$2005,"&gt;0")=0),ROUND(K607-L607,6),""),"")</f>
        <v/>
      </c>
      <c r="X607" s="60" t="str">
        <f>IF(AND(A607="",C607="",D607="",H607="",L607=""),"",IF(A607="","Type manquant",IF(AND(A607&lt;&gt;"BL",A607&lt;&gt;"BR",A607&lt;&gt;"BS"),"Type inconnu (BL, BR ou BS)",IF(AG607=0,"Date manquante ou invalide",IF(D607="",IF(A607="BL","Client manquant",IF(A607="BR","Fournisseur manquant","Service manquant")),IF(IF(A607="BL",ISNA(MATCH(D607,cl_code,0)),IF(A607="BR",ISNA(MATCH(D607,fo_code,0)),ISNA(MATCH(D607,p_services,0)))),IF(A607="BL","Client inconnu",IF(A607="BR","Fournisseur inconnu","Service inconnu")),IF(H607="","Article manquant",IF(ISNA(MATCH(H607,art_ref,0)),"Article inconnu",IF(OR(NOT(ISNUMBER(L607)),N(L607)&lt;=0),"Quantité invalide",IF(AND(K607&lt;&gt;"",OR(NOT(ISNUMBER(K607)),N(K607)&lt;=0)),"Qté commandée invalide",IF(AG607&lt;SUMPRODUCT(MAX((A$6:A606=A607)*AG$6:AG606)),"Date antérieure au bon précédent",IF(AND(A607&lt;&gt;"BR",ISNUMBER(M607),N(M607)&gt;0),IF(A607="BL","Livré plus que commandé","Sorti plus que demandé"),"OK"))))))))))))</f>
        <v/>
      </c>
      <c r="Y607" s="57" t="str">
        <f>IF(AND(OR(A607="BL",A607="BR",A607="BS"),AG607&gt;0,D607&lt;&gt;""),A607&amp;"|"&amp;AG607&amp;"|"&amp;D607&amp;"|"&amp;F607,"")</f>
        <v/>
      </c>
      <c r="Z607" s="57" t="str">
        <f>IF(Y607="","",IF(COUNTIF(Y$6:Y606,Y607)=0,1,0))</f>
        <v/>
      </c>
      <c r="AA607" s="57" t="str">
        <f>IF(Y607="","",IF(Z607=1,COUNTIFS(A$6:A607,A607,Z$6:Z607,1),INDEX(AA$6:AA606,MATCH(Y607,Y$6:Y606,0))))</f>
        <v/>
      </c>
      <c r="AB607" s="57" t="str">
        <f>IF(B607="","",COUNTIF(B$6:B607,B607))</f>
        <v/>
      </c>
      <c r="AC607" s="57" t="str">
        <f>IF(B607="","",B607&amp;"#"&amp;AB607)</f>
        <v/>
      </c>
      <c r="AD607" s="57" t="str">
        <f>IF(Z607=1,A607&amp;AA607,"")</f>
        <v/>
      </c>
      <c r="AE607" s="57" t="str">
        <f>IF(B607="","",YEAR(C607))</f>
        <v/>
      </c>
      <c r="AF607" s="57" t="str">
        <f>IF(B607="","",MONTH(C607))</f>
        <v/>
      </c>
      <c r="AG607" s="57">
        <f>IF(ISNUMBER(C607),C607,0)</f>
        <v>0.0</v>
      </c>
      <c r="AH607" s="57" t="str">
        <f>IF(N(W607)&gt;0,COUNTIF(W$6:W607,"&gt;0"),"")</f>
        <v/>
      </c>
      <c r="AI607" s="57" t="str">
        <f>IF(Z607=1,COUNTIF(Z$6:Z607,1),"")</f>
        <v/>
      </c>
    </row>
    <row r="608">
      <c r="A608" s="54" t="n"/>
      <c r="B608" s="55" t="str">
        <f>IF(AA608="","",A608&amp;"-"&amp;RIGHT("000"&amp;AA608,4))</f>
        <v/>
      </c>
      <c r="C608" s="56" t="n"/>
      <c r="D608" s="54" t="n"/>
      <c r="E608" s="57" t="str">
        <f>IF(D608="","",IF(A608="BL",IFERROR(INDEX(cl_name,MATCH(D608,cl_code,0))&amp;"","Client inconnu"),IF(A608="BR",IFERROR(INDEX(fo_name,MATCH(D608,fo_code,0))&amp;"","Fournisseur inconnu"),IF(A608="BS",IF(ISNA(MATCH(D608,p_services,0)),"Service inconnu",D608&amp;""),""))))</f>
        <v/>
      </c>
      <c r="F608" s="58" t="n"/>
      <c r="G608" s="58" t="n"/>
      <c r="H608" s="59" t="n"/>
      <c r="I608" s="57" t="str">
        <f>IF(H608="","",IFERROR(INDEX(art_des,MATCH(H608,art_ref,0))&amp;"","Article inconnu"))</f>
        <v/>
      </c>
      <c r="J608" s="60" t="str">
        <f>IF(H608="","",IFERROR(INDEX(art_unit,MATCH(H608,art_ref,0))&amp;"",""))</f>
        <v/>
      </c>
      <c r="K608" s="59" t="n"/>
      <c r="L608" s="59" t="n"/>
      <c r="M608" s="61" t="str">
        <f>IF(OR(B608="",NOT(ISNUMBER(K608)),NOT(ISNUMBER(L608))),"",IF(OR(K608&lt;=0,L608&lt;=0),"",ROUND(L608-K608,6)))</f>
        <v/>
      </c>
      <c r="N608" s="58" t="n"/>
      <c r="O608" s="62" t="n"/>
      <c r="P608" s="63" t="str">
        <f>IF(OR(B608="",NOT(ISNUMBER(L608))),"",IF(L608&lt;=0,"",IFERROR(ROUND(L608*N(INDEX(art_w,MATCH(H608,art_ref,0))),3),"")))</f>
        <v/>
      </c>
      <c r="Q608" s="59" t="n"/>
      <c r="R608" s="54" t="n"/>
      <c r="S608" s="59" t="n"/>
      <c r="T608" s="59" t="n"/>
      <c r="U608" s="64" t="str">
        <f>IF(OR(B608="",H608=""),"",IFERROR(IF(A608="BL",IF(N(INDEX(art_price,MATCH(H608,art_ref,0)))=0,"",N(INDEX(art_price,MATCH(H608,art_ref,0)))),IF(N(INDEX(art_cost,MATCH(H608,art_ref,0)))=0,"",N(INDEX(art_cost,MATCH(H608,art_ref,0))))),""))</f>
        <v/>
      </c>
      <c r="V608" s="64" t="str">
        <f>IF(OR(U608="",NOT(ISNUMBER(L608))),"",IF(L608&lt;=0,"",ROUND(L608*U608,2)))</f>
        <v/>
      </c>
      <c r="W608" s="60" t="str">
        <f>IF(AND(B608&lt;&gt;"",A608&lt;&gt;"BS",F608&lt;&gt;"",H608&lt;&gt;"",ISNUMBER(K608),ISNUMBER(L608)),IF(AND(K608&gt;0,L608&gt;0,K608-L608&gt;0,COUNTIFS(A609:A$2005,A608,F609:F$2005,F608,H609:H$2005,H608,AA609:AA$2005,"&gt;0")=0),ROUND(K608-L608,6),""),"")</f>
        <v/>
      </c>
      <c r="X608" s="60" t="str">
        <f>IF(AND(A608="",C608="",D608="",H608="",L608=""),"",IF(A608="","Type manquant",IF(AND(A608&lt;&gt;"BL",A608&lt;&gt;"BR",A608&lt;&gt;"BS"),"Type inconnu (BL, BR ou BS)",IF(AG608=0,"Date manquante ou invalide",IF(D608="",IF(A608="BL","Client manquant",IF(A608="BR","Fournisseur manquant","Service manquant")),IF(IF(A608="BL",ISNA(MATCH(D608,cl_code,0)),IF(A608="BR",ISNA(MATCH(D608,fo_code,0)),ISNA(MATCH(D608,p_services,0)))),IF(A608="BL","Client inconnu",IF(A608="BR","Fournisseur inconnu","Service inconnu")),IF(H608="","Article manquant",IF(ISNA(MATCH(H608,art_ref,0)),"Article inconnu",IF(OR(NOT(ISNUMBER(L608)),N(L608)&lt;=0),"Quantité invalide",IF(AND(K608&lt;&gt;"",OR(NOT(ISNUMBER(K608)),N(K608)&lt;=0)),"Qté commandée invalide",IF(AG608&lt;SUMPRODUCT(MAX((A$6:A607=A608)*AG$6:AG607)),"Date antérieure au bon précédent",IF(AND(A608&lt;&gt;"BR",ISNUMBER(M608),N(M608)&gt;0),IF(A608="BL","Livré plus que commandé","Sorti plus que demandé"),"OK"))))))))))))</f>
        <v/>
      </c>
      <c r="Y608" s="57" t="str">
        <f>IF(AND(OR(A608="BL",A608="BR",A608="BS"),AG608&gt;0,D608&lt;&gt;""),A608&amp;"|"&amp;AG608&amp;"|"&amp;D608&amp;"|"&amp;F608,"")</f>
        <v/>
      </c>
      <c r="Z608" s="57" t="str">
        <f>IF(Y608="","",IF(COUNTIF(Y$6:Y607,Y608)=0,1,0))</f>
        <v/>
      </c>
      <c r="AA608" s="57" t="str">
        <f>IF(Y608="","",IF(Z608=1,COUNTIFS(A$6:A608,A608,Z$6:Z608,1),INDEX(AA$6:AA607,MATCH(Y608,Y$6:Y607,0))))</f>
        <v/>
      </c>
      <c r="AB608" s="57" t="str">
        <f>IF(B608="","",COUNTIF(B$6:B608,B608))</f>
        <v/>
      </c>
      <c r="AC608" s="57" t="str">
        <f>IF(B608="","",B608&amp;"#"&amp;AB608)</f>
        <v/>
      </c>
      <c r="AD608" s="57" t="str">
        <f>IF(Z608=1,A608&amp;AA608,"")</f>
        <v/>
      </c>
      <c r="AE608" s="57" t="str">
        <f>IF(B608="","",YEAR(C608))</f>
        <v/>
      </c>
      <c r="AF608" s="57" t="str">
        <f>IF(B608="","",MONTH(C608))</f>
        <v/>
      </c>
      <c r="AG608" s="57">
        <f>IF(ISNUMBER(C608),C608,0)</f>
        <v>0.0</v>
      </c>
      <c r="AH608" s="57" t="str">
        <f>IF(N(W608)&gt;0,COUNTIF(W$6:W608,"&gt;0"),"")</f>
        <v/>
      </c>
      <c r="AI608" s="57" t="str">
        <f>IF(Z608=1,COUNTIF(Z$6:Z608,1),"")</f>
        <v/>
      </c>
    </row>
    <row r="609">
      <c r="A609" s="54" t="n"/>
      <c r="B609" s="55" t="str">
        <f>IF(AA609="","",A609&amp;"-"&amp;RIGHT("000"&amp;AA609,4))</f>
        <v/>
      </c>
      <c r="C609" s="56" t="n"/>
      <c r="D609" s="54" t="n"/>
      <c r="E609" s="57" t="str">
        <f>IF(D609="","",IF(A609="BL",IFERROR(INDEX(cl_name,MATCH(D609,cl_code,0))&amp;"","Client inconnu"),IF(A609="BR",IFERROR(INDEX(fo_name,MATCH(D609,fo_code,0))&amp;"","Fournisseur inconnu"),IF(A609="BS",IF(ISNA(MATCH(D609,p_services,0)),"Service inconnu",D609&amp;""),""))))</f>
        <v/>
      </c>
      <c r="F609" s="58" t="n"/>
      <c r="G609" s="58" t="n"/>
      <c r="H609" s="59" t="n"/>
      <c r="I609" s="57" t="str">
        <f>IF(H609="","",IFERROR(INDEX(art_des,MATCH(H609,art_ref,0))&amp;"","Article inconnu"))</f>
        <v/>
      </c>
      <c r="J609" s="60" t="str">
        <f>IF(H609="","",IFERROR(INDEX(art_unit,MATCH(H609,art_ref,0))&amp;"",""))</f>
        <v/>
      </c>
      <c r="K609" s="59" t="n"/>
      <c r="L609" s="59" t="n"/>
      <c r="M609" s="61" t="str">
        <f>IF(OR(B609="",NOT(ISNUMBER(K609)),NOT(ISNUMBER(L609))),"",IF(OR(K609&lt;=0,L609&lt;=0),"",ROUND(L609-K609,6)))</f>
        <v/>
      </c>
      <c r="N609" s="58" t="n"/>
      <c r="O609" s="62" t="n"/>
      <c r="P609" s="63" t="str">
        <f>IF(OR(B609="",NOT(ISNUMBER(L609))),"",IF(L609&lt;=0,"",IFERROR(ROUND(L609*N(INDEX(art_w,MATCH(H609,art_ref,0))),3),"")))</f>
        <v/>
      </c>
      <c r="Q609" s="59" t="n"/>
      <c r="R609" s="54" t="n"/>
      <c r="S609" s="59" t="n"/>
      <c r="T609" s="59" t="n"/>
      <c r="U609" s="64" t="str">
        <f>IF(OR(B609="",H609=""),"",IFERROR(IF(A609="BL",IF(N(INDEX(art_price,MATCH(H609,art_ref,0)))=0,"",N(INDEX(art_price,MATCH(H609,art_ref,0)))),IF(N(INDEX(art_cost,MATCH(H609,art_ref,0)))=0,"",N(INDEX(art_cost,MATCH(H609,art_ref,0))))),""))</f>
        <v/>
      </c>
      <c r="V609" s="64" t="str">
        <f>IF(OR(U609="",NOT(ISNUMBER(L609))),"",IF(L609&lt;=0,"",ROUND(L609*U609,2)))</f>
        <v/>
      </c>
      <c r="W609" s="60" t="str">
        <f>IF(AND(B609&lt;&gt;"",A609&lt;&gt;"BS",F609&lt;&gt;"",H609&lt;&gt;"",ISNUMBER(K609),ISNUMBER(L609)),IF(AND(K609&gt;0,L609&gt;0,K609-L609&gt;0,COUNTIFS(A610:A$2005,A609,F610:F$2005,F609,H610:H$2005,H609,AA610:AA$2005,"&gt;0")=0),ROUND(K609-L609,6),""),"")</f>
        <v/>
      </c>
      <c r="X609" s="60" t="str">
        <f>IF(AND(A609="",C609="",D609="",H609="",L609=""),"",IF(A609="","Type manquant",IF(AND(A609&lt;&gt;"BL",A609&lt;&gt;"BR",A609&lt;&gt;"BS"),"Type inconnu (BL, BR ou BS)",IF(AG609=0,"Date manquante ou invalide",IF(D609="",IF(A609="BL","Client manquant",IF(A609="BR","Fournisseur manquant","Service manquant")),IF(IF(A609="BL",ISNA(MATCH(D609,cl_code,0)),IF(A609="BR",ISNA(MATCH(D609,fo_code,0)),ISNA(MATCH(D609,p_services,0)))),IF(A609="BL","Client inconnu",IF(A609="BR","Fournisseur inconnu","Service inconnu")),IF(H609="","Article manquant",IF(ISNA(MATCH(H609,art_ref,0)),"Article inconnu",IF(OR(NOT(ISNUMBER(L609)),N(L609)&lt;=0),"Quantité invalide",IF(AND(K609&lt;&gt;"",OR(NOT(ISNUMBER(K609)),N(K609)&lt;=0)),"Qté commandée invalide",IF(AG609&lt;SUMPRODUCT(MAX((A$6:A608=A609)*AG$6:AG608)),"Date antérieure au bon précédent",IF(AND(A609&lt;&gt;"BR",ISNUMBER(M609),N(M609)&gt;0),IF(A609="BL","Livré plus que commandé","Sorti plus que demandé"),"OK"))))))))))))</f>
        <v/>
      </c>
      <c r="Y609" s="57" t="str">
        <f>IF(AND(OR(A609="BL",A609="BR",A609="BS"),AG609&gt;0,D609&lt;&gt;""),A609&amp;"|"&amp;AG609&amp;"|"&amp;D609&amp;"|"&amp;F609,"")</f>
        <v/>
      </c>
      <c r="Z609" s="57" t="str">
        <f>IF(Y609="","",IF(COUNTIF(Y$6:Y608,Y609)=0,1,0))</f>
        <v/>
      </c>
      <c r="AA609" s="57" t="str">
        <f>IF(Y609="","",IF(Z609=1,COUNTIFS(A$6:A609,A609,Z$6:Z609,1),INDEX(AA$6:AA608,MATCH(Y609,Y$6:Y608,0))))</f>
        <v/>
      </c>
      <c r="AB609" s="57" t="str">
        <f>IF(B609="","",COUNTIF(B$6:B609,B609))</f>
        <v/>
      </c>
      <c r="AC609" s="57" t="str">
        <f>IF(B609="","",B609&amp;"#"&amp;AB609)</f>
        <v/>
      </c>
      <c r="AD609" s="57" t="str">
        <f>IF(Z609=1,A609&amp;AA609,"")</f>
        <v/>
      </c>
      <c r="AE609" s="57" t="str">
        <f>IF(B609="","",YEAR(C609))</f>
        <v/>
      </c>
      <c r="AF609" s="57" t="str">
        <f>IF(B609="","",MONTH(C609))</f>
        <v/>
      </c>
      <c r="AG609" s="57">
        <f>IF(ISNUMBER(C609),C609,0)</f>
        <v>0.0</v>
      </c>
      <c r="AH609" s="57" t="str">
        <f>IF(N(W609)&gt;0,COUNTIF(W$6:W609,"&gt;0"),"")</f>
        <v/>
      </c>
      <c r="AI609" s="57" t="str">
        <f>IF(Z609=1,COUNTIF(Z$6:Z609,1),"")</f>
        <v/>
      </c>
    </row>
    <row r="610">
      <c r="A610" s="54" t="n"/>
      <c r="B610" s="55" t="str">
        <f>IF(AA610="","",A610&amp;"-"&amp;RIGHT("000"&amp;AA610,4))</f>
        <v/>
      </c>
      <c r="C610" s="56" t="n"/>
      <c r="D610" s="54" t="n"/>
      <c r="E610" s="57" t="str">
        <f>IF(D610="","",IF(A610="BL",IFERROR(INDEX(cl_name,MATCH(D610,cl_code,0))&amp;"","Client inconnu"),IF(A610="BR",IFERROR(INDEX(fo_name,MATCH(D610,fo_code,0))&amp;"","Fournisseur inconnu"),IF(A610="BS",IF(ISNA(MATCH(D610,p_services,0)),"Service inconnu",D610&amp;""),""))))</f>
        <v/>
      </c>
      <c r="F610" s="58" t="n"/>
      <c r="G610" s="58" t="n"/>
      <c r="H610" s="59" t="n"/>
      <c r="I610" s="57" t="str">
        <f>IF(H610="","",IFERROR(INDEX(art_des,MATCH(H610,art_ref,0))&amp;"","Article inconnu"))</f>
        <v/>
      </c>
      <c r="J610" s="60" t="str">
        <f>IF(H610="","",IFERROR(INDEX(art_unit,MATCH(H610,art_ref,0))&amp;"",""))</f>
        <v/>
      </c>
      <c r="K610" s="59" t="n"/>
      <c r="L610" s="59" t="n"/>
      <c r="M610" s="61" t="str">
        <f>IF(OR(B610="",NOT(ISNUMBER(K610)),NOT(ISNUMBER(L610))),"",IF(OR(K610&lt;=0,L610&lt;=0),"",ROUND(L610-K610,6)))</f>
        <v/>
      </c>
      <c r="N610" s="58" t="n"/>
      <c r="O610" s="62" t="n"/>
      <c r="P610" s="63" t="str">
        <f>IF(OR(B610="",NOT(ISNUMBER(L610))),"",IF(L610&lt;=0,"",IFERROR(ROUND(L610*N(INDEX(art_w,MATCH(H610,art_ref,0))),3),"")))</f>
        <v/>
      </c>
      <c r="Q610" s="59" t="n"/>
      <c r="R610" s="54" t="n"/>
      <c r="S610" s="59" t="n"/>
      <c r="T610" s="59" t="n"/>
      <c r="U610" s="64" t="str">
        <f>IF(OR(B610="",H610=""),"",IFERROR(IF(A610="BL",IF(N(INDEX(art_price,MATCH(H610,art_ref,0)))=0,"",N(INDEX(art_price,MATCH(H610,art_ref,0)))),IF(N(INDEX(art_cost,MATCH(H610,art_ref,0)))=0,"",N(INDEX(art_cost,MATCH(H610,art_ref,0))))),""))</f>
        <v/>
      </c>
      <c r="V610" s="64" t="str">
        <f>IF(OR(U610="",NOT(ISNUMBER(L610))),"",IF(L610&lt;=0,"",ROUND(L610*U610,2)))</f>
        <v/>
      </c>
      <c r="W610" s="60" t="str">
        <f>IF(AND(B610&lt;&gt;"",A610&lt;&gt;"BS",F610&lt;&gt;"",H610&lt;&gt;"",ISNUMBER(K610),ISNUMBER(L610)),IF(AND(K610&gt;0,L610&gt;0,K610-L610&gt;0,COUNTIFS(A611:A$2005,A610,F611:F$2005,F610,H611:H$2005,H610,AA611:AA$2005,"&gt;0")=0),ROUND(K610-L610,6),""),"")</f>
        <v/>
      </c>
      <c r="X610" s="60" t="str">
        <f>IF(AND(A610="",C610="",D610="",H610="",L610=""),"",IF(A610="","Type manquant",IF(AND(A610&lt;&gt;"BL",A610&lt;&gt;"BR",A610&lt;&gt;"BS"),"Type inconnu (BL, BR ou BS)",IF(AG610=0,"Date manquante ou invalide",IF(D610="",IF(A610="BL","Client manquant",IF(A610="BR","Fournisseur manquant","Service manquant")),IF(IF(A610="BL",ISNA(MATCH(D610,cl_code,0)),IF(A610="BR",ISNA(MATCH(D610,fo_code,0)),ISNA(MATCH(D610,p_services,0)))),IF(A610="BL","Client inconnu",IF(A610="BR","Fournisseur inconnu","Service inconnu")),IF(H610="","Article manquant",IF(ISNA(MATCH(H610,art_ref,0)),"Article inconnu",IF(OR(NOT(ISNUMBER(L610)),N(L610)&lt;=0),"Quantité invalide",IF(AND(K610&lt;&gt;"",OR(NOT(ISNUMBER(K610)),N(K610)&lt;=0)),"Qté commandée invalide",IF(AG610&lt;SUMPRODUCT(MAX((A$6:A609=A610)*AG$6:AG609)),"Date antérieure au bon précédent",IF(AND(A610&lt;&gt;"BR",ISNUMBER(M610),N(M610)&gt;0),IF(A610="BL","Livré plus que commandé","Sorti plus que demandé"),"OK"))))))))))))</f>
        <v/>
      </c>
      <c r="Y610" s="57" t="str">
        <f>IF(AND(OR(A610="BL",A610="BR",A610="BS"),AG610&gt;0,D610&lt;&gt;""),A610&amp;"|"&amp;AG610&amp;"|"&amp;D610&amp;"|"&amp;F610,"")</f>
        <v/>
      </c>
      <c r="Z610" s="57" t="str">
        <f>IF(Y610="","",IF(COUNTIF(Y$6:Y609,Y610)=0,1,0))</f>
        <v/>
      </c>
      <c r="AA610" s="57" t="str">
        <f>IF(Y610="","",IF(Z610=1,COUNTIFS(A$6:A610,A610,Z$6:Z610,1),INDEX(AA$6:AA609,MATCH(Y610,Y$6:Y609,0))))</f>
        <v/>
      </c>
      <c r="AB610" s="57" t="str">
        <f>IF(B610="","",COUNTIF(B$6:B610,B610))</f>
        <v/>
      </c>
      <c r="AC610" s="57" t="str">
        <f>IF(B610="","",B610&amp;"#"&amp;AB610)</f>
        <v/>
      </c>
      <c r="AD610" s="57" t="str">
        <f>IF(Z610=1,A610&amp;AA610,"")</f>
        <v/>
      </c>
      <c r="AE610" s="57" t="str">
        <f>IF(B610="","",YEAR(C610))</f>
        <v/>
      </c>
      <c r="AF610" s="57" t="str">
        <f>IF(B610="","",MONTH(C610))</f>
        <v/>
      </c>
      <c r="AG610" s="57">
        <f>IF(ISNUMBER(C610),C610,0)</f>
        <v>0.0</v>
      </c>
      <c r="AH610" s="57" t="str">
        <f>IF(N(W610)&gt;0,COUNTIF(W$6:W610,"&gt;0"),"")</f>
        <v/>
      </c>
      <c r="AI610" s="57" t="str">
        <f>IF(Z610=1,COUNTIF(Z$6:Z610,1),"")</f>
        <v/>
      </c>
    </row>
    <row r="611">
      <c r="A611" s="54" t="n"/>
      <c r="B611" s="55" t="str">
        <f>IF(AA611="","",A611&amp;"-"&amp;RIGHT("000"&amp;AA611,4))</f>
        <v/>
      </c>
      <c r="C611" s="56" t="n"/>
      <c r="D611" s="54" t="n"/>
      <c r="E611" s="57" t="str">
        <f>IF(D611="","",IF(A611="BL",IFERROR(INDEX(cl_name,MATCH(D611,cl_code,0))&amp;"","Client inconnu"),IF(A611="BR",IFERROR(INDEX(fo_name,MATCH(D611,fo_code,0))&amp;"","Fournisseur inconnu"),IF(A611="BS",IF(ISNA(MATCH(D611,p_services,0)),"Service inconnu",D611&amp;""),""))))</f>
        <v/>
      </c>
      <c r="F611" s="58" t="n"/>
      <c r="G611" s="58" t="n"/>
      <c r="H611" s="59" t="n"/>
      <c r="I611" s="57" t="str">
        <f>IF(H611="","",IFERROR(INDEX(art_des,MATCH(H611,art_ref,0))&amp;"","Article inconnu"))</f>
        <v/>
      </c>
      <c r="J611" s="60" t="str">
        <f>IF(H611="","",IFERROR(INDEX(art_unit,MATCH(H611,art_ref,0))&amp;"",""))</f>
        <v/>
      </c>
      <c r="K611" s="59" t="n"/>
      <c r="L611" s="59" t="n"/>
      <c r="M611" s="61" t="str">
        <f>IF(OR(B611="",NOT(ISNUMBER(K611)),NOT(ISNUMBER(L611))),"",IF(OR(K611&lt;=0,L611&lt;=0),"",ROUND(L611-K611,6)))</f>
        <v/>
      </c>
      <c r="N611" s="58" t="n"/>
      <c r="O611" s="62" t="n"/>
      <c r="P611" s="63" t="str">
        <f>IF(OR(B611="",NOT(ISNUMBER(L611))),"",IF(L611&lt;=0,"",IFERROR(ROUND(L611*N(INDEX(art_w,MATCH(H611,art_ref,0))),3),"")))</f>
        <v/>
      </c>
      <c r="Q611" s="59" t="n"/>
      <c r="R611" s="54" t="n"/>
      <c r="S611" s="59" t="n"/>
      <c r="T611" s="59" t="n"/>
      <c r="U611" s="64" t="str">
        <f>IF(OR(B611="",H611=""),"",IFERROR(IF(A611="BL",IF(N(INDEX(art_price,MATCH(H611,art_ref,0)))=0,"",N(INDEX(art_price,MATCH(H611,art_ref,0)))),IF(N(INDEX(art_cost,MATCH(H611,art_ref,0)))=0,"",N(INDEX(art_cost,MATCH(H611,art_ref,0))))),""))</f>
        <v/>
      </c>
      <c r="V611" s="64" t="str">
        <f>IF(OR(U611="",NOT(ISNUMBER(L611))),"",IF(L611&lt;=0,"",ROUND(L611*U611,2)))</f>
        <v/>
      </c>
      <c r="W611" s="60" t="str">
        <f>IF(AND(B611&lt;&gt;"",A611&lt;&gt;"BS",F611&lt;&gt;"",H611&lt;&gt;"",ISNUMBER(K611),ISNUMBER(L611)),IF(AND(K611&gt;0,L611&gt;0,K611-L611&gt;0,COUNTIFS(A612:A$2005,A611,F612:F$2005,F611,H612:H$2005,H611,AA612:AA$2005,"&gt;0")=0),ROUND(K611-L611,6),""),"")</f>
        <v/>
      </c>
      <c r="X611" s="60" t="str">
        <f>IF(AND(A611="",C611="",D611="",H611="",L611=""),"",IF(A611="","Type manquant",IF(AND(A611&lt;&gt;"BL",A611&lt;&gt;"BR",A611&lt;&gt;"BS"),"Type inconnu (BL, BR ou BS)",IF(AG611=0,"Date manquante ou invalide",IF(D611="",IF(A611="BL","Client manquant",IF(A611="BR","Fournisseur manquant","Service manquant")),IF(IF(A611="BL",ISNA(MATCH(D611,cl_code,0)),IF(A611="BR",ISNA(MATCH(D611,fo_code,0)),ISNA(MATCH(D611,p_services,0)))),IF(A611="BL","Client inconnu",IF(A611="BR","Fournisseur inconnu","Service inconnu")),IF(H611="","Article manquant",IF(ISNA(MATCH(H611,art_ref,0)),"Article inconnu",IF(OR(NOT(ISNUMBER(L611)),N(L611)&lt;=0),"Quantité invalide",IF(AND(K611&lt;&gt;"",OR(NOT(ISNUMBER(K611)),N(K611)&lt;=0)),"Qté commandée invalide",IF(AG611&lt;SUMPRODUCT(MAX((A$6:A610=A611)*AG$6:AG610)),"Date antérieure au bon précédent",IF(AND(A611&lt;&gt;"BR",ISNUMBER(M611),N(M611)&gt;0),IF(A611="BL","Livré plus que commandé","Sorti plus que demandé"),"OK"))))))))))))</f>
        <v/>
      </c>
      <c r="Y611" s="57" t="str">
        <f>IF(AND(OR(A611="BL",A611="BR",A611="BS"),AG611&gt;0,D611&lt;&gt;""),A611&amp;"|"&amp;AG611&amp;"|"&amp;D611&amp;"|"&amp;F611,"")</f>
        <v/>
      </c>
      <c r="Z611" s="57" t="str">
        <f>IF(Y611="","",IF(COUNTIF(Y$6:Y610,Y611)=0,1,0))</f>
        <v/>
      </c>
      <c r="AA611" s="57" t="str">
        <f>IF(Y611="","",IF(Z611=1,COUNTIFS(A$6:A611,A611,Z$6:Z611,1),INDEX(AA$6:AA610,MATCH(Y611,Y$6:Y610,0))))</f>
        <v/>
      </c>
      <c r="AB611" s="57" t="str">
        <f>IF(B611="","",COUNTIF(B$6:B611,B611))</f>
        <v/>
      </c>
      <c r="AC611" s="57" t="str">
        <f>IF(B611="","",B611&amp;"#"&amp;AB611)</f>
        <v/>
      </c>
      <c r="AD611" s="57" t="str">
        <f>IF(Z611=1,A611&amp;AA611,"")</f>
        <v/>
      </c>
      <c r="AE611" s="57" t="str">
        <f>IF(B611="","",YEAR(C611))</f>
        <v/>
      </c>
      <c r="AF611" s="57" t="str">
        <f>IF(B611="","",MONTH(C611))</f>
        <v/>
      </c>
      <c r="AG611" s="57">
        <f>IF(ISNUMBER(C611),C611,0)</f>
        <v>0.0</v>
      </c>
      <c r="AH611" s="57" t="str">
        <f>IF(N(W611)&gt;0,COUNTIF(W$6:W611,"&gt;0"),"")</f>
        <v/>
      </c>
      <c r="AI611" s="57" t="str">
        <f>IF(Z611=1,COUNTIF(Z$6:Z611,1),"")</f>
        <v/>
      </c>
    </row>
    <row r="612">
      <c r="A612" s="54" t="n"/>
      <c r="B612" s="55" t="str">
        <f>IF(AA612="","",A612&amp;"-"&amp;RIGHT("000"&amp;AA612,4))</f>
        <v/>
      </c>
      <c r="C612" s="56" t="n"/>
      <c r="D612" s="54" t="n"/>
      <c r="E612" s="57" t="str">
        <f>IF(D612="","",IF(A612="BL",IFERROR(INDEX(cl_name,MATCH(D612,cl_code,0))&amp;"","Client inconnu"),IF(A612="BR",IFERROR(INDEX(fo_name,MATCH(D612,fo_code,0))&amp;"","Fournisseur inconnu"),IF(A612="BS",IF(ISNA(MATCH(D612,p_services,0)),"Service inconnu",D612&amp;""),""))))</f>
        <v/>
      </c>
      <c r="F612" s="58" t="n"/>
      <c r="G612" s="58" t="n"/>
      <c r="H612" s="59" t="n"/>
      <c r="I612" s="57" t="str">
        <f>IF(H612="","",IFERROR(INDEX(art_des,MATCH(H612,art_ref,0))&amp;"","Article inconnu"))</f>
        <v/>
      </c>
      <c r="J612" s="60" t="str">
        <f>IF(H612="","",IFERROR(INDEX(art_unit,MATCH(H612,art_ref,0))&amp;"",""))</f>
        <v/>
      </c>
      <c r="K612" s="59" t="n"/>
      <c r="L612" s="59" t="n"/>
      <c r="M612" s="61" t="str">
        <f>IF(OR(B612="",NOT(ISNUMBER(K612)),NOT(ISNUMBER(L612))),"",IF(OR(K612&lt;=0,L612&lt;=0),"",ROUND(L612-K612,6)))</f>
        <v/>
      </c>
      <c r="N612" s="58" t="n"/>
      <c r="O612" s="62" t="n"/>
      <c r="P612" s="63" t="str">
        <f>IF(OR(B612="",NOT(ISNUMBER(L612))),"",IF(L612&lt;=0,"",IFERROR(ROUND(L612*N(INDEX(art_w,MATCH(H612,art_ref,0))),3),"")))</f>
        <v/>
      </c>
      <c r="Q612" s="59" t="n"/>
      <c r="R612" s="54" t="n"/>
      <c r="S612" s="59" t="n"/>
      <c r="T612" s="59" t="n"/>
      <c r="U612" s="64" t="str">
        <f>IF(OR(B612="",H612=""),"",IFERROR(IF(A612="BL",IF(N(INDEX(art_price,MATCH(H612,art_ref,0)))=0,"",N(INDEX(art_price,MATCH(H612,art_ref,0)))),IF(N(INDEX(art_cost,MATCH(H612,art_ref,0)))=0,"",N(INDEX(art_cost,MATCH(H612,art_ref,0))))),""))</f>
        <v/>
      </c>
      <c r="V612" s="64" t="str">
        <f>IF(OR(U612="",NOT(ISNUMBER(L612))),"",IF(L612&lt;=0,"",ROUND(L612*U612,2)))</f>
        <v/>
      </c>
      <c r="W612" s="60" t="str">
        <f>IF(AND(B612&lt;&gt;"",A612&lt;&gt;"BS",F612&lt;&gt;"",H612&lt;&gt;"",ISNUMBER(K612),ISNUMBER(L612)),IF(AND(K612&gt;0,L612&gt;0,K612-L612&gt;0,COUNTIFS(A613:A$2005,A612,F613:F$2005,F612,H613:H$2005,H612,AA613:AA$2005,"&gt;0")=0),ROUND(K612-L612,6),""),"")</f>
        <v/>
      </c>
      <c r="X612" s="60" t="str">
        <f>IF(AND(A612="",C612="",D612="",H612="",L612=""),"",IF(A612="","Type manquant",IF(AND(A612&lt;&gt;"BL",A612&lt;&gt;"BR",A612&lt;&gt;"BS"),"Type inconnu (BL, BR ou BS)",IF(AG612=0,"Date manquante ou invalide",IF(D612="",IF(A612="BL","Client manquant",IF(A612="BR","Fournisseur manquant","Service manquant")),IF(IF(A612="BL",ISNA(MATCH(D612,cl_code,0)),IF(A612="BR",ISNA(MATCH(D612,fo_code,0)),ISNA(MATCH(D612,p_services,0)))),IF(A612="BL","Client inconnu",IF(A612="BR","Fournisseur inconnu","Service inconnu")),IF(H612="","Article manquant",IF(ISNA(MATCH(H612,art_ref,0)),"Article inconnu",IF(OR(NOT(ISNUMBER(L612)),N(L612)&lt;=0),"Quantité invalide",IF(AND(K612&lt;&gt;"",OR(NOT(ISNUMBER(K612)),N(K612)&lt;=0)),"Qté commandée invalide",IF(AG612&lt;SUMPRODUCT(MAX((A$6:A611=A612)*AG$6:AG611)),"Date antérieure au bon précédent",IF(AND(A612&lt;&gt;"BR",ISNUMBER(M612),N(M612)&gt;0),IF(A612="BL","Livré plus que commandé","Sorti plus que demandé"),"OK"))))))))))))</f>
        <v/>
      </c>
      <c r="Y612" s="57" t="str">
        <f>IF(AND(OR(A612="BL",A612="BR",A612="BS"),AG612&gt;0,D612&lt;&gt;""),A612&amp;"|"&amp;AG612&amp;"|"&amp;D612&amp;"|"&amp;F612,"")</f>
        <v/>
      </c>
      <c r="Z612" s="57" t="str">
        <f>IF(Y612="","",IF(COUNTIF(Y$6:Y611,Y612)=0,1,0))</f>
        <v/>
      </c>
      <c r="AA612" s="57" t="str">
        <f>IF(Y612="","",IF(Z612=1,COUNTIFS(A$6:A612,A612,Z$6:Z612,1),INDEX(AA$6:AA611,MATCH(Y612,Y$6:Y611,0))))</f>
        <v/>
      </c>
      <c r="AB612" s="57" t="str">
        <f>IF(B612="","",COUNTIF(B$6:B612,B612))</f>
        <v/>
      </c>
      <c r="AC612" s="57" t="str">
        <f>IF(B612="","",B612&amp;"#"&amp;AB612)</f>
        <v/>
      </c>
      <c r="AD612" s="57" t="str">
        <f>IF(Z612=1,A612&amp;AA612,"")</f>
        <v/>
      </c>
      <c r="AE612" s="57" t="str">
        <f>IF(B612="","",YEAR(C612))</f>
        <v/>
      </c>
      <c r="AF612" s="57" t="str">
        <f>IF(B612="","",MONTH(C612))</f>
        <v/>
      </c>
      <c r="AG612" s="57">
        <f>IF(ISNUMBER(C612),C612,0)</f>
        <v>0.0</v>
      </c>
      <c r="AH612" s="57" t="str">
        <f>IF(N(W612)&gt;0,COUNTIF(W$6:W612,"&gt;0"),"")</f>
        <v/>
      </c>
      <c r="AI612" s="57" t="str">
        <f>IF(Z612=1,COUNTIF(Z$6:Z612,1),"")</f>
        <v/>
      </c>
    </row>
    <row r="613">
      <c r="A613" s="54" t="n"/>
      <c r="B613" s="55" t="str">
        <f>IF(AA613="","",A613&amp;"-"&amp;RIGHT("000"&amp;AA613,4))</f>
        <v/>
      </c>
      <c r="C613" s="56" t="n"/>
      <c r="D613" s="54" t="n"/>
      <c r="E613" s="57" t="str">
        <f>IF(D613="","",IF(A613="BL",IFERROR(INDEX(cl_name,MATCH(D613,cl_code,0))&amp;"","Client inconnu"),IF(A613="BR",IFERROR(INDEX(fo_name,MATCH(D613,fo_code,0))&amp;"","Fournisseur inconnu"),IF(A613="BS",IF(ISNA(MATCH(D613,p_services,0)),"Service inconnu",D613&amp;""),""))))</f>
        <v/>
      </c>
      <c r="F613" s="58" t="n"/>
      <c r="G613" s="58" t="n"/>
      <c r="H613" s="59" t="n"/>
      <c r="I613" s="57" t="str">
        <f>IF(H613="","",IFERROR(INDEX(art_des,MATCH(H613,art_ref,0))&amp;"","Article inconnu"))</f>
        <v/>
      </c>
      <c r="J613" s="60" t="str">
        <f>IF(H613="","",IFERROR(INDEX(art_unit,MATCH(H613,art_ref,0))&amp;"",""))</f>
        <v/>
      </c>
      <c r="K613" s="59" t="n"/>
      <c r="L613" s="59" t="n"/>
      <c r="M613" s="61" t="str">
        <f>IF(OR(B613="",NOT(ISNUMBER(K613)),NOT(ISNUMBER(L613))),"",IF(OR(K613&lt;=0,L613&lt;=0),"",ROUND(L613-K613,6)))</f>
        <v/>
      </c>
      <c r="N613" s="58" t="n"/>
      <c r="O613" s="62" t="n"/>
      <c r="P613" s="63" t="str">
        <f>IF(OR(B613="",NOT(ISNUMBER(L613))),"",IF(L613&lt;=0,"",IFERROR(ROUND(L613*N(INDEX(art_w,MATCH(H613,art_ref,0))),3),"")))</f>
        <v/>
      </c>
      <c r="Q613" s="59" t="n"/>
      <c r="R613" s="54" t="n"/>
      <c r="S613" s="59" t="n"/>
      <c r="T613" s="59" t="n"/>
      <c r="U613" s="64" t="str">
        <f>IF(OR(B613="",H613=""),"",IFERROR(IF(A613="BL",IF(N(INDEX(art_price,MATCH(H613,art_ref,0)))=0,"",N(INDEX(art_price,MATCH(H613,art_ref,0)))),IF(N(INDEX(art_cost,MATCH(H613,art_ref,0)))=0,"",N(INDEX(art_cost,MATCH(H613,art_ref,0))))),""))</f>
        <v/>
      </c>
      <c r="V613" s="64" t="str">
        <f>IF(OR(U613="",NOT(ISNUMBER(L613))),"",IF(L613&lt;=0,"",ROUND(L613*U613,2)))</f>
        <v/>
      </c>
      <c r="W613" s="60" t="str">
        <f>IF(AND(B613&lt;&gt;"",A613&lt;&gt;"BS",F613&lt;&gt;"",H613&lt;&gt;"",ISNUMBER(K613),ISNUMBER(L613)),IF(AND(K613&gt;0,L613&gt;0,K613-L613&gt;0,COUNTIFS(A614:A$2005,A613,F614:F$2005,F613,H614:H$2005,H613,AA614:AA$2005,"&gt;0")=0),ROUND(K613-L613,6),""),"")</f>
        <v/>
      </c>
      <c r="X613" s="60" t="str">
        <f>IF(AND(A613="",C613="",D613="",H613="",L613=""),"",IF(A613="","Type manquant",IF(AND(A613&lt;&gt;"BL",A613&lt;&gt;"BR",A613&lt;&gt;"BS"),"Type inconnu (BL, BR ou BS)",IF(AG613=0,"Date manquante ou invalide",IF(D613="",IF(A613="BL","Client manquant",IF(A613="BR","Fournisseur manquant","Service manquant")),IF(IF(A613="BL",ISNA(MATCH(D613,cl_code,0)),IF(A613="BR",ISNA(MATCH(D613,fo_code,0)),ISNA(MATCH(D613,p_services,0)))),IF(A613="BL","Client inconnu",IF(A613="BR","Fournisseur inconnu","Service inconnu")),IF(H613="","Article manquant",IF(ISNA(MATCH(H613,art_ref,0)),"Article inconnu",IF(OR(NOT(ISNUMBER(L613)),N(L613)&lt;=0),"Quantité invalide",IF(AND(K613&lt;&gt;"",OR(NOT(ISNUMBER(K613)),N(K613)&lt;=0)),"Qté commandée invalide",IF(AG613&lt;SUMPRODUCT(MAX((A$6:A612=A613)*AG$6:AG612)),"Date antérieure au bon précédent",IF(AND(A613&lt;&gt;"BR",ISNUMBER(M613),N(M613)&gt;0),IF(A613="BL","Livré plus que commandé","Sorti plus que demandé"),"OK"))))))))))))</f>
        <v/>
      </c>
      <c r="Y613" s="57" t="str">
        <f>IF(AND(OR(A613="BL",A613="BR",A613="BS"),AG613&gt;0,D613&lt;&gt;""),A613&amp;"|"&amp;AG613&amp;"|"&amp;D613&amp;"|"&amp;F613,"")</f>
        <v/>
      </c>
      <c r="Z613" s="57" t="str">
        <f>IF(Y613="","",IF(COUNTIF(Y$6:Y612,Y613)=0,1,0))</f>
        <v/>
      </c>
      <c r="AA613" s="57" t="str">
        <f>IF(Y613="","",IF(Z613=1,COUNTIFS(A$6:A613,A613,Z$6:Z613,1),INDEX(AA$6:AA612,MATCH(Y613,Y$6:Y612,0))))</f>
        <v/>
      </c>
      <c r="AB613" s="57" t="str">
        <f>IF(B613="","",COUNTIF(B$6:B613,B613))</f>
        <v/>
      </c>
      <c r="AC613" s="57" t="str">
        <f>IF(B613="","",B613&amp;"#"&amp;AB613)</f>
        <v/>
      </c>
      <c r="AD613" s="57" t="str">
        <f>IF(Z613=1,A613&amp;AA613,"")</f>
        <v/>
      </c>
      <c r="AE613" s="57" t="str">
        <f>IF(B613="","",YEAR(C613))</f>
        <v/>
      </c>
      <c r="AF613" s="57" t="str">
        <f>IF(B613="","",MONTH(C613))</f>
        <v/>
      </c>
      <c r="AG613" s="57">
        <f>IF(ISNUMBER(C613),C613,0)</f>
        <v>0.0</v>
      </c>
      <c r="AH613" s="57" t="str">
        <f>IF(N(W613)&gt;0,COUNTIF(W$6:W613,"&gt;0"),"")</f>
        <v/>
      </c>
      <c r="AI613" s="57" t="str">
        <f>IF(Z613=1,COUNTIF(Z$6:Z613,1),"")</f>
        <v/>
      </c>
    </row>
    <row r="614">
      <c r="A614" s="54" t="n"/>
      <c r="B614" s="55" t="str">
        <f>IF(AA614="","",A614&amp;"-"&amp;RIGHT("000"&amp;AA614,4))</f>
        <v/>
      </c>
      <c r="C614" s="56" t="n"/>
      <c r="D614" s="54" t="n"/>
      <c r="E614" s="57" t="str">
        <f>IF(D614="","",IF(A614="BL",IFERROR(INDEX(cl_name,MATCH(D614,cl_code,0))&amp;"","Client inconnu"),IF(A614="BR",IFERROR(INDEX(fo_name,MATCH(D614,fo_code,0))&amp;"","Fournisseur inconnu"),IF(A614="BS",IF(ISNA(MATCH(D614,p_services,0)),"Service inconnu",D614&amp;""),""))))</f>
        <v/>
      </c>
      <c r="F614" s="58" t="n"/>
      <c r="G614" s="58" t="n"/>
      <c r="H614" s="59" t="n"/>
      <c r="I614" s="57" t="str">
        <f>IF(H614="","",IFERROR(INDEX(art_des,MATCH(H614,art_ref,0))&amp;"","Article inconnu"))</f>
        <v/>
      </c>
      <c r="J614" s="60" t="str">
        <f>IF(H614="","",IFERROR(INDEX(art_unit,MATCH(H614,art_ref,0))&amp;"",""))</f>
        <v/>
      </c>
      <c r="K614" s="59" t="n"/>
      <c r="L614" s="59" t="n"/>
      <c r="M614" s="61" t="str">
        <f>IF(OR(B614="",NOT(ISNUMBER(K614)),NOT(ISNUMBER(L614))),"",IF(OR(K614&lt;=0,L614&lt;=0),"",ROUND(L614-K614,6)))</f>
        <v/>
      </c>
      <c r="N614" s="58" t="n"/>
      <c r="O614" s="62" t="n"/>
      <c r="P614" s="63" t="str">
        <f>IF(OR(B614="",NOT(ISNUMBER(L614))),"",IF(L614&lt;=0,"",IFERROR(ROUND(L614*N(INDEX(art_w,MATCH(H614,art_ref,0))),3),"")))</f>
        <v/>
      </c>
      <c r="Q614" s="59" t="n"/>
      <c r="R614" s="54" t="n"/>
      <c r="S614" s="59" t="n"/>
      <c r="T614" s="59" t="n"/>
      <c r="U614" s="64" t="str">
        <f>IF(OR(B614="",H614=""),"",IFERROR(IF(A614="BL",IF(N(INDEX(art_price,MATCH(H614,art_ref,0)))=0,"",N(INDEX(art_price,MATCH(H614,art_ref,0)))),IF(N(INDEX(art_cost,MATCH(H614,art_ref,0)))=0,"",N(INDEX(art_cost,MATCH(H614,art_ref,0))))),""))</f>
        <v/>
      </c>
      <c r="V614" s="64" t="str">
        <f>IF(OR(U614="",NOT(ISNUMBER(L614))),"",IF(L614&lt;=0,"",ROUND(L614*U614,2)))</f>
        <v/>
      </c>
      <c r="W614" s="60" t="str">
        <f>IF(AND(B614&lt;&gt;"",A614&lt;&gt;"BS",F614&lt;&gt;"",H614&lt;&gt;"",ISNUMBER(K614),ISNUMBER(L614)),IF(AND(K614&gt;0,L614&gt;0,K614-L614&gt;0,COUNTIFS(A615:A$2005,A614,F615:F$2005,F614,H615:H$2005,H614,AA615:AA$2005,"&gt;0")=0),ROUND(K614-L614,6),""),"")</f>
        <v/>
      </c>
      <c r="X614" s="60" t="str">
        <f>IF(AND(A614="",C614="",D614="",H614="",L614=""),"",IF(A614="","Type manquant",IF(AND(A614&lt;&gt;"BL",A614&lt;&gt;"BR",A614&lt;&gt;"BS"),"Type inconnu (BL, BR ou BS)",IF(AG614=0,"Date manquante ou invalide",IF(D614="",IF(A614="BL","Client manquant",IF(A614="BR","Fournisseur manquant","Service manquant")),IF(IF(A614="BL",ISNA(MATCH(D614,cl_code,0)),IF(A614="BR",ISNA(MATCH(D614,fo_code,0)),ISNA(MATCH(D614,p_services,0)))),IF(A614="BL","Client inconnu",IF(A614="BR","Fournisseur inconnu","Service inconnu")),IF(H614="","Article manquant",IF(ISNA(MATCH(H614,art_ref,0)),"Article inconnu",IF(OR(NOT(ISNUMBER(L614)),N(L614)&lt;=0),"Quantité invalide",IF(AND(K614&lt;&gt;"",OR(NOT(ISNUMBER(K614)),N(K614)&lt;=0)),"Qté commandée invalide",IF(AG614&lt;SUMPRODUCT(MAX((A$6:A613=A614)*AG$6:AG613)),"Date antérieure au bon précédent",IF(AND(A614&lt;&gt;"BR",ISNUMBER(M614),N(M614)&gt;0),IF(A614="BL","Livré plus que commandé","Sorti plus que demandé"),"OK"))))))))))))</f>
        <v/>
      </c>
      <c r="Y614" s="57" t="str">
        <f>IF(AND(OR(A614="BL",A614="BR",A614="BS"),AG614&gt;0,D614&lt;&gt;""),A614&amp;"|"&amp;AG614&amp;"|"&amp;D614&amp;"|"&amp;F614,"")</f>
        <v/>
      </c>
      <c r="Z614" s="57" t="str">
        <f>IF(Y614="","",IF(COUNTIF(Y$6:Y613,Y614)=0,1,0))</f>
        <v/>
      </c>
      <c r="AA614" s="57" t="str">
        <f>IF(Y614="","",IF(Z614=1,COUNTIFS(A$6:A614,A614,Z$6:Z614,1),INDEX(AA$6:AA613,MATCH(Y614,Y$6:Y613,0))))</f>
        <v/>
      </c>
      <c r="AB614" s="57" t="str">
        <f>IF(B614="","",COUNTIF(B$6:B614,B614))</f>
        <v/>
      </c>
      <c r="AC614" s="57" t="str">
        <f>IF(B614="","",B614&amp;"#"&amp;AB614)</f>
        <v/>
      </c>
      <c r="AD614" s="57" t="str">
        <f>IF(Z614=1,A614&amp;AA614,"")</f>
        <v/>
      </c>
      <c r="AE614" s="57" t="str">
        <f>IF(B614="","",YEAR(C614))</f>
        <v/>
      </c>
      <c r="AF614" s="57" t="str">
        <f>IF(B614="","",MONTH(C614))</f>
        <v/>
      </c>
      <c r="AG614" s="57">
        <f>IF(ISNUMBER(C614),C614,0)</f>
        <v>0.0</v>
      </c>
      <c r="AH614" s="57" t="str">
        <f>IF(N(W614)&gt;0,COUNTIF(W$6:W614,"&gt;0"),"")</f>
        <v/>
      </c>
      <c r="AI614" s="57" t="str">
        <f>IF(Z614=1,COUNTIF(Z$6:Z614,1),"")</f>
        <v/>
      </c>
    </row>
    <row r="615">
      <c r="A615" s="54" t="n"/>
      <c r="B615" s="55" t="str">
        <f>IF(AA615="","",A615&amp;"-"&amp;RIGHT("000"&amp;AA615,4))</f>
        <v/>
      </c>
      <c r="C615" s="56" t="n"/>
      <c r="D615" s="54" t="n"/>
      <c r="E615" s="57" t="str">
        <f>IF(D615="","",IF(A615="BL",IFERROR(INDEX(cl_name,MATCH(D615,cl_code,0))&amp;"","Client inconnu"),IF(A615="BR",IFERROR(INDEX(fo_name,MATCH(D615,fo_code,0))&amp;"","Fournisseur inconnu"),IF(A615="BS",IF(ISNA(MATCH(D615,p_services,0)),"Service inconnu",D615&amp;""),""))))</f>
        <v/>
      </c>
      <c r="F615" s="58" t="n"/>
      <c r="G615" s="58" t="n"/>
      <c r="H615" s="59" t="n"/>
      <c r="I615" s="57" t="str">
        <f>IF(H615="","",IFERROR(INDEX(art_des,MATCH(H615,art_ref,0))&amp;"","Article inconnu"))</f>
        <v/>
      </c>
      <c r="J615" s="60" t="str">
        <f>IF(H615="","",IFERROR(INDEX(art_unit,MATCH(H615,art_ref,0))&amp;"",""))</f>
        <v/>
      </c>
      <c r="K615" s="59" t="n"/>
      <c r="L615" s="59" t="n"/>
      <c r="M615" s="61" t="str">
        <f>IF(OR(B615="",NOT(ISNUMBER(K615)),NOT(ISNUMBER(L615))),"",IF(OR(K615&lt;=0,L615&lt;=0),"",ROUND(L615-K615,6)))</f>
        <v/>
      </c>
      <c r="N615" s="58" t="n"/>
      <c r="O615" s="62" t="n"/>
      <c r="P615" s="63" t="str">
        <f>IF(OR(B615="",NOT(ISNUMBER(L615))),"",IF(L615&lt;=0,"",IFERROR(ROUND(L615*N(INDEX(art_w,MATCH(H615,art_ref,0))),3),"")))</f>
        <v/>
      </c>
      <c r="Q615" s="59" t="n"/>
      <c r="R615" s="54" t="n"/>
      <c r="S615" s="59" t="n"/>
      <c r="T615" s="59" t="n"/>
      <c r="U615" s="64" t="str">
        <f>IF(OR(B615="",H615=""),"",IFERROR(IF(A615="BL",IF(N(INDEX(art_price,MATCH(H615,art_ref,0)))=0,"",N(INDEX(art_price,MATCH(H615,art_ref,0)))),IF(N(INDEX(art_cost,MATCH(H615,art_ref,0)))=0,"",N(INDEX(art_cost,MATCH(H615,art_ref,0))))),""))</f>
        <v/>
      </c>
      <c r="V615" s="64" t="str">
        <f>IF(OR(U615="",NOT(ISNUMBER(L615))),"",IF(L615&lt;=0,"",ROUND(L615*U615,2)))</f>
        <v/>
      </c>
      <c r="W615" s="60" t="str">
        <f>IF(AND(B615&lt;&gt;"",A615&lt;&gt;"BS",F615&lt;&gt;"",H615&lt;&gt;"",ISNUMBER(K615),ISNUMBER(L615)),IF(AND(K615&gt;0,L615&gt;0,K615-L615&gt;0,COUNTIFS(A616:A$2005,A615,F616:F$2005,F615,H616:H$2005,H615,AA616:AA$2005,"&gt;0")=0),ROUND(K615-L615,6),""),"")</f>
        <v/>
      </c>
      <c r="X615" s="60" t="str">
        <f>IF(AND(A615="",C615="",D615="",H615="",L615=""),"",IF(A615="","Type manquant",IF(AND(A615&lt;&gt;"BL",A615&lt;&gt;"BR",A615&lt;&gt;"BS"),"Type inconnu (BL, BR ou BS)",IF(AG615=0,"Date manquante ou invalide",IF(D615="",IF(A615="BL","Client manquant",IF(A615="BR","Fournisseur manquant","Service manquant")),IF(IF(A615="BL",ISNA(MATCH(D615,cl_code,0)),IF(A615="BR",ISNA(MATCH(D615,fo_code,0)),ISNA(MATCH(D615,p_services,0)))),IF(A615="BL","Client inconnu",IF(A615="BR","Fournisseur inconnu","Service inconnu")),IF(H615="","Article manquant",IF(ISNA(MATCH(H615,art_ref,0)),"Article inconnu",IF(OR(NOT(ISNUMBER(L615)),N(L615)&lt;=0),"Quantité invalide",IF(AND(K615&lt;&gt;"",OR(NOT(ISNUMBER(K615)),N(K615)&lt;=0)),"Qté commandée invalide",IF(AG615&lt;SUMPRODUCT(MAX((A$6:A614=A615)*AG$6:AG614)),"Date antérieure au bon précédent",IF(AND(A615&lt;&gt;"BR",ISNUMBER(M615),N(M615)&gt;0),IF(A615="BL","Livré plus que commandé","Sorti plus que demandé"),"OK"))))))))))))</f>
        <v/>
      </c>
      <c r="Y615" s="57" t="str">
        <f>IF(AND(OR(A615="BL",A615="BR",A615="BS"),AG615&gt;0,D615&lt;&gt;""),A615&amp;"|"&amp;AG615&amp;"|"&amp;D615&amp;"|"&amp;F615,"")</f>
        <v/>
      </c>
      <c r="Z615" s="57" t="str">
        <f>IF(Y615="","",IF(COUNTIF(Y$6:Y614,Y615)=0,1,0))</f>
        <v/>
      </c>
      <c r="AA615" s="57" t="str">
        <f>IF(Y615="","",IF(Z615=1,COUNTIFS(A$6:A615,A615,Z$6:Z615,1),INDEX(AA$6:AA614,MATCH(Y615,Y$6:Y614,0))))</f>
        <v/>
      </c>
      <c r="AB615" s="57" t="str">
        <f>IF(B615="","",COUNTIF(B$6:B615,B615))</f>
        <v/>
      </c>
      <c r="AC615" s="57" t="str">
        <f>IF(B615="","",B615&amp;"#"&amp;AB615)</f>
        <v/>
      </c>
      <c r="AD615" s="57" t="str">
        <f>IF(Z615=1,A615&amp;AA615,"")</f>
        <v/>
      </c>
      <c r="AE615" s="57" t="str">
        <f>IF(B615="","",YEAR(C615))</f>
        <v/>
      </c>
      <c r="AF615" s="57" t="str">
        <f>IF(B615="","",MONTH(C615))</f>
        <v/>
      </c>
      <c r="AG615" s="57">
        <f>IF(ISNUMBER(C615),C615,0)</f>
        <v>0.0</v>
      </c>
      <c r="AH615" s="57" t="str">
        <f>IF(N(W615)&gt;0,COUNTIF(W$6:W615,"&gt;0"),"")</f>
        <v/>
      </c>
      <c r="AI615" s="57" t="str">
        <f>IF(Z615=1,COUNTIF(Z$6:Z615,1),"")</f>
        <v/>
      </c>
    </row>
    <row r="616">
      <c r="A616" s="54" t="n"/>
      <c r="B616" s="55" t="str">
        <f>IF(AA616="","",A616&amp;"-"&amp;RIGHT("000"&amp;AA616,4))</f>
        <v/>
      </c>
      <c r="C616" s="56" t="n"/>
      <c r="D616" s="54" t="n"/>
      <c r="E616" s="57" t="str">
        <f>IF(D616="","",IF(A616="BL",IFERROR(INDEX(cl_name,MATCH(D616,cl_code,0))&amp;"","Client inconnu"),IF(A616="BR",IFERROR(INDEX(fo_name,MATCH(D616,fo_code,0))&amp;"","Fournisseur inconnu"),IF(A616="BS",IF(ISNA(MATCH(D616,p_services,0)),"Service inconnu",D616&amp;""),""))))</f>
        <v/>
      </c>
      <c r="F616" s="58" t="n"/>
      <c r="G616" s="58" t="n"/>
      <c r="H616" s="59" t="n"/>
      <c r="I616" s="57" t="str">
        <f>IF(H616="","",IFERROR(INDEX(art_des,MATCH(H616,art_ref,0))&amp;"","Article inconnu"))</f>
        <v/>
      </c>
      <c r="J616" s="60" t="str">
        <f>IF(H616="","",IFERROR(INDEX(art_unit,MATCH(H616,art_ref,0))&amp;"",""))</f>
        <v/>
      </c>
      <c r="K616" s="59" t="n"/>
      <c r="L616" s="59" t="n"/>
      <c r="M616" s="61" t="str">
        <f>IF(OR(B616="",NOT(ISNUMBER(K616)),NOT(ISNUMBER(L616))),"",IF(OR(K616&lt;=0,L616&lt;=0),"",ROUND(L616-K616,6)))</f>
        <v/>
      </c>
      <c r="N616" s="58" t="n"/>
      <c r="O616" s="62" t="n"/>
      <c r="P616" s="63" t="str">
        <f>IF(OR(B616="",NOT(ISNUMBER(L616))),"",IF(L616&lt;=0,"",IFERROR(ROUND(L616*N(INDEX(art_w,MATCH(H616,art_ref,0))),3),"")))</f>
        <v/>
      </c>
      <c r="Q616" s="59" t="n"/>
      <c r="R616" s="54" t="n"/>
      <c r="S616" s="59" t="n"/>
      <c r="T616" s="59" t="n"/>
      <c r="U616" s="64" t="str">
        <f>IF(OR(B616="",H616=""),"",IFERROR(IF(A616="BL",IF(N(INDEX(art_price,MATCH(H616,art_ref,0)))=0,"",N(INDEX(art_price,MATCH(H616,art_ref,0)))),IF(N(INDEX(art_cost,MATCH(H616,art_ref,0)))=0,"",N(INDEX(art_cost,MATCH(H616,art_ref,0))))),""))</f>
        <v/>
      </c>
      <c r="V616" s="64" t="str">
        <f>IF(OR(U616="",NOT(ISNUMBER(L616))),"",IF(L616&lt;=0,"",ROUND(L616*U616,2)))</f>
        <v/>
      </c>
      <c r="W616" s="60" t="str">
        <f>IF(AND(B616&lt;&gt;"",A616&lt;&gt;"BS",F616&lt;&gt;"",H616&lt;&gt;"",ISNUMBER(K616),ISNUMBER(L616)),IF(AND(K616&gt;0,L616&gt;0,K616-L616&gt;0,COUNTIFS(A617:A$2005,A616,F617:F$2005,F616,H617:H$2005,H616,AA617:AA$2005,"&gt;0")=0),ROUND(K616-L616,6),""),"")</f>
        <v/>
      </c>
      <c r="X616" s="60" t="str">
        <f>IF(AND(A616="",C616="",D616="",H616="",L616=""),"",IF(A616="","Type manquant",IF(AND(A616&lt;&gt;"BL",A616&lt;&gt;"BR",A616&lt;&gt;"BS"),"Type inconnu (BL, BR ou BS)",IF(AG616=0,"Date manquante ou invalide",IF(D616="",IF(A616="BL","Client manquant",IF(A616="BR","Fournisseur manquant","Service manquant")),IF(IF(A616="BL",ISNA(MATCH(D616,cl_code,0)),IF(A616="BR",ISNA(MATCH(D616,fo_code,0)),ISNA(MATCH(D616,p_services,0)))),IF(A616="BL","Client inconnu",IF(A616="BR","Fournisseur inconnu","Service inconnu")),IF(H616="","Article manquant",IF(ISNA(MATCH(H616,art_ref,0)),"Article inconnu",IF(OR(NOT(ISNUMBER(L616)),N(L616)&lt;=0),"Quantité invalide",IF(AND(K616&lt;&gt;"",OR(NOT(ISNUMBER(K616)),N(K616)&lt;=0)),"Qté commandée invalide",IF(AG616&lt;SUMPRODUCT(MAX((A$6:A615=A616)*AG$6:AG615)),"Date antérieure au bon précédent",IF(AND(A616&lt;&gt;"BR",ISNUMBER(M616),N(M616)&gt;0),IF(A616="BL","Livré plus que commandé","Sorti plus que demandé"),"OK"))))))))))))</f>
        <v/>
      </c>
      <c r="Y616" s="57" t="str">
        <f>IF(AND(OR(A616="BL",A616="BR",A616="BS"),AG616&gt;0,D616&lt;&gt;""),A616&amp;"|"&amp;AG616&amp;"|"&amp;D616&amp;"|"&amp;F616,"")</f>
        <v/>
      </c>
      <c r="Z616" s="57" t="str">
        <f>IF(Y616="","",IF(COUNTIF(Y$6:Y615,Y616)=0,1,0))</f>
        <v/>
      </c>
      <c r="AA616" s="57" t="str">
        <f>IF(Y616="","",IF(Z616=1,COUNTIFS(A$6:A616,A616,Z$6:Z616,1),INDEX(AA$6:AA615,MATCH(Y616,Y$6:Y615,0))))</f>
        <v/>
      </c>
      <c r="AB616" s="57" t="str">
        <f>IF(B616="","",COUNTIF(B$6:B616,B616))</f>
        <v/>
      </c>
      <c r="AC616" s="57" t="str">
        <f>IF(B616="","",B616&amp;"#"&amp;AB616)</f>
        <v/>
      </c>
      <c r="AD616" s="57" t="str">
        <f>IF(Z616=1,A616&amp;AA616,"")</f>
        <v/>
      </c>
      <c r="AE616" s="57" t="str">
        <f>IF(B616="","",YEAR(C616))</f>
        <v/>
      </c>
      <c r="AF616" s="57" t="str">
        <f>IF(B616="","",MONTH(C616))</f>
        <v/>
      </c>
      <c r="AG616" s="57">
        <f>IF(ISNUMBER(C616),C616,0)</f>
        <v>0.0</v>
      </c>
      <c r="AH616" s="57" t="str">
        <f>IF(N(W616)&gt;0,COUNTIF(W$6:W616,"&gt;0"),"")</f>
        <v/>
      </c>
      <c r="AI616" s="57" t="str">
        <f>IF(Z616=1,COUNTIF(Z$6:Z616,1),"")</f>
        <v/>
      </c>
    </row>
    <row r="617">
      <c r="A617" s="54" t="n"/>
      <c r="B617" s="55" t="str">
        <f>IF(AA617="","",A617&amp;"-"&amp;RIGHT("000"&amp;AA617,4))</f>
        <v/>
      </c>
      <c r="C617" s="56" t="n"/>
      <c r="D617" s="54" t="n"/>
      <c r="E617" s="57" t="str">
        <f>IF(D617="","",IF(A617="BL",IFERROR(INDEX(cl_name,MATCH(D617,cl_code,0))&amp;"","Client inconnu"),IF(A617="BR",IFERROR(INDEX(fo_name,MATCH(D617,fo_code,0))&amp;"","Fournisseur inconnu"),IF(A617="BS",IF(ISNA(MATCH(D617,p_services,0)),"Service inconnu",D617&amp;""),""))))</f>
        <v/>
      </c>
      <c r="F617" s="58" t="n"/>
      <c r="G617" s="58" t="n"/>
      <c r="H617" s="59" t="n"/>
      <c r="I617" s="57" t="str">
        <f>IF(H617="","",IFERROR(INDEX(art_des,MATCH(H617,art_ref,0))&amp;"","Article inconnu"))</f>
        <v/>
      </c>
      <c r="J617" s="60" t="str">
        <f>IF(H617="","",IFERROR(INDEX(art_unit,MATCH(H617,art_ref,0))&amp;"",""))</f>
        <v/>
      </c>
      <c r="K617" s="59" t="n"/>
      <c r="L617" s="59" t="n"/>
      <c r="M617" s="61" t="str">
        <f>IF(OR(B617="",NOT(ISNUMBER(K617)),NOT(ISNUMBER(L617))),"",IF(OR(K617&lt;=0,L617&lt;=0),"",ROUND(L617-K617,6)))</f>
        <v/>
      </c>
      <c r="N617" s="58" t="n"/>
      <c r="O617" s="62" t="n"/>
      <c r="P617" s="63" t="str">
        <f>IF(OR(B617="",NOT(ISNUMBER(L617))),"",IF(L617&lt;=0,"",IFERROR(ROUND(L617*N(INDEX(art_w,MATCH(H617,art_ref,0))),3),"")))</f>
        <v/>
      </c>
      <c r="Q617" s="59" t="n"/>
      <c r="R617" s="54" t="n"/>
      <c r="S617" s="59" t="n"/>
      <c r="T617" s="59" t="n"/>
      <c r="U617" s="64" t="str">
        <f>IF(OR(B617="",H617=""),"",IFERROR(IF(A617="BL",IF(N(INDEX(art_price,MATCH(H617,art_ref,0)))=0,"",N(INDEX(art_price,MATCH(H617,art_ref,0)))),IF(N(INDEX(art_cost,MATCH(H617,art_ref,0)))=0,"",N(INDEX(art_cost,MATCH(H617,art_ref,0))))),""))</f>
        <v/>
      </c>
      <c r="V617" s="64" t="str">
        <f>IF(OR(U617="",NOT(ISNUMBER(L617))),"",IF(L617&lt;=0,"",ROUND(L617*U617,2)))</f>
        <v/>
      </c>
      <c r="W617" s="60" t="str">
        <f>IF(AND(B617&lt;&gt;"",A617&lt;&gt;"BS",F617&lt;&gt;"",H617&lt;&gt;"",ISNUMBER(K617),ISNUMBER(L617)),IF(AND(K617&gt;0,L617&gt;0,K617-L617&gt;0,COUNTIFS(A618:A$2005,A617,F618:F$2005,F617,H618:H$2005,H617,AA618:AA$2005,"&gt;0")=0),ROUND(K617-L617,6),""),"")</f>
        <v/>
      </c>
      <c r="X617" s="60" t="str">
        <f>IF(AND(A617="",C617="",D617="",H617="",L617=""),"",IF(A617="","Type manquant",IF(AND(A617&lt;&gt;"BL",A617&lt;&gt;"BR",A617&lt;&gt;"BS"),"Type inconnu (BL, BR ou BS)",IF(AG617=0,"Date manquante ou invalide",IF(D617="",IF(A617="BL","Client manquant",IF(A617="BR","Fournisseur manquant","Service manquant")),IF(IF(A617="BL",ISNA(MATCH(D617,cl_code,0)),IF(A617="BR",ISNA(MATCH(D617,fo_code,0)),ISNA(MATCH(D617,p_services,0)))),IF(A617="BL","Client inconnu",IF(A617="BR","Fournisseur inconnu","Service inconnu")),IF(H617="","Article manquant",IF(ISNA(MATCH(H617,art_ref,0)),"Article inconnu",IF(OR(NOT(ISNUMBER(L617)),N(L617)&lt;=0),"Quantité invalide",IF(AND(K617&lt;&gt;"",OR(NOT(ISNUMBER(K617)),N(K617)&lt;=0)),"Qté commandée invalide",IF(AG617&lt;SUMPRODUCT(MAX((A$6:A616=A617)*AG$6:AG616)),"Date antérieure au bon précédent",IF(AND(A617&lt;&gt;"BR",ISNUMBER(M617),N(M617)&gt;0),IF(A617="BL","Livré plus que commandé","Sorti plus que demandé"),"OK"))))))))))))</f>
        <v/>
      </c>
      <c r="Y617" s="57" t="str">
        <f>IF(AND(OR(A617="BL",A617="BR",A617="BS"),AG617&gt;0,D617&lt;&gt;""),A617&amp;"|"&amp;AG617&amp;"|"&amp;D617&amp;"|"&amp;F617,"")</f>
        <v/>
      </c>
      <c r="Z617" s="57" t="str">
        <f>IF(Y617="","",IF(COUNTIF(Y$6:Y616,Y617)=0,1,0))</f>
        <v/>
      </c>
      <c r="AA617" s="57" t="str">
        <f>IF(Y617="","",IF(Z617=1,COUNTIFS(A$6:A617,A617,Z$6:Z617,1),INDEX(AA$6:AA616,MATCH(Y617,Y$6:Y616,0))))</f>
        <v/>
      </c>
      <c r="AB617" s="57" t="str">
        <f>IF(B617="","",COUNTIF(B$6:B617,B617))</f>
        <v/>
      </c>
      <c r="AC617" s="57" t="str">
        <f>IF(B617="","",B617&amp;"#"&amp;AB617)</f>
        <v/>
      </c>
      <c r="AD617" s="57" t="str">
        <f>IF(Z617=1,A617&amp;AA617,"")</f>
        <v/>
      </c>
      <c r="AE617" s="57" t="str">
        <f>IF(B617="","",YEAR(C617))</f>
        <v/>
      </c>
      <c r="AF617" s="57" t="str">
        <f>IF(B617="","",MONTH(C617))</f>
        <v/>
      </c>
      <c r="AG617" s="57">
        <f>IF(ISNUMBER(C617),C617,0)</f>
        <v>0.0</v>
      </c>
      <c r="AH617" s="57" t="str">
        <f>IF(N(W617)&gt;0,COUNTIF(W$6:W617,"&gt;0"),"")</f>
        <v/>
      </c>
      <c r="AI617" s="57" t="str">
        <f>IF(Z617=1,COUNTIF(Z$6:Z617,1),"")</f>
        <v/>
      </c>
    </row>
    <row r="618">
      <c r="A618" s="54" t="n"/>
      <c r="B618" s="55" t="str">
        <f>IF(AA618="","",A618&amp;"-"&amp;RIGHT("000"&amp;AA618,4))</f>
        <v/>
      </c>
      <c r="C618" s="56" t="n"/>
      <c r="D618" s="54" t="n"/>
      <c r="E618" s="57" t="str">
        <f>IF(D618="","",IF(A618="BL",IFERROR(INDEX(cl_name,MATCH(D618,cl_code,0))&amp;"","Client inconnu"),IF(A618="BR",IFERROR(INDEX(fo_name,MATCH(D618,fo_code,0))&amp;"","Fournisseur inconnu"),IF(A618="BS",IF(ISNA(MATCH(D618,p_services,0)),"Service inconnu",D618&amp;""),""))))</f>
        <v/>
      </c>
      <c r="F618" s="58" t="n"/>
      <c r="G618" s="58" t="n"/>
      <c r="H618" s="59" t="n"/>
      <c r="I618" s="57" t="str">
        <f>IF(H618="","",IFERROR(INDEX(art_des,MATCH(H618,art_ref,0))&amp;"","Article inconnu"))</f>
        <v/>
      </c>
      <c r="J618" s="60" t="str">
        <f>IF(H618="","",IFERROR(INDEX(art_unit,MATCH(H618,art_ref,0))&amp;"",""))</f>
        <v/>
      </c>
      <c r="K618" s="59" t="n"/>
      <c r="L618" s="59" t="n"/>
      <c r="M618" s="61" t="str">
        <f>IF(OR(B618="",NOT(ISNUMBER(K618)),NOT(ISNUMBER(L618))),"",IF(OR(K618&lt;=0,L618&lt;=0),"",ROUND(L618-K618,6)))</f>
        <v/>
      </c>
      <c r="N618" s="58" t="n"/>
      <c r="O618" s="62" t="n"/>
      <c r="P618" s="63" t="str">
        <f>IF(OR(B618="",NOT(ISNUMBER(L618))),"",IF(L618&lt;=0,"",IFERROR(ROUND(L618*N(INDEX(art_w,MATCH(H618,art_ref,0))),3),"")))</f>
        <v/>
      </c>
      <c r="Q618" s="59" t="n"/>
      <c r="R618" s="54" t="n"/>
      <c r="S618" s="59" t="n"/>
      <c r="T618" s="59" t="n"/>
      <c r="U618" s="64" t="str">
        <f>IF(OR(B618="",H618=""),"",IFERROR(IF(A618="BL",IF(N(INDEX(art_price,MATCH(H618,art_ref,0)))=0,"",N(INDEX(art_price,MATCH(H618,art_ref,0)))),IF(N(INDEX(art_cost,MATCH(H618,art_ref,0)))=0,"",N(INDEX(art_cost,MATCH(H618,art_ref,0))))),""))</f>
        <v/>
      </c>
      <c r="V618" s="64" t="str">
        <f>IF(OR(U618="",NOT(ISNUMBER(L618))),"",IF(L618&lt;=0,"",ROUND(L618*U618,2)))</f>
        <v/>
      </c>
      <c r="W618" s="60" t="str">
        <f>IF(AND(B618&lt;&gt;"",A618&lt;&gt;"BS",F618&lt;&gt;"",H618&lt;&gt;"",ISNUMBER(K618),ISNUMBER(L618)),IF(AND(K618&gt;0,L618&gt;0,K618-L618&gt;0,COUNTIFS(A619:A$2005,A618,F619:F$2005,F618,H619:H$2005,H618,AA619:AA$2005,"&gt;0")=0),ROUND(K618-L618,6),""),"")</f>
        <v/>
      </c>
      <c r="X618" s="60" t="str">
        <f>IF(AND(A618="",C618="",D618="",H618="",L618=""),"",IF(A618="","Type manquant",IF(AND(A618&lt;&gt;"BL",A618&lt;&gt;"BR",A618&lt;&gt;"BS"),"Type inconnu (BL, BR ou BS)",IF(AG618=0,"Date manquante ou invalide",IF(D618="",IF(A618="BL","Client manquant",IF(A618="BR","Fournisseur manquant","Service manquant")),IF(IF(A618="BL",ISNA(MATCH(D618,cl_code,0)),IF(A618="BR",ISNA(MATCH(D618,fo_code,0)),ISNA(MATCH(D618,p_services,0)))),IF(A618="BL","Client inconnu",IF(A618="BR","Fournisseur inconnu","Service inconnu")),IF(H618="","Article manquant",IF(ISNA(MATCH(H618,art_ref,0)),"Article inconnu",IF(OR(NOT(ISNUMBER(L618)),N(L618)&lt;=0),"Quantité invalide",IF(AND(K618&lt;&gt;"",OR(NOT(ISNUMBER(K618)),N(K618)&lt;=0)),"Qté commandée invalide",IF(AG618&lt;SUMPRODUCT(MAX((A$6:A617=A618)*AG$6:AG617)),"Date antérieure au bon précédent",IF(AND(A618&lt;&gt;"BR",ISNUMBER(M618),N(M618)&gt;0),IF(A618="BL","Livré plus que commandé","Sorti plus que demandé"),"OK"))))))))))))</f>
        <v/>
      </c>
      <c r="Y618" s="57" t="str">
        <f>IF(AND(OR(A618="BL",A618="BR",A618="BS"),AG618&gt;0,D618&lt;&gt;""),A618&amp;"|"&amp;AG618&amp;"|"&amp;D618&amp;"|"&amp;F618,"")</f>
        <v/>
      </c>
      <c r="Z618" s="57" t="str">
        <f>IF(Y618="","",IF(COUNTIF(Y$6:Y617,Y618)=0,1,0))</f>
        <v/>
      </c>
      <c r="AA618" s="57" t="str">
        <f>IF(Y618="","",IF(Z618=1,COUNTIFS(A$6:A618,A618,Z$6:Z618,1),INDEX(AA$6:AA617,MATCH(Y618,Y$6:Y617,0))))</f>
        <v/>
      </c>
      <c r="AB618" s="57" t="str">
        <f>IF(B618="","",COUNTIF(B$6:B618,B618))</f>
        <v/>
      </c>
      <c r="AC618" s="57" t="str">
        <f>IF(B618="","",B618&amp;"#"&amp;AB618)</f>
        <v/>
      </c>
      <c r="AD618" s="57" t="str">
        <f>IF(Z618=1,A618&amp;AA618,"")</f>
        <v/>
      </c>
      <c r="AE618" s="57" t="str">
        <f>IF(B618="","",YEAR(C618))</f>
        <v/>
      </c>
      <c r="AF618" s="57" t="str">
        <f>IF(B618="","",MONTH(C618))</f>
        <v/>
      </c>
      <c r="AG618" s="57">
        <f>IF(ISNUMBER(C618),C618,0)</f>
        <v>0.0</v>
      </c>
      <c r="AH618" s="57" t="str">
        <f>IF(N(W618)&gt;0,COUNTIF(W$6:W618,"&gt;0"),"")</f>
        <v/>
      </c>
      <c r="AI618" s="57" t="str">
        <f>IF(Z618=1,COUNTIF(Z$6:Z618,1),"")</f>
        <v/>
      </c>
    </row>
    <row r="619">
      <c r="A619" s="54" t="n"/>
      <c r="B619" s="55" t="str">
        <f>IF(AA619="","",A619&amp;"-"&amp;RIGHT("000"&amp;AA619,4))</f>
        <v/>
      </c>
      <c r="C619" s="56" t="n"/>
      <c r="D619" s="54" t="n"/>
      <c r="E619" s="57" t="str">
        <f>IF(D619="","",IF(A619="BL",IFERROR(INDEX(cl_name,MATCH(D619,cl_code,0))&amp;"","Client inconnu"),IF(A619="BR",IFERROR(INDEX(fo_name,MATCH(D619,fo_code,0))&amp;"","Fournisseur inconnu"),IF(A619="BS",IF(ISNA(MATCH(D619,p_services,0)),"Service inconnu",D619&amp;""),""))))</f>
        <v/>
      </c>
      <c r="F619" s="58" t="n"/>
      <c r="G619" s="58" t="n"/>
      <c r="H619" s="59" t="n"/>
      <c r="I619" s="57" t="str">
        <f>IF(H619="","",IFERROR(INDEX(art_des,MATCH(H619,art_ref,0))&amp;"","Article inconnu"))</f>
        <v/>
      </c>
      <c r="J619" s="60" t="str">
        <f>IF(H619="","",IFERROR(INDEX(art_unit,MATCH(H619,art_ref,0))&amp;"",""))</f>
        <v/>
      </c>
      <c r="K619" s="59" t="n"/>
      <c r="L619" s="59" t="n"/>
      <c r="M619" s="61" t="str">
        <f>IF(OR(B619="",NOT(ISNUMBER(K619)),NOT(ISNUMBER(L619))),"",IF(OR(K619&lt;=0,L619&lt;=0),"",ROUND(L619-K619,6)))</f>
        <v/>
      </c>
      <c r="N619" s="58" t="n"/>
      <c r="O619" s="62" t="n"/>
      <c r="P619" s="63" t="str">
        <f>IF(OR(B619="",NOT(ISNUMBER(L619))),"",IF(L619&lt;=0,"",IFERROR(ROUND(L619*N(INDEX(art_w,MATCH(H619,art_ref,0))),3),"")))</f>
        <v/>
      </c>
      <c r="Q619" s="59" t="n"/>
      <c r="R619" s="54" t="n"/>
      <c r="S619" s="59" t="n"/>
      <c r="T619" s="59" t="n"/>
      <c r="U619" s="64" t="str">
        <f>IF(OR(B619="",H619=""),"",IFERROR(IF(A619="BL",IF(N(INDEX(art_price,MATCH(H619,art_ref,0)))=0,"",N(INDEX(art_price,MATCH(H619,art_ref,0)))),IF(N(INDEX(art_cost,MATCH(H619,art_ref,0)))=0,"",N(INDEX(art_cost,MATCH(H619,art_ref,0))))),""))</f>
        <v/>
      </c>
      <c r="V619" s="64" t="str">
        <f>IF(OR(U619="",NOT(ISNUMBER(L619))),"",IF(L619&lt;=0,"",ROUND(L619*U619,2)))</f>
        <v/>
      </c>
      <c r="W619" s="60" t="str">
        <f>IF(AND(B619&lt;&gt;"",A619&lt;&gt;"BS",F619&lt;&gt;"",H619&lt;&gt;"",ISNUMBER(K619),ISNUMBER(L619)),IF(AND(K619&gt;0,L619&gt;0,K619-L619&gt;0,COUNTIFS(A620:A$2005,A619,F620:F$2005,F619,H620:H$2005,H619,AA620:AA$2005,"&gt;0")=0),ROUND(K619-L619,6),""),"")</f>
        <v/>
      </c>
      <c r="X619" s="60" t="str">
        <f>IF(AND(A619="",C619="",D619="",H619="",L619=""),"",IF(A619="","Type manquant",IF(AND(A619&lt;&gt;"BL",A619&lt;&gt;"BR",A619&lt;&gt;"BS"),"Type inconnu (BL, BR ou BS)",IF(AG619=0,"Date manquante ou invalide",IF(D619="",IF(A619="BL","Client manquant",IF(A619="BR","Fournisseur manquant","Service manquant")),IF(IF(A619="BL",ISNA(MATCH(D619,cl_code,0)),IF(A619="BR",ISNA(MATCH(D619,fo_code,0)),ISNA(MATCH(D619,p_services,0)))),IF(A619="BL","Client inconnu",IF(A619="BR","Fournisseur inconnu","Service inconnu")),IF(H619="","Article manquant",IF(ISNA(MATCH(H619,art_ref,0)),"Article inconnu",IF(OR(NOT(ISNUMBER(L619)),N(L619)&lt;=0),"Quantité invalide",IF(AND(K619&lt;&gt;"",OR(NOT(ISNUMBER(K619)),N(K619)&lt;=0)),"Qté commandée invalide",IF(AG619&lt;SUMPRODUCT(MAX((A$6:A618=A619)*AG$6:AG618)),"Date antérieure au bon précédent",IF(AND(A619&lt;&gt;"BR",ISNUMBER(M619),N(M619)&gt;0),IF(A619="BL","Livré plus que commandé","Sorti plus que demandé"),"OK"))))))))))))</f>
        <v/>
      </c>
      <c r="Y619" s="57" t="str">
        <f>IF(AND(OR(A619="BL",A619="BR",A619="BS"),AG619&gt;0,D619&lt;&gt;""),A619&amp;"|"&amp;AG619&amp;"|"&amp;D619&amp;"|"&amp;F619,"")</f>
        <v/>
      </c>
      <c r="Z619" s="57" t="str">
        <f>IF(Y619="","",IF(COUNTIF(Y$6:Y618,Y619)=0,1,0))</f>
        <v/>
      </c>
      <c r="AA619" s="57" t="str">
        <f>IF(Y619="","",IF(Z619=1,COUNTIFS(A$6:A619,A619,Z$6:Z619,1),INDEX(AA$6:AA618,MATCH(Y619,Y$6:Y618,0))))</f>
        <v/>
      </c>
      <c r="AB619" s="57" t="str">
        <f>IF(B619="","",COUNTIF(B$6:B619,B619))</f>
        <v/>
      </c>
      <c r="AC619" s="57" t="str">
        <f>IF(B619="","",B619&amp;"#"&amp;AB619)</f>
        <v/>
      </c>
      <c r="AD619" s="57" t="str">
        <f>IF(Z619=1,A619&amp;AA619,"")</f>
        <v/>
      </c>
      <c r="AE619" s="57" t="str">
        <f>IF(B619="","",YEAR(C619))</f>
        <v/>
      </c>
      <c r="AF619" s="57" t="str">
        <f>IF(B619="","",MONTH(C619))</f>
        <v/>
      </c>
      <c r="AG619" s="57">
        <f>IF(ISNUMBER(C619),C619,0)</f>
        <v>0.0</v>
      </c>
      <c r="AH619" s="57" t="str">
        <f>IF(N(W619)&gt;0,COUNTIF(W$6:W619,"&gt;0"),"")</f>
        <v/>
      </c>
      <c r="AI619" s="57" t="str">
        <f>IF(Z619=1,COUNTIF(Z$6:Z619,1),"")</f>
        <v/>
      </c>
    </row>
    <row r="620">
      <c r="A620" s="54" t="n"/>
      <c r="B620" s="55" t="str">
        <f>IF(AA620="","",A620&amp;"-"&amp;RIGHT("000"&amp;AA620,4))</f>
        <v/>
      </c>
      <c r="C620" s="56" t="n"/>
      <c r="D620" s="54" t="n"/>
      <c r="E620" s="57" t="str">
        <f>IF(D620="","",IF(A620="BL",IFERROR(INDEX(cl_name,MATCH(D620,cl_code,0))&amp;"","Client inconnu"),IF(A620="BR",IFERROR(INDEX(fo_name,MATCH(D620,fo_code,0))&amp;"","Fournisseur inconnu"),IF(A620="BS",IF(ISNA(MATCH(D620,p_services,0)),"Service inconnu",D620&amp;""),""))))</f>
        <v/>
      </c>
      <c r="F620" s="58" t="n"/>
      <c r="G620" s="58" t="n"/>
      <c r="H620" s="59" t="n"/>
      <c r="I620" s="57" t="str">
        <f>IF(H620="","",IFERROR(INDEX(art_des,MATCH(H620,art_ref,0))&amp;"","Article inconnu"))</f>
        <v/>
      </c>
      <c r="J620" s="60" t="str">
        <f>IF(H620="","",IFERROR(INDEX(art_unit,MATCH(H620,art_ref,0))&amp;"",""))</f>
        <v/>
      </c>
      <c r="K620" s="59" t="n"/>
      <c r="L620" s="59" t="n"/>
      <c r="M620" s="61" t="str">
        <f>IF(OR(B620="",NOT(ISNUMBER(K620)),NOT(ISNUMBER(L620))),"",IF(OR(K620&lt;=0,L620&lt;=0),"",ROUND(L620-K620,6)))</f>
        <v/>
      </c>
      <c r="N620" s="58" t="n"/>
      <c r="O620" s="62" t="n"/>
      <c r="P620" s="63" t="str">
        <f>IF(OR(B620="",NOT(ISNUMBER(L620))),"",IF(L620&lt;=0,"",IFERROR(ROUND(L620*N(INDEX(art_w,MATCH(H620,art_ref,0))),3),"")))</f>
        <v/>
      </c>
      <c r="Q620" s="59" t="n"/>
      <c r="R620" s="54" t="n"/>
      <c r="S620" s="59" t="n"/>
      <c r="T620" s="59" t="n"/>
      <c r="U620" s="64" t="str">
        <f>IF(OR(B620="",H620=""),"",IFERROR(IF(A620="BL",IF(N(INDEX(art_price,MATCH(H620,art_ref,0)))=0,"",N(INDEX(art_price,MATCH(H620,art_ref,0)))),IF(N(INDEX(art_cost,MATCH(H620,art_ref,0)))=0,"",N(INDEX(art_cost,MATCH(H620,art_ref,0))))),""))</f>
        <v/>
      </c>
      <c r="V620" s="64" t="str">
        <f>IF(OR(U620="",NOT(ISNUMBER(L620))),"",IF(L620&lt;=0,"",ROUND(L620*U620,2)))</f>
        <v/>
      </c>
      <c r="W620" s="60" t="str">
        <f>IF(AND(B620&lt;&gt;"",A620&lt;&gt;"BS",F620&lt;&gt;"",H620&lt;&gt;"",ISNUMBER(K620),ISNUMBER(L620)),IF(AND(K620&gt;0,L620&gt;0,K620-L620&gt;0,COUNTIFS(A621:A$2005,A620,F621:F$2005,F620,H621:H$2005,H620,AA621:AA$2005,"&gt;0")=0),ROUND(K620-L620,6),""),"")</f>
        <v/>
      </c>
      <c r="X620" s="60" t="str">
        <f>IF(AND(A620="",C620="",D620="",H620="",L620=""),"",IF(A620="","Type manquant",IF(AND(A620&lt;&gt;"BL",A620&lt;&gt;"BR",A620&lt;&gt;"BS"),"Type inconnu (BL, BR ou BS)",IF(AG620=0,"Date manquante ou invalide",IF(D620="",IF(A620="BL","Client manquant",IF(A620="BR","Fournisseur manquant","Service manquant")),IF(IF(A620="BL",ISNA(MATCH(D620,cl_code,0)),IF(A620="BR",ISNA(MATCH(D620,fo_code,0)),ISNA(MATCH(D620,p_services,0)))),IF(A620="BL","Client inconnu",IF(A620="BR","Fournisseur inconnu","Service inconnu")),IF(H620="","Article manquant",IF(ISNA(MATCH(H620,art_ref,0)),"Article inconnu",IF(OR(NOT(ISNUMBER(L620)),N(L620)&lt;=0),"Quantité invalide",IF(AND(K620&lt;&gt;"",OR(NOT(ISNUMBER(K620)),N(K620)&lt;=0)),"Qté commandée invalide",IF(AG620&lt;SUMPRODUCT(MAX((A$6:A619=A620)*AG$6:AG619)),"Date antérieure au bon précédent",IF(AND(A620&lt;&gt;"BR",ISNUMBER(M620),N(M620)&gt;0),IF(A620="BL","Livré plus que commandé","Sorti plus que demandé"),"OK"))))))))))))</f>
        <v/>
      </c>
      <c r="Y620" s="57" t="str">
        <f>IF(AND(OR(A620="BL",A620="BR",A620="BS"),AG620&gt;0,D620&lt;&gt;""),A620&amp;"|"&amp;AG620&amp;"|"&amp;D620&amp;"|"&amp;F620,"")</f>
        <v/>
      </c>
      <c r="Z620" s="57" t="str">
        <f>IF(Y620="","",IF(COUNTIF(Y$6:Y619,Y620)=0,1,0))</f>
        <v/>
      </c>
      <c r="AA620" s="57" t="str">
        <f>IF(Y620="","",IF(Z620=1,COUNTIFS(A$6:A620,A620,Z$6:Z620,1),INDEX(AA$6:AA619,MATCH(Y620,Y$6:Y619,0))))</f>
        <v/>
      </c>
      <c r="AB620" s="57" t="str">
        <f>IF(B620="","",COUNTIF(B$6:B620,B620))</f>
        <v/>
      </c>
      <c r="AC620" s="57" t="str">
        <f>IF(B620="","",B620&amp;"#"&amp;AB620)</f>
        <v/>
      </c>
      <c r="AD620" s="57" t="str">
        <f>IF(Z620=1,A620&amp;AA620,"")</f>
        <v/>
      </c>
      <c r="AE620" s="57" t="str">
        <f>IF(B620="","",YEAR(C620))</f>
        <v/>
      </c>
      <c r="AF620" s="57" t="str">
        <f>IF(B620="","",MONTH(C620))</f>
        <v/>
      </c>
      <c r="AG620" s="57">
        <f>IF(ISNUMBER(C620),C620,0)</f>
        <v>0.0</v>
      </c>
      <c r="AH620" s="57" t="str">
        <f>IF(N(W620)&gt;0,COUNTIF(W$6:W620,"&gt;0"),"")</f>
        <v/>
      </c>
      <c r="AI620" s="57" t="str">
        <f>IF(Z620=1,COUNTIF(Z$6:Z620,1),"")</f>
        <v/>
      </c>
    </row>
    <row r="621">
      <c r="A621" s="54" t="n"/>
      <c r="B621" s="55" t="str">
        <f>IF(AA621="","",A621&amp;"-"&amp;RIGHT("000"&amp;AA621,4))</f>
        <v/>
      </c>
      <c r="C621" s="56" t="n"/>
      <c r="D621" s="54" t="n"/>
      <c r="E621" s="57" t="str">
        <f>IF(D621="","",IF(A621="BL",IFERROR(INDEX(cl_name,MATCH(D621,cl_code,0))&amp;"","Client inconnu"),IF(A621="BR",IFERROR(INDEX(fo_name,MATCH(D621,fo_code,0))&amp;"","Fournisseur inconnu"),IF(A621="BS",IF(ISNA(MATCH(D621,p_services,0)),"Service inconnu",D621&amp;""),""))))</f>
        <v/>
      </c>
      <c r="F621" s="58" t="n"/>
      <c r="G621" s="58" t="n"/>
      <c r="H621" s="59" t="n"/>
      <c r="I621" s="57" t="str">
        <f>IF(H621="","",IFERROR(INDEX(art_des,MATCH(H621,art_ref,0))&amp;"","Article inconnu"))</f>
        <v/>
      </c>
      <c r="J621" s="60" t="str">
        <f>IF(H621="","",IFERROR(INDEX(art_unit,MATCH(H621,art_ref,0))&amp;"",""))</f>
        <v/>
      </c>
      <c r="K621" s="59" t="n"/>
      <c r="L621" s="59" t="n"/>
      <c r="M621" s="61" t="str">
        <f>IF(OR(B621="",NOT(ISNUMBER(K621)),NOT(ISNUMBER(L621))),"",IF(OR(K621&lt;=0,L621&lt;=0),"",ROUND(L621-K621,6)))</f>
        <v/>
      </c>
      <c r="N621" s="58" t="n"/>
      <c r="O621" s="62" t="n"/>
      <c r="P621" s="63" t="str">
        <f>IF(OR(B621="",NOT(ISNUMBER(L621))),"",IF(L621&lt;=0,"",IFERROR(ROUND(L621*N(INDEX(art_w,MATCH(H621,art_ref,0))),3),"")))</f>
        <v/>
      </c>
      <c r="Q621" s="59" t="n"/>
      <c r="R621" s="54" t="n"/>
      <c r="S621" s="59" t="n"/>
      <c r="T621" s="59" t="n"/>
      <c r="U621" s="64" t="str">
        <f>IF(OR(B621="",H621=""),"",IFERROR(IF(A621="BL",IF(N(INDEX(art_price,MATCH(H621,art_ref,0)))=0,"",N(INDEX(art_price,MATCH(H621,art_ref,0)))),IF(N(INDEX(art_cost,MATCH(H621,art_ref,0)))=0,"",N(INDEX(art_cost,MATCH(H621,art_ref,0))))),""))</f>
        <v/>
      </c>
      <c r="V621" s="64" t="str">
        <f>IF(OR(U621="",NOT(ISNUMBER(L621))),"",IF(L621&lt;=0,"",ROUND(L621*U621,2)))</f>
        <v/>
      </c>
      <c r="W621" s="60" t="str">
        <f>IF(AND(B621&lt;&gt;"",A621&lt;&gt;"BS",F621&lt;&gt;"",H621&lt;&gt;"",ISNUMBER(K621),ISNUMBER(L621)),IF(AND(K621&gt;0,L621&gt;0,K621-L621&gt;0,COUNTIFS(A622:A$2005,A621,F622:F$2005,F621,H622:H$2005,H621,AA622:AA$2005,"&gt;0")=0),ROUND(K621-L621,6),""),"")</f>
        <v/>
      </c>
      <c r="X621" s="60" t="str">
        <f>IF(AND(A621="",C621="",D621="",H621="",L621=""),"",IF(A621="","Type manquant",IF(AND(A621&lt;&gt;"BL",A621&lt;&gt;"BR",A621&lt;&gt;"BS"),"Type inconnu (BL, BR ou BS)",IF(AG621=0,"Date manquante ou invalide",IF(D621="",IF(A621="BL","Client manquant",IF(A621="BR","Fournisseur manquant","Service manquant")),IF(IF(A621="BL",ISNA(MATCH(D621,cl_code,0)),IF(A621="BR",ISNA(MATCH(D621,fo_code,0)),ISNA(MATCH(D621,p_services,0)))),IF(A621="BL","Client inconnu",IF(A621="BR","Fournisseur inconnu","Service inconnu")),IF(H621="","Article manquant",IF(ISNA(MATCH(H621,art_ref,0)),"Article inconnu",IF(OR(NOT(ISNUMBER(L621)),N(L621)&lt;=0),"Quantité invalide",IF(AND(K621&lt;&gt;"",OR(NOT(ISNUMBER(K621)),N(K621)&lt;=0)),"Qté commandée invalide",IF(AG621&lt;SUMPRODUCT(MAX((A$6:A620=A621)*AG$6:AG620)),"Date antérieure au bon précédent",IF(AND(A621&lt;&gt;"BR",ISNUMBER(M621),N(M621)&gt;0),IF(A621="BL","Livré plus que commandé","Sorti plus que demandé"),"OK"))))))))))))</f>
        <v/>
      </c>
      <c r="Y621" s="57" t="str">
        <f>IF(AND(OR(A621="BL",A621="BR",A621="BS"),AG621&gt;0,D621&lt;&gt;""),A621&amp;"|"&amp;AG621&amp;"|"&amp;D621&amp;"|"&amp;F621,"")</f>
        <v/>
      </c>
      <c r="Z621" s="57" t="str">
        <f>IF(Y621="","",IF(COUNTIF(Y$6:Y620,Y621)=0,1,0))</f>
        <v/>
      </c>
      <c r="AA621" s="57" t="str">
        <f>IF(Y621="","",IF(Z621=1,COUNTIFS(A$6:A621,A621,Z$6:Z621,1),INDEX(AA$6:AA620,MATCH(Y621,Y$6:Y620,0))))</f>
        <v/>
      </c>
      <c r="AB621" s="57" t="str">
        <f>IF(B621="","",COUNTIF(B$6:B621,B621))</f>
        <v/>
      </c>
      <c r="AC621" s="57" t="str">
        <f>IF(B621="","",B621&amp;"#"&amp;AB621)</f>
        <v/>
      </c>
      <c r="AD621" s="57" t="str">
        <f>IF(Z621=1,A621&amp;AA621,"")</f>
        <v/>
      </c>
      <c r="AE621" s="57" t="str">
        <f>IF(B621="","",YEAR(C621))</f>
        <v/>
      </c>
      <c r="AF621" s="57" t="str">
        <f>IF(B621="","",MONTH(C621))</f>
        <v/>
      </c>
      <c r="AG621" s="57">
        <f>IF(ISNUMBER(C621),C621,0)</f>
        <v>0.0</v>
      </c>
      <c r="AH621" s="57" t="str">
        <f>IF(N(W621)&gt;0,COUNTIF(W$6:W621,"&gt;0"),"")</f>
        <v/>
      </c>
      <c r="AI621" s="57" t="str">
        <f>IF(Z621=1,COUNTIF(Z$6:Z621,1),"")</f>
        <v/>
      </c>
    </row>
    <row r="622">
      <c r="A622" s="54" t="n"/>
      <c r="B622" s="55" t="str">
        <f>IF(AA622="","",A622&amp;"-"&amp;RIGHT("000"&amp;AA622,4))</f>
        <v/>
      </c>
      <c r="C622" s="56" t="n"/>
      <c r="D622" s="54" t="n"/>
      <c r="E622" s="57" t="str">
        <f>IF(D622="","",IF(A622="BL",IFERROR(INDEX(cl_name,MATCH(D622,cl_code,0))&amp;"","Client inconnu"),IF(A622="BR",IFERROR(INDEX(fo_name,MATCH(D622,fo_code,0))&amp;"","Fournisseur inconnu"),IF(A622="BS",IF(ISNA(MATCH(D622,p_services,0)),"Service inconnu",D622&amp;""),""))))</f>
        <v/>
      </c>
      <c r="F622" s="58" t="n"/>
      <c r="G622" s="58" t="n"/>
      <c r="H622" s="59" t="n"/>
      <c r="I622" s="57" t="str">
        <f>IF(H622="","",IFERROR(INDEX(art_des,MATCH(H622,art_ref,0))&amp;"","Article inconnu"))</f>
        <v/>
      </c>
      <c r="J622" s="60" t="str">
        <f>IF(H622="","",IFERROR(INDEX(art_unit,MATCH(H622,art_ref,0))&amp;"",""))</f>
        <v/>
      </c>
      <c r="K622" s="59" t="n"/>
      <c r="L622" s="59" t="n"/>
      <c r="M622" s="61" t="str">
        <f>IF(OR(B622="",NOT(ISNUMBER(K622)),NOT(ISNUMBER(L622))),"",IF(OR(K622&lt;=0,L622&lt;=0),"",ROUND(L622-K622,6)))</f>
        <v/>
      </c>
      <c r="N622" s="58" t="n"/>
      <c r="O622" s="62" t="n"/>
      <c r="P622" s="63" t="str">
        <f>IF(OR(B622="",NOT(ISNUMBER(L622))),"",IF(L622&lt;=0,"",IFERROR(ROUND(L622*N(INDEX(art_w,MATCH(H622,art_ref,0))),3),"")))</f>
        <v/>
      </c>
      <c r="Q622" s="59" t="n"/>
      <c r="R622" s="54" t="n"/>
      <c r="S622" s="59" t="n"/>
      <c r="T622" s="59" t="n"/>
      <c r="U622" s="64" t="str">
        <f>IF(OR(B622="",H622=""),"",IFERROR(IF(A622="BL",IF(N(INDEX(art_price,MATCH(H622,art_ref,0)))=0,"",N(INDEX(art_price,MATCH(H622,art_ref,0)))),IF(N(INDEX(art_cost,MATCH(H622,art_ref,0)))=0,"",N(INDEX(art_cost,MATCH(H622,art_ref,0))))),""))</f>
        <v/>
      </c>
      <c r="V622" s="64" t="str">
        <f>IF(OR(U622="",NOT(ISNUMBER(L622))),"",IF(L622&lt;=0,"",ROUND(L622*U622,2)))</f>
        <v/>
      </c>
      <c r="W622" s="60" t="str">
        <f>IF(AND(B622&lt;&gt;"",A622&lt;&gt;"BS",F622&lt;&gt;"",H622&lt;&gt;"",ISNUMBER(K622),ISNUMBER(L622)),IF(AND(K622&gt;0,L622&gt;0,K622-L622&gt;0,COUNTIFS(A623:A$2005,A622,F623:F$2005,F622,H623:H$2005,H622,AA623:AA$2005,"&gt;0")=0),ROUND(K622-L622,6),""),"")</f>
        <v/>
      </c>
      <c r="X622" s="60" t="str">
        <f>IF(AND(A622="",C622="",D622="",H622="",L622=""),"",IF(A622="","Type manquant",IF(AND(A622&lt;&gt;"BL",A622&lt;&gt;"BR",A622&lt;&gt;"BS"),"Type inconnu (BL, BR ou BS)",IF(AG622=0,"Date manquante ou invalide",IF(D622="",IF(A622="BL","Client manquant",IF(A622="BR","Fournisseur manquant","Service manquant")),IF(IF(A622="BL",ISNA(MATCH(D622,cl_code,0)),IF(A622="BR",ISNA(MATCH(D622,fo_code,0)),ISNA(MATCH(D622,p_services,0)))),IF(A622="BL","Client inconnu",IF(A622="BR","Fournisseur inconnu","Service inconnu")),IF(H622="","Article manquant",IF(ISNA(MATCH(H622,art_ref,0)),"Article inconnu",IF(OR(NOT(ISNUMBER(L622)),N(L622)&lt;=0),"Quantité invalide",IF(AND(K622&lt;&gt;"",OR(NOT(ISNUMBER(K622)),N(K622)&lt;=0)),"Qté commandée invalide",IF(AG622&lt;SUMPRODUCT(MAX((A$6:A621=A622)*AG$6:AG621)),"Date antérieure au bon précédent",IF(AND(A622&lt;&gt;"BR",ISNUMBER(M622),N(M622)&gt;0),IF(A622="BL","Livré plus que commandé","Sorti plus que demandé"),"OK"))))))))))))</f>
        <v/>
      </c>
      <c r="Y622" s="57" t="str">
        <f>IF(AND(OR(A622="BL",A622="BR",A622="BS"),AG622&gt;0,D622&lt;&gt;""),A622&amp;"|"&amp;AG622&amp;"|"&amp;D622&amp;"|"&amp;F622,"")</f>
        <v/>
      </c>
      <c r="Z622" s="57" t="str">
        <f>IF(Y622="","",IF(COUNTIF(Y$6:Y621,Y622)=0,1,0))</f>
        <v/>
      </c>
      <c r="AA622" s="57" t="str">
        <f>IF(Y622="","",IF(Z622=1,COUNTIFS(A$6:A622,A622,Z$6:Z622,1),INDEX(AA$6:AA621,MATCH(Y622,Y$6:Y621,0))))</f>
        <v/>
      </c>
      <c r="AB622" s="57" t="str">
        <f>IF(B622="","",COUNTIF(B$6:B622,B622))</f>
        <v/>
      </c>
      <c r="AC622" s="57" t="str">
        <f>IF(B622="","",B622&amp;"#"&amp;AB622)</f>
        <v/>
      </c>
      <c r="AD622" s="57" t="str">
        <f>IF(Z622=1,A622&amp;AA622,"")</f>
        <v/>
      </c>
      <c r="AE622" s="57" t="str">
        <f>IF(B622="","",YEAR(C622))</f>
        <v/>
      </c>
      <c r="AF622" s="57" t="str">
        <f>IF(B622="","",MONTH(C622))</f>
        <v/>
      </c>
      <c r="AG622" s="57">
        <f>IF(ISNUMBER(C622),C622,0)</f>
        <v>0.0</v>
      </c>
      <c r="AH622" s="57" t="str">
        <f>IF(N(W622)&gt;0,COUNTIF(W$6:W622,"&gt;0"),"")</f>
        <v/>
      </c>
      <c r="AI622" s="57" t="str">
        <f>IF(Z622=1,COUNTIF(Z$6:Z622,1),"")</f>
        <v/>
      </c>
    </row>
    <row r="623">
      <c r="A623" s="54" t="n"/>
      <c r="B623" s="55" t="str">
        <f>IF(AA623="","",A623&amp;"-"&amp;RIGHT("000"&amp;AA623,4))</f>
        <v/>
      </c>
      <c r="C623" s="56" t="n"/>
      <c r="D623" s="54" t="n"/>
      <c r="E623" s="57" t="str">
        <f>IF(D623="","",IF(A623="BL",IFERROR(INDEX(cl_name,MATCH(D623,cl_code,0))&amp;"","Client inconnu"),IF(A623="BR",IFERROR(INDEX(fo_name,MATCH(D623,fo_code,0))&amp;"","Fournisseur inconnu"),IF(A623="BS",IF(ISNA(MATCH(D623,p_services,0)),"Service inconnu",D623&amp;""),""))))</f>
        <v/>
      </c>
      <c r="F623" s="58" t="n"/>
      <c r="G623" s="58" t="n"/>
      <c r="H623" s="59" t="n"/>
      <c r="I623" s="57" t="str">
        <f>IF(H623="","",IFERROR(INDEX(art_des,MATCH(H623,art_ref,0))&amp;"","Article inconnu"))</f>
        <v/>
      </c>
      <c r="J623" s="60" t="str">
        <f>IF(H623="","",IFERROR(INDEX(art_unit,MATCH(H623,art_ref,0))&amp;"",""))</f>
        <v/>
      </c>
      <c r="K623" s="59" t="n"/>
      <c r="L623" s="59" t="n"/>
      <c r="M623" s="61" t="str">
        <f>IF(OR(B623="",NOT(ISNUMBER(K623)),NOT(ISNUMBER(L623))),"",IF(OR(K623&lt;=0,L623&lt;=0),"",ROUND(L623-K623,6)))</f>
        <v/>
      </c>
      <c r="N623" s="58" t="n"/>
      <c r="O623" s="62" t="n"/>
      <c r="P623" s="63" t="str">
        <f>IF(OR(B623="",NOT(ISNUMBER(L623))),"",IF(L623&lt;=0,"",IFERROR(ROUND(L623*N(INDEX(art_w,MATCH(H623,art_ref,0))),3),"")))</f>
        <v/>
      </c>
      <c r="Q623" s="59" t="n"/>
      <c r="R623" s="54" t="n"/>
      <c r="S623" s="59" t="n"/>
      <c r="T623" s="59" t="n"/>
      <c r="U623" s="64" t="str">
        <f>IF(OR(B623="",H623=""),"",IFERROR(IF(A623="BL",IF(N(INDEX(art_price,MATCH(H623,art_ref,0)))=0,"",N(INDEX(art_price,MATCH(H623,art_ref,0)))),IF(N(INDEX(art_cost,MATCH(H623,art_ref,0)))=0,"",N(INDEX(art_cost,MATCH(H623,art_ref,0))))),""))</f>
        <v/>
      </c>
      <c r="V623" s="64" t="str">
        <f>IF(OR(U623="",NOT(ISNUMBER(L623))),"",IF(L623&lt;=0,"",ROUND(L623*U623,2)))</f>
        <v/>
      </c>
      <c r="W623" s="60" t="str">
        <f>IF(AND(B623&lt;&gt;"",A623&lt;&gt;"BS",F623&lt;&gt;"",H623&lt;&gt;"",ISNUMBER(K623),ISNUMBER(L623)),IF(AND(K623&gt;0,L623&gt;0,K623-L623&gt;0,COUNTIFS(A624:A$2005,A623,F624:F$2005,F623,H624:H$2005,H623,AA624:AA$2005,"&gt;0")=0),ROUND(K623-L623,6),""),"")</f>
        <v/>
      </c>
      <c r="X623" s="60" t="str">
        <f>IF(AND(A623="",C623="",D623="",H623="",L623=""),"",IF(A623="","Type manquant",IF(AND(A623&lt;&gt;"BL",A623&lt;&gt;"BR",A623&lt;&gt;"BS"),"Type inconnu (BL, BR ou BS)",IF(AG623=0,"Date manquante ou invalide",IF(D623="",IF(A623="BL","Client manquant",IF(A623="BR","Fournisseur manquant","Service manquant")),IF(IF(A623="BL",ISNA(MATCH(D623,cl_code,0)),IF(A623="BR",ISNA(MATCH(D623,fo_code,0)),ISNA(MATCH(D623,p_services,0)))),IF(A623="BL","Client inconnu",IF(A623="BR","Fournisseur inconnu","Service inconnu")),IF(H623="","Article manquant",IF(ISNA(MATCH(H623,art_ref,0)),"Article inconnu",IF(OR(NOT(ISNUMBER(L623)),N(L623)&lt;=0),"Quantité invalide",IF(AND(K623&lt;&gt;"",OR(NOT(ISNUMBER(K623)),N(K623)&lt;=0)),"Qté commandée invalide",IF(AG623&lt;SUMPRODUCT(MAX((A$6:A622=A623)*AG$6:AG622)),"Date antérieure au bon précédent",IF(AND(A623&lt;&gt;"BR",ISNUMBER(M623),N(M623)&gt;0),IF(A623="BL","Livré plus que commandé","Sorti plus que demandé"),"OK"))))))))))))</f>
        <v/>
      </c>
      <c r="Y623" s="57" t="str">
        <f>IF(AND(OR(A623="BL",A623="BR",A623="BS"),AG623&gt;0,D623&lt;&gt;""),A623&amp;"|"&amp;AG623&amp;"|"&amp;D623&amp;"|"&amp;F623,"")</f>
        <v/>
      </c>
      <c r="Z623" s="57" t="str">
        <f>IF(Y623="","",IF(COUNTIF(Y$6:Y622,Y623)=0,1,0))</f>
        <v/>
      </c>
      <c r="AA623" s="57" t="str">
        <f>IF(Y623="","",IF(Z623=1,COUNTIFS(A$6:A623,A623,Z$6:Z623,1),INDEX(AA$6:AA622,MATCH(Y623,Y$6:Y622,0))))</f>
        <v/>
      </c>
      <c r="AB623" s="57" t="str">
        <f>IF(B623="","",COUNTIF(B$6:B623,B623))</f>
        <v/>
      </c>
      <c r="AC623" s="57" t="str">
        <f>IF(B623="","",B623&amp;"#"&amp;AB623)</f>
        <v/>
      </c>
      <c r="AD623" s="57" t="str">
        <f>IF(Z623=1,A623&amp;AA623,"")</f>
        <v/>
      </c>
      <c r="AE623" s="57" t="str">
        <f>IF(B623="","",YEAR(C623))</f>
        <v/>
      </c>
      <c r="AF623" s="57" t="str">
        <f>IF(B623="","",MONTH(C623))</f>
        <v/>
      </c>
      <c r="AG623" s="57">
        <f>IF(ISNUMBER(C623),C623,0)</f>
        <v>0.0</v>
      </c>
      <c r="AH623" s="57" t="str">
        <f>IF(N(W623)&gt;0,COUNTIF(W$6:W623,"&gt;0"),"")</f>
        <v/>
      </c>
      <c r="AI623" s="57" t="str">
        <f>IF(Z623=1,COUNTIF(Z$6:Z623,1),"")</f>
        <v/>
      </c>
    </row>
    <row r="624">
      <c r="A624" s="54" t="n"/>
      <c r="B624" s="55" t="str">
        <f>IF(AA624="","",A624&amp;"-"&amp;RIGHT("000"&amp;AA624,4))</f>
        <v/>
      </c>
      <c r="C624" s="56" t="n"/>
      <c r="D624" s="54" t="n"/>
      <c r="E624" s="57" t="str">
        <f>IF(D624="","",IF(A624="BL",IFERROR(INDEX(cl_name,MATCH(D624,cl_code,0))&amp;"","Client inconnu"),IF(A624="BR",IFERROR(INDEX(fo_name,MATCH(D624,fo_code,0))&amp;"","Fournisseur inconnu"),IF(A624="BS",IF(ISNA(MATCH(D624,p_services,0)),"Service inconnu",D624&amp;""),""))))</f>
        <v/>
      </c>
      <c r="F624" s="58" t="n"/>
      <c r="G624" s="58" t="n"/>
      <c r="H624" s="59" t="n"/>
      <c r="I624" s="57" t="str">
        <f>IF(H624="","",IFERROR(INDEX(art_des,MATCH(H624,art_ref,0))&amp;"","Article inconnu"))</f>
        <v/>
      </c>
      <c r="J624" s="60" t="str">
        <f>IF(H624="","",IFERROR(INDEX(art_unit,MATCH(H624,art_ref,0))&amp;"",""))</f>
        <v/>
      </c>
      <c r="K624" s="59" t="n"/>
      <c r="L624" s="59" t="n"/>
      <c r="M624" s="61" t="str">
        <f>IF(OR(B624="",NOT(ISNUMBER(K624)),NOT(ISNUMBER(L624))),"",IF(OR(K624&lt;=0,L624&lt;=0),"",ROUND(L624-K624,6)))</f>
        <v/>
      </c>
      <c r="N624" s="58" t="n"/>
      <c r="O624" s="62" t="n"/>
      <c r="P624" s="63" t="str">
        <f>IF(OR(B624="",NOT(ISNUMBER(L624))),"",IF(L624&lt;=0,"",IFERROR(ROUND(L624*N(INDEX(art_w,MATCH(H624,art_ref,0))),3),"")))</f>
        <v/>
      </c>
      <c r="Q624" s="59" t="n"/>
      <c r="R624" s="54" t="n"/>
      <c r="S624" s="59" t="n"/>
      <c r="T624" s="59" t="n"/>
      <c r="U624" s="64" t="str">
        <f>IF(OR(B624="",H624=""),"",IFERROR(IF(A624="BL",IF(N(INDEX(art_price,MATCH(H624,art_ref,0)))=0,"",N(INDEX(art_price,MATCH(H624,art_ref,0)))),IF(N(INDEX(art_cost,MATCH(H624,art_ref,0)))=0,"",N(INDEX(art_cost,MATCH(H624,art_ref,0))))),""))</f>
        <v/>
      </c>
      <c r="V624" s="64" t="str">
        <f>IF(OR(U624="",NOT(ISNUMBER(L624))),"",IF(L624&lt;=0,"",ROUND(L624*U624,2)))</f>
        <v/>
      </c>
      <c r="W624" s="60" t="str">
        <f>IF(AND(B624&lt;&gt;"",A624&lt;&gt;"BS",F624&lt;&gt;"",H624&lt;&gt;"",ISNUMBER(K624),ISNUMBER(L624)),IF(AND(K624&gt;0,L624&gt;0,K624-L624&gt;0,COUNTIFS(A625:A$2005,A624,F625:F$2005,F624,H625:H$2005,H624,AA625:AA$2005,"&gt;0")=0),ROUND(K624-L624,6),""),"")</f>
        <v/>
      </c>
      <c r="X624" s="60" t="str">
        <f>IF(AND(A624="",C624="",D624="",H624="",L624=""),"",IF(A624="","Type manquant",IF(AND(A624&lt;&gt;"BL",A624&lt;&gt;"BR",A624&lt;&gt;"BS"),"Type inconnu (BL, BR ou BS)",IF(AG624=0,"Date manquante ou invalide",IF(D624="",IF(A624="BL","Client manquant",IF(A624="BR","Fournisseur manquant","Service manquant")),IF(IF(A624="BL",ISNA(MATCH(D624,cl_code,0)),IF(A624="BR",ISNA(MATCH(D624,fo_code,0)),ISNA(MATCH(D624,p_services,0)))),IF(A624="BL","Client inconnu",IF(A624="BR","Fournisseur inconnu","Service inconnu")),IF(H624="","Article manquant",IF(ISNA(MATCH(H624,art_ref,0)),"Article inconnu",IF(OR(NOT(ISNUMBER(L624)),N(L624)&lt;=0),"Quantité invalide",IF(AND(K624&lt;&gt;"",OR(NOT(ISNUMBER(K624)),N(K624)&lt;=0)),"Qté commandée invalide",IF(AG624&lt;SUMPRODUCT(MAX((A$6:A623=A624)*AG$6:AG623)),"Date antérieure au bon précédent",IF(AND(A624&lt;&gt;"BR",ISNUMBER(M624),N(M624)&gt;0),IF(A624="BL","Livré plus que commandé","Sorti plus que demandé"),"OK"))))))))))))</f>
        <v/>
      </c>
      <c r="Y624" s="57" t="str">
        <f>IF(AND(OR(A624="BL",A624="BR",A624="BS"),AG624&gt;0,D624&lt;&gt;""),A624&amp;"|"&amp;AG624&amp;"|"&amp;D624&amp;"|"&amp;F624,"")</f>
        <v/>
      </c>
      <c r="Z624" s="57" t="str">
        <f>IF(Y624="","",IF(COUNTIF(Y$6:Y623,Y624)=0,1,0))</f>
        <v/>
      </c>
      <c r="AA624" s="57" t="str">
        <f>IF(Y624="","",IF(Z624=1,COUNTIFS(A$6:A624,A624,Z$6:Z624,1),INDEX(AA$6:AA623,MATCH(Y624,Y$6:Y623,0))))</f>
        <v/>
      </c>
      <c r="AB624" s="57" t="str">
        <f>IF(B624="","",COUNTIF(B$6:B624,B624))</f>
        <v/>
      </c>
      <c r="AC624" s="57" t="str">
        <f>IF(B624="","",B624&amp;"#"&amp;AB624)</f>
        <v/>
      </c>
      <c r="AD624" s="57" t="str">
        <f>IF(Z624=1,A624&amp;AA624,"")</f>
        <v/>
      </c>
      <c r="AE624" s="57" t="str">
        <f>IF(B624="","",YEAR(C624))</f>
        <v/>
      </c>
      <c r="AF624" s="57" t="str">
        <f>IF(B624="","",MONTH(C624))</f>
        <v/>
      </c>
      <c r="AG624" s="57">
        <f>IF(ISNUMBER(C624),C624,0)</f>
        <v>0.0</v>
      </c>
      <c r="AH624" s="57" t="str">
        <f>IF(N(W624)&gt;0,COUNTIF(W$6:W624,"&gt;0"),"")</f>
        <v/>
      </c>
      <c r="AI624" s="57" t="str">
        <f>IF(Z624=1,COUNTIF(Z$6:Z624,1),"")</f>
        <v/>
      </c>
    </row>
    <row r="625">
      <c r="A625" s="54" t="n"/>
      <c r="B625" s="55" t="str">
        <f>IF(AA625="","",A625&amp;"-"&amp;RIGHT("000"&amp;AA625,4))</f>
        <v/>
      </c>
      <c r="C625" s="56" t="n"/>
      <c r="D625" s="54" t="n"/>
      <c r="E625" s="57" t="str">
        <f>IF(D625="","",IF(A625="BL",IFERROR(INDEX(cl_name,MATCH(D625,cl_code,0))&amp;"","Client inconnu"),IF(A625="BR",IFERROR(INDEX(fo_name,MATCH(D625,fo_code,0))&amp;"","Fournisseur inconnu"),IF(A625="BS",IF(ISNA(MATCH(D625,p_services,0)),"Service inconnu",D625&amp;""),""))))</f>
        <v/>
      </c>
      <c r="F625" s="58" t="n"/>
      <c r="G625" s="58" t="n"/>
      <c r="H625" s="59" t="n"/>
      <c r="I625" s="57" t="str">
        <f>IF(H625="","",IFERROR(INDEX(art_des,MATCH(H625,art_ref,0))&amp;"","Article inconnu"))</f>
        <v/>
      </c>
      <c r="J625" s="60" t="str">
        <f>IF(H625="","",IFERROR(INDEX(art_unit,MATCH(H625,art_ref,0))&amp;"",""))</f>
        <v/>
      </c>
      <c r="K625" s="59" t="n"/>
      <c r="L625" s="59" t="n"/>
      <c r="M625" s="61" t="str">
        <f>IF(OR(B625="",NOT(ISNUMBER(K625)),NOT(ISNUMBER(L625))),"",IF(OR(K625&lt;=0,L625&lt;=0),"",ROUND(L625-K625,6)))</f>
        <v/>
      </c>
      <c r="N625" s="58" t="n"/>
      <c r="O625" s="62" t="n"/>
      <c r="P625" s="63" t="str">
        <f>IF(OR(B625="",NOT(ISNUMBER(L625))),"",IF(L625&lt;=0,"",IFERROR(ROUND(L625*N(INDEX(art_w,MATCH(H625,art_ref,0))),3),"")))</f>
        <v/>
      </c>
      <c r="Q625" s="59" t="n"/>
      <c r="R625" s="54" t="n"/>
      <c r="S625" s="59" t="n"/>
      <c r="T625" s="59" t="n"/>
      <c r="U625" s="64" t="str">
        <f>IF(OR(B625="",H625=""),"",IFERROR(IF(A625="BL",IF(N(INDEX(art_price,MATCH(H625,art_ref,0)))=0,"",N(INDEX(art_price,MATCH(H625,art_ref,0)))),IF(N(INDEX(art_cost,MATCH(H625,art_ref,0)))=0,"",N(INDEX(art_cost,MATCH(H625,art_ref,0))))),""))</f>
        <v/>
      </c>
      <c r="V625" s="64" t="str">
        <f>IF(OR(U625="",NOT(ISNUMBER(L625))),"",IF(L625&lt;=0,"",ROUND(L625*U625,2)))</f>
        <v/>
      </c>
      <c r="W625" s="60" t="str">
        <f>IF(AND(B625&lt;&gt;"",A625&lt;&gt;"BS",F625&lt;&gt;"",H625&lt;&gt;"",ISNUMBER(K625),ISNUMBER(L625)),IF(AND(K625&gt;0,L625&gt;0,K625-L625&gt;0,COUNTIFS(A626:A$2005,A625,F626:F$2005,F625,H626:H$2005,H625,AA626:AA$2005,"&gt;0")=0),ROUND(K625-L625,6),""),"")</f>
        <v/>
      </c>
      <c r="X625" s="60" t="str">
        <f>IF(AND(A625="",C625="",D625="",H625="",L625=""),"",IF(A625="","Type manquant",IF(AND(A625&lt;&gt;"BL",A625&lt;&gt;"BR",A625&lt;&gt;"BS"),"Type inconnu (BL, BR ou BS)",IF(AG625=0,"Date manquante ou invalide",IF(D625="",IF(A625="BL","Client manquant",IF(A625="BR","Fournisseur manquant","Service manquant")),IF(IF(A625="BL",ISNA(MATCH(D625,cl_code,0)),IF(A625="BR",ISNA(MATCH(D625,fo_code,0)),ISNA(MATCH(D625,p_services,0)))),IF(A625="BL","Client inconnu",IF(A625="BR","Fournisseur inconnu","Service inconnu")),IF(H625="","Article manquant",IF(ISNA(MATCH(H625,art_ref,0)),"Article inconnu",IF(OR(NOT(ISNUMBER(L625)),N(L625)&lt;=0),"Quantité invalide",IF(AND(K625&lt;&gt;"",OR(NOT(ISNUMBER(K625)),N(K625)&lt;=0)),"Qté commandée invalide",IF(AG625&lt;SUMPRODUCT(MAX((A$6:A624=A625)*AG$6:AG624)),"Date antérieure au bon précédent",IF(AND(A625&lt;&gt;"BR",ISNUMBER(M625),N(M625)&gt;0),IF(A625="BL","Livré plus que commandé","Sorti plus que demandé"),"OK"))))))))))))</f>
        <v/>
      </c>
      <c r="Y625" s="57" t="str">
        <f>IF(AND(OR(A625="BL",A625="BR",A625="BS"),AG625&gt;0,D625&lt;&gt;""),A625&amp;"|"&amp;AG625&amp;"|"&amp;D625&amp;"|"&amp;F625,"")</f>
        <v/>
      </c>
      <c r="Z625" s="57" t="str">
        <f>IF(Y625="","",IF(COUNTIF(Y$6:Y624,Y625)=0,1,0))</f>
        <v/>
      </c>
      <c r="AA625" s="57" t="str">
        <f>IF(Y625="","",IF(Z625=1,COUNTIFS(A$6:A625,A625,Z$6:Z625,1),INDEX(AA$6:AA624,MATCH(Y625,Y$6:Y624,0))))</f>
        <v/>
      </c>
      <c r="AB625" s="57" t="str">
        <f>IF(B625="","",COUNTIF(B$6:B625,B625))</f>
        <v/>
      </c>
      <c r="AC625" s="57" t="str">
        <f>IF(B625="","",B625&amp;"#"&amp;AB625)</f>
        <v/>
      </c>
      <c r="AD625" s="57" t="str">
        <f>IF(Z625=1,A625&amp;AA625,"")</f>
        <v/>
      </c>
      <c r="AE625" s="57" t="str">
        <f>IF(B625="","",YEAR(C625))</f>
        <v/>
      </c>
      <c r="AF625" s="57" t="str">
        <f>IF(B625="","",MONTH(C625))</f>
        <v/>
      </c>
      <c r="AG625" s="57">
        <f>IF(ISNUMBER(C625),C625,0)</f>
        <v>0.0</v>
      </c>
      <c r="AH625" s="57" t="str">
        <f>IF(N(W625)&gt;0,COUNTIF(W$6:W625,"&gt;0"),"")</f>
        <v/>
      </c>
      <c r="AI625" s="57" t="str">
        <f>IF(Z625=1,COUNTIF(Z$6:Z625,1),"")</f>
        <v/>
      </c>
    </row>
    <row r="626">
      <c r="A626" s="54" t="n"/>
      <c r="B626" s="55" t="str">
        <f>IF(AA626="","",A626&amp;"-"&amp;RIGHT("000"&amp;AA626,4))</f>
        <v/>
      </c>
      <c r="C626" s="56" t="n"/>
      <c r="D626" s="54" t="n"/>
      <c r="E626" s="57" t="str">
        <f>IF(D626="","",IF(A626="BL",IFERROR(INDEX(cl_name,MATCH(D626,cl_code,0))&amp;"","Client inconnu"),IF(A626="BR",IFERROR(INDEX(fo_name,MATCH(D626,fo_code,0))&amp;"","Fournisseur inconnu"),IF(A626="BS",IF(ISNA(MATCH(D626,p_services,0)),"Service inconnu",D626&amp;""),""))))</f>
        <v/>
      </c>
      <c r="F626" s="58" t="n"/>
      <c r="G626" s="58" t="n"/>
      <c r="H626" s="59" t="n"/>
      <c r="I626" s="57" t="str">
        <f>IF(H626="","",IFERROR(INDEX(art_des,MATCH(H626,art_ref,0))&amp;"","Article inconnu"))</f>
        <v/>
      </c>
      <c r="J626" s="60" t="str">
        <f>IF(H626="","",IFERROR(INDEX(art_unit,MATCH(H626,art_ref,0))&amp;"",""))</f>
        <v/>
      </c>
      <c r="K626" s="59" t="n"/>
      <c r="L626" s="59" t="n"/>
      <c r="M626" s="61" t="str">
        <f>IF(OR(B626="",NOT(ISNUMBER(K626)),NOT(ISNUMBER(L626))),"",IF(OR(K626&lt;=0,L626&lt;=0),"",ROUND(L626-K626,6)))</f>
        <v/>
      </c>
      <c r="N626" s="58" t="n"/>
      <c r="O626" s="62" t="n"/>
      <c r="P626" s="63" t="str">
        <f>IF(OR(B626="",NOT(ISNUMBER(L626))),"",IF(L626&lt;=0,"",IFERROR(ROUND(L626*N(INDEX(art_w,MATCH(H626,art_ref,0))),3),"")))</f>
        <v/>
      </c>
      <c r="Q626" s="59" t="n"/>
      <c r="R626" s="54" t="n"/>
      <c r="S626" s="59" t="n"/>
      <c r="T626" s="59" t="n"/>
      <c r="U626" s="64" t="str">
        <f>IF(OR(B626="",H626=""),"",IFERROR(IF(A626="BL",IF(N(INDEX(art_price,MATCH(H626,art_ref,0)))=0,"",N(INDEX(art_price,MATCH(H626,art_ref,0)))),IF(N(INDEX(art_cost,MATCH(H626,art_ref,0)))=0,"",N(INDEX(art_cost,MATCH(H626,art_ref,0))))),""))</f>
        <v/>
      </c>
      <c r="V626" s="64" t="str">
        <f>IF(OR(U626="",NOT(ISNUMBER(L626))),"",IF(L626&lt;=0,"",ROUND(L626*U626,2)))</f>
        <v/>
      </c>
      <c r="W626" s="60" t="str">
        <f>IF(AND(B626&lt;&gt;"",A626&lt;&gt;"BS",F626&lt;&gt;"",H626&lt;&gt;"",ISNUMBER(K626),ISNUMBER(L626)),IF(AND(K626&gt;0,L626&gt;0,K626-L626&gt;0,COUNTIFS(A627:A$2005,A626,F627:F$2005,F626,H627:H$2005,H626,AA627:AA$2005,"&gt;0")=0),ROUND(K626-L626,6),""),"")</f>
        <v/>
      </c>
      <c r="X626" s="60" t="str">
        <f>IF(AND(A626="",C626="",D626="",H626="",L626=""),"",IF(A626="","Type manquant",IF(AND(A626&lt;&gt;"BL",A626&lt;&gt;"BR",A626&lt;&gt;"BS"),"Type inconnu (BL, BR ou BS)",IF(AG626=0,"Date manquante ou invalide",IF(D626="",IF(A626="BL","Client manquant",IF(A626="BR","Fournisseur manquant","Service manquant")),IF(IF(A626="BL",ISNA(MATCH(D626,cl_code,0)),IF(A626="BR",ISNA(MATCH(D626,fo_code,0)),ISNA(MATCH(D626,p_services,0)))),IF(A626="BL","Client inconnu",IF(A626="BR","Fournisseur inconnu","Service inconnu")),IF(H626="","Article manquant",IF(ISNA(MATCH(H626,art_ref,0)),"Article inconnu",IF(OR(NOT(ISNUMBER(L626)),N(L626)&lt;=0),"Quantité invalide",IF(AND(K626&lt;&gt;"",OR(NOT(ISNUMBER(K626)),N(K626)&lt;=0)),"Qté commandée invalide",IF(AG626&lt;SUMPRODUCT(MAX((A$6:A625=A626)*AG$6:AG625)),"Date antérieure au bon précédent",IF(AND(A626&lt;&gt;"BR",ISNUMBER(M626),N(M626)&gt;0),IF(A626="BL","Livré plus que commandé","Sorti plus que demandé"),"OK"))))))))))))</f>
        <v/>
      </c>
      <c r="Y626" s="57" t="str">
        <f>IF(AND(OR(A626="BL",A626="BR",A626="BS"),AG626&gt;0,D626&lt;&gt;""),A626&amp;"|"&amp;AG626&amp;"|"&amp;D626&amp;"|"&amp;F626,"")</f>
        <v/>
      </c>
      <c r="Z626" s="57" t="str">
        <f>IF(Y626="","",IF(COUNTIF(Y$6:Y625,Y626)=0,1,0))</f>
        <v/>
      </c>
      <c r="AA626" s="57" t="str">
        <f>IF(Y626="","",IF(Z626=1,COUNTIFS(A$6:A626,A626,Z$6:Z626,1),INDEX(AA$6:AA625,MATCH(Y626,Y$6:Y625,0))))</f>
        <v/>
      </c>
      <c r="AB626" s="57" t="str">
        <f>IF(B626="","",COUNTIF(B$6:B626,B626))</f>
        <v/>
      </c>
      <c r="AC626" s="57" t="str">
        <f>IF(B626="","",B626&amp;"#"&amp;AB626)</f>
        <v/>
      </c>
      <c r="AD626" s="57" t="str">
        <f>IF(Z626=1,A626&amp;AA626,"")</f>
        <v/>
      </c>
      <c r="AE626" s="57" t="str">
        <f>IF(B626="","",YEAR(C626))</f>
        <v/>
      </c>
      <c r="AF626" s="57" t="str">
        <f>IF(B626="","",MONTH(C626))</f>
        <v/>
      </c>
      <c r="AG626" s="57">
        <f>IF(ISNUMBER(C626),C626,0)</f>
        <v>0.0</v>
      </c>
      <c r="AH626" s="57" t="str">
        <f>IF(N(W626)&gt;0,COUNTIF(W$6:W626,"&gt;0"),"")</f>
        <v/>
      </c>
      <c r="AI626" s="57" t="str">
        <f>IF(Z626=1,COUNTIF(Z$6:Z626,1),"")</f>
        <v/>
      </c>
    </row>
    <row r="627">
      <c r="A627" s="54" t="n"/>
      <c r="B627" s="55" t="str">
        <f>IF(AA627="","",A627&amp;"-"&amp;RIGHT("000"&amp;AA627,4))</f>
        <v/>
      </c>
      <c r="C627" s="56" t="n"/>
      <c r="D627" s="54" t="n"/>
      <c r="E627" s="57" t="str">
        <f>IF(D627="","",IF(A627="BL",IFERROR(INDEX(cl_name,MATCH(D627,cl_code,0))&amp;"","Client inconnu"),IF(A627="BR",IFERROR(INDEX(fo_name,MATCH(D627,fo_code,0))&amp;"","Fournisseur inconnu"),IF(A627="BS",IF(ISNA(MATCH(D627,p_services,0)),"Service inconnu",D627&amp;""),""))))</f>
        <v/>
      </c>
      <c r="F627" s="58" t="n"/>
      <c r="G627" s="58" t="n"/>
      <c r="H627" s="59" t="n"/>
      <c r="I627" s="57" t="str">
        <f>IF(H627="","",IFERROR(INDEX(art_des,MATCH(H627,art_ref,0))&amp;"","Article inconnu"))</f>
        <v/>
      </c>
      <c r="J627" s="60" t="str">
        <f>IF(H627="","",IFERROR(INDEX(art_unit,MATCH(H627,art_ref,0))&amp;"",""))</f>
        <v/>
      </c>
      <c r="K627" s="59" t="n"/>
      <c r="L627" s="59" t="n"/>
      <c r="M627" s="61" t="str">
        <f>IF(OR(B627="",NOT(ISNUMBER(K627)),NOT(ISNUMBER(L627))),"",IF(OR(K627&lt;=0,L627&lt;=0),"",ROUND(L627-K627,6)))</f>
        <v/>
      </c>
      <c r="N627" s="58" t="n"/>
      <c r="O627" s="62" t="n"/>
      <c r="P627" s="63" t="str">
        <f>IF(OR(B627="",NOT(ISNUMBER(L627))),"",IF(L627&lt;=0,"",IFERROR(ROUND(L627*N(INDEX(art_w,MATCH(H627,art_ref,0))),3),"")))</f>
        <v/>
      </c>
      <c r="Q627" s="59" t="n"/>
      <c r="R627" s="54" t="n"/>
      <c r="S627" s="59" t="n"/>
      <c r="T627" s="59" t="n"/>
      <c r="U627" s="64" t="str">
        <f>IF(OR(B627="",H627=""),"",IFERROR(IF(A627="BL",IF(N(INDEX(art_price,MATCH(H627,art_ref,0)))=0,"",N(INDEX(art_price,MATCH(H627,art_ref,0)))),IF(N(INDEX(art_cost,MATCH(H627,art_ref,0)))=0,"",N(INDEX(art_cost,MATCH(H627,art_ref,0))))),""))</f>
        <v/>
      </c>
      <c r="V627" s="64" t="str">
        <f>IF(OR(U627="",NOT(ISNUMBER(L627))),"",IF(L627&lt;=0,"",ROUND(L627*U627,2)))</f>
        <v/>
      </c>
      <c r="W627" s="60" t="str">
        <f>IF(AND(B627&lt;&gt;"",A627&lt;&gt;"BS",F627&lt;&gt;"",H627&lt;&gt;"",ISNUMBER(K627),ISNUMBER(L627)),IF(AND(K627&gt;0,L627&gt;0,K627-L627&gt;0,COUNTIFS(A628:A$2005,A627,F628:F$2005,F627,H628:H$2005,H627,AA628:AA$2005,"&gt;0")=0),ROUND(K627-L627,6),""),"")</f>
        <v/>
      </c>
      <c r="X627" s="60" t="str">
        <f>IF(AND(A627="",C627="",D627="",H627="",L627=""),"",IF(A627="","Type manquant",IF(AND(A627&lt;&gt;"BL",A627&lt;&gt;"BR",A627&lt;&gt;"BS"),"Type inconnu (BL, BR ou BS)",IF(AG627=0,"Date manquante ou invalide",IF(D627="",IF(A627="BL","Client manquant",IF(A627="BR","Fournisseur manquant","Service manquant")),IF(IF(A627="BL",ISNA(MATCH(D627,cl_code,0)),IF(A627="BR",ISNA(MATCH(D627,fo_code,0)),ISNA(MATCH(D627,p_services,0)))),IF(A627="BL","Client inconnu",IF(A627="BR","Fournisseur inconnu","Service inconnu")),IF(H627="","Article manquant",IF(ISNA(MATCH(H627,art_ref,0)),"Article inconnu",IF(OR(NOT(ISNUMBER(L627)),N(L627)&lt;=0),"Quantité invalide",IF(AND(K627&lt;&gt;"",OR(NOT(ISNUMBER(K627)),N(K627)&lt;=0)),"Qté commandée invalide",IF(AG627&lt;SUMPRODUCT(MAX((A$6:A626=A627)*AG$6:AG626)),"Date antérieure au bon précédent",IF(AND(A627&lt;&gt;"BR",ISNUMBER(M627),N(M627)&gt;0),IF(A627="BL","Livré plus que commandé","Sorti plus que demandé"),"OK"))))))))))))</f>
        <v/>
      </c>
      <c r="Y627" s="57" t="str">
        <f>IF(AND(OR(A627="BL",A627="BR",A627="BS"),AG627&gt;0,D627&lt;&gt;""),A627&amp;"|"&amp;AG627&amp;"|"&amp;D627&amp;"|"&amp;F627,"")</f>
        <v/>
      </c>
      <c r="Z627" s="57" t="str">
        <f>IF(Y627="","",IF(COUNTIF(Y$6:Y626,Y627)=0,1,0))</f>
        <v/>
      </c>
      <c r="AA627" s="57" t="str">
        <f>IF(Y627="","",IF(Z627=1,COUNTIFS(A$6:A627,A627,Z$6:Z627,1),INDEX(AA$6:AA626,MATCH(Y627,Y$6:Y626,0))))</f>
        <v/>
      </c>
      <c r="AB627" s="57" t="str">
        <f>IF(B627="","",COUNTIF(B$6:B627,B627))</f>
        <v/>
      </c>
      <c r="AC627" s="57" t="str">
        <f>IF(B627="","",B627&amp;"#"&amp;AB627)</f>
        <v/>
      </c>
      <c r="AD627" s="57" t="str">
        <f>IF(Z627=1,A627&amp;AA627,"")</f>
        <v/>
      </c>
      <c r="AE627" s="57" t="str">
        <f>IF(B627="","",YEAR(C627))</f>
        <v/>
      </c>
      <c r="AF627" s="57" t="str">
        <f>IF(B627="","",MONTH(C627))</f>
        <v/>
      </c>
      <c r="AG627" s="57">
        <f>IF(ISNUMBER(C627),C627,0)</f>
        <v>0.0</v>
      </c>
      <c r="AH627" s="57" t="str">
        <f>IF(N(W627)&gt;0,COUNTIF(W$6:W627,"&gt;0"),"")</f>
        <v/>
      </c>
      <c r="AI627" s="57" t="str">
        <f>IF(Z627=1,COUNTIF(Z$6:Z627,1),"")</f>
        <v/>
      </c>
    </row>
    <row r="628">
      <c r="A628" s="54" t="n"/>
      <c r="B628" s="55" t="str">
        <f>IF(AA628="","",A628&amp;"-"&amp;RIGHT("000"&amp;AA628,4))</f>
        <v/>
      </c>
      <c r="C628" s="56" t="n"/>
      <c r="D628" s="54" t="n"/>
      <c r="E628" s="57" t="str">
        <f>IF(D628="","",IF(A628="BL",IFERROR(INDEX(cl_name,MATCH(D628,cl_code,0))&amp;"","Client inconnu"),IF(A628="BR",IFERROR(INDEX(fo_name,MATCH(D628,fo_code,0))&amp;"","Fournisseur inconnu"),IF(A628="BS",IF(ISNA(MATCH(D628,p_services,0)),"Service inconnu",D628&amp;""),""))))</f>
        <v/>
      </c>
      <c r="F628" s="58" t="n"/>
      <c r="G628" s="58" t="n"/>
      <c r="H628" s="59" t="n"/>
      <c r="I628" s="57" t="str">
        <f>IF(H628="","",IFERROR(INDEX(art_des,MATCH(H628,art_ref,0))&amp;"","Article inconnu"))</f>
        <v/>
      </c>
      <c r="J628" s="60" t="str">
        <f>IF(H628="","",IFERROR(INDEX(art_unit,MATCH(H628,art_ref,0))&amp;"",""))</f>
        <v/>
      </c>
      <c r="K628" s="59" t="n"/>
      <c r="L628" s="59" t="n"/>
      <c r="M628" s="61" t="str">
        <f>IF(OR(B628="",NOT(ISNUMBER(K628)),NOT(ISNUMBER(L628))),"",IF(OR(K628&lt;=0,L628&lt;=0),"",ROUND(L628-K628,6)))</f>
        <v/>
      </c>
      <c r="N628" s="58" t="n"/>
      <c r="O628" s="62" t="n"/>
      <c r="P628" s="63" t="str">
        <f>IF(OR(B628="",NOT(ISNUMBER(L628))),"",IF(L628&lt;=0,"",IFERROR(ROUND(L628*N(INDEX(art_w,MATCH(H628,art_ref,0))),3),"")))</f>
        <v/>
      </c>
      <c r="Q628" s="59" t="n"/>
      <c r="R628" s="54" t="n"/>
      <c r="S628" s="59" t="n"/>
      <c r="T628" s="59" t="n"/>
      <c r="U628" s="64" t="str">
        <f>IF(OR(B628="",H628=""),"",IFERROR(IF(A628="BL",IF(N(INDEX(art_price,MATCH(H628,art_ref,0)))=0,"",N(INDEX(art_price,MATCH(H628,art_ref,0)))),IF(N(INDEX(art_cost,MATCH(H628,art_ref,0)))=0,"",N(INDEX(art_cost,MATCH(H628,art_ref,0))))),""))</f>
        <v/>
      </c>
      <c r="V628" s="64" t="str">
        <f>IF(OR(U628="",NOT(ISNUMBER(L628))),"",IF(L628&lt;=0,"",ROUND(L628*U628,2)))</f>
        <v/>
      </c>
      <c r="W628" s="60" t="str">
        <f>IF(AND(B628&lt;&gt;"",A628&lt;&gt;"BS",F628&lt;&gt;"",H628&lt;&gt;"",ISNUMBER(K628),ISNUMBER(L628)),IF(AND(K628&gt;0,L628&gt;0,K628-L628&gt;0,COUNTIFS(A629:A$2005,A628,F629:F$2005,F628,H629:H$2005,H628,AA629:AA$2005,"&gt;0")=0),ROUND(K628-L628,6),""),"")</f>
        <v/>
      </c>
      <c r="X628" s="60" t="str">
        <f>IF(AND(A628="",C628="",D628="",H628="",L628=""),"",IF(A628="","Type manquant",IF(AND(A628&lt;&gt;"BL",A628&lt;&gt;"BR",A628&lt;&gt;"BS"),"Type inconnu (BL, BR ou BS)",IF(AG628=0,"Date manquante ou invalide",IF(D628="",IF(A628="BL","Client manquant",IF(A628="BR","Fournisseur manquant","Service manquant")),IF(IF(A628="BL",ISNA(MATCH(D628,cl_code,0)),IF(A628="BR",ISNA(MATCH(D628,fo_code,0)),ISNA(MATCH(D628,p_services,0)))),IF(A628="BL","Client inconnu",IF(A628="BR","Fournisseur inconnu","Service inconnu")),IF(H628="","Article manquant",IF(ISNA(MATCH(H628,art_ref,0)),"Article inconnu",IF(OR(NOT(ISNUMBER(L628)),N(L628)&lt;=0),"Quantité invalide",IF(AND(K628&lt;&gt;"",OR(NOT(ISNUMBER(K628)),N(K628)&lt;=0)),"Qté commandée invalide",IF(AG628&lt;SUMPRODUCT(MAX((A$6:A627=A628)*AG$6:AG627)),"Date antérieure au bon précédent",IF(AND(A628&lt;&gt;"BR",ISNUMBER(M628),N(M628)&gt;0),IF(A628="BL","Livré plus que commandé","Sorti plus que demandé"),"OK"))))))))))))</f>
        <v/>
      </c>
      <c r="Y628" s="57" t="str">
        <f>IF(AND(OR(A628="BL",A628="BR",A628="BS"),AG628&gt;0,D628&lt;&gt;""),A628&amp;"|"&amp;AG628&amp;"|"&amp;D628&amp;"|"&amp;F628,"")</f>
        <v/>
      </c>
      <c r="Z628" s="57" t="str">
        <f>IF(Y628="","",IF(COUNTIF(Y$6:Y627,Y628)=0,1,0))</f>
        <v/>
      </c>
      <c r="AA628" s="57" t="str">
        <f>IF(Y628="","",IF(Z628=1,COUNTIFS(A$6:A628,A628,Z$6:Z628,1),INDEX(AA$6:AA627,MATCH(Y628,Y$6:Y627,0))))</f>
        <v/>
      </c>
      <c r="AB628" s="57" t="str">
        <f>IF(B628="","",COUNTIF(B$6:B628,B628))</f>
        <v/>
      </c>
      <c r="AC628" s="57" t="str">
        <f>IF(B628="","",B628&amp;"#"&amp;AB628)</f>
        <v/>
      </c>
      <c r="AD628" s="57" t="str">
        <f>IF(Z628=1,A628&amp;AA628,"")</f>
        <v/>
      </c>
      <c r="AE628" s="57" t="str">
        <f>IF(B628="","",YEAR(C628))</f>
        <v/>
      </c>
      <c r="AF628" s="57" t="str">
        <f>IF(B628="","",MONTH(C628))</f>
        <v/>
      </c>
      <c r="AG628" s="57">
        <f>IF(ISNUMBER(C628),C628,0)</f>
        <v>0.0</v>
      </c>
      <c r="AH628" s="57" t="str">
        <f>IF(N(W628)&gt;0,COUNTIF(W$6:W628,"&gt;0"),"")</f>
        <v/>
      </c>
      <c r="AI628" s="57" t="str">
        <f>IF(Z628=1,COUNTIF(Z$6:Z628,1),"")</f>
        <v/>
      </c>
    </row>
    <row r="629">
      <c r="A629" s="54" t="n"/>
      <c r="B629" s="55" t="str">
        <f>IF(AA629="","",A629&amp;"-"&amp;RIGHT("000"&amp;AA629,4))</f>
        <v/>
      </c>
      <c r="C629" s="56" t="n"/>
      <c r="D629" s="54" t="n"/>
      <c r="E629" s="57" t="str">
        <f>IF(D629="","",IF(A629="BL",IFERROR(INDEX(cl_name,MATCH(D629,cl_code,0))&amp;"","Client inconnu"),IF(A629="BR",IFERROR(INDEX(fo_name,MATCH(D629,fo_code,0))&amp;"","Fournisseur inconnu"),IF(A629="BS",IF(ISNA(MATCH(D629,p_services,0)),"Service inconnu",D629&amp;""),""))))</f>
        <v/>
      </c>
      <c r="F629" s="58" t="n"/>
      <c r="G629" s="58" t="n"/>
      <c r="H629" s="59" t="n"/>
      <c r="I629" s="57" t="str">
        <f>IF(H629="","",IFERROR(INDEX(art_des,MATCH(H629,art_ref,0))&amp;"","Article inconnu"))</f>
        <v/>
      </c>
      <c r="J629" s="60" t="str">
        <f>IF(H629="","",IFERROR(INDEX(art_unit,MATCH(H629,art_ref,0))&amp;"",""))</f>
        <v/>
      </c>
      <c r="K629" s="59" t="n"/>
      <c r="L629" s="59" t="n"/>
      <c r="M629" s="61" t="str">
        <f>IF(OR(B629="",NOT(ISNUMBER(K629)),NOT(ISNUMBER(L629))),"",IF(OR(K629&lt;=0,L629&lt;=0),"",ROUND(L629-K629,6)))</f>
        <v/>
      </c>
      <c r="N629" s="58" t="n"/>
      <c r="O629" s="62" t="n"/>
      <c r="P629" s="63" t="str">
        <f>IF(OR(B629="",NOT(ISNUMBER(L629))),"",IF(L629&lt;=0,"",IFERROR(ROUND(L629*N(INDEX(art_w,MATCH(H629,art_ref,0))),3),"")))</f>
        <v/>
      </c>
      <c r="Q629" s="59" t="n"/>
      <c r="R629" s="54" t="n"/>
      <c r="S629" s="59" t="n"/>
      <c r="T629" s="59" t="n"/>
      <c r="U629" s="64" t="str">
        <f>IF(OR(B629="",H629=""),"",IFERROR(IF(A629="BL",IF(N(INDEX(art_price,MATCH(H629,art_ref,0)))=0,"",N(INDEX(art_price,MATCH(H629,art_ref,0)))),IF(N(INDEX(art_cost,MATCH(H629,art_ref,0)))=0,"",N(INDEX(art_cost,MATCH(H629,art_ref,0))))),""))</f>
        <v/>
      </c>
      <c r="V629" s="64" t="str">
        <f>IF(OR(U629="",NOT(ISNUMBER(L629))),"",IF(L629&lt;=0,"",ROUND(L629*U629,2)))</f>
        <v/>
      </c>
      <c r="W629" s="60" t="str">
        <f>IF(AND(B629&lt;&gt;"",A629&lt;&gt;"BS",F629&lt;&gt;"",H629&lt;&gt;"",ISNUMBER(K629),ISNUMBER(L629)),IF(AND(K629&gt;0,L629&gt;0,K629-L629&gt;0,COUNTIFS(A630:A$2005,A629,F630:F$2005,F629,H630:H$2005,H629,AA630:AA$2005,"&gt;0")=0),ROUND(K629-L629,6),""),"")</f>
        <v/>
      </c>
      <c r="X629" s="60" t="str">
        <f>IF(AND(A629="",C629="",D629="",H629="",L629=""),"",IF(A629="","Type manquant",IF(AND(A629&lt;&gt;"BL",A629&lt;&gt;"BR",A629&lt;&gt;"BS"),"Type inconnu (BL, BR ou BS)",IF(AG629=0,"Date manquante ou invalide",IF(D629="",IF(A629="BL","Client manquant",IF(A629="BR","Fournisseur manquant","Service manquant")),IF(IF(A629="BL",ISNA(MATCH(D629,cl_code,0)),IF(A629="BR",ISNA(MATCH(D629,fo_code,0)),ISNA(MATCH(D629,p_services,0)))),IF(A629="BL","Client inconnu",IF(A629="BR","Fournisseur inconnu","Service inconnu")),IF(H629="","Article manquant",IF(ISNA(MATCH(H629,art_ref,0)),"Article inconnu",IF(OR(NOT(ISNUMBER(L629)),N(L629)&lt;=0),"Quantité invalide",IF(AND(K629&lt;&gt;"",OR(NOT(ISNUMBER(K629)),N(K629)&lt;=0)),"Qté commandée invalide",IF(AG629&lt;SUMPRODUCT(MAX((A$6:A628=A629)*AG$6:AG628)),"Date antérieure au bon précédent",IF(AND(A629&lt;&gt;"BR",ISNUMBER(M629),N(M629)&gt;0),IF(A629="BL","Livré plus que commandé","Sorti plus que demandé"),"OK"))))))))))))</f>
        <v/>
      </c>
      <c r="Y629" s="57" t="str">
        <f>IF(AND(OR(A629="BL",A629="BR",A629="BS"),AG629&gt;0,D629&lt;&gt;""),A629&amp;"|"&amp;AG629&amp;"|"&amp;D629&amp;"|"&amp;F629,"")</f>
        <v/>
      </c>
      <c r="Z629" s="57" t="str">
        <f>IF(Y629="","",IF(COUNTIF(Y$6:Y628,Y629)=0,1,0))</f>
        <v/>
      </c>
      <c r="AA629" s="57" t="str">
        <f>IF(Y629="","",IF(Z629=1,COUNTIFS(A$6:A629,A629,Z$6:Z629,1),INDEX(AA$6:AA628,MATCH(Y629,Y$6:Y628,0))))</f>
        <v/>
      </c>
      <c r="AB629" s="57" t="str">
        <f>IF(B629="","",COUNTIF(B$6:B629,B629))</f>
        <v/>
      </c>
      <c r="AC629" s="57" t="str">
        <f>IF(B629="","",B629&amp;"#"&amp;AB629)</f>
        <v/>
      </c>
      <c r="AD629" s="57" t="str">
        <f>IF(Z629=1,A629&amp;AA629,"")</f>
        <v/>
      </c>
      <c r="AE629" s="57" t="str">
        <f>IF(B629="","",YEAR(C629))</f>
        <v/>
      </c>
      <c r="AF629" s="57" t="str">
        <f>IF(B629="","",MONTH(C629))</f>
        <v/>
      </c>
      <c r="AG629" s="57">
        <f>IF(ISNUMBER(C629),C629,0)</f>
        <v>0.0</v>
      </c>
      <c r="AH629" s="57" t="str">
        <f>IF(N(W629)&gt;0,COUNTIF(W$6:W629,"&gt;0"),"")</f>
        <v/>
      </c>
      <c r="AI629" s="57" t="str">
        <f>IF(Z629=1,COUNTIF(Z$6:Z629,1),"")</f>
        <v/>
      </c>
    </row>
    <row r="630">
      <c r="A630" s="54" t="n"/>
      <c r="B630" s="55" t="str">
        <f>IF(AA630="","",A630&amp;"-"&amp;RIGHT("000"&amp;AA630,4))</f>
        <v/>
      </c>
      <c r="C630" s="56" t="n"/>
      <c r="D630" s="54" t="n"/>
      <c r="E630" s="57" t="str">
        <f>IF(D630="","",IF(A630="BL",IFERROR(INDEX(cl_name,MATCH(D630,cl_code,0))&amp;"","Client inconnu"),IF(A630="BR",IFERROR(INDEX(fo_name,MATCH(D630,fo_code,0))&amp;"","Fournisseur inconnu"),IF(A630="BS",IF(ISNA(MATCH(D630,p_services,0)),"Service inconnu",D630&amp;""),""))))</f>
        <v/>
      </c>
      <c r="F630" s="58" t="n"/>
      <c r="G630" s="58" t="n"/>
      <c r="H630" s="59" t="n"/>
      <c r="I630" s="57" t="str">
        <f>IF(H630="","",IFERROR(INDEX(art_des,MATCH(H630,art_ref,0))&amp;"","Article inconnu"))</f>
        <v/>
      </c>
      <c r="J630" s="60" t="str">
        <f>IF(H630="","",IFERROR(INDEX(art_unit,MATCH(H630,art_ref,0))&amp;"",""))</f>
        <v/>
      </c>
      <c r="K630" s="59" t="n"/>
      <c r="L630" s="59" t="n"/>
      <c r="M630" s="61" t="str">
        <f>IF(OR(B630="",NOT(ISNUMBER(K630)),NOT(ISNUMBER(L630))),"",IF(OR(K630&lt;=0,L630&lt;=0),"",ROUND(L630-K630,6)))</f>
        <v/>
      </c>
      <c r="N630" s="58" t="n"/>
      <c r="O630" s="62" t="n"/>
      <c r="P630" s="63" t="str">
        <f>IF(OR(B630="",NOT(ISNUMBER(L630))),"",IF(L630&lt;=0,"",IFERROR(ROUND(L630*N(INDEX(art_w,MATCH(H630,art_ref,0))),3),"")))</f>
        <v/>
      </c>
      <c r="Q630" s="59" t="n"/>
      <c r="R630" s="54" t="n"/>
      <c r="S630" s="59" t="n"/>
      <c r="T630" s="59" t="n"/>
      <c r="U630" s="64" t="str">
        <f>IF(OR(B630="",H630=""),"",IFERROR(IF(A630="BL",IF(N(INDEX(art_price,MATCH(H630,art_ref,0)))=0,"",N(INDEX(art_price,MATCH(H630,art_ref,0)))),IF(N(INDEX(art_cost,MATCH(H630,art_ref,0)))=0,"",N(INDEX(art_cost,MATCH(H630,art_ref,0))))),""))</f>
        <v/>
      </c>
      <c r="V630" s="64" t="str">
        <f>IF(OR(U630="",NOT(ISNUMBER(L630))),"",IF(L630&lt;=0,"",ROUND(L630*U630,2)))</f>
        <v/>
      </c>
      <c r="W630" s="60" t="str">
        <f>IF(AND(B630&lt;&gt;"",A630&lt;&gt;"BS",F630&lt;&gt;"",H630&lt;&gt;"",ISNUMBER(K630),ISNUMBER(L630)),IF(AND(K630&gt;0,L630&gt;0,K630-L630&gt;0,COUNTIFS(A631:A$2005,A630,F631:F$2005,F630,H631:H$2005,H630,AA631:AA$2005,"&gt;0")=0),ROUND(K630-L630,6),""),"")</f>
        <v/>
      </c>
      <c r="X630" s="60" t="str">
        <f>IF(AND(A630="",C630="",D630="",H630="",L630=""),"",IF(A630="","Type manquant",IF(AND(A630&lt;&gt;"BL",A630&lt;&gt;"BR",A630&lt;&gt;"BS"),"Type inconnu (BL, BR ou BS)",IF(AG630=0,"Date manquante ou invalide",IF(D630="",IF(A630="BL","Client manquant",IF(A630="BR","Fournisseur manquant","Service manquant")),IF(IF(A630="BL",ISNA(MATCH(D630,cl_code,0)),IF(A630="BR",ISNA(MATCH(D630,fo_code,0)),ISNA(MATCH(D630,p_services,0)))),IF(A630="BL","Client inconnu",IF(A630="BR","Fournisseur inconnu","Service inconnu")),IF(H630="","Article manquant",IF(ISNA(MATCH(H630,art_ref,0)),"Article inconnu",IF(OR(NOT(ISNUMBER(L630)),N(L630)&lt;=0),"Quantité invalide",IF(AND(K630&lt;&gt;"",OR(NOT(ISNUMBER(K630)),N(K630)&lt;=0)),"Qté commandée invalide",IF(AG630&lt;SUMPRODUCT(MAX((A$6:A629=A630)*AG$6:AG629)),"Date antérieure au bon précédent",IF(AND(A630&lt;&gt;"BR",ISNUMBER(M630),N(M630)&gt;0),IF(A630="BL","Livré plus que commandé","Sorti plus que demandé"),"OK"))))))))))))</f>
        <v/>
      </c>
      <c r="Y630" s="57" t="str">
        <f>IF(AND(OR(A630="BL",A630="BR",A630="BS"),AG630&gt;0,D630&lt;&gt;""),A630&amp;"|"&amp;AG630&amp;"|"&amp;D630&amp;"|"&amp;F630,"")</f>
        <v/>
      </c>
      <c r="Z630" s="57" t="str">
        <f>IF(Y630="","",IF(COUNTIF(Y$6:Y629,Y630)=0,1,0))</f>
        <v/>
      </c>
      <c r="AA630" s="57" t="str">
        <f>IF(Y630="","",IF(Z630=1,COUNTIFS(A$6:A630,A630,Z$6:Z630,1),INDEX(AA$6:AA629,MATCH(Y630,Y$6:Y629,0))))</f>
        <v/>
      </c>
      <c r="AB630" s="57" t="str">
        <f>IF(B630="","",COUNTIF(B$6:B630,B630))</f>
        <v/>
      </c>
      <c r="AC630" s="57" t="str">
        <f>IF(B630="","",B630&amp;"#"&amp;AB630)</f>
        <v/>
      </c>
      <c r="AD630" s="57" t="str">
        <f>IF(Z630=1,A630&amp;AA630,"")</f>
        <v/>
      </c>
      <c r="AE630" s="57" t="str">
        <f>IF(B630="","",YEAR(C630))</f>
        <v/>
      </c>
      <c r="AF630" s="57" t="str">
        <f>IF(B630="","",MONTH(C630))</f>
        <v/>
      </c>
      <c r="AG630" s="57">
        <f>IF(ISNUMBER(C630),C630,0)</f>
        <v>0.0</v>
      </c>
      <c r="AH630" s="57" t="str">
        <f>IF(N(W630)&gt;0,COUNTIF(W$6:W630,"&gt;0"),"")</f>
        <v/>
      </c>
      <c r="AI630" s="57" t="str">
        <f>IF(Z630=1,COUNTIF(Z$6:Z630,1),"")</f>
        <v/>
      </c>
    </row>
    <row r="631">
      <c r="A631" s="54" t="n"/>
      <c r="B631" s="55" t="str">
        <f>IF(AA631="","",A631&amp;"-"&amp;RIGHT("000"&amp;AA631,4))</f>
        <v/>
      </c>
      <c r="C631" s="56" t="n"/>
      <c r="D631" s="54" t="n"/>
      <c r="E631" s="57" t="str">
        <f>IF(D631="","",IF(A631="BL",IFERROR(INDEX(cl_name,MATCH(D631,cl_code,0))&amp;"","Client inconnu"),IF(A631="BR",IFERROR(INDEX(fo_name,MATCH(D631,fo_code,0))&amp;"","Fournisseur inconnu"),IF(A631="BS",IF(ISNA(MATCH(D631,p_services,0)),"Service inconnu",D631&amp;""),""))))</f>
        <v/>
      </c>
      <c r="F631" s="58" t="n"/>
      <c r="G631" s="58" t="n"/>
      <c r="H631" s="59" t="n"/>
      <c r="I631" s="57" t="str">
        <f>IF(H631="","",IFERROR(INDEX(art_des,MATCH(H631,art_ref,0))&amp;"","Article inconnu"))</f>
        <v/>
      </c>
      <c r="J631" s="60" t="str">
        <f>IF(H631="","",IFERROR(INDEX(art_unit,MATCH(H631,art_ref,0))&amp;"",""))</f>
        <v/>
      </c>
      <c r="K631" s="59" t="n"/>
      <c r="L631" s="59" t="n"/>
      <c r="M631" s="61" t="str">
        <f>IF(OR(B631="",NOT(ISNUMBER(K631)),NOT(ISNUMBER(L631))),"",IF(OR(K631&lt;=0,L631&lt;=0),"",ROUND(L631-K631,6)))</f>
        <v/>
      </c>
      <c r="N631" s="58" t="n"/>
      <c r="O631" s="62" t="n"/>
      <c r="P631" s="63" t="str">
        <f>IF(OR(B631="",NOT(ISNUMBER(L631))),"",IF(L631&lt;=0,"",IFERROR(ROUND(L631*N(INDEX(art_w,MATCH(H631,art_ref,0))),3),"")))</f>
        <v/>
      </c>
      <c r="Q631" s="59" t="n"/>
      <c r="R631" s="54" t="n"/>
      <c r="S631" s="59" t="n"/>
      <c r="T631" s="59" t="n"/>
      <c r="U631" s="64" t="str">
        <f>IF(OR(B631="",H631=""),"",IFERROR(IF(A631="BL",IF(N(INDEX(art_price,MATCH(H631,art_ref,0)))=0,"",N(INDEX(art_price,MATCH(H631,art_ref,0)))),IF(N(INDEX(art_cost,MATCH(H631,art_ref,0)))=0,"",N(INDEX(art_cost,MATCH(H631,art_ref,0))))),""))</f>
        <v/>
      </c>
      <c r="V631" s="64" t="str">
        <f>IF(OR(U631="",NOT(ISNUMBER(L631))),"",IF(L631&lt;=0,"",ROUND(L631*U631,2)))</f>
        <v/>
      </c>
      <c r="W631" s="60" t="str">
        <f>IF(AND(B631&lt;&gt;"",A631&lt;&gt;"BS",F631&lt;&gt;"",H631&lt;&gt;"",ISNUMBER(K631),ISNUMBER(L631)),IF(AND(K631&gt;0,L631&gt;0,K631-L631&gt;0,COUNTIFS(A632:A$2005,A631,F632:F$2005,F631,H632:H$2005,H631,AA632:AA$2005,"&gt;0")=0),ROUND(K631-L631,6),""),"")</f>
        <v/>
      </c>
      <c r="X631" s="60" t="str">
        <f>IF(AND(A631="",C631="",D631="",H631="",L631=""),"",IF(A631="","Type manquant",IF(AND(A631&lt;&gt;"BL",A631&lt;&gt;"BR",A631&lt;&gt;"BS"),"Type inconnu (BL, BR ou BS)",IF(AG631=0,"Date manquante ou invalide",IF(D631="",IF(A631="BL","Client manquant",IF(A631="BR","Fournisseur manquant","Service manquant")),IF(IF(A631="BL",ISNA(MATCH(D631,cl_code,0)),IF(A631="BR",ISNA(MATCH(D631,fo_code,0)),ISNA(MATCH(D631,p_services,0)))),IF(A631="BL","Client inconnu",IF(A631="BR","Fournisseur inconnu","Service inconnu")),IF(H631="","Article manquant",IF(ISNA(MATCH(H631,art_ref,0)),"Article inconnu",IF(OR(NOT(ISNUMBER(L631)),N(L631)&lt;=0),"Quantité invalide",IF(AND(K631&lt;&gt;"",OR(NOT(ISNUMBER(K631)),N(K631)&lt;=0)),"Qté commandée invalide",IF(AG631&lt;SUMPRODUCT(MAX((A$6:A630=A631)*AG$6:AG630)),"Date antérieure au bon précédent",IF(AND(A631&lt;&gt;"BR",ISNUMBER(M631),N(M631)&gt;0),IF(A631="BL","Livré plus que commandé","Sorti plus que demandé"),"OK"))))))))))))</f>
        <v/>
      </c>
      <c r="Y631" s="57" t="str">
        <f>IF(AND(OR(A631="BL",A631="BR",A631="BS"),AG631&gt;0,D631&lt;&gt;""),A631&amp;"|"&amp;AG631&amp;"|"&amp;D631&amp;"|"&amp;F631,"")</f>
        <v/>
      </c>
      <c r="Z631" s="57" t="str">
        <f>IF(Y631="","",IF(COUNTIF(Y$6:Y630,Y631)=0,1,0))</f>
        <v/>
      </c>
      <c r="AA631" s="57" t="str">
        <f>IF(Y631="","",IF(Z631=1,COUNTIFS(A$6:A631,A631,Z$6:Z631,1),INDEX(AA$6:AA630,MATCH(Y631,Y$6:Y630,0))))</f>
        <v/>
      </c>
      <c r="AB631" s="57" t="str">
        <f>IF(B631="","",COUNTIF(B$6:B631,B631))</f>
        <v/>
      </c>
      <c r="AC631" s="57" t="str">
        <f>IF(B631="","",B631&amp;"#"&amp;AB631)</f>
        <v/>
      </c>
      <c r="AD631" s="57" t="str">
        <f>IF(Z631=1,A631&amp;AA631,"")</f>
        <v/>
      </c>
      <c r="AE631" s="57" t="str">
        <f>IF(B631="","",YEAR(C631))</f>
        <v/>
      </c>
      <c r="AF631" s="57" t="str">
        <f>IF(B631="","",MONTH(C631))</f>
        <v/>
      </c>
      <c r="AG631" s="57">
        <f>IF(ISNUMBER(C631),C631,0)</f>
        <v>0.0</v>
      </c>
      <c r="AH631" s="57" t="str">
        <f>IF(N(W631)&gt;0,COUNTIF(W$6:W631,"&gt;0"),"")</f>
        <v/>
      </c>
      <c r="AI631" s="57" t="str">
        <f>IF(Z631=1,COUNTIF(Z$6:Z631,1),"")</f>
        <v/>
      </c>
    </row>
    <row r="632">
      <c r="A632" s="54" t="n"/>
      <c r="B632" s="55" t="str">
        <f>IF(AA632="","",A632&amp;"-"&amp;RIGHT("000"&amp;AA632,4))</f>
        <v/>
      </c>
      <c r="C632" s="56" t="n"/>
      <c r="D632" s="54" t="n"/>
      <c r="E632" s="57" t="str">
        <f>IF(D632="","",IF(A632="BL",IFERROR(INDEX(cl_name,MATCH(D632,cl_code,0))&amp;"","Client inconnu"),IF(A632="BR",IFERROR(INDEX(fo_name,MATCH(D632,fo_code,0))&amp;"","Fournisseur inconnu"),IF(A632="BS",IF(ISNA(MATCH(D632,p_services,0)),"Service inconnu",D632&amp;""),""))))</f>
        <v/>
      </c>
      <c r="F632" s="58" t="n"/>
      <c r="G632" s="58" t="n"/>
      <c r="H632" s="59" t="n"/>
      <c r="I632" s="57" t="str">
        <f>IF(H632="","",IFERROR(INDEX(art_des,MATCH(H632,art_ref,0))&amp;"","Article inconnu"))</f>
        <v/>
      </c>
      <c r="J632" s="60" t="str">
        <f>IF(H632="","",IFERROR(INDEX(art_unit,MATCH(H632,art_ref,0))&amp;"",""))</f>
        <v/>
      </c>
      <c r="K632" s="59" t="n"/>
      <c r="L632" s="59" t="n"/>
      <c r="M632" s="61" t="str">
        <f>IF(OR(B632="",NOT(ISNUMBER(K632)),NOT(ISNUMBER(L632))),"",IF(OR(K632&lt;=0,L632&lt;=0),"",ROUND(L632-K632,6)))</f>
        <v/>
      </c>
      <c r="N632" s="58" t="n"/>
      <c r="O632" s="62" t="n"/>
      <c r="P632" s="63" t="str">
        <f>IF(OR(B632="",NOT(ISNUMBER(L632))),"",IF(L632&lt;=0,"",IFERROR(ROUND(L632*N(INDEX(art_w,MATCH(H632,art_ref,0))),3),"")))</f>
        <v/>
      </c>
      <c r="Q632" s="59" t="n"/>
      <c r="R632" s="54" t="n"/>
      <c r="S632" s="59" t="n"/>
      <c r="T632" s="59" t="n"/>
      <c r="U632" s="64" t="str">
        <f>IF(OR(B632="",H632=""),"",IFERROR(IF(A632="BL",IF(N(INDEX(art_price,MATCH(H632,art_ref,0)))=0,"",N(INDEX(art_price,MATCH(H632,art_ref,0)))),IF(N(INDEX(art_cost,MATCH(H632,art_ref,0)))=0,"",N(INDEX(art_cost,MATCH(H632,art_ref,0))))),""))</f>
        <v/>
      </c>
      <c r="V632" s="64" t="str">
        <f>IF(OR(U632="",NOT(ISNUMBER(L632))),"",IF(L632&lt;=0,"",ROUND(L632*U632,2)))</f>
        <v/>
      </c>
      <c r="W632" s="60" t="str">
        <f>IF(AND(B632&lt;&gt;"",A632&lt;&gt;"BS",F632&lt;&gt;"",H632&lt;&gt;"",ISNUMBER(K632),ISNUMBER(L632)),IF(AND(K632&gt;0,L632&gt;0,K632-L632&gt;0,COUNTIFS(A633:A$2005,A632,F633:F$2005,F632,H633:H$2005,H632,AA633:AA$2005,"&gt;0")=0),ROUND(K632-L632,6),""),"")</f>
        <v/>
      </c>
      <c r="X632" s="60" t="str">
        <f>IF(AND(A632="",C632="",D632="",H632="",L632=""),"",IF(A632="","Type manquant",IF(AND(A632&lt;&gt;"BL",A632&lt;&gt;"BR",A632&lt;&gt;"BS"),"Type inconnu (BL, BR ou BS)",IF(AG632=0,"Date manquante ou invalide",IF(D632="",IF(A632="BL","Client manquant",IF(A632="BR","Fournisseur manquant","Service manquant")),IF(IF(A632="BL",ISNA(MATCH(D632,cl_code,0)),IF(A632="BR",ISNA(MATCH(D632,fo_code,0)),ISNA(MATCH(D632,p_services,0)))),IF(A632="BL","Client inconnu",IF(A632="BR","Fournisseur inconnu","Service inconnu")),IF(H632="","Article manquant",IF(ISNA(MATCH(H632,art_ref,0)),"Article inconnu",IF(OR(NOT(ISNUMBER(L632)),N(L632)&lt;=0),"Quantité invalide",IF(AND(K632&lt;&gt;"",OR(NOT(ISNUMBER(K632)),N(K632)&lt;=0)),"Qté commandée invalide",IF(AG632&lt;SUMPRODUCT(MAX((A$6:A631=A632)*AG$6:AG631)),"Date antérieure au bon précédent",IF(AND(A632&lt;&gt;"BR",ISNUMBER(M632),N(M632)&gt;0),IF(A632="BL","Livré plus que commandé","Sorti plus que demandé"),"OK"))))))))))))</f>
        <v/>
      </c>
      <c r="Y632" s="57" t="str">
        <f>IF(AND(OR(A632="BL",A632="BR",A632="BS"),AG632&gt;0,D632&lt;&gt;""),A632&amp;"|"&amp;AG632&amp;"|"&amp;D632&amp;"|"&amp;F632,"")</f>
        <v/>
      </c>
      <c r="Z632" s="57" t="str">
        <f>IF(Y632="","",IF(COUNTIF(Y$6:Y631,Y632)=0,1,0))</f>
        <v/>
      </c>
      <c r="AA632" s="57" t="str">
        <f>IF(Y632="","",IF(Z632=1,COUNTIFS(A$6:A632,A632,Z$6:Z632,1),INDEX(AA$6:AA631,MATCH(Y632,Y$6:Y631,0))))</f>
        <v/>
      </c>
      <c r="AB632" s="57" t="str">
        <f>IF(B632="","",COUNTIF(B$6:B632,B632))</f>
        <v/>
      </c>
      <c r="AC632" s="57" t="str">
        <f>IF(B632="","",B632&amp;"#"&amp;AB632)</f>
        <v/>
      </c>
      <c r="AD632" s="57" t="str">
        <f>IF(Z632=1,A632&amp;AA632,"")</f>
        <v/>
      </c>
      <c r="AE632" s="57" t="str">
        <f>IF(B632="","",YEAR(C632))</f>
        <v/>
      </c>
      <c r="AF632" s="57" t="str">
        <f>IF(B632="","",MONTH(C632))</f>
        <v/>
      </c>
      <c r="AG632" s="57">
        <f>IF(ISNUMBER(C632),C632,0)</f>
        <v>0.0</v>
      </c>
      <c r="AH632" s="57" t="str">
        <f>IF(N(W632)&gt;0,COUNTIF(W$6:W632,"&gt;0"),"")</f>
        <v/>
      </c>
      <c r="AI632" s="57" t="str">
        <f>IF(Z632=1,COUNTIF(Z$6:Z632,1),"")</f>
        <v/>
      </c>
    </row>
    <row r="633">
      <c r="A633" s="54" t="n"/>
      <c r="B633" s="55" t="str">
        <f>IF(AA633="","",A633&amp;"-"&amp;RIGHT("000"&amp;AA633,4))</f>
        <v/>
      </c>
      <c r="C633" s="56" t="n"/>
      <c r="D633" s="54" t="n"/>
      <c r="E633" s="57" t="str">
        <f>IF(D633="","",IF(A633="BL",IFERROR(INDEX(cl_name,MATCH(D633,cl_code,0))&amp;"","Client inconnu"),IF(A633="BR",IFERROR(INDEX(fo_name,MATCH(D633,fo_code,0))&amp;"","Fournisseur inconnu"),IF(A633="BS",IF(ISNA(MATCH(D633,p_services,0)),"Service inconnu",D633&amp;""),""))))</f>
        <v/>
      </c>
      <c r="F633" s="58" t="n"/>
      <c r="G633" s="58" t="n"/>
      <c r="H633" s="59" t="n"/>
      <c r="I633" s="57" t="str">
        <f>IF(H633="","",IFERROR(INDEX(art_des,MATCH(H633,art_ref,0))&amp;"","Article inconnu"))</f>
        <v/>
      </c>
      <c r="J633" s="60" t="str">
        <f>IF(H633="","",IFERROR(INDEX(art_unit,MATCH(H633,art_ref,0))&amp;"",""))</f>
        <v/>
      </c>
      <c r="K633" s="59" t="n"/>
      <c r="L633" s="59" t="n"/>
      <c r="M633" s="61" t="str">
        <f>IF(OR(B633="",NOT(ISNUMBER(K633)),NOT(ISNUMBER(L633))),"",IF(OR(K633&lt;=0,L633&lt;=0),"",ROUND(L633-K633,6)))</f>
        <v/>
      </c>
      <c r="N633" s="58" t="n"/>
      <c r="O633" s="62" t="n"/>
      <c r="P633" s="63" t="str">
        <f>IF(OR(B633="",NOT(ISNUMBER(L633))),"",IF(L633&lt;=0,"",IFERROR(ROUND(L633*N(INDEX(art_w,MATCH(H633,art_ref,0))),3),"")))</f>
        <v/>
      </c>
      <c r="Q633" s="59" t="n"/>
      <c r="R633" s="54" t="n"/>
      <c r="S633" s="59" t="n"/>
      <c r="T633" s="59" t="n"/>
      <c r="U633" s="64" t="str">
        <f>IF(OR(B633="",H633=""),"",IFERROR(IF(A633="BL",IF(N(INDEX(art_price,MATCH(H633,art_ref,0)))=0,"",N(INDEX(art_price,MATCH(H633,art_ref,0)))),IF(N(INDEX(art_cost,MATCH(H633,art_ref,0)))=0,"",N(INDEX(art_cost,MATCH(H633,art_ref,0))))),""))</f>
        <v/>
      </c>
      <c r="V633" s="64" t="str">
        <f>IF(OR(U633="",NOT(ISNUMBER(L633))),"",IF(L633&lt;=0,"",ROUND(L633*U633,2)))</f>
        <v/>
      </c>
      <c r="W633" s="60" t="str">
        <f>IF(AND(B633&lt;&gt;"",A633&lt;&gt;"BS",F633&lt;&gt;"",H633&lt;&gt;"",ISNUMBER(K633),ISNUMBER(L633)),IF(AND(K633&gt;0,L633&gt;0,K633-L633&gt;0,COUNTIFS(A634:A$2005,A633,F634:F$2005,F633,H634:H$2005,H633,AA634:AA$2005,"&gt;0")=0),ROUND(K633-L633,6),""),"")</f>
        <v/>
      </c>
      <c r="X633" s="60" t="str">
        <f>IF(AND(A633="",C633="",D633="",H633="",L633=""),"",IF(A633="","Type manquant",IF(AND(A633&lt;&gt;"BL",A633&lt;&gt;"BR",A633&lt;&gt;"BS"),"Type inconnu (BL, BR ou BS)",IF(AG633=0,"Date manquante ou invalide",IF(D633="",IF(A633="BL","Client manquant",IF(A633="BR","Fournisseur manquant","Service manquant")),IF(IF(A633="BL",ISNA(MATCH(D633,cl_code,0)),IF(A633="BR",ISNA(MATCH(D633,fo_code,0)),ISNA(MATCH(D633,p_services,0)))),IF(A633="BL","Client inconnu",IF(A633="BR","Fournisseur inconnu","Service inconnu")),IF(H633="","Article manquant",IF(ISNA(MATCH(H633,art_ref,0)),"Article inconnu",IF(OR(NOT(ISNUMBER(L633)),N(L633)&lt;=0),"Quantité invalide",IF(AND(K633&lt;&gt;"",OR(NOT(ISNUMBER(K633)),N(K633)&lt;=0)),"Qté commandée invalide",IF(AG633&lt;SUMPRODUCT(MAX((A$6:A632=A633)*AG$6:AG632)),"Date antérieure au bon précédent",IF(AND(A633&lt;&gt;"BR",ISNUMBER(M633),N(M633)&gt;0),IF(A633="BL","Livré plus que commandé","Sorti plus que demandé"),"OK"))))))))))))</f>
        <v/>
      </c>
      <c r="Y633" s="57" t="str">
        <f>IF(AND(OR(A633="BL",A633="BR",A633="BS"),AG633&gt;0,D633&lt;&gt;""),A633&amp;"|"&amp;AG633&amp;"|"&amp;D633&amp;"|"&amp;F633,"")</f>
        <v/>
      </c>
      <c r="Z633" s="57" t="str">
        <f>IF(Y633="","",IF(COUNTIF(Y$6:Y632,Y633)=0,1,0))</f>
        <v/>
      </c>
      <c r="AA633" s="57" t="str">
        <f>IF(Y633="","",IF(Z633=1,COUNTIFS(A$6:A633,A633,Z$6:Z633,1),INDEX(AA$6:AA632,MATCH(Y633,Y$6:Y632,0))))</f>
        <v/>
      </c>
      <c r="AB633" s="57" t="str">
        <f>IF(B633="","",COUNTIF(B$6:B633,B633))</f>
        <v/>
      </c>
      <c r="AC633" s="57" t="str">
        <f>IF(B633="","",B633&amp;"#"&amp;AB633)</f>
        <v/>
      </c>
      <c r="AD633" s="57" t="str">
        <f>IF(Z633=1,A633&amp;AA633,"")</f>
        <v/>
      </c>
      <c r="AE633" s="57" t="str">
        <f>IF(B633="","",YEAR(C633))</f>
        <v/>
      </c>
      <c r="AF633" s="57" t="str">
        <f>IF(B633="","",MONTH(C633))</f>
        <v/>
      </c>
      <c r="AG633" s="57">
        <f>IF(ISNUMBER(C633),C633,0)</f>
        <v>0.0</v>
      </c>
      <c r="AH633" s="57" t="str">
        <f>IF(N(W633)&gt;0,COUNTIF(W$6:W633,"&gt;0"),"")</f>
        <v/>
      </c>
      <c r="AI633" s="57" t="str">
        <f>IF(Z633=1,COUNTIF(Z$6:Z633,1),"")</f>
        <v/>
      </c>
    </row>
    <row r="634">
      <c r="A634" s="54" t="n"/>
      <c r="B634" s="55" t="str">
        <f>IF(AA634="","",A634&amp;"-"&amp;RIGHT("000"&amp;AA634,4))</f>
        <v/>
      </c>
      <c r="C634" s="56" t="n"/>
      <c r="D634" s="54" t="n"/>
      <c r="E634" s="57" t="str">
        <f>IF(D634="","",IF(A634="BL",IFERROR(INDEX(cl_name,MATCH(D634,cl_code,0))&amp;"","Client inconnu"),IF(A634="BR",IFERROR(INDEX(fo_name,MATCH(D634,fo_code,0))&amp;"","Fournisseur inconnu"),IF(A634="BS",IF(ISNA(MATCH(D634,p_services,0)),"Service inconnu",D634&amp;""),""))))</f>
        <v/>
      </c>
      <c r="F634" s="58" t="n"/>
      <c r="G634" s="58" t="n"/>
      <c r="H634" s="59" t="n"/>
      <c r="I634" s="57" t="str">
        <f>IF(H634="","",IFERROR(INDEX(art_des,MATCH(H634,art_ref,0))&amp;"","Article inconnu"))</f>
        <v/>
      </c>
      <c r="J634" s="60" t="str">
        <f>IF(H634="","",IFERROR(INDEX(art_unit,MATCH(H634,art_ref,0))&amp;"",""))</f>
        <v/>
      </c>
      <c r="K634" s="59" t="n"/>
      <c r="L634" s="59" t="n"/>
      <c r="M634" s="61" t="str">
        <f>IF(OR(B634="",NOT(ISNUMBER(K634)),NOT(ISNUMBER(L634))),"",IF(OR(K634&lt;=0,L634&lt;=0),"",ROUND(L634-K634,6)))</f>
        <v/>
      </c>
      <c r="N634" s="58" t="n"/>
      <c r="O634" s="62" t="n"/>
      <c r="P634" s="63" t="str">
        <f>IF(OR(B634="",NOT(ISNUMBER(L634))),"",IF(L634&lt;=0,"",IFERROR(ROUND(L634*N(INDEX(art_w,MATCH(H634,art_ref,0))),3),"")))</f>
        <v/>
      </c>
      <c r="Q634" s="59" t="n"/>
      <c r="R634" s="54" t="n"/>
      <c r="S634" s="59" t="n"/>
      <c r="T634" s="59" t="n"/>
      <c r="U634" s="64" t="str">
        <f>IF(OR(B634="",H634=""),"",IFERROR(IF(A634="BL",IF(N(INDEX(art_price,MATCH(H634,art_ref,0)))=0,"",N(INDEX(art_price,MATCH(H634,art_ref,0)))),IF(N(INDEX(art_cost,MATCH(H634,art_ref,0)))=0,"",N(INDEX(art_cost,MATCH(H634,art_ref,0))))),""))</f>
        <v/>
      </c>
      <c r="V634" s="64" t="str">
        <f>IF(OR(U634="",NOT(ISNUMBER(L634))),"",IF(L634&lt;=0,"",ROUND(L634*U634,2)))</f>
        <v/>
      </c>
      <c r="W634" s="60" t="str">
        <f>IF(AND(B634&lt;&gt;"",A634&lt;&gt;"BS",F634&lt;&gt;"",H634&lt;&gt;"",ISNUMBER(K634),ISNUMBER(L634)),IF(AND(K634&gt;0,L634&gt;0,K634-L634&gt;0,COUNTIFS(A635:A$2005,A634,F635:F$2005,F634,H635:H$2005,H634,AA635:AA$2005,"&gt;0")=0),ROUND(K634-L634,6),""),"")</f>
        <v/>
      </c>
      <c r="X634" s="60" t="str">
        <f>IF(AND(A634="",C634="",D634="",H634="",L634=""),"",IF(A634="","Type manquant",IF(AND(A634&lt;&gt;"BL",A634&lt;&gt;"BR",A634&lt;&gt;"BS"),"Type inconnu (BL, BR ou BS)",IF(AG634=0,"Date manquante ou invalide",IF(D634="",IF(A634="BL","Client manquant",IF(A634="BR","Fournisseur manquant","Service manquant")),IF(IF(A634="BL",ISNA(MATCH(D634,cl_code,0)),IF(A634="BR",ISNA(MATCH(D634,fo_code,0)),ISNA(MATCH(D634,p_services,0)))),IF(A634="BL","Client inconnu",IF(A634="BR","Fournisseur inconnu","Service inconnu")),IF(H634="","Article manquant",IF(ISNA(MATCH(H634,art_ref,0)),"Article inconnu",IF(OR(NOT(ISNUMBER(L634)),N(L634)&lt;=0),"Quantité invalide",IF(AND(K634&lt;&gt;"",OR(NOT(ISNUMBER(K634)),N(K634)&lt;=0)),"Qté commandée invalide",IF(AG634&lt;SUMPRODUCT(MAX((A$6:A633=A634)*AG$6:AG633)),"Date antérieure au bon précédent",IF(AND(A634&lt;&gt;"BR",ISNUMBER(M634),N(M634)&gt;0),IF(A634="BL","Livré plus que commandé","Sorti plus que demandé"),"OK"))))))))))))</f>
        <v/>
      </c>
      <c r="Y634" s="57" t="str">
        <f>IF(AND(OR(A634="BL",A634="BR",A634="BS"),AG634&gt;0,D634&lt;&gt;""),A634&amp;"|"&amp;AG634&amp;"|"&amp;D634&amp;"|"&amp;F634,"")</f>
        <v/>
      </c>
      <c r="Z634" s="57" t="str">
        <f>IF(Y634="","",IF(COUNTIF(Y$6:Y633,Y634)=0,1,0))</f>
        <v/>
      </c>
      <c r="AA634" s="57" t="str">
        <f>IF(Y634="","",IF(Z634=1,COUNTIFS(A$6:A634,A634,Z$6:Z634,1),INDEX(AA$6:AA633,MATCH(Y634,Y$6:Y633,0))))</f>
        <v/>
      </c>
      <c r="AB634" s="57" t="str">
        <f>IF(B634="","",COUNTIF(B$6:B634,B634))</f>
        <v/>
      </c>
      <c r="AC634" s="57" t="str">
        <f>IF(B634="","",B634&amp;"#"&amp;AB634)</f>
        <v/>
      </c>
      <c r="AD634" s="57" t="str">
        <f>IF(Z634=1,A634&amp;AA634,"")</f>
        <v/>
      </c>
      <c r="AE634" s="57" t="str">
        <f>IF(B634="","",YEAR(C634))</f>
        <v/>
      </c>
      <c r="AF634" s="57" t="str">
        <f>IF(B634="","",MONTH(C634))</f>
        <v/>
      </c>
      <c r="AG634" s="57">
        <f>IF(ISNUMBER(C634),C634,0)</f>
        <v>0.0</v>
      </c>
      <c r="AH634" s="57" t="str">
        <f>IF(N(W634)&gt;0,COUNTIF(W$6:W634,"&gt;0"),"")</f>
        <v/>
      </c>
      <c r="AI634" s="57" t="str">
        <f>IF(Z634=1,COUNTIF(Z$6:Z634,1),"")</f>
        <v/>
      </c>
    </row>
    <row r="635">
      <c r="A635" s="54" t="n"/>
      <c r="B635" s="55" t="str">
        <f>IF(AA635="","",A635&amp;"-"&amp;RIGHT("000"&amp;AA635,4))</f>
        <v/>
      </c>
      <c r="C635" s="56" t="n"/>
      <c r="D635" s="54" t="n"/>
      <c r="E635" s="57" t="str">
        <f>IF(D635="","",IF(A635="BL",IFERROR(INDEX(cl_name,MATCH(D635,cl_code,0))&amp;"","Client inconnu"),IF(A635="BR",IFERROR(INDEX(fo_name,MATCH(D635,fo_code,0))&amp;"","Fournisseur inconnu"),IF(A635="BS",IF(ISNA(MATCH(D635,p_services,0)),"Service inconnu",D635&amp;""),""))))</f>
        <v/>
      </c>
      <c r="F635" s="58" t="n"/>
      <c r="G635" s="58" t="n"/>
      <c r="H635" s="59" t="n"/>
      <c r="I635" s="57" t="str">
        <f>IF(H635="","",IFERROR(INDEX(art_des,MATCH(H635,art_ref,0))&amp;"","Article inconnu"))</f>
        <v/>
      </c>
      <c r="J635" s="60" t="str">
        <f>IF(H635="","",IFERROR(INDEX(art_unit,MATCH(H635,art_ref,0))&amp;"",""))</f>
        <v/>
      </c>
      <c r="K635" s="59" t="n"/>
      <c r="L635" s="59" t="n"/>
      <c r="M635" s="61" t="str">
        <f>IF(OR(B635="",NOT(ISNUMBER(K635)),NOT(ISNUMBER(L635))),"",IF(OR(K635&lt;=0,L635&lt;=0),"",ROUND(L635-K635,6)))</f>
        <v/>
      </c>
      <c r="N635" s="58" t="n"/>
      <c r="O635" s="62" t="n"/>
      <c r="P635" s="63" t="str">
        <f>IF(OR(B635="",NOT(ISNUMBER(L635))),"",IF(L635&lt;=0,"",IFERROR(ROUND(L635*N(INDEX(art_w,MATCH(H635,art_ref,0))),3),"")))</f>
        <v/>
      </c>
      <c r="Q635" s="59" t="n"/>
      <c r="R635" s="54" t="n"/>
      <c r="S635" s="59" t="n"/>
      <c r="T635" s="59" t="n"/>
      <c r="U635" s="64" t="str">
        <f>IF(OR(B635="",H635=""),"",IFERROR(IF(A635="BL",IF(N(INDEX(art_price,MATCH(H635,art_ref,0)))=0,"",N(INDEX(art_price,MATCH(H635,art_ref,0)))),IF(N(INDEX(art_cost,MATCH(H635,art_ref,0)))=0,"",N(INDEX(art_cost,MATCH(H635,art_ref,0))))),""))</f>
        <v/>
      </c>
      <c r="V635" s="64" t="str">
        <f>IF(OR(U635="",NOT(ISNUMBER(L635))),"",IF(L635&lt;=0,"",ROUND(L635*U635,2)))</f>
        <v/>
      </c>
      <c r="W635" s="60" t="str">
        <f>IF(AND(B635&lt;&gt;"",A635&lt;&gt;"BS",F635&lt;&gt;"",H635&lt;&gt;"",ISNUMBER(K635),ISNUMBER(L635)),IF(AND(K635&gt;0,L635&gt;0,K635-L635&gt;0,COUNTIFS(A636:A$2005,A635,F636:F$2005,F635,H636:H$2005,H635,AA636:AA$2005,"&gt;0")=0),ROUND(K635-L635,6),""),"")</f>
        <v/>
      </c>
      <c r="X635" s="60" t="str">
        <f>IF(AND(A635="",C635="",D635="",H635="",L635=""),"",IF(A635="","Type manquant",IF(AND(A635&lt;&gt;"BL",A635&lt;&gt;"BR",A635&lt;&gt;"BS"),"Type inconnu (BL, BR ou BS)",IF(AG635=0,"Date manquante ou invalide",IF(D635="",IF(A635="BL","Client manquant",IF(A635="BR","Fournisseur manquant","Service manquant")),IF(IF(A635="BL",ISNA(MATCH(D635,cl_code,0)),IF(A635="BR",ISNA(MATCH(D635,fo_code,0)),ISNA(MATCH(D635,p_services,0)))),IF(A635="BL","Client inconnu",IF(A635="BR","Fournisseur inconnu","Service inconnu")),IF(H635="","Article manquant",IF(ISNA(MATCH(H635,art_ref,0)),"Article inconnu",IF(OR(NOT(ISNUMBER(L635)),N(L635)&lt;=0),"Quantité invalide",IF(AND(K635&lt;&gt;"",OR(NOT(ISNUMBER(K635)),N(K635)&lt;=0)),"Qté commandée invalide",IF(AG635&lt;SUMPRODUCT(MAX((A$6:A634=A635)*AG$6:AG634)),"Date antérieure au bon précédent",IF(AND(A635&lt;&gt;"BR",ISNUMBER(M635),N(M635)&gt;0),IF(A635="BL","Livré plus que commandé","Sorti plus que demandé"),"OK"))))))))))))</f>
        <v/>
      </c>
      <c r="Y635" s="57" t="str">
        <f>IF(AND(OR(A635="BL",A635="BR",A635="BS"),AG635&gt;0,D635&lt;&gt;""),A635&amp;"|"&amp;AG635&amp;"|"&amp;D635&amp;"|"&amp;F635,"")</f>
        <v/>
      </c>
      <c r="Z635" s="57" t="str">
        <f>IF(Y635="","",IF(COUNTIF(Y$6:Y634,Y635)=0,1,0))</f>
        <v/>
      </c>
      <c r="AA635" s="57" t="str">
        <f>IF(Y635="","",IF(Z635=1,COUNTIFS(A$6:A635,A635,Z$6:Z635,1),INDEX(AA$6:AA634,MATCH(Y635,Y$6:Y634,0))))</f>
        <v/>
      </c>
      <c r="AB635" s="57" t="str">
        <f>IF(B635="","",COUNTIF(B$6:B635,B635))</f>
        <v/>
      </c>
      <c r="AC635" s="57" t="str">
        <f>IF(B635="","",B635&amp;"#"&amp;AB635)</f>
        <v/>
      </c>
      <c r="AD635" s="57" t="str">
        <f>IF(Z635=1,A635&amp;AA635,"")</f>
        <v/>
      </c>
      <c r="AE635" s="57" t="str">
        <f>IF(B635="","",YEAR(C635))</f>
        <v/>
      </c>
      <c r="AF635" s="57" t="str">
        <f>IF(B635="","",MONTH(C635))</f>
        <v/>
      </c>
      <c r="AG635" s="57">
        <f>IF(ISNUMBER(C635),C635,0)</f>
        <v>0.0</v>
      </c>
      <c r="AH635" s="57" t="str">
        <f>IF(N(W635)&gt;0,COUNTIF(W$6:W635,"&gt;0"),"")</f>
        <v/>
      </c>
      <c r="AI635" s="57" t="str">
        <f>IF(Z635=1,COUNTIF(Z$6:Z635,1),"")</f>
        <v/>
      </c>
    </row>
    <row r="636">
      <c r="A636" s="54" t="n"/>
      <c r="B636" s="55" t="str">
        <f>IF(AA636="","",A636&amp;"-"&amp;RIGHT("000"&amp;AA636,4))</f>
        <v/>
      </c>
      <c r="C636" s="56" t="n"/>
      <c r="D636" s="54" t="n"/>
      <c r="E636" s="57" t="str">
        <f>IF(D636="","",IF(A636="BL",IFERROR(INDEX(cl_name,MATCH(D636,cl_code,0))&amp;"","Client inconnu"),IF(A636="BR",IFERROR(INDEX(fo_name,MATCH(D636,fo_code,0))&amp;"","Fournisseur inconnu"),IF(A636="BS",IF(ISNA(MATCH(D636,p_services,0)),"Service inconnu",D636&amp;""),""))))</f>
        <v/>
      </c>
      <c r="F636" s="58" t="n"/>
      <c r="G636" s="58" t="n"/>
      <c r="H636" s="59" t="n"/>
      <c r="I636" s="57" t="str">
        <f>IF(H636="","",IFERROR(INDEX(art_des,MATCH(H636,art_ref,0))&amp;"","Article inconnu"))</f>
        <v/>
      </c>
      <c r="J636" s="60" t="str">
        <f>IF(H636="","",IFERROR(INDEX(art_unit,MATCH(H636,art_ref,0))&amp;"",""))</f>
        <v/>
      </c>
      <c r="K636" s="59" t="n"/>
      <c r="L636" s="59" t="n"/>
      <c r="M636" s="61" t="str">
        <f>IF(OR(B636="",NOT(ISNUMBER(K636)),NOT(ISNUMBER(L636))),"",IF(OR(K636&lt;=0,L636&lt;=0),"",ROUND(L636-K636,6)))</f>
        <v/>
      </c>
      <c r="N636" s="58" t="n"/>
      <c r="O636" s="62" t="n"/>
      <c r="P636" s="63" t="str">
        <f>IF(OR(B636="",NOT(ISNUMBER(L636))),"",IF(L636&lt;=0,"",IFERROR(ROUND(L636*N(INDEX(art_w,MATCH(H636,art_ref,0))),3),"")))</f>
        <v/>
      </c>
      <c r="Q636" s="59" t="n"/>
      <c r="R636" s="54" t="n"/>
      <c r="S636" s="59" t="n"/>
      <c r="T636" s="59" t="n"/>
      <c r="U636" s="64" t="str">
        <f>IF(OR(B636="",H636=""),"",IFERROR(IF(A636="BL",IF(N(INDEX(art_price,MATCH(H636,art_ref,0)))=0,"",N(INDEX(art_price,MATCH(H636,art_ref,0)))),IF(N(INDEX(art_cost,MATCH(H636,art_ref,0)))=0,"",N(INDEX(art_cost,MATCH(H636,art_ref,0))))),""))</f>
        <v/>
      </c>
      <c r="V636" s="64" t="str">
        <f>IF(OR(U636="",NOT(ISNUMBER(L636))),"",IF(L636&lt;=0,"",ROUND(L636*U636,2)))</f>
        <v/>
      </c>
      <c r="W636" s="60" t="str">
        <f>IF(AND(B636&lt;&gt;"",A636&lt;&gt;"BS",F636&lt;&gt;"",H636&lt;&gt;"",ISNUMBER(K636),ISNUMBER(L636)),IF(AND(K636&gt;0,L636&gt;0,K636-L636&gt;0,COUNTIFS(A637:A$2005,A636,F637:F$2005,F636,H637:H$2005,H636,AA637:AA$2005,"&gt;0")=0),ROUND(K636-L636,6),""),"")</f>
        <v/>
      </c>
      <c r="X636" s="60" t="str">
        <f>IF(AND(A636="",C636="",D636="",H636="",L636=""),"",IF(A636="","Type manquant",IF(AND(A636&lt;&gt;"BL",A636&lt;&gt;"BR",A636&lt;&gt;"BS"),"Type inconnu (BL, BR ou BS)",IF(AG636=0,"Date manquante ou invalide",IF(D636="",IF(A636="BL","Client manquant",IF(A636="BR","Fournisseur manquant","Service manquant")),IF(IF(A636="BL",ISNA(MATCH(D636,cl_code,0)),IF(A636="BR",ISNA(MATCH(D636,fo_code,0)),ISNA(MATCH(D636,p_services,0)))),IF(A636="BL","Client inconnu",IF(A636="BR","Fournisseur inconnu","Service inconnu")),IF(H636="","Article manquant",IF(ISNA(MATCH(H636,art_ref,0)),"Article inconnu",IF(OR(NOT(ISNUMBER(L636)),N(L636)&lt;=0),"Quantité invalide",IF(AND(K636&lt;&gt;"",OR(NOT(ISNUMBER(K636)),N(K636)&lt;=0)),"Qté commandée invalide",IF(AG636&lt;SUMPRODUCT(MAX((A$6:A635=A636)*AG$6:AG635)),"Date antérieure au bon précédent",IF(AND(A636&lt;&gt;"BR",ISNUMBER(M636),N(M636)&gt;0),IF(A636="BL","Livré plus que commandé","Sorti plus que demandé"),"OK"))))))))))))</f>
        <v/>
      </c>
      <c r="Y636" s="57" t="str">
        <f>IF(AND(OR(A636="BL",A636="BR",A636="BS"),AG636&gt;0,D636&lt;&gt;""),A636&amp;"|"&amp;AG636&amp;"|"&amp;D636&amp;"|"&amp;F636,"")</f>
        <v/>
      </c>
      <c r="Z636" s="57" t="str">
        <f>IF(Y636="","",IF(COUNTIF(Y$6:Y635,Y636)=0,1,0))</f>
        <v/>
      </c>
      <c r="AA636" s="57" t="str">
        <f>IF(Y636="","",IF(Z636=1,COUNTIFS(A$6:A636,A636,Z$6:Z636,1),INDEX(AA$6:AA635,MATCH(Y636,Y$6:Y635,0))))</f>
        <v/>
      </c>
      <c r="AB636" s="57" t="str">
        <f>IF(B636="","",COUNTIF(B$6:B636,B636))</f>
        <v/>
      </c>
      <c r="AC636" s="57" t="str">
        <f>IF(B636="","",B636&amp;"#"&amp;AB636)</f>
        <v/>
      </c>
      <c r="AD636" s="57" t="str">
        <f>IF(Z636=1,A636&amp;AA636,"")</f>
        <v/>
      </c>
      <c r="AE636" s="57" t="str">
        <f>IF(B636="","",YEAR(C636))</f>
        <v/>
      </c>
      <c r="AF636" s="57" t="str">
        <f>IF(B636="","",MONTH(C636))</f>
        <v/>
      </c>
      <c r="AG636" s="57">
        <f>IF(ISNUMBER(C636),C636,0)</f>
        <v>0.0</v>
      </c>
      <c r="AH636" s="57" t="str">
        <f>IF(N(W636)&gt;0,COUNTIF(W$6:W636,"&gt;0"),"")</f>
        <v/>
      </c>
      <c r="AI636" s="57" t="str">
        <f>IF(Z636=1,COUNTIF(Z$6:Z636,1),"")</f>
        <v/>
      </c>
    </row>
    <row r="637">
      <c r="A637" s="54" t="n"/>
      <c r="B637" s="55" t="str">
        <f>IF(AA637="","",A637&amp;"-"&amp;RIGHT("000"&amp;AA637,4))</f>
        <v/>
      </c>
      <c r="C637" s="56" t="n"/>
      <c r="D637" s="54" t="n"/>
      <c r="E637" s="57" t="str">
        <f>IF(D637="","",IF(A637="BL",IFERROR(INDEX(cl_name,MATCH(D637,cl_code,0))&amp;"","Client inconnu"),IF(A637="BR",IFERROR(INDEX(fo_name,MATCH(D637,fo_code,0))&amp;"","Fournisseur inconnu"),IF(A637="BS",IF(ISNA(MATCH(D637,p_services,0)),"Service inconnu",D637&amp;""),""))))</f>
        <v/>
      </c>
      <c r="F637" s="58" t="n"/>
      <c r="G637" s="58" t="n"/>
      <c r="H637" s="59" t="n"/>
      <c r="I637" s="57" t="str">
        <f>IF(H637="","",IFERROR(INDEX(art_des,MATCH(H637,art_ref,0))&amp;"","Article inconnu"))</f>
        <v/>
      </c>
      <c r="J637" s="60" t="str">
        <f>IF(H637="","",IFERROR(INDEX(art_unit,MATCH(H637,art_ref,0))&amp;"",""))</f>
        <v/>
      </c>
      <c r="K637" s="59" t="n"/>
      <c r="L637" s="59" t="n"/>
      <c r="M637" s="61" t="str">
        <f>IF(OR(B637="",NOT(ISNUMBER(K637)),NOT(ISNUMBER(L637))),"",IF(OR(K637&lt;=0,L637&lt;=0),"",ROUND(L637-K637,6)))</f>
        <v/>
      </c>
      <c r="N637" s="58" t="n"/>
      <c r="O637" s="62" t="n"/>
      <c r="P637" s="63" t="str">
        <f>IF(OR(B637="",NOT(ISNUMBER(L637))),"",IF(L637&lt;=0,"",IFERROR(ROUND(L637*N(INDEX(art_w,MATCH(H637,art_ref,0))),3),"")))</f>
        <v/>
      </c>
      <c r="Q637" s="59" t="n"/>
      <c r="R637" s="54" t="n"/>
      <c r="S637" s="59" t="n"/>
      <c r="T637" s="59" t="n"/>
      <c r="U637" s="64" t="str">
        <f>IF(OR(B637="",H637=""),"",IFERROR(IF(A637="BL",IF(N(INDEX(art_price,MATCH(H637,art_ref,0)))=0,"",N(INDEX(art_price,MATCH(H637,art_ref,0)))),IF(N(INDEX(art_cost,MATCH(H637,art_ref,0)))=0,"",N(INDEX(art_cost,MATCH(H637,art_ref,0))))),""))</f>
        <v/>
      </c>
      <c r="V637" s="64" t="str">
        <f>IF(OR(U637="",NOT(ISNUMBER(L637))),"",IF(L637&lt;=0,"",ROUND(L637*U637,2)))</f>
        <v/>
      </c>
      <c r="W637" s="60" t="str">
        <f>IF(AND(B637&lt;&gt;"",A637&lt;&gt;"BS",F637&lt;&gt;"",H637&lt;&gt;"",ISNUMBER(K637),ISNUMBER(L637)),IF(AND(K637&gt;0,L637&gt;0,K637-L637&gt;0,COUNTIFS(A638:A$2005,A637,F638:F$2005,F637,H638:H$2005,H637,AA638:AA$2005,"&gt;0")=0),ROUND(K637-L637,6),""),"")</f>
        <v/>
      </c>
      <c r="X637" s="60" t="str">
        <f>IF(AND(A637="",C637="",D637="",H637="",L637=""),"",IF(A637="","Type manquant",IF(AND(A637&lt;&gt;"BL",A637&lt;&gt;"BR",A637&lt;&gt;"BS"),"Type inconnu (BL, BR ou BS)",IF(AG637=0,"Date manquante ou invalide",IF(D637="",IF(A637="BL","Client manquant",IF(A637="BR","Fournisseur manquant","Service manquant")),IF(IF(A637="BL",ISNA(MATCH(D637,cl_code,0)),IF(A637="BR",ISNA(MATCH(D637,fo_code,0)),ISNA(MATCH(D637,p_services,0)))),IF(A637="BL","Client inconnu",IF(A637="BR","Fournisseur inconnu","Service inconnu")),IF(H637="","Article manquant",IF(ISNA(MATCH(H637,art_ref,0)),"Article inconnu",IF(OR(NOT(ISNUMBER(L637)),N(L637)&lt;=0),"Quantité invalide",IF(AND(K637&lt;&gt;"",OR(NOT(ISNUMBER(K637)),N(K637)&lt;=0)),"Qté commandée invalide",IF(AG637&lt;SUMPRODUCT(MAX((A$6:A636=A637)*AG$6:AG636)),"Date antérieure au bon précédent",IF(AND(A637&lt;&gt;"BR",ISNUMBER(M637),N(M637)&gt;0),IF(A637="BL","Livré plus que commandé","Sorti plus que demandé"),"OK"))))))))))))</f>
        <v/>
      </c>
      <c r="Y637" s="57" t="str">
        <f>IF(AND(OR(A637="BL",A637="BR",A637="BS"),AG637&gt;0,D637&lt;&gt;""),A637&amp;"|"&amp;AG637&amp;"|"&amp;D637&amp;"|"&amp;F637,"")</f>
        <v/>
      </c>
      <c r="Z637" s="57" t="str">
        <f>IF(Y637="","",IF(COUNTIF(Y$6:Y636,Y637)=0,1,0))</f>
        <v/>
      </c>
      <c r="AA637" s="57" t="str">
        <f>IF(Y637="","",IF(Z637=1,COUNTIFS(A$6:A637,A637,Z$6:Z637,1),INDEX(AA$6:AA636,MATCH(Y637,Y$6:Y636,0))))</f>
        <v/>
      </c>
      <c r="AB637" s="57" t="str">
        <f>IF(B637="","",COUNTIF(B$6:B637,B637))</f>
        <v/>
      </c>
      <c r="AC637" s="57" t="str">
        <f>IF(B637="","",B637&amp;"#"&amp;AB637)</f>
        <v/>
      </c>
      <c r="AD637" s="57" t="str">
        <f>IF(Z637=1,A637&amp;AA637,"")</f>
        <v/>
      </c>
      <c r="AE637" s="57" t="str">
        <f>IF(B637="","",YEAR(C637))</f>
        <v/>
      </c>
      <c r="AF637" s="57" t="str">
        <f>IF(B637="","",MONTH(C637))</f>
        <v/>
      </c>
      <c r="AG637" s="57">
        <f>IF(ISNUMBER(C637),C637,0)</f>
        <v>0.0</v>
      </c>
      <c r="AH637" s="57" t="str">
        <f>IF(N(W637)&gt;0,COUNTIF(W$6:W637,"&gt;0"),"")</f>
        <v/>
      </c>
      <c r="AI637" s="57" t="str">
        <f>IF(Z637=1,COUNTIF(Z$6:Z637,1),"")</f>
        <v/>
      </c>
    </row>
    <row r="638">
      <c r="A638" s="54" t="n"/>
      <c r="B638" s="55" t="str">
        <f>IF(AA638="","",A638&amp;"-"&amp;RIGHT("000"&amp;AA638,4))</f>
        <v/>
      </c>
      <c r="C638" s="56" t="n"/>
      <c r="D638" s="54" t="n"/>
      <c r="E638" s="57" t="str">
        <f>IF(D638="","",IF(A638="BL",IFERROR(INDEX(cl_name,MATCH(D638,cl_code,0))&amp;"","Client inconnu"),IF(A638="BR",IFERROR(INDEX(fo_name,MATCH(D638,fo_code,0))&amp;"","Fournisseur inconnu"),IF(A638="BS",IF(ISNA(MATCH(D638,p_services,0)),"Service inconnu",D638&amp;""),""))))</f>
        <v/>
      </c>
      <c r="F638" s="58" t="n"/>
      <c r="G638" s="58" t="n"/>
      <c r="H638" s="59" t="n"/>
      <c r="I638" s="57" t="str">
        <f>IF(H638="","",IFERROR(INDEX(art_des,MATCH(H638,art_ref,0))&amp;"","Article inconnu"))</f>
        <v/>
      </c>
      <c r="J638" s="60" t="str">
        <f>IF(H638="","",IFERROR(INDEX(art_unit,MATCH(H638,art_ref,0))&amp;"",""))</f>
        <v/>
      </c>
      <c r="K638" s="59" t="n"/>
      <c r="L638" s="59" t="n"/>
      <c r="M638" s="61" t="str">
        <f>IF(OR(B638="",NOT(ISNUMBER(K638)),NOT(ISNUMBER(L638))),"",IF(OR(K638&lt;=0,L638&lt;=0),"",ROUND(L638-K638,6)))</f>
        <v/>
      </c>
      <c r="N638" s="58" t="n"/>
      <c r="O638" s="62" t="n"/>
      <c r="P638" s="63" t="str">
        <f>IF(OR(B638="",NOT(ISNUMBER(L638))),"",IF(L638&lt;=0,"",IFERROR(ROUND(L638*N(INDEX(art_w,MATCH(H638,art_ref,0))),3),"")))</f>
        <v/>
      </c>
      <c r="Q638" s="59" t="n"/>
      <c r="R638" s="54" t="n"/>
      <c r="S638" s="59" t="n"/>
      <c r="T638" s="59" t="n"/>
      <c r="U638" s="64" t="str">
        <f>IF(OR(B638="",H638=""),"",IFERROR(IF(A638="BL",IF(N(INDEX(art_price,MATCH(H638,art_ref,0)))=0,"",N(INDEX(art_price,MATCH(H638,art_ref,0)))),IF(N(INDEX(art_cost,MATCH(H638,art_ref,0)))=0,"",N(INDEX(art_cost,MATCH(H638,art_ref,0))))),""))</f>
        <v/>
      </c>
      <c r="V638" s="64" t="str">
        <f>IF(OR(U638="",NOT(ISNUMBER(L638))),"",IF(L638&lt;=0,"",ROUND(L638*U638,2)))</f>
        <v/>
      </c>
      <c r="W638" s="60" t="str">
        <f>IF(AND(B638&lt;&gt;"",A638&lt;&gt;"BS",F638&lt;&gt;"",H638&lt;&gt;"",ISNUMBER(K638),ISNUMBER(L638)),IF(AND(K638&gt;0,L638&gt;0,K638-L638&gt;0,COUNTIFS(A639:A$2005,A638,F639:F$2005,F638,H639:H$2005,H638,AA639:AA$2005,"&gt;0")=0),ROUND(K638-L638,6),""),"")</f>
        <v/>
      </c>
      <c r="X638" s="60" t="str">
        <f>IF(AND(A638="",C638="",D638="",H638="",L638=""),"",IF(A638="","Type manquant",IF(AND(A638&lt;&gt;"BL",A638&lt;&gt;"BR",A638&lt;&gt;"BS"),"Type inconnu (BL, BR ou BS)",IF(AG638=0,"Date manquante ou invalide",IF(D638="",IF(A638="BL","Client manquant",IF(A638="BR","Fournisseur manquant","Service manquant")),IF(IF(A638="BL",ISNA(MATCH(D638,cl_code,0)),IF(A638="BR",ISNA(MATCH(D638,fo_code,0)),ISNA(MATCH(D638,p_services,0)))),IF(A638="BL","Client inconnu",IF(A638="BR","Fournisseur inconnu","Service inconnu")),IF(H638="","Article manquant",IF(ISNA(MATCH(H638,art_ref,0)),"Article inconnu",IF(OR(NOT(ISNUMBER(L638)),N(L638)&lt;=0),"Quantité invalide",IF(AND(K638&lt;&gt;"",OR(NOT(ISNUMBER(K638)),N(K638)&lt;=0)),"Qté commandée invalide",IF(AG638&lt;SUMPRODUCT(MAX((A$6:A637=A638)*AG$6:AG637)),"Date antérieure au bon précédent",IF(AND(A638&lt;&gt;"BR",ISNUMBER(M638),N(M638)&gt;0),IF(A638="BL","Livré plus que commandé","Sorti plus que demandé"),"OK"))))))))))))</f>
        <v/>
      </c>
      <c r="Y638" s="57" t="str">
        <f>IF(AND(OR(A638="BL",A638="BR",A638="BS"),AG638&gt;0,D638&lt;&gt;""),A638&amp;"|"&amp;AG638&amp;"|"&amp;D638&amp;"|"&amp;F638,"")</f>
        <v/>
      </c>
      <c r="Z638" s="57" t="str">
        <f>IF(Y638="","",IF(COUNTIF(Y$6:Y637,Y638)=0,1,0))</f>
        <v/>
      </c>
      <c r="AA638" s="57" t="str">
        <f>IF(Y638="","",IF(Z638=1,COUNTIFS(A$6:A638,A638,Z$6:Z638,1),INDEX(AA$6:AA637,MATCH(Y638,Y$6:Y637,0))))</f>
        <v/>
      </c>
      <c r="AB638" s="57" t="str">
        <f>IF(B638="","",COUNTIF(B$6:B638,B638))</f>
        <v/>
      </c>
      <c r="AC638" s="57" t="str">
        <f>IF(B638="","",B638&amp;"#"&amp;AB638)</f>
        <v/>
      </c>
      <c r="AD638" s="57" t="str">
        <f>IF(Z638=1,A638&amp;AA638,"")</f>
        <v/>
      </c>
      <c r="AE638" s="57" t="str">
        <f>IF(B638="","",YEAR(C638))</f>
        <v/>
      </c>
      <c r="AF638" s="57" t="str">
        <f>IF(B638="","",MONTH(C638))</f>
        <v/>
      </c>
      <c r="AG638" s="57">
        <f>IF(ISNUMBER(C638),C638,0)</f>
        <v>0.0</v>
      </c>
      <c r="AH638" s="57" t="str">
        <f>IF(N(W638)&gt;0,COUNTIF(W$6:W638,"&gt;0"),"")</f>
        <v/>
      </c>
      <c r="AI638" s="57" t="str">
        <f>IF(Z638=1,COUNTIF(Z$6:Z638,1),"")</f>
        <v/>
      </c>
    </row>
    <row r="639">
      <c r="A639" s="54" t="n"/>
      <c r="B639" s="55" t="str">
        <f>IF(AA639="","",A639&amp;"-"&amp;RIGHT("000"&amp;AA639,4))</f>
        <v/>
      </c>
      <c r="C639" s="56" t="n"/>
      <c r="D639" s="54" t="n"/>
      <c r="E639" s="57" t="str">
        <f>IF(D639="","",IF(A639="BL",IFERROR(INDEX(cl_name,MATCH(D639,cl_code,0))&amp;"","Client inconnu"),IF(A639="BR",IFERROR(INDEX(fo_name,MATCH(D639,fo_code,0))&amp;"","Fournisseur inconnu"),IF(A639="BS",IF(ISNA(MATCH(D639,p_services,0)),"Service inconnu",D639&amp;""),""))))</f>
        <v/>
      </c>
      <c r="F639" s="58" t="n"/>
      <c r="G639" s="58" t="n"/>
      <c r="H639" s="59" t="n"/>
      <c r="I639" s="57" t="str">
        <f>IF(H639="","",IFERROR(INDEX(art_des,MATCH(H639,art_ref,0))&amp;"","Article inconnu"))</f>
        <v/>
      </c>
      <c r="J639" s="60" t="str">
        <f>IF(H639="","",IFERROR(INDEX(art_unit,MATCH(H639,art_ref,0))&amp;"",""))</f>
        <v/>
      </c>
      <c r="K639" s="59" t="n"/>
      <c r="L639" s="59" t="n"/>
      <c r="M639" s="61" t="str">
        <f>IF(OR(B639="",NOT(ISNUMBER(K639)),NOT(ISNUMBER(L639))),"",IF(OR(K639&lt;=0,L639&lt;=0),"",ROUND(L639-K639,6)))</f>
        <v/>
      </c>
      <c r="N639" s="58" t="n"/>
      <c r="O639" s="62" t="n"/>
      <c r="P639" s="63" t="str">
        <f>IF(OR(B639="",NOT(ISNUMBER(L639))),"",IF(L639&lt;=0,"",IFERROR(ROUND(L639*N(INDEX(art_w,MATCH(H639,art_ref,0))),3),"")))</f>
        <v/>
      </c>
      <c r="Q639" s="59" t="n"/>
      <c r="R639" s="54" t="n"/>
      <c r="S639" s="59" t="n"/>
      <c r="T639" s="59" t="n"/>
      <c r="U639" s="64" t="str">
        <f>IF(OR(B639="",H639=""),"",IFERROR(IF(A639="BL",IF(N(INDEX(art_price,MATCH(H639,art_ref,0)))=0,"",N(INDEX(art_price,MATCH(H639,art_ref,0)))),IF(N(INDEX(art_cost,MATCH(H639,art_ref,0)))=0,"",N(INDEX(art_cost,MATCH(H639,art_ref,0))))),""))</f>
        <v/>
      </c>
      <c r="V639" s="64" t="str">
        <f>IF(OR(U639="",NOT(ISNUMBER(L639))),"",IF(L639&lt;=0,"",ROUND(L639*U639,2)))</f>
        <v/>
      </c>
      <c r="W639" s="60" t="str">
        <f>IF(AND(B639&lt;&gt;"",A639&lt;&gt;"BS",F639&lt;&gt;"",H639&lt;&gt;"",ISNUMBER(K639),ISNUMBER(L639)),IF(AND(K639&gt;0,L639&gt;0,K639-L639&gt;0,COUNTIFS(A640:A$2005,A639,F640:F$2005,F639,H640:H$2005,H639,AA640:AA$2005,"&gt;0")=0),ROUND(K639-L639,6),""),"")</f>
        <v/>
      </c>
      <c r="X639" s="60" t="str">
        <f>IF(AND(A639="",C639="",D639="",H639="",L639=""),"",IF(A639="","Type manquant",IF(AND(A639&lt;&gt;"BL",A639&lt;&gt;"BR",A639&lt;&gt;"BS"),"Type inconnu (BL, BR ou BS)",IF(AG639=0,"Date manquante ou invalide",IF(D639="",IF(A639="BL","Client manquant",IF(A639="BR","Fournisseur manquant","Service manquant")),IF(IF(A639="BL",ISNA(MATCH(D639,cl_code,0)),IF(A639="BR",ISNA(MATCH(D639,fo_code,0)),ISNA(MATCH(D639,p_services,0)))),IF(A639="BL","Client inconnu",IF(A639="BR","Fournisseur inconnu","Service inconnu")),IF(H639="","Article manquant",IF(ISNA(MATCH(H639,art_ref,0)),"Article inconnu",IF(OR(NOT(ISNUMBER(L639)),N(L639)&lt;=0),"Quantité invalide",IF(AND(K639&lt;&gt;"",OR(NOT(ISNUMBER(K639)),N(K639)&lt;=0)),"Qté commandée invalide",IF(AG639&lt;SUMPRODUCT(MAX((A$6:A638=A639)*AG$6:AG638)),"Date antérieure au bon précédent",IF(AND(A639&lt;&gt;"BR",ISNUMBER(M639),N(M639)&gt;0),IF(A639="BL","Livré plus que commandé","Sorti plus que demandé"),"OK"))))))))))))</f>
        <v/>
      </c>
      <c r="Y639" s="57" t="str">
        <f>IF(AND(OR(A639="BL",A639="BR",A639="BS"),AG639&gt;0,D639&lt;&gt;""),A639&amp;"|"&amp;AG639&amp;"|"&amp;D639&amp;"|"&amp;F639,"")</f>
        <v/>
      </c>
      <c r="Z639" s="57" t="str">
        <f>IF(Y639="","",IF(COUNTIF(Y$6:Y638,Y639)=0,1,0))</f>
        <v/>
      </c>
      <c r="AA639" s="57" t="str">
        <f>IF(Y639="","",IF(Z639=1,COUNTIFS(A$6:A639,A639,Z$6:Z639,1),INDEX(AA$6:AA638,MATCH(Y639,Y$6:Y638,0))))</f>
        <v/>
      </c>
      <c r="AB639" s="57" t="str">
        <f>IF(B639="","",COUNTIF(B$6:B639,B639))</f>
        <v/>
      </c>
      <c r="AC639" s="57" t="str">
        <f>IF(B639="","",B639&amp;"#"&amp;AB639)</f>
        <v/>
      </c>
      <c r="AD639" s="57" t="str">
        <f>IF(Z639=1,A639&amp;AA639,"")</f>
        <v/>
      </c>
      <c r="AE639" s="57" t="str">
        <f>IF(B639="","",YEAR(C639))</f>
        <v/>
      </c>
      <c r="AF639" s="57" t="str">
        <f>IF(B639="","",MONTH(C639))</f>
        <v/>
      </c>
      <c r="AG639" s="57">
        <f>IF(ISNUMBER(C639),C639,0)</f>
        <v>0.0</v>
      </c>
      <c r="AH639" s="57" t="str">
        <f>IF(N(W639)&gt;0,COUNTIF(W$6:W639,"&gt;0"),"")</f>
        <v/>
      </c>
      <c r="AI639" s="57" t="str">
        <f>IF(Z639=1,COUNTIF(Z$6:Z639,1),"")</f>
        <v/>
      </c>
    </row>
    <row r="640">
      <c r="A640" s="54" t="n"/>
      <c r="B640" s="55" t="str">
        <f>IF(AA640="","",A640&amp;"-"&amp;RIGHT("000"&amp;AA640,4))</f>
        <v/>
      </c>
      <c r="C640" s="56" t="n"/>
      <c r="D640" s="54" t="n"/>
      <c r="E640" s="57" t="str">
        <f>IF(D640="","",IF(A640="BL",IFERROR(INDEX(cl_name,MATCH(D640,cl_code,0))&amp;"","Client inconnu"),IF(A640="BR",IFERROR(INDEX(fo_name,MATCH(D640,fo_code,0))&amp;"","Fournisseur inconnu"),IF(A640="BS",IF(ISNA(MATCH(D640,p_services,0)),"Service inconnu",D640&amp;""),""))))</f>
        <v/>
      </c>
      <c r="F640" s="58" t="n"/>
      <c r="G640" s="58" t="n"/>
      <c r="H640" s="59" t="n"/>
      <c r="I640" s="57" t="str">
        <f>IF(H640="","",IFERROR(INDEX(art_des,MATCH(H640,art_ref,0))&amp;"","Article inconnu"))</f>
        <v/>
      </c>
      <c r="J640" s="60" t="str">
        <f>IF(H640="","",IFERROR(INDEX(art_unit,MATCH(H640,art_ref,0))&amp;"",""))</f>
        <v/>
      </c>
      <c r="K640" s="59" t="n"/>
      <c r="L640" s="59" t="n"/>
      <c r="M640" s="61" t="str">
        <f>IF(OR(B640="",NOT(ISNUMBER(K640)),NOT(ISNUMBER(L640))),"",IF(OR(K640&lt;=0,L640&lt;=0),"",ROUND(L640-K640,6)))</f>
        <v/>
      </c>
      <c r="N640" s="58" t="n"/>
      <c r="O640" s="62" t="n"/>
      <c r="P640" s="63" t="str">
        <f>IF(OR(B640="",NOT(ISNUMBER(L640))),"",IF(L640&lt;=0,"",IFERROR(ROUND(L640*N(INDEX(art_w,MATCH(H640,art_ref,0))),3),"")))</f>
        <v/>
      </c>
      <c r="Q640" s="59" t="n"/>
      <c r="R640" s="54" t="n"/>
      <c r="S640" s="59" t="n"/>
      <c r="T640" s="59" t="n"/>
      <c r="U640" s="64" t="str">
        <f>IF(OR(B640="",H640=""),"",IFERROR(IF(A640="BL",IF(N(INDEX(art_price,MATCH(H640,art_ref,0)))=0,"",N(INDEX(art_price,MATCH(H640,art_ref,0)))),IF(N(INDEX(art_cost,MATCH(H640,art_ref,0)))=0,"",N(INDEX(art_cost,MATCH(H640,art_ref,0))))),""))</f>
        <v/>
      </c>
      <c r="V640" s="64" t="str">
        <f>IF(OR(U640="",NOT(ISNUMBER(L640))),"",IF(L640&lt;=0,"",ROUND(L640*U640,2)))</f>
        <v/>
      </c>
      <c r="W640" s="60" t="str">
        <f>IF(AND(B640&lt;&gt;"",A640&lt;&gt;"BS",F640&lt;&gt;"",H640&lt;&gt;"",ISNUMBER(K640),ISNUMBER(L640)),IF(AND(K640&gt;0,L640&gt;0,K640-L640&gt;0,COUNTIFS(A641:A$2005,A640,F641:F$2005,F640,H641:H$2005,H640,AA641:AA$2005,"&gt;0")=0),ROUND(K640-L640,6),""),"")</f>
        <v/>
      </c>
      <c r="X640" s="60" t="str">
        <f>IF(AND(A640="",C640="",D640="",H640="",L640=""),"",IF(A640="","Type manquant",IF(AND(A640&lt;&gt;"BL",A640&lt;&gt;"BR",A640&lt;&gt;"BS"),"Type inconnu (BL, BR ou BS)",IF(AG640=0,"Date manquante ou invalide",IF(D640="",IF(A640="BL","Client manquant",IF(A640="BR","Fournisseur manquant","Service manquant")),IF(IF(A640="BL",ISNA(MATCH(D640,cl_code,0)),IF(A640="BR",ISNA(MATCH(D640,fo_code,0)),ISNA(MATCH(D640,p_services,0)))),IF(A640="BL","Client inconnu",IF(A640="BR","Fournisseur inconnu","Service inconnu")),IF(H640="","Article manquant",IF(ISNA(MATCH(H640,art_ref,0)),"Article inconnu",IF(OR(NOT(ISNUMBER(L640)),N(L640)&lt;=0),"Quantité invalide",IF(AND(K640&lt;&gt;"",OR(NOT(ISNUMBER(K640)),N(K640)&lt;=0)),"Qté commandée invalide",IF(AG640&lt;SUMPRODUCT(MAX((A$6:A639=A640)*AG$6:AG639)),"Date antérieure au bon précédent",IF(AND(A640&lt;&gt;"BR",ISNUMBER(M640),N(M640)&gt;0),IF(A640="BL","Livré plus que commandé","Sorti plus que demandé"),"OK"))))))))))))</f>
        <v/>
      </c>
      <c r="Y640" s="57" t="str">
        <f>IF(AND(OR(A640="BL",A640="BR",A640="BS"),AG640&gt;0,D640&lt;&gt;""),A640&amp;"|"&amp;AG640&amp;"|"&amp;D640&amp;"|"&amp;F640,"")</f>
        <v/>
      </c>
      <c r="Z640" s="57" t="str">
        <f>IF(Y640="","",IF(COUNTIF(Y$6:Y639,Y640)=0,1,0))</f>
        <v/>
      </c>
      <c r="AA640" s="57" t="str">
        <f>IF(Y640="","",IF(Z640=1,COUNTIFS(A$6:A640,A640,Z$6:Z640,1),INDEX(AA$6:AA639,MATCH(Y640,Y$6:Y639,0))))</f>
        <v/>
      </c>
      <c r="AB640" s="57" t="str">
        <f>IF(B640="","",COUNTIF(B$6:B640,B640))</f>
        <v/>
      </c>
      <c r="AC640" s="57" t="str">
        <f>IF(B640="","",B640&amp;"#"&amp;AB640)</f>
        <v/>
      </c>
      <c r="AD640" s="57" t="str">
        <f>IF(Z640=1,A640&amp;AA640,"")</f>
        <v/>
      </c>
      <c r="AE640" s="57" t="str">
        <f>IF(B640="","",YEAR(C640))</f>
        <v/>
      </c>
      <c r="AF640" s="57" t="str">
        <f>IF(B640="","",MONTH(C640))</f>
        <v/>
      </c>
      <c r="AG640" s="57">
        <f>IF(ISNUMBER(C640),C640,0)</f>
        <v>0.0</v>
      </c>
      <c r="AH640" s="57" t="str">
        <f>IF(N(W640)&gt;0,COUNTIF(W$6:W640,"&gt;0"),"")</f>
        <v/>
      </c>
      <c r="AI640" s="57" t="str">
        <f>IF(Z640=1,COUNTIF(Z$6:Z640,1),"")</f>
        <v/>
      </c>
    </row>
    <row r="641">
      <c r="A641" s="54" t="n"/>
      <c r="B641" s="55" t="str">
        <f>IF(AA641="","",A641&amp;"-"&amp;RIGHT("000"&amp;AA641,4))</f>
        <v/>
      </c>
      <c r="C641" s="56" t="n"/>
      <c r="D641" s="54" t="n"/>
      <c r="E641" s="57" t="str">
        <f>IF(D641="","",IF(A641="BL",IFERROR(INDEX(cl_name,MATCH(D641,cl_code,0))&amp;"","Client inconnu"),IF(A641="BR",IFERROR(INDEX(fo_name,MATCH(D641,fo_code,0))&amp;"","Fournisseur inconnu"),IF(A641="BS",IF(ISNA(MATCH(D641,p_services,0)),"Service inconnu",D641&amp;""),""))))</f>
        <v/>
      </c>
      <c r="F641" s="58" t="n"/>
      <c r="G641" s="58" t="n"/>
      <c r="H641" s="59" t="n"/>
      <c r="I641" s="57" t="str">
        <f>IF(H641="","",IFERROR(INDEX(art_des,MATCH(H641,art_ref,0))&amp;"","Article inconnu"))</f>
        <v/>
      </c>
      <c r="J641" s="60" t="str">
        <f>IF(H641="","",IFERROR(INDEX(art_unit,MATCH(H641,art_ref,0))&amp;"",""))</f>
        <v/>
      </c>
      <c r="K641" s="59" t="n"/>
      <c r="L641" s="59" t="n"/>
      <c r="M641" s="61" t="str">
        <f>IF(OR(B641="",NOT(ISNUMBER(K641)),NOT(ISNUMBER(L641))),"",IF(OR(K641&lt;=0,L641&lt;=0),"",ROUND(L641-K641,6)))</f>
        <v/>
      </c>
      <c r="N641" s="58" t="n"/>
      <c r="O641" s="62" t="n"/>
      <c r="P641" s="63" t="str">
        <f>IF(OR(B641="",NOT(ISNUMBER(L641))),"",IF(L641&lt;=0,"",IFERROR(ROUND(L641*N(INDEX(art_w,MATCH(H641,art_ref,0))),3),"")))</f>
        <v/>
      </c>
      <c r="Q641" s="59" t="n"/>
      <c r="R641" s="54" t="n"/>
      <c r="S641" s="59" t="n"/>
      <c r="T641" s="59" t="n"/>
      <c r="U641" s="64" t="str">
        <f>IF(OR(B641="",H641=""),"",IFERROR(IF(A641="BL",IF(N(INDEX(art_price,MATCH(H641,art_ref,0)))=0,"",N(INDEX(art_price,MATCH(H641,art_ref,0)))),IF(N(INDEX(art_cost,MATCH(H641,art_ref,0)))=0,"",N(INDEX(art_cost,MATCH(H641,art_ref,0))))),""))</f>
        <v/>
      </c>
      <c r="V641" s="64" t="str">
        <f>IF(OR(U641="",NOT(ISNUMBER(L641))),"",IF(L641&lt;=0,"",ROUND(L641*U641,2)))</f>
        <v/>
      </c>
      <c r="W641" s="60" t="str">
        <f>IF(AND(B641&lt;&gt;"",A641&lt;&gt;"BS",F641&lt;&gt;"",H641&lt;&gt;"",ISNUMBER(K641),ISNUMBER(L641)),IF(AND(K641&gt;0,L641&gt;0,K641-L641&gt;0,COUNTIFS(A642:A$2005,A641,F642:F$2005,F641,H642:H$2005,H641,AA642:AA$2005,"&gt;0")=0),ROUND(K641-L641,6),""),"")</f>
        <v/>
      </c>
      <c r="X641" s="60" t="str">
        <f>IF(AND(A641="",C641="",D641="",H641="",L641=""),"",IF(A641="","Type manquant",IF(AND(A641&lt;&gt;"BL",A641&lt;&gt;"BR",A641&lt;&gt;"BS"),"Type inconnu (BL, BR ou BS)",IF(AG641=0,"Date manquante ou invalide",IF(D641="",IF(A641="BL","Client manquant",IF(A641="BR","Fournisseur manquant","Service manquant")),IF(IF(A641="BL",ISNA(MATCH(D641,cl_code,0)),IF(A641="BR",ISNA(MATCH(D641,fo_code,0)),ISNA(MATCH(D641,p_services,0)))),IF(A641="BL","Client inconnu",IF(A641="BR","Fournisseur inconnu","Service inconnu")),IF(H641="","Article manquant",IF(ISNA(MATCH(H641,art_ref,0)),"Article inconnu",IF(OR(NOT(ISNUMBER(L641)),N(L641)&lt;=0),"Quantité invalide",IF(AND(K641&lt;&gt;"",OR(NOT(ISNUMBER(K641)),N(K641)&lt;=0)),"Qté commandée invalide",IF(AG641&lt;SUMPRODUCT(MAX((A$6:A640=A641)*AG$6:AG640)),"Date antérieure au bon précédent",IF(AND(A641&lt;&gt;"BR",ISNUMBER(M641),N(M641)&gt;0),IF(A641="BL","Livré plus que commandé","Sorti plus que demandé"),"OK"))))))))))))</f>
        <v/>
      </c>
      <c r="Y641" s="57" t="str">
        <f>IF(AND(OR(A641="BL",A641="BR",A641="BS"),AG641&gt;0,D641&lt;&gt;""),A641&amp;"|"&amp;AG641&amp;"|"&amp;D641&amp;"|"&amp;F641,"")</f>
        <v/>
      </c>
      <c r="Z641" s="57" t="str">
        <f>IF(Y641="","",IF(COUNTIF(Y$6:Y640,Y641)=0,1,0))</f>
        <v/>
      </c>
      <c r="AA641" s="57" t="str">
        <f>IF(Y641="","",IF(Z641=1,COUNTIFS(A$6:A641,A641,Z$6:Z641,1),INDEX(AA$6:AA640,MATCH(Y641,Y$6:Y640,0))))</f>
        <v/>
      </c>
      <c r="AB641" s="57" t="str">
        <f>IF(B641="","",COUNTIF(B$6:B641,B641))</f>
        <v/>
      </c>
      <c r="AC641" s="57" t="str">
        <f>IF(B641="","",B641&amp;"#"&amp;AB641)</f>
        <v/>
      </c>
      <c r="AD641" s="57" t="str">
        <f>IF(Z641=1,A641&amp;AA641,"")</f>
        <v/>
      </c>
      <c r="AE641" s="57" t="str">
        <f>IF(B641="","",YEAR(C641))</f>
        <v/>
      </c>
      <c r="AF641" s="57" t="str">
        <f>IF(B641="","",MONTH(C641))</f>
        <v/>
      </c>
      <c r="AG641" s="57">
        <f>IF(ISNUMBER(C641),C641,0)</f>
        <v>0.0</v>
      </c>
      <c r="AH641" s="57" t="str">
        <f>IF(N(W641)&gt;0,COUNTIF(W$6:W641,"&gt;0"),"")</f>
        <v/>
      </c>
      <c r="AI641" s="57" t="str">
        <f>IF(Z641=1,COUNTIF(Z$6:Z641,1),"")</f>
        <v/>
      </c>
    </row>
    <row r="642">
      <c r="A642" s="54" t="n"/>
      <c r="B642" s="55" t="str">
        <f>IF(AA642="","",A642&amp;"-"&amp;RIGHT("000"&amp;AA642,4))</f>
        <v/>
      </c>
      <c r="C642" s="56" t="n"/>
      <c r="D642" s="54" t="n"/>
      <c r="E642" s="57" t="str">
        <f>IF(D642="","",IF(A642="BL",IFERROR(INDEX(cl_name,MATCH(D642,cl_code,0))&amp;"","Client inconnu"),IF(A642="BR",IFERROR(INDEX(fo_name,MATCH(D642,fo_code,0))&amp;"","Fournisseur inconnu"),IF(A642="BS",IF(ISNA(MATCH(D642,p_services,0)),"Service inconnu",D642&amp;""),""))))</f>
        <v/>
      </c>
      <c r="F642" s="58" t="n"/>
      <c r="G642" s="58" t="n"/>
      <c r="H642" s="59" t="n"/>
      <c r="I642" s="57" t="str">
        <f>IF(H642="","",IFERROR(INDEX(art_des,MATCH(H642,art_ref,0))&amp;"","Article inconnu"))</f>
        <v/>
      </c>
      <c r="J642" s="60" t="str">
        <f>IF(H642="","",IFERROR(INDEX(art_unit,MATCH(H642,art_ref,0))&amp;"",""))</f>
        <v/>
      </c>
      <c r="K642" s="59" t="n"/>
      <c r="L642" s="59" t="n"/>
      <c r="M642" s="61" t="str">
        <f>IF(OR(B642="",NOT(ISNUMBER(K642)),NOT(ISNUMBER(L642))),"",IF(OR(K642&lt;=0,L642&lt;=0),"",ROUND(L642-K642,6)))</f>
        <v/>
      </c>
      <c r="N642" s="58" t="n"/>
      <c r="O642" s="62" t="n"/>
      <c r="P642" s="63" t="str">
        <f>IF(OR(B642="",NOT(ISNUMBER(L642))),"",IF(L642&lt;=0,"",IFERROR(ROUND(L642*N(INDEX(art_w,MATCH(H642,art_ref,0))),3),"")))</f>
        <v/>
      </c>
      <c r="Q642" s="59" t="n"/>
      <c r="R642" s="54" t="n"/>
      <c r="S642" s="59" t="n"/>
      <c r="T642" s="59" t="n"/>
      <c r="U642" s="64" t="str">
        <f>IF(OR(B642="",H642=""),"",IFERROR(IF(A642="BL",IF(N(INDEX(art_price,MATCH(H642,art_ref,0)))=0,"",N(INDEX(art_price,MATCH(H642,art_ref,0)))),IF(N(INDEX(art_cost,MATCH(H642,art_ref,0)))=0,"",N(INDEX(art_cost,MATCH(H642,art_ref,0))))),""))</f>
        <v/>
      </c>
      <c r="V642" s="64" t="str">
        <f>IF(OR(U642="",NOT(ISNUMBER(L642))),"",IF(L642&lt;=0,"",ROUND(L642*U642,2)))</f>
        <v/>
      </c>
      <c r="W642" s="60" t="str">
        <f>IF(AND(B642&lt;&gt;"",A642&lt;&gt;"BS",F642&lt;&gt;"",H642&lt;&gt;"",ISNUMBER(K642),ISNUMBER(L642)),IF(AND(K642&gt;0,L642&gt;0,K642-L642&gt;0,COUNTIFS(A643:A$2005,A642,F643:F$2005,F642,H643:H$2005,H642,AA643:AA$2005,"&gt;0")=0),ROUND(K642-L642,6),""),"")</f>
        <v/>
      </c>
      <c r="X642" s="60" t="str">
        <f>IF(AND(A642="",C642="",D642="",H642="",L642=""),"",IF(A642="","Type manquant",IF(AND(A642&lt;&gt;"BL",A642&lt;&gt;"BR",A642&lt;&gt;"BS"),"Type inconnu (BL, BR ou BS)",IF(AG642=0,"Date manquante ou invalide",IF(D642="",IF(A642="BL","Client manquant",IF(A642="BR","Fournisseur manquant","Service manquant")),IF(IF(A642="BL",ISNA(MATCH(D642,cl_code,0)),IF(A642="BR",ISNA(MATCH(D642,fo_code,0)),ISNA(MATCH(D642,p_services,0)))),IF(A642="BL","Client inconnu",IF(A642="BR","Fournisseur inconnu","Service inconnu")),IF(H642="","Article manquant",IF(ISNA(MATCH(H642,art_ref,0)),"Article inconnu",IF(OR(NOT(ISNUMBER(L642)),N(L642)&lt;=0),"Quantité invalide",IF(AND(K642&lt;&gt;"",OR(NOT(ISNUMBER(K642)),N(K642)&lt;=0)),"Qté commandée invalide",IF(AG642&lt;SUMPRODUCT(MAX((A$6:A641=A642)*AG$6:AG641)),"Date antérieure au bon précédent",IF(AND(A642&lt;&gt;"BR",ISNUMBER(M642),N(M642)&gt;0),IF(A642="BL","Livré plus que commandé","Sorti plus que demandé"),"OK"))))))))))))</f>
        <v/>
      </c>
      <c r="Y642" s="57" t="str">
        <f>IF(AND(OR(A642="BL",A642="BR",A642="BS"),AG642&gt;0,D642&lt;&gt;""),A642&amp;"|"&amp;AG642&amp;"|"&amp;D642&amp;"|"&amp;F642,"")</f>
        <v/>
      </c>
      <c r="Z642" s="57" t="str">
        <f>IF(Y642="","",IF(COUNTIF(Y$6:Y641,Y642)=0,1,0))</f>
        <v/>
      </c>
      <c r="AA642" s="57" t="str">
        <f>IF(Y642="","",IF(Z642=1,COUNTIFS(A$6:A642,A642,Z$6:Z642,1),INDEX(AA$6:AA641,MATCH(Y642,Y$6:Y641,0))))</f>
        <v/>
      </c>
      <c r="AB642" s="57" t="str">
        <f>IF(B642="","",COUNTIF(B$6:B642,B642))</f>
        <v/>
      </c>
      <c r="AC642" s="57" t="str">
        <f>IF(B642="","",B642&amp;"#"&amp;AB642)</f>
        <v/>
      </c>
      <c r="AD642" s="57" t="str">
        <f>IF(Z642=1,A642&amp;AA642,"")</f>
        <v/>
      </c>
      <c r="AE642" s="57" t="str">
        <f>IF(B642="","",YEAR(C642))</f>
        <v/>
      </c>
      <c r="AF642" s="57" t="str">
        <f>IF(B642="","",MONTH(C642))</f>
        <v/>
      </c>
      <c r="AG642" s="57">
        <f>IF(ISNUMBER(C642),C642,0)</f>
        <v>0.0</v>
      </c>
      <c r="AH642" s="57" t="str">
        <f>IF(N(W642)&gt;0,COUNTIF(W$6:W642,"&gt;0"),"")</f>
        <v/>
      </c>
      <c r="AI642" s="57" t="str">
        <f>IF(Z642=1,COUNTIF(Z$6:Z642,1),"")</f>
        <v/>
      </c>
    </row>
    <row r="643">
      <c r="A643" s="54" t="n"/>
      <c r="B643" s="55" t="str">
        <f>IF(AA643="","",A643&amp;"-"&amp;RIGHT("000"&amp;AA643,4))</f>
        <v/>
      </c>
      <c r="C643" s="56" t="n"/>
      <c r="D643" s="54" t="n"/>
      <c r="E643" s="57" t="str">
        <f>IF(D643="","",IF(A643="BL",IFERROR(INDEX(cl_name,MATCH(D643,cl_code,0))&amp;"","Client inconnu"),IF(A643="BR",IFERROR(INDEX(fo_name,MATCH(D643,fo_code,0))&amp;"","Fournisseur inconnu"),IF(A643="BS",IF(ISNA(MATCH(D643,p_services,0)),"Service inconnu",D643&amp;""),""))))</f>
        <v/>
      </c>
      <c r="F643" s="58" t="n"/>
      <c r="G643" s="58" t="n"/>
      <c r="H643" s="59" t="n"/>
      <c r="I643" s="57" t="str">
        <f>IF(H643="","",IFERROR(INDEX(art_des,MATCH(H643,art_ref,0))&amp;"","Article inconnu"))</f>
        <v/>
      </c>
      <c r="J643" s="60" t="str">
        <f>IF(H643="","",IFERROR(INDEX(art_unit,MATCH(H643,art_ref,0))&amp;"",""))</f>
        <v/>
      </c>
      <c r="K643" s="59" t="n"/>
      <c r="L643" s="59" t="n"/>
      <c r="M643" s="61" t="str">
        <f>IF(OR(B643="",NOT(ISNUMBER(K643)),NOT(ISNUMBER(L643))),"",IF(OR(K643&lt;=0,L643&lt;=0),"",ROUND(L643-K643,6)))</f>
        <v/>
      </c>
      <c r="N643" s="58" t="n"/>
      <c r="O643" s="62" t="n"/>
      <c r="P643" s="63" t="str">
        <f>IF(OR(B643="",NOT(ISNUMBER(L643))),"",IF(L643&lt;=0,"",IFERROR(ROUND(L643*N(INDEX(art_w,MATCH(H643,art_ref,0))),3),"")))</f>
        <v/>
      </c>
      <c r="Q643" s="59" t="n"/>
      <c r="R643" s="54" t="n"/>
      <c r="S643" s="59" t="n"/>
      <c r="T643" s="59" t="n"/>
      <c r="U643" s="64" t="str">
        <f>IF(OR(B643="",H643=""),"",IFERROR(IF(A643="BL",IF(N(INDEX(art_price,MATCH(H643,art_ref,0)))=0,"",N(INDEX(art_price,MATCH(H643,art_ref,0)))),IF(N(INDEX(art_cost,MATCH(H643,art_ref,0)))=0,"",N(INDEX(art_cost,MATCH(H643,art_ref,0))))),""))</f>
        <v/>
      </c>
      <c r="V643" s="64" t="str">
        <f>IF(OR(U643="",NOT(ISNUMBER(L643))),"",IF(L643&lt;=0,"",ROUND(L643*U643,2)))</f>
        <v/>
      </c>
      <c r="W643" s="60" t="str">
        <f>IF(AND(B643&lt;&gt;"",A643&lt;&gt;"BS",F643&lt;&gt;"",H643&lt;&gt;"",ISNUMBER(K643),ISNUMBER(L643)),IF(AND(K643&gt;0,L643&gt;0,K643-L643&gt;0,COUNTIFS(A644:A$2005,A643,F644:F$2005,F643,H644:H$2005,H643,AA644:AA$2005,"&gt;0")=0),ROUND(K643-L643,6),""),"")</f>
        <v/>
      </c>
      <c r="X643" s="60" t="str">
        <f>IF(AND(A643="",C643="",D643="",H643="",L643=""),"",IF(A643="","Type manquant",IF(AND(A643&lt;&gt;"BL",A643&lt;&gt;"BR",A643&lt;&gt;"BS"),"Type inconnu (BL, BR ou BS)",IF(AG643=0,"Date manquante ou invalide",IF(D643="",IF(A643="BL","Client manquant",IF(A643="BR","Fournisseur manquant","Service manquant")),IF(IF(A643="BL",ISNA(MATCH(D643,cl_code,0)),IF(A643="BR",ISNA(MATCH(D643,fo_code,0)),ISNA(MATCH(D643,p_services,0)))),IF(A643="BL","Client inconnu",IF(A643="BR","Fournisseur inconnu","Service inconnu")),IF(H643="","Article manquant",IF(ISNA(MATCH(H643,art_ref,0)),"Article inconnu",IF(OR(NOT(ISNUMBER(L643)),N(L643)&lt;=0),"Quantité invalide",IF(AND(K643&lt;&gt;"",OR(NOT(ISNUMBER(K643)),N(K643)&lt;=0)),"Qté commandée invalide",IF(AG643&lt;SUMPRODUCT(MAX((A$6:A642=A643)*AG$6:AG642)),"Date antérieure au bon précédent",IF(AND(A643&lt;&gt;"BR",ISNUMBER(M643),N(M643)&gt;0),IF(A643="BL","Livré plus que commandé","Sorti plus que demandé"),"OK"))))))))))))</f>
        <v/>
      </c>
      <c r="Y643" s="57" t="str">
        <f>IF(AND(OR(A643="BL",A643="BR",A643="BS"),AG643&gt;0,D643&lt;&gt;""),A643&amp;"|"&amp;AG643&amp;"|"&amp;D643&amp;"|"&amp;F643,"")</f>
        <v/>
      </c>
      <c r="Z643" s="57" t="str">
        <f>IF(Y643="","",IF(COUNTIF(Y$6:Y642,Y643)=0,1,0))</f>
        <v/>
      </c>
      <c r="AA643" s="57" t="str">
        <f>IF(Y643="","",IF(Z643=1,COUNTIFS(A$6:A643,A643,Z$6:Z643,1),INDEX(AA$6:AA642,MATCH(Y643,Y$6:Y642,0))))</f>
        <v/>
      </c>
      <c r="AB643" s="57" t="str">
        <f>IF(B643="","",COUNTIF(B$6:B643,B643))</f>
        <v/>
      </c>
      <c r="AC643" s="57" t="str">
        <f>IF(B643="","",B643&amp;"#"&amp;AB643)</f>
        <v/>
      </c>
      <c r="AD643" s="57" t="str">
        <f>IF(Z643=1,A643&amp;AA643,"")</f>
        <v/>
      </c>
      <c r="AE643" s="57" t="str">
        <f>IF(B643="","",YEAR(C643))</f>
        <v/>
      </c>
      <c r="AF643" s="57" t="str">
        <f>IF(B643="","",MONTH(C643))</f>
        <v/>
      </c>
      <c r="AG643" s="57">
        <f>IF(ISNUMBER(C643),C643,0)</f>
        <v>0.0</v>
      </c>
      <c r="AH643" s="57" t="str">
        <f>IF(N(W643)&gt;0,COUNTIF(W$6:W643,"&gt;0"),"")</f>
        <v/>
      </c>
      <c r="AI643" s="57" t="str">
        <f>IF(Z643=1,COUNTIF(Z$6:Z643,1),"")</f>
        <v/>
      </c>
    </row>
    <row r="644">
      <c r="A644" s="54" t="n"/>
      <c r="B644" s="55" t="str">
        <f>IF(AA644="","",A644&amp;"-"&amp;RIGHT("000"&amp;AA644,4))</f>
        <v/>
      </c>
      <c r="C644" s="56" t="n"/>
      <c r="D644" s="54" t="n"/>
      <c r="E644" s="57" t="str">
        <f>IF(D644="","",IF(A644="BL",IFERROR(INDEX(cl_name,MATCH(D644,cl_code,0))&amp;"","Client inconnu"),IF(A644="BR",IFERROR(INDEX(fo_name,MATCH(D644,fo_code,0))&amp;"","Fournisseur inconnu"),IF(A644="BS",IF(ISNA(MATCH(D644,p_services,0)),"Service inconnu",D644&amp;""),""))))</f>
        <v/>
      </c>
      <c r="F644" s="58" t="n"/>
      <c r="G644" s="58" t="n"/>
      <c r="H644" s="59" t="n"/>
      <c r="I644" s="57" t="str">
        <f>IF(H644="","",IFERROR(INDEX(art_des,MATCH(H644,art_ref,0))&amp;"","Article inconnu"))</f>
        <v/>
      </c>
      <c r="J644" s="60" t="str">
        <f>IF(H644="","",IFERROR(INDEX(art_unit,MATCH(H644,art_ref,0))&amp;"",""))</f>
        <v/>
      </c>
      <c r="K644" s="59" t="n"/>
      <c r="L644" s="59" t="n"/>
      <c r="M644" s="61" t="str">
        <f>IF(OR(B644="",NOT(ISNUMBER(K644)),NOT(ISNUMBER(L644))),"",IF(OR(K644&lt;=0,L644&lt;=0),"",ROUND(L644-K644,6)))</f>
        <v/>
      </c>
      <c r="N644" s="58" t="n"/>
      <c r="O644" s="62" t="n"/>
      <c r="P644" s="63" t="str">
        <f>IF(OR(B644="",NOT(ISNUMBER(L644))),"",IF(L644&lt;=0,"",IFERROR(ROUND(L644*N(INDEX(art_w,MATCH(H644,art_ref,0))),3),"")))</f>
        <v/>
      </c>
      <c r="Q644" s="59" t="n"/>
      <c r="R644" s="54" t="n"/>
      <c r="S644" s="59" t="n"/>
      <c r="T644" s="59" t="n"/>
      <c r="U644" s="64" t="str">
        <f>IF(OR(B644="",H644=""),"",IFERROR(IF(A644="BL",IF(N(INDEX(art_price,MATCH(H644,art_ref,0)))=0,"",N(INDEX(art_price,MATCH(H644,art_ref,0)))),IF(N(INDEX(art_cost,MATCH(H644,art_ref,0)))=0,"",N(INDEX(art_cost,MATCH(H644,art_ref,0))))),""))</f>
        <v/>
      </c>
      <c r="V644" s="64" t="str">
        <f>IF(OR(U644="",NOT(ISNUMBER(L644))),"",IF(L644&lt;=0,"",ROUND(L644*U644,2)))</f>
        <v/>
      </c>
      <c r="W644" s="60" t="str">
        <f>IF(AND(B644&lt;&gt;"",A644&lt;&gt;"BS",F644&lt;&gt;"",H644&lt;&gt;"",ISNUMBER(K644),ISNUMBER(L644)),IF(AND(K644&gt;0,L644&gt;0,K644-L644&gt;0,COUNTIFS(A645:A$2005,A644,F645:F$2005,F644,H645:H$2005,H644,AA645:AA$2005,"&gt;0")=0),ROUND(K644-L644,6),""),"")</f>
        <v/>
      </c>
      <c r="X644" s="60" t="str">
        <f>IF(AND(A644="",C644="",D644="",H644="",L644=""),"",IF(A644="","Type manquant",IF(AND(A644&lt;&gt;"BL",A644&lt;&gt;"BR",A644&lt;&gt;"BS"),"Type inconnu (BL, BR ou BS)",IF(AG644=0,"Date manquante ou invalide",IF(D644="",IF(A644="BL","Client manquant",IF(A644="BR","Fournisseur manquant","Service manquant")),IF(IF(A644="BL",ISNA(MATCH(D644,cl_code,0)),IF(A644="BR",ISNA(MATCH(D644,fo_code,0)),ISNA(MATCH(D644,p_services,0)))),IF(A644="BL","Client inconnu",IF(A644="BR","Fournisseur inconnu","Service inconnu")),IF(H644="","Article manquant",IF(ISNA(MATCH(H644,art_ref,0)),"Article inconnu",IF(OR(NOT(ISNUMBER(L644)),N(L644)&lt;=0),"Quantité invalide",IF(AND(K644&lt;&gt;"",OR(NOT(ISNUMBER(K644)),N(K644)&lt;=0)),"Qté commandée invalide",IF(AG644&lt;SUMPRODUCT(MAX((A$6:A643=A644)*AG$6:AG643)),"Date antérieure au bon précédent",IF(AND(A644&lt;&gt;"BR",ISNUMBER(M644),N(M644)&gt;0),IF(A644="BL","Livré plus que commandé","Sorti plus que demandé"),"OK"))))))))))))</f>
        <v/>
      </c>
      <c r="Y644" s="57" t="str">
        <f>IF(AND(OR(A644="BL",A644="BR",A644="BS"),AG644&gt;0,D644&lt;&gt;""),A644&amp;"|"&amp;AG644&amp;"|"&amp;D644&amp;"|"&amp;F644,"")</f>
        <v/>
      </c>
      <c r="Z644" s="57" t="str">
        <f>IF(Y644="","",IF(COUNTIF(Y$6:Y643,Y644)=0,1,0))</f>
        <v/>
      </c>
      <c r="AA644" s="57" t="str">
        <f>IF(Y644="","",IF(Z644=1,COUNTIFS(A$6:A644,A644,Z$6:Z644,1),INDEX(AA$6:AA643,MATCH(Y644,Y$6:Y643,0))))</f>
        <v/>
      </c>
      <c r="AB644" s="57" t="str">
        <f>IF(B644="","",COUNTIF(B$6:B644,B644))</f>
        <v/>
      </c>
      <c r="AC644" s="57" t="str">
        <f>IF(B644="","",B644&amp;"#"&amp;AB644)</f>
        <v/>
      </c>
      <c r="AD644" s="57" t="str">
        <f>IF(Z644=1,A644&amp;AA644,"")</f>
        <v/>
      </c>
      <c r="AE644" s="57" t="str">
        <f>IF(B644="","",YEAR(C644))</f>
        <v/>
      </c>
      <c r="AF644" s="57" t="str">
        <f>IF(B644="","",MONTH(C644))</f>
        <v/>
      </c>
      <c r="AG644" s="57">
        <f>IF(ISNUMBER(C644),C644,0)</f>
        <v>0.0</v>
      </c>
      <c r="AH644" s="57" t="str">
        <f>IF(N(W644)&gt;0,COUNTIF(W$6:W644,"&gt;0"),"")</f>
        <v/>
      </c>
      <c r="AI644" s="57" t="str">
        <f>IF(Z644=1,COUNTIF(Z$6:Z644,1),"")</f>
        <v/>
      </c>
    </row>
    <row r="645">
      <c r="A645" s="54" t="n"/>
      <c r="B645" s="55" t="str">
        <f>IF(AA645="","",A645&amp;"-"&amp;RIGHT("000"&amp;AA645,4))</f>
        <v/>
      </c>
      <c r="C645" s="56" t="n"/>
      <c r="D645" s="54" t="n"/>
      <c r="E645" s="57" t="str">
        <f>IF(D645="","",IF(A645="BL",IFERROR(INDEX(cl_name,MATCH(D645,cl_code,0))&amp;"","Client inconnu"),IF(A645="BR",IFERROR(INDEX(fo_name,MATCH(D645,fo_code,0))&amp;"","Fournisseur inconnu"),IF(A645="BS",IF(ISNA(MATCH(D645,p_services,0)),"Service inconnu",D645&amp;""),""))))</f>
        <v/>
      </c>
      <c r="F645" s="58" t="n"/>
      <c r="G645" s="58" t="n"/>
      <c r="H645" s="59" t="n"/>
      <c r="I645" s="57" t="str">
        <f>IF(H645="","",IFERROR(INDEX(art_des,MATCH(H645,art_ref,0))&amp;"","Article inconnu"))</f>
        <v/>
      </c>
      <c r="J645" s="60" t="str">
        <f>IF(H645="","",IFERROR(INDEX(art_unit,MATCH(H645,art_ref,0))&amp;"",""))</f>
        <v/>
      </c>
      <c r="K645" s="59" t="n"/>
      <c r="L645" s="59" t="n"/>
      <c r="M645" s="61" t="str">
        <f>IF(OR(B645="",NOT(ISNUMBER(K645)),NOT(ISNUMBER(L645))),"",IF(OR(K645&lt;=0,L645&lt;=0),"",ROUND(L645-K645,6)))</f>
        <v/>
      </c>
      <c r="N645" s="58" t="n"/>
      <c r="O645" s="62" t="n"/>
      <c r="P645" s="63" t="str">
        <f>IF(OR(B645="",NOT(ISNUMBER(L645))),"",IF(L645&lt;=0,"",IFERROR(ROUND(L645*N(INDEX(art_w,MATCH(H645,art_ref,0))),3),"")))</f>
        <v/>
      </c>
      <c r="Q645" s="59" t="n"/>
      <c r="R645" s="54" t="n"/>
      <c r="S645" s="59" t="n"/>
      <c r="T645" s="59" t="n"/>
      <c r="U645" s="64" t="str">
        <f>IF(OR(B645="",H645=""),"",IFERROR(IF(A645="BL",IF(N(INDEX(art_price,MATCH(H645,art_ref,0)))=0,"",N(INDEX(art_price,MATCH(H645,art_ref,0)))),IF(N(INDEX(art_cost,MATCH(H645,art_ref,0)))=0,"",N(INDEX(art_cost,MATCH(H645,art_ref,0))))),""))</f>
        <v/>
      </c>
      <c r="V645" s="64" t="str">
        <f>IF(OR(U645="",NOT(ISNUMBER(L645))),"",IF(L645&lt;=0,"",ROUND(L645*U645,2)))</f>
        <v/>
      </c>
      <c r="W645" s="60" t="str">
        <f>IF(AND(B645&lt;&gt;"",A645&lt;&gt;"BS",F645&lt;&gt;"",H645&lt;&gt;"",ISNUMBER(K645),ISNUMBER(L645)),IF(AND(K645&gt;0,L645&gt;0,K645-L645&gt;0,COUNTIFS(A646:A$2005,A645,F646:F$2005,F645,H646:H$2005,H645,AA646:AA$2005,"&gt;0")=0),ROUND(K645-L645,6),""),"")</f>
        <v/>
      </c>
      <c r="X645" s="60" t="str">
        <f>IF(AND(A645="",C645="",D645="",H645="",L645=""),"",IF(A645="","Type manquant",IF(AND(A645&lt;&gt;"BL",A645&lt;&gt;"BR",A645&lt;&gt;"BS"),"Type inconnu (BL, BR ou BS)",IF(AG645=0,"Date manquante ou invalide",IF(D645="",IF(A645="BL","Client manquant",IF(A645="BR","Fournisseur manquant","Service manquant")),IF(IF(A645="BL",ISNA(MATCH(D645,cl_code,0)),IF(A645="BR",ISNA(MATCH(D645,fo_code,0)),ISNA(MATCH(D645,p_services,0)))),IF(A645="BL","Client inconnu",IF(A645="BR","Fournisseur inconnu","Service inconnu")),IF(H645="","Article manquant",IF(ISNA(MATCH(H645,art_ref,0)),"Article inconnu",IF(OR(NOT(ISNUMBER(L645)),N(L645)&lt;=0),"Quantité invalide",IF(AND(K645&lt;&gt;"",OR(NOT(ISNUMBER(K645)),N(K645)&lt;=0)),"Qté commandée invalide",IF(AG645&lt;SUMPRODUCT(MAX((A$6:A644=A645)*AG$6:AG644)),"Date antérieure au bon précédent",IF(AND(A645&lt;&gt;"BR",ISNUMBER(M645),N(M645)&gt;0),IF(A645="BL","Livré plus que commandé","Sorti plus que demandé"),"OK"))))))))))))</f>
        <v/>
      </c>
      <c r="Y645" s="57" t="str">
        <f>IF(AND(OR(A645="BL",A645="BR",A645="BS"),AG645&gt;0,D645&lt;&gt;""),A645&amp;"|"&amp;AG645&amp;"|"&amp;D645&amp;"|"&amp;F645,"")</f>
        <v/>
      </c>
      <c r="Z645" s="57" t="str">
        <f>IF(Y645="","",IF(COUNTIF(Y$6:Y644,Y645)=0,1,0))</f>
        <v/>
      </c>
      <c r="AA645" s="57" t="str">
        <f>IF(Y645="","",IF(Z645=1,COUNTIFS(A$6:A645,A645,Z$6:Z645,1),INDEX(AA$6:AA644,MATCH(Y645,Y$6:Y644,0))))</f>
        <v/>
      </c>
      <c r="AB645" s="57" t="str">
        <f>IF(B645="","",COUNTIF(B$6:B645,B645))</f>
        <v/>
      </c>
      <c r="AC645" s="57" t="str">
        <f>IF(B645="","",B645&amp;"#"&amp;AB645)</f>
        <v/>
      </c>
      <c r="AD645" s="57" t="str">
        <f>IF(Z645=1,A645&amp;AA645,"")</f>
        <v/>
      </c>
      <c r="AE645" s="57" t="str">
        <f>IF(B645="","",YEAR(C645))</f>
        <v/>
      </c>
      <c r="AF645" s="57" t="str">
        <f>IF(B645="","",MONTH(C645))</f>
        <v/>
      </c>
      <c r="AG645" s="57">
        <f>IF(ISNUMBER(C645),C645,0)</f>
        <v>0.0</v>
      </c>
      <c r="AH645" s="57" t="str">
        <f>IF(N(W645)&gt;0,COUNTIF(W$6:W645,"&gt;0"),"")</f>
        <v/>
      </c>
      <c r="AI645" s="57" t="str">
        <f>IF(Z645=1,COUNTIF(Z$6:Z645,1),"")</f>
        <v/>
      </c>
    </row>
    <row r="646">
      <c r="A646" s="54" t="n"/>
      <c r="B646" s="55" t="str">
        <f>IF(AA646="","",A646&amp;"-"&amp;RIGHT("000"&amp;AA646,4))</f>
        <v/>
      </c>
      <c r="C646" s="56" t="n"/>
      <c r="D646" s="54" t="n"/>
      <c r="E646" s="57" t="str">
        <f>IF(D646="","",IF(A646="BL",IFERROR(INDEX(cl_name,MATCH(D646,cl_code,0))&amp;"","Client inconnu"),IF(A646="BR",IFERROR(INDEX(fo_name,MATCH(D646,fo_code,0))&amp;"","Fournisseur inconnu"),IF(A646="BS",IF(ISNA(MATCH(D646,p_services,0)),"Service inconnu",D646&amp;""),""))))</f>
        <v/>
      </c>
      <c r="F646" s="58" t="n"/>
      <c r="G646" s="58" t="n"/>
      <c r="H646" s="59" t="n"/>
      <c r="I646" s="57" t="str">
        <f>IF(H646="","",IFERROR(INDEX(art_des,MATCH(H646,art_ref,0))&amp;"","Article inconnu"))</f>
        <v/>
      </c>
      <c r="J646" s="60" t="str">
        <f>IF(H646="","",IFERROR(INDEX(art_unit,MATCH(H646,art_ref,0))&amp;"",""))</f>
        <v/>
      </c>
      <c r="K646" s="59" t="n"/>
      <c r="L646" s="59" t="n"/>
      <c r="M646" s="61" t="str">
        <f>IF(OR(B646="",NOT(ISNUMBER(K646)),NOT(ISNUMBER(L646))),"",IF(OR(K646&lt;=0,L646&lt;=0),"",ROUND(L646-K646,6)))</f>
        <v/>
      </c>
      <c r="N646" s="58" t="n"/>
      <c r="O646" s="62" t="n"/>
      <c r="P646" s="63" t="str">
        <f>IF(OR(B646="",NOT(ISNUMBER(L646))),"",IF(L646&lt;=0,"",IFERROR(ROUND(L646*N(INDEX(art_w,MATCH(H646,art_ref,0))),3),"")))</f>
        <v/>
      </c>
      <c r="Q646" s="59" t="n"/>
      <c r="R646" s="54" t="n"/>
      <c r="S646" s="59" t="n"/>
      <c r="T646" s="59" t="n"/>
      <c r="U646" s="64" t="str">
        <f>IF(OR(B646="",H646=""),"",IFERROR(IF(A646="BL",IF(N(INDEX(art_price,MATCH(H646,art_ref,0)))=0,"",N(INDEX(art_price,MATCH(H646,art_ref,0)))),IF(N(INDEX(art_cost,MATCH(H646,art_ref,0)))=0,"",N(INDEX(art_cost,MATCH(H646,art_ref,0))))),""))</f>
        <v/>
      </c>
      <c r="V646" s="64" t="str">
        <f>IF(OR(U646="",NOT(ISNUMBER(L646))),"",IF(L646&lt;=0,"",ROUND(L646*U646,2)))</f>
        <v/>
      </c>
      <c r="W646" s="60" t="str">
        <f>IF(AND(B646&lt;&gt;"",A646&lt;&gt;"BS",F646&lt;&gt;"",H646&lt;&gt;"",ISNUMBER(K646),ISNUMBER(L646)),IF(AND(K646&gt;0,L646&gt;0,K646-L646&gt;0,COUNTIFS(A647:A$2005,A646,F647:F$2005,F646,H647:H$2005,H646,AA647:AA$2005,"&gt;0")=0),ROUND(K646-L646,6),""),"")</f>
        <v/>
      </c>
      <c r="X646" s="60" t="str">
        <f>IF(AND(A646="",C646="",D646="",H646="",L646=""),"",IF(A646="","Type manquant",IF(AND(A646&lt;&gt;"BL",A646&lt;&gt;"BR",A646&lt;&gt;"BS"),"Type inconnu (BL, BR ou BS)",IF(AG646=0,"Date manquante ou invalide",IF(D646="",IF(A646="BL","Client manquant",IF(A646="BR","Fournisseur manquant","Service manquant")),IF(IF(A646="BL",ISNA(MATCH(D646,cl_code,0)),IF(A646="BR",ISNA(MATCH(D646,fo_code,0)),ISNA(MATCH(D646,p_services,0)))),IF(A646="BL","Client inconnu",IF(A646="BR","Fournisseur inconnu","Service inconnu")),IF(H646="","Article manquant",IF(ISNA(MATCH(H646,art_ref,0)),"Article inconnu",IF(OR(NOT(ISNUMBER(L646)),N(L646)&lt;=0),"Quantité invalide",IF(AND(K646&lt;&gt;"",OR(NOT(ISNUMBER(K646)),N(K646)&lt;=0)),"Qté commandée invalide",IF(AG646&lt;SUMPRODUCT(MAX((A$6:A645=A646)*AG$6:AG645)),"Date antérieure au bon précédent",IF(AND(A646&lt;&gt;"BR",ISNUMBER(M646),N(M646)&gt;0),IF(A646="BL","Livré plus que commandé","Sorti plus que demandé"),"OK"))))))))))))</f>
        <v/>
      </c>
      <c r="Y646" s="57" t="str">
        <f>IF(AND(OR(A646="BL",A646="BR",A646="BS"),AG646&gt;0,D646&lt;&gt;""),A646&amp;"|"&amp;AG646&amp;"|"&amp;D646&amp;"|"&amp;F646,"")</f>
        <v/>
      </c>
      <c r="Z646" s="57" t="str">
        <f>IF(Y646="","",IF(COUNTIF(Y$6:Y645,Y646)=0,1,0))</f>
        <v/>
      </c>
      <c r="AA646" s="57" t="str">
        <f>IF(Y646="","",IF(Z646=1,COUNTIFS(A$6:A646,A646,Z$6:Z646,1),INDEX(AA$6:AA645,MATCH(Y646,Y$6:Y645,0))))</f>
        <v/>
      </c>
      <c r="AB646" s="57" t="str">
        <f>IF(B646="","",COUNTIF(B$6:B646,B646))</f>
        <v/>
      </c>
      <c r="AC646" s="57" t="str">
        <f>IF(B646="","",B646&amp;"#"&amp;AB646)</f>
        <v/>
      </c>
      <c r="AD646" s="57" t="str">
        <f>IF(Z646=1,A646&amp;AA646,"")</f>
        <v/>
      </c>
      <c r="AE646" s="57" t="str">
        <f>IF(B646="","",YEAR(C646))</f>
        <v/>
      </c>
      <c r="AF646" s="57" t="str">
        <f>IF(B646="","",MONTH(C646))</f>
        <v/>
      </c>
      <c r="AG646" s="57">
        <f>IF(ISNUMBER(C646),C646,0)</f>
        <v>0.0</v>
      </c>
      <c r="AH646" s="57" t="str">
        <f>IF(N(W646)&gt;0,COUNTIF(W$6:W646,"&gt;0"),"")</f>
        <v/>
      </c>
      <c r="AI646" s="57" t="str">
        <f>IF(Z646=1,COUNTIF(Z$6:Z646,1),"")</f>
        <v/>
      </c>
    </row>
    <row r="647">
      <c r="A647" s="54" t="n"/>
      <c r="B647" s="55" t="str">
        <f>IF(AA647="","",A647&amp;"-"&amp;RIGHT("000"&amp;AA647,4))</f>
        <v/>
      </c>
      <c r="C647" s="56" t="n"/>
      <c r="D647" s="54" t="n"/>
      <c r="E647" s="57" t="str">
        <f>IF(D647="","",IF(A647="BL",IFERROR(INDEX(cl_name,MATCH(D647,cl_code,0))&amp;"","Client inconnu"),IF(A647="BR",IFERROR(INDEX(fo_name,MATCH(D647,fo_code,0))&amp;"","Fournisseur inconnu"),IF(A647="BS",IF(ISNA(MATCH(D647,p_services,0)),"Service inconnu",D647&amp;""),""))))</f>
        <v/>
      </c>
      <c r="F647" s="58" t="n"/>
      <c r="G647" s="58" t="n"/>
      <c r="H647" s="59" t="n"/>
      <c r="I647" s="57" t="str">
        <f>IF(H647="","",IFERROR(INDEX(art_des,MATCH(H647,art_ref,0))&amp;"","Article inconnu"))</f>
        <v/>
      </c>
      <c r="J647" s="60" t="str">
        <f>IF(H647="","",IFERROR(INDEX(art_unit,MATCH(H647,art_ref,0))&amp;"",""))</f>
        <v/>
      </c>
      <c r="K647" s="59" t="n"/>
      <c r="L647" s="59" t="n"/>
      <c r="M647" s="61" t="str">
        <f>IF(OR(B647="",NOT(ISNUMBER(K647)),NOT(ISNUMBER(L647))),"",IF(OR(K647&lt;=0,L647&lt;=0),"",ROUND(L647-K647,6)))</f>
        <v/>
      </c>
      <c r="N647" s="58" t="n"/>
      <c r="O647" s="62" t="n"/>
      <c r="P647" s="63" t="str">
        <f>IF(OR(B647="",NOT(ISNUMBER(L647))),"",IF(L647&lt;=0,"",IFERROR(ROUND(L647*N(INDEX(art_w,MATCH(H647,art_ref,0))),3),"")))</f>
        <v/>
      </c>
      <c r="Q647" s="59" t="n"/>
      <c r="R647" s="54" t="n"/>
      <c r="S647" s="59" t="n"/>
      <c r="T647" s="59" t="n"/>
      <c r="U647" s="64" t="str">
        <f>IF(OR(B647="",H647=""),"",IFERROR(IF(A647="BL",IF(N(INDEX(art_price,MATCH(H647,art_ref,0)))=0,"",N(INDEX(art_price,MATCH(H647,art_ref,0)))),IF(N(INDEX(art_cost,MATCH(H647,art_ref,0)))=0,"",N(INDEX(art_cost,MATCH(H647,art_ref,0))))),""))</f>
        <v/>
      </c>
      <c r="V647" s="64" t="str">
        <f>IF(OR(U647="",NOT(ISNUMBER(L647))),"",IF(L647&lt;=0,"",ROUND(L647*U647,2)))</f>
        <v/>
      </c>
      <c r="W647" s="60" t="str">
        <f>IF(AND(B647&lt;&gt;"",A647&lt;&gt;"BS",F647&lt;&gt;"",H647&lt;&gt;"",ISNUMBER(K647),ISNUMBER(L647)),IF(AND(K647&gt;0,L647&gt;0,K647-L647&gt;0,COUNTIFS(A648:A$2005,A647,F648:F$2005,F647,H648:H$2005,H647,AA648:AA$2005,"&gt;0")=0),ROUND(K647-L647,6),""),"")</f>
        <v/>
      </c>
      <c r="X647" s="60" t="str">
        <f>IF(AND(A647="",C647="",D647="",H647="",L647=""),"",IF(A647="","Type manquant",IF(AND(A647&lt;&gt;"BL",A647&lt;&gt;"BR",A647&lt;&gt;"BS"),"Type inconnu (BL, BR ou BS)",IF(AG647=0,"Date manquante ou invalide",IF(D647="",IF(A647="BL","Client manquant",IF(A647="BR","Fournisseur manquant","Service manquant")),IF(IF(A647="BL",ISNA(MATCH(D647,cl_code,0)),IF(A647="BR",ISNA(MATCH(D647,fo_code,0)),ISNA(MATCH(D647,p_services,0)))),IF(A647="BL","Client inconnu",IF(A647="BR","Fournisseur inconnu","Service inconnu")),IF(H647="","Article manquant",IF(ISNA(MATCH(H647,art_ref,0)),"Article inconnu",IF(OR(NOT(ISNUMBER(L647)),N(L647)&lt;=0),"Quantité invalide",IF(AND(K647&lt;&gt;"",OR(NOT(ISNUMBER(K647)),N(K647)&lt;=0)),"Qté commandée invalide",IF(AG647&lt;SUMPRODUCT(MAX((A$6:A646=A647)*AG$6:AG646)),"Date antérieure au bon précédent",IF(AND(A647&lt;&gt;"BR",ISNUMBER(M647),N(M647)&gt;0),IF(A647="BL","Livré plus que commandé","Sorti plus que demandé"),"OK"))))))))))))</f>
        <v/>
      </c>
      <c r="Y647" s="57" t="str">
        <f>IF(AND(OR(A647="BL",A647="BR",A647="BS"),AG647&gt;0,D647&lt;&gt;""),A647&amp;"|"&amp;AG647&amp;"|"&amp;D647&amp;"|"&amp;F647,"")</f>
        <v/>
      </c>
      <c r="Z647" s="57" t="str">
        <f>IF(Y647="","",IF(COUNTIF(Y$6:Y646,Y647)=0,1,0))</f>
        <v/>
      </c>
      <c r="AA647" s="57" t="str">
        <f>IF(Y647="","",IF(Z647=1,COUNTIFS(A$6:A647,A647,Z$6:Z647,1),INDEX(AA$6:AA646,MATCH(Y647,Y$6:Y646,0))))</f>
        <v/>
      </c>
      <c r="AB647" s="57" t="str">
        <f>IF(B647="","",COUNTIF(B$6:B647,B647))</f>
        <v/>
      </c>
      <c r="AC647" s="57" t="str">
        <f>IF(B647="","",B647&amp;"#"&amp;AB647)</f>
        <v/>
      </c>
      <c r="AD647" s="57" t="str">
        <f>IF(Z647=1,A647&amp;AA647,"")</f>
        <v/>
      </c>
      <c r="AE647" s="57" t="str">
        <f>IF(B647="","",YEAR(C647))</f>
        <v/>
      </c>
      <c r="AF647" s="57" t="str">
        <f>IF(B647="","",MONTH(C647))</f>
        <v/>
      </c>
      <c r="AG647" s="57">
        <f>IF(ISNUMBER(C647),C647,0)</f>
        <v>0.0</v>
      </c>
      <c r="AH647" s="57" t="str">
        <f>IF(N(W647)&gt;0,COUNTIF(W$6:W647,"&gt;0"),"")</f>
        <v/>
      </c>
      <c r="AI647" s="57" t="str">
        <f>IF(Z647=1,COUNTIF(Z$6:Z647,1),"")</f>
        <v/>
      </c>
    </row>
    <row r="648">
      <c r="A648" s="54" t="n"/>
      <c r="B648" s="55" t="str">
        <f>IF(AA648="","",A648&amp;"-"&amp;RIGHT("000"&amp;AA648,4))</f>
        <v/>
      </c>
      <c r="C648" s="56" t="n"/>
      <c r="D648" s="54" t="n"/>
      <c r="E648" s="57" t="str">
        <f>IF(D648="","",IF(A648="BL",IFERROR(INDEX(cl_name,MATCH(D648,cl_code,0))&amp;"","Client inconnu"),IF(A648="BR",IFERROR(INDEX(fo_name,MATCH(D648,fo_code,0))&amp;"","Fournisseur inconnu"),IF(A648="BS",IF(ISNA(MATCH(D648,p_services,0)),"Service inconnu",D648&amp;""),""))))</f>
        <v/>
      </c>
      <c r="F648" s="58" t="n"/>
      <c r="G648" s="58" t="n"/>
      <c r="H648" s="59" t="n"/>
      <c r="I648" s="57" t="str">
        <f>IF(H648="","",IFERROR(INDEX(art_des,MATCH(H648,art_ref,0))&amp;"","Article inconnu"))</f>
        <v/>
      </c>
      <c r="J648" s="60" t="str">
        <f>IF(H648="","",IFERROR(INDEX(art_unit,MATCH(H648,art_ref,0))&amp;"",""))</f>
        <v/>
      </c>
      <c r="K648" s="59" t="n"/>
      <c r="L648" s="59" t="n"/>
      <c r="M648" s="61" t="str">
        <f>IF(OR(B648="",NOT(ISNUMBER(K648)),NOT(ISNUMBER(L648))),"",IF(OR(K648&lt;=0,L648&lt;=0),"",ROUND(L648-K648,6)))</f>
        <v/>
      </c>
      <c r="N648" s="58" t="n"/>
      <c r="O648" s="62" t="n"/>
      <c r="P648" s="63" t="str">
        <f>IF(OR(B648="",NOT(ISNUMBER(L648))),"",IF(L648&lt;=0,"",IFERROR(ROUND(L648*N(INDEX(art_w,MATCH(H648,art_ref,0))),3),"")))</f>
        <v/>
      </c>
      <c r="Q648" s="59" t="n"/>
      <c r="R648" s="54" t="n"/>
      <c r="S648" s="59" t="n"/>
      <c r="T648" s="59" t="n"/>
      <c r="U648" s="64" t="str">
        <f>IF(OR(B648="",H648=""),"",IFERROR(IF(A648="BL",IF(N(INDEX(art_price,MATCH(H648,art_ref,0)))=0,"",N(INDEX(art_price,MATCH(H648,art_ref,0)))),IF(N(INDEX(art_cost,MATCH(H648,art_ref,0)))=0,"",N(INDEX(art_cost,MATCH(H648,art_ref,0))))),""))</f>
        <v/>
      </c>
      <c r="V648" s="64" t="str">
        <f>IF(OR(U648="",NOT(ISNUMBER(L648))),"",IF(L648&lt;=0,"",ROUND(L648*U648,2)))</f>
        <v/>
      </c>
      <c r="W648" s="60" t="str">
        <f>IF(AND(B648&lt;&gt;"",A648&lt;&gt;"BS",F648&lt;&gt;"",H648&lt;&gt;"",ISNUMBER(K648),ISNUMBER(L648)),IF(AND(K648&gt;0,L648&gt;0,K648-L648&gt;0,COUNTIFS(A649:A$2005,A648,F649:F$2005,F648,H649:H$2005,H648,AA649:AA$2005,"&gt;0")=0),ROUND(K648-L648,6),""),"")</f>
        <v/>
      </c>
      <c r="X648" s="60" t="str">
        <f>IF(AND(A648="",C648="",D648="",H648="",L648=""),"",IF(A648="","Type manquant",IF(AND(A648&lt;&gt;"BL",A648&lt;&gt;"BR",A648&lt;&gt;"BS"),"Type inconnu (BL, BR ou BS)",IF(AG648=0,"Date manquante ou invalide",IF(D648="",IF(A648="BL","Client manquant",IF(A648="BR","Fournisseur manquant","Service manquant")),IF(IF(A648="BL",ISNA(MATCH(D648,cl_code,0)),IF(A648="BR",ISNA(MATCH(D648,fo_code,0)),ISNA(MATCH(D648,p_services,0)))),IF(A648="BL","Client inconnu",IF(A648="BR","Fournisseur inconnu","Service inconnu")),IF(H648="","Article manquant",IF(ISNA(MATCH(H648,art_ref,0)),"Article inconnu",IF(OR(NOT(ISNUMBER(L648)),N(L648)&lt;=0),"Quantité invalide",IF(AND(K648&lt;&gt;"",OR(NOT(ISNUMBER(K648)),N(K648)&lt;=0)),"Qté commandée invalide",IF(AG648&lt;SUMPRODUCT(MAX((A$6:A647=A648)*AG$6:AG647)),"Date antérieure au bon précédent",IF(AND(A648&lt;&gt;"BR",ISNUMBER(M648),N(M648)&gt;0),IF(A648="BL","Livré plus que commandé","Sorti plus que demandé"),"OK"))))))))))))</f>
        <v/>
      </c>
      <c r="Y648" s="57" t="str">
        <f>IF(AND(OR(A648="BL",A648="BR",A648="BS"),AG648&gt;0,D648&lt;&gt;""),A648&amp;"|"&amp;AG648&amp;"|"&amp;D648&amp;"|"&amp;F648,"")</f>
        <v/>
      </c>
      <c r="Z648" s="57" t="str">
        <f>IF(Y648="","",IF(COUNTIF(Y$6:Y647,Y648)=0,1,0))</f>
        <v/>
      </c>
      <c r="AA648" s="57" t="str">
        <f>IF(Y648="","",IF(Z648=1,COUNTIFS(A$6:A648,A648,Z$6:Z648,1),INDEX(AA$6:AA647,MATCH(Y648,Y$6:Y647,0))))</f>
        <v/>
      </c>
      <c r="AB648" s="57" t="str">
        <f>IF(B648="","",COUNTIF(B$6:B648,B648))</f>
        <v/>
      </c>
      <c r="AC648" s="57" t="str">
        <f>IF(B648="","",B648&amp;"#"&amp;AB648)</f>
        <v/>
      </c>
      <c r="AD648" s="57" t="str">
        <f>IF(Z648=1,A648&amp;AA648,"")</f>
        <v/>
      </c>
      <c r="AE648" s="57" t="str">
        <f>IF(B648="","",YEAR(C648))</f>
        <v/>
      </c>
      <c r="AF648" s="57" t="str">
        <f>IF(B648="","",MONTH(C648))</f>
        <v/>
      </c>
      <c r="AG648" s="57">
        <f>IF(ISNUMBER(C648),C648,0)</f>
        <v>0.0</v>
      </c>
      <c r="AH648" s="57" t="str">
        <f>IF(N(W648)&gt;0,COUNTIF(W$6:W648,"&gt;0"),"")</f>
        <v/>
      </c>
      <c r="AI648" s="57" t="str">
        <f>IF(Z648=1,COUNTIF(Z$6:Z648,1),"")</f>
        <v/>
      </c>
    </row>
    <row r="649">
      <c r="A649" s="54" t="n"/>
      <c r="B649" s="55" t="str">
        <f>IF(AA649="","",A649&amp;"-"&amp;RIGHT("000"&amp;AA649,4))</f>
        <v/>
      </c>
      <c r="C649" s="56" t="n"/>
      <c r="D649" s="54" t="n"/>
      <c r="E649" s="57" t="str">
        <f>IF(D649="","",IF(A649="BL",IFERROR(INDEX(cl_name,MATCH(D649,cl_code,0))&amp;"","Client inconnu"),IF(A649="BR",IFERROR(INDEX(fo_name,MATCH(D649,fo_code,0))&amp;"","Fournisseur inconnu"),IF(A649="BS",IF(ISNA(MATCH(D649,p_services,0)),"Service inconnu",D649&amp;""),""))))</f>
        <v/>
      </c>
      <c r="F649" s="58" t="n"/>
      <c r="G649" s="58" t="n"/>
      <c r="H649" s="59" t="n"/>
      <c r="I649" s="57" t="str">
        <f>IF(H649="","",IFERROR(INDEX(art_des,MATCH(H649,art_ref,0))&amp;"","Article inconnu"))</f>
        <v/>
      </c>
      <c r="J649" s="60" t="str">
        <f>IF(H649="","",IFERROR(INDEX(art_unit,MATCH(H649,art_ref,0))&amp;"",""))</f>
        <v/>
      </c>
      <c r="K649" s="59" t="n"/>
      <c r="L649" s="59" t="n"/>
      <c r="M649" s="61" t="str">
        <f>IF(OR(B649="",NOT(ISNUMBER(K649)),NOT(ISNUMBER(L649))),"",IF(OR(K649&lt;=0,L649&lt;=0),"",ROUND(L649-K649,6)))</f>
        <v/>
      </c>
      <c r="N649" s="58" t="n"/>
      <c r="O649" s="62" t="n"/>
      <c r="P649" s="63" t="str">
        <f>IF(OR(B649="",NOT(ISNUMBER(L649))),"",IF(L649&lt;=0,"",IFERROR(ROUND(L649*N(INDEX(art_w,MATCH(H649,art_ref,0))),3),"")))</f>
        <v/>
      </c>
      <c r="Q649" s="59" t="n"/>
      <c r="R649" s="54" t="n"/>
      <c r="S649" s="59" t="n"/>
      <c r="T649" s="59" t="n"/>
      <c r="U649" s="64" t="str">
        <f>IF(OR(B649="",H649=""),"",IFERROR(IF(A649="BL",IF(N(INDEX(art_price,MATCH(H649,art_ref,0)))=0,"",N(INDEX(art_price,MATCH(H649,art_ref,0)))),IF(N(INDEX(art_cost,MATCH(H649,art_ref,0)))=0,"",N(INDEX(art_cost,MATCH(H649,art_ref,0))))),""))</f>
        <v/>
      </c>
      <c r="V649" s="64" t="str">
        <f>IF(OR(U649="",NOT(ISNUMBER(L649))),"",IF(L649&lt;=0,"",ROUND(L649*U649,2)))</f>
        <v/>
      </c>
      <c r="W649" s="60" t="str">
        <f>IF(AND(B649&lt;&gt;"",A649&lt;&gt;"BS",F649&lt;&gt;"",H649&lt;&gt;"",ISNUMBER(K649),ISNUMBER(L649)),IF(AND(K649&gt;0,L649&gt;0,K649-L649&gt;0,COUNTIFS(A650:A$2005,A649,F650:F$2005,F649,H650:H$2005,H649,AA650:AA$2005,"&gt;0")=0),ROUND(K649-L649,6),""),"")</f>
        <v/>
      </c>
      <c r="X649" s="60" t="str">
        <f>IF(AND(A649="",C649="",D649="",H649="",L649=""),"",IF(A649="","Type manquant",IF(AND(A649&lt;&gt;"BL",A649&lt;&gt;"BR",A649&lt;&gt;"BS"),"Type inconnu (BL, BR ou BS)",IF(AG649=0,"Date manquante ou invalide",IF(D649="",IF(A649="BL","Client manquant",IF(A649="BR","Fournisseur manquant","Service manquant")),IF(IF(A649="BL",ISNA(MATCH(D649,cl_code,0)),IF(A649="BR",ISNA(MATCH(D649,fo_code,0)),ISNA(MATCH(D649,p_services,0)))),IF(A649="BL","Client inconnu",IF(A649="BR","Fournisseur inconnu","Service inconnu")),IF(H649="","Article manquant",IF(ISNA(MATCH(H649,art_ref,0)),"Article inconnu",IF(OR(NOT(ISNUMBER(L649)),N(L649)&lt;=0),"Quantité invalide",IF(AND(K649&lt;&gt;"",OR(NOT(ISNUMBER(K649)),N(K649)&lt;=0)),"Qté commandée invalide",IF(AG649&lt;SUMPRODUCT(MAX((A$6:A648=A649)*AG$6:AG648)),"Date antérieure au bon précédent",IF(AND(A649&lt;&gt;"BR",ISNUMBER(M649),N(M649)&gt;0),IF(A649="BL","Livré plus que commandé","Sorti plus que demandé"),"OK"))))))))))))</f>
        <v/>
      </c>
      <c r="Y649" s="57" t="str">
        <f>IF(AND(OR(A649="BL",A649="BR",A649="BS"),AG649&gt;0,D649&lt;&gt;""),A649&amp;"|"&amp;AG649&amp;"|"&amp;D649&amp;"|"&amp;F649,"")</f>
        <v/>
      </c>
      <c r="Z649" s="57" t="str">
        <f>IF(Y649="","",IF(COUNTIF(Y$6:Y648,Y649)=0,1,0))</f>
        <v/>
      </c>
      <c r="AA649" s="57" t="str">
        <f>IF(Y649="","",IF(Z649=1,COUNTIFS(A$6:A649,A649,Z$6:Z649,1),INDEX(AA$6:AA648,MATCH(Y649,Y$6:Y648,0))))</f>
        <v/>
      </c>
      <c r="AB649" s="57" t="str">
        <f>IF(B649="","",COUNTIF(B$6:B649,B649))</f>
        <v/>
      </c>
      <c r="AC649" s="57" t="str">
        <f>IF(B649="","",B649&amp;"#"&amp;AB649)</f>
        <v/>
      </c>
      <c r="AD649" s="57" t="str">
        <f>IF(Z649=1,A649&amp;AA649,"")</f>
        <v/>
      </c>
      <c r="AE649" s="57" t="str">
        <f>IF(B649="","",YEAR(C649))</f>
        <v/>
      </c>
      <c r="AF649" s="57" t="str">
        <f>IF(B649="","",MONTH(C649))</f>
        <v/>
      </c>
      <c r="AG649" s="57">
        <f>IF(ISNUMBER(C649),C649,0)</f>
        <v>0.0</v>
      </c>
      <c r="AH649" s="57" t="str">
        <f>IF(N(W649)&gt;0,COUNTIF(W$6:W649,"&gt;0"),"")</f>
        <v/>
      </c>
      <c r="AI649" s="57" t="str">
        <f>IF(Z649=1,COUNTIF(Z$6:Z649,1),"")</f>
        <v/>
      </c>
    </row>
    <row r="650">
      <c r="A650" s="54" t="n"/>
      <c r="B650" s="55" t="str">
        <f>IF(AA650="","",A650&amp;"-"&amp;RIGHT("000"&amp;AA650,4))</f>
        <v/>
      </c>
      <c r="C650" s="56" t="n"/>
      <c r="D650" s="54" t="n"/>
      <c r="E650" s="57" t="str">
        <f>IF(D650="","",IF(A650="BL",IFERROR(INDEX(cl_name,MATCH(D650,cl_code,0))&amp;"","Client inconnu"),IF(A650="BR",IFERROR(INDEX(fo_name,MATCH(D650,fo_code,0))&amp;"","Fournisseur inconnu"),IF(A650="BS",IF(ISNA(MATCH(D650,p_services,0)),"Service inconnu",D650&amp;""),""))))</f>
        <v/>
      </c>
      <c r="F650" s="58" t="n"/>
      <c r="G650" s="58" t="n"/>
      <c r="H650" s="59" t="n"/>
      <c r="I650" s="57" t="str">
        <f>IF(H650="","",IFERROR(INDEX(art_des,MATCH(H650,art_ref,0))&amp;"","Article inconnu"))</f>
        <v/>
      </c>
      <c r="J650" s="60" t="str">
        <f>IF(H650="","",IFERROR(INDEX(art_unit,MATCH(H650,art_ref,0))&amp;"",""))</f>
        <v/>
      </c>
      <c r="K650" s="59" t="n"/>
      <c r="L650" s="59" t="n"/>
      <c r="M650" s="61" t="str">
        <f>IF(OR(B650="",NOT(ISNUMBER(K650)),NOT(ISNUMBER(L650))),"",IF(OR(K650&lt;=0,L650&lt;=0),"",ROUND(L650-K650,6)))</f>
        <v/>
      </c>
      <c r="N650" s="58" t="n"/>
      <c r="O650" s="62" t="n"/>
      <c r="P650" s="63" t="str">
        <f>IF(OR(B650="",NOT(ISNUMBER(L650))),"",IF(L650&lt;=0,"",IFERROR(ROUND(L650*N(INDEX(art_w,MATCH(H650,art_ref,0))),3),"")))</f>
        <v/>
      </c>
      <c r="Q650" s="59" t="n"/>
      <c r="R650" s="54" t="n"/>
      <c r="S650" s="59" t="n"/>
      <c r="T650" s="59" t="n"/>
      <c r="U650" s="64" t="str">
        <f>IF(OR(B650="",H650=""),"",IFERROR(IF(A650="BL",IF(N(INDEX(art_price,MATCH(H650,art_ref,0)))=0,"",N(INDEX(art_price,MATCH(H650,art_ref,0)))),IF(N(INDEX(art_cost,MATCH(H650,art_ref,0)))=0,"",N(INDEX(art_cost,MATCH(H650,art_ref,0))))),""))</f>
        <v/>
      </c>
      <c r="V650" s="64" t="str">
        <f>IF(OR(U650="",NOT(ISNUMBER(L650))),"",IF(L650&lt;=0,"",ROUND(L650*U650,2)))</f>
        <v/>
      </c>
      <c r="W650" s="60" t="str">
        <f>IF(AND(B650&lt;&gt;"",A650&lt;&gt;"BS",F650&lt;&gt;"",H650&lt;&gt;"",ISNUMBER(K650),ISNUMBER(L650)),IF(AND(K650&gt;0,L650&gt;0,K650-L650&gt;0,COUNTIFS(A651:A$2005,A650,F651:F$2005,F650,H651:H$2005,H650,AA651:AA$2005,"&gt;0")=0),ROUND(K650-L650,6),""),"")</f>
        <v/>
      </c>
      <c r="X650" s="60" t="str">
        <f>IF(AND(A650="",C650="",D650="",H650="",L650=""),"",IF(A650="","Type manquant",IF(AND(A650&lt;&gt;"BL",A650&lt;&gt;"BR",A650&lt;&gt;"BS"),"Type inconnu (BL, BR ou BS)",IF(AG650=0,"Date manquante ou invalide",IF(D650="",IF(A650="BL","Client manquant",IF(A650="BR","Fournisseur manquant","Service manquant")),IF(IF(A650="BL",ISNA(MATCH(D650,cl_code,0)),IF(A650="BR",ISNA(MATCH(D650,fo_code,0)),ISNA(MATCH(D650,p_services,0)))),IF(A650="BL","Client inconnu",IF(A650="BR","Fournisseur inconnu","Service inconnu")),IF(H650="","Article manquant",IF(ISNA(MATCH(H650,art_ref,0)),"Article inconnu",IF(OR(NOT(ISNUMBER(L650)),N(L650)&lt;=0),"Quantité invalide",IF(AND(K650&lt;&gt;"",OR(NOT(ISNUMBER(K650)),N(K650)&lt;=0)),"Qté commandée invalide",IF(AG650&lt;SUMPRODUCT(MAX((A$6:A649=A650)*AG$6:AG649)),"Date antérieure au bon précédent",IF(AND(A650&lt;&gt;"BR",ISNUMBER(M650),N(M650)&gt;0),IF(A650="BL","Livré plus que commandé","Sorti plus que demandé"),"OK"))))))))))))</f>
        <v/>
      </c>
      <c r="Y650" s="57" t="str">
        <f>IF(AND(OR(A650="BL",A650="BR",A650="BS"),AG650&gt;0,D650&lt;&gt;""),A650&amp;"|"&amp;AG650&amp;"|"&amp;D650&amp;"|"&amp;F650,"")</f>
        <v/>
      </c>
      <c r="Z650" s="57" t="str">
        <f>IF(Y650="","",IF(COUNTIF(Y$6:Y649,Y650)=0,1,0))</f>
        <v/>
      </c>
      <c r="AA650" s="57" t="str">
        <f>IF(Y650="","",IF(Z650=1,COUNTIFS(A$6:A650,A650,Z$6:Z650,1),INDEX(AA$6:AA649,MATCH(Y650,Y$6:Y649,0))))</f>
        <v/>
      </c>
      <c r="AB650" s="57" t="str">
        <f>IF(B650="","",COUNTIF(B$6:B650,B650))</f>
        <v/>
      </c>
      <c r="AC650" s="57" t="str">
        <f>IF(B650="","",B650&amp;"#"&amp;AB650)</f>
        <v/>
      </c>
      <c r="AD650" s="57" t="str">
        <f>IF(Z650=1,A650&amp;AA650,"")</f>
        <v/>
      </c>
      <c r="AE650" s="57" t="str">
        <f>IF(B650="","",YEAR(C650))</f>
        <v/>
      </c>
      <c r="AF650" s="57" t="str">
        <f>IF(B650="","",MONTH(C650))</f>
        <v/>
      </c>
      <c r="AG650" s="57">
        <f>IF(ISNUMBER(C650),C650,0)</f>
        <v>0.0</v>
      </c>
      <c r="AH650" s="57" t="str">
        <f>IF(N(W650)&gt;0,COUNTIF(W$6:W650,"&gt;0"),"")</f>
        <v/>
      </c>
      <c r="AI650" s="57" t="str">
        <f>IF(Z650=1,COUNTIF(Z$6:Z650,1),"")</f>
        <v/>
      </c>
    </row>
    <row r="651">
      <c r="A651" s="54" t="n"/>
      <c r="B651" s="55" t="str">
        <f>IF(AA651="","",A651&amp;"-"&amp;RIGHT("000"&amp;AA651,4))</f>
        <v/>
      </c>
      <c r="C651" s="56" t="n"/>
      <c r="D651" s="54" t="n"/>
      <c r="E651" s="57" t="str">
        <f>IF(D651="","",IF(A651="BL",IFERROR(INDEX(cl_name,MATCH(D651,cl_code,0))&amp;"","Client inconnu"),IF(A651="BR",IFERROR(INDEX(fo_name,MATCH(D651,fo_code,0))&amp;"","Fournisseur inconnu"),IF(A651="BS",IF(ISNA(MATCH(D651,p_services,0)),"Service inconnu",D651&amp;""),""))))</f>
        <v/>
      </c>
      <c r="F651" s="58" t="n"/>
      <c r="G651" s="58" t="n"/>
      <c r="H651" s="59" t="n"/>
      <c r="I651" s="57" t="str">
        <f>IF(H651="","",IFERROR(INDEX(art_des,MATCH(H651,art_ref,0))&amp;"","Article inconnu"))</f>
        <v/>
      </c>
      <c r="J651" s="60" t="str">
        <f>IF(H651="","",IFERROR(INDEX(art_unit,MATCH(H651,art_ref,0))&amp;"",""))</f>
        <v/>
      </c>
      <c r="K651" s="59" t="n"/>
      <c r="L651" s="59" t="n"/>
      <c r="M651" s="61" t="str">
        <f>IF(OR(B651="",NOT(ISNUMBER(K651)),NOT(ISNUMBER(L651))),"",IF(OR(K651&lt;=0,L651&lt;=0),"",ROUND(L651-K651,6)))</f>
        <v/>
      </c>
      <c r="N651" s="58" t="n"/>
      <c r="O651" s="62" t="n"/>
      <c r="P651" s="63" t="str">
        <f>IF(OR(B651="",NOT(ISNUMBER(L651))),"",IF(L651&lt;=0,"",IFERROR(ROUND(L651*N(INDEX(art_w,MATCH(H651,art_ref,0))),3),"")))</f>
        <v/>
      </c>
      <c r="Q651" s="59" t="n"/>
      <c r="R651" s="54" t="n"/>
      <c r="S651" s="59" t="n"/>
      <c r="T651" s="59" t="n"/>
      <c r="U651" s="64" t="str">
        <f>IF(OR(B651="",H651=""),"",IFERROR(IF(A651="BL",IF(N(INDEX(art_price,MATCH(H651,art_ref,0)))=0,"",N(INDEX(art_price,MATCH(H651,art_ref,0)))),IF(N(INDEX(art_cost,MATCH(H651,art_ref,0)))=0,"",N(INDEX(art_cost,MATCH(H651,art_ref,0))))),""))</f>
        <v/>
      </c>
      <c r="V651" s="64" t="str">
        <f>IF(OR(U651="",NOT(ISNUMBER(L651))),"",IF(L651&lt;=0,"",ROUND(L651*U651,2)))</f>
        <v/>
      </c>
      <c r="W651" s="60" t="str">
        <f>IF(AND(B651&lt;&gt;"",A651&lt;&gt;"BS",F651&lt;&gt;"",H651&lt;&gt;"",ISNUMBER(K651),ISNUMBER(L651)),IF(AND(K651&gt;0,L651&gt;0,K651-L651&gt;0,COUNTIFS(A652:A$2005,A651,F652:F$2005,F651,H652:H$2005,H651,AA652:AA$2005,"&gt;0")=0),ROUND(K651-L651,6),""),"")</f>
        <v/>
      </c>
      <c r="X651" s="60" t="str">
        <f>IF(AND(A651="",C651="",D651="",H651="",L651=""),"",IF(A651="","Type manquant",IF(AND(A651&lt;&gt;"BL",A651&lt;&gt;"BR",A651&lt;&gt;"BS"),"Type inconnu (BL, BR ou BS)",IF(AG651=0,"Date manquante ou invalide",IF(D651="",IF(A651="BL","Client manquant",IF(A651="BR","Fournisseur manquant","Service manquant")),IF(IF(A651="BL",ISNA(MATCH(D651,cl_code,0)),IF(A651="BR",ISNA(MATCH(D651,fo_code,0)),ISNA(MATCH(D651,p_services,0)))),IF(A651="BL","Client inconnu",IF(A651="BR","Fournisseur inconnu","Service inconnu")),IF(H651="","Article manquant",IF(ISNA(MATCH(H651,art_ref,0)),"Article inconnu",IF(OR(NOT(ISNUMBER(L651)),N(L651)&lt;=0),"Quantité invalide",IF(AND(K651&lt;&gt;"",OR(NOT(ISNUMBER(K651)),N(K651)&lt;=0)),"Qté commandée invalide",IF(AG651&lt;SUMPRODUCT(MAX((A$6:A650=A651)*AG$6:AG650)),"Date antérieure au bon précédent",IF(AND(A651&lt;&gt;"BR",ISNUMBER(M651),N(M651)&gt;0),IF(A651="BL","Livré plus que commandé","Sorti plus que demandé"),"OK"))))))))))))</f>
        <v/>
      </c>
      <c r="Y651" s="57" t="str">
        <f>IF(AND(OR(A651="BL",A651="BR",A651="BS"),AG651&gt;0,D651&lt;&gt;""),A651&amp;"|"&amp;AG651&amp;"|"&amp;D651&amp;"|"&amp;F651,"")</f>
        <v/>
      </c>
      <c r="Z651" s="57" t="str">
        <f>IF(Y651="","",IF(COUNTIF(Y$6:Y650,Y651)=0,1,0))</f>
        <v/>
      </c>
      <c r="AA651" s="57" t="str">
        <f>IF(Y651="","",IF(Z651=1,COUNTIFS(A$6:A651,A651,Z$6:Z651,1),INDEX(AA$6:AA650,MATCH(Y651,Y$6:Y650,0))))</f>
        <v/>
      </c>
      <c r="AB651" s="57" t="str">
        <f>IF(B651="","",COUNTIF(B$6:B651,B651))</f>
        <v/>
      </c>
      <c r="AC651" s="57" t="str">
        <f>IF(B651="","",B651&amp;"#"&amp;AB651)</f>
        <v/>
      </c>
      <c r="AD651" s="57" t="str">
        <f>IF(Z651=1,A651&amp;AA651,"")</f>
        <v/>
      </c>
      <c r="AE651" s="57" t="str">
        <f>IF(B651="","",YEAR(C651))</f>
        <v/>
      </c>
      <c r="AF651" s="57" t="str">
        <f>IF(B651="","",MONTH(C651))</f>
        <v/>
      </c>
      <c r="AG651" s="57">
        <f>IF(ISNUMBER(C651),C651,0)</f>
        <v>0.0</v>
      </c>
      <c r="AH651" s="57" t="str">
        <f>IF(N(W651)&gt;0,COUNTIF(W$6:W651,"&gt;0"),"")</f>
        <v/>
      </c>
      <c r="AI651" s="57" t="str">
        <f>IF(Z651=1,COUNTIF(Z$6:Z651,1),"")</f>
        <v/>
      </c>
    </row>
    <row r="652">
      <c r="A652" s="54" t="n"/>
      <c r="B652" s="55" t="str">
        <f>IF(AA652="","",A652&amp;"-"&amp;RIGHT("000"&amp;AA652,4))</f>
        <v/>
      </c>
      <c r="C652" s="56" t="n"/>
      <c r="D652" s="54" t="n"/>
      <c r="E652" s="57" t="str">
        <f>IF(D652="","",IF(A652="BL",IFERROR(INDEX(cl_name,MATCH(D652,cl_code,0))&amp;"","Client inconnu"),IF(A652="BR",IFERROR(INDEX(fo_name,MATCH(D652,fo_code,0))&amp;"","Fournisseur inconnu"),IF(A652="BS",IF(ISNA(MATCH(D652,p_services,0)),"Service inconnu",D652&amp;""),""))))</f>
        <v/>
      </c>
      <c r="F652" s="58" t="n"/>
      <c r="G652" s="58" t="n"/>
      <c r="H652" s="59" t="n"/>
      <c r="I652" s="57" t="str">
        <f>IF(H652="","",IFERROR(INDEX(art_des,MATCH(H652,art_ref,0))&amp;"","Article inconnu"))</f>
        <v/>
      </c>
      <c r="J652" s="60" t="str">
        <f>IF(H652="","",IFERROR(INDEX(art_unit,MATCH(H652,art_ref,0))&amp;"",""))</f>
        <v/>
      </c>
      <c r="K652" s="59" t="n"/>
      <c r="L652" s="59" t="n"/>
      <c r="M652" s="61" t="str">
        <f>IF(OR(B652="",NOT(ISNUMBER(K652)),NOT(ISNUMBER(L652))),"",IF(OR(K652&lt;=0,L652&lt;=0),"",ROUND(L652-K652,6)))</f>
        <v/>
      </c>
      <c r="N652" s="58" t="n"/>
      <c r="O652" s="62" t="n"/>
      <c r="P652" s="63" t="str">
        <f>IF(OR(B652="",NOT(ISNUMBER(L652))),"",IF(L652&lt;=0,"",IFERROR(ROUND(L652*N(INDEX(art_w,MATCH(H652,art_ref,0))),3),"")))</f>
        <v/>
      </c>
      <c r="Q652" s="59" t="n"/>
      <c r="R652" s="54" t="n"/>
      <c r="S652" s="59" t="n"/>
      <c r="T652" s="59" t="n"/>
      <c r="U652" s="64" t="str">
        <f>IF(OR(B652="",H652=""),"",IFERROR(IF(A652="BL",IF(N(INDEX(art_price,MATCH(H652,art_ref,0)))=0,"",N(INDEX(art_price,MATCH(H652,art_ref,0)))),IF(N(INDEX(art_cost,MATCH(H652,art_ref,0)))=0,"",N(INDEX(art_cost,MATCH(H652,art_ref,0))))),""))</f>
        <v/>
      </c>
      <c r="V652" s="64" t="str">
        <f>IF(OR(U652="",NOT(ISNUMBER(L652))),"",IF(L652&lt;=0,"",ROUND(L652*U652,2)))</f>
        <v/>
      </c>
      <c r="W652" s="60" t="str">
        <f>IF(AND(B652&lt;&gt;"",A652&lt;&gt;"BS",F652&lt;&gt;"",H652&lt;&gt;"",ISNUMBER(K652),ISNUMBER(L652)),IF(AND(K652&gt;0,L652&gt;0,K652-L652&gt;0,COUNTIFS(A653:A$2005,A652,F653:F$2005,F652,H653:H$2005,H652,AA653:AA$2005,"&gt;0")=0),ROUND(K652-L652,6),""),"")</f>
        <v/>
      </c>
      <c r="X652" s="60" t="str">
        <f>IF(AND(A652="",C652="",D652="",H652="",L652=""),"",IF(A652="","Type manquant",IF(AND(A652&lt;&gt;"BL",A652&lt;&gt;"BR",A652&lt;&gt;"BS"),"Type inconnu (BL, BR ou BS)",IF(AG652=0,"Date manquante ou invalide",IF(D652="",IF(A652="BL","Client manquant",IF(A652="BR","Fournisseur manquant","Service manquant")),IF(IF(A652="BL",ISNA(MATCH(D652,cl_code,0)),IF(A652="BR",ISNA(MATCH(D652,fo_code,0)),ISNA(MATCH(D652,p_services,0)))),IF(A652="BL","Client inconnu",IF(A652="BR","Fournisseur inconnu","Service inconnu")),IF(H652="","Article manquant",IF(ISNA(MATCH(H652,art_ref,0)),"Article inconnu",IF(OR(NOT(ISNUMBER(L652)),N(L652)&lt;=0),"Quantité invalide",IF(AND(K652&lt;&gt;"",OR(NOT(ISNUMBER(K652)),N(K652)&lt;=0)),"Qté commandée invalide",IF(AG652&lt;SUMPRODUCT(MAX((A$6:A651=A652)*AG$6:AG651)),"Date antérieure au bon précédent",IF(AND(A652&lt;&gt;"BR",ISNUMBER(M652),N(M652)&gt;0),IF(A652="BL","Livré plus que commandé","Sorti plus que demandé"),"OK"))))))))))))</f>
        <v/>
      </c>
      <c r="Y652" s="57" t="str">
        <f>IF(AND(OR(A652="BL",A652="BR",A652="BS"),AG652&gt;0,D652&lt;&gt;""),A652&amp;"|"&amp;AG652&amp;"|"&amp;D652&amp;"|"&amp;F652,"")</f>
        <v/>
      </c>
      <c r="Z652" s="57" t="str">
        <f>IF(Y652="","",IF(COUNTIF(Y$6:Y651,Y652)=0,1,0))</f>
        <v/>
      </c>
      <c r="AA652" s="57" t="str">
        <f>IF(Y652="","",IF(Z652=1,COUNTIFS(A$6:A652,A652,Z$6:Z652,1),INDEX(AA$6:AA651,MATCH(Y652,Y$6:Y651,0))))</f>
        <v/>
      </c>
      <c r="AB652" s="57" t="str">
        <f>IF(B652="","",COUNTIF(B$6:B652,B652))</f>
        <v/>
      </c>
      <c r="AC652" s="57" t="str">
        <f>IF(B652="","",B652&amp;"#"&amp;AB652)</f>
        <v/>
      </c>
      <c r="AD652" s="57" t="str">
        <f>IF(Z652=1,A652&amp;AA652,"")</f>
        <v/>
      </c>
      <c r="AE652" s="57" t="str">
        <f>IF(B652="","",YEAR(C652))</f>
        <v/>
      </c>
      <c r="AF652" s="57" t="str">
        <f>IF(B652="","",MONTH(C652))</f>
        <v/>
      </c>
      <c r="AG652" s="57">
        <f>IF(ISNUMBER(C652),C652,0)</f>
        <v>0.0</v>
      </c>
      <c r="AH652" s="57" t="str">
        <f>IF(N(W652)&gt;0,COUNTIF(W$6:W652,"&gt;0"),"")</f>
        <v/>
      </c>
      <c r="AI652" s="57" t="str">
        <f>IF(Z652=1,COUNTIF(Z$6:Z652,1),"")</f>
        <v/>
      </c>
    </row>
    <row r="653">
      <c r="A653" s="54" t="n"/>
      <c r="B653" s="55" t="str">
        <f>IF(AA653="","",A653&amp;"-"&amp;RIGHT("000"&amp;AA653,4))</f>
        <v/>
      </c>
      <c r="C653" s="56" t="n"/>
      <c r="D653" s="54" t="n"/>
      <c r="E653" s="57" t="str">
        <f>IF(D653="","",IF(A653="BL",IFERROR(INDEX(cl_name,MATCH(D653,cl_code,0))&amp;"","Client inconnu"),IF(A653="BR",IFERROR(INDEX(fo_name,MATCH(D653,fo_code,0))&amp;"","Fournisseur inconnu"),IF(A653="BS",IF(ISNA(MATCH(D653,p_services,0)),"Service inconnu",D653&amp;""),""))))</f>
        <v/>
      </c>
      <c r="F653" s="58" t="n"/>
      <c r="G653" s="58" t="n"/>
      <c r="H653" s="59" t="n"/>
      <c r="I653" s="57" t="str">
        <f>IF(H653="","",IFERROR(INDEX(art_des,MATCH(H653,art_ref,0))&amp;"","Article inconnu"))</f>
        <v/>
      </c>
      <c r="J653" s="60" t="str">
        <f>IF(H653="","",IFERROR(INDEX(art_unit,MATCH(H653,art_ref,0))&amp;"",""))</f>
        <v/>
      </c>
      <c r="K653" s="59" t="n"/>
      <c r="L653" s="59" t="n"/>
      <c r="M653" s="61" t="str">
        <f>IF(OR(B653="",NOT(ISNUMBER(K653)),NOT(ISNUMBER(L653))),"",IF(OR(K653&lt;=0,L653&lt;=0),"",ROUND(L653-K653,6)))</f>
        <v/>
      </c>
      <c r="N653" s="58" t="n"/>
      <c r="O653" s="62" t="n"/>
      <c r="P653" s="63" t="str">
        <f>IF(OR(B653="",NOT(ISNUMBER(L653))),"",IF(L653&lt;=0,"",IFERROR(ROUND(L653*N(INDEX(art_w,MATCH(H653,art_ref,0))),3),"")))</f>
        <v/>
      </c>
      <c r="Q653" s="59" t="n"/>
      <c r="R653" s="54" t="n"/>
      <c r="S653" s="59" t="n"/>
      <c r="T653" s="59" t="n"/>
      <c r="U653" s="64" t="str">
        <f>IF(OR(B653="",H653=""),"",IFERROR(IF(A653="BL",IF(N(INDEX(art_price,MATCH(H653,art_ref,0)))=0,"",N(INDEX(art_price,MATCH(H653,art_ref,0)))),IF(N(INDEX(art_cost,MATCH(H653,art_ref,0)))=0,"",N(INDEX(art_cost,MATCH(H653,art_ref,0))))),""))</f>
        <v/>
      </c>
      <c r="V653" s="64" t="str">
        <f>IF(OR(U653="",NOT(ISNUMBER(L653))),"",IF(L653&lt;=0,"",ROUND(L653*U653,2)))</f>
        <v/>
      </c>
      <c r="W653" s="60" t="str">
        <f>IF(AND(B653&lt;&gt;"",A653&lt;&gt;"BS",F653&lt;&gt;"",H653&lt;&gt;"",ISNUMBER(K653),ISNUMBER(L653)),IF(AND(K653&gt;0,L653&gt;0,K653-L653&gt;0,COUNTIFS(A654:A$2005,A653,F654:F$2005,F653,H654:H$2005,H653,AA654:AA$2005,"&gt;0")=0),ROUND(K653-L653,6),""),"")</f>
        <v/>
      </c>
      <c r="X653" s="60" t="str">
        <f>IF(AND(A653="",C653="",D653="",H653="",L653=""),"",IF(A653="","Type manquant",IF(AND(A653&lt;&gt;"BL",A653&lt;&gt;"BR",A653&lt;&gt;"BS"),"Type inconnu (BL, BR ou BS)",IF(AG653=0,"Date manquante ou invalide",IF(D653="",IF(A653="BL","Client manquant",IF(A653="BR","Fournisseur manquant","Service manquant")),IF(IF(A653="BL",ISNA(MATCH(D653,cl_code,0)),IF(A653="BR",ISNA(MATCH(D653,fo_code,0)),ISNA(MATCH(D653,p_services,0)))),IF(A653="BL","Client inconnu",IF(A653="BR","Fournisseur inconnu","Service inconnu")),IF(H653="","Article manquant",IF(ISNA(MATCH(H653,art_ref,0)),"Article inconnu",IF(OR(NOT(ISNUMBER(L653)),N(L653)&lt;=0),"Quantité invalide",IF(AND(K653&lt;&gt;"",OR(NOT(ISNUMBER(K653)),N(K653)&lt;=0)),"Qté commandée invalide",IF(AG653&lt;SUMPRODUCT(MAX((A$6:A652=A653)*AG$6:AG652)),"Date antérieure au bon précédent",IF(AND(A653&lt;&gt;"BR",ISNUMBER(M653),N(M653)&gt;0),IF(A653="BL","Livré plus que commandé","Sorti plus que demandé"),"OK"))))))))))))</f>
        <v/>
      </c>
      <c r="Y653" s="57" t="str">
        <f>IF(AND(OR(A653="BL",A653="BR",A653="BS"),AG653&gt;0,D653&lt;&gt;""),A653&amp;"|"&amp;AG653&amp;"|"&amp;D653&amp;"|"&amp;F653,"")</f>
        <v/>
      </c>
      <c r="Z653" s="57" t="str">
        <f>IF(Y653="","",IF(COUNTIF(Y$6:Y652,Y653)=0,1,0))</f>
        <v/>
      </c>
      <c r="AA653" s="57" t="str">
        <f>IF(Y653="","",IF(Z653=1,COUNTIFS(A$6:A653,A653,Z$6:Z653,1),INDEX(AA$6:AA652,MATCH(Y653,Y$6:Y652,0))))</f>
        <v/>
      </c>
      <c r="AB653" s="57" t="str">
        <f>IF(B653="","",COUNTIF(B$6:B653,B653))</f>
        <v/>
      </c>
      <c r="AC653" s="57" t="str">
        <f>IF(B653="","",B653&amp;"#"&amp;AB653)</f>
        <v/>
      </c>
      <c r="AD653" s="57" t="str">
        <f>IF(Z653=1,A653&amp;AA653,"")</f>
        <v/>
      </c>
      <c r="AE653" s="57" t="str">
        <f>IF(B653="","",YEAR(C653))</f>
        <v/>
      </c>
      <c r="AF653" s="57" t="str">
        <f>IF(B653="","",MONTH(C653))</f>
        <v/>
      </c>
      <c r="AG653" s="57">
        <f>IF(ISNUMBER(C653),C653,0)</f>
        <v>0.0</v>
      </c>
      <c r="AH653" s="57" t="str">
        <f>IF(N(W653)&gt;0,COUNTIF(W$6:W653,"&gt;0"),"")</f>
        <v/>
      </c>
      <c r="AI653" s="57" t="str">
        <f>IF(Z653=1,COUNTIF(Z$6:Z653,1),"")</f>
        <v/>
      </c>
    </row>
    <row r="654">
      <c r="A654" s="54" t="n"/>
      <c r="B654" s="55" t="str">
        <f>IF(AA654="","",A654&amp;"-"&amp;RIGHT("000"&amp;AA654,4))</f>
        <v/>
      </c>
      <c r="C654" s="56" t="n"/>
      <c r="D654" s="54" t="n"/>
      <c r="E654" s="57" t="str">
        <f>IF(D654="","",IF(A654="BL",IFERROR(INDEX(cl_name,MATCH(D654,cl_code,0))&amp;"","Client inconnu"),IF(A654="BR",IFERROR(INDEX(fo_name,MATCH(D654,fo_code,0))&amp;"","Fournisseur inconnu"),IF(A654="BS",IF(ISNA(MATCH(D654,p_services,0)),"Service inconnu",D654&amp;""),""))))</f>
        <v/>
      </c>
      <c r="F654" s="58" t="n"/>
      <c r="G654" s="58" t="n"/>
      <c r="H654" s="59" t="n"/>
      <c r="I654" s="57" t="str">
        <f>IF(H654="","",IFERROR(INDEX(art_des,MATCH(H654,art_ref,0))&amp;"","Article inconnu"))</f>
        <v/>
      </c>
      <c r="J654" s="60" t="str">
        <f>IF(H654="","",IFERROR(INDEX(art_unit,MATCH(H654,art_ref,0))&amp;"",""))</f>
        <v/>
      </c>
      <c r="K654" s="59" t="n"/>
      <c r="L654" s="59" t="n"/>
      <c r="M654" s="61" t="str">
        <f>IF(OR(B654="",NOT(ISNUMBER(K654)),NOT(ISNUMBER(L654))),"",IF(OR(K654&lt;=0,L654&lt;=0),"",ROUND(L654-K654,6)))</f>
        <v/>
      </c>
      <c r="N654" s="58" t="n"/>
      <c r="O654" s="62" t="n"/>
      <c r="P654" s="63" t="str">
        <f>IF(OR(B654="",NOT(ISNUMBER(L654))),"",IF(L654&lt;=0,"",IFERROR(ROUND(L654*N(INDEX(art_w,MATCH(H654,art_ref,0))),3),"")))</f>
        <v/>
      </c>
      <c r="Q654" s="59" t="n"/>
      <c r="R654" s="54" t="n"/>
      <c r="S654" s="59" t="n"/>
      <c r="T654" s="59" t="n"/>
      <c r="U654" s="64" t="str">
        <f>IF(OR(B654="",H654=""),"",IFERROR(IF(A654="BL",IF(N(INDEX(art_price,MATCH(H654,art_ref,0)))=0,"",N(INDEX(art_price,MATCH(H654,art_ref,0)))),IF(N(INDEX(art_cost,MATCH(H654,art_ref,0)))=0,"",N(INDEX(art_cost,MATCH(H654,art_ref,0))))),""))</f>
        <v/>
      </c>
      <c r="V654" s="64" t="str">
        <f>IF(OR(U654="",NOT(ISNUMBER(L654))),"",IF(L654&lt;=0,"",ROUND(L654*U654,2)))</f>
        <v/>
      </c>
      <c r="W654" s="60" t="str">
        <f>IF(AND(B654&lt;&gt;"",A654&lt;&gt;"BS",F654&lt;&gt;"",H654&lt;&gt;"",ISNUMBER(K654),ISNUMBER(L654)),IF(AND(K654&gt;0,L654&gt;0,K654-L654&gt;0,COUNTIFS(A655:A$2005,A654,F655:F$2005,F654,H655:H$2005,H654,AA655:AA$2005,"&gt;0")=0),ROUND(K654-L654,6),""),"")</f>
        <v/>
      </c>
      <c r="X654" s="60" t="str">
        <f>IF(AND(A654="",C654="",D654="",H654="",L654=""),"",IF(A654="","Type manquant",IF(AND(A654&lt;&gt;"BL",A654&lt;&gt;"BR",A654&lt;&gt;"BS"),"Type inconnu (BL, BR ou BS)",IF(AG654=0,"Date manquante ou invalide",IF(D654="",IF(A654="BL","Client manquant",IF(A654="BR","Fournisseur manquant","Service manquant")),IF(IF(A654="BL",ISNA(MATCH(D654,cl_code,0)),IF(A654="BR",ISNA(MATCH(D654,fo_code,0)),ISNA(MATCH(D654,p_services,0)))),IF(A654="BL","Client inconnu",IF(A654="BR","Fournisseur inconnu","Service inconnu")),IF(H654="","Article manquant",IF(ISNA(MATCH(H654,art_ref,0)),"Article inconnu",IF(OR(NOT(ISNUMBER(L654)),N(L654)&lt;=0),"Quantité invalide",IF(AND(K654&lt;&gt;"",OR(NOT(ISNUMBER(K654)),N(K654)&lt;=0)),"Qté commandée invalide",IF(AG654&lt;SUMPRODUCT(MAX((A$6:A653=A654)*AG$6:AG653)),"Date antérieure au bon précédent",IF(AND(A654&lt;&gt;"BR",ISNUMBER(M654),N(M654)&gt;0),IF(A654="BL","Livré plus que commandé","Sorti plus que demandé"),"OK"))))))))))))</f>
        <v/>
      </c>
      <c r="Y654" s="57" t="str">
        <f>IF(AND(OR(A654="BL",A654="BR",A654="BS"),AG654&gt;0,D654&lt;&gt;""),A654&amp;"|"&amp;AG654&amp;"|"&amp;D654&amp;"|"&amp;F654,"")</f>
        <v/>
      </c>
      <c r="Z654" s="57" t="str">
        <f>IF(Y654="","",IF(COUNTIF(Y$6:Y653,Y654)=0,1,0))</f>
        <v/>
      </c>
      <c r="AA654" s="57" t="str">
        <f>IF(Y654="","",IF(Z654=1,COUNTIFS(A$6:A654,A654,Z$6:Z654,1),INDEX(AA$6:AA653,MATCH(Y654,Y$6:Y653,0))))</f>
        <v/>
      </c>
      <c r="AB654" s="57" t="str">
        <f>IF(B654="","",COUNTIF(B$6:B654,B654))</f>
        <v/>
      </c>
      <c r="AC654" s="57" t="str">
        <f>IF(B654="","",B654&amp;"#"&amp;AB654)</f>
        <v/>
      </c>
      <c r="AD654" s="57" t="str">
        <f>IF(Z654=1,A654&amp;AA654,"")</f>
        <v/>
      </c>
      <c r="AE654" s="57" t="str">
        <f>IF(B654="","",YEAR(C654))</f>
        <v/>
      </c>
      <c r="AF654" s="57" t="str">
        <f>IF(B654="","",MONTH(C654))</f>
        <v/>
      </c>
      <c r="AG654" s="57">
        <f>IF(ISNUMBER(C654),C654,0)</f>
        <v>0.0</v>
      </c>
      <c r="AH654" s="57" t="str">
        <f>IF(N(W654)&gt;0,COUNTIF(W$6:W654,"&gt;0"),"")</f>
        <v/>
      </c>
      <c r="AI654" s="57" t="str">
        <f>IF(Z654=1,COUNTIF(Z$6:Z654,1),"")</f>
        <v/>
      </c>
    </row>
    <row r="655">
      <c r="A655" s="54" t="n"/>
      <c r="B655" s="55" t="str">
        <f>IF(AA655="","",A655&amp;"-"&amp;RIGHT("000"&amp;AA655,4))</f>
        <v/>
      </c>
      <c r="C655" s="56" t="n"/>
      <c r="D655" s="54" t="n"/>
      <c r="E655" s="57" t="str">
        <f>IF(D655="","",IF(A655="BL",IFERROR(INDEX(cl_name,MATCH(D655,cl_code,0))&amp;"","Client inconnu"),IF(A655="BR",IFERROR(INDEX(fo_name,MATCH(D655,fo_code,0))&amp;"","Fournisseur inconnu"),IF(A655="BS",IF(ISNA(MATCH(D655,p_services,0)),"Service inconnu",D655&amp;""),""))))</f>
        <v/>
      </c>
      <c r="F655" s="58" t="n"/>
      <c r="G655" s="58" t="n"/>
      <c r="H655" s="59" t="n"/>
      <c r="I655" s="57" t="str">
        <f>IF(H655="","",IFERROR(INDEX(art_des,MATCH(H655,art_ref,0))&amp;"","Article inconnu"))</f>
        <v/>
      </c>
      <c r="J655" s="60" t="str">
        <f>IF(H655="","",IFERROR(INDEX(art_unit,MATCH(H655,art_ref,0))&amp;"",""))</f>
        <v/>
      </c>
      <c r="K655" s="59" t="n"/>
      <c r="L655" s="59" t="n"/>
      <c r="M655" s="61" t="str">
        <f>IF(OR(B655="",NOT(ISNUMBER(K655)),NOT(ISNUMBER(L655))),"",IF(OR(K655&lt;=0,L655&lt;=0),"",ROUND(L655-K655,6)))</f>
        <v/>
      </c>
      <c r="N655" s="58" t="n"/>
      <c r="O655" s="62" t="n"/>
      <c r="P655" s="63" t="str">
        <f>IF(OR(B655="",NOT(ISNUMBER(L655))),"",IF(L655&lt;=0,"",IFERROR(ROUND(L655*N(INDEX(art_w,MATCH(H655,art_ref,0))),3),"")))</f>
        <v/>
      </c>
      <c r="Q655" s="59" t="n"/>
      <c r="R655" s="54" t="n"/>
      <c r="S655" s="59" t="n"/>
      <c r="T655" s="59" t="n"/>
      <c r="U655" s="64" t="str">
        <f>IF(OR(B655="",H655=""),"",IFERROR(IF(A655="BL",IF(N(INDEX(art_price,MATCH(H655,art_ref,0)))=0,"",N(INDEX(art_price,MATCH(H655,art_ref,0)))),IF(N(INDEX(art_cost,MATCH(H655,art_ref,0)))=0,"",N(INDEX(art_cost,MATCH(H655,art_ref,0))))),""))</f>
        <v/>
      </c>
      <c r="V655" s="64" t="str">
        <f>IF(OR(U655="",NOT(ISNUMBER(L655))),"",IF(L655&lt;=0,"",ROUND(L655*U655,2)))</f>
        <v/>
      </c>
      <c r="W655" s="60" t="str">
        <f>IF(AND(B655&lt;&gt;"",A655&lt;&gt;"BS",F655&lt;&gt;"",H655&lt;&gt;"",ISNUMBER(K655),ISNUMBER(L655)),IF(AND(K655&gt;0,L655&gt;0,K655-L655&gt;0,COUNTIFS(A656:A$2005,A655,F656:F$2005,F655,H656:H$2005,H655,AA656:AA$2005,"&gt;0")=0),ROUND(K655-L655,6),""),"")</f>
        <v/>
      </c>
      <c r="X655" s="60" t="str">
        <f>IF(AND(A655="",C655="",D655="",H655="",L655=""),"",IF(A655="","Type manquant",IF(AND(A655&lt;&gt;"BL",A655&lt;&gt;"BR",A655&lt;&gt;"BS"),"Type inconnu (BL, BR ou BS)",IF(AG655=0,"Date manquante ou invalide",IF(D655="",IF(A655="BL","Client manquant",IF(A655="BR","Fournisseur manquant","Service manquant")),IF(IF(A655="BL",ISNA(MATCH(D655,cl_code,0)),IF(A655="BR",ISNA(MATCH(D655,fo_code,0)),ISNA(MATCH(D655,p_services,0)))),IF(A655="BL","Client inconnu",IF(A655="BR","Fournisseur inconnu","Service inconnu")),IF(H655="","Article manquant",IF(ISNA(MATCH(H655,art_ref,0)),"Article inconnu",IF(OR(NOT(ISNUMBER(L655)),N(L655)&lt;=0),"Quantité invalide",IF(AND(K655&lt;&gt;"",OR(NOT(ISNUMBER(K655)),N(K655)&lt;=0)),"Qté commandée invalide",IF(AG655&lt;SUMPRODUCT(MAX((A$6:A654=A655)*AG$6:AG654)),"Date antérieure au bon précédent",IF(AND(A655&lt;&gt;"BR",ISNUMBER(M655),N(M655)&gt;0),IF(A655="BL","Livré plus que commandé","Sorti plus que demandé"),"OK"))))))))))))</f>
        <v/>
      </c>
      <c r="Y655" s="57" t="str">
        <f>IF(AND(OR(A655="BL",A655="BR",A655="BS"),AG655&gt;0,D655&lt;&gt;""),A655&amp;"|"&amp;AG655&amp;"|"&amp;D655&amp;"|"&amp;F655,"")</f>
        <v/>
      </c>
      <c r="Z655" s="57" t="str">
        <f>IF(Y655="","",IF(COUNTIF(Y$6:Y654,Y655)=0,1,0))</f>
        <v/>
      </c>
      <c r="AA655" s="57" t="str">
        <f>IF(Y655="","",IF(Z655=1,COUNTIFS(A$6:A655,A655,Z$6:Z655,1),INDEX(AA$6:AA654,MATCH(Y655,Y$6:Y654,0))))</f>
        <v/>
      </c>
      <c r="AB655" s="57" t="str">
        <f>IF(B655="","",COUNTIF(B$6:B655,B655))</f>
        <v/>
      </c>
      <c r="AC655" s="57" t="str">
        <f>IF(B655="","",B655&amp;"#"&amp;AB655)</f>
        <v/>
      </c>
      <c r="AD655" s="57" t="str">
        <f>IF(Z655=1,A655&amp;AA655,"")</f>
        <v/>
      </c>
      <c r="AE655" s="57" t="str">
        <f>IF(B655="","",YEAR(C655))</f>
        <v/>
      </c>
      <c r="AF655" s="57" t="str">
        <f>IF(B655="","",MONTH(C655))</f>
        <v/>
      </c>
      <c r="AG655" s="57">
        <f>IF(ISNUMBER(C655),C655,0)</f>
        <v>0.0</v>
      </c>
      <c r="AH655" s="57" t="str">
        <f>IF(N(W655)&gt;0,COUNTIF(W$6:W655,"&gt;0"),"")</f>
        <v/>
      </c>
      <c r="AI655" s="57" t="str">
        <f>IF(Z655=1,COUNTIF(Z$6:Z655,1),"")</f>
        <v/>
      </c>
    </row>
    <row r="656">
      <c r="A656" s="54" t="n"/>
      <c r="B656" s="55" t="str">
        <f>IF(AA656="","",A656&amp;"-"&amp;RIGHT("000"&amp;AA656,4))</f>
        <v/>
      </c>
      <c r="C656" s="56" t="n"/>
      <c r="D656" s="54" t="n"/>
      <c r="E656" s="57" t="str">
        <f>IF(D656="","",IF(A656="BL",IFERROR(INDEX(cl_name,MATCH(D656,cl_code,0))&amp;"","Client inconnu"),IF(A656="BR",IFERROR(INDEX(fo_name,MATCH(D656,fo_code,0))&amp;"","Fournisseur inconnu"),IF(A656="BS",IF(ISNA(MATCH(D656,p_services,0)),"Service inconnu",D656&amp;""),""))))</f>
        <v/>
      </c>
      <c r="F656" s="58" t="n"/>
      <c r="G656" s="58" t="n"/>
      <c r="H656" s="59" t="n"/>
      <c r="I656" s="57" t="str">
        <f>IF(H656="","",IFERROR(INDEX(art_des,MATCH(H656,art_ref,0))&amp;"","Article inconnu"))</f>
        <v/>
      </c>
      <c r="J656" s="60" t="str">
        <f>IF(H656="","",IFERROR(INDEX(art_unit,MATCH(H656,art_ref,0))&amp;"",""))</f>
        <v/>
      </c>
      <c r="K656" s="59" t="n"/>
      <c r="L656" s="59" t="n"/>
      <c r="M656" s="61" t="str">
        <f>IF(OR(B656="",NOT(ISNUMBER(K656)),NOT(ISNUMBER(L656))),"",IF(OR(K656&lt;=0,L656&lt;=0),"",ROUND(L656-K656,6)))</f>
        <v/>
      </c>
      <c r="N656" s="58" t="n"/>
      <c r="O656" s="62" t="n"/>
      <c r="P656" s="63" t="str">
        <f>IF(OR(B656="",NOT(ISNUMBER(L656))),"",IF(L656&lt;=0,"",IFERROR(ROUND(L656*N(INDEX(art_w,MATCH(H656,art_ref,0))),3),"")))</f>
        <v/>
      </c>
      <c r="Q656" s="59" t="n"/>
      <c r="R656" s="54" t="n"/>
      <c r="S656" s="59" t="n"/>
      <c r="T656" s="59" t="n"/>
      <c r="U656" s="64" t="str">
        <f>IF(OR(B656="",H656=""),"",IFERROR(IF(A656="BL",IF(N(INDEX(art_price,MATCH(H656,art_ref,0)))=0,"",N(INDEX(art_price,MATCH(H656,art_ref,0)))),IF(N(INDEX(art_cost,MATCH(H656,art_ref,0)))=0,"",N(INDEX(art_cost,MATCH(H656,art_ref,0))))),""))</f>
        <v/>
      </c>
      <c r="V656" s="64" t="str">
        <f>IF(OR(U656="",NOT(ISNUMBER(L656))),"",IF(L656&lt;=0,"",ROUND(L656*U656,2)))</f>
        <v/>
      </c>
      <c r="W656" s="60" t="str">
        <f>IF(AND(B656&lt;&gt;"",A656&lt;&gt;"BS",F656&lt;&gt;"",H656&lt;&gt;"",ISNUMBER(K656),ISNUMBER(L656)),IF(AND(K656&gt;0,L656&gt;0,K656-L656&gt;0,COUNTIFS(A657:A$2005,A656,F657:F$2005,F656,H657:H$2005,H656,AA657:AA$2005,"&gt;0")=0),ROUND(K656-L656,6),""),"")</f>
        <v/>
      </c>
      <c r="X656" s="60" t="str">
        <f>IF(AND(A656="",C656="",D656="",H656="",L656=""),"",IF(A656="","Type manquant",IF(AND(A656&lt;&gt;"BL",A656&lt;&gt;"BR",A656&lt;&gt;"BS"),"Type inconnu (BL, BR ou BS)",IF(AG656=0,"Date manquante ou invalide",IF(D656="",IF(A656="BL","Client manquant",IF(A656="BR","Fournisseur manquant","Service manquant")),IF(IF(A656="BL",ISNA(MATCH(D656,cl_code,0)),IF(A656="BR",ISNA(MATCH(D656,fo_code,0)),ISNA(MATCH(D656,p_services,0)))),IF(A656="BL","Client inconnu",IF(A656="BR","Fournisseur inconnu","Service inconnu")),IF(H656="","Article manquant",IF(ISNA(MATCH(H656,art_ref,0)),"Article inconnu",IF(OR(NOT(ISNUMBER(L656)),N(L656)&lt;=0),"Quantité invalide",IF(AND(K656&lt;&gt;"",OR(NOT(ISNUMBER(K656)),N(K656)&lt;=0)),"Qté commandée invalide",IF(AG656&lt;SUMPRODUCT(MAX((A$6:A655=A656)*AG$6:AG655)),"Date antérieure au bon précédent",IF(AND(A656&lt;&gt;"BR",ISNUMBER(M656),N(M656)&gt;0),IF(A656="BL","Livré plus que commandé","Sorti plus que demandé"),"OK"))))))))))))</f>
        <v/>
      </c>
      <c r="Y656" s="57" t="str">
        <f>IF(AND(OR(A656="BL",A656="BR",A656="BS"),AG656&gt;0,D656&lt;&gt;""),A656&amp;"|"&amp;AG656&amp;"|"&amp;D656&amp;"|"&amp;F656,"")</f>
        <v/>
      </c>
      <c r="Z656" s="57" t="str">
        <f>IF(Y656="","",IF(COUNTIF(Y$6:Y655,Y656)=0,1,0))</f>
        <v/>
      </c>
      <c r="AA656" s="57" t="str">
        <f>IF(Y656="","",IF(Z656=1,COUNTIFS(A$6:A656,A656,Z$6:Z656,1),INDEX(AA$6:AA655,MATCH(Y656,Y$6:Y655,0))))</f>
        <v/>
      </c>
      <c r="AB656" s="57" t="str">
        <f>IF(B656="","",COUNTIF(B$6:B656,B656))</f>
        <v/>
      </c>
      <c r="AC656" s="57" t="str">
        <f>IF(B656="","",B656&amp;"#"&amp;AB656)</f>
        <v/>
      </c>
      <c r="AD656" s="57" t="str">
        <f>IF(Z656=1,A656&amp;AA656,"")</f>
        <v/>
      </c>
      <c r="AE656" s="57" t="str">
        <f>IF(B656="","",YEAR(C656))</f>
        <v/>
      </c>
      <c r="AF656" s="57" t="str">
        <f>IF(B656="","",MONTH(C656))</f>
        <v/>
      </c>
      <c r="AG656" s="57">
        <f>IF(ISNUMBER(C656),C656,0)</f>
        <v>0.0</v>
      </c>
      <c r="AH656" s="57" t="str">
        <f>IF(N(W656)&gt;0,COUNTIF(W$6:W656,"&gt;0"),"")</f>
        <v/>
      </c>
      <c r="AI656" s="57" t="str">
        <f>IF(Z656=1,COUNTIF(Z$6:Z656,1),"")</f>
        <v/>
      </c>
    </row>
    <row r="657">
      <c r="A657" s="54" t="n"/>
      <c r="B657" s="55" t="str">
        <f>IF(AA657="","",A657&amp;"-"&amp;RIGHT("000"&amp;AA657,4))</f>
        <v/>
      </c>
      <c r="C657" s="56" t="n"/>
      <c r="D657" s="54" t="n"/>
      <c r="E657" s="57" t="str">
        <f>IF(D657="","",IF(A657="BL",IFERROR(INDEX(cl_name,MATCH(D657,cl_code,0))&amp;"","Client inconnu"),IF(A657="BR",IFERROR(INDEX(fo_name,MATCH(D657,fo_code,0))&amp;"","Fournisseur inconnu"),IF(A657="BS",IF(ISNA(MATCH(D657,p_services,0)),"Service inconnu",D657&amp;""),""))))</f>
        <v/>
      </c>
      <c r="F657" s="58" t="n"/>
      <c r="G657" s="58" t="n"/>
      <c r="H657" s="59" t="n"/>
      <c r="I657" s="57" t="str">
        <f>IF(H657="","",IFERROR(INDEX(art_des,MATCH(H657,art_ref,0))&amp;"","Article inconnu"))</f>
        <v/>
      </c>
      <c r="J657" s="60" t="str">
        <f>IF(H657="","",IFERROR(INDEX(art_unit,MATCH(H657,art_ref,0))&amp;"",""))</f>
        <v/>
      </c>
      <c r="K657" s="59" t="n"/>
      <c r="L657" s="59" t="n"/>
      <c r="M657" s="61" t="str">
        <f>IF(OR(B657="",NOT(ISNUMBER(K657)),NOT(ISNUMBER(L657))),"",IF(OR(K657&lt;=0,L657&lt;=0),"",ROUND(L657-K657,6)))</f>
        <v/>
      </c>
      <c r="N657" s="58" t="n"/>
      <c r="O657" s="62" t="n"/>
      <c r="P657" s="63" t="str">
        <f>IF(OR(B657="",NOT(ISNUMBER(L657))),"",IF(L657&lt;=0,"",IFERROR(ROUND(L657*N(INDEX(art_w,MATCH(H657,art_ref,0))),3),"")))</f>
        <v/>
      </c>
      <c r="Q657" s="59" t="n"/>
      <c r="R657" s="54" t="n"/>
      <c r="S657" s="59" t="n"/>
      <c r="T657" s="59" t="n"/>
      <c r="U657" s="64" t="str">
        <f>IF(OR(B657="",H657=""),"",IFERROR(IF(A657="BL",IF(N(INDEX(art_price,MATCH(H657,art_ref,0)))=0,"",N(INDEX(art_price,MATCH(H657,art_ref,0)))),IF(N(INDEX(art_cost,MATCH(H657,art_ref,0)))=0,"",N(INDEX(art_cost,MATCH(H657,art_ref,0))))),""))</f>
        <v/>
      </c>
      <c r="V657" s="64" t="str">
        <f>IF(OR(U657="",NOT(ISNUMBER(L657))),"",IF(L657&lt;=0,"",ROUND(L657*U657,2)))</f>
        <v/>
      </c>
      <c r="W657" s="60" t="str">
        <f>IF(AND(B657&lt;&gt;"",A657&lt;&gt;"BS",F657&lt;&gt;"",H657&lt;&gt;"",ISNUMBER(K657),ISNUMBER(L657)),IF(AND(K657&gt;0,L657&gt;0,K657-L657&gt;0,COUNTIFS(A658:A$2005,A657,F658:F$2005,F657,H658:H$2005,H657,AA658:AA$2005,"&gt;0")=0),ROUND(K657-L657,6),""),"")</f>
        <v/>
      </c>
      <c r="X657" s="60" t="str">
        <f>IF(AND(A657="",C657="",D657="",H657="",L657=""),"",IF(A657="","Type manquant",IF(AND(A657&lt;&gt;"BL",A657&lt;&gt;"BR",A657&lt;&gt;"BS"),"Type inconnu (BL, BR ou BS)",IF(AG657=0,"Date manquante ou invalide",IF(D657="",IF(A657="BL","Client manquant",IF(A657="BR","Fournisseur manquant","Service manquant")),IF(IF(A657="BL",ISNA(MATCH(D657,cl_code,0)),IF(A657="BR",ISNA(MATCH(D657,fo_code,0)),ISNA(MATCH(D657,p_services,0)))),IF(A657="BL","Client inconnu",IF(A657="BR","Fournisseur inconnu","Service inconnu")),IF(H657="","Article manquant",IF(ISNA(MATCH(H657,art_ref,0)),"Article inconnu",IF(OR(NOT(ISNUMBER(L657)),N(L657)&lt;=0),"Quantité invalide",IF(AND(K657&lt;&gt;"",OR(NOT(ISNUMBER(K657)),N(K657)&lt;=0)),"Qté commandée invalide",IF(AG657&lt;SUMPRODUCT(MAX((A$6:A656=A657)*AG$6:AG656)),"Date antérieure au bon précédent",IF(AND(A657&lt;&gt;"BR",ISNUMBER(M657),N(M657)&gt;0),IF(A657="BL","Livré plus que commandé","Sorti plus que demandé"),"OK"))))))))))))</f>
        <v/>
      </c>
      <c r="Y657" s="57" t="str">
        <f>IF(AND(OR(A657="BL",A657="BR",A657="BS"),AG657&gt;0,D657&lt;&gt;""),A657&amp;"|"&amp;AG657&amp;"|"&amp;D657&amp;"|"&amp;F657,"")</f>
        <v/>
      </c>
      <c r="Z657" s="57" t="str">
        <f>IF(Y657="","",IF(COUNTIF(Y$6:Y656,Y657)=0,1,0))</f>
        <v/>
      </c>
      <c r="AA657" s="57" t="str">
        <f>IF(Y657="","",IF(Z657=1,COUNTIFS(A$6:A657,A657,Z$6:Z657,1),INDEX(AA$6:AA656,MATCH(Y657,Y$6:Y656,0))))</f>
        <v/>
      </c>
      <c r="AB657" s="57" t="str">
        <f>IF(B657="","",COUNTIF(B$6:B657,B657))</f>
        <v/>
      </c>
      <c r="AC657" s="57" t="str">
        <f>IF(B657="","",B657&amp;"#"&amp;AB657)</f>
        <v/>
      </c>
      <c r="AD657" s="57" t="str">
        <f>IF(Z657=1,A657&amp;AA657,"")</f>
        <v/>
      </c>
      <c r="AE657" s="57" t="str">
        <f>IF(B657="","",YEAR(C657))</f>
        <v/>
      </c>
      <c r="AF657" s="57" t="str">
        <f>IF(B657="","",MONTH(C657))</f>
        <v/>
      </c>
      <c r="AG657" s="57">
        <f>IF(ISNUMBER(C657),C657,0)</f>
        <v>0.0</v>
      </c>
      <c r="AH657" s="57" t="str">
        <f>IF(N(W657)&gt;0,COUNTIF(W$6:W657,"&gt;0"),"")</f>
        <v/>
      </c>
      <c r="AI657" s="57" t="str">
        <f>IF(Z657=1,COUNTIF(Z$6:Z657,1),"")</f>
        <v/>
      </c>
    </row>
    <row r="658">
      <c r="A658" s="54" t="n"/>
      <c r="B658" s="55" t="str">
        <f>IF(AA658="","",A658&amp;"-"&amp;RIGHT("000"&amp;AA658,4))</f>
        <v/>
      </c>
      <c r="C658" s="56" t="n"/>
      <c r="D658" s="54" t="n"/>
      <c r="E658" s="57" t="str">
        <f>IF(D658="","",IF(A658="BL",IFERROR(INDEX(cl_name,MATCH(D658,cl_code,0))&amp;"","Client inconnu"),IF(A658="BR",IFERROR(INDEX(fo_name,MATCH(D658,fo_code,0))&amp;"","Fournisseur inconnu"),IF(A658="BS",IF(ISNA(MATCH(D658,p_services,0)),"Service inconnu",D658&amp;""),""))))</f>
        <v/>
      </c>
      <c r="F658" s="58" t="n"/>
      <c r="G658" s="58" t="n"/>
      <c r="H658" s="59" t="n"/>
      <c r="I658" s="57" t="str">
        <f>IF(H658="","",IFERROR(INDEX(art_des,MATCH(H658,art_ref,0))&amp;"","Article inconnu"))</f>
        <v/>
      </c>
      <c r="J658" s="60" t="str">
        <f>IF(H658="","",IFERROR(INDEX(art_unit,MATCH(H658,art_ref,0))&amp;"",""))</f>
        <v/>
      </c>
      <c r="K658" s="59" t="n"/>
      <c r="L658" s="59" t="n"/>
      <c r="M658" s="61" t="str">
        <f>IF(OR(B658="",NOT(ISNUMBER(K658)),NOT(ISNUMBER(L658))),"",IF(OR(K658&lt;=0,L658&lt;=0),"",ROUND(L658-K658,6)))</f>
        <v/>
      </c>
      <c r="N658" s="58" t="n"/>
      <c r="O658" s="62" t="n"/>
      <c r="P658" s="63" t="str">
        <f>IF(OR(B658="",NOT(ISNUMBER(L658))),"",IF(L658&lt;=0,"",IFERROR(ROUND(L658*N(INDEX(art_w,MATCH(H658,art_ref,0))),3),"")))</f>
        <v/>
      </c>
      <c r="Q658" s="59" t="n"/>
      <c r="R658" s="54" t="n"/>
      <c r="S658" s="59" t="n"/>
      <c r="T658" s="59" t="n"/>
      <c r="U658" s="64" t="str">
        <f>IF(OR(B658="",H658=""),"",IFERROR(IF(A658="BL",IF(N(INDEX(art_price,MATCH(H658,art_ref,0)))=0,"",N(INDEX(art_price,MATCH(H658,art_ref,0)))),IF(N(INDEX(art_cost,MATCH(H658,art_ref,0)))=0,"",N(INDEX(art_cost,MATCH(H658,art_ref,0))))),""))</f>
        <v/>
      </c>
      <c r="V658" s="64" t="str">
        <f>IF(OR(U658="",NOT(ISNUMBER(L658))),"",IF(L658&lt;=0,"",ROUND(L658*U658,2)))</f>
        <v/>
      </c>
      <c r="W658" s="60" t="str">
        <f>IF(AND(B658&lt;&gt;"",A658&lt;&gt;"BS",F658&lt;&gt;"",H658&lt;&gt;"",ISNUMBER(K658),ISNUMBER(L658)),IF(AND(K658&gt;0,L658&gt;0,K658-L658&gt;0,COUNTIFS(A659:A$2005,A658,F659:F$2005,F658,H659:H$2005,H658,AA659:AA$2005,"&gt;0")=0),ROUND(K658-L658,6),""),"")</f>
        <v/>
      </c>
      <c r="X658" s="60" t="str">
        <f>IF(AND(A658="",C658="",D658="",H658="",L658=""),"",IF(A658="","Type manquant",IF(AND(A658&lt;&gt;"BL",A658&lt;&gt;"BR",A658&lt;&gt;"BS"),"Type inconnu (BL, BR ou BS)",IF(AG658=0,"Date manquante ou invalide",IF(D658="",IF(A658="BL","Client manquant",IF(A658="BR","Fournisseur manquant","Service manquant")),IF(IF(A658="BL",ISNA(MATCH(D658,cl_code,0)),IF(A658="BR",ISNA(MATCH(D658,fo_code,0)),ISNA(MATCH(D658,p_services,0)))),IF(A658="BL","Client inconnu",IF(A658="BR","Fournisseur inconnu","Service inconnu")),IF(H658="","Article manquant",IF(ISNA(MATCH(H658,art_ref,0)),"Article inconnu",IF(OR(NOT(ISNUMBER(L658)),N(L658)&lt;=0),"Quantité invalide",IF(AND(K658&lt;&gt;"",OR(NOT(ISNUMBER(K658)),N(K658)&lt;=0)),"Qté commandée invalide",IF(AG658&lt;SUMPRODUCT(MAX((A$6:A657=A658)*AG$6:AG657)),"Date antérieure au bon précédent",IF(AND(A658&lt;&gt;"BR",ISNUMBER(M658),N(M658)&gt;0),IF(A658="BL","Livré plus que commandé","Sorti plus que demandé"),"OK"))))))))))))</f>
        <v/>
      </c>
      <c r="Y658" s="57" t="str">
        <f>IF(AND(OR(A658="BL",A658="BR",A658="BS"),AG658&gt;0,D658&lt;&gt;""),A658&amp;"|"&amp;AG658&amp;"|"&amp;D658&amp;"|"&amp;F658,"")</f>
        <v/>
      </c>
      <c r="Z658" s="57" t="str">
        <f>IF(Y658="","",IF(COUNTIF(Y$6:Y657,Y658)=0,1,0))</f>
        <v/>
      </c>
      <c r="AA658" s="57" t="str">
        <f>IF(Y658="","",IF(Z658=1,COUNTIFS(A$6:A658,A658,Z$6:Z658,1),INDEX(AA$6:AA657,MATCH(Y658,Y$6:Y657,0))))</f>
        <v/>
      </c>
      <c r="AB658" s="57" t="str">
        <f>IF(B658="","",COUNTIF(B$6:B658,B658))</f>
        <v/>
      </c>
      <c r="AC658" s="57" t="str">
        <f>IF(B658="","",B658&amp;"#"&amp;AB658)</f>
        <v/>
      </c>
      <c r="AD658" s="57" t="str">
        <f>IF(Z658=1,A658&amp;AA658,"")</f>
        <v/>
      </c>
      <c r="AE658" s="57" t="str">
        <f>IF(B658="","",YEAR(C658))</f>
        <v/>
      </c>
      <c r="AF658" s="57" t="str">
        <f>IF(B658="","",MONTH(C658))</f>
        <v/>
      </c>
      <c r="AG658" s="57">
        <f>IF(ISNUMBER(C658),C658,0)</f>
        <v>0.0</v>
      </c>
      <c r="AH658" s="57" t="str">
        <f>IF(N(W658)&gt;0,COUNTIF(W$6:W658,"&gt;0"),"")</f>
        <v/>
      </c>
      <c r="AI658" s="57" t="str">
        <f>IF(Z658=1,COUNTIF(Z$6:Z658,1),"")</f>
        <v/>
      </c>
    </row>
    <row r="659">
      <c r="A659" s="54" t="n"/>
      <c r="B659" s="55" t="str">
        <f>IF(AA659="","",A659&amp;"-"&amp;RIGHT("000"&amp;AA659,4))</f>
        <v/>
      </c>
      <c r="C659" s="56" t="n"/>
      <c r="D659" s="54" t="n"/>
      <c r="E659" s="57" t="str">
        <f>IF(D659="","",IF(A659="BL",IFERROR(INDEX(cl_name,MATCH(D659,cl_code,0))&amp;"","Client inconnu"),IF(A659="BR",IFERROR(INDEX(fo_name,MATCH(D659,fo_code,0))&amp;"","Fournisseur inconnu"),IF(A659="BS",IF(ISNA(MATCH(D659,p_services,0)),"Service inconnu",D659&amp;""),""))))</f>
        <v/>
      </c>
      <c r="F659" s="58" t="n"/>
      <c r="G659" s="58" t="n"/>
      <c r="H659" s="59" t="n"/>
      <c r="I659" s="57" t="str">
        <f>IF(H659="","",IFERROR(INDEX(art_des,MATCH(H659,art_ref,0))&amp;"","Article inconnu"))</f>
        <v/>
      </c>
      <c r="J659" s="60" t="str">
        <f>IF(H659="","",IFERROR(INDEX(art_unit,MATCH(H659,art_ref,0))&amp;"",""))</f>
        <v/>
      </c>
      <c r="K659" s="59" t="n"/>
      <c r="L659" s="59" t="n"/>
      <c r="M659" s="61" t="str">
        <f>IF(OR(B659="",NOT(ISNUMBER(K659)),NOT(ISNUMBER(L659))),"",IF(OR(K659&lt;=0,L659&lt;=0),"",ROUND(L659-K659,6)))</f>
        <v/>
      </c>
      <c r="N659" s="58" t="n"/>
      <c r="O659" s="62" t="n"/>
      <c r="P659" s="63" t="str">
        <f>IF(OR(B659="",NOT(ISNUMBER(L659))),"",IF(L659&lt;=0,"",IFERROR(ROUND(L659*N(INDEX(art_w,MATCH(H659,art_ref,0))),3),"")))</f>
        <v/>
      </c>
      <c r="Q659" s="59" t="n"/>
      <c r="R659" s="54" t="n"/>
      <c r="S659" s="59" t="n"/>
      <c r="T659" s="59" t="n"/>
      <c r="U659" s="64" t="str">
        <f>IF(OR(B659="",H659=""),"",IFERROR(IF(A659="BL",IF(N(INDEX(art_price,MATCH(H659,art_ref,0)))=0,"",N(INDEX(art_price,MATCH(H659,art_ref,0)))),IF(N(INDEX(art_cost,MATCH(H659,art_ref,0)))=0,"",N(INDEX(art_cost,MATCH(H659,art_ref,0))))),""))</f>
        <v/>
      </c>
      <c r="V659" s="64" t="str">
        <f>IF(OR(U659="",NOT(ISNUMBER(L659))),"",IF(L659&lt;=0,"",ROUND(L659*U659,2)))</f>
        <v/>
      </c>
      <c r="W659" s="60" t="str">
        <f>IF(AND(B659&lt;&gt;"",A659&lt;&gt;"BS",F659&lt;&gt;"",H659&lt;&gt;"",ISNUMBER(K659),ISNUMBER(L659)),IF(AND(K659&gt;0,L659&gt;0,K659-L659&gt;0,COUNTIFS(A660:A$2005,A659,F660:F$2005,F659,H660:H$2005,H659,AA660:AA$2005,"&gt;0")=0),ROUND(K659-L659,6),""),"")</f>
        <v/>
      </c>
      <c r="X659" s="60" t="str">
        <f>IF(AND(A659="",C659="",D659="",H659="",L659=""),"",IF(A659="","Type manquant",IF(AND(A659&lt;&gt;"BL",A659&lt;&gt;"BR",A659&lt;&gt;"BS"),"Type inconnu (BL, BR ou BS)",IF(AG659=0,"Date manquante ou invalide",IF(D659="",IF(A659="BL","Client manquant",IF(A659="BR","Fournisseur manquant","Service manquant")),IF(IF(A659="BL",ISNA(MATCH(D659,cl_code,0)),IF(A659="BR",ISNA(MATCH(D659,fo_code,0)),ISNA(MATCH(D659,p_services,0)))),IF(A659="BL","Client inconnu",IF(A659="BR","Fournisseur inconnu","Service inconnu")),IF(H659="","Article manquant",IF(ISNA(MATCH(H659,art_ref,0)),"Article inconnu",IF(OR(NOT(ISNUMBER(L659)),N(L659)&lt;=0),"Quantité invalide",IF(AND(K659&lt;&gt;"",OR(NOT(ISNUMBER(K659)),N(K659)&lt;=0)),"Qté commandée invalide",IF(AG659&lt;SUMPRODUCT(MAX((A$6:A658=A659)*AG$6:AG658)),"Date antérieure au bon précédent",IF(AND(A659&lt;&gt;"BR",ISNUMBER(M659),N(M659)&gt;0),IF(A659="BL","Livré plus que commandé","Sorti plus que demandé"),"OK"))))))))))))</f>
        <v/>
      </c>
      <c r="Y659" s="57" t="str">
        <f>IF(AND(OR(A659="BL",A659="BR",A659="BS"),AG659&gt;0,D659&lt;&gt;""),A659&amp;"|"&amp;AG659&amp;"|"&amp;D659&amp;"|"&amp;F659,"")</f>
        <v/>
      </c>
      <c r="Z659" s="57" t="str">
        <f>IF(Y659="","",IF(COUNTIF(Y$6:Y658,Y659)=0,1,0))</f>
        <v/>
      </c>
      <c r="AA659" s="57" t="str">
        <f>IF(Y659="","",IF(Z659=1,COUNTIFS(A$6:A659,A659,Z$6:Z659,1),INDEX(AA$6:AA658,MATCH(Y659,Y$6:Y658,0))))</f>
        <v/>
      </c>
      <c r="AB659" s="57" t="str">
        <f>IF(B659="","",COUNTIF(B$6:B659,B659))</f>
        <v/>
      </c>
      <c r="AC659" s="57" t="str">
        <f>IF(B659="","",B659&amp;"#"&amp;AB659)</f>
        <v/>
      </c>
      <c r="AD659" s="57" t="str">
        <f>IF(Z659=1,A659&amp;AA659,"")</f>
        <v/>
      </c>
      <c r="AE659" s="57" t="str">
        <f>IF(B659="","",YEAR(C659))</f>
        <v/>
      </c>
      <c r="AF659" s="57" t="str">
        <f>IF(B659="","",MONTH(C659))</f>
        <v/>
      </c>
      <c r="AG659" s="57">
        <f>IF(ISNUMBER(C659),C659,0)</f>
        <v>0.0</v>
      </c>
      <c r="AH659" s="57" t="str">
        <f>IF(N(W659)&gt;0,COUNTIF(W$6:W659,"&gt;0"),"")</f>
        <v/>
      </c>
      <c r="AI659" s="57" t="str">
        <f>IF(Z659=1,COUNTIF(Z$6:Z659,1),"")</f>
        <v/>
      </c>
    </row>
    <row r="660">
      <c r="A660" s="54" t="n"/>
      <c r="B660" s="55" t="str">
        <f>IF(AA660="","",A660&amp;"-"&amp;RIGHT("000"&amp;AA660,4))</f>
        <v/>
      </c>
      <c r="C660" s="56" t="n"/>
      <c r="D660" s="54" t="n"/>
      <c r="E660" s="57" t="str">
        <f>IF(D660="","",IF(A660="BL",IFERROR(INDEX(cl_name,MATCH(D660,cl_code,0))&amp;"","Client inconnu"),IF(A660="BR",IFERROR(INDEX(fo_name,MATCH(D660,fo_code,0))&amp;"","Fournisseur inconnu"),IF(A660="BS",IF(ISNA(MATCH(D660,p_services,0)),"Service inconnu",D660&amp;""),""))))</f>
        <v/>
      </c>
      <c r="F660" s="58" t="n"/>
      <c r="G660" s="58" t="n"/>
      <c r="H660" s="59" t="n"/>
      <c r="I660" s="57" t="str">
        <f>IF(H660="","",IFERROR(INDEX(art_des,MATCH(H660,art_ref,0))&amp;"","Article inconnu"))</f>
        <v/>
      </c>
      <c r="J660" s="60" t="str">
        <f>IF(H660="","",IFERROR(INDEX(art_unit,MATCH(H660,art_ref,0))&amp;"",""))</f>
        <v/>
      </c>
      <c r="K660" s="59" t="n"/>
      <c r="L660" s="59" t="n"/>
      <c r="M660" s="61" t="str">
        <f>IF(OR(B660="",NOT(ISNUMBER(K660)),NOT(ISNUMBER(L660))),"",IF(OR(K660&lt;=0,L660&lt;=0),"",ROUND(L660-K660,6)))</f>
        <v/>
      </c>
      <c r="N660" s="58" t="n"/>
      <c r="O660" s="62" t="n"/>
      <c r="P660" s="63" t="str">
        <f>IF(OR(B660="",NOT(ISNUMBER(L660))),"",IF(L660&lt;=0,"",IFERROR(ROUND(L660*N(INDEX(art_w,MATCH(H660,art_ref,0))),3),"")))</f>
        <v/>
      </c>
      <c r="Q660" s="59" t="n"/>
      <c r="R660" s="54" t="n"/>
      <c r="S660" s="59" t="n"/>
      <c r="T660" s="59" t="n"/>
      <c r="U660" s="64" t="str">
        <f>IF(OR(B660="",H660=""),"",IFERROR(IF(A660="BL",IF(N(INDEX(art_price,MATCH(H660,art_ref,0)))=0,"",N(INDEX(art_price,MATCH(H660,art_ref,0)))),IF(N(INDEX(art_cost,MATCH(H660,art_ref,0)))=0,"",N(INDEX(art_cost,MATCH(H660,art_ref,0))))),""))</f>
        <v/>
      </c>
      <c r="V660" s="64" t="str">
        <f>IF(OR(U660="",NOT(ISNUMBER(L660))),"",IF(L660&lt;=0,"",ROUND(L660*U660,2)))</f>
        <v/>
      </c>
      <c r="W660" s="60" t="str">
        <f>IF(AND(B660&lt;&gt;"",A660&lt;&gt;"BS",F660&lt;&gt;"",H660&lt;&gt;"",ISNUMBER(K660),ISNUMBER(L660)),IF(AND(K660&gt;0,L660&gt;0,K660-L660&gt;0,COUNTIFS(A661:A$2005,A660,F661:F$2005,F660,H661:H$2005,H660,AA661:AA$2005,"&gt;0")=0),ROUND(K660-L660,6),""),"")</f>
        <v/>
      </c>
      <c r="X660" s="60" t="str">
        <f>IF(AND(A660="",C660="",D660="",H660="",L660=""),"",IF(A660="","Type manquant",IF(AND(A660&lt;&gt;"BL",A660&lt;&gt;"BR",A660&lt;&gt;"BS"),"Type inconnu (BL, BR ou BS)",IF(AG660=0,"Date manquante ou invalide",IF(D660="",IF(A660="BL","Client manquant",IF(A660="BR","Fournisseur manquant","Service manquant")),IF(IF(A660="BL",ISNA(MATCH(D660,cl_code,0)),IF(A660="BR",ISNA(MATCH(D660,fo_code,0)),ISNA(MATCH(D660,p_services,0)))),IF(A660="BL","Client inconnu",IF(A660="BR","Fournisseur inconnu","Service inconnu")),IF(H660="","Article manquant",IF(ISNA(MATCH(H660,art_ref,0)),"Article inconnu",IF(OR(NOT(ISNUMBER(L660)),N(L660)&lt;=0),"Quantité invalide",IF(AND(K660&lt;&gt;"",OR(NOT(ISNUMBER(K660)),N(K660)&lt;=0)),"Qté commandée invalide",IF(AG660&lt;SUMPRODUCT(MAX((A$6:A659=A660)*AG$6:AG659)),"Date antérieure au bon précédent",IF(AND(A660&lt;&gt;"BR",ISNUMBER(M660),N(M660)&gt;0),IF(A660="BL","Livré plus que commandé","Sorti plus que demandé"),"OK"))))))))))))</f>
        <v/>
      </c>
      <c r="Y660" s="57" t="str">
        <f>IF(AND(OR(A660="BL",A660="BR",A660="BS"),AG660&gt;0,D660&lt;&gt;""),A660&amp;"|"&amp;AG660&amp;"|"&amp;D660&amp;"|"&amp;F660,"")</f>
        <v/>
      </c>
      <c r="Z660" s="57" t="str">
        <f>IF(Y660="","",IF(COUNTIF(Y$6:Y659,Y660)=0,1,0))</f>
        <v/>
      </c>
      <c r="AA660" s="57" t="str">
        <f>IF(Y660="","",IF(Z660=1,COUNTIFS(A$6:A660,A660,Z$6:Z660,1),INDEX(AA$6:AA659,MATCH(Y660,Y$6:Y659,0))))</f>
        <v/>
      </c>
      <c r="AB660" s="57" t="str">
        <f>IF(B660="","",COUNTIF(B$6:B660,B660))</f>
        <v/>
      </c>
      <c r="AC660" s="57" t="str">
        <f>IF(B660="","",B660&amp;"#"&amp;AB660)</f>
        <v/>
      </c>
      <c r="AD660" s="57" t="str">
        <f>IF(Z660=1,A660&amp;AA660,"")</f>
        <v/>
      </c>
      <c r="AE660" s="57" t="str">
        <f>IF(B660="","",YEAR(C660))</f>
        <v/>
      </c>
      <c r="AF660" s="57" t="str">
        <f>IF(B660="","",MONTH(C660))</f>
        <v/>
      </c>
      <c r="AG660" s="57">
        <f>IF(ISNUMBER(C660),C660,0)</f>
        <v>0.0</v>
      </c>
      <c r="AH660" s="57" t="str">
        <f>IF(N(W660)&gt;0,COUNTIF(W$6:W660,"&gt;0"),"")</f>
        <v/>
      </c>
      <c r="AI660" s="57" t="str">
        <f>IF(Z660=1,COUNTIF(Z$6:Z660,1),"")</f>
        <v/>
      </c>
    </row>
    <row r="661">
      <c r="A661" s="54" t="n"/>
      <c r="B661" s="55" t="str">
        <f>IF(AA661="","",A661&amp;"-"&amp;RIGHT("000"&amp;AA661,4))</f>
        <v/>
      </c>
      <c r="C661" s="56" t="n"/>
      <c r="D661" s="54" t="n"/>
      <c r="E661" s="57" t="str">
        <f>IF(D661="","",IF(A661="BL",IFERROR(INDEX(cl_name,MATCH(D661,cl_code,0))&amp;"","Client inconnu"),IF(A661="BR",IFERROR(INDEX(fo_name,MATCH(D661,fo_code,0))&amp;"","Fournisseur inconnu"),IF(A661="BS",IF(ISNA(MATCH(D661,p_services,0)),"Service inconnu",D661&amp;""),""))))</f>
        <v/>
      </c>
      <c r="F661" s="58" t="n"/>
      <c r="G661" s="58" t="n"/>
      <c r="H661" s="59" t="n"/>
      <c r="I661" s="57" t="str">
        <f>IF(H661="","",IFERROR(INDEX(art_des,MATCH(H661,art_ref,0))&amp;"","Article inconnu"))</f>
        <v/>
      </c>
      <c r="J661" s="60" t="str">
        <f>IF(H661="","",IFERROR(INDEX(art_unit,MATCH(H661,art_ref,0))&amp;"",""))</f>
        <v/>
      </c>
      <c r="K661" s="59" t="n"/>
      <c r="L661" s="59" t="n"/>
      <c r="M661" s="61" t="str">
        <f>IF(OR(B661="",NOT(ISNUMBER(K661)),NOT(ISNUMBER(L661))),"",IF(OR(K661&lt;=0,L661&lt;=0),"",ROUND(L661-K661,6)))</f>
        <v/>
      </c>
      <c r="N661" s="58" t="n"/>
      <c r="O661" s="62" t="n"/>
      <c r="P661" s="63" t="str">
        <f>IF(OR(B661="",NOT(ISNUMBER(L661))),"",IF(L661&lt;=0,"",IFERROR(ROUND(L661*N(INDEX(art_w,MATCH(H661,art_ref,0))),3),"")))</f>
        <v/>
      </c>
      <c r="Q661" s="59" t="n"/>
      <c r="R661" s="54" t="n"/>
      <c r="S661" s="59" t="n"/>
      <c r="T661" s="59" t="n"/>
      <c r="U661" s="64" t="str">
        <f>IF(OR(B661="",H661=""),"",IFERROR(IF(A661="BL",IF(N(INDEX(art_price,MATCH(H661,art_ref,0)))=0,"",N(INDEX(art_price,MATCH(H661,art_ref,0)))),IF(N(INDEX(art_cost,MATCH(H661,art_ref,0)))=0,"",N(INDEX(art_cost,MATCH(H661,art_ref,0))))),""))</f>
        <v/>
      </c>
      <c r="V661" s="64" t="str">
        <f>IF(OR(U661="",NOT(ISNUMBER(L661))),"",IF(L661&lt;=0,"",ROUND(L661*U661,2)))</f>
        <v/>
      </c>
      <c r="W661" s="60" t="str">
        <f>IF(AND(B661&lt;&gt;"",A661&lt;&gt;"BS",F661&lt;&gt;"",H661&lt;&gt;"",ISNUMBER(K661),ISNUMBER(L661)),IF(AND(K661&gt;0,L661&gt;0,K661-L661&gt;0,COUNTIFS(A662:A$2005,A661,F662:F$2005,F661,H662:H$2005,H661,AA662:AA$2005,"&gt;0")=0),ROUND(K661-L661,6),""),"")</f>
        <v/>
      </c>
      <c r="X661" s="60" t="str">
        <f>IF(AND(A661="",C661="",D661="",H661="",L661=""),"",IF(A661="","Type manquant",IF(AND(A661&lt;&gt;"BL",A661&lt;&gt;"BR",A661&lt;&gt;"BS"),"Type inconnu (BL, BR ou BS)",IF(AG661=0,"Date manquante ou invalide",IF(D661="",IF(A661="BL","Client manquant",IF(A661="BR","Fournisseur manquant","Service manquant")),IF(IF(A661="BL",ISNA(MATCH(D661,cl_code,0)),IF(A661="BR",ISNA(MATCH(D661,fo_code,0)),ISNA(MATCH(D661,p_services,0)))),IF(A661="BL","Client inconnu",IF(A661="BR","Fournisseur inconnu","Service inconnu")),IF(H661="","Article manquant",IF(ISNA(MATCH(H661,art_ref,0)),"Article inconnu",IF(OR(NOT(ISNUMBER(L661)),N(L661)&lt;=0),"Quantité invalide",IF(AND(K661&lt;&gt;"",OR(NOT(ISNUMBER(K661)),N(K661)&lt;=0)),"Qté commandée invalide",IF(AG661&lt;SUMPRODUCT(MAX((A$6:A660=A661)*AG$6:AG660)),"Date antérieure au bon précédent",IF(AND(A661&lt;&gt;"BR",ISNUMBER(M661),N(M661)&gt;0),IF(A661="BL","Livré plus que commandé","Sorti plus que demandé"),"OK"))))))))))))</f>
        <v/>
      </c>
      <c r="Y661" s="57" t="str">
        <f>IF(AND(OR(A661="BL",A661="BR",A661="BS"),AG661&gt;0,D661&lt;&gt;""),A661&amp;"|"&amp;AG661&amp;"|"&amp;D661&amp;"|"&amp;F661,"")</f>
        <v/>
      </c>
      <c r="Z661" s="57" t="str">
        <f>IF(Y661="","",IF(COUNTIF(Y$6:Y660,Y661)=0,1,0))</f>
        <v/>
      </c>
      <c r="AA661" s="57" t="str">
        <f>IF(Y661="","",IF(Z661=1,COUNTIFS(A$6:A661,A661,Z$6:Z661,1),INDEX(AA$6:AA660,MATCH(Y661,Y$6:Y660,0))))</f>
        <v/>
      </c>
      <c r="AB661" s="57" t="str">
        <f>IF(B661="","",COUNTIF(B$6:B661,B661))</f>
        <v/>
      </c>
      <c r="AC661" s="57" t="str">
        <f>IF(B661="","",B661&amp;"#"&amp;AB661)</f>
        <v/>
      </c>
      <c r="AD661" s="57" t="str">
        <f>IF(Z661=1,A661&amp;AA661,"")</f>
        <v/>
      </c>
      <c r="AE661" s="57" t="str">
        <f>IF(B661="","",YEAR(C661))</f>
        <v/>
      </c>
      <c r="AF661" s="57" t="str">
        <f>IF(B661="","",MONTH(C661))</f>
        <v/>
      </c>
      <c r="AG661" s="57">
        <f>IF(ISNUMBER(C661),C661,0)</f>
        <v>0.0</v>
      </c>
      <c r="AH661" s="57" t="str">
        <f>IF(N(W661)&gt;0,COUNTIF(W$6:W661,"&gt;0"),"")</f>
        <v/>
      </c>
      <c r="AI661" s="57" t="str">
        <f>IF(Z661=1,COUNTIF(Z$6:Z661,1),"")</f>
        <v/>
      </c>
    </row>
    <row r="662">
      <c r="A662" s="54" t="n"/>
      <c r="B662" s="55" t="str">
        <f>IF(AA662="","",A662&amp;"-"&amp;RIGHT("000"&amp;AA662,4))</f>
        <v/>
      </c>
      <c r="C662" s="56" t="n"/>
      <c r="D662" s="54" t="n"/>
      <c r="E662" s="57" t="str">
        <f>IF(D662="","",IF(A662="BL",IFERROR(INDEX(cl_name,MATCH(D662,cl_code,0))&amp;"","Client inconnu"),IF(A662="BR",IFERROR(INDEX(fo_name,MATCH(D662,fo_code,0))&amp;"","Fournisseur inconnu"),IF(A662="BS",IF(ISNA(MATCH(D662,p_services,0)),"Service inconnu",D662&amp;""),""))))</f>
        <v/>
      </c>
      <c r="F662" s="58" t="n"/>
      <c r="G662" s="58" t="n"/>
      <c r="H662" s="59" t="n"/>
      <c r="I662" s="57" t="str">
        <f>IF(H662="","",IFERROR(INDEX(art_des,MATCH(H662,art_ref,0))&amp;"","Article inconnu"))</f>
        <v/>
      </c>
      <c r="J662" s="60" t="str">
        <f>IF(H662="","",IFERROR(INDEX(art_unit,MATCH(H662,art_ref,0))&amp;"",""))</f>
        <v/>
      </c>
      <c r="K662" s="59" t="n"/>
      <c r="L662" s="59" t="n"/>
      <c r="M662" s="61" t="str">
        <f>IF(OR(B662="",NOT(ISNUMBER(K662)),NOT(ISNUMBER(L662))),"",IF(OR(K662&lt;=0,L662&lt;=0),"",ROUND(L662-K662,6)))</f>
        <v/>
      </c>
      <c r="N662" s="58" t="n"/>
      <c r="O662" s="62" t="n"/>
      <c r="P662" s="63" t="str">
        <f>IF(OR(B662="",NOT(ISNUMBER(L662))),"",IF(L662&lt;=0,"",IFERROR(ROUND(L662*N(INDEX(art_w,MATCH(H662,art_ref,0))),3),"")))</f>
        <v/>
      </c>
      <c r="Q662" s="59" t="n"/>
      <c r="R662" s="54" t="n"/>
      <c r="S662" s="59" t="n"/>
      <c r="T662" s="59" t="n"/>
      <c r="U662" s="64" t="str">
        <f>IF(OR(B662="",H662=""),"",IFERROR(IF(A662="BL",IF(N(INDEX(art_price,MATCH(H662,art_ref,0)))=0,"",N(INDEX(art_price,MATCH(H662,art_ref,0)))),IF(N(INDEX(art_cost,MATCH(H662,art_ref,0)))=0,"",N(INDEX(art_cost,MATCH(H662,art_ref,0))))),""))</f>
        <v/>
      </c>
      <c r="V662" s="64" t="str">
        <f>IF(OR(U662="",NOT(ISNUMBER(L662))),"",IF(L662&lt;=0,"",ROUND(L662*U662,2)))</f>
        <v/>
      </c>
      <c r="W662" s="60" t="str">
        <f>IF(AND(B662&lt;&gt;"",A662&lt;&gt;"BS",F662&lt;&gt;"",H662&lt;&gt;"",ISNUMBER(K662),ISNUMBER(L662)),IF(AND(K662&gt;0,L662&gt;0,K662-L662&gt;0,COUNTIFS(A663:A$2005,A662,F663:F$2005,F662,H663:H$2005,H662,AA663:AA$2005,"&gt;0")=0),ROUND(K662-L662,6),""),"")</f>
        <v/>
      </c>
      <c r="X662" s="60" t="str">
        <f>IF(AND(A662="",C662="",D662="",H662="",L662=""),"",IF(A662="","Type manquant",IF(AND(A662&lt;&gt;"BL",A662&lt;&gt;"BR",A662&lt;&gt;"BS"),"Type inconnu (BL, BR ou BS)",IF(AG662=0,"Date manquante ou invalide",IF(D662="",IF(A662="BL","Client manquant",IF(A662="BR","Fournisseur manquant","Service manquant")),IF(IF(A662="BL",ISNA(MATCH(D662,cl_code,0)),IF(A662="BR",ISNA(MATCH(D662,fo_code,0)),ISNA(MATCH(D662,p_services,0)))),IF(A662="BL","Client inconnu",IF(A662="BR","Fournisseur inconnu","Service inconnu")),IF(H662="","Article manquant",IF(ISNA(MATCH(H662,art_ref,0)),"Article inconnu",IF(OR(NOT(ISNUMBER(L662)),N(L662)&lt;=0),"Quantité invalide",IF(AND(K662&lt;&gt;"",OR(NOT(ISNUMBER(K662)),N(K662)&lt;=0)),"Qté commandée invalide",IF(AG662&lt;SUMPRODUCT(MAX((A$6:A661=A662)*AG$6:AG661)),"Date antérieure au bon précédent",IF(AND(A662&lt;&gt;"BR",ISNUMBER(M662),N(M662)&gt;0),IF(A662="BL","Livré plus que commandé","Sorti plus que demandé"),"OK"))))))))))))</f>
        <v/>
      </c>
      <c r="Y662" s="57" t="str">
        <f>IF(AND(OR(A662="BL",A662="BR",A662="BS"),AG662&gt;0,D662&lt;&gt;""),A662&amp;"|"&amp;AG662&amp;"|"&amp;D662&amp;"|"&amp;F662,"")</f>
        <v/>
      </c>
      <c r="Z662" s="57" t="str">
        <f>IF(Y662="","",IF(COUNTIF(Y$6:Y661,Y662)=0,1,0))</f>
        <v/>
      </c>
      <c r="AA662" s="57" t="str">
        <f>IF(Y662="","",IF(Z662=1,COUNTIFS(A$6:A662,A662,Z$6:Z662,1),INDEX(AA$6:AA661,MATCH(Y662,Y$6:Y661,0))))</f>
        <v/>
      </c>
      <c r="AB662" s="57" t="str">
        <f>IF(B662="","",COUNTIF(B$6:B662,B662))</f>
        <v/>
      </c>
      <c r="AC662" s="57" t="str">
        <f>IF(B662="","",B662&amp;"#"&amp;AB662)</f>
        <v/>
      </c>
      <c r="AD662" s="57" t="str">
        <f>IF(Z662=1,A662&amp;AA662,"")</f>
        <v/>
      </c>
      <c r="AE662" s="57" t="str">
        <f>IF(B662="","",YEAR(C662))</f>
        <v/>
      </c>
      <c r="AF662" s="57" t="str">
        <f>IF(B662="","",MONTH(C662))</f>
        <v/>
      </c>
      <c r="AG662" s="57">
        <f>IF(ISNUMBER(C662),C662,0)</f>
        <v>0.0</v>
      </c>
      <c r="AH662" s="57" t="str">
        <f>IF(N(W662)&gt;0,COUNTIF(W$6:W662,"&gt;0"),"")</f>
        <v/>
      </c>
      <c r="AI662" s="57" t="str">
        <f>IF(Z662=1,COUNTIF(Z$6:Z662,1),"")</f>
        <v/>
      </c>
    </row>
    <row r="663">
      <c r="A663" s="54" t="n"/>
      <c r="B663" s="55" t="str">
        <f>IF(AA663="","",A663&amp;"-"&amp;RIGHT("000"&amp;AA663,4))</f>
        <v/>
      </c>
      <c r="C663" s="56" t="n"/>
      <c r="D663" s="54" t="n"/>
      <c r="E663" s="57" t="str">
        <f>IF(D663="","",IF(A663="BL",IFERROR(INDEX(cl_name,MATCH(D663,cl_code,0))&amp;"","Client inconnu"),IF(A663="BR",IFERROR(INDEX(fo_name,MATCH(D663,fo_code,0))&amp;"","Fournisseur inconnu"),IF(A663="BS",IF(ISNA(MATCH(D663,p_services,0)),"Service inconnu",D663&amp;""),""))))</f>
        <v/>
      </c>
      <c r="F663" s="58" t="n"/>
      <c r="G663" s="58" t="n"/>
      <c r="H663" s="59" t="n"/>
      <c r="I663" s="57" t="str">
        <f>IF(H663="","",IFERROR(INDEX(art_des,MATCH(H663,art_ref,0))&amp;"","Article inconnu"))</f>
        <v/>
      </c>
      <c r="J663" s="60" t="str">
        <f>IF(H663="","",IFERROR(INDEX(art_unit,MATCH(H663,art_ref,0))&amp;"",""))</f>
        <v/>
      </c>
      <c r="K663" s="59" t="n"/>
      <c r="L663" s="59" t="n"/>
      <c r="M663" s="61" t="str">
        <f>IF(OR(B663="",NOT(ISNUMBER(K663)),NOT(ISNUMBER(L663))),"",IF(OR(K663&lt;=0,L663&lt;=0),"",ROUND(L663-K663,6)))</f>
        <v/>
      </c>
      <c r="N663" s="58" t="n"/>
      <c r="O663" s="62" t="n"/>
      <c r="P663" s="63" t="str">
        <f>IF(OR(B663="",NOT(ISNUMBER(L663))),"",IF(L663&lt;=0,"",IFERROR(ROUND(L663*N(INDEX(art_w,MATCH(H663,art_ref,0))),3),"")))</f>
        <v/>
      </c>
      <c r="Q663" s="59" t="n"/>
      <c r="R663" s="54" t="n"/>
      <c r="S663" s="59" t="n"/>
      <c r="T663" s="59" t="n"/>
      <c r="U663" s="64" t="str">
        <f>IF(OR(B663="",H663=""),"",IFERROR(IF(A663="BL",IF(N(INDEX(art_price,MATCH(H663,art_ref,0)))=0,"",N(INDEX(art_price,MATCH(H663,art_ref,0)))),IF(N(INDEX(art_cost,MATCH(H663,art_ref,0)))=0,"",N(INDEX(art_cost,MATCH(H663,art_ref,0))))),""))</f>
        <v/>
      </c>
      <c r="V663" s="64" t="str">
        <f>IF(OR(U663="",NOT(ISNUMBER(L663))),"",IF(L663&lt;=0,"",ROUND(L663*U663,2)))</f>
        <v/>
      </c>
      <c r="W663" s="60" t="str">
        <f>IF(AND(B663&lt;&gt;"",A663&lt;&gt;"BS",F663&lt;&gt;"",H663&lt;&gt;"",ISNUMBER(K663),ISNUMBER(L663)),IF(AND(K663&gt;0,L663&gt;0,K663-L663&gt;0,COUNTIFS(A664:A$2005,A663,F664:F$2005,F663,H664:H$2005,H663,AA664:AA$2005,"&gt;0")=0),ROUND(K663-L663,6),""),"")</f>
        <v/>
      </c>
      <c r="X663" s="60" t="str">
        <f>IF(AND(A663="",C663="",D663="",H663="",L663=""),"",IF(A663="","Type manquant",IF(AND(A663&lt;&gt;"BL",A663&lt;&gt;"BR",A663&lt;&gt;"BS"),"Type inconnu (BL, BR ou BS)",IF(AG663=0,"Date manquante ou invalide",IF(D663="",IF(A663="BL","Client manquant",IF(A663="BR","Fournisseur manquant","Service manquant")),IF(IF(A663="BL",ISNA(MATCH(D663,cl_code,0)),IF(A663="BR",ISNA(MATCH(D663,fo_code,0)),ISNA(MATCH(D663,p_services,0)))),IF(A663="BL","Client inconnu",IF(A663="BR","Fournisseur inconnu","Service inconnu")),IF(H663="","Article manquant",IF(ISNA(MATCH(H663,art_ref,0)),"Article inconnu",IF(OR(NOT(ISNUMBER(L663)),N(L663)&lt;=0),"Quantité invalide",IF(AND(K663&lt;&gt;"",OR(NOT(ISNUMBER(K663)),N(K663)&lt;=0)),"Qté commandée invalide",IF(AG663&lt;SUMPRODUCT(MAX((A$6:A662=A663)*AG$6:AG662)),"Date antérieure au bon précédent",IF(AND(A663&lt;&gt;"BR",ISNUMBER(M663),N(M663)&gt;0),IF(A663="BL","Livré plus que commandé","Sorti plus que demandé"),"OK"))))))))))))</f>
        <v/>
      </c>
      <c r="Y663" s="57" t="str">
        <f>IF(AND(OR(A663="BL",A663="BR",A663="BS"),AG663&gt;0,D663&lt;&gt;""),A663&amp;"|"&amp;AG663&amp;"|"&amp;D663&amp;"|"&amp;F663,"")</f>
        <v/>
      </c>
      <c r="Z663" s="57" t="str">
        <f>IF(Y663="","",IF(COUNTIF(Y$6:Y662,Y663)=0,1,0))</f>
        <v/>
      </c>
      <c r="AA663" s="57" t="str">
        <f>IF(Y663="","",IF(Z663=1,COUNTIFS(A$6:A663,A663,Z$6:Z663,1),INDEX(AA$6:AA662,MATCH(Y663,Y$6:Y662,0))))</f>
        <v/>
      </c>
      <c r="AB663" s="57" t="str">
        <f>IF(B663="","",COUNTIF(B$6:B663,B663))</f>
        <v/>
      </c>
      <c r="AC663" s="57" t="str">
        <f>IF(B663="","",B663&amp;"#"&amp;AB663)</f>
        <v/>
      </c>
      <c r="AD663" s="57" t="str">
        <f>IF(Z663=1,A663&amp;AA663,"")</f>
        <v/>
      </c>
      <c r="AE663" s="57" t="str">
        <f>IF(B663="","",YEAR(C663))</f>
        <v/>
      </c>
      <c r="AF663" s="57" t="str">
        <f>IF(B663="","",MONTH(C663))</f>
        <v/>
      </c>
      <c r="AG663" s="57">
        <f>IF(ISNUMBER(C663),C663,0)</f>
        <v>0.0</v>
      </c>
      <c r="AH663" s="57" t="str">
        <f>IF(N(W663)&gt;0,COUNTIF(W$6:W663,"&gt;0"),"")</f>
        <v/>
      </c>
      <c r="AI663" s="57" t="str">
        <f>IF(Z663=1,COUNTIF(Z$6:Z663,1),"")</f>
        <v/>
      </c>
    </row>
    <row r="664">
      <c r="A664" s="54" t="n"/>
      <c r="B664" s="55" t="str">
        <f>IF(AA664="","",A664&amp;"-"&amp;RIGHT("000"&amp;AA664,4))</f>
        <v/>
      </c>
      <c r="C664" s="56" t="n"/>
      <c r="D664" s="54" t="n"/>
      <c r="E664" s="57" t="str">
        <f>IF(D664="","",IF(A664="BL",IFERROR(INDEX(cl_name,MATCH(D664,cl_code,0))&amp;"","Client inconnu"),IF(A664="BR",IFERROR(INDEX(fo_name,MATCH(D664,fo_code,0))&amp;"","Fournisseur inconnu"),IF(A664="BS",IF(ISNA(MATCH(D664,p_services,0)),"Service inconnu",D664&amp;""),""))))</f>
        <v/>
      </c>
      <c r="F664" s="58" t="n"/>
      <c r="G664" s="58" t="n"/>
      <c r="H664" s="59" t="n"/>
      <c r="I664" s="57" t="str">
        <f>IF(H664="","",IFERROR(INDEX(art_des,MATCH(H664,art_ref,0))&amp;"","Article inconnu"))</f>
        <v/>
      </c>
      <c r="J664" s="60" t="str">
        <f>IF(H664="","",IFERROR(INDEX(art_unit,MATCH(H664,art_ref,0))&amp;"",""))</f>
        <v/>
      </c>
      <c r="K664" s="59" t="n"/>
      <c r="L664" s="59" t="n"/>
      <c r="M664" s="61" t="str">
        <f>IF(OR(B664="",NOT(ISNUMBER(K664)),NOT(ISNUMBER(L664))),"",IF(OR(K664&lt;=0,L664&lt;=0),"",ROUND(L664-K664,6)))</f>
        <v/>
      </c>
      <c r="N664" s="58" t="n"/>
      <c r="O664" s="62" t="n"/>
      <c r="P664" s="63" t="str">
        <f>IF(OR(B664="",NOT(ISNUMBER(L664))),"",IF(L664&lt;=0,"",IFERROR(ROUND(L664*N(INDEX(art_w,MATCH(H664,art_ref,0))),3),"")))</f>
        <v/>
      </c>
      <c r="Q664" s="59" t="n"/>
      <c r="R664" s="54" t="n"/>
      <c r="S664" s="59" t="n"/>
      <c r="T664" s="59" t="n"/>
      <c r="U664" s="64" t="str">
        <f>IF(OR(B664="",H664=""),"",IFERROR(IF(A664="BL",IF(N(INDEX(art_price,MATCH(H664,art_ref,0)))=0,"",N(INDEX(art_price,MATCH(H664,art_ref,0)))),IF(N(INDEX(art_cost,MATCH(H664,art_ref,0)))=0,"",N(INDEX(art_cost,MATCH(H664,art_ref,0))))),""))</f>
        <v/>
      </c>
      <c r="V664" s="64" t="str">
        <f>IF(OR(U664="",NOT(ISNUMBER(L664))),"",IF(L664&lt;=0,"",ROUND(L664*U664,2)))</f>
        <v/>
      </c>
      <c r="W664" s="60" t="str">
        <f>IF(AND(B664&lt;&gt;"",A664&lt;&gt;"BS",F664&lt;&gt;"",H664&lt;&gt;"",ISNUMBER(K664),ISNUMBER(L664)),IF(AND(K664&gt;0,L664&gt;0,K664-L664&gt;0,COUNTIFS(A665:A$2005,A664,F665:F$2005,F664,H665:H$2005,H664,AA665:AA$2005,"&gt;0")=0),ROUND(K664-L664,6),""),"")</f>
        <v/>
      </c>
      <c r="X664" s="60" t="str">
        <f>IF(AND(A664="",C664="",D664="",H664="",L664=""),"",IF(A664="","Type manquant",IF(AND(A664&lt;&gt;"BL",A664&lt;&gt;"BR",A664&lt;&gt;"BS"),"Type inconnu (BL, BR ou BS)",IF(AG664=0,"Date manquante ou invalide",IF(D664="",IF(A664="BL","Client manquant",IF(A664="BR","Fournisseur manquant","Service manquant")),IF(IF(A664="BL",ISNA(MATCH(D664,cl_code,0)),IF(A664="BR",ISNA(MATCH(D664,fo_code,0)),ISNA(MATCH(D664,p_services,0)))),IF(A664="BL","Client inconnu",IF(A664="BR","Fournisseur inconnu","Service inconnu")),IF(H664="","Article manquant",IF(ISNA(MATCH(H664,art_ref,0)),"Article inconnu",IF(OR(NOT(ISNUMBER(L664)),N(L664)&lt;=0),"Quantité invalide",IF(AND(K664&lt;&gt;"",OR(NOT(ISNUMBER(K664)),N(K664)&lt;=0)),"Qté commandée invalide",IF(AG664&lt;SUMPRODUCT(MAX((A$6:A663=A664)*AG$6:AG663)),"Date antérieure au bon précédent",IF(AND(A664&lt;&gt;"BR",ISNUMBER(M664),N(M664)&gt;0),IF(A664="BL","Livré plus que commandé","Sorti plus que demandé"),"OK"))))))))))))</f>
        <v/>
      </c>
      <c r="Y664" s="57" t="str">
        <f>IF(AND(OR(A664="BL",A664="BR",A664="BS"),AG664&gt;0,D664&lt;&gt;""),A664&amp;"|"&amp;AG664&amp;"|"&amp;D664&amp;"|"&amp;F664,"")</f>
        <v/>
      </c>
      <c r="Z664" s="57" t="str">
        <f>IF(Y664="","",IF(COUNTIF(Y$6:Y663,Y664)=0,1,0))</f>
        <v/>
      </c>
      <c r="AA664" s="57" t="str">
        <f>IF(Y664="","",IF(Z664=1,COUNTIFS(A$6:A664,A664,Z$6:Z664,1),INDEX(AA$6:AA663,MATCH(Y664,Y$6:Y663,0))))</f>
        <v/>
      </c>
      <c r="AB664" s="57" t="str">
        <f>IF(B664="","",COUNTIF(B$6:B664,B664))</f>
        <v/>
      </c>
      <c r="AC664" s="57" t="str">
        <f>IF(B664="","",B664&amp;"#"&amp;AB664)</f>
        <v/>
      </c>
      <c r="AD664" s="57" t="str">
        <f>IF(Z664=1,A664&amp;AA664,"")</f>
        <v/>
      </c>
      <c r="AE664" s="57" t="str">
        <f>IF(B664="","",YEAR(C664))</f>
        <v/>
      </c>
      <c r="AF664" s="57" t="str">
        <f>IF(B664="","",MONTH(C664))</f>
        <v/>
      </c>
      <c r="AG664" s="57">
        <f>IF(ISNUMBER(C664),C664,0)</f>
        <v>0.0</v>
      </c>
      <c r="AH664" s="57" t="str">
        <f>IF(N(W664)&gt;0,COUNTIF(W$6:W664,"&gt;0"),"")</f>
        <v/>
      </c>
      <c r="AI664" s="57" t="str">
        <f>IF(Z664=1,COUNTIF(Z$6:Z664,1),"")</f>
        <v/>
      </c>
    </row>
    <row r="665">
      <c r="A665" s="54" t="n"/>
      <c r="B665" s="55" t="str">
        <f>IF(AA665="","",A665&amp;"-"&amp;RIGHT("000"&amp;AA665,4))</f>
        <v/>
      </c>
      <c r="C665" s="56" t="n"/>
      <c r="D665" s="54" t="n"/>
      <c r="E665" s="57" t="str">
        <f>IF(D665="","",IF(A665="BL",IFERROR(INDEX(cl_name,MATCH(D665,cl_code,0))&amp;"","Client inconnu"),IF(A665="BR",IFERROR(INDEX(fo_name,MATCH(D665,fo_code,0))&amp;"","Fournisseur inconnu"),IF(A665="BS",IF(ISNA(MATCH(D665,p_services,0)),"Service inconnu",D665&amp;""),""))))</f>
        <v/>
      </c>
      <c r="F665" s="58" t="n"/>
      <c r="G665" s="58" t="n"/>
      <c r="H665" s="59" t="n"/>
      <c r="I665" s="57" t="str">
        <f>IF(H665="","",IFERROR(INDEX(art_des,MATCH(H665,art_ref,0))&amp;"","Article inconnu"))</f>
        <v/>
      </c>
      <c r="J665" s="60" t="str">
        <f>IF(H665="","",IFERROR(INDEX(art_unit,MATCH(H665,art_ref,0))&amp;"",""))</f>
        <v/>
      </c>
      <c r="K665" s="59" t="n"/>
      <c r="L665" s="59" t="n"/>
      <c r="M665" s="61" t="str">
        <f>IF(OR(B665="",NOT(ISNUMBER(K665)),NOT(ISNUMBER(L665))),"",IF(OR(K665&lt;=0,L665&lt;=0),"",ROUND(L665-K665,6)))</f>
        <v/>
      </c>
      <c r="N665" s="58" t="n"/>
      <c r="O665" s="62" t="n"/>
      <c r="P665" s="63" t="str">
        <f>IF(OR(B665="",NOT(ISNUMBER(L665))),"",IF(L665&lt;=0,"",IFERROR(ROUND(L665*N(INDEX(art_w,MATCH(H665,art_ref,0))),3),"")))</f>
        <v/>
      </c>
      <c r="Q665" s="59" t="n"/>
      <c r="R665" s="54" t="n"/>
      <c r="S665" s="59" t="n"/>
      <c r="T665" s="59" t="n"/>
      <c r="U665" s="64" t="str">
        <f>IF(OR(B665="",H665=""),"",IFERROR(IF(A665="BL",IF(N(INDEX(art_price,MATCH(H665,art_ref,0)))=0,"",N(INDEX(art_price,MATCH(H665,art_ref,0)))),IF(N(INDEX(art_cost,MATCH(H665,art_ref,0)))=0,"",N(INDEX(art_cost,MATCH(H665,art_ref,0))))),""))</f>
        <v/>
      </c>
      <c r="V665" s="64" t="str">
        <f>IF(OR(U665="",NOT(ISNUMBER(L665))),"",IF(L665&lt;=0,"",ROUND(L665*U665,2)))</f>
        <v/>
      </c>
      <c r="W665" s="60" t="str">
        <f>IF(AND(B665&lt;&gt;"",A665&lt;&gt;"BS",F665&lt;&gt;"",H665&lt;&gt;"",ISNUMBER(K665),ISNUMBER(L665)),IF(AND(K665&gt;0,L665&gt;0,K665-L665&gt;0,COUNTIFS(A666:A$2005,A665,F666:F$2005,F665,H666:H$2005,H665,AA666:AA$2005,"&gt;0")=0),ROUND(K665-L665,6),""),"")</f>
        <v/>
      </c>
      <c r="X665" s="60" t="str">
        <f>IF(AND(A665="",C665="",D665="",H665="",L665=""),"",IF(A665="","Type manquant",IF(AND(A665&lt;&gt;"BL",A665&lt;&gt;"BR",A665&lt;&gt;"BS"),"Type inconnu (BL, BR ou BS)",IF(AG665=0,"Date manquante ou invalide",IF(D665="",IF(A665="BL","Client manquant",IF(A665="BR","Fournisseur manquant","Service manquant")),IF(IF(A665="BL",ISNA(MATCH(D665,cl_code,0)),IF(A665="BR",ISNA(MATCH(D665,fo_code,0)),ISNA(MATCH(D665,p_services,0)))),IF(A665="BL","Client inconnu",IF(A665="BR","Fournisseur inconnu","Service inconnu")),IF(H665="","Article manquant",IF(ISNA(MATCH(H665,art_ref,0)),"Article inconnu",IF(OR(NOT(ISNUMBER(L665)),N(L665)&lt;=0),"Quantité invalide",IF(AND(K665&lt;&gt;"",OR(NOT(ISNUMBER(K665)),N(K665)&lt;=0)),"Qté commandée invalide",IF(AG665&lt;SUMPRODUCT(MAX((A$6:A664=A665)*AG$6:AG664)),"Date antérieure au bon précédent",IF(AND(A665&lt;&gt;"BR",ISNUMBER(M665),N(M665)&gt;0),IF(A665="BL","Livré plus que commandé","Sorti plus que demandé"),"OK"))))))))))))</f>
        <v/>
      </c>
      <c r="Y665" s="57" t="str">
        <f>IF(AND(OR(A665="BL",A665="BR",A665="BS"),AG665&gt;0,D665&lt;&gt;""),A665&amp;"|"&amp;AG665&amp;"|"&amp;D665&amp;"|"&amp;F665,"")</f>
        <v/>
      </c>
      <c r="Z665" s="57" t="str">
        <f>IF(Y665="","",IF(COUNTIF(Y$6:Y664,Y665)=0,1,0))</f>
        <v/>
      </c>
      <c r="AA665" s="57" t="str">
        <f>IF(Y665="","",IF(Z665=1,COUNTIFS(A$6:A665,A665,Z$6:Z665,1),INDEX(AA$6:AA664,MATCH(Y665,Y$6:Y664,0))))</f>
        <v/>
      </c>
      <c r="AB665" s="57" t="str">
        <f>IF(B665="","",COUNTIF(B$6:B665,B665))</f>
        <v/>
      </c>
      <c r="AC665" s="57" t="str">
        <f>IF(B665="","",B665&amp;"#"&amp;AB665)</f>
        <v/>
      </c>
      <c r="AD665" s="57" t="str">
        <f>IF(Z665=1,A665&amp;AA665,"")</f>
        <v/>
      </c>
      <c r="AE665" s="57" t="str">
        <f>IF(B665="","",YEAR(C665))</f>
        <v/>
      </c>
      <c r="AF665" s="57" t="str">
        <f>IF(B665="","",MONTH(C665))</f>
        <v/>
      </c>
      <c r="AG665" s="57">
        <f>IF(ISNUMBER(C665),C665,0)</f>
        <v>0.0</v>
      </c>
      <c r="AH665" s="57" t="str">
        <f>IF(N(W665)&gt;0,COUNTIF(W$6:W665,"&gt;0"),"")</f>
        <v/>
      </c>
      <c r="AI665" s="57" t="str">
        <f>IF(Z665=1,COUNTIF(Z$6:Z665,1),"")</f>
        <v/>
      </c>
    </row>
    <row r="666">
      <c r="A666" s="54" t="n"/>
      <c r="B666" s="55" t="str">
        <f>IF(AA666="","",A666&amp;"-"&amp;RIGHT("000"&amp;AA666,4))</f>
        <v/>
      </c>
      <c r="C666" s="56" t="n"/>
      <c r="D666" s="54" t="n"/>
      <c r="E666" s="57" t="str">
        <f>IF(D666="","",IF(A666="BL",IFERROR(INDEX(cl_name,MATCH(D666,cl_code,0))&amp;"","Client inconnu"),IF(A666="BR",IFERROR(INDEX(fo_name,MATCH(D666,fo_code,0))&amp;"","Fournisseur inconnu"),IF(A666="BS",IF(ISNA(MATCH(D666,p_services,0)),"Service inconnu",D666&amp;""),""))))</f>
        <v/>
      </c>
      <c r="F666" s="58" t="n"/>
      <c r="G666" s="58" t="n"/>
      <c r="H666" s="59" t="n"/>
      <c r="I666" s="57" t="str">
        <f>IF(H666="","",IFERROR(INDEX(art_des,MATCH(H666,art_ref,0))&amp;"","Article inconnu"))</f>
        <v/>
      </c>
      <c r="J666" s="60" t="str">
        <f>IF(H666="","",IFERROR(INDEX(art_unit,MATCH(H666,art_ref,0))&amp;"",""))</f>
        <v/>
      </c>
      <c r="K666" s="59" t="n"/>
      <c r="L666" s="59" t="n"/>
      <c r="M666" s="61" t="str">
        <f>IF(OR(B666="",NOT(ISNUMBER(K666)),NOT(ISNUMBER(L666))),"",IF(OR(K666&lt;=0,L666&lt;=0),"",ROUND(L666-K666,6)))</f>
        <v/>
      </c>
      <c r="N666" s="58" t="n"/>
      <c r="O666" s="62" t="n"/>
      <c r="P666" s="63" t="str">
        <f>IF(OR(B666="",NOT(ISNUMBER(L666))),"",IF(L666&lt;=0,"",IFERROR(ROUND(L666*N(INDEX(art_w,MATCH(H666,art_ref,0))),3),"")))</f>
        <v/>
      </c>
      <c r="Q666" s="59" t="n"/>
      <c r="R666" s="54" t="n"/>
      <c r="S666" s="59" t="n"/>
      <c r="T666" s="59" t="n"/>
      <c r="U666" s="64" t="str">
        <f>IF(OR(B666="",H666=""),"",IFERROR(IF(A666="BL",IF(N(INDEX(art_price,MATCH(H666,art_ref,0)))=0,"",N(INDEX(art_price,MATCH(H666,art_ref,0)))),IF(N(INDEX(art_cost,MATCH(H666,art_ref,0)))=0,"",N(INDEX(art_cost,MATCH(H666,art_ref,0))))),""))</f>
        <v/>
      </c>
      <c r="V666" s="64" t="str">
        <f>IF(OR(U666="",NOT(ISNUMBER(L666))),"",IF(L666&lt;=0,"",ROUND(L666*U666,2)))</f>
        <v/>
      </c>
      <c r="W666" s="60" t="str">
        <f>IF(AND(B666&lt;&gt;"",A666&lt;&gt;"BS",F666&lt;&gt;"",H666&lt;&gt;"",ISNUMBER(K666),ISNUMBER(L666)),IF(AND(K666&gt;0,L666&gt;0,K666-L666&gt;0,COUNTIFS(A667:A$2005,A666,F667:F$2005,F666,H667:H$2005,H666,AA667:AA$2005,"&gt;0")=0),ROUND(K666-L666,6),""),"")</f>
        <v/>
      </c>
      <c r="X666" s="60" t="str">
        <f>IF(AND(A666="",C666="",D666="",H666="",L666=""),"",IF(A666="","Type manquant",IF(AND(A666&lt;&gt;"BL",A666&lt;&gt;"BR",A666&lt;&gt;"BS"),"Type inconnu (BL, BR ou BS)",IF(AG666=0,"Date manquante ou invalide",IF(D666="",IF(A666="BL","Client manquant",IF(A666="BR","Fournisseur manquant","Service manquant")),IF(IF(A666="BL",ISNA(MATCH(D666,cl_code,0)),IF(A666="BR",ISNA(MATCH(D666,fo_code,0)),ISNA(MATCH(D666,p_services,0)))),IF(A666="BL","Client inconnu",IF(A666="BR","Fournisseur inconnu","Service inconnu")),IF(H666="","Article manquant",IF(ISNA(MATCH(H666,art_ref,0)),"Article inconnu",IF(OR(NOT(ISNUMBER(L666)),N(L666)&lt;=0),"Quantité invalide",IF(AND(K666&lt;&gt;"",OR(NOT(ISNUMBER(K666)),N(K666)&lt;=0)),"Qté commandée invalide",IF(AG666&lt;SUMPRODUCT(MAX((A$6:A665=A666)*AG$6:AG665)),"Date antérieure au bon précédent",IF(AND(A666&lt;&gt;"BR",ISNUMBER(M666),N(M666)&gt;0),IF(A666="BL","Livré plus que commandé","Sorti plus que demandé"),"OK"))))))))))))</f>
        <v/>
      </c>
      <c r="Y666" s="57" t="str">
        <f>IF(AND(OR(A666="BL",A666="BR",A666="BS"),AG666&gt;0,D666&lt;&gt;""),A666&amp;"|"&amp;AG666&amp;"|"&amp;D666&amp;"|"&amp;F666,"")</f>
        <v/>
      </c>
      <c r="Z666" s="57" t="str">
        <f>IF(Y666="","",IF(COUNTIF(Y$6:Y665,Y666)=0,1,0))</f>
        <v/>
      </c>
      <c r="AA666" s="57" t="str">
        <f>IF(Y666="","",IF(Z666=1,COUNTIFS(A$6:A666,A666,Z$6:Z666,1),INDEX(AA$6:AA665,MATCH(Y666,Y$6:Y665,0))))</f>
        <v/>
      </c>
      <c r="AB666" s="57" t="str">
        <f>IF(B666="","",COUNTIF(B$6:B666,B666))</f>
        <v/>
      </c>
      <c r="AC666" s="57" t="str">
        <f>IF(B666="","",B666&amp;"#"&amp;AB666)</f>
        <v/>
      </c>
      <c r="AD666" s="57" t="str">
        <f>IF(Z666=1,A666&amp;AA666,"")</f>
        <v/>
      </c>
      <c r="AE666" s="57" t="str">
        <f>IF(B666="","",YEAR(C666))</f>
        <v/>
      </c>
      <c r="AF666" s="57" t="str">
        <f>IF(B666="","",MONTH(C666))</f>
        <v/>
      </c>
      <c r="AG666" s="57">
        <f>IF(ISNUMBER(C666),C666,0)</f>
        <v>0.0</v>
      </c>
      <c r="AH666" s="57" t="str">
        <f>IF(N(W666)&gt;0,COUNTIF(W$6:W666,"&gt;0"),"")</f>
        <v/>
      </c>
      <c r="AI666" s="57" t="str">
        <f>IF(Z666=1,COUNTIF(Z$6:Z666,1),"")</f>
        <v/>
      </c>
    </row>
    <row r="667">
      <c r="A667" s="54" t="n"/>
      <c r="B667" s="55" t="str">
        <f>IF(AA667="","",A667&amp;"-"&amp;RIGHT("000"&amp;AA667,4))</f>
        <v/>
      </c>
      <c r="C667" s="56" t="n"/>
      <c r="D667" s="54" t="n"/>
      <c r="E667" s="57" t="str">
        <f>IF(D667="","",IF(A667="BL",IFERROR(INDEX(cl_name,MATCH(D667,cl_code,0))&amp;"","Client inconnu"),IF(A667="BR",IFERROR(INDEX(fo_name,MATCH(D667,fo_code,0))&amp;"","Fournisseur inconnu"),IF(A667="BS",IF(ISNA(MATCH(D667,p_services,0)),"Service inconnu",D667&amp;""),""))))</f>
        <v/>
      </c>
      <c r="F667" s="58" t="n"/>
      <c r="G667" s="58" t="n"/>
      <c r="H667" s="59" t="n"/>
      <c r="I667" s="57" t="str">
        <f>IF(H667="","",IFERROR(INDEX(art_des,MATCH(H667,art_ref,0))&amp;"","Article inconnu"))</f>
        <v/>
      </c>
      <c r="J667" s="60" t="str">
        <f>IF(H667="","",IFERROR(INDEX(art_unit,MATCH(H667,art_ref,0))&amp;"",""))</f>
        <v/>
      </c>
      <c r="K667" s="59" t="n"/>
      <c r="L667" s="59" t="n"/>
      <c r="M667" s="61" t="str">
        <f>IF(OR(B667="",NOT(ISNUMBER(K667)),NOT(ISNUMBER(L667))),"",IF(OR(K667&lt;=0,L667&lt;=0),"",ROUND(L667-K667,6)))</f>
        <v/>
      </c>
      <c r="N667" s="58" t="n"/>
      <c r="O667" s="62" t="n"/>
      <c r="P667" s="63" t="str">
        <f>IF(OR(B667="",NOT(ISNUMBER(L667))),"",IF(L667&lt;=0,"",IFERROR(ROUND(L667*N(INDEX(art_w,MATCH(H667,art_ref,0))),3),"")))</f>
        <v/>
      </c>
      <c r="Q667" s="59" t="n"/>
      <c r="R667" s="54" t="n"/>
      <c r="S667" s="59" t="n"/>
      <c r="T667" s="59" t="n"/>
      <c r="U667" s="64" t="str">
        <f>IF(OR(B667="",H667=""),"",IFERROR(IF(A667="BL",IF(N(INDEX(art_price,MATCH(H667,art_ref,0)))=0,"",N(INDEX(art_price,MATCH(H667,art_ref,0)))),IF(N(INDEX(art_cost,MATCH(H667,art_ref,0)))=0,"",N(INDEX(art_cost,MATCH(H667,art_ref,0))))),""))</f>
        <v/>
      </c>
      <c r="V667" s="64" t="str">
        <f>IF(OR(U667="",NOT(ISNUMBER(L667))),"",IF(L667&lt;=0,"",ROUND(L667*U667,2)))</f>
        <v/>
      </c>
      <c r="W667" s="60" t="str">
        <f>IF(AND(B667&lt;&gt;"",A667&lt;&gt;"BS",F667&lt;&gt;"",H667&lt;&gt;"",ISNUMBER(K667),ISNUMBER(L667)),IF(AND(K667&gt;0,L667&gt;0,K667-L667&gt;0,COUNTIFS(A668:A$2005,A667,F668:F$2005,F667,H668:H$2005,H667,AA668:AA$2005,"&gt;0")=0),ROUND(K667-L667,6),""),"")</f>
        <v/>
      </c>
      <c r="X667" s="60" t="str">
        <f>IF(AND(A667="",C667="",D667="",H667="",L667=""),"",IF(A667="","Type manquant",IF(AND(A667&lt;&gt;"BL",A667&lt;&gt;"BR",A667&lt;&gt;"BS"),"Type inconnu (BL, BR ou BS)",IF(AG667=0,"Date manquante ou invalide",IF(D667="",IF(A667="BL","Client manquant",IF(A667="BR","Fournisseur manquant","Service manquant")),IF(IF(A667="BL",ISNA(MATCH(D667,cl_code,0)),IF(A667="BR",ISNA(MATCH(D667,fo_code,0)),ISNA(MATCH(D667,p_services,0)))),IF(A667="BL","Client inconnu",IF(A667="BR","Fournisseur inconnu","Service inconnu")),IF(H667="","Article manquant",IF(ISNA(MATCH(H667,art_ref,0)),"Article inconnu",IF(OR(NOT(ISNUMBER(L667)),N(L667)&lt;=0),"Quantité invalide",IF(AND(K667&lt;&gt;"",OR(NOT(ISNUMBER(K667)),N(K667)&lt;=0)),"Qté commandée invalide",IF(AG667&lt;SUMPRODUCT(MAX((A$6:A666=A667)*AG$6:AG666)),"Date antérieure au bon précédent",IF(AND(A667&lt;&gt;"BR",ISNUMBER(M667),N(M667)&gt;0),IF(A667="BL","Livré plus que commandé","Sorti plus que demandé"),"OK"))))))))))))</f>
        <v/>
      </c>
      <c r="Y667" s="57" t="str">
        <f>IF(AND(OR(A667="BL",A667="BR",A667="BS"),AG667&gt;0,D667&lt;&gt;""),A667&amp;"|"&amp;AG667&amp;"|"&amp;D667&amp;"|"&amp;F667,"")</f>
        <v/>
      </c>
      <c r="Z667" s="57" t="str">
        <f>IF(Y667="","",IF(COUNTIF(Y$6:Y666,Y667)=0,1,0))</f>
        <v/>
      </c>
      <c r="AA667" s="57" t="str">
        <f>IF(Y667="","",IF(Z667=1,COUNTIFS(A$6:A667,A667,Z$6:Z667,1),INDEX(AA$6:AA666,MATCH(Y667,Y$6:Y666,0))))</f>
        <v/>
      </c>
      <c r="AB667" s="57" t="str">
        <f>IF(B667="","",COUNTIF(B$6:B667,B667))</f>
        <v/>
      </c>
      <c r="AC667" s="57" t="str">
        <f>IF(B667="","",B667&amp;"#"&amp;AB667)</f>
        <v/>
      </c>
      <c r="AD667" s="57" t="str">
        <f>IF(Z667=1,A667&amp;AA667,"")</f>
        <v/>
      </c>
      <c r="AE667" s="57" t="str">
        <f>IF(B667="","",YEAR(C667))</f>
        <v/>
      </c>
      <c r="AF667" s="57" t="str">
        <f>IF(B667="","",MONTH(C667))</f>
        <v/>
      </c>
      <c r="AG667" s="57">
        <f>IF(ISNUMBER(C667),C667,0)</f>
        <v>0.0</v>
      </c>
      <c r="AH667" s="57" t="str">
        <f>IF(N(W667)&gt;0,COUNTIF(W$6:W667,"&gt;0"),"")</f>
        <v/>
      </c>
      <c r="AI667" s="57" t="str">
        <f>IF(Z667=1,COUNTIF(Z$6:Z667,1),"")</f>
        <v/>
      </c>
    </row>
    <row r="668">
      <c r="A668" s="54" t="n"/>
      <c r="B668" s="55" t="str">
        <f>IF(AA668="","",A668&amp;"-"&amp;RIGHT("000"&amp;AA668,4))</f>
        <v/>
      </c>
      <c r="C668" s="56" t="n"/>
      <c r="D668" s="54" t="n"/>
      <c r="E668" s="57" t="str">
        <f>IF(D668="","",IF(A668="BL",IFERROR(INDEX(cl_name,MATCH(D668,cl_code,0))&amp;"","Client inconnu"),IF(A668="BR",IFERROR(INDEX(fo_name,MATCH(D668,fo_code,0))&amp;"","Fournisseur inconnu"),IF(A668="BS",IF(ISNA(MATCH(D668,p_services,0)),"Service inconnu",D668&amp;""),""))))</f>
        <v/>
      </c>
      <c r="F668" s="58" t="n"/>
      <c r="G668" s="58" t="n"/>
      <c r="H668" s="59" t="n"/>
      <c r="I668" s="57" t="str">
        <f>IF(H668="","",IFERROR(INDEX(art_des,MATCH(H668,art_ref,0))&amp;"","Article inconnu"))</f>
        <v/>
      </c>
      <c r="J668" s="60" t="str">
        <f>IF(H668="","",IFERROR(INDEX(art_unit,MATCH(H668,art_ref,0))&amp;"",""))</f>
        <v/>
      </c>
      <c r="K668" s="59" t="n"/>
      <c r="L668" s="59" t="n"/>
      <c r="M668" s="61" t="str">
        <f>IF(OR(B668="",NOT(ISNUMBER(K668)),NOT(ISNUMBER(L668))),"",IF(OR(K668&lt;=0,L668&lt;=0),"",ROUND(L668-K668,6)))</f>
        <v/>
      </c>
      <c r="N668" s="58" t="n"/>
      <c r="O668" s="62" t="n"/>
      <c r="P668" s="63" t="str">
        <f>IF(OR(B668="",NOT(ISNUMBER(L668))),"",IF(L668&lt;=0,"",IFERROR(ROUND(L668*N(INDEX(art_w,MATCH(H668,art_ref,0))),3),"")))</f>
        <v/>
      </c>
      <c r="Q668" s="59" t="n"/>
      <c r="R668" s="54" t="n"/>
      <c r="S668" s="59" t="n"/>
      <c r="T668" s="59" t="n"/>
      <c r="U668" s="64" t="str">
        <f>IF(OR(B668="",H668=""),"",IFERROR(IF(A668="BL",IF(N(INDEX(art_price,MATCH(H668,art_ref,0)))=0,"",N(INDEX(art_price,MATCH(H668,art_ref,0)))),IF(N(INDEX(art_cost,MATCH(H668,art_ref,0)))=0,"",N(INDEX(art_cost,MATCH(H668,art_ref,0))))),""))</f>
        <v/>
      </c>
      <c r="V668" s="64" t="str">
        <f>IF(OR(U668="",NOT(ISNUMBER(L668))),"",IF(L668&lt;=0,"",ROUND(L668*U668,2)))</f>
        <v/>
      </c>
      <c r="W668" s="60" t="str">
        <f>IF(AND(B668&lt;&gt;"",A668&lt;&gt;"BS",F668&lt;&gt;"",H668&lt;&gt;"",ISNUMBER(K668),ISNUMBER(L668)),IF(AND(K668&gt;0,L668&gt;0,K668-L668&gt;0,COUNTIFS(A669:A$2005,A668,F669:F$2005,F668,H669:H$2005,H668,AA669:AA$2005,"&gt;0")=0),ROUND(K668-L668,6),""),"")</f>
        <v/>
      </c>
      <c r="X668" s="60" t="str">
        <f>IF(AND(A668="",C668="",D668="",H668="",L668=""),"",IF(A668="","Type manquant",IF(AND(A668&lt;&gt;"BL",A668&lt;&gt;"BR",A668&lt;&gt;"BS"),"Type inconnu (BL, BR ou BS)",IF(AG668=0,"Date manquante ou invalide",IF(D668="",IF(A668="BL","Client manquant",IF(A668="BR","Fournisseur manquant","Service manquant")),IF(IF(A668="BL",ISNA(MATCH(D668,cl_code,0)),IF(A668="BR",ISNA(MATCH(D668,fo_code,0)),ISNA(MATCH(D668,p_services,0)))),IF(A668="BL","Client inconnu",IF(A668="BR","Fournisseur inconnu","Service inconnu")),IF(H668="","Article manquant",IF(ISNA(MATCH(H668,art_ref,0)),"Article inconnu",IF(OR(NOT(ISNUMBER(L668)),N(L668)&lt;=0),"Quantité invalide",IF(AND(K668&lt;&gt;"",OR(NOT(ISNUMBER(K668)),N(K668)&lt;=0)),"Qté commandée invalide",IF(AG668&lt;SUMPRODUCT(MAX((A$6:A667=A668)*AG$6:AG667)),"Date antérieure au bon précédent",IF(AND(A668&lt;&gt;"BR",ISNUMBER(M668),N(M668)&gt;0),IF(A668="BL","Livré plus que commandé","Sorti plus que demandé"),"OK"))))))))))))</f>
        <v/>
      </c>
      <c r="Y668" s="57" t="str">
        <f>IF(AND(OR(A668="BL",A668="BR",A668="BS"),AG668&gt;0,D668&lt;&gt;""),A668&amp;"|"&amp;AG668&amp;"|"&amp;D668&amp;"|"&amp;F668,"")</f>
        <v/>
      </c>
      <c r="Z668" s="57" t="str">
        <f>IF(Y668="","",IF(COUNTIF(Y$6:Y667,Y668)=0,1,0))</f>
        <v/>
      </c>
      <c r="AA668" s="57" t="str">
        <f>IF(Y668="","",IF(Z668=1,COUNTIFS(A$6:A668,A668,Z$6:Z668,1),INDEX(AA$6:AA667,MATCH(Y668,Y$6:Y667,0))))</f>
        <v/>
      </c>
      <c r="AB668" s="57" t="str">
        <f>IF(B668="","",COUNTIF(B$6:B668,B668))</f>
        <v/>
      </c>
      <c r="AC668" s="57" t="str">
        <f>IF(B668="","",B668&amp;"#"&amp;AB668)</f>
        <v/>
      </c>
      <c r="AD668" s="57" t="str">
        <f>IF(Z668=1,A668&amp;AA668,"")</f>
        <v/>
      </c>
      <c r="AE668" s="57" t="str">
        <f>IF(B668="","",YEAR(C668))</f>
        <v/>
      </c>
      <c r="AF668" s="57" t="str">
        <f>IF(B668="","",MONTH(C668))</f>
        <v/>
      </c>
      <c r="AG668" s="57">
        <f>IF(ISNUMBER(C668),C668,0)</f>
        <v>0.0</v>
      </c>
      <c r="AH668" s="57" t="str">
        <f>IF(N(W668)&gt;0,COUNTIF(W$6:W668,"&gt;0"),"")</f>
        <v/>
      </c>
      <c r="AI668" s="57" t="str">
        <f>IF(Z668=1,COUNTIF(Z$6:Z668,1),"")</f>
        <v/>
      </c>
    </row>
    <row r="669">
      <c r="A669" s="54" t="n"/>
      <c r="B669" s="55" t="str">
        <f>IF(AA669="","",A669&amp;"-"&amp;RIGHT("000"&amp;AA669,4))</f>
        <v/>
      </c>
      <c r="C669" s="56" t="n"/>
      <c r="D669" s="54" t="n"/>
      <c r="E669" s="57" t="str">
        <f>IF(D669="","",IF(A669="BL",IFERROR(INDEX(cl_name,MATCH(D669,cl_code,0))&amp;"","Client inconnu"),IF(A669="BR",IFERROR(INDEX(fo_name,MATCH(D669,fo_code,0))&amp;"","Fournisseur inconnu"),IF(A669="BS",IF(ISNA(MATCH(D669,p_services,0)),"Service inconnu",D669&amp;""),""))))</f>
        <v/>
      </c>
      <c r="F669" s="58" t="n"/>
      <c r="G669" s="58" t="n"/>
      <c r="H669" s="59" t="n"/>
      <c r="I669" s="57" t="str">
        <f>IF(H669="","",IFERROR(INDEX(art_des,MATCH(H669,art_ref,0))&amp;"","Article inconnu"))</f>
        <v/>
      </c>
      <c r="J669" s="60" t="str">
        <f>IF(H669="","",IFERROR(INDEX(art_unit,MATCH(H669,art_ref,0))&amp;"",""))</f>
        <v/>
      </c>
      <c r="K669" s="59" t="n"/>
      <c r="L669" s="59" t="n"/>
      <c r="M669" s="61" t="str">
        <f>IF(OR(B669="",NOT(ISNUMBER(K669)),NOT(ISNUMBER(L669))),"",IF(OR(K669&lt;=0,L669&lt;=0),"",ROUND(L669-K669,6)))</f>
        <v/>
      </c>
      <c r="N669" s="58" t="n"/>
      <c r="O669" s="62" t="n"/>
      <c r="P669" s="63" t="str">
        <f>IF(OR(B669="",NOT(ISNUMBER(L669))),"",IF(L669&lt;=0,"",IFERROR(ROUND(L669*N(INDEX(art_w,MATCH(H669,art_ref,0))),3),"")))</f>
        <v/>
      </c>
      <c r="Q669" s="59" t="n"/>
      <c r="R669" s="54" t="n"/>
      <c r="S669" s="59" t="n"/>
      <c r="T669" s="59" t="n"/>
      <c r="U669" s="64" t="str">
        <f>IF(OR(B669="",H669=""),"",IFERROR(IF(A669="BL",IF(N(INDEX(art_price,MATCH(H669,art_ref,0)))=0,"",N(INDEX(art_price,MATCH(H669,art_ref,0)))),IF(N(INDEX(art_cost,MATCH(H669,art_ref,0)))=0,"",N(INDEX(art_cost,MATCH(H669,art_ref,0))))),""))</f>
        <v/>
      </c>
      <c r="V669" s="64" t="str">
        <f>IF(OR(U669="",NOT(ISNUMBER(L669))),"",IF(L669&lt;=0,"",ROUND(L669*U669,2)))</f>
        <v/>
      </c>
      <c r="W669" s="60" t="str">
        <f>IF(AND(B669&lt;&gt;"",A669&lt;&gt;"BS",F669&lt;&gt;"",H669&lt;&gt;"",ISNUMBER(K669),ISNUMBER(L669)),IF(AND(K669&gt;0,L669&gt;0,K669-L669&gt;0,COUNTIFS(A670:A$2005,A669,F670:F$2005,F669,H670:H$2005,H669,AA670:AA$2005,"&gt;0")=0),ROUND(K669-L669,6),""),"")</f>
        <v/>
      </c>
      <c r="X669" s="60" t="str">
        <f>IF(AND(A669="",C669="",D669="",H669="",L669=""),"",IF(A669="","Type manquant",IF(AND(A669&lt;&gt;"BL",A669&lt;&gt;"BR",A669&lt;&gt;"BS"),"Type inconnu (BL, BR ou BS)",IF(AG669=0,"Date manquante ou invalide",IF(D669="",IF(A669="BL","Client manquant",IF(A669="BR","Fournisseur manquant","Service manquant")),IF(IF(A669="BL",ISNA(MATCH(D669,cl_code,0)),IF(A669="BR",ISNA(MATCH(D669,fo_code,0)),ISNA(MATCH(D669,p_services,0)))),IF(A669="BL","Client inconnu",IF(A669="BR","Fournisseur inconnu","Service inconnu")),IF(H669="","Article manquant",IF(ISNA(MATCH(H669,art_ref,0)),"Article inconnu",IF(OR(NOT(ISNUMBER(L669)),N(L669)&lt;=0),"Quantité invalide",IF(AND(K669&lt;&gt;"",OR(NOT(ISNUMBER(K669)),N(K669)&lt;=0)),"Qté commandée invalide",IF(AG669&lt;SUMPRODUCT(MAX((A$6:A668=A669)*AG$6:AG668)),"Date antérieure au bon précédent",IF(AND(A669&lt;&gt;"BR",ISNUMBER(M669),N(M669)&gt;0),IF(A669="BL","Livré plus que commandé","Sorti plus que demandé"),"OK"))))))))))))</f>
        <v/>
      </c>
      <c r="Y669" s="57" t="str">
        <f>IF(AND(OR(A669="BL",A669="BR",A669="BS"),AG669&gt;0,D669&lt;&gt;""),A669&amp;"|"&amp;AG669&amp;"|"&amp;D669&amp;"|"&amp;F669,"")</f>
        <v/>
      </c>
      <c r="Z669" s="57" t="str">
        <f>IF(Y669="","",IF(COUNTIF(Y$6:Y668,Y669)=0,1,0))</f>
        <v/>
      </c>
      <c r="AA669" s="57" t="str">
        <f>IF(Y669="","",IF(Z669=1,COUNTIFS(A$6:A669,A669,Z$6:Z669,1),INDEX(AA$6:AA668,MATCH(Y669,Y$6:Y668,0))))</f>
        <v/>
      </c>
      <c r="AB669" s="57" t="str">
        <f>IF(B669="","",COUNTIF(B$6:B669,B669))</f>
        <v/>
      </c>
      <c r="AC669" s="57" t="str">
        <f>IF(B669="","",B669&amp;"#"&amp;AB669)</f>
        <v/>
      </c>
      <c r="AD669" s="57" t="str">
        <f>IF(Z669=1,A669&amp;AA669,"")</f>
        <v/>
      </c>
      <c r="AE669" s="57" t="str">
        <f>IF(B669="","",YEAR(C669))</f>
        <v/>
      </c>
      <c r="AF669" s="57" t="str">
        <f>IF(B669="","",MONTH(C669))</f>
        <v/>
      </c>
      <c r="AG669" s="57">
        <f>IF(ISNUMBER(C669),C669,0)</f>
        <v>0.0</v>
      </c>
      <c r="AH669" s="57" t="str">
        <f>IF(N(W669)&gt;0,COUNTIF(W$6:W669,"&gt;0"),"")</f>
        <v/>
      </c>
      <c r="AI669" s="57" t="str">
        <f>IF(Z669=1,COUNTIF(Z$6:Z669,1),"")</f>
        <v/>
      </c>
    </row>
    <row r="670">
      <c r="A670" s="54" t="n"/>
      <c r="B670" s="55" t="str">
        <f>IF(AA670="","",A670&amp;"-"&amp;RIGHT("000"&amp;AA670,4))</f>
        <v/>
      </c>
      <c r="C670" s="56" t="n"/>
      <c r="D670" s="54" t="n"/>
      <c r="E670" s="57" t="str">
        <f>IF(D670="","",IF(A670="BL",IFERROR(INDEX(cl_name,MATCH(D670,cl_code,0))&amp;"","Client inconnu"),IF(A670="BR",IFERROR(INDEX(fo_name,MATCH(D670,fo_code,0))&amp;"","Fournisseur inconnu"),IF(A670="BS",IF(ISNA(MATCH(D670,p_services,0)),"Service inconnu",D670&amp;""),""))))</f>
        <v/>
      </c>
      <c r="F670" s="58" t="n"/>
      <c r="G670" s="58" t="n"/>
      <c r="H670" s="59" t="n"/>
      <c r="I670" s="57" t="str">
        <f>IF(H670="","",IFERROR(INDEX(art_des,MATCH(H670,art_ref,0))&amp;"","Article inconnu"))</f>
        <v/>
      </c>
      <c r="J670" s="60" t="str">
        <f>IF(H670="","",IFERROR(INDEX(art_unit,MATCH(H670,art_ref,0))&amp;"",""))</f>
        <v/>
      </c>
      <c r="K670" s="59" t="n"/>
      <c r="L670" s="59" t="n"/>
      <c r="M670" s="61" t="str">
        <f>IF(OR(B670="",NOT(ISNUMBER(K670)),NOT(ISNUMBER(L670))),"",IF(OR(K670&lt;=0,L670&lt;=0),"",ROUND(L670-K670,6)))</f>
        <v/>
      </c>
      <c r="N670" s="58" t="n"/>
      <c r="O670" s="62" t="n"/>
      <c r="P670" s="63" t="str">
        <f>IF(OR(B670="",NOT(ISNUMBER(L670))),"",IF(L670&lt;=0,"",IFERROR(ROUND(L670*N(INDEX(art_w,MATCH(H670,art_ref,0))),3),"")))</f>
        <v/>
      </c>
      <c r="Q670" s="59" t="n"/>
      <c r="R670" s="54" t="n"/>
      <c r="S670" s="59" t="n"/>
      <c r="T670" s="59" t="n"/>
      <c r="U670" s="64" t="str">
        <f>IF(OR(B670="",H670=""),"",IFERROR(IF(A670="BL",IF(N(INDEX(art_price,MATCH(H670,art_ref,0)))=0,"",N(INDEX(art_price,MATCH(H670,art_ref,0)))),IF(N(INDEX(art_cost,MATCH(H670,art_ref,0)))=0,"",N(INDEX(art_cost,MATCH(H670,art_ref,0))))),""))</f>
        <v/>
      </c>
      <c r="V670" s="64" t="str">
        <f>IF(OR(U670="",NOT(ISNUMBER(L670))),"",IF(L670&lt;=0,"",ROUND(L670*U670,2)))</f>
        <v/>
      </c>
      <c r="W670" s="60" t="str">
        <f>IF(AND(B670&lt;&gt;"",A670&lt;&gt;"BS",F670&lt;&gt;"",H670&lt;&gt;"",ISNUMBER(K670),ISNUMBER(L670)),IF(AND(K670&gt;0,L670&gt;0,K670-L670&gt;0,COUNTIFS(A671:A$2005,A670,F671:F$2005,F670,H671:H$2005,H670,AA671:AA$2005,"&gt;0")=0),ROUND(K670-L670,6),""),"")</f>
        <v/>
      </c>
      <c r="X670" s="60" t="str">
        <f>IF(AND(A670="",C670="",D670="",H670="",L670=""),"",IF(A670="","Type manquant",IF(AND(A670&lt;&gt;"BL",A670&lt;&gt;"BR",A670&lt;&gt;"BS"),"Type inconnu (BL, BR ou BS)",IF(AG670=0,"Date manquante ou invalide",IF(D670="",IF(A670="BL","Client manquant",IF(A670="BR","Fournisseur manquant","Service manquant")),IF(IF(A670="BL",ISNA(MATCH(D670,cl_code,0)),IF(A670="BR",ISNA(MATCH(D670,fo_code,0)),ISNA(MATCH(D670,p_services,0)))),IF(A670="BL","Client inconnu",IF(A670="BR","Fournisseur inconnu","Service inconnu")),IF(H670="","Article manquant",IF(ISNA(MATCH(H670,art_ref,0)),"Article inconnu",IF(OR(NOT(ISNUMBER(L670)),N(L670)&lt;=0),"Quantité invalide",IF(AND(K670&lt;&gt;"",OR(NOT(ISNUMBER(K670)),N(K670)&lt;=0)),"Qté commandée invalide",IF(AG670&lt;SUMPRODUCT(MAX((A$6:A669=A670)*AG$6:AG669)),"Date antérieure au bon précédent",IF(AND(A670&lt;&gt;"BR",ISNUMBER(M670),N(M670)&gt;0),IF(A670="BL","Livré plus que commandé","Sorti plus que demandé"),"OK"))))))))))))</f>
        <v/>
      </c>
      <c r="Y670" s="57" t="str">
        <f>IF(AND(OR(A670="BL",A670="BR",A670="BS"),AG670&gt;0,D670&lt;&gt;""),A670&amp;"|"&amp;AG670&amp;"|"&amp;D670&amp;"|"&amp;F670,"")</f>
        <v/>
      </c>
      <c r="Z670" s="57" t="str">
        <f>IF(Y670="","",IF(COUNTIF(Y$6:Y669,Y670)=0,1,0))</f>
        <v/>
      </c>
      <c r="AA670" s="57" t="str">
        <f>IF(Y670="","",IF(Z670=1,COUNTIFS(A$6:A670,A670,Z$6:Z670,1),INDEX(AA$6:AA669,MATCH(Y670,Y$6:Y669,0))))</f>
        <v/>
      </c>
      <c r="AB670" s="57" t="str">
        <f>IF(B670="","",COUNTIF(B$6:B670,B670))</f>
        <v/>
      </c>
      <c r="AC670" s="57" t="str">
        <f>IF(B670="","",B670&amp;"#"&amp;AB670)</f>
        <v/>
      </c>
      <c r="AD670" s="57" t="str">
        <f>IF(Z670=1,A670&amp;AA670,"")</f>
        <v/>
      </c>
      <c r="AE670" s="57" t="str">
        <f>IF(B670="","",YEAR(C670))</f>
        <v/>
      </c>
      <c r="AF670" s="57" t="str">
        <f>IF(B670="","",MONTH(C670))</f>
        <v/>
      </c>
      <c r="AG670" s="57">
        <f>IF(ISNUMBER(C670),C670,0)</f>
        <v>0.0</v>
      </c>
      <c r="AH670" s="57" t="str">
        <f>IF(N(W670)&gt;0,COUNTIF(W$6:W670,"&gt;0"),"")</f>
        <v/>
      </c>
      <c r="AI670" s="57" t="str">
        <f>IF(Z670=1,COUNTIF(Z$6:Z670,1),"")</f>
        <v/>
      </c>
    </row>
    <row r="671">
      <c r="A671" s="54" t="n"/>
      <c r="B671" s="55" t="str">
        <f>IF(AA671="","",A671&amp;"-"&amp;RIGHT("000"&amp;AA671,4))</f>
        <v/>
      </c>
      <c r="C671" s="56" t="n"/>
      <c r="D671" s="54" t="n"/>
      <c r="E671" s="57" t="str">
        <f>IF(D671="","",IF(A671="BL",IFERROR(INDEX(cl_name,MATCH(D671,cl_code,0))&amp;"","Client inconnu"),IF(A671="BR",IFERROR(INDEX(fo_name,MATCH(D671,fo_code,0))&amp;"","Fournisseur inconnu"),IF(A671="BS",IF(ISNA(MATCH(D671,p_services,0)),"Service inconnu",D671&amp;""),""))))</f>
        <v/>
      </c>
      <c r="F671" s="58" t="n"/>
      <c r="G671" s="58" t="n"/>
      <c r="H671" s="59" t="n"/>
      <c r="I671" s="57" t="str">
        <f>IF(H671="","",IFERROR(INDEX(art_des,MATCH(H671,art_ref,0))&amp;"","Article inconnu"))</f>
        <v/>
      </c>
      <c r="J671" s="60" t="str">
        <f>IF(H671="","",IFERROR(INDEX(art_unit,MATCH(H671,art_ref,0))&amp;"",""))</f>
        <v/>
      </c>
      <c r="K671" s="59" t="n"/>
      <c r="L671" s="59" t="n"/>
      <c r="M671" s="61" t="str">
        <f>IF(OR(B671="",NOT(ISNUMBER(K671)),NOT(ISNUMBER(L671))),"",IF(OR(K671&lt;=0,L671&lt;=0),"",ROUND(L671-K671,6)))</f>
        <v/>
      </c>
      <c r="N671" s="58" t="n"/>
      <c r="O671" s="62" t="n"/>
      <c r="P671" s="63" t="str">
        <f>IF(OR(B671="",NOT(ISNUMBER(L671))),"",IF(L671&lt;=0,"",IFERROR(ROUND(L671*N(INDEX(art_w,MATCH(H671,art_ref,0))),3),"")))</f>
        <v/>
      </c>
      <c r="Q671" s="59" t="n"/>
      <c r="R671" s="54" t="n"/>
      <c r="S671" s="59" t="n"/>
      <c r="T671" s="59" t="n"/>
      <c r="U671" s="64" t="str">
        <f>IF(OR(B671="",H671=""),"",IFERROR(IF(A671="BL",IF(N(INDEX(art_price,MATCH(H671,art_ref,0)))=0,"",N(INDEX(art_price,MATCH(H671,art_ref,0)))),IF(N(INDEX(art_cost,MATCH(H671,art_ref,0)))=0,"",N(INDEX(art_cost,MATCH(H671,art_ref,0))))),""))</f>
        <v/>
      </c>
      <c r="V671" s="64" t="str">
        <f>IF(OR(U671="",NOT(ISNUMBER(L671))),"",IF(L671&lt;=0,"",ROUND(L671*U671,2)))</f>
        <v/>
      </c>
      <c r="W671" s="60" t="str">
        <f>IF(AND(B671&lt;&gt;"",A671&lt;&gt;"BS",F671&lt;&gt;"",H671&lt;&gt;"",ISNUMBER(K671),ISNUMBER(L671)),IF(AND(K671&gt;0,L671&gt;0,K671-L671&gt;0,COUNTIFS(A672:A$2005,A671,F672:F$2005,F671,H672:H$2005,H671,AA672:AA$2005,"&gt;0")=0),ROUND(K671-L671,6),""),"")</f>
        <v/>
      </c>
      <c r="X671" s="60" t="str">
        <f>IF(AND(A671="",C671="",D671="",H671="",L671=""),"",IF(A671="","Type manquant",IF(AND(A671&lt;&gt;"BL",A671&lt;&gt;"BR",A671&lt;&gt;"BS"),"Type inconnu (BL, BR ou BS)",IF(AG671=0,"Date manquante ou invalide",IF(D671="",IF(A671="BL","Client manquant",IF(A671="BR","Fournisseur manquant","Service manquant")),IF(IF(A671="BL",ISNA(MATCH(D671,cl_code,0)),IF(A671="BR",ISNA(MATCH(D671,fo_code,0)),ISNA(MATCH(D671,p_services,0)))),IF(A671="BL","Client inconnu",IF(A671="BR","Fournisseur inconnu","Service inconnu")),IF(H671="","Article manquant",IF(ISNA(MATCH(H671,art_ref,0)),"Article inconnu",IF(OR(NOT(ISNUMBER(L671)),N(L671)&lt;=0),"Quantité invalide",IF(AND(K671&lt;&gt;"",OR(NOT(ISNUMBER(K671)),N(K671)&lt;=0)),"Qté commandée invalide",IF(AG671&lt;SUMPRODUCT(MAX((A$6:A670=A671)*AG$6:AG670)),"Date antérieure au bon précédent",IF(AND(A671&lt;&gt;"BR",ISNUMBER(M671),N(M671)&gt;0),IF(A671="BL","Livré plus que commandé","Sorti plus que demandé"),"OK"))))))))))))</f>
        <v/>
      </c>
      <c r="Y671" s="57" t="str">
        <f>IF(AND(OR(A671="BL",A671="BR",A671="BS"),AG671&gt;0,D671&lt;&gt;""),A671&amp;"|"&amp;AG671&amp;"|"&amp;D671&amp;"|"&amp;F671,"")</f>
        <v/>
      </c>
      <c r="Z671" s="57" t="str">
        <f>IF(Y671="","",IF(COUNTIF(Y$6:Y670,Y671)=0,1,0))</f>
        <v/>
      </c>
      <c r="AA671" s="57" t="str">
        <f>IF(Y671="","",IF(Z671=1,COUNTIFS(A$6:A671,A671,Z$6:Z671,1),INDEX(AA$6:AA670,MATCH(Y671,Y$6:Y670,0))))</f>
        <v/>
      </c>
      <c r="AB671" s="57" t="str">
        <f>IF(B671="","",COUNTIF(B$6:B671,B671))</f>
        <v/>
      </c>
      <c r="AC671" s="57" t="str">
        <f>IF(B671="","",B671&amp;"#"&amp;AB671)</f>
        <v/>
      </c>
      <c r="AD671" s="57" t="str">
        <f>IF(Z671=1,A671&amp;AA671,"")</f>
        <v/>
      </c>
      <c r="AE671" s="57" t="str">
        <f>IF(B671="","",YEAR(C671))</f>
        <v/>
      </c>
      <c r="AF671" s="57" t="str">
        <f>IF(B671="","",MONTH(C671))</f>
        <v/>
      </c>
      <c r="AG671" s="57">
        <f>IF(ISNUMBER(C671),C671,0)</f>
        <v>0.0</v>
      </c>
      <c r="AH671" s="57" t="str">
        <f>IF(N(W671)&gt;0,COUNTIF(W$6:W671,"&gt;0"),"")</f>
        <v/>
      </c>
      <c r="AI671" s="57" t="str">
        <f>IF(Z671=1,COUNTIF(Z$6:Z671,1),"")</f>
        <v/>
      </c>
    </row>
    <row r="672">
      <c r="A672" s="54" t="n"/>
      <c r="B672" s="55" t="str">
        <f>IF(AA672="","",A672&amp;"-"&amp;RIGHT("000"&amp;AA672,4))</f>
        <v/>
      </c>
      <c r="C672" s="56" t="n"/>
      <c r="D672" s="54" t="n"/>
      <c r="E672" s="57" t="str">
        <f>IF(D672="","",IF(A672="BL",IFERROR(INDEX(cl_name,MATCH(D672,cl_code,0))&amp;"","Client inconnu"),IF(A672="BR",IFERROR(INDEX(fo_name,MATCH(D672,fo_code,0))&amp;"","Fournisseur inconnu"),IF(A672="BS",IF(ISNA(MATCH(D672,p_services,0)),"Service inconnu",D672&amp;""),""))))</f>
        <v/>
      </c>
      <c r="F672" s="58" t="n"/>
      <c r="G672" s="58" t="n"/>
      <c r="H672" s="59" t="n"/>
      <c r="I672" s="57" t="str">
        <f>IF(H672="","",IFERROR(INDEX(art_des,MATCH(H672,art_ref,0))&amp;"","Article inconnu"))</f>
        <v/>
      </c>
      <c r="J672" s="60" t="str">
        <f>IF(H672="","",IFERROR(INDEX(art_unit,MATCH(H672,art_ref,0))&amp;"",""))</f>
        <v/>
      </c>
      <c r="K672" s="59" t="n"/>
      <c r="L672" s="59" t="n"/>
      <c r="M672" s="61" t="str">
        <f>IF(OR(B672="",NOT(ISNUMBER(K672)),NOT(ISNUMBER(L672))),"",IF(OR(K672&lt;=0,L672&lt;=0),"",ROUND(L672-K672,6)))</f>
        <v/>
      </c>
      <c r="N672" s="58" t="n"/>
      <c r="O672" s="62" t="n"/>
      <c r="P672" s="63" t="str">
        <f>IF(OR(B672="",NOT(ISNUMBER(L672))),"",IF(L672&lt;=0,"",IFERROR(ROUND(L672*N(INDEX(art_w,MATCH(H672,art_ref,0))),3),"")))</f>
        <v/>
      </c>
      <c r="Q672" s="59" t="n"/>
      <c r="R672" s="54" t="n"/>
      <c r="S672" s="59" t="n"/>
      <c r="T672" s="59" t="n"/>
      <c r="U672" s="64" t="str">
        <f>IF(OR(B672="",H672=""),"",IFERROR(IF(A672="BL",IF(N(INDEX(art_price,MATCH(H672,art_ref,0)))=0,"",N(INDEX(art_price,MATCH(H672,art_ref,0)))),IF(N(INDEX(art_cost,MATCH(H672,art_ref,0)))=0,"",N(INDEX(art_cost,MATCH(H672,art_ref,0))))),""))</f>
        <v/>
      </c>
      <c r="V672" s="64" t="str">
        <f>IF(OR(U672="",NOT(ISNUMBER(L672))),"",IF(L672&lt;=0,"",ROUND(L672*U672,2)))</f>
        <v/>
      </c>
      <c r="W672" s="60" t="str">
        <f>IF(AND(B672&lt;&gt;"",A672&lt;&gt;"BS",F672&lt;&gt;"",H672&lt;&gt;"",ISNUMBER(K672),ISNUMBER(L672)),IF(AND(K672&gt;0,L672&gt;0,K672-L672&gt;0,COUNTIFS(A673:A$2005,A672,F673:F$2005,F672,H673:H$2005,H672,AA673:AA$2005,"&gt;0")=0),ROUND(K672-L672,6),""),"")</f>
        <v/>
      </c>
      <c r="X672" s="60" t="str">
        <f>IF(AND(A672="",C672="",D672="",H672="",L672=""),"",IF(A672="","Type manquant",IF(AND(A672&lt;&gt;"BL",A672&lt;&gt;"BR",A672&lt;&gt;"BS"),"Type inconnu (BL, BR ou BS)",IF(AG672=0,"Date manquante ou invalide",IF(D672="",IF(A672="BL","Client manquant",IF(A672="BR","Fournisseur manquant","Service manquant")),IF(IF(A672="BL",ISNA(MATCH(D672,cl_code,0)),IF(A672="BR",ISNA(MATCH(D672,fo_code,0)),ISNA(MATCH(D672,p_services,0)))),IF(A672="BL","Client inconnu",IF(A672="BR","Fournisseur inconnu","Service inconnu")),IF(H672="","Article manquant",IF(ISNA(MATCH(H672,art_ref,0)),"Article inconnu",IF(OR(NOT(ISNUMBER(L672)),N(L672)&lt;=0),"Quantité invalide",IF(AND(K672&lt;&gt;"",OR(NOT(ISNUMBER(K672)),N(K672)&lt;=0)),"Qté commandée invalide",IF(AG672&lt;SUMPRODUCT(MAX((A$6:A671=A672)*AG$6:AG671)),"Date antérieure au bon précédent",IF(AND(A672&lt;&gt;"BR",ISNUMBER(M672),N(M672)&gt;0),IF(A672="BL","Livré plus que commandé","Sorti plus que demandé"),"OK"))))))))))))</f>
        <v/>
      </c>
      <c r="Y672" s="57" t="str">
        <f>IF(AND(OR(A672="BL",A672="BR",A672="BS"),AG672&gt;0,D672&lt;&gt;""),A672&amp;"|"&amp;AG672&amp;"|"&amp;D672&amp;"|"&amp;F672,"")</f>
        <v/>
      </c>
      <c r="Z672" s="57" t="str">
        <f>IF(Y672="","",IF(COUNTIF(Y$6:Y671,Y672)=0,1,0))</f>
        <v/>
      </c>
      <c r="AA672" s="57" t="str">
        <f>IF(Y672="","",IF(Z672=1,COUNTIFS(A$6:A672,A672,Z$6:Z672,1),INDEX(AA$6:AA671,MATCH(Y672,Y$6:Y671,0))))</f>
        <v/>
      </c>
      <c r="AB672" s="57" t="str">
        <f>IF(B672="","",COUNTIF(B$6:B672,B672))</f>
        <v/>
      </c>
      <c r="AC672" s="57" t="str">
        <f>IF(B672="","",B672&amp;"#"&amp;AB672)</f>
        <v/>
      </c>
      <c r="AD672" s="57" t="str">
        <f>IF(Z672=1,A672&amp;AA672,"")</f>
        <v/>
      </c>
      <c r="AE672" s="57" t="str">
        <f>IF(B672="","",YEAR(C672))</f>
        <v/>
      </c>
      <c r="AF672" s="57" t="str">
        <f>IF(B672="","",MONTH(C672))</f>
        <v/>
      </c>
      <c r="AG672" s="57">
        <f>IF(ISNUMBER(C672),C672,0)</f>
        <v>0.0</v>
      </c>
      <c r="AH672" s="57" t="str">
        <f>IF(N(W672)&gt;0,COUNTIF(W$6:W672,"&gt;0"),"")</f>
        <v/>
      </c>
      <c r="AI672" s="57" t="str">
        <f>IF(Z672=1,COUNTIF(Z$6:Z672,1),"")</f>
        <v/>
      </c>
    </row>
    <row r="673">
      <c r="A673" s="54" t="n"/>
      <c r="B673" s="55" t="str">
        <f>IF(AA673="","",A673&amp;"-"&amp;RIGHT("000"&amp;AA673,4))</f>
        <v/>
      </c>
      <c r="C673" s="56" t="n"/>
      <c r="D673" s="54" t="n"/>
      <c r="E673" s="57" t="str">
        <f>IF(D673="","",IF(A673="BL",IFERROR(INDEX(cl_name,MATCH(D673,cl_code,0))&amp;"","Client inconnu"),IF(A673="BR",IFERROR(INDEX(fo_name,MATCH(D673,fo_code,0))&amp;"","Fournisseur inconnu"),IF(A673="BS",IF(ISNA(MATCH(D673,p_services,0)),"Service inconnu",D673&amp;""),""))))</f>
        <v/>
      </c>
      <c r="F673" s="58" t="n"/>
      <c r="G673" s="58" t="n"/>
      <c r="H673" s="59" t="n"/>
      <c r="I673" s="57" t="str">
        <f>IF(H673="","",IFERROR(INDEX(art_des,MATCH(H673,art_ref,0))&amp;"","Article inconnu"))</f>
        <v/>
      </c>
      <c r="J673" s="60" t="str">
        <f>IF(H673="","",IFERROR(INDEX(art_unit,MATCH(H673,art_ref,0))&amp;"",""))</f>
        <v/>
      </c>
      <c r="K673" s="59" t="n"/>
      <c r="L673" s="59" t="n"/>
      <c r="M673" s="61" t="str">
        <f>IF(OR(B673="",NOT(ISNUMBER(K673)),NOT(ISNUMBER(L673))),"",IF(OR(K673&lt;=0,L673&lt;=0),"",ROUND(L673-K673,6)))</f>
        <v/>
      </c>
      <c r="N673" s="58" t="n"/>
      <c r="O673" s="62" t="n"/>
      <c r="P673" s="63" t="str">
        <f>IF(OR(B673="",NOT(ISNUMBER(L673))),"",IF(L673&lt;=0,"",IFERROR(ROUND(L673*N(INDEX(art_w,MATCH(H673,art_ref,0))),3),"")))</f>
        <v/>
      </c>
      <c r="Q673" s="59" t="n"/>
      <c r="R673" s="54" t="n"/>
      <c r="S673" s="59" t="n"/>
      <c r="T673" s="59" t="n"/>
      <c r="U673" s="64" t="str">
        <f>IF(OR(B673="",H673=""),"",IFERROR(IF(A673="BL",IF(N(INDEX(art_price,MATCH(H673,art_ref,0)))=0,"",N(INDEX(art_price,MATCH(H673,art_ref,0)))),IF(N(INDEX(art_cost,MATCH(H673,art_ref,0)))=0,"",N(INDEX(art_cost,MATCH(H673,art_ref,0))))),""))</f>
        <v/>
      </c>
      <c r="V673" s="64" t="str">
        <f>IF(OR(U673="",NOT(ISNUMBER(L673))),"",IF(L673&lt;=0,"",ROUND(L673*U673,2)))</f>
        <v/>
      </c>
      <c r="W673" s="60" t="str">
        <f>IF(AND(B673&lt;&gt;"",A673&lt;&gt;"BS",F673&lt;&gt;"",H673&lt;&gt;"",ISNUMBER(K673),ISNUMBER(L673)),IF(AND(K673&gt;0,L673&gt;0,K673-L673&gt;0,COUNTIFS(A674:A$2005,A673,F674:F$2005,F673,H674:H$2005,H673,AA674:AA$2005,"&gt;0")=0),ROUND(K673-L673,6),""),"")</f>
        <v/>
      </c>
      <c r="X673" s="60" t="str">
        <f>IF(AND(A673="",C673="",D673="",H673="",L673=""),"",IF(A673="","Type manquant",IF(AND(A673&lt;&gt;"BL",A673&lt;&gt;"BR",A673&lt;&gt;"BS"),"Type inconnu (BL, BR ou BS)",IF(AG673=0,"Date manquante ou invalide",IF(D673="",IF(A673="BL","Client manquant",IF(A673="BR","Fournisseur manquant","Service manquant")),IF(IF(A673="BL",ISNA(MATCH(D673,cl_code,0)),IF(A673="BR",ISNA(MATCH(D673,fo_code,0)),ISNA(MATCH(D673,p_services,0)))),IF(A673="BL","Client inconnu",IF(A673="BR","Fournisseur inconnu","Service inconnu")),IF(H673="","Article manquant",IF(ISNA(MATCH(H673,art_ref,0)),"Article inconnu",IF(OR(NOT(ISNUMBER(L673)),N(L673)&lt;=0),"Quantité invalide",IF(AND(K673&lt;&gt;"",OR(NOT(ISNUMBER(K673)),N(K673)&lt;=0)),"Qté commandée invalide",IF(AG673&lt;SUMPRODUCT(MAX((A$6:A672=A673)*AG$6:AG672)),"Date antérieure au bon précédent",IF(AND(A673&lt;&gt;"BR",ISNUMBER(M673),N(M673)&gt;0),IF(A673="BL","Livré plus que commandé","Sorti plus que demandé"),"OK"))))))))))))</f>
        <v/>
      </c>
      <c r="Y673" s="57" t="str">
        <f>IF(AND(OR(A673="BL",A673="BR",A673="BS"),AG673&gt;0,D673&lt;&gt;""),A673&amp;"|"&amp;AG673&amp;"|"&amp;D673&amp;"|"&amp;F673,"")</f>
        <v/>
      </c>
      <c r="Z673" s="57" t="str">
        <f>IF(Y673="","",IF(COUNTIF(Y$6:Y672,Y673)=0,1,0))</f>
        <v/>
      </c>
      <c r="AA673" s="57" t="str">
        <f>IF(Y673="","",IF(Z673=1,COUNTIFS(A$6:A673,A673,Z$6:Z673,1),INDEX(AA$6:AA672,MATCH(Y673,Y$6:Y672,0))))</f>
        <v/>
      </c>
      <c r="AB673" s="57" t="str">
        <f>IF(B673="","",COUNTIF(B$6:B673,B673))</f>
        <v/>
      </c>
      <c r="AC673" s="57" t="str">
        <f>IF(B673="","",B673&amp;"#"&amp;AB673)</f>
        <v/>
      </c>
      <c r="AD673" s="57" t="str">
        <f>IF(Z673=1,A673&amp;AA673,"")</f>
        <v/>
      </c>
      <c r="AE673" s="57" t="str">
        <f>IF(B673="","",YEAR(C673))</f>
        <v/>
      </c>
      <c r="AF673" s="57" t="str">
        <f>IF(B673="","",MONTH(C673))</f>
        <v/>
      </c>
      <c r="AG673" s="57">
        <f>IF(ISNUMBER(C673),C673,0)</f>
        <v>0.0</v>
      </c>
      <c r="AH673" s="57" t="str">
        <f>IF(N(W673)&gt;0,COUNTIF(W$6:W673,"&gt;0"),"")</f>
        <v/>
      </c>
      <c r="AI673" s="57" t="str">
        <f>IF(Z673=1,COUNTIF(Z$6:Z673,1),"")</f>
        <v/>
      </c>
    </row>
    <row r="674">
      <c r="A674" s="54" t="n"/>
      <c r="B674" s="55" t="str">
        <f>IF(AA674="","",A674&amp;"-"&amp;RIGHT("000"&amp;AA674,4))</f>
        <v/>
      </c>
      <c r="C674" s="56" t="n"/>
      <c r="D674" s="54" t="n"/>
      <c r="E674" s="57" t="str">
        <f>IF(D674="","",IF(A674="BL",IFERROR(INDEX(cl_name,MATCH(D674,cl_code,0))&amp;"","Client inconnu"),IF(A674="BR",IFERROR(INDEX(fo_name,MATCH(D674,fo_code,0))&amp;"","Fournisseur inconnu"),IF(A674="BS",IF(ISNA(MATCH(D674,p_services,0)),"Service inconnu",D674&amp;""),""))))</f>
        <v/>
      </c>
      <c r="F674" s="58" t="n"/>
      <c r="G674" s="58" t="n"/>
      <c r="H674" s="59" t="n"/>
      <c r="I674" s="57" t="str">
        <f>IF(H674="","",IFERROR(INDEX(art_des,MATCH(H674,art_ref,0))&amp;"","Article inconnu"))</f>
        <v/>
      </c>
      <c r="J674" s="60" t="str">
        <f>IF(H674="","",IFERROR(INDEX(art_unit,MATCH(H674,art_ref,0))&amp;"",""))</f>
        <v/>
      </c>
      <c r="K674" s="59" t="n"/>
      <c r="L674" s="59" t="n"/>
      <c r="M674" s="61" t="str">
        <f>IF(OR(B674="",NOT(ISNUMBER(K674)),NOT(ISNUMBER(L674))),"",IF(OR(K674&lt;=0,L674&lt;=0),"",ROUND(L674-K674,6)))</f>
        <v/>
      </c>
      <c r="N674" s="58" t="n"/>
      <c r="O674" s="62" t="n"/>
      <c r="P674" s="63" t="str">
        <f>IF(OR(B674="",NOT(ISNUMBER(L674))),"",IF(L674&lt;=0,"",IFERROR(ROUND(L674*N(INDEX(art_w,MATCH(H674,art_ref,0))),3),"")))</f>
        <v/>
      </c>
      <c r="Q674" s="59" t="n"/>
      <c r="R674" s="54" t="n"/>
      <c r="S674" s="59" t="n"/>
      <c r="T674" s="59" t="n"/>
      <c r="U674" s="64" t="str">
        <f>IF(OR(B674="",H674=""),"",IFERROR(IF(A674="BL",IF(N(INDEX(art_price,MATCH(H674,art_ref,0)))=0,"",N(INDEX(art_price,MATCH(H674,art_ref,0)))),IF(N(INDEX(art_cost,MATCH(H674,art_ref,0)))=0,"",N(INDEX(art_cost,MATCH(H674,art_ref,0))))),""))</f>
        <v/>
      </c>
      <c r="V674" s="64" t="str">
        <f>IF(OR(U674="",NOT(ISNUMBER(L674))),"",IF(L674&lt;=0,"",ROUND(L674*U674,2)))</f>
        <v/>
      </c>
      <c r="W674" s="60" t="str">
        <f>IF(AND(B674&lt;&gt;"",A674&lt;&gt;"BS",F674&lt;&gt;"",H674&lt;&gt;"",ISNUMBER(K674),ISNUMBER(L674)),IF(AND(K674&gt;0,L674&gt;0,K674-L674&gt;0,COUNTIFS(A675:A$2005,A674,F675:F$2005,F674,H675:H$2005,H674,AA675:AA$2005,"&gt;0")=0),ROUND(K674-L674,6),""),"")</f>
        <v/>
      </c>
      <c r="X674" s="60" t="str">
        <f>IF(AND(A674="",C674="",D674="",H674="",L674=""),"",IF(A674="","Type manquant",IF(AND(A674&lt;&gt;"BL",A674&lt;&gt;"BR",A674&lt;&gt;"BS"),"Type inconnu (BL, BR ou BS)",IF(AG674=0,"Date manquante ou invalide",IF(D674="",IF(A674="BL","Client manquant",IF(A674="BR","Fournisseur manquant","Service manquant")),IF(IF(A674="BL",ISNA(MATCH(D674,cl_code,0)),IF(A674="BR",ISNA(MATCH(D674,fo_code,0)),ISNA(MATCH(D674,p_services,0)))),IF(A674="BL","Client inconnu",IF(A674="BR","Fournisseur inconnu","Service inconnu")),IF(H674="","Article manquant",IF(ISNA(MATCH(H674,art_ref,0)),"Article inconnu",IF(OR(NOT(ISNUMBER(L674)),N(L674)&lt;=0),"Quantité invalide",IF(AND(K674&lt;&gt;"",OR(NOT(ISNUMBER(K674)),N(K674)&lt;=0)),"Qté commandée invalide",IF(AG674&lt;SUMPRODUCT(MAX((A$6:A673=A674)*AG$6:AG673)),"Date antérieure au bon précédent",IF(AND(A674&lt;&gt;"BR",ISNUMBER(M674),N(M674)&gt;0),IF(A674="BL","Livré plus que commandé","Sorti plus que demandé"),"OK"))))))))))))</f>
        <v/>
      </c>
      <c r="Y674" s="57" t="str">
        <f>IF(AND(OR(A674="BL",A674="BR",A674="BS"),AG674&gt;0,D674&lt;&gt;""),A674&amp;"|"&amp;AG674&amp;"|"&amp;D674&amp;"|"&amp;F674,"")</f>
        <v/>
      </c>
      <c r="Z674" s="57" t="str">
        <f>IF(Y674="","",IF(COUNTIF(Y$6:Y673,Y674)=0,1,0))</f>
        <v/>
      </c>
      <c r="AA674" s="57" t="str">
        <f>IF(Y674="","",IF(Z674=1,COUNTIFS(A$6:A674,A674,Z$6:Z674,1),INDEX(AA$6:AA673,MATCH(Y674,Y$6:Y673,0))))</f>
        <v/>
      </c>
      <c r="AB674" s="57" t="str">
        <f>IF(B674="","",COUNTIF(B$6:B674,B674))</f>
        <v/>
      </c>
      <c r="AC674" s="57" t="str">
        <f>IF(B674="","",B674&amp;"#"&amp;AB674)</f>
        <v/>
      </c>
      <c r="AD674" s="57" t="str">
        <f>IF(Z674=1,A674&amp;AA674,"")</f>
        <v/>
      </c>
      <c r="AE674" s="57" t="str">
        <f>IF(B674="","",YEAR(C674))</f>
        <v/>
      </c>
      <c r="AF674" s="57" t="str">
        <f>IF(B674="","",MONTH(C674))</f>
        <v/>
      </c>
      <c r="AG674" s="57">
        <f>IF(ISNUMBER(C674),C674,0)</f>
        <v>0.0</v>
      </c>
      <c r="AH674" s="57" t="str">
        <f>IF(N(W674)&gt;0,COUNTIF(W$6:W674,"&gt;0"),"")</f>
        <v/>
      </c>
      <c r="AI674" s="57" t="str">
        <f>IF(Z674=1,COUNTIF(Z$6:Z674,1),"")</f>
        <v/>
      </c>
    </row>
    <row r="675">
      <c r="A675" s="54" t="n"/>
      <c r="B675" s="55" t="str">
        <f>IF(AA675="","",A675&amp;"-"&amp;RIGHT("000"&amp;AA675,4))</f>
        <v/>
      </c>
      <c r="C675" s="56" t="n"/>
      <c r="D675" s="54" t="n"/>
      <c r="E675" s="57" t="str">
        <f>IF(D675="","",IF(A675="BL",IFERROR(INDEX(cl_name,MATCH(D675,cl_code,0))&amp;"","Client inconnu"),IF(A675="BR",IFERROR(INDEX(fo_name,MATCH(D675,fo_code,0))&amp;"","Fournisseur inconnu"),IF(A675="BS",IF(ISNA(MATCH(D675,p_services,0)),"Service inconnu",D675&amp;""),""))))</f>
        <v/>
      </c>
      <c r="F675" s="58" t="n"/>
      <c r="G675" s="58" t="n"/>
      <c r="H675" s="59" t="n"/>
      <c r="I675" s="57" t="str">
        <f>IF(H675="","",IFERROR(INDEX(art_des,MATCH(H675,art_ref,0))&amp;"","Article inconnu"))</f>
        <v/>
      </c>
      <c r="J675" s="60" t="str">
        <f>IF(H675="","",IFERROR(INDEX(art_unit,MATCH(H675,art_ref,0))&amp;"",""))</f>
        <v/>
      </c>
      <c r="K675" s="59" t="n"/>
      <c r="L675" s="59" t="n"/>
      <c r="M675" s="61" t="str">
        <f>IF(OR(B675="",NOT(ISNUMBER(K675)),NOT(ISNUMBER(L675))),"",IF(OR(K675&lt;=0,L675&lt;=0),"",ROUND(L675-K675,6)))</f>
        <v/>
      </c>
      <c r="N675" s="58" t="n"/>
      <c r="O675" s="62" t="n"/>
      <c r="P675" s="63" t="str">
        <f>IF(OR(B675="",NOT(ISNUMBER(L675))),"",IF(L675&lt;=0,"",IFERROR(ROUND(L675*N(INDEX(art_w,MATCH(H675,art_ref,0))),3),"")))</f>
        <v/>
      </c>
      <c r="Q675" s="59" t="n"/>
      <c r="R675" s="54" t="n"/>
      <c r="S675" s="59" t="n"/>
      <c r="T675" s="59" t="n"/>
      <c r="U675" s="64" t="str">
        <f>IF(OR(B675="",H675=""),"",IFERROR(IF(A675="BL",IF(N(INDEX(art_price,MATCH(H675,art_ref,0)))=0,"",N(INDEX(art_price,MATCH(H675,art_ref,0)))),IF(N(INDEX(art_cost,MATCH(H675,art_ref,0)))=0,"",N(INDEX(art_cost,MATCH(H675,art_ref,0))))),""))</f>
        <v/>
      </c>
      <c r="V675" s="64" t="str">
        <f>IF(OR(U675="",NOT(ISNUMBER(L675))),"",IF(L675&lt;=0,"",ROUND(L675*U675,2)))</f>
        <v/>
      </c>
      <c r="W675" s="60" t="str">
        <f>IF(AND(B675&lt;&gt;"",A675&lt;&gt;"BS",F675&lt;&gt;"",H675&lt;&gt;"",ISNUMBER(K675),ISNUMBER(L675)),IF(AND(K675&gt;0,L675&gt;0,K675-L675&gt;0,COUNTIFS(A676:A$2005,A675,F676:F$2005,F675,H676:H$2005,H675,AA676:AA$2005,"&gt;0")=0),ROUND(K675-L675,6),""),"")</f>
        <v/>
      </c>
      <c r="X675" s="60" t="str">
        <f>IF(AND(A675="",C675="",D675="",H675="",L675=""),"",IF(A675="","Type manquant",IF(AND(A675&lt;&gt;"BL",A675&lt;&gt;"BR",A675&lt;&gt;"BS"),"Type inconnu (BL, BR ou BS)",IF(AG675=0,"Date manquante ou invalide",IF(D675="",IF(A675="BL","Client manquant",IF(A675="BR","Fournisseur manquant","Service manquant")),IF(IF(A675="BL",ISNA(MATCH(D675,cl_code,0)),IF(A675="BR",ISNA(MATCH(D675,fo_code,0)),ISNA(MATCH(D675,p_services,0)))),IF(A675="BL","Client inconnu",IF(A675="BR","Fournisseur inconnu","Service inconnu")),IF(H675="","Article manquant",IF(ISNA(MATCH(H675,art_ref,0)),"Article inconnu",IF(OR(NOT(ISNUMBER(L675)),N(L675)&lt;=0),"Quantité invalide",IF(AND(K675&lt;&gt;"",OR(NOT(ISNUMBER(K675)),N(K675)&lt;=0)),"Qté commandée invalide",IF(AG675&lt;SUMPRODUCT(MAX((A$6:A674=A675)*AG$6:AG674)),"Date antérieure au bon précédent",IF(AND(A675&lt;&gt;"BR",ISNUMBER(M675),N(M675)&gt;0),IF(A675="BL","Livré plus que commandé","Sorti plus que demandé"),"OK"))))))))))))</f>
        <v/>
      </c>
      <c r="Y675" s="57" t="str">
        <f>IF(AND(OR(A675="BL",A675="BR",A675="BS"),AG675&gt;0,D675&lt;&gt;""),A675&amp;"|"&amp;AG675&amp;"|"&amp;D675&amp;"|"&amp;F675,"")</f>
        <v/>
      </c>
      <c r="Z675" s="57" t="str">
        <f>IF(Y675="","",IF(COUNTIF(Y$6:Y674,Y675)=0,1,0))</f>
        <v/>
      </c>
      <c r="AA675" s="57" t="str">
        <f>IF(Y675="","",IF(Z675=1,COUNTIFS(A$6:A675,A675,Z$6:Z675,1),INDEX(AA$6:AA674,MATCH(Y675,Y$6:Y674,0))))</f>
        <v/>
      </c>
      <c r="AB675" s="57" t="str">
        <f>IF(B675="","",COUNTIF(B$6:B675,B675))</f>
        <v/>
      </c>
      <c r="AC675" s="57" t="str">
        <f>IF(B675="","",B675&amp;"#"&amp;AB675)</f>
        <v/>
      </c>
      <c r="AD675" s="57" t="str">
        <f>IF(Z675=1,A675&amp;AA675,"")</f>
        <v/>
      </c>
      <c r="AE675" s="57" t="str">
        <f>IF(B675="","",YEAR(C675))</f>
        <v/>
      </c>
      <c r="AF675" s="57" t="str">
        <f>IF(B675="","",MONTH(C675))</f>
        <v/>
      </c>
      <c r="AG675" s="57">
        <f>IF(ISNUMBER(C675),C675,0)</f>
        <v>0.0</v>
      </c>
      <c r="AH675" s="57" t="str">
        <f>IF(N(W675)&gt;0,COUNTIF(W$6:W675,"&gt;0"),"")</f>
        <v/>
      </c>
      <c r="AI675" s="57" t="str">
        <f>IF(Z675=1,COUNTIF(Z$6:Z675,1),"")</f>
        <v/>
      </c>
    </row>
    <row r="676">
      <c r="A676" s="54" t="n"/>
      <c r="B676" s="55" t="str">
        <f>IF(AA676="","",A676&amp;"-"&amp;RIGHT("000"&amp;AA676,4))</f>
        <v/>
      </c>
      <c r="C676" s="56" t="n"/>
      <c r="D676" s="54" t="n"/>
      <c r="E676" s="57" t="str">
        <f>IF(D676="","",IF(A676="BL",IFERROR(INDEX(cl_name,MATCH(D676,cl_code,0))&amp;"","Client inconnu"),IF(A676="BR",IFERROR(INDEX(fo_name,MATCH(D676,fo_code,0))&amp;"","Fournisseur inconnu"),IF(A676="BS",IF(ISNA(MATCH(D676,p_services,0)),"Service inconnu",D676&amp;""),""))))</f>
        <v/>
      </c>
      <c r="F676" s="58" t="n"/>
      <c r="G676" s="58" t="n"/>
      <c r="H676" s="59" t="n"/>
      <c r="I676" s="57" t="str">
        <f>IF(H676="","",IFERROR(INDEX(art_des,MATCH(H676,art_ref,0))&amp;"","Article inconnu"))</f>
        <v/>
      </c>
      <c r="J676" s="60" t="str">
        <f>IF(H676="","",IFERROR(INDEX(art_unit,MATCH(H676,art_ref,0))&amp;"",""))</f>
        <v/>
      </c>
      <c r="K676" s="59" t="n"/>
      <c r="L676" s="59" t="n"/>
      <c r="M676" s="61" t="str">
        <f>IF(OR(B676="",NOT(ISNUMBER(K676)),NOT(ISNUMBER(L676))),"",IF(OR(K676&lt;=0,L676&lt;=0),"",ROUND(L676-K676,6)))</f>
        <v/>
      </c>
      <c r="N676" s="58" t="n"/>
      <c r="O676" s="62" t="n"/>
      <c r="P676" s="63" t="str">
        <f>IF(OR(B676="",NOT(ISNUMBER(L676))),"",IF(L676&lt;=0,"",IFERROR(ROUND(L676*N(INDEX(art_w,MATCH(H676,art_ref,0))),3),"")))</f>
        <v/>
      </c>
      <c r="Q676" s="59" t="n"/>
      <c r="R676" s="54" t="n"/>
      <c r="S676" s="59" t="n"/>
      <c r="T676" s="59" t="n"/>
      <c r="U676" s="64" t="str">
        <f>IF(OR(B676="",H676=""),"",IFERROR(IF(A676="BL",IF(N(INDEX(art_price,MATCH(H676,art_ref,0)))=0,"",N(INDEX(art_price,MATCH(H676,art_ref,0)))),IF(N(INDEX(art_cost,MATCH(H676,art_ref,0)))=0,"",N(INDEX(art_cost,MATCH(H676,art_ref,0))))),""))</f>
        <v/>
      </c>
      <c r="V676" s="64" t="str">
        <f>IF(OR(U676="",NOT(ISNUMBER(L676))),"",IF(L676&lt;=0,"",ROUND(L676*U676,2)))</f>
        <v/>
      </c>
      <c r="W676" s="60" t="str">
        <f>IF(AND(B676&lt;&gt;"",A676&lt;&gt;"BS",F676&lt;&gt;"",H676&lt;&gt;"",ISNUMBER(K676),ISNUMBER(L676)),IF(AND(K676&gt;0,L676&gt;0,K676-L676&gt;0,COUNTIFS(A677:A$2005,A676,F677:F$2005,F676,H677:H$2005,H676,AA677:AA$2005,"&gt;0")=0),ROUND(K676-L676,6),""),"")</f>
        <v/>
      </c>
      <c r="X676" s="60" t="str">
        <f>IF(AND(A676="",C676="",D676="",H676="",L676=""),"",IF(A676="","Type manquant",IF(AND(A676&lt;&gt;"BL",A676&lt;&gt;"BR",A676&lt;&gt;"BS"),"Type inconnu (BL, BR ou BS)",IF(AG676=0,"Date manquante ou invalide",IF(D676="",IF(A676="BL","Client manquant",IF(A676="BR","Fournisseur manquant","Service manquant")),IF(IF(A676="BL",ISNA(MATCH(D676,cl_code,0)),IF(A676="BR",ISNA(MATCH(D676,fo_code,0)),ISNA(MATCH(D676,p_services,0)))),IF(A676="BL","Client inconnu",IF(A676="BR","Fournisseur inconnu","Service inconnu")),IF(H676="","Article manquant",IF(ISNA(MATCH(H676,art_ref,0)),"Article inconnu",IF(OR(NOT(ISNUMBER(L676)),N(L676)&lt;=0),"Quantité invalide",IF(AND(K676&lt;&gt;"",OR(NOT(ISNUMBER(K676)),N(K676)&lt;=0)),"Qté commandée invalide",IF(AG676&lt;SUMPRODUCT(MAX((A$6:A675=A676)*AG$6:AG675)),"Date antérieure au bon précédent",IF(AND(A676&lt;&gt;"BR",ISNUMBER(M676),N(M676)&gt;0),IF(A676="BL","Livré plus que commandé","Sorti plus que demandé"),"OK"))))))))))))</f>
        <v/>
      </c>
      <c r="Y676" s="57" t="str">
        <f>IF(AND(OR(A676="BL",A676="BR",A676="BS"),AG676&gt;0,D676&lt;&gt;""),A676&amp;"|"&amp;AG676&amp;"|"&amp;D676&amp;"|"&amp;F676,"")</f>
        <v/>
      </c>
      <c r="Z676" s="57" t="str">
        <f>IF(Y676="","",IF(COUNTIF(Y$6:Y675,Y676)=0,1,0))</f>
        <v/>
      </c>
      <c r="AA676" s="57" t="str">
        <f>IF(Y676="","",IF(Z676=1,COUNTIFS(A$6:A676,A676,Z$6:Z676,1),INDEX(AA$6:AA675,MATCH(Y676,Y$6:Y675,0))))</f>
        <v/>
      </c>
      <c r="AB676" s="57" t="str">
        <f>IF(B676="","",COUNTIF(B$6:B676,B676))</f>
        <v/>
      </c>
      <c r="AC676" s="57" t="str">
        <f>IF(B676="","",B676&amp;"#"&amp;AB676)</f>
        <v/>
      </c>
      <c r="AD676" s="57" t="str">
        <f>IF(Z676=1,A676&amp;AA676,"")</f>
        <v/>
      </c>
      <c r="AE676" s="57" t="str">
        <f>IF(B676="","",YEAR(C676))</f>
        <v/>
      </c>
      <c r="AF676" s="57" t="str">
        <f>IF(B676="","",MONTH(C676))</f>
        <v/>
      </c>
      <c r="AG676" s="57">
        <f>IF(ISNUMBER(C676),C676,0)</f>
        <v>0.0</v>
      </c>
      <c r="AH676" s="57" t="str">
        <f>IF(N(W676)&gt;0,COUNTIF(W$6:W676,"&gt;0"),"")</f>
        <v/>
      </c>
      <c r="AI676" s="57" t="str">
        <f>IF(Z676=1,COUNTIF(Z$6:Z676,1),"")</f>
        <v/>
      </c>
    </row>
    <row r="677">
      <c r="A677" s="54" t="n"/>
      <c r="B677" s="55" t="str">
        <f>IF(AA677="","",A677&amp;"-"&amp;RIGHT("000"&amp;AA677,4))</f>
        <v/>
      </c>
      <c r="C677" s="56" t="n"/>
      <c r="D677" s="54" t="n"/>
      <c r="E677" s="57" t="str">
        <f>IF(D677="","",IF(A677="BL",IFERROR(INDEX(cl_name,MATCH(D677,cl_code,0))&amp;"","Client inconnu"),IF(A677="BR",IFERROR(INDEX(fo_name,MATCH(D677,fo_code,0))&amp;"","Fournisseur inconnu"),IF(A677="BS",IF(ISNA(MATCH(D677,p_services,0)),"Service inconnu",D677&amp;""),""))))</f>
        <v/>
      </c>
      <c r="F677" s="58" t="n"/>
      <c r="G677" s="58" t="n"/>
      <c r="H677" s="59" t="n"/>
      <c r="I677" s="57" t="str">
        <f>IF(H677="","",IFERROR(INDEX(art_des,MATCH(H677,art_ref,0))&amp;"","Article inconnu"))</f>
        <v/>
      </c>
      <c r="J677" s="60" t="str">
        <f>IF(H677="","",IFERROR(INDEX(art_unit,MATCH(H677,art_ref,0))&amp;"",""))</f>
        <v/>
      </c>
      <c r="K677" s="59" t="n"/>
      <c r="L677" s="59" t="n"/>
      <c r="M677" s="61" t="str">
        <f>IF(OR(B677="",NOT(ISNUMBER(K677)),NOT(ISNUMBER(L677))),"",IF(OR(K677&lt;=0,L677&lt;=0),"",ROUND(L677-K677,6)))</f>
        <v/>
      </c>
      <c r="N677" s="58" t="n"/>
      <c r="O677" s="62" t="n"/>
      <c r="P677" s="63" t="str">
        <f>IF(OR(B677="",NOT(ISNUMBER(L677))),"",IF(L677&lt;=0,"",IFERROR(ROUND(L677*N(INDEX(art_w,MATCH(H677,art_ref,0))),3),"")))</f>
        <v/>
      </c>
      <c r="Q677" s="59" t="n"/>
      <c r="R677" s="54" t="n"/>
      <c r="S677" s="59" t="n"/>
      <c r="T677" s="59" t="n"/>
      <c r="U677" s="64" t="str">
        <f>IF(OR(B677="",H677=""),"",IFERROR(IF(A677="BL",IF(N(INDEX(art_price,MATCH(H677,art_ref,0)))=0,"",N(INDEX(art_price,MATCH(H677,art_ref,0)))),IF(N(INDEX(art_cost,MATCH(H677,art_ref,0)))=0,"",N(INDEX(art_cost,MATCH(H677,art_ref,0))))),""))</f>
        <v/>
      </c>
      <c r="V677" s="64" t="str">
        <f>IF(OR(U677="",NOT(ISNUMBER(L677))),"",IF(L677&lt;=0,"",ROUND(L677*U677,2)))</f>
        <v/>
      </c>
      <c r="W677" s="60" t="str">
        <f>IF(AND(B677&lt;&gt;"",A677&lt;&gt;"BS",F677&lt;&gt;"",H677&lt;&gt;"",ISNUMBER(K677),ISNUMBER(L677)),IF(AND(K677&gt;0,L677&gt;0,K677-L677&gt;0,COUNTIFS(A678:A$2005,A677,F678:F$2005,F677,H678:H$2005,H677,AA678:AA$2005,"&gt;0")=0),ROUND(K677-L677,6),""),"")</f>
        <v/>
      </c>
      <c r="X677" s="60" t="str">
        <f>IF(AND(A677="",C677="",D677="",H677="",L677=""),"",IF(A677="","Type manquant",IF(AND(A677&lt;&gt;"BL",A677&lt;&gt;"BR",A677&lt;&gt;"BS"),"Type inconnu (BL, BR ou BS)",IF(AG677=0,"Date manquante ou invalide",IF(D677="",IF(A677="BL","Client manquant",IF(A677="BR","Fournisseur manquant","Service manquant")),IF(IF(A677="BL",ISNA(MATCH(D677,cl_code,0)),IF(A677="BR",ISNA(MATCH(D677,fo_code,0)),ISNA(MATCH(D677,p_services,0)))),IF(A677="BL","Client inconnu",IF(A677="BR","Fournisseur inconnu","Service inconnu")),IF(H677="","Article manquant",IF(ISNA(MATCH(H677,art_ref,0)),"Article inconnu",IF(OR(NOT(ISNUMBER(L677)),N(L677)&lt;=0),"Quantité invalide",IF(AND(K677&lt;&gt;"",OR(NOT(ISNUMBER(K677)),N(K677)&lt;=0)),"Qté commandée invalide",IF(AG677&lt;SUMPRODUCT(MAX((A$6:A676=A677)*AG$6:AG676)),"Date antérieure au bon précédent",IF(AND(A677&lt;&gt;"BR",ISNUMBER(M677),N(M677)&gt;0),IF(A677="BL","Livré plus que commandé","Sorti plus que demandé"),"OK"))))))))))))</f>
        <v/>
      </c>
      <c r="Y677" s="57" t="str">
        <f>IF(AND(OR(A677="BL",A677="BR",A677="BS"),AG677&gt;0,D677&lt;&gt;""),A677&amp;"|"&amp;AG677&amp;"|"&amp;D677&amp;"|"&amp;F677,"")</f>
        <v/>
      </c>
      <c r="Z677" s="57" t="str">
        <f>IF(Y677="","",IF(COUNTIF(Y$6:Y676,Y677)=0,1,0))</f>
        <v/>
      </c>
      <c r="AA677" s="57" t="str">
        <f>IF(Y677="","",IF(Z677=1,COUNTIFS(A$6:A677,A677,Z$6:Z677,1),INDEX(AA$6:AA676,MATCH(Y677,Y$6:Y676,0))))</f>
        <v/>
      </c>
      <c r="AB677" s="57" t="str">
        <f>IF(B677="","",COUNTIF(B$6:B677,B677))</f>
        <v/>
      </c>
      <c r="AC677" s="57" t="str">
        <f>IF(B677="","",B677&amp;"#"&amp;AB677)</f>
        <v/>
      </c>
      <c r="AD677" s="57" t="str">
        <f>IF(Z677=1,A677&amp;AA677,"")</f>
        <v/>
      </c>
      <c r="AE677" s="57" t="str">
        <f>IF(B677="","",YEAR(C677))</f>
        <v/>
      </c>
      <c r="AF677" s="57" t="str">
        <f>IF(B677="","",MONTH(C677))</f>
        <v/>
      </c>
      <c r="AG677" s="57">
        <f>IF(ISNUMBER(C677),C677,0)</f>
        <v>0.0</v>
      </c>
      <c r="AH677" s="57" t="str">
        <f>IF(N(W677)&gt;0,COUNTIF(W$6:W677,"&gt;0"),"")</f>
        <v/>
      </c>
      <c r="AI677" s="57" t="str">
        <f>IF(Z677=1,COUNTIF(Z$6:Z677,1),"")</f>
        <v/>
      </c>
    </row>
    <row r="678">
      <c r="A678" s="54" t="n"/>
      <c r="B678" s="55" t="str">
        <f>IF(AA678="","",A678&amp;"-"&amp;RIGHT("000"&amp;AA678,4))</f>
        <v/>
      </c>
      <c r="C678" s="56" t="n"/>
      <c r="D678" s="54" t="n"/>
      <c r="E678" s="57" t="str">
        <f>IF(D678="","",IF(A678="BL",IFERROR(INDEX(cl_name,MATCH(D678,cl_code,0))&amp;"","Client inconnu"),IF(A678="BR",IFERROR(INDEX(fo_name,MATCH(D678,fo_code,0))&amp;"","Fournisseur inconnu"),IF(A678="BS",IF(ISNA(MATCH(D678,p_services,0)),"Service inconnu",D678&amp;""),""))))</f>
        <v/>
      </c>
      <c r="F678" s="58" t="n"/>
      <c r="G678" s="58" t="n"/>
      <c r="H678" s="59" t="n"/>
      <c r="I678" s="57" t="str">
        <f>IF(H678="","",IFERROR(INDEX(art_des,MATCH(H678,art_ref,0))&amp;"","Article inconnu"))</f>
        <v/>
      </c>
      <c r="J678" s="60" t="str">
        <f>IF(H678="","",IFERROR(INDEX(art_unit,MATCH(H678,art_ref,0))&amp;"",""))</f>
        <v/>
      </c>
      <c r="K678" s="59" t="n"/>
      <c r="L678" s="59" t="n"/>
      <c r="M678" s="61" t="str">
        <f>IF(OR(B678="",NOT(ISNUMBER(K678)),NOT(ISNUMBER(L678))),"",IF(OR(K678&lt;=0,L678&lt;=0),"",ROUND(L678-K678,6)))</f>
        <v/>
      </c>
      <c r="N678" s="58" t="n"/>
      <c r="O678" s="62" t="n"/>
      <c r="P678" s="63" t="str">
        <f>IF(OR(B678="",NOT(ISNUMBER(L678))),"",IF(L678&lt;=0,"",IFERROR(ROUND(L678*N(INDEX(art_w,MATCH(H678,art_ref,0))),3),"")))</f>
        <v/>
      </c>
      <c r="Q678" s="59" t="n"/>
      <c r="R678" s="54" t="n"/>
      <c r="S678" s="59" t="n"/>
      <c r="T678" s="59" t="n"/>
      <c r="U678" s="64" t="str">
        <f>IF(OR(B678="",H678=""),"",IFERROR(IF(A678="BL",IF(N(INDEX(art_price,MATCH(H678,art_ref,0)))=0,"",N(INDEX(art_price,MATCH(H678,art_ref,0)))),IF(N(INDEX(art_cost,MATCH(H678,art_ref,0)))=0,"",N(INDEX(art_cost,MATCH(H678,art_ref,0))))),""))</f>
        <v/>
      </c>
      <c r="V678" s="64" t="str">
        <f>IF(OR(U678="",NOT(ISNUMBER(L678))),"",IF(L678&lt;=0,"",ROUND(L678*U678,2)))</f>
        <v/>
      </c>
      <c r="W678" s="60" t="str">
        <f>IF(AND(B678&lt;&gt;"",A678&lt;&gt;"BS",F678&lt;&gt;"",H678&lt;&gt;"",ISNUMBER(K678),ISNUMBER(L678)),IF(AND(K678&gt;0,L678&gt;0,K678-L678&gt;0,COUNTIFS(A679:A$2005,A678,F679:F$2005,F678,H679:H$2005,H678,AA679:AA$2005,"&gt;0")=0),ROUND(K678-L678,6),""),"")</f>
        <v/>
      </c>
      <c r="X678" s="60" t="str">
        <f>IF(AND(A678="",C678="",D678="",H678="",L678=""),"",IF(A678="","Type manquant",IF(AND(A678&lt;&gt;"BL",A678&lt;&gt;"BR",A678&lt;&gt;"BS"),"Type inconnu (BL, BR ou BS)",IF(AG678=0,"Date manquante ou invalide",IF(D678="",IF(A678="BL","Client manquant",IF(A678="BR","Fournisseur manquant","Service manquant")),IF(IF(A678="BL",ISNA(MATCH(D678,cl_code,0)),IF(A678="BR",ISNA(MATCH(D678,fo_code,0)),ISNA(MATCH(D678,p_services,0)))),IF(A678="BL","Client inconnu",IF(A678="BR","Fournisseur inconnu","Service inconnu")),IF(H678="","Article manquant",IF(ISNA(MATCH(H678,art_ref,0)),"Article inconnu",IF(OR(NOT(ISNUMBER(L678)),N(L678)&lt;=0),"Quantité invalide",IF(AND(K678&lt;&gt;"",OR(NOT(ISNUMBER(K678)),N(K678)&lt;=0)),"Qté commandée invalide",IF(AG678&lt;SUMPRODUCT(MAX((A$6:A677=A678)*AG$6:AG677)),"Date antérieure au bon précédent",IF(AND(A678&lt;&gt;"BR",ISNUMBER(M678),N(M678)&gt;0),IF(A678="BL","Livré plus que commandé","Sorti plus que demandé"),"OK"))))))))))))</f>
        <v/>
      </c>
      <c r="Y678" s="57" t="str">
        <f>IF(AND(OR(A678="BL",A678="BR",A678="BS"),AG678&gt;0,D678&lt;&gt;""),A678&amp;"|"&amp;AG678&amp;"|"&amp;D678&amp;"|"&amp;F678,"")</f>
        <v/>
      </c>
      <c r="Z678" s="57" t="str">
        <f>IF(Y678="","",IF(COUNTIF(Y$6:Y677,Y678)=0,1,0))</f>
        <v/>
      </c>
      <c r="AA678" s="57" t="str">
        <f>IF(Y678="","",IF(Z678=1,COUNTIFS(A$6:A678,A678,Z$6:Z678,1),INDEX(AA$6:AA677,MATCH(Y678,Y$6:Y677,0))))</f>
        <v/>
      </c>
      <c r="AB678" s="57" t="str">
        <f>IF(B678="","",COUNTIF(B$6:B678,B678))</f>
        <v/>
      </c>
      <c r="AC678" s="57" t="str">
        <f>IF(B678="","",B678&amp;"#"&amp;AB678)</f>
        <v/>
      </c>
      <c r="AD678" s="57" t="str">
        <f>IF(Z678=1,A678&amp;AA678,"")</f>
        <v/>
      </c>
      <c r="AE678" s="57" t="str">
        <f>IF(B678="","",YEAR(C678))</f>
        <v/>
      </c>
      <c r="AF678" s="57" t="str">
        <f>IF(B678="","",MONTH(C678))</f>
        <v/>
      </c>
      <c r="AG678" s="57">
        <f>IF(ISNUMBER(C678),C678,0)</f>
        <v>0.0</v>
      </c>
      <c r="AH678" s="57" t="str">
        <f>IF(N(W678)&gt;0,COUNTIF(W$6:W678,"&gt;0"),"")</f>
        <v/>
      </c>
      <c r="AI678" s="57" t="str">
        <f>IF(Z678=1,COUNTIF(Z$6:Z678,1),"")</f>
        <v/>
      </c>
    </row>
    <row r="679">
      <c r="A679" s="54" t="n"/>
      <c r="B679" s="55" t="str">
        <f>IF(AA679="","",A679&amp;"-"&amp;RIGHT("000"&amp;AA679,4))</f>
        <v/>
      </c>
      <c r="C679" s="56" t="n"/>
      <c r="D679" s="54" t="n"/>
      <c r="E679" s="57" t="str">
        <f>IF(D679="","",IF(A679="BL",IFERROR(INDEX(cl_name,MATCH(D679,cl_code,0))&amp;"","Client inconnu"),IF(A679="BR",IFERROR(INDEX(fo_name,MATCH(D679,fo_code,0))&amp;"","Fournisseur inconnu"),IF(A679="BS",IF(ISNA(MATCH(D679,p_services,0)),"Service inconnu",D679&amp;""),""))))</f>
        <v/>
      </c>
      <c r="F679" s="58" t="n"/>
      <c r="G679" s="58" t="n"/>
      <c r="H679" s="59" t="n"/>
      <c r="I679" s="57" t="str">
        <f>IF(H679="","",IFERROR(INDEX(art_des,MATCH(H679,art_ref,0))&amp;"","Article inconnu"))</f>
        <v/>
      </c>
      <c r="J679" s="60" t="str">
        <f>IF(H679="","",IFERROR(INDEX(art_unit,MATCH(H679,art_ref,0))&amp;"",""))</f>
        <v/>
      </c>
      <c r="K679" s="59" t="n"/>
      <c r="L679" s="59" t="n"/>
      <c r="M679" s="61" t="str">
        <f>IF(OR(B679="",NOT(ISNUMBER(K679)),NOT(ISNUMBER(L679))),"",IF(OR(K679&lt;=0,L679&lt;=0),"",ROUND(L679-K679,6)))</f>
        <v/>
      </c>
      <c r="N679" s="58" t="n"/>
      <c r="O679" s="62" t="n"/>
      <c r="P679" s="63" t="str">
        <f>IF(OR(B679="",NOT(ISNUMBER(L679))),"",IF(L679&lt;=0,"",IFERROR(ROUND(L679*N(INDEX(art_w,MATCH(H679,art_ref,0))),3),"")))</f>
        <v/>
      </c>
      <c r="Q679" s="59" t="n"/>
      <c r="R679" s="54" t="n"/>
      <c r="S679" s="59" t="n"/>
      <c r="T679" s="59" t="n"/>
      <c r="U679" s="64" t="str">
        <f>IF(OR(B679="",H679=""),"",IFERROR(IF(A679="BL",IF(N(INDEX(art_price,MATCH(H679,art_ref,0)))=0,"",N(INDEX(art_price,MATCH(H679,art_ref,0)))),IF(N(INDEX(art_cost,MATCH(H679,art_ref,0)))=0,"",N(INDEX(art_cost,MATCH(H679,art_ref,0))))),""))</f>
        <v/>
      </c>
      <c r="V679" s="64" t="str">
        <f>IF(OR(U679="",NOT(ISNUMBER(L679))),"",IF(L679&lt;=0,"",ROUND(L679*U679,2)))</f>
        <v/>
      </c>
      <c r="W679" s="60" t="str">
        <f>IF(AND(B679&lt;&gt;"",A679&lt;&gt;"BS",F679&lt;&gt;"",H679&lt;&gt;"",ISNUMBER(K679),ISNUMBER(L679)),IF(AND(K679&gt;0,L679&gt;0,K679-L679&gt;0,COUNTIFS(A680:A$2005,A679,F680:F$2005,F679,H680:H$2005,H679,AA680:AA$2005,"&gt;0")=0),ROUND(K679-L679,6),""),"")</f>
        <v/>
      </c>
      <c r="X679" s="60" t="str">
        <f>IF(AND(A679="",C679="",D679="",H679="",L679=""),"",IF(A679="","Type manquant",IF(AND(A679&lt;&gt;"BL",A679&lt;&gt;"BR",A679&lt;&gt;"BS"),"Type inconnu (BL, BR ou BS)",IF(AG679=0,"Date manquante ou invalide",IF(D679="",IF(A679="BL","Client manquant",IF(A679="BR","Fournisseur manquant","Service manquant")),IF(IF(A679="BL",ISNA(MATCH(D679,cl_code,0)),IF(A679="BR",ISNA(MATCH(D679,fo_code,0)),ISNA(MATCH(D679,p_services,0)))),IF(A679="BL","Client inconnu",IF(A679="BR","Fournisseur inconnu","Service inconnu")),IF(H679="","Article manquant",IF(ISNA(MATCH(H679,art_ref,0)),"Article inconnu",IF(OR(NOT(ISNUMBER(L679)),N(L679)&lt;=0),"Quantité invalide",IF(AND(K679&lt;&gt;"",OR(NOT(ISNUMBER(K679)),N(K679)&lt;=0)),"Qté commandée invalide",IF(AG679&lt;SUMPRODUCT(MAX((A$6:A678=A679)*AG$6:AG678)),"Date antérieure au bon précédent",IF(AND(A679&lt;&gt;"BR",ISNUMBER(M679),N(M679)&gt;0),IF(A679="BL","Livré plus que commandé","Sorti plus que demandé"),"OK"))))))))))))</f>
        <v/>
      </c>
      <c r="Y679" s="57" t="str">
        <f>IF(AND(OR(A679="BL",A679="BR",A679="BS"),AG679&gt;0,D679&lt;&gt;""),A679&amp;"|"&amp;AG679&amp;"|"&amp;D679&amp;"|"&amp;F679,"")</f>
        <v/>
      </c>
      <c r="Z679" s="57" t="str">
        <f>IF(Y679="","",IF(COUNTIF(Y$6:Y678,Y679)=0,1,0))</f>
        <v/>
      </c>
      <c r="AA679" s="57" t="str">
        <f>IF(Y679="","",IF(Z679=1,COUNTIFS(A$6:A679,A679,Z$6:Z679,1),INDEX(AA$6:AA678,MATCH(Y679,Y$6:Y678,0))))</f>
        <v/>
      </c>
      <c r="AB679" s="57" t="str">
        <f>IF(B679="","",COUNTIF(B$6:B679,B679))</f>
        <v/>
      </c>
      <c r="AC679" s="57" t="str">
        <f>IF(B679="","",B679&amp;"#"&amp;AB679)</f>
        <v/>
      </c>
      <c r="AD679" s="57" t="str">
        <f>IF(Z679=1,A679&amp;AA679,"")</f>
        <v/>
      </c>
      <c r="AE679" s="57" t="str">
        <f>IF(B679="","",YEAR(C679))</f>
        <v/>
      </c>
      <c r="AF679" s="57" t="str">
        <f>IF(B679="","",MONTH(C679))</f>
        <v/>
      </c>
      <c r="AG679" s="57">
        <f>IF(ISNUMBER(C679),C679,0)</f>
        <v>0.0</v>
      </c>
      <c r="AH679" s="57" t="str">
        <f>IF(N(W679)&gt;0,COUNTIF(W$6:W679,"&gt;0"),"")</f>
        <v/>
      </c>
      <c r="AI679" s="57" t="str">
        <f>IF(Z679=1,COUNTIF(Z$6:Z679,1),"")</f>
        <v/>
      </c>
    </row>
    <row r="680">
      <c r="A680" s="54" t="n"/>
      <c r="B680" s="55" t="str">
        <f>IF(AA680="","",A680&amp;"-"&amp;RIGHT("000"&amp;AA680,4))</f>
        <v/>
      </c>
      <c r="C680" s="56" t="n"/>
      <c r="D680" s="54" t="n"/>
      <c r="E680" s="57" t="str">
        <f>IF(D680="","",IF(A680="BL",IFERROR(INDEX(cl_name,MATCH(D680,cl_code,0))&amp;"","Client inconnu"),IF(A680="BR",IFERROR(INDEX(fo_name,MATCH(D680,fo_code,0))&amp;"","Fournisseur inconnu"),IF(A680="BS",IF(ISNA(MATCH(D680,p_services,0)),"Service inconnu",D680&amp;""),""))))</f>
        <v/>
      </c>
      <c r="F680" s="58" t="n"/>
      <c r="G680" s="58" t="n"/>
      <c r="H680" s="59" t="n"/>
      <c r="I680" s="57" t="str">
        <f>IF(H680="","",IFERROR(INDEX(art_des,MATCH(H680,art_ref,0))&amp;"","Article inconnu"))</f>
        <v/>
      </c>
      <c r="J680" s="60" t="str">
        <f>IF(H680="","",IFERROR(INDEX(art_unit,MATCH(H680,art_ref,0))&amp;"",""))</f>
        <v/>
      </c>
      <c r="K680" s="59" t="n"/>
      <c r="L680" s="59" t="n"/>
      <c r="M680" s="61" t="str">
        <f>IF(OR(B680="",NOT(ISNUMBER(K680)),NOT(ISNUMBER(L680))),"",IF(OR(K680&lt;=0,L680&lt;=0),"",ROUND(L680-K680,6)))</f>
        <v/>
      </c>
      <c r="N680" s="58" t="n"/>
      <c r="O680" s="62" t="n"/>
      <c r="P680" s="63" t="str">
        <f>IF(OR(B680="",NOT(ISNUMBER(L680))),"",IF(L680&lt;=0,"",IFERROR(ROUND(L680*N(INDEX(art_w,MATCH(H680,art_ref,0))),3),"")))</f>
        <v/>
      </c>
      <c r="Q680" s="59" t="n"/>
      <c r="R680" s="54" t="n"/>
      <c r="S680" s="59" t="n"/>
      <c r="T680" s="59" t="n"/>
      <c r="U680" s="64" t="str">
        <f>IF(OR(B680="",H680=""),"",IFERROR(IF(A680="BL",IF(N(INDEX(art_price,MATCH(H680,art_ref,0)))=0,"",N(INDEX(art_price,MATCH(H680,art_ref,0)))),IF(N(INDEX(art_cost,MATCH(H680,art_ref,0)))=0,"",N(INDEX(art_cost,MATCH(H680,art_ref,0))))),""))</f>
        <v/>
      </c>
      <c r="V680" s="64" t="str">
        <f>IF(OR(U680="",NOT(ISNUMBER(L680))),"",IF(L680&lt;=0,"",ROUND(L680*U680,2)))</f>
        <v/>
      </c>
      <c r="W680" s="60" t="str">
        <f>IF(AND(B680&lt;&gt;"",A680&lt;&gt;"BS",F680&lt;&gt;"",H680&lt;&gt;"",ISNUMBER(K680),ISNUMBER(L680)),IF(AND(K680&gt;0,L680&gt;0,K680-L680&gt;0,COUNTIFS(A681:A$2005,A680,F681:F$2005,F680,H681:H$2005,H680,AA681:AA$2005,"&gt;0")=0),ROUND(K680-L680,6),""),"")</f>
        <v/>
      </c>
      <c r="X680" s="60" t="str">
        <f>IF(AND(A680="",C680="",D680="",H680="",L680=""),"",IF(A680="","Type manquant",IF(AND(A680&lt;&gt;"BL",A680&lt;&gt;"BR",A680&lt;&gt;"BS"),"Type inconnu (BL, BR ou BS)",IF(AG680=0,"Date manquante ou invalide",IF(D680="",IF(A680="BL","Client manquant",IF(A680="BR","Fournisseur manquant","Service manquant")),IF(IF(A680="BL",ISNA(MATCH(D680,cl_code,0)),IF(A680="BR",ISNA(MATCH(D680,fo_code,0)),ISNA(MATCH(D680,p_services,0)))),IF(A680="BL","Client inconnu",IF(A680="BR","Fournisseur inconnu","Service inconnu")),IF(H680="","Article manquant",IF(ISNA(MATCH(H680,art_ref,0)),"Article inconnu",IF(OR(NOT(ISNUMBER(L680)),N(L680)&lt;=0),"Quantité invalide",IF(AND(K680&lt;&gt;"",OR(NOT(ISNUMBER(K680)),N(K680)&lt;=0)),"Qté commandée invalide",IF(AG680&lt;SUMPRODUCT(MAX((A$6:A679=A680)*AG$6:AG679)),"Date antérieure au bon précédent",IF(AND(A680&lt;&gt;"BR",ISNUMBER(M680),N(M680)&gt;0),IF(A680="BL","Livré plus que commandé","Sorti plus que demandé"),"OK"))))))))))))</f>
        <v/>
      </c>
      <c r="Y680" s="57" t="str">
        <f>IF(AND(OR(A680="BL",A680="BR",A680="BS"),AG680&gt;0,D680&lt;&gt;""),A680&amp;"|"&amp;AG680&amp;"|"&amp;D680&amp;"|"&amp;F680,"")</f>
        <v/>
      </c>
      <c r="Z680" s="57" t="str">
        <f>IF(Y680="","",IF(COUNTIF(Y$6:Y679,Y680)=0,1,0))</f>
        <v/>
      </c>
      <c r="AA680" s="57" t="str">
        <f>IF(Y680="","",IF(Z680=1,COUNTIFS(A$6:A680,A680,Z$6:Z680,1),INDEX(AA$6:AA679,MATCH(Y680,Y$6:Y679,0))))</f>
        <v/>
      </c>
      <c r="AB680" s="57" t="str">
        <f>IF(B680="","",COUNTIF(B$6:B680,B680))</f>
        <v/>
      </c>
      <c r="AC680" s="57" t="str">
        <f>IF(B680="","",B680&amp;"#"&amp;AB680)</f>
        <v/>
      </c>
      <c r="AD680" s="57" t="str">
        <f>IF(Z680=1,A680&amp;AA680,"")</f>
        <v/>
      </c>
      <c r="AE680" s="57" t="str">
        <f>IF(B680="","",YEAR(C680))</f>
        <v/>
      </c>
      <c r="AF680" s="57" t="str">
        <f>IF(B680="","",MONTH(C680))</f>
        <v/>
      </c>
      <c r="AG680" s="57">
        <f>IF(ISNUMBER(C680),C680,0)</f>
        <v>0.0</v>
      </c>
      <c r="AH680" s="57" t="str">
        <f>IF(N(W680)&gt;0,COUNTIF(W$6:W680,"&gt;0"),"")</f>
        <v/>
      </c>
      <c r="AI680" s="57" t="str">
        <f>IF(Z680=1,COUNTIF(Z$6:Z680,1),"")</f>
        <v/>
      </c>
    </row>
    <row r="681">
      <c r="A681" s="54" t="n"/>
      <c r="B681" s="55" t="str">
        <f>IF(AA681="","",A681&amp;"-"&amp;RIGHT("000"&amp;AA681,4))</f>
        <v/>
      </c>
      <c r="C681" s="56" t="n"/>
      <c r="D681" s="54" t="n"/>
      <c r="E681" s="57" t="str">
        <f>IF(D681="","",IF(A681="BL",IFERROR(INDEX(cl_name,MATCH(D681,cl_code,0))&amp;"","Client inconnu"),IF(A681="BR",IFERROR(INDEX(fo_name,MATCH(D681,fo_code,0))&amp;"","Fournisseur inconnu"),IF(A681="BS",IF(ISNA(MATCH(D681,p_services,0)),"Service inconnu",D681&amp;""),""))))</f>
        <v/>
      </c>
      <c r="F681" s="58" t="n"/>
      <c r="G681" s="58" t="n"/>
      <c r="H681" s="59" t="n"/>
      <c r="I681" s="57" t="str">
        <f>IF(H681="","",IFERROR(INDEX(art_des,MATCH(H681,art_ref,0))&amp;"","Article inconnu"))</f>
        <v/>
      </c>
      <c r="J681" s="60" t="str">
        <f>IF(H681="","",IFERROR(INDEX(art_unit,MATCH(H681,art_ref,0))&amp;"",""))</f>
        <v/>
      </c>
      <c r="K681" s="59" t="n"/>
      <c r="L681" s="59" t="n"/>
      <c r="M681" s="61" t="str">
        <f>IF(OR(B681="",NOT(ISNUMBER(K681)),NOT(ISNUMBER(L681))),"",IF(OR(K681&lt;=0,L681&lt;=0),"",ROUND(L681-K681,6)))</f>
        <v/>
      </c>
      <c r="N681" s="58" t="n"/>
      <c r="O681" s="62" t="n"/>
      <c r="P681" s="63" t="str">
        <f>IF(OR(B681="",NOT(ISNUMBER(L681))),"",IF(L681&lt;=0,"",IFERROR(ROUND(L681*N(INDEX(art_w,MATCH(H681,art_ref,0))),3),"")))</f>
        <v/>
      </c>
      <c r="Q681" s="59" t="n"/>
      <c r="R681" s="54" t="n"/>
      <c r="S681" s="59" t="n"/>
      <c r="T681" s="59" t="n"/>
      <c r="U681" s="64" t="str">
        <f>IF(OR(B681="",H681=""),"",IFERROR(IF(A681="BL",IF(N(INDEX(art_price,MATCH(H681,art_ref,0)))=0,"",N(INDEX(art_price,MATCH(H681,art_ref,0)))),IF(N(INDEX(art_cost,MATCH(H681,art_ref,0)))=0,"",N(INDEX(art_cost,MATCH(H681,art_ref,0))))),""))</f>
        <v/>
      </c>
      <c r="V681" s="64" t="str">
        <f>IF(OR(U681="",NOT(ISNUMBER(L681))),"",IF(L681&lt;=0,"",ROUND(L681*U681,2)))</f>
        <v/>
      </c>
      <c r="W681" s="60" t="str">
        <f>IF(AND(B681&lt;&gt;"",A681&lt;&gt;"BS",F681&lt;&gt;"",H681&lt;&gt;"",ISNUMBER(K681),ISNUMBER(L681)),IF(AND(K681&gt;0,L681&gt;0,K681-L681&gt;0,COUNTIFS(A682:A$2005,A681,F682:F$2005,F681,H682:H$2005,H681,AA682:AA$2005,"&gt;0")=0),ROUND(K681-L681,6),""),"")</f>
        <v/>
      </c>
      <c r="X681" s="60" t="str">
        <f>IF(AND(A681="",C681="",D681="",H681="",L681=""),"",IF(A681="","Type manquant",IF(AND(A681&lt;&gt;"BL",A681&lt;&gt;"BR",A681&lt;&gt;"BS"),"Type inconnu (BL, BR ou BS)",IF(AG681=0,"Date manquante ou invalide",IF(D681="",IF(A681="BL","Client manquant",IF(A681="BR","Fournisseur manquant","Service manquant")),IF(IF(A681="BL",ISNA(MATCH(D681,cl_code,0)),IF(A681="BR",ISNA(MATCH(D681,fo_code,0)),ISNA(MATCH(D681,p_services,0)))),IF(A681="BL","Client inconnu",IF(A681="BR","Fournisseur inconnu","Service inconnu")),IF(H681="","Article manquant",IF(ISNA(MATCH(H681,art_ref,0)),"Article inconnu",IF(OR(NOT(ISNUMBER(L681)),N(L681)&lt;=0),"Quantité invalide",IF(AND(K681&lt;&gt;"",OR(NOT(ISNUMBER(K681)),N(K681)&lt;=0)),"Qté commandée invalide",IF(AG681&lt;SUMPRODUCT(MAX((A$6:A680=A681)*AG$6:AG680)),"Date antérieure au bon précédent",IF(AND(A681&lt;&gt;"BR",ISNUMBER(M681),N(M681)&gt;0),IF(A681="BL","Livré plus que commandé","Sorti plus que demandé"),"OK"))))))))))))</f>
        <v/>
      </c>
      <c r="Y681" s="57" t="str">
        <f>IF(AND(OR(A681="BL",A681="BR",A681="BS"),AG681&gt;0,D681&lt;&gt;""),A681&amp;"|"&amp;AG681&amp;"|"&amp;D681&amp;"|"&amp;F681,"")</f>
        <v/>
      </c>
      <c r="Z681" s="57" t="str">
        <f>IF(Y681="","",IF(COUNTIF(Y$6:Y680,Y681)=0,1,0))</f>
        <v/>
      </c>
      <c r="AA681" s="57" t="str">
        <f>IF(Y681="","",IF(Z681=1,COUNTIFS(A$6:A681,A681,Z$6:Z681,1),INDEX(AA$6:AA680,MATCH(Y681,Y$6:Y680,0))))</f>
        <v/>
      </c>
      <c r="AB681" s="57" t="str">
        <f>IF(B681="","",COUNTIF(B$6:B681,B681))</f>
        <v/>
      </c>
      <c r="AC681" s="57" t="str">
        <f>IF(B681="","",B681&amp;"#"&amp;AB681)</f>
        <v/>
      </c>
      <c r="AD681" s="57" t="str">
        <f>IF(Z681=1,A681&amp;AA681,"")</f>
        <v/>
      </c>
      <c r="AE681" s="57" t="str">
        <f>IF(B681="","",YEAR(C681))</f>
        <v/>
      </c>
      <c r="AF681" s="57" t="str">
        <f>IF(B681="","",MONTH(C681))</f>
        <v/>
      </c>
      <c r="AG681" s="57">
        <f>IF(ISNUMBER(C681),C681,0)</f>
        <v>0.0</v>
      </c>
      <c r="AH681" s="57" t="str">
        <f>IF(N(W681)&gt;0,COUNTIF(W$6:W681,"&gt;0"),"")</f>
        <v/>
      </c>
      <c r="AI681" s="57" t="str">
        <f>IF(Z681=1,COUNTIF(Z$6:Z681,1),"")</f>
        <v/>
      </c>
    </row>
    <row r="682">
      <c r="A682" s="54" t="n"/>
      <c r="B682" s="55" t="str">
        <f>IF(AA682="","",A682&amp;"-"&amp;RIGHT("000"&amp;AA682,4))</f>
        <v/>
      </c>
      <c r="C682" s="56" t="n"/>
      <c r="D682" s="54" t="n"/>
      <c r="E682" s="57" t="str">
        <f>IF(D682="","",IF(A682="BL",IFERROR(INDEX(cl_name,MATCH(D682,cl_code,0))&amp;"","Client inconnu"),IF(A682="BR",IFERROR(INDEX(fo_name,MATCH(D682,fo_code,0))&amp;"","Fournisseur inconnu"),IF(A682="BS",IF(ISNA(MATCH(D682,p_services,0)),"Service inconnu",D682&amp;""),""))))</f>
        <v/>
      </c>
      <c r="F682" s="58" t="n"/>
      <c r="G682" s="58" t="n"/>
      <c r="H682" s="59" t="n"/>
      <c r="I682" s="57" t="str">
        <f>IF(H682="","",IFERROR(INDEX(art_des,MATCH(H682,art_ref,0))&amp;"","Article inconnu"))</f>
        <v/>
      </c>
      <c r="J682" s="60" t="str">
        <f>IF(H682="","",IFERROR(INDEX(art_unit,MATCH(H682,art_ref,0))&amp;"",""))</f>
        <v/>
      </c>
      <c r="K682" s="59" t="n"/>
      <c r="L682" s="59" t="n"/>
      <c r="M682" s="61" t="str">
        <f>IF(OR(B682="",NOT(ISNUMBER(K682)),NOT(ISNUMBER(L682))),"",IF(OR(K682&lt;=0,L682&lt;=0),"",ROUND(L682-K682,6)))</f>
        <v/>
      </c>
      <c r="N682" s="58" t="n"/>
      <c r="O682" s="62" t="n"/>
      <c r="P682" s="63" t="str">
        <f>IF(OR(B682="",NOT(ISNUMBER(L682))),"",IF(L682&lt;=0,"",IFERROR(ROUND(L682*N(INDEX(art_w,MATCH(H682,art_ref,0))),3),"")))</f>
        <v/>
      </c>
      <c r="Q682" s="59" t="n"/>
      <c r="R682" s="54" t="n"/>
      <c r="S682" s="59" t="n"/>
      <c r="T682" s="59" t="n"/>
      <c r="U682" s="64" t="str">
        <f>IF(OR(B682="",H682=""),"",IFERROR(IF(A682="BL",IF(N(INDEX(art_price,MATCH(H682,art_ref,0)))=0,"",N(INDEX(art_price,MATCH(H682,art_ref,0)))),IF(N(INDEX(art_cost,MATCH(H682,art_ref,0)))=0,"",N(INDEX(art_cost,MATCH(H682,art_ref,0))))),""))</f>
        <v/>
      </c>
      <c r="V682" s="64" t="str">
        <f>IF(OR(U682="",NOT(ISNUMBER(L682))),"",IF(L682&lt;=0,"",ROUND(L682*U682,2)))</f>
        <v/>
      </c>
      <c r="W682" s="60" t="str">
        <f>IF(AND(B682&lt;&gt;"",A682&lt;&gt;"BS",F682&lt;&gt;"",H682&lt;&gt;"",ISNUMBER(K682),ISNUMBER(L682)),IF(AND(K682&gt;0,L682&gt;0,K682-L682&gt;0,COUNTIFS(A683:A$2005,A682,F683:F$2005,F682,H683:H$2005,H682,AA683:AA$2005,"&gt;0")=0),ROUND(K682-L682,6),""),"")</f>
        <v/>
      </c>
      <c r="X682" s="60" t="str">
        <f>IF(AND(A682="",C682="",D682="",H682="",L682=""),"",IF(A682="","Type manquant",IF(AND(A682&lt;&gt;"BL",A682&lt;&gt;"BR",A682&lt;&gt;"BS"),"Type inconnu (BL, BR ou BS)",IF(AG682=0,"Date manquante ou invalide",IF(D682="",IF(A682="BL","Client manquant",IF(A682="BR","Fournisseur manquant","Service manquant")),IF(IF(A682="BL",ISNA(MATCH(D682,cl_code,0)),IF(A682="BR",ISNA(MATCH(D682,fo_code,0)),ISNA(MATCH(D682,p_services,0)))),IF(A682="BL","Client inconnu",IF(A682="BR","Fournisseur inconnu","Service inconnu")),IF(H682="","Article manquant",IF(ISNA(MATCH(H682,art_ref,0)),"Article inconnu",IF(OR(NOT(ISNUMBER(L682)),N(L682)&lt;=0),"Quantité invalide",IF(AND(K682&lt;&gt;"",OR(NOT(ISNUMBER(K682)),N(K682)&lt;=0)),"Qté commandée invalide",IF(AG682&lt;SUMPRODUCT(MAX((A$6:A681=A682)*AG$6:AG681)),"Date antérieure au bon précédent",IF(AND(A682&lt;&gt;"BR",ISNUMBER(M682),N(M682)&gt;0),IF(A682="BL","Livré plus que commandé","Sorti plus que demandé"),"OK"))))))))))))</f>
        <v/>
      </c>
      <c r="Y682" s="57" t="str">
        <f>IF(AND(OR(A682="BL",A682="BR",A682="BS"),AG682&gt;0,D682&lt;&gt;""),A682&amp;"|"&amp;AG682&amp;"|"&amp;D682&amp;"|"&amp;F682,"")</f>
        <v/>
      </c>
      <c r="Z682" s="57" t="str">
        <f>IF(Y682="","",IF(COUNTIF(Y$6:Y681,Y682)=0,1,0))</f>
        <v/>
      </c>
      <c r="AA682" s="57" t="str">
        <f>IF(Y682="","",IF(Z682=1,COUNTIFS(A$6:A682,A682,Z$6:Z682,1),INDEX(AA$6:AA681,MATCH(Y682,Y$6:Y681,0))))</f>
        <v/>
      </c>
      <c r="AB682" s="57" t="str">
        <f>IF(B682="","",COUNTIF(B$6:B682,B682))</f>
        <v/>
      </c>
      <c r="AC682" s="57" t="str">
        <f>IF(B682="","",B682&amp;"#"&amp;AB682)</f>
        <v/>
      </c>
      <c r="AD682" s="57" t="str">
        <f>IF(Z682=1,A682&amp;AA682,"")</f>
        <v/>
      </c>
      <c r="AE682" s="57" t="str">
        <f>IF(B682="","",YEAR(C682))</f>
        <v/>
      </c>
      <c r="AF682" s="57" t="str">
        <f>IF(B682="","",MONTH(C682))</f>
        <v/>
      </c>
      <c r="AG682" s="57">
        <f>IF(ISNUMBER(C682),C682,0)</f>
        <v>0.0</v>
      </c>
      <c r="AH682" s="57" t="str">
        <f>IF(N(W682)&gt;0,COUNTIF(W$6:W682,"&gt;0"),"")</f>
        <v/>
      </c>
      <c r="AI682" s="57" t="str">
        <f>IF(Z682=1,COUNTIF(Z$6:Z682,1),"")</f>
        <v/>
      </c>
    </row>
    <row r="683">
      <c r="A683" s="54" t="n"/>
      <c r="B683" s="55" t="str">
        <f>IF(AA683="","",A683&amp;"-"&amp;RIGHT("000"&amp;AA683,4))</f>
        <v/>
      </c>
      <c r="C683" s="56" t="n"/>
      <c r="D683" s="54" t="n"/>
      <c r="E683" s="57" t="str">
        <f>IF(D683="","",IF(A683="BL",IFERROR(INDEX(cl_name,MATCH(D683,cl_code,0))&amp;"","Client inconnu"),IF(A683="BR",IFERROR(INDEX(fo_name,MATCH(D683,fo_code,0))&amp;"","Fournisseur inconnu"),IF(A683="BS",IF(ISNA(MATCH(D683,p_services,0)),"Service inconnu",D683&amp;""),""))))</f>
        <v/>
      </c>
      <c r="F683" s="58" t="n"/>
      <c r="G683" s="58" t="n"/>
      <c r="H683" s="59" t="n"/>
      <c r="I683" s="57" t="str">
        <f>IF(H683="","",IFERROR(INDEX(art_des,MATCH(H683,art_ref,0))&amp;"","Article inconnu"))</f>
        <v/>
      </c>
      <c r="J683" s="60" t="str">
        <f>IF(H683="","",IFERROR(INDEX(art_unit,MATCH(H683,art_ref,0))&amp;"",""))</f>
        <v/>
      </c>
      <c r="K683" s="59" t="n"/>
      <c r="L683" s="59" t="n"/>
      <c r="M683" s="61" t="str">
        <f>IF(OR(B683="",NOT(ISNUMBER(K683)),NOT(ISNUMBER(L683))),"",IF(OR(K683&lt;=0,L683&lt;=0),"",ROUND(L683-K683,6)))</f>
        <v/>
      </c>
      <c r="N683" s="58" t="n"/>
      <c r="O683" s="62" t="n"/>
      <c r="P683" s="63" t="str">
        <f>IF(OR(B683="",NOT(ISNUMBER(L683))),"",IF(L683&lt;=0,"",IFERROR(ROUND(L683*N(INDEX(art_w,MATCH(H683,art_ref,0))),3),"")))</f>
        <v/>
      </c>
      <c r="Q683" s="59" t="n"/>
      <c r="R683" s="54" t="n"/>
      <c r="S683" s="59" t="n"/>
      <c r="T683" s="59" t="n"/>
      <c r="U683" s="64" t="str">
        <f>IF(OR(B683="",H683=""),"",IFERROR(IF(A683="BL",IF(N(INDEX(art_price,MATCH(H683,art_ref,0)))=0,"",N(INDEX(art_price,MATCH(H683,art_ref,0)))),IF(N(INDEX(art_cost,MATCH(H683,art_ref,0)))=0,"",N(INDEX(art_cost,MATCH(H683,art_ref,0))))),""))</f>
        <v/>
      </c>
      <c r="V683" s="64" t="str">
        <f>IF(OR(U683="",NOT(ISNUMBER(L683))),"",IF(L683&lt;=0,"",ROUND(L683*U683,2)))</f>
        <v/>
      </c>
      <c r="W683" s="60" t="str">
        <f>IF(AND(B683&lt;&gt;"",A683&lt;&gt;"BS",F683&lt;&gt;"",H683&lt;&gt;"",ISNUMBER(K683),ISNUMBER(L683)),IF(AND(K683&gt;0,L683&gt;0,K683-L683&gt;0,COUNTIFS(A684:A$2005,A683,F684:F$2005,F683,H684:H$2005,H683,AA684:AA$2005,"&gt;0")=0),ROUND(K683-L683,6),""),"")</f>
        <v/>
      </c>
      <c r="X683" s="60" t="str">
        <f>IF(AND(A683="",C683="",D683="",H683="",L683=""),"",IF(A683="","Type manquant",IF(AND(A683&lt;&gt;"BL",A683&lt;&gt;"BR",A683&lt;&gt;"BS"),"Type inconnu (BL, BR ou BS)",IF(AG683=0,"Date manquante ou invalide",IF(D683="",IF(A683="BL","Client manquant",IF(A683="BR","Fournisseur manquant","Service manquant")),IF(IF(A683="BL",ISNA(MATCH(D683,cl_code,0)),IF(A683="BR",ISNA(MATCH(D683,fo_code,0)),ISNA(MATCH(D683,p_services,0)))),IF(A683="BL","Client inconnu",IF(A683="BR","Fournisseur inconnu","Service inconnu")),IF(H683="","Article manquant",IF(ISNA(MATCH(H683,art_ref,0)),"Article inconnu",IF(OR(NOT(ISNUMBER(L683)),N(L683)&lt;=0),"Quantité invalide",IF(AND(K683&lt;&gt;"",OR(NOT(ISNUMBER(K683)),N(K683)&lt;=0)),"Qté commandée invalide",IF(AG683&lt;SUMPRODUCT(MAX((A$6:A682=A683)*AG$6:AG682)),"Date antérieure au bon précédent",IF(AND(A683&lt;&gt;"BR",ISNUMBER(M683),N(M683)&gt;0),IF(A683="BL","Livré plus que commandé","Sorti plus que demandé"),"OK"))))))))))))</f>
        <v/>
      </c>
      <c r="Y683" s="57" t="str">
        <f>IF(AND(OR(A683="BL",A683="BR",A683="BS"),AG683&gt;0,D683&lt;&gt;""),A683&amp;"|"&amp;AG683&amp;"|"&amp;D683&amp;"|"&amp;F683,"")</f>
        <v/>
      </c>
      <c r="Z683" s="57" t="str">
        <f>IF(Y683="","",IF(COUNTIF(Y$6:Y682,Y683)=0,1,0))</f>
        <v/>
      </c>
      <c r="AA683" s="57" t="str">
        <f>IF(Y683="","",IF(Z683=1,COUNTIFS(A$6:A683,A683,Z$6:Z683,1),INDEX(AA$6:AA682,MATCH(Y683,Y$6:Y682,0))))</f>
        <v/>
      </c>
      <c r="AB683" s="57" t="str">
        <f>IF(B683="","",COUNTIF(B$6:B683,B683))</f>
        <v/>
      </c>
      <c r="AC683" s="57" t="str">
        <f>IF(B683="","",B683&amp;"#"&amp;AB683)</f>
        <v/>
      </c>
      <c r="AD683" s="57" t="str">
        <f>IF(Z683=1,A683&amp;AA683,"")</f>
        <v/>
      </c>
      <c r="AE683" s="57" t="str">
        <f>IF(B683="","",YEAR(C683))</f>
        <v/>
      </c>
      <c r="AF683" s="57" t="str">
        <f>IF(B683="","",MONTH(C683))</f>
        <v/>
      </c>
      <c r="AG683" s="57">
        <f>IF(ISNUMBER(C683),C683,0)</f>
        <v>0.0</v>
      </c>
      <c r="AH683" s="57" t="str">
        <f>IF(N(W683)&gt;0,COUNTIF(W$6:W683,"&gt;0"),"")</f>
        <v/>
      </c>
      <c r="AI683" s="57" t="str">
        <f>IF(Z683=1,COUNTIF(Z$6:Z683,1),"")</f>
        <v/>
      </c>
    </row>
    <row r="684">
      <c r="A684" s="54" t="n"/>
      <c r="B684" s="55" t="str">
        <f>IF(AA684="","",A684&amp;"-"&amp;RIGHT("000"&amp;AA684,4))</f>
        <v/>
      </c>
      <c r="C684" s="56" t="n"/>
      <c r="D684" s="54" t="n"/>
      <c r="E684" s="57" t="str">
        <f>IF(D684="","",IF(A684="BL",IFERROR(INDEX(cl_name,MATCH(D684,cl_code,0))&amp;"","Client inconnu"),IF(A684="BR",IFERROR(INDEX(fo_name,MATCH(D684,fo_code,0))&amp;"","Fournisseur inconnu"),IF(A684="BS",IF(ISNA(MATCH(D684,p_services,0)),"Service inconnu",D684&amp;""),""))))</f>
        <v/>
      </c>
      <c r="F684" s="58" t="n"/>
      <c r="G684" s="58" t="n"/>
      <c r="H684" s="59" t="n"/>
      <c r="I684" s="57" t="str">
        <f>IF(H684="","",IFERROR(INDEX(art_des,MATCH(H684,art_ref,0))&amp;"","Article inconnu"))</f>
        <v/>
      </c>
      <c r="J684" s="60" t="str">
        <f>IF(H684="","",IFERROR(INDEX(art_unit,MATCH(H684,art_ref,0))&amp;"",""))</f>
        <v/>
      </c>
      <c r="K684" s="59" t="n"/>
      <c r="L684" s="59" t="n"/>
      <c r="M684" s="61" t="str">
        <f>IF(OR(B684="",NOT(ISNUMBER(K684)),NOT(ISNUMBER(L684))),"",IF(OR(K684&lt;=0,L684&lt;=0),"",ROUND(L684-K684,6)))</f>
        <v/>
      </c>
      <c r="N684" s="58" t="n"/>
      <c r="O684" s="62" t="n"/>
      <c r="P684" s="63" t="str">
        <f>IF(OR(B684="",NOT(ISNUMBER(L684))),"",IF(L684&lt;=0,"",IFERROR(ROUND(L684*N(INDEX(art_w,MATCH(H684,art_ref,0))),3),"")))</f>
        <v/>
      </c>
      <c r="Q684" s="59" t="n"/>
      <c r="R684" s="54" t="n"/>
      <c r="S684" s="59" t="n"/>
      <c r="T684" s="59" t="n"/>
      <c r="U684" s="64" t="str">
        <f>IF(OR(B684="",H684=""),"",IFERROR(IF(A684="BL",IF(N(INDEX(art_price,MATCH(H684,art_ref,0)))=0,"",N(INDEX(art_price,MATCH(H684,art_ref,0)))),IF(N(INDEX(art_cost,MATCH(H684,art_ref,0)))=0,"",N(INDEX(art_cost,MATCH(H684,art_ref,0))))),""))</f>
        <v/>
      </c>
      <c r="V684" s="64" t="str">
        <f>IF(OR(U684="",NOT(ISNUMBER(L684))),"",IF(L684&lt;=0,"",ROUND(L684*U684,2)))</f>
        <v/>
      </c>
      <c r="W684" s="60" t="str">
        <f>IF(AND(B684&lt;&gt;"",A684&lt;&gt;"BS",F684&lt;&gt;"",H684&lt;&gt;"",ISNUMBER(K684),ISNUMBER(L684)),IF(AND(K684&gt;0,L684&gt;0,K684-L684&gt;0,COUNTIFS(A685:A$2005,A684,F685:F$2005,F684,H685:H$2005,H684,AA685:AA$2005,"&gt;0")=0),ROUND(K684-L684,6),""),"")</f>
        <v/>
      </c>
      <c r="X684" s="60" t="str">
        <f>IF(AND(A684="",C684="",D684="",H684="",L684=""),"",IF(A684="","Type manquant",IF(AND(A684&lt;&gt;"BL",A684&lt;&gt;"BR",A684&lt;&gt;"BS"),"Type inconnu (BL, BR ou BS)",IF(AG684=0,"Date manquante ou invalide",IF(D684="",IF(A684="BL","Client manquant",IF(A684="BR","Fournisseur manquant","Service manquant")),IF(IF(A684="BL",ISNA(MATCH(D684,cl_code,0)),IF(A684="BR",ISNA(MATCH(D684,fo_code,0)),ISNA(MATCH(D684,p_services,0)))),IF(A684="BL","Client inconnu",IF(A684="BR","Fournisseur inconnu","Service inconnu")),IF(H684="","Article manquant",IF(ISNA(MATCH(H684,art_ref,0)),"Article inconnu",IF(OR(NOT(ISNUMBER(L684)),N(L684)&lt;=0),"Quantité invalide",IF(AND(K684&lt;&gt;"",OR(NOT(ISNUMBER(K684)),N(K684)&lt;=0)),"Qté commandée invalide",IF(AG684&lt;SUMPRODUCT(MAX((A$6:A683=A684)*AG$6:AG683)),"Date antérieure au bon précédent",IF(AND(A684&lt;&gt;"BR",ISNUMBER(M684),N(M684)&gt;0),IF(A684="BL","Livré plus que commandé","Sorti plus que demandé"),"OK"))))))))))))</f>
        <v/>
      </c>
      <c r="Y684" s="57" t="str">
        <f>IF(AND(OR(A684="BL",A684="BR",A684="BS"),AG684&gt;0,D684&lt;&gt;""),A684&amp;"|"&amp;AG684&amp;"|"&amp;D684&amp;"|"&amp;F684,"")</f>
        <v/>
      </c>
      <c r="Z684" s="57" t="str">
        <f>IF(Y684="","",IF(COUNTIF(Y$6:Y683,Y684)=0,1,0))</f>
        <v/>
      </c>
      <c r="AA684" s="57" t="str">
        <f>IF(Y684="","",IF(Z684=1,COUNTIFS(A$6:A684,A684,Z$6:Z684,1),INDEX(AA$6:AA683,MATCH(Y684,Y$6:Y683,0))))</f>
        <v/>
      </c>
      <c r="AB684" s="57" t="str">
        <f>IF(B684="","",COUNTIF(B$6:B684,B684))</f>
        <v/>
      </c>
      <c r="AC684" s="57" t="str">
        <f>IF(B684="","",B684&amp;"#"&amp;AB684)</f>
        <v/>
      </c>
      <c r="AD684" s="57" t="str">
        <f>IF(Z684=1,A684&amp;AA684,"")</f>
        <v/>
      </c>
      <c r="AE684" s="57" t="str">
        <f>IF(B684="","",YEAR(C684))</f>
        <v/>
      </c>
      <c r="AF684" s="57" t="str">
        <f>IF(B684="","",MONTH(C684))</f>
        <v/>
      </c>
      <c r="AG684" s="57">
        <f>IF(ISNUMBER(C684),C684,0)</f>
        <v>0.0</v>
      </c>
      <c r="AH684" s="57" t="str">
        <f>IF(N(W684)&gt;0,COUNTIF(W$6:W684,"&gt;0"),"")</f>
        <v/>
      </c>
      <c r="AI684" s="57" t="str">
        <f>IF(Z684=1,COUNTIF(Z$6:Z684,1),"")</f>
        <v/>
      </c>
    </row>
    <row r="685">
      <c r="A685" s="54" t="n"/>
      <c r="B685" s="55" t="str">
        <f>IF(AA685="","",A685&amp;"-"&amp;RIGHT("000"&amp;AA685,4))</f>
        <v/>
      </c>
      <c r="C685" s="56" t="n"/>
      <c r="D685" s="54" t="n"/>
      <c r="E685" s="57" t="str">
        <f>IF(D685="","",IF(A685="BL",IFERROR(INDEX(cl_name,MATCH(D685,cl_code,0))&amp;"","Client inconnu"),IF(A685="BR",IFERROR(INDEX(fo_name,MATCH(D685,fo_code,0))&amp;"","Fournisseur inconnu"),IF(A685="BS",IF(ISNA(MATCH(D685,p_services,0)),"Service inconnu",D685&amp;""),""))))</f>
        <v/>
      </c>
      <c r="F685" s="58" t="n"/>
      <c r="G685" s="58" t="n"/>
      <c r="H685" s="59" t="n"/>
      <c r="I685" s="57" t="str">
        <f>IF(H685="","",IFERROR(INDEX(art_des,MATCH(H685,art_ref,0))&amp;"","Article inconnu"))</f>
        <v/>
      </c>
      <c r="J685" s="60" t="str">
        <f>IF(H685="","",IFERROR(INDEX(art_unit,MATCH(H685,art_ref,0))&amp;"",""))</f>
        <v/>
      </c>
      <c r="K685" s="59" t="n"/>
      <c r="L685" s="59" t="n"/>
      <c r="M685" s="61" t="str">
        <f>IF(OR(B685="",NOT(ISNUMBER(K685)),NOT(ISNUMBER(L685))),"",IF(OR(K685&lt;=0,L685&lt;=0),"",ROUND(L685-K685,6)))</f>
        <v/>
      </c>
      <c r="N685" s="58" t="n"/>
      <c r="O685" s="62" t="n"/>
      <c r="P685" s="63" t="str">
        <f>IF(OR(B685="",NOT(ISNUMBER(L685))),"",IF(L685&lt;=0,"",IFERROR(ROUND(L685*N(INDEX(art_w,MATCH(H685,art_ref,0))),3),"")))</f>
        <v/>
      </c>
      <c r="Q685" s="59" t="n"/>
      <c r="R685" s="54" t="n"/>
      <c r="S685" s="59" t="n"/>
      <c r="T685" s="59" t="n"/>
      <c r="U685" s="64" t="str">
        <f>IF(OR(B685="",H685=""),"",IFERROR(IF(A685="BL",IF(N(INDEX(art_price,MATCH(H685,art_ref,0)))=0,"",N(INDEX(art_price,MATCH(H685,art_ref,0)))),IF(N(INDEX(art_cost,MATCH(H685,art_ref,0)))=0,"",N(INDEX(art_cost,MATCH(H685,art_ref,0))))),""))</f>
        <v/>
      </c>
      <c r="V685" s="64" t="str">
        <f>IF(OR(U685="",NOT(ISNUMBER(L685))),"",IF(L685&lt;=0,"",ROUND(L685*U685,2)))</f>
        <v/>
      </c>
      <c r="W685" s="60" t="str">
        <f>IF(AND(B685&lt;&gt;"",A685&lt;&gt;"BS",F685&lt;&gt;"",H685&lt;&gt;"",ISNUMBER(K685),ISNUMBER(L685)),IF(AND(K685&gt;0,L685&gt;0,K685-L685&gt;0,COUNTIFS(A686:A$2005,A685,F686:F$2005,F685,H686:H$2005,H685,AA686:AA$2005,"&gt;0")=0),ROUND(K685-L685,6),""),"")</f>
        <v/>
      </c>
      <c r="X685" s="60" t="str">
        <f>IF(AND(A685="",C685="",D685="",H685="",L685=""),"",IF(A685="","Type manquant",IF(AND(A685&lt;&gt;"BL",A685&lt;&gt;"BR",A685&lt;&gt;"BS"),"Type inconnu (BL, BR ou BS)",IF(AG685=0,"Date manquante ou invalide",IF(D685="",IF(A685="BL","Client manquant",IF(A685="BR","Fournisseur manquant","Service manquant")),IF(IF(A685="BL",ISNA(MATCH(D685,cl_code,0)),IF(A685="BR",ISNA(MATCH(D685,fo_code,0)),ISNA(MATCH(D685,p_services,0)))),IF(A685="BL","Client inconnu",IF(A685="BR","Fournisseur inconnu","Service inconnu")),IF(H685="","Article manquant",IF(ISNA(MATCH(H685,art_ref,0)),"Article inconnu",IF(OR(NOT(ISNUMBER(L685)),N(L685)&lt;=0),"Quantité invalide",IF(AND(K685&lt;&gt;"",OR(NOT(ISNUMBER(K685)),N(K685)&lt;=0)),"Qté commandée invalide",IF(AG685&lt;SUMPRODUCT(MAX((A$6:A684=A685)*AG$6:AG684)),"Date antérieure au bon précédent",IF(AND(A685&lt;&gt;"BR",ISNUMBER(M685),N(M685)&gt;0),IF(A685="BL","Livré plus que commandé","Sorti plus que demandé"),"OK"))))))))))))</f>
        <v/>
      </c>
      <c r="Y685" s="57" t="str">
        <f>IF(AND(OR(A685="BL",A685="BR",A685="BS"),AG685&gt;0,D685&lt;&gt;""),A685&amp;"|"&amp;AG685&amp;"|"&amp;D685&amp;"|"&amp;F685,"")</f>
        <v/>
      </c>
      <c r="Z685" s="57" t="str">
        <f>IF(Y685="","",IF(COUNTIF(Y$6:Y684,Y685)=0,1,0))</f>
        <v/>
      </c>
      <c r="AA685" s="57" t="str">
        <f>IF(Y685="","",IF(Z685=1,COUNTIFS(A$6:A685,A685,Z$6:Z685,1),INDEX(AA$6:AA684,MATCH(Y685,Y$6:Y684,0))))</f>
        <v/>
      </c>
      <c r="AB685" s="57" t="str">
        <f>IF(B685="","",COUNTIF(B$6:B685,B685))</f>
        <v/>
      </c>
      <c r="AC685" s="57" t="str">
        <f>IF(B685="","",B685&amp;"#"&amp;AB685)</f>
        <v/>
      </c>
      <c r="AD685" s="57" t="str">
        <f>IF(Z685=1,A685&amp;AA685,"")</f>
        <v/>
      </c>
      <c r="AE685" s="57" t="str">
        <f>IF(B685="","",YEAR(C685))</f>
        <v/>
      </c>
      <c r="AF685" s="57" t="str">
        <f>IF(B685="","",MONTH(C685))</f>
        <v/>
      </c>
      <c r="AG685" s="57">
        <f>IF(ISNUMBER(C685),C685,0)</f>
        <v>0.0</v>
      </c>
      <c r="AH685" s="57" t="str">
        <f>IF(N(W685)&gt;0,COUNTIF(W$6:W685,"&gt;0"),"")</f>
        <v/>
      </c>
      <c r="AI685" s="57" t="str">
        <f>IF(Z685=1,COUNTIF(Z$6:Z685,1),"")</f>
        <v/>
      </c>
    </row>
    <row r="686">
      <c r="A686" s="54" t="n"/>
      <c r="B686" s="55" t="str">
        <f>IF(AA686="","",A686&amp;"-"&amp;RIGHT("000"&amp;AA686,4))</f>
        <v/>
      </c>
      <c r="C686" s="56" t="n"/>
      <c r="D686" s="54" t="n"/>
      <c r="E686" s="57" t="str">
        <f>IF(D686="","",IF(A686="BL",IFERROR(INDEX(cl_name,MATCH(D686,cl_code,0))&amp;"","Client inconnu"),IF(A686="BR",IFERROR(INDEX(fo_name,MATCH(D686,fo_code,0))&amp;"","Fournisseur inconnu"),IF(A686="BS",IF(ISNA(MATCH(D686,p_services,0)),"Service inconnu",D686&amp;""),""))))</f>
        <v/>
      </c>
      <c r="F686" s="58" t="n"/>
      <c r="G686" s="58" t="n"/>
      <c r="H686" s="59" t="n"/>
      <c r="I686" s="57" t="str">
        <f>IF(H686="","",IFERROR(INDEX(art_des,MATCH(H686,art_ref,0))&amp;"","Article inconnu"))</f>
        <v/>
      </c>
      <c r="J686" s="60" t="str">
        <f>IF(H686="","",IFERROR(INDEX(art_unit,MATCH(H686,art_ref,0))&amp;"",""))</f>
        <v/>
      </c>
      <c r="K686" s="59" t="n"/>
      <c r="L686" s="59" t="n"/>
      <c r="M686" s="61" t="str">
        <f>IF(OR(B686="",NOT(ISNUMBER(K686)),NOT(ISNUMBER(L686))),"",IF(OR(K686&lt;=0,L686&lt;=0),"",ROUND(L686-K686,6)))</f>
        <v/>
      </c>
      <c r="N686" s="58" t="n"/>
      <c r="O686" s="62" t="n"/>
      <c r="P686" s="63" t="str">
        <f>IF(OR(B686="",NOT(ISNUMBER(L686))),"",IF(L686&lt;=0,"",IFERROR(ROUND(L686*N(INDEX(art_w,MATCH(H686,art_ref,0))),3),"")))</f>
        <v/>
      </c>
      <c r="Q686" s="59" t="n"/>
      <c r="R686" s="54" t="n"/>
      <c r="S686" s="59" t="n"/>
      <c r="T686" s="59" t="n"/>
      <c r="U686" s="64" t="str">
        <f>IF(OR(B686="",H686=""),"",IFERROR(IF(A686="BL",IF(N(INDEX(art_price,MATCH(H686,art_ref,0)))=0,"",N(INDEX(art_price,MATCH(H686,art_ref,0)))),IF(N(INDEX(art_cost,MATCH(H686,art_ref,0)))=0,"",N(INDEX(art_cost,MATCH(H686,art_ref,0))))),""))</f>
        <v/>
      </c>
      <c r="V686" s="64" t="str">
        <f>IF(OR(U686="",NOT(ISNUMBER(L686))),"",IF(L686&lt;=0,"",ROUND(L686*U686,2)))</f>
        <v/>
      </c>
      <c r="W686" s="60" t="str">
        <f>IF(AND(B686&lt;&gt;"",A686&lt;&gt;"BS",F686&lt;&gt;"",H686&lt;&gt;"",ISNUMBER(K686),ISNUMBER(L686)),IF(AND(K686&gt;0,L686&gt;0,K686-L686&gt;0,COUNTIFS(A687:A$2005,A686,F687:F$2005,F686,H687:H$2005,H686,AA687:AA$2005,"&gt;0")=0),ROUND(K686-L686,6),""),"")</f>
        <v/>
      </c>
      <c r="X686" s="60" t="str">
        <f>IF(AND(A686="",C686="",D686="",H686="",L686=""),"",IF(A686="","Type manquant",IF(AND(A686&lt;&gt;"BL",A686&lt;&gt;"BR",A686&lt;&gt;"BS"),"Type inconnu (BL, BR ou BS)",IF(AG686=0,"Date manquante ou invalide",IF(D686="",IF(A686="BL","Client manquant",IF(A686="BR","Fournisseur manquant","Service manquant")),IF(IF(A686="BL",ISNA(MATCH(D686,cl_code,0)),IF(A686="BR",ISNA(MATCH(D686,fo_code,0)),ISNA(MATCH(D686,p_services,0)))),IF(A686="BL","Client inconnu",IF(A686="BR","Fournisseur inconnu","Service inconnu")),IF(H686="","Article manquant",IF(ISNA(MATCH(H686,art_ref,0)),"Article inconnu",IF(OR(NOT(ISNUMBER(L686)),N(L686)&lt;=0),"Quantité invalide",IF(AND(K686&lt;&gt;"",OR(NOT(ISNUMBER(K686)),N(K686)&lt;=0)),"Qté commandée invalide",IF(AG686&lt;SUMPRODUCT(MAX((A$6:A685=A686)*AG$6:AG685)),"Date antérieure au bon précédent",IF(AND(A686&lt;&gt;"BR",ISNUMBER(M686),N(M686)&gt;0),IF(A686="BL","Livré plus que commandé","Sorti plus que demandé"),"OK"))))))))))))</f>
        <v/>
      </c>
      <c r="Y686" s="57" t="str">
        <f>IF(AND(OR(A686="BL",A686="BR",A686="BS"),AG686&gt;0,D686&lt;&gt;""),A686&amp;"|"&amp;AG686&amp;"|"&amp;D686&amp;"|"&amp;F686,"")</f>
        <v/>
      </c>
      <c r="Z686" s="57" t="str">
        <f>IF(Y686="","",IF(COUNTIF(Y$6:Y685,Y686)=0,1,0))</f>
        <v/>
      </c>
      <c r="AA686" s="57" t="str">
        <f>IF(Y686="","",IF(Z686=1,COUNTIFS(A$6:A686,A686,Z$6:Z686,1),INDEX(AA$6:AA685,MATCH(Y686,Y$6:Y685,0))))</f>
        <v/>
      </c>
      <c r="AB686" s="57" t="str">
        <f>IF(B686="","",COUNTIF(B$6:B686,B686))</f>
        <v/>
      </c>
      <c r="AC686" s="57" t="str">
        <f>IF(B686="","",B686&amp;"#"&amp;AB686)</f>
        <v/>
      </c>
      <c r="AD686" s="57" t="str">
        <f>IF(Z686=1,A686&amp;AA686,"")</f>
        <v/>
      </c>
      <c r="AE686" s="57" t="str">
        <f>IF(B686="","",YEAR(C686))</f>
        <v/>
      </c>
      <c r="AF686" s="57" t="str">
        <f>IF(B686="","",MONTH(C686))</f>
        <v/>
      </c>
      <c r="AG686" s="57">
        <f>IF(ISNUMBER(C686),C686,0)</f>
        <v>0.0</v>
      </c>
      <c r="AH686" s="57" t="str">
        <f>IF(N(W686)&gt;0,COUNTIF(W$6:W686,"&gt;0"),"")</f>
        <v/>
      </c>
      <c r="AI686" s="57" t="str">
        <f>IF(Z686=1,COUNTIF(Z$6:Z686,1),"")</f>
        <v/>
      </c>
    </row>
    <row r="687">
      <c r="A687" s="54" t="n"/>
      <c r="B687" s="55" t="str">
        <f>IF(AA687="","",A687&amp;"-"&amp;RIGHT("000"&amp;AA687,4))</f>
        <v/>
      </c>
      <c r="C687" s="56" t="n"/>
      <c r="D687" s="54" t="n"/>
      <c r="E687" s="57" t="str">
        <f>IF(D687="","",IF(A687="BL",IFERROR(INDEX(cl_name,MATCH(D687,cl_code,0))&amp;"","Client inconnu"),IF(A687="BR",IFERROR(INDEX(fo_name,MATCH(D687,fo_code,0))&amp;"","Fournisseur inconnu"),IF(A687="BS",IF(ISNA(MATCH(D687,p_services,0)),"Service inconnu",D687&amp;""),""))))</f>
        <v/>
      </c>
      <c r="F687" s="58" t="n"/>
      <c r="G687" s="58" t="n"/>
      <c r="H687" s="59" t="n"/>
      <c r="I687" s="57" t="str">
        <f>IF(H687="","",IFERROR(INDEX(art_des,MATCH(H687,art_ref,0))&amp;"","Article inconnu"))</f>
        <v/>
      </c>
      <c r="J687" s="60" t="str">
        <f>IF(H687="","",IFERROR(INDEX(art_unit,MATCH(H687,art_ref,0))&amp;"",""))</f>
        <v/>
      </c>
      <c r="K687" s="59" t="n"/>
      <c r="L687" s="59" t="n"/>
      <c r="M687" s="61" t="str">
        <f>IF(OR(B687="",NOT(ISNUMBER(K687)),NOT(ISNUMBER(L687))),"",IF(OR(K687&lt;=0,L687&lt;=0),"",ROUND(L687-K687,6)))</f>
        <v/>
      </c>
      <c r="N687" s="58" t="n"/>
      <c r="O687" s="62" t="n"/>
      <c r="P687" s="63" t="str">
        <f>IF(OR(B687="",NOT(ISNUMBER(L687))),"",IF(L687&lt;=0,"",IFERROR(ROUND(L687*N(INDEX(art_w,MATCH(H687,art_ref,0))),3),"")))</f>
        <v/>
      </c>
      <c r="Q687" s="59" t="n"/>
      <c r="R687" s="54" t="n"/>
      <c r="S687" s="59" t="n"/>
      <c r="T687" s="59" t="n"/>
      <c r="U687" s="64" t="str">
        <f>IF(OR(B687="",H687=""),"",IFERROR(IF(A687="BL",IF(N(INDEX(art_price,MATCH(H687,art_ref,0)))=0,"",N(INDEX(art_price,MATCH(H687,art_ref,0)))),IF(N(INDEX(art_cost,MATCH(H687,art_ref,0)))=0,"",N(INDEX(art_cost,MATCH(H687,art_ref,0))))),""))</f>
        <v/>
      </c>
      <c r="V687" s="64" t="str">
        <f>IF(OR(U687="",NOT(ISNUMBER(L687))),"",IF(L687&lt;=0,"",ROUND(L687*U687,2)))</f>
        <v/>
      </c>
      <c r="W687" s="60" t="str">
        <f>IF(AND(B687&lt;&gt;"",A687&lt;&gt;"BS",F687&lt;&gt;"",H687&lt;&gt;"",ISNUMBER(K687),ISNUMBER(L687)),IF(AND(K687&gt;0,L687&gt;0,K687-L687&gt;0,COUNTIFS(A688:A$2005,A687,F688:F$2005,F687,H688:H$2005,H687,AA688:AA$2005,"&gt;0")=0),ROUND(K687-L687,6),""),"")</f>
        <v/>
      </c>
      <c r="X687" s="60" t="str">
        <f>IF(AND(A687="",C687="",D687="",H687="",L687=""),"",IF(A687="","Type manquant",IF(AND(A687&lt;&gt;"BL",A687&lt;&gt;"BR",A687&lt;&gt;"BS"),"Type inconnu (BL, BR ou BS)",IF(AG687=0,"Date manquante ou invalide",IF(D687="",IF(A687="BL","Client manquant",IF(A687="BR","Fournisseur manquant","Service manquant")),IF(IF(A687="BL",ISNA(MATCH(D687,cl_code,0)),IF(A687="BR",ISNA(MATCH(D687,fo_code,0)),ISNA(MATCH(D687,p_services,0)))),IF(A687="BL","Client inconnu",IF(A687="BR","Fournisseur inconnu","Service inconnu")),IF(H687="","Article manquant",IF(ISNA(MATCH(H687,art_ref,0)),"Article inconnu",IF(OR(NOT(ISNUMBER(L687)),N(L687)&lt;=0),"Quantité invalide",IF(AND(K687&lt;&gt;"",OR(NOT(ISNUMBER(K687)),N(K687)&lt;=0)),"Qté commandée invalide",IF(AG687&lt;SUMPRODUCT(MAX((A$6:A686=A687)*AG$6:AG686)),"Date antérieure au bon précédent",IF(AND(A687&lt;&gt;"BR",ISNUMBER(M687),N(M687)&gt;0),IF(A687="BL","Livré plus que commandé","Sorti plus que demandé"),"OK"))))))))))))</f>
        <v/>
      </c>
      <c r="Y687" s="57" t="str">
        <f>IF(AND(OR(A687="BL",A687="BR",A687="BS"),AG687&gt;0,D687&lt;&gt;""),A687&amp;"|"&amp;AG687&amp;"|"&amp;D687&amp;"|"&amp;F687,"")</f>
        <v/>
      </c>
      <c r="Z687" s="57" t="str">
        <f>IF(Y687="","",IF(COUNTIF(Y$6:Y686,Y687)=0,1,0))</f>
        <v/>
      </c>
      <c r="AA687" s="57" t="str">
        <f>IF(Y687="","",IF(Z687=1,COUNTIFS(A$6:A687,A687,Z$6:Z687,1),INDEX(AA$6:AA686,MATCH(Y687,Y$6:Y686,0))))</f>
        <v/>
      </c>
      <c r="AB687" s="57" t="str">
        <f>IF(B687="","",COUNTIF(B$6:B687,B687))</f>
        <v/>
      </c>
      <c r="AC687" s="57" t="str">
        <f>IF(B687="","",B687&amp;"#"&amp;AB687)</f>
        <v/>
      </c>
      <c r="AD687" s="57" t="str">
        <f>IF(Z687=1,A687&amp;AA687,"")</f>
        <v/>
      </c>
      <c r="AE687" s="57" t="str">
        <f>IF(B687="","",YEAR(C687))</f>
        <v/>
      </c>
      <c r="AF687" s="57" t="str">
        <f>IF(B687="","",MONTH(C687))</f>
        <v/>
      </c>
      <c r="AG687" s="57">
        <f>IF(ISNUMBER(C687),C687,0)</f>
        <v>0.0</v>
      </c>
      <c r="AH687" s="57" t="str">
        <f>IF(N(W687)&gt;0,COUNTIF(W$6:W687,"&gt;0"),"")</f>
        <v/>
      </c>
      <c r="AI687" s="57" t="str">
        <f>IF(Z687=1,COUNTIF(Z$6:Z687,1),"")</f>
        <v/>
      </c>
    </row>
    <row r="688">
      <c r="A688" s="54" t="n"/>
      <c r="B688" s="55" t="str">
        <f>IF(AA688="","",A688&amp;"-"&amp;RIGHT("000"&amp;AA688,4))</f>
        <v/>
      </c>
      <c r="C688" s="56" t="n"/>
      <c r="D688" s="54" t="n"/>
      <c r="E688" s="57" t="str">
        <f>IF(D688="","",IF(A688="BL",IFERROR(INDEX(cl_name,MATCH(D688,cl_code,0))&amp;"","Client inconnu"),IF(A688="BR",IFERROR(INDEX(fo_name,MATCH(D688,fo_code,0))&amp;"","Fournisseur inconnu"),IF(A688="BS",IF(ISNA(MATCH(D688,p_services,0)),"Service inconnu",D688&amp;""),""))))</f>
        <v/>
      </c>
      <c r="F688" s="58" t="n"/>
      <c r="G688" s="58" t="n"/>
      <c r="H688" s="59" t="n"/>
      <c r="I688" s="57" t="str">
        <f>IF(H688="","",IFERROR(INDEX(art_des,MATCH(H688,art_ref,0))&amp;"","Article inconnu"))</f>
        <v/>
      </c>
      <c r="J688" s="60" t="str">
        <f>IF(H688="","",IFERROR(INDEX(art_unit,MATCH(H688,art_ref,0))&amp;"",""))</f>
        <v/>
      </c>
      <c r="K688" s="59" t="n"/>
      <c r="L688" s="59" t="n"/>
      <c r="M688" s="61" t="str">
        <f>IF(OR(B688="",NOT(ISNUMBER(K688)),NOT(ISNUMBER(L688))),"",IF(OR(K688&lt;=0,L688&lt;=0),"",ROUND(L688-K688,6)))</f>
        <v/>
      </c>
      <c r="N688" s="58" t="n"/>
      <c r="O688" s="62" t="n"/>
      <c r="P688" s="63" t="str">
        <f>IF(OR(B688="",NOT(ISNUMBER(L688))),"",IF(L688&lt;=0,"",IFERROR(ROUND(L688*N(INDEX(art_w,MATCH(H688,art_ref,0))),3),"")))</f>
        <v/>
      </c>
      <c r="Q688" s="59" t="n"/>
      <c r="R688" s="54" t="n"/>
      <c r="S688" s="59" t="n"/>
      <c r="T688" s="59" t="n"/>
      <c r="U688" s="64" t="str">
        <f>IF(OR(B688="",H688=""),"",IFERROR(IF(A688="BL",IF(N(INDEX(art_price,MATCH(H688,art_ref,0)))=0,"",N(INDEX(art_price,MATCH(H688,art_ref,0)))),IF(N(INDEX(art_cost,MATCH(H688,art_ref,0)))=0,"",N(INDEX(art_cost,MATCH(H688,art_ref,0))))),""))</f>
        <v/>
      </c>
      <c r="V688" s="64" t="str">
        <f>IF(OR(U688="",NOT(ISNUMBER(L688))),"",IF(L688&lt;=0,"",ROUND(L688*U688,2)))</f>
        <v/>
      </c>
      <c r="W688" s="60" t="str">
        <f>IF(AND(B688&lt;&gt;"",A688&lt;&gt;"BS",F688&lt;&gt;"",H688&lt;&gt;"",ISNUMBER(K688),ISNUMBER(L688)),IF(AND(K688&gt;0,L688&gt;0,K688-L688&gt;0,COUNTIFS(A689:A$2005,A688,F689:F$2005,F688,H689:H$2005,H688,AA689:AA$2005,"&gt;0")=0),ROUND(K688-L688,6),""),"")</f>
        <v/>
      </c>
      <c r="X688" s="60" t="str">
        <f>IF(AND(A688="",C688="",D688="",H688="",L688=""),"",IF(A688="","Type manquant",IF(AND(A688&lt;&gt;"BL",A688&lt;&gt;"BR",A688&lt;&gt;"BS"),"Type inconnu (BL, BR ou BS)",IF(AG688=0,"Date manquante ou invalide",IF(D688="",IF(A688="BL","Client manquant",IF(A688="BR","Fournisseur manquant","Service manquant")),IF(IF(A688="BL",ISNA(MATCH(D688,cl_code,0)),IF(A688="BR",ISNA(MATCH(D688,fo_code,0)),ISNA(MATCH(D688,p_services,0)))),IF(A688="BL","Client inconnu",IF(A688="BR","Fournisseur inconnu","Service inconnu")),IF(H688="","Article manquant",IF(ISNA(MATCH(H688,art_ref,0)),"Article inconnu",IF(OR(NOT(ISNUMBER(L688)),N(L688)&lt;=0),"Quantité invalide",IF(AND(K688&lt;&gt;"",OR(NOT(ISNUMBER(K688)),N(K688)&lt;=0)),"Qté commandée invalide",IF(AG688&lt;SUMPRODUCT(MAX((A$6:A687=A688)*AG$6:AG687)),"Date antérieure au bon précédent",IF(AND(A688&lt;&gt;"BR",ISNUMBER(M688),N(M688)&gt;0),IF(A688="BL","Livré plus que commandé","Sorti plus que demandé"),"OK"))))))))))))</f>
        <v/>
      </c>
      <c r="Y688" s="57" t="str">
        <f>IF(AND(OR(A688="BL",A688="BR",A688="BS"),AG688&gt;0,D688&lt;&gt;""),A688&amp;"|"&amp;AG688&amp;"|"&amp;D688&amp;"|"&amp;F688,"")</f>
        <v/>
      </c>
      <c r="Z688" s="57" t="str">
        <f>IF(Y688="","",IF(COUNTIF(Y$6:Y687,Y688)=0,1,0))</f>
        <v/>
      </c>
      <c r="AA688" s="57" t="str">
        <f>IF(Y688="","",IF(Z688=1,COUNTIFS(A$6:A688,A688,Z$6:Z688,1),INDEX(AA$6:AA687,MATCH(Y688,Y$6:Y687,0))))</f>
        <v/>
      </c>
      <c r="AB688" s="57" t="str">
        <f>IF(B688="","",COUNTIF(B$6:B688,B688))</f>
        <v/>
      </c>
      <c r="AC688" s="57" t="str">
        <f>IF(B688="","",B688&amp;"#"&amp;AB688)</f>
        <v/>
      </c>
      <c r="AD688" s="57" t="str">
        <f>IF(Z688=1,A688&amp;AA688,"")</f>
        <v/>
      </c>
      <c r="AE688" s="57" t="str">
        <f>IF(B688="","",YEAR(C688))</f>
        <v/>
      </c>
      <c r="AF688" s="57" t="str">
        <f>IF(B688="","",MONTH(C688))</f>
        <v/>
      </c>
      <c r="AG688" s="57">
        <f>IF(ISNUMBER(C688),C688,0)</f>
        <v>0.0</v>
      </c>
      <c r="AH688" s="57" t="str">
        <f>IF(N(W688)&gt;0,COUNTIF(W$6:W688,"&gt;0"),"")</f>
        <v/>
      </c>
      <c r="AI688" s="57" t="str">
        <f>IF(Z688=1,COUNTIF(Z$6:Z688,1),"")</f>
        <v/>
      </c>
    </row>
    <row r="689">
      <c r="A689" s="54" t="n"/>
      <c r="B689" s="55" t="str">
        <f>IF(AA689="","",A689&amp;"-"&amp;RIGHT("000"&amp;AA689,4))</f>
        <v/>
      </c>
      <c r="C689" s="56" t="n"/>
      <c r="D689" s="54" t="n"/>
      <c r="E689" s="57" t="str">
        <f>IF(D689="","",IF(A689="BL",IFERROR(INDEX(cl_name,MATCH(D689,cl_code,0))&amp;"","Client inconnu"),IF(A689="BR",IFERROR(INDEX(fo_name,MATCH(D689,fo_code,0))&amp;"","Fournisseur inconnu"),IF(A689="BS",IF(ISNA(MATCH(D689,p_services,0)),"Service inconnu",D689&amp;""),""))))</f>
        <v/>
      </c>
      <c r="F689" s="58" t="n"/>
      <c r="G689" s="58" t="n"/>
      <c r="H689" s="59" t="n"/>
      <c r="I689" s="57" t="str">
        <f>IF(H689="","",IFERROR(INDEX(art_des,MATCH(H689,art_ref,0))&amp;"","Article inconnu"))</f>
        <v/>
      </c>
      <c r="J689" s="60" t="str">
        <f>IF(H689="","",IFERROR(INDEX(art_unit,MATCH(H689,art_ref,0))&amp;"",""))</f>
        <v/>
      </c>
      <c r="K689" s="59" t="n"/>
      <c r="L689" s="59" t="n"/>
      <c r="M689" s="61" t="str">
        <f>IF(OR(B689="",NOT(ISNUMBER(K689)),NOT(ISNUMBER(L689))),"",IF(OR(K689&lt;=0,L689&lt;=0),"",ROUND(L689-K689,6)))</f>
        <v/>
      </c>
      <c r="N689" s="58" t="n"/>
      <c r="O689" s="62" t="n"/>
      <c r="P689" s="63" t="str">
        <f>IF(OR(B689="",NOT(ISNUMBER(L689))),"",IF(L689&lt;=0,"",IFERROR(ROUND(L689*N(INDEX(art_w,MATCH(H689,art_ref,0))),3),"")))</f>
        <v/>
      </c>
      <c r="Q689" s="59" t="n"/>
      <c r="R689" s="54" t="n"/>
      <c r="S689" s="59" t="n"/>
      <c r="T689" s="59" t="n"/>
      <c r="U689" s="64" t="str">
        <f>IF(OR(B689="",H689=""),"",IFERROR(IF(A689="BL",IF(N(INDEX(art_price,MATCH(H689,art_ref,0)))=0,"",N(INDEX(art_price,MATCH(H689,art_ref,0)))),IF(N(INDEX(art_cost,MATCH(H689,art_ref,0)))=0,"",N(INDEX(art_cost,MATCH(H689,art_ref,0))))),""))</f>
        <v/>
      </c>
      <c r="V689" s="64" t="str">
        <f>IF(OR(U689="",NOT(ISNUMBER(L689))),"",IF(L689&lt;=0,"",ROUND(L689*U689,2)))</f>
        <v/>
      </c>
      <c r="W689" s="60" t="str">
        <f>IF(AND(B689&lt;&gt;"",A689&lt;&gt;"BS",F689&lt;&gt;"",H689&lt;&gt;"",ISNUMBER(K689),ISNUMBER(L689)),IF(AND(K689&gt;0,L689&gt;0,K689-L689&gt;0,COUNTIFS(A690:A$2005,A689,F690:F$2005,F689,H690:H$2005,H689,AA690:AA$2005,"&gt;0")=0),ROUND(K689-L689,6),""),"")</f>
        <v/>
      </c>
      <c r="X689" s="60" t="str">
        <f>IF(AND(A689="",C689="",D689="",H689="",L689=""),"",IF(A689="","Type manquant",IF(AND(A689&lt;&gt;"BL",A689&lt;&gt;"BR",A689&lt;&gt;"BS"),"Type inconnu (BL, BR ou BS)",IF(AG689=0,"Date manquante ou invalide",IF(D689="",IF(A689="BL","Client manquant",IF(A689="BR","Fournisseur manquant","Service manquant")),IF(IF(A689="BL",ISNA(MATCH(D689,cl_code,0)),IF(A689="BR",ISNA(MATCH(D689,fo_code,0)),ISNA(MATCH(D689,p_services,0)))),IF(A689="BL","Client inconnu",IF(A689="BR","Fournisseur inconnu","Service inconnu")),IF(H689="","Article manquant",IF(ISNA(MATCH(H689,art_ref,0)),"Article inconnu",IF(OR(NOT(ISNUMBER(L689)),N(L689)&lt;=0),"Quantité invalide",IF(AND(K689&lt;&gt;"",OR(NOT(ISNUMBER(K689)),N(K689)&lt;=0)),"Qté commandée invalide",IF(AG689&lt;SUMPRODUCT(MAX((A$6:A688=A689)*AG$6:AG688)),"Date antérieure au bon précédent",IF(AND(A689&lt;&gt;"BR",ISNUMBER(M689),N(M689)&gt;0),IF(A689="BL","Livré plus que commandé","Sorti plus que demandé"),"OK"))))))))))))</f>
        <v/>
      </c>
      <c r="Y689" s="57" t="str">
        <f>IF(AND(OR(A689="BL",A689="BR",A689="BS"),AG689&gt;0,D689&lt;&gt;""),A689&amp;"|"&amp;AG689&amp;"|"&amp;D689&amp;"|"&amp;F689,"")</f>
        <v/>
      </c>
      <c r="Z689" s="57" t="str">
        <f>IF(Y689="","",IF(COUNTIF(Y$6:Y688,Y689)=0,1,0))</f>
        <v/>
      </c>
      <c r="AA689" s="57" t="str">
        <f>IF(Y689="","",IF(Z689=1,COUNTIFS(A$6:A689,A689,Z$6:Z689,1),INDEX(AA$6:AA688,MATCH(Y689,Y$6:Y688,0))))</f>
        <v/>
      </c>
      <c r="AB689" s="57" t="str">
        <f>IF(B689="","",COUNTIF(B$6:B689,B689))</f>
        <v/>
      </c>
      <c r="AC689" s="57" t="str">
        <f>IF(B689="","",B689&amp;"#"&amp;AB689)</f>
        <v/>
      </c>
      <c r="AD689" s="57" t="str">
        <f>IF(Z689=1,A689&amp;AA689,"")</f>
        <v/>
      </c>
      <c r="AE689" s="57" t="str">
        <f>IF(B689="","",YEAR(C689))</f>
        <v/>
      </c>
      <c r="AF689" s="57" t="str">
        <f>IF(B689="","",MONTH(C689))</f>
        <v/>
      </c>
      <c r="AG689" s="57">
        <f>IF(ISNUMBER(C689),C689,0)</f>
        <v>0.0</v>
      </c>
      <c r="AH689" s="57" t="str">
        <f>IF(N(W689)&gt;0,COUNTIF(W$6:W689,"&gt;0"),"")</f>
        <v/>
      </c>
      <c r="AI689" s="57" t="str">
        <f>IF(Z689=1,COUNTIF(Z$6:Z689,1),"")</f>
        <v/>
      </c>
    </row>
    <row r="690">
      <c r="A690" s="54" t="n"/>
      <c r="B690" s="55" t="str">
        <f>IF(AA690="","",A690&amp;"-"&amp;RIGHT("000"&amp;AA690,4))</f>
        <v/>
      </c>
      <c r="C690" s="56" t="n"/>
      <c r="D690" s="54" t="n"/>
      <c r="E690" s="57" t="str">
        <f>IF(D690="","",IF(A690="BL",IFERROR(INDEX(cl_name,MATCH(D690,cl_code,0))&amp;"","Client inconnu"),IF(A690="BR",IFERROR(INDEX(fo_name,MATCH(D690,fo_code,0))&amp;"","Fournisseur inconnu"),IF(A690="BS",IF(ISNA(MATCH(D690,p_services,0)),"Service inconnu",D690&amp;""),""))))</f>
        <v/>
      </c>
      <c r="F690" s="58" t="n"/>
      <c r="G690" s="58" t="n"/>
      <c r="H690" s="59" t="n"/>
      <c r="I690" s="57" t="str">
        <f>IF(H690="","",IFERROR(INDEX(art_des,MATCH(H690,art_ref,0))&amp;"","Article inconnu"))</f>
        <v/>
      </c>
      <c r="J690" s="60" t="str">
        <f>IF(H690="","",IFERROR(INDEX(art_unit,MATCH(H690,art_ref,0))&amp;"",""))</f>
        <v/>
      </c>
      <c r="K690" s="59" t="n"/>
      <c r="L690" s="59" t="n"/>
      <c r="M690" s="61" t="str">
        <f>IF(OR(B690="",NOT(ISNUMBER(K690)),NOT(ISNUMBER(L690))),"",IF(OR(K690&lt;=0,L690&lt;=0),"",ROUND(L690-K690,6)))</f>
        <v/>
      </c>
      <c r="N690" s="58" t="n"/>
      <c r="O690" s="62" t="n"/>
      <c r="P690" s="63" t="str">
        <f>IF(OR(B690="",NOT(ISNUMBER(L690))),"",IF(L690&lt;=0,"",IFERROR(ROUND(L690*N(INDEX(art_w,MATCH(H690,art_ref,0))),3),"")))</f>
        <v/>
      </c>
      <c r="Q690" s="59" t="n"/>
      <c r="R690" s="54" t="n"/>
      <c r="S690" s="59" t="n"/>
      <c r="T690" s="59" t="n"/>
      <c r="U690" s="64" t="str">
        <f>IF(OR(B690="",H690=""),"",IFERROR(IF(A690="BL",IF(N(INDEX(art_price,MATCH(H690,art_ref,0)))=0,"",N(INDEX(art_price,MATCH(H690,art_ref,0)))),IF(N(INDEX(art_cost,MATCH(H690,art_ref,0)))=0,"",N(INDEX(art_cost,MATCH(H690,art_ref,0))))),""))</f>
        <v/>
      </c>
      <c r="V690" s="64" t="str">
        <f>IF(OR(U690="",NOT(ISNUMBER(L690))),"",IF(L690&lt;=0,"",ROUND(L690*U690,2)))</f>
        <v/>
      </c>
      <c r="W690" s="60" t="str">
        <f>IF(AND(B690&lt;&gt;"",A690&lt;&gt;"BS",F690&lt;&gt;"",H690&lt;&gt;"",ISNUMBER(K690),ISNUMBER(L690)),IF(AND(K690&gt;0,L690&gt;0,K690-L690&gt;0,COUNTIFS(A691:A$2005,A690,F691:F$2005,F690,H691:H$2005,H690,AA691:AA$2005,"&gt;0")=0),ROUND(K690-L690,6),""),"")</f>
        <v/>
      </c>
      <c r="X690" s="60" t="str">
        <f>IF(AND(A690="",C690="",D690="",H690="",L690=""),"",IF(A690="","Type manquant",IF(AND(A690&lt;&gt;"BL",A690&lt;&gt;"BR",A690&lt;&gt;"BS"),"Type inconnu (BL, BR ou BS)",IF(AG690=0,"Date manquante ou invalide",IF(D690="",IF(A690="BL","Client manquant",IF(A690="BR","Fournisseur manquant","Service manquant")),IF(IF(A690="BL",ISNA(MATCH(D690,cl_code,0)),IF(A690="BR",ISNA(MATCH(D690,fo_code,0)),ISNA(MATCH(D690,p_services,0)))),IF(A690="BL","Client inconnu",IF(A690="BR","Fournisseur inconnu","Service inconnu")),IF(H690="","Article manquant",IF(ISNA(MATCH(H690,art_ref,0)),"Article inconnu",IF(OR(NOT(ISNUMBER(L690)),N(L690)&lt;=0),"Quantité invalide",IF(AND(K690&lt;&gt;"",OR(NOT(ISNUMBER(K690)),N(K690)&lt;=0)),"Qté commandée invalide",IF(AG690&lt;SUMPRODUCT(MAX((A$6:A689=A690)*AG$6:AG689)),"Date antérieure au bon précédent",IF(AND(A690&lt;&gt;"BR",ISNUMBER(M690),N(M690)&gt;0),IF(A690="BL","Livré plus que commandé","Sorti plus que demandé"),"OK"))))))))))))</f>
        <v/>
      </c>
      <c r="Y690" s="57" t="str">
        <f>IF(AND(OR(A690="BL",A690="BR",A690="BS"),AG690&gt;0,D690&lt;&gt;""),A690&amp;"|"&amp;AG690&amp;"|"&amp;D690&amp;"|"&amp;F690,"")</f>
        <v/>
      </c>
      <c r="Z690" s="57" t="str">
        <f>IF(Y690="","",IF(COUNTIF(Y$6:Y689,Y690)=0,1,0))</f>
        <v/>
      </c>
      <c r="AA690" s="57" t="str">
        <f>IF(Y690="","",IF(Z690=1,COUNTIFS(A$6:A690,A690,Z$6:Z690,1),INDEX(AA$6:AA689,MATCH(Y690,Y$6:Y689,0))))</f>
        <v/>
      </c>
      <c r="AB690" s="57" t="str">
        <f>IF(B690="","",COUNTIF(B$6:B690,B690))</f>
        <v/>
      </c>
      <c r="AC690" s="57" t="str">
        <f>IF(B690="","",B690&amp;"#"&amp;AB690)</f>
        <v/>
      </c>
      <c r="AD690" s="57" t="str">
        <f>IF(Z690=1,A690&amp;AA690,"")</f>
        <v/>
      </c>
      <c r="AE690" s="57" t="str">
        <f>IF(B690="","",YEAR(C690))</f>
        <v/>
      </c>
      <c r="AF690" s="57" t="str">
        <f>IF(B690="","",MONTH(C690))</f>
        <v/>
      </c>
      <c r="AG690" s="57">
        <f>IF(ISNUMBER(C690),C690,0)</f>
        <v>0.0</v>
      </c>
      <c r="AH690" s="57" t="str">
        <f>IF(N(W690)&gt;0,COUNTIF(W$6:W690,"&gt;0"),"")</f>
        <v/>
      </c>
      <c r="AI690" s="57" t="str">
        <f>IF(Z690=1,COUNTIF(Z$6:Z690,1),"")</f>
        <v/>
      </c>
    </row>
    <row r="691">
      <c r="A691" s="54" t="n"/>
      <c r="B691" s="55" t="str">
        <f>IF(AA691="","",A691&amp;"-"&amp;RIGHT("000"&amp;AA691,4))</f>
        <v/>
      </c>
      <c r="C691" s="56" t="n"/>
      <c r="D691" s="54" t="n"/>
      <c r="E691" s="57" t="str">
        <f>IF(D691="","",IF(A691="BL",IFERROR(INDEX(cl_name,MATCH(D691,cl_code,0))&amp;"","Client inconnu"),IF(A691="BR",IFERROR(INDEX(fo_name,MATCH(D691,fo_code,0))&amp;"","Fournisseur inconnu"),IF(A691="BS",IF(ISNA(MATCH(D691,p_services,0)),"Service inconnu",D691&amp;""),""))))</f>
        <v/>
      </c>
      <c r="F691" s="58" t="n"/>
      <c r="G691" s="58" t="n"/>
      <c r="H691" s="59" t="n"/>
      <c r="I691" s="57" t="str">
        <f>IF(H691="","",IFERROR(INDEX(art_des,MATCH(H691,art_ref,0))&amp;"","Article inconnu"))</f>
        <v/>
      </c>
      <c r="J691" s="60" t="str">
        <f>IF(H691="","",IFERROR(INDEX(art_unit,MATCH(H691,art_ref,0))&amp;"",""))</f>
        <v/>
      </c>
      <c r="K691" s="59" t="n"/>
      <c r="L691" s="59" t="n"/>
      <c r="M691" s="61" t="str">
        <f>IF(OR(B691="",NOT(ISNUMBER(K691)),NOT(ISNUMBER(L691))),"",IF(OR(K691&lt;=0,L691&lt;=0),"",ROUND(L691-K691,6)))</f>
        <v/>
      </c>
      <c r="N691" s="58" t="n"/>
      <c r="O691" s="62" t="n"/>
      <c r="P691" s="63" t="str">
        <f>IF(OR(B691="",NOT(ISNUMBER(L691))),"",IF(L691&lt;=0,"",IFERROR(ROUND(L691*N(INDEX(art_w,MATCH(H691,art_ref,0))),3),"")))</f>
        <v/>
      </c>
      <c r="Q691" s="59" t="n"/>
      <c r="R691" s="54" t="n"/>
      <c r="S691" s="59" t="n"/>
      <c r="T691" s="59" t="n"/>
      <c r="U691" s="64" t="str">
        <f>IF(OR(B691="",H691=""),"",IFERROR(IF(A691="BL",IF(N(INDEX(art_price,MATCH(H691,art_ref,0)))=0,"",N(INDEX(art_price,MATCH(H691,art_ref,0)))),IF(N(INDEX(art_cost,MATCH(H691,art_ref,0)))=0,"",N(INDEX(art_cost,MATCH(H691,art_ref,0))))),""))</f>
        <v/>
      </c>
      <c r="V691" s="64" t="str">
        <f>IF(OR(U691="",NOT(ISNUMBER(L691))),"",IF(L691&lt;=0,"",ROUND(L691*U691,2)))</f>
        <v/>
      </c>
      <c r="W691" s="60" t="str">
        <f>IF(AND(B691&lt;&gt;"",A691&lt;&gt;"BS",F691&lt;&gt;"",H691&lt;&gt;"",ISNUMBER(K691),ISNUMBER(L691)),IF(AND(K691&gt;0,L691&gt;0,K691-L691&gt;0,COUNTIFS(A692:A$2005,A691,F692:F$2005,F691,H692:H$2005,H691,AA692:AA$2005,"&gt;0")=0),ROUND(K691-L691,6),""),"")</f>
        <v/>
      </c>
      <c r="X691" s="60" t="str">
        <f>IF(AND(A691="",C691="",D691="",H691="",L691=""),"",IF(A691="","Type manquant",IF(AND(A691&lt;&gt;"BL",A691&lt;&gt;"BR",A691&lt;&gt;"BS"),"Type inconnu (BL, BR ou BS)",IF(AG691=0,"Date manquante ou invalide",IF(D691="",IF(A691="BL","Client manquant",IF(A691="BR","Fournisseur manquant","Service manquant")),IF(IF(A691="BL",ISNA(MATCH(D691,cl_code,0)),IF(A691="BR",ISNA(MATCH(D691,fo_code,0)),ISNA(MATCH(D691,p_services,0)))),IF(A691="BL","Client inconnu",IF(A691="BR","Fournisseur inconnu","Service inconnu")),IF(H691="","Article manquant",IF(ISNA(MATCH(H691,art_ref,0)),"Article inconnu",IF(OR(NOT(ISNUMBER(L691)),N(L691)&lt;=0),"Quantité invalide",IF(AND(K691&lt;&gt;"",OR(NOT(ISNUMBER(K691)),N(K691)&lt;=0)),"Qté commandée invalide",IF(AG691&lt;SUMPRODUCT(MAX((A$6:A690=A691)*AG$6:AG690)),"Date antérieure au bon précédent",IF(AND(A691&lt;&gt;"BR",ISNUMBER(M691),N(M691)&gt;0),IF(A691="BL","Livré plus que commandé","Sorti plus que demandé"),"OK"))))))))))))</f>
        <v/>
      </c>
      <c r="Y691" s="57" t="str">
        <f>IF(AND(OR(A691="BL",A691="BR",A691="BS"),AG691&gt;0,D691&lt;&gt;""),A691&amp;"|"&amp;AG691&amp;"|"&amp;D691&amp;"|"&amp;F691,"")</f>
        <v/>
      </c>
      <c r="Z691" s="57" t="str">
        <f>IF(Y691="","",IF(COUNTIF(Y$6:Y690,Y691)=0,1,0))</f>
        <v/>
      </c>
      <c r="AA691" s="57" t="str">
        <f>IF(Y691="","",IF(Z691=1,COUNTIFS(A$6:A691,A691,Z$6:Z691,1),INDEX(AA$6:AA690,MATCH(Y691,Y$6:Y690,0))))</f>
        <v/>
      </c>
      <c r="AB691" s="57" t="str">
        <f>IF(B691="","",COUNTIF(B$6:B691,B691))</f>
        <v/>
      </c>
      <c r="AC691" s="57" t="str">
        <f>IF(B691="","",B691&amp;"#"&amp;AB691)</f>
        <v/>
      </c>
      <c r="AD691" s="57" t="str">
        <f>IF(Z691=1,A691&amp;AA691,"")</f>
        <v/>
      </c>
      <c r="AE691" s="57" t="str">
        <f>IF(B691="","",YEAR(C691))</f>
        <v/>
      </c>
      <c r="AF691" s="57" t="str">
        <f>IF(B691="","",MONTH(C691))</f>
        <v/>
      </c>
      <c r="AG691" s="57">
        <f>IF(ISNUMBER(C691),C691,0)</f>
        <v>0.0</v>
      </c>
      <c r="AH691" s="57" t="str">
        <f>IF(N(W691)&gt;0,COUNTIF(W$6:W691,"&gt;0"),"")</f>
        <v/>
      </c>
      <c r="AI691" s="57" t="str">
        <f>IF(Z691=1,COUNTIF(Z$6:Z691,1),"")</f>
        <v/>
      </c>
    </row>
    <row r="692">
      <c r="A692" s="54" t="n"/>
      <c r="B692" s="55" t="str">
        <f>IF(AA692="","",A692&amp;"-"&amp;RIGHT("000"&amp;AA692,4))</f>
        <v/>
      </c>
      <c r="C692" s="56" t="n"/>
      <c r="D692" s="54" t="n"/>
      <c r="E692" s="57" t="str">
        <f>IF(D692="","",IF(A692="BL",IFERROR(INDEX(cl_name,MATCH(D692,cl_code,0))&amp;"","Client inconnu"),IF(A692="BR",IFERROR(INDEX(fo_name,MATCH(D692,fo_code,0))&amp;"","Fournisseur inconnu"),IF(A692="BS",IF(ISNA(MATCH(D692,p_services,0)),"Service inconnu",D692&amp;""),""))))</f>
        <v/>
      </c>
      <c r="F692" s="58" t="n"/>
      <c r="G692" s="58" t="n"/>
      <c r="H692" s="59" t="n"/>
      <c r="I692" s="57" t="str">
        <f>IF(H692="","",IFERROR(INDEX(art_des,MATCH(H692,art_ref,0))&amp;"","Article inconnu"))</f>
        <v/>
      </c>
      <c r="J692" s="60" t="str">
        <f>IF(H692="","",IFERROR(INDEX(art_unit,MATCH(H692,art_ref,0))&amp;"",""))</f>
        <v/>
      </c>
      <c r="K692" s="59" t="n"/>
      <c r="L692" s="59" t="n"/>
      <c r="M692" s="61" t="str">
        <f>IF(OR(B692="",NOT(ISNUMBER(K692)),NOT(ISNUMBER(L692))),"",IF(OR(K692&lt;=0,L692&lt;=0),"",ROUND(L692-K692,6)))</f>
        <v/>
      </c>
      <c r="N692" s="58" t="n"/>
      <c r="O692" s="62" t="n"/>
      <c r="P692" s="63" t="str">
        <f>IF(OR(B692="",NOT(ISNUMBER(L692))),"",IF(L692&lt;=0,"",IFERROR(ROUND(L692*N(INDEX(art_w,MATCH(H692,art_ref,0))),3),"")))</f>
        <v/>
      </c>
      <c r="Q692" s="59" t="n"/>
      <c r="R692" s="54" t="n"/>
      <c r="S692" s="59" t="n"/>
      <c r="T692" s="59" t="n"/>
      <c r="U692" s="64" t="str">
        <f>IF(OR(B692="",H692=""),"",IFERROR(IF(A692="BL",IF(N(INDEX(art_price,MATCH(H692,art_ref,0)))=0,"",N(INDEX(art_price,MATCH(H692,art_ref,0)))),IF(N(INDEX(art_cost,MATCH(H692,art_ref,0)))=0,"",N(INDEX(art_cost,MATCH(H692,art_ref,0))))),""))</f>
        <v/>
      </c>
      <c r="V692" s="64" t="str">
        <f>IF(OR(U692="",NOT(ISNUMBER(L692))),"",IF(L692&lt;=0,"",ROUND(L692*U692,2)))</f>
        <v/>
      </c>
      <c r="W692" s="60" t="str">
        <f>IF(AND(B692&lt;&gt;"",A692&lt;&gt;"BS",F692&lt;&gt;"",H692&lt;&gt;"",ISNUMBER(K692),ISNUMBER(L692)),IF(AND(K692&gt;0,L692&gt;0,K692-L692&gt;0,COUNTIFS(A693:A$2005,A692,F693:F$2005,F692,H693:H$2005,H692,AA693:AA$2005,"&gt;0")=0),ROUND(K692-L692,6),""),"")</f>
        <v/>
      </c>
      <c r="X692" s="60" t="str">
        <f>IF(AND(A692="",C692="",D692="",H692="",L692=""),"",IF(A692="","Type manquant",IF(AND(A692&lt;&gt;"BL",A692&lt;&gt;"BR",A692&lt;&gt;"BS"),"Type inconnu (BL, BR ou BS)",IF(AG692=0,"Date manquante ou invalide",IF(D692="",IF(A692="BL","Client manquant",IF(A692="BR","Fournisseur manquant","Service manquant")),IF(IF(A692="BL",ISNA(MATCH(D692,cl_code,0)),IF(A692="BR",ISNA(MATCH(D692,fo_code,0)),ISNA(MATCH(D692,p_services,0)))),IF(A692="BL","Client inconnu",IF(A692="BR","Fournisseur inconnu","Service inconnu")),IF(H692="","Article manquant",IF(ISNA(MATCH(H692,art_ref,0)),"Article inconnu",IF(OR(NOT(ISNUMBER(L692)),N(L692)&lt;=0),"Quantité invalide",IF(AND(K692&lt;&gt;"",OR(NOT(ISNUMBER(K692)),N(K692)&lt;=0)),"Qté commandée invalide",IF(AG692&lt;SUMPRODUCT(MAX((A$6:A691=A692)*AG$6:AG691)),"Date antérieure au bon précédent",IF(AND(A692&lt;&gt;"BR",ISNUMBER(M692),N(M692)&gt;0),IF(A692="BL","Livré plus que commandé","Sorti plus que demandé"),"OK"))))))))))))</f>
        <v/>
      </c>
      <c r="Y692" s="57" t="str">
        <f>IF(AND(OR(A692="BL",A692="BR",A692="BS"),AG692&gt;0,D692&lt;&gt;""),A692&amp;"|"&amp;AG692&amp;"|"&amp;D692&amp;"|"&amp;F692,"")</f>
        <v/>
      </c>
      <c r="Z692" s="57" t="str">
        <f>IF(Y692="","",IF(COUNTIF(Y$6:Y691,Y692)=0,1,0))</f>
        <v/>
      </c>
      <c r="AA692" s="57" t="str">
        <f>IF(Y692="","",IF(Z692=1,COUNTIFS(A$6:A692,A692,Z$6:Z692,1),INDEX(AA$6:AA691,MATCH(Y692,Y$6:Y691,0))))</f>
        <v/>
      </c>
      <c r="AB692" s="57" t="str">
        <f>IF(B692="","",COUNTIF(B$6:B692,B692))</f>
        <v/>
      </c>
      <c r="AC692" s="57" t="str">
        <f>IF(B692="","",B692&amp;"#"&amp;AB692)</f>
        <v/>
      </c>
      <c r="AD692" s="57" t="str">
        <f>IF(Z692=1,A692&amp;AA692,"")</f>
        <v/>
      </c>
      <c r="AE692" s="57" t="str">
        <f>IF(B692="","",YEAR(C692))</f>
        <v/>
      </c>
      <c r="AF692" s="57" t="str">
        <f>IF(B692="","",MONTH(C692))</f>
        <v/>
      </c>
      <c r="AG692" s="57">
        <f>IF(ISNUMBER(C692),C692,0)</f>
        <v>0.0</v>
      </c>
      <c r="AH692" s="57" t="str">
        <f>IF(N(W692)&gt;0,COUNTIF(W$6:W692,"&gt;0"),"")</f>
        <v/>
      </c>
      <c r="AI692" s="57" t="str">
        <f>IF(Z692=1,COUNTIF(Z$6:Z692,1),"")</f>
        <v/>
      </c>
    </row>
    <row r="693">
      <c r="A693" s="54" t="n"/>
      <c r="B693" s="55" t="str">
        <f>IF(AA693="","",A693&amp;"-"&amp;RIGHT("000"&amp;AA693,4))</f>
        <v/>
      </c>
      <c r="C693" s="56" t="n"/>
      <c r="D693" s="54" t="n"/>
      <c r="E693" s="57" t="str">
        <f>IF(D693="","",IF(A693="BL",IFERROR(INDEX(cl_name,MATCH(D693,cl_code,0))&amp;"","Client inconnu"),IF(A693="BR",IFERROR(INDEX(fo_name,MATCH(D693,fo_code,0))&amp;"","Fournisseur inconnu"),IF(A693="BS",IF(ISNA(MATCH(D693,p_services,0)),"Service inconnu",D693&amp;""),""))))</f>
        <v/>
      </c>
      <c r="F693" s="58" t="n"/>
      <c r="G693" s="58" t="n"/>
      <c r="H693" s="59" t="n"/>
      <c r="I693" s="57" t="str">
        <f>IF(H693="","",IFERROR(INDEX(art_des,MATCH(H693,art_ref,0))&amp;"","Article inconnu"))</f>
        <v/>
      </c>
      <c r="J693" s="60" t="str">
        <f>IF(H693="","",IFERROR(INDEX(art_unit,MATCH(H693,art_ref,0))&amp;"",""))</f>
        <v/>
      </c>
      <c r="K693" s="59" t="n"/>
      <c r="L693" s="59" t="n"/>
      <c r="M693" s="61" t="str">
        <f>IF(OR(B693="",NOT(ISNUMBER(K693)),NOT(ISNUMBER(L693))),"",IF(OR(K693&lt;=0,L693&lt;=0),"",ROUND(L693-K693,6)))</f>
        <v/>
      </c>
      <c r="N693" s="58" t="n"/>
      <c r="O693" s="62" t="n"/>
      <c r="P693" s="63" t="str">
        <f>IF(OR(B693="",NOT(ISNUMBER(L693))),"",IF(L693&lt;=0,"",IFERROR(ROUND(L693*N(INDEX(art_w,MATCH(H693,art_ref,0))),3),"")))</f>
        <v/>
      </c>
      <c r="Q693" s="59" t="n"/>
      <c r="R693" s="54" t="n"/>
      <c r="S693" s="59" t="n"/>
      <c r="T693" s="59" t="n"/>
      <c r="U693" s="64" t="str">
        <f>IF(OR(B693="",H693=""),"",IFERROR(IF(A693="BL",IF(N(INDEX(art_price,MATCH(H693,art_ref,0)))=0,"",N(INDEX(art_price,MATCH(H693,art_ref,0)))),IF(N(INDEX(art_cost,MATCH(H693,art_ref,0)))=0,"",N(INDEX(art_cost,MATCH(H693,art_ref,0))))),""))</f>
        <v/>
      </c>
      <c r="V693" s="64" t="str">
        <f>IF(OR(U693="",NOT(ISNUMBER(L693))),"",IF(L693&lt;=0,"",ROUND(L693*U693,2)))</f>
        <v/>
      </c>
      <c r="W693" s="60" t="str">
        <f>IF(AND(B693&lt;&gt;"",A693&lt;&gt;"BS",F693&lt;&gt;"",H693&lt;&gt;"",ISNUMBER(K693),ISNUMBER(L693)),IF(AND(K693&gt;0,L693&gt;0,K693-L693&gt;0,COUNTIFS(A694:A$2005,A693,F694:F$2005,F693,H694:H$2005,H693,AA694:AA$2005,"&gt;0")=0),ROUND(K693-L693,6),""),"")</f>
        <v/>
      </c>
      <c r="X693" s="60" t="str">
        <f>IF(AND(A693="",C693="",D693="",H693="",L693=""),"",IF(A693="","Type manquant",IF(AND(A693&lt;&gt;"BL",A693&lt;&gt;"BR",A693&lt;&gt;"BS"),"Type inconnu (BL, BR ou BS)",IF(AG693=0,"Date manquante ou invalide",IF(D693="",IF(A693="BL","Client manquant",IF(A693="BR","Fournisseur manquant","Service manquant")),IF(IF(A693="BL",ISNA(MATCH(D693,cl_code,0)),IF(A693="BR",ISNA(MATCH(D693,fo_code,0)),ISNA(MATCH(D693,p_services,0)))),IF(A693="BL","Client inconnu",IF(A693="BR","Fournisseur inconnu","Service inconnu")),IF(H693="","Article manquant",IF(ISNA(MATCH(H693,art_ref,0)),"Article inconnu",IF(OR(NOT(ISNUMBER(L693)),N(L693)&lt;=0),"Quantité invalide",IF(AND(K693&lt;&gt;"",OR(NOT(ISNUMBER(K693)),N(K693)&lt;=0)),"Qté commandée invalide",IF(AG693&lt;SUMPRODUCT(MAX((A$6:A692=A693)*AG$6:AG692)),"Date antérieure au bon précédent",IF(AND(A693&lt;&gt;"BR",ISNUMBER(M693),N(M693)&gt;0),IF(A693="BL","Livré plus que commandé","Sorti plus que demandé"),"OK"))))))))))))</f>
        <v/>
      </c>
      <c r="Y693" s="57" t="str">
        <f>IF(AND(OR(A693="BL",A693="BR",A693="BS"),AG693&gt;0,D693&lt;&gt;""),A693&amp;"|"&amp;AG693&amp;"|"&amp;D693&amp;"|"&amp;F693,"")</f>
        <v/>
      </c>
      <c r="Z693" s="57" t="str">
        <f>IF(Y693="","",IF(COUNTIF(Y$6:Y692,Y693)=0,1,0))</f>
        <v/>
      </c>
      <c r="AA693" s="57" t="str">
        <f>IF(Y693="","",IF(Z693=1,COUNTIFS(A$6:A693,A693,Z$6:Z693,1),INDEX(AA$6:AA692,MATCH(Y693,Y$6:Y692,0))))</f>
        <v/>
      </c>
      <c r="AB693" s="57" t="str">
        <f>IF(B693="","",COUNTIF(B$6:B693,B693))</f>
        <v/>
      </c>
      <c r="AC693" s="57" t="str">
        <f>IF(B693="","",B693&amp;"#"&amp;AB693)</f>
        <v/>
      </c>
      <c r="AD693" s="57" t="str">
        <f>IF(Z693=1,A693&amp;AA693,"")</f>
        <v/>
      </c>
      <c r="AE693" s="57" t="str">
        <f>IF(B693="","",YEAR(C693))</f>
        <v/>
      </c>
      <c r="AF693" s="57" t="str">
        <f>IF(B693="","",MONTH(C693))</f>
        <v/>
      </c>
      <c r="AG693" s="57">
        <f>IF(ISNUMBER(C693),C693,0)</f>
        <v>0.0</v>
      </c>
      <c r="AH693" s="57" t="str">
        <f>IF(N(W693)&gt;0,COUNTIF(W$6:W693,"&gt;0"),"")</f>
        <v/>
      </c>
      <c r="AI693" s="57" t="str">
        <f>IF(Z693=1,COUNTIF(Z$6:Z693,1),"")</f>
        <v/>
      </c>
    </row>
    <row r="694">
      <c r="A694" s="54" t="n"/>
      <c r="B694" s="55" t="str">
        <f>IF(AA694="","",A694&amp;"-"&amp;RIGHT("000"&amp;AA694,4))</f>
        <v/>
      </c>
      <c r="C694" s="56" t="n"/>
      <c r="D694" s="54" t="n"/>
      <c r="E694" s="57" t="str">
        <f>IF(D694="","",IF(A694="BL",IFERROR(INDEX(cl_name,MATCH(D694,cl_code,0))&amp;"","Client inconnu"),IF(A694="BR",IFERROR(INDEX(fo_name,MATCH(D694,fo_code,0))&amp;"","Fournisseur inconnu"),IF(A694="BS",IF(ISNA(MATCH(D694,p_services,0)),"Service inconnu",D694&amp;""),""))))</f>
        <v/>
      </c>
      <c r="F694" s="58" t="n"/>
      <c r="G694" s="58" t="n"/>
      <c r="H694" s="59" t="n"/>
      <c r="I694" s="57" t="str">
        <f>IF(H694="","",IFERROR(INDEX(art_des,MATCH(H694,art_ref,0))&amp;"","Article inconnu"))</f>
        <v/>
      </c>
      <c r="J694" s="60" t="str">
        <f>IF(H694="","",IFERROR(INDEX(art_unit,MATCH(H694,art_ref,0))&amp;"",""))</f>
        <v/>
      </c>
      <c r="K694" s="59" t="n"/>
      <c r="L694" s="59" t="n"/>
      <c r="M694" s="61" t="str">
        <f>IF(OR(B694="",NOT(ISNUMBER(K694)),NOT(ISNUMBER(L694))),"",IF(OR(K694&lt;=0,L694&lt;=0),"",ROUND(L694-K694,6)))</f>
        <v/>
      </c>
      <c r="N694" s="58" t="n"/>
      <c r="O694" s="62" t="n"/>
      <c r="P694" s="63" t="str">
        <f>IF(OR(B694="",NOT(ISNUMBER(L694))),"",IF(L694&lt;=0,"",IFERROR(ROUND(L694*N(INDEX(art_w,MATCH(H694,art_ref,0))),3),"")))</f>
        <v/>
      </c>
      <c r="Q694" s="59" t="n"/>
      <c r="R694" s="54" t="n"/>
      <c r="S694" s="59" t="n"/>
      <c r="T694" s="59" t="n"/>
      <c r="U694" s="64" t="str">
        <f>IF(OR(B694="",H694=""),"",IFERROR(IF(A694="BL",IF(N(INDEX(art_price,MATCH(H694,art_ref,0)))=0,"",N(INDEX(art_price,MATCH(H694,art_ref,0)))),IF(N(INDEX(art_cost,MATCH(H694,art_ref,0)))=0,"",N(INDEX(art_cost,MATCH(H694,art_ref,0))))),""))</f>
        <v/>
      </c>
      <c r="V694" s="64" t="str">
        <f>IF(OR(U694="",NOT(ISNUMBER(L694))),"",IF(L694&lt;=0,"",ROUND(L694*U694,2)))</f>
        <v/>
      </c>
      <c r="W694" s="60" t="str">
        <f>IF(AND(B694&lt;&gt;"",A694&lt;&gt;"BS",F694&lt;&gt;"",H694&lt;&gt;"",ISNUMBER(K694),ISNUMBER(L694)),IF(AND(K694&gt;0,L694&gt;0,K694-L694&gt;0,COUNTIFS(A695:A$2005,A694,F695:F$2005,F694,H695:H$2005,H694,AA695:AA$2005,"&gt;0")=0),ROUND(K694-L694,6),""),"")</f>
        <v/>
      </c>
      <c r="X694" s="60" t="str">
        <f>IF(AND(A694="",C694="",D694="",H694="",L694=""),"",IF(A694="","Type manquant",IF(AND(A694&lt;&gt;"BL",A694&lt;&gt;"BR",A694&lt;&gt;"BS"),"Type inconnu (BL, BR ou BS)",IF(AG694=0,"Date manquante ou invalide",IF(D694="",IF(A694="BL","Client manquant",IF(A694="BR","Fournisseur manquant","Service manquant")),IF(IF(A694="BL",ISNA(MATCH(D694,cl_code,0)),IF(A694="BR",ISNA(MATCH(D694,fo_code,0)),ISNA(MATCH(D694,p_services,0)))),IF(A694="BL","Client inconnu",IF(A694="BR","Fournisseur inconnu","Service inconnu")),IF(H694="","Article manquant",IF(ISNA(MATCH(H694,art_ref,0)),"Article inconnu",IF(OR(NOT(ISNUMBER(L694)),N(L694)&lt;=0),"Quantité invalide",IF(AND(K694&lt;&gt;"",OR(NOT(ISNUMBER(K694)),N(K694)&lt;=0)),"Qté commandée invalide",IF(AG694&lt;SUMPRODUCT(MAX((A$6:A693=A694)*AG$6:AG693)),"Date antérieure au bon précédent",IF(AND(A694&lt;&gt;"BR",ISNUMBER(M694),N(M694)&gt;0),IF(A694="BL","Livré plus que commandé","Sorti plus que demandé"),"OK"))))))))))))</f>
        <v/>
      </c>
      <c r="Y694" s="57" t="str">
        <f>IF(AND(OR(A694="BL",A694="BR",A694="BS"),AG694&gt;0,D694&lt;&gt;""),A694&amp;"|"&amp;AG694&amp;"|"&amp;D694&amp;"|"&amp;F694,"")</f>
        <v/>
      </c>
      <c r="Z694" s="57" t="str">
        <f>IF(Y694="","",IF(COUNTIF(Y$6:Y693,Y694)=0,1,0))</f>
        <v/>
      </c>
      <c r="AA694" s="57" t="str">
        <f>IF(Y694="","",IF(Z694=1,COUNTIFS(A$6:A694,A694,Z$6:Z694,1),INDEX(AA$6:AA693,MATCH(Y694,Y$6:Y693,0))))</f>
        <v/>
      </c>
      <c r="AB694" s="57" t="str">
        <f>IF(B694="","",COUNTIF(B$6:B694,B694))</f>
        <v/>
      </c>
      <c r="AC694" s="57" t="str">
        <f>IF(B694="","",B694&amp;"#"&amp;AB694)</f>
        <v/>
      </c>
      <c r="AD694" s="57" t="str">
        <f>IF(Z694=1,A694&amp;AA694,"")</f>
        <v/>
      </c>
      <c r="AE694" s="57" t="str">
        <f>IF(B694="","",YEAR(C694))</f>
        <v/>
      </c>
      <c r="AF694" s="57" t="str">
        <f>IF(B694="","",MONTH(C694))</f>
        <v/>
      </c>
      <c r="AG694" s="57">
        <f>IF(ISNUMBER(C694),C694,0)</f>
        <v>0.0</v>
      </c>
      <c r="AH694" s="57" t="str">
        <f>IF(N(W694)&gt;0,COUNTIF(W$6:W694,"&gt;0"),"")</f>
        <v/>
      </c>
      <c r="AI694" s="57" t="str">
        <f>IF(Z694=1,COUNTIF(Z$6:Z694,1),"")</f>
        <v/>
      </c>
    </row>
    <row r="695">
      <c r="A695" s="54" t="n"/>
      <c r="B695" s="55" t="str">
        <f>IF(AA695="","",A695&amp;"-"&amp;RIGHT("000"&amp;AA695,4))</f>
        <v/>
      </c>
      <c r="C695" s="56" t="n"/>
      <c r="D695" s="54" t="n"/>
      <c r="E695" s="57" t="str">
        <f>IF(D695="","",IF(A695="BL",IFERROR(INDEX(cl_name,MATCH(D695,cl_code,0))&amp;"","Client inconnu"),IF(A695="BR",IFERROR(INDEX(fo_name,MATCH(D695,fo_code,0))&amp;"","Fournisseur inconnu"),IF(A695="BS",IF(ISNA(MATCH(D695,p_services,0)),"Service inconnu",D695&amp;""),""))))</f>
        <v/>
      </c>
      <c r="F695" s="58" t="n"/>
      <c r="G695" s="58" t="n"/>
      <c r="H695" s="59" t="n"/>
      <c r="I695" s="57" t="str">
        <f>IF(H695="","",IFERROR(INDEX(art_des,MATCH(H695,art_ref,0))&amp;"","Article inconnu"))</f>
        <v/>
      </c>
      <c r="J695" s="60" t="str">
        <f>IF(H695="","",IFERROR(INDEX(art_unit,MATCH(H695,art_ref,0))&amp;"",""))</f>
        <v/>
      </c>
      <c r="K695" s="59" t="n"/>
      <c r="L695" s="59" t="n"/>
      <c r="M695" s="61" t="str">
        <f>IF(OR(B695="",NOT(ISNUMBER(K695)),NOT(ISNUMBER(L695))),"",IF(OR(K695&lt;=0,L695&lt;=0),"",ROUND(L695-K695,6)))</f>
        <v/>
      </c>
      <c r="N695" s="58" t="n"/>
      <c r="O695" s="62" t="n"/>
      <c r="P695" s="63" t="str">
        <f>IF(OR(B695="",NOT(ISNUMBER(L695))),"",IF(L695&lt;=0,"",IFERROR(ROUND(L695*N(INDEX(art_w,MATCH(H695,art_ref,0))),3),"")))</f>
        <v/>
      </c>
      <c r="Q695" s="59" t="n"/>
      <c r="R695" s="54" t="n"/>
      <c r="S695" s="59" t="n"/>
      <c r="T695" s="59" t="n"/>
      <c r="U695" s="64" t="str">
        <f>IF(OR(B695="",H695=""),"",IFERROR(IF(A695="BL",IF(N(INDEX(art_price,MATCH(H695,art_ref,0)))=0,"",N(INDEX(art_price,MATCH(H695,art_ref,0)))),IF(N(INDEX(art_cost,MATCH(H695,art_ref,0)))=0,"",N(INDEX(art_cost,MATCH(H695,art_ref,0))))),""))</f>
        <v/>
      </c>
      <c r="V695" s="64" t="str">
        <f>IF(OR(U695="",NOT(ISNUMBER(L695))),"",IF(L695&lt;=0,"",ROUND(L695*U695,2)))</f>
        <v/>
      </c>
      <c r="W695" s="60" t="str">
        <f>IF(AND(B695&lt;&gt;"",A695&lt;&gt;"BS",F695&lt;&gt;"",H695&lt;&gt;"",ISNUMBER(K695),ISNUMBER(L695)),IF(AND(K695&gt;0,L695&gt;0,K695-L695&gt;0,COUNTIFS(A696:A$2005,A695,F696:F$2005,F695,H696:H$2005,H695,AA696:AA$2005,"&gt;0")=0),ROUND(K695-L695,6),""),"")</f>
        <v/>
      </c>
      <c r="X695" s="60" t="str">
        <f>IF(AND(A695="",C695="",D695="",H695="",L695=""),"",IF(A695="","Type manquant",IF(AND(A695&lt;&gt;"BL",A695&lt;&gt;"BR",A695&lt;&gt;"BS"),"Type inconnu (BL, BR ou BS)",IF(AG695=0,"Date manquante ou invalide",IF(D695="",IF(A695="BL","Client manquant",IF(A695="BR","Fournisseur manquant","Service manquant")),IF(IF(A695="BL",ISNA(MATCH(D695,cl_code,0)),IF(A695="BR",ISNA(MATCH(D695,fo_code,0)),ISNA(MATCH(D695,p_services,0)))),IF(A695="BL","Client inconnu",IF(A695="BR","Fournisseur inconnu","Service inconnu")),IF(H695="","Article manquant",IF(ISNA(MATCH(H695,art_ref,0)),"Article inconnu",IF(OR(NOT(ISNUMBER(L695)),N(L695)&lt;=0),"Quantité invalide",IF(AND(K695&lt;&gt;"",OR(NOT(ISNUMBER(K695)),N(K695)&lt;=0)),"Qté commandée invalide",IF(AG695&lt;SUMPRODUCT(MAX((A$6:A694=A695)*AG$6:AG694)),"Date antérieure au bon précédent",IF(AND(A695&lt;&gt;"BR",ISNUMBER(M695),N(M695)&gt;0),IF(A695="BL","Livré plus que commandé","Sorti plus que demandé"),"OK"))))))))))))</f>
        <v/>
      </c>
      <c r="Y695" s="57" t="str">
        <f>IF(AND(OR(A695="BL",A695="BR",A695="BS"),AG695&gt;0,D695&lt;&gt;""),A695&amp;"|"&amp;AG695&amp;"|"&amp;D695&amp;"|"&amp;F695,"")</f>
        <v/>
      </c>
      <c r="Z695" s="57" t="str">
        <f>IF(Y695="","",IF(COUNTIF(Y$6:Y694,Y695)=0,1,0))</f>
        <v/>
      </c>
      <c r="AA695" s="57" t="str">
        <f>IF(Y695="","",IF(Z695=1,COUNTIFS(A$6:A695,A695,Z$6:Z695,1),INDEX(AA$6:AA694,MATCH(Y695,Y$6:Y694,0))))</f>
        <v/>
      </c>
      <c r="AB695" s="57" t="str">
        <f>IF(B695="","",COUNTIF(B$6:B695,B695))</f>
        <v/>
      </c>
      <c r="AC695" s="57" t="str">
        <f>IF(B695="","",B695&amp;"#"&amp;AB695)</f>
        <v/>
      </c>
      <c r="AD695" s="57" t="str">
        <f>IF(Z695=1,A695&amp;AA695,"")</f>
        <v/>
      </c>
      <c r="AE695" s="57" t="str">
        <f>IF(B695="","",YEAR(C695))</f>
        <v/>
      </c>
      <c r="AF695" s="57" t="str">
        <f>IF(B695="","",MONTH(C695))</f>
        <v/>
      </c>
      <c r="AG695" s="57">
        <f>IF(ISNUMBER(C695),C695,0)</f>
        <v>0.0</v>
      </c>
      <c r="AH695" s="57" t="str">
        <f>IF(N(W695)&gt;0,COUNTIF(W$6:W695,"&gt;0"),"")</f>
        <v/>
      </c>
      <c r="AI695" s="57" t="str">
        <f>IF(Z695=1,COUNTIF(Z$6:Z695,1),"")</f>
        <v/>
      </c>
    </row>
    <row r="696">
      <c r="A696" s="54" t="n"/>
      <c r="B696" s="55" t="str">
        <f>IF(AA696="","",A696&amp;"-"&amp;RIGHT("000"&amp;AA696,4))</f>
        <v/>
      </c>
      <c r="C696" s="56" t="n"/>
      <c r="D696" s="54" t="n"/>
      <c r="E696" s="57" t="str">
        <f>IF(D696="","",IF(A696="BL",IFERROR(INDEX(cl_name,MATCH(D696,cl_code,0))&amp;"","Client inconnu"),IF(A696="BR",IFERROR(INDEX(fo_name,MATCH(D696,fo_code,0))&amp;"","Fournisseur inconnu"),IF(A696="BS",IF(ISNA(MATCH(D696,p_services,0)),"Service inconnu",D696&amp;""),""))))</f>
        <v/>
      </c>
      <c r="F696" s="58" t="n"/>
      <c r="G696" s="58" t="n"/>
      <c r="H696" s="59" t="n"/>
      <c r="I696" s="57" t="str">
        <f>IF(H696="","",IFERROR(INDEX(art_des,MATCH(H696,art_ref,0))&amp;"","Article inconnu"))</f>
        <v/>
      </c>
      <c r="J696" s="60" t="str">
        <f>IF(H696="","",IFERROR(INDEX(art_unit,MATCH(H696,art_ref,0))&amp;"",""))</f>
        <v/>
      </c>
      <c r="K696" s="59" t="n"/>
      <c r="L696" s="59" t="n"/>
      <c r="M696" s="61" t="str">
        <f>IF(OR(B696="",NOT(ISNUMBER(K696)),NOT(ISNUMBER(L696))),"",IF(OR(K696&lt;=0,L696&lt;=0),"",ROUND(L696-K696,6)))</f>
        <v/>
      </c>
      <c r="N696" s="58" t="n"/>
      <c r="O696" s="62" t="n"/>
      <c r="P696" s="63" t="str">
        <f>IF(OR(B696="",NOT(ISNUMBER(L696))),"",IF(L696&lt;=0,"",IFERROR(ROUND(L696*N(INDEX(art_w,MATCH(H696,art_ref,0))),3),"")))</f>
        <v/>
      </c>
      <c r="Q696" s="59" t="n"/>
      <c r="R696" s="54" t="n"/>
      <c r="S696" s="59" t="n"/>
      <c r="T696" s="59" t="n"/>
      <c r="U696" s="64" t="str">
        <f>IF(OR(B696="",H696=""),"",IFERROR(IF(A696="BL",IF(N(INDEX(art_price,MATCH(H696,art_ref,0)))=0,"",N(INDEX(art_price,MATCH(H696,art_ref,0)))),IF(N(INDEX(art_cost,MATCH(H696,art_ref,0)))=0,"",N(INDEX(art_cost,MATCH(H696,art_ref,0))))),""))</f>
        <v/>
      </c>
      <c r="V696" s="64" t="str">
        <f>IF(OR(U696="",NOT(ISNUMBER(L696))),"",IF(L696&lt;=0,"",ROUND(L696*U696,2)))</f>
        <v/>
      </c>
      <c r="W696" s="60" t="str">
        <f>IF(AND(B696&lt;&gt;"",A696&lt;&gt;"BS",F696&lt;&gt;"",H696&lt;&gt;"",ISNUMBER(K696),ISNUMBER(L696)),IF(AND(K696&gt;0,L696&gt;0,K696-L696&gt;0,COUNTIFS(A697:A$2005,A696,F697:F$2005,F696,H697:H$2005,H696,AA697:AA$2005,"&gt;0")=0),ROUND(K696-L696,6),""),"")</f>
        <v/>
      </c>
      <c r="X696" s="60" t="str">
        <f>IF(AND(A696="",C696="",D696="",H696="",L696=""),"",IF(A696="","Type manquant",IF(AND(A696&lt;&gt;"BL",A696&lt;&gt;"BR",A696&lt;&gt;"BS"),"Type inconnu (BL, BR ou BS)",IF(AG696=0,"Date manquante ou invalide",IF(D696="",IF(A696="BL","Client manquant",IF(A696="BR","Fournisseur manquant","Service manquant")),IF(IF(A696="BL",ISNA(MATCH(D696,cl_code,0)),IF(A696="BR",ISNA(MATCH(D696,fo_code,0)),ISNA(MATCH(D696,p_services,0)))),IF(A696="BL","Client inconnu",IF(A696="BR","Fournisseur inconnu","Service inconnu")),IF(H696="","Article manquant",IF(ISNA(MATCH(H696,art_ref,0)),"Article inconnu",IF(OR(NOT(ISNUMBER(L696)),N(L696)&lt;=0),"Quantité invalide",IF(AND(K696&lt;&gt;"",OR(NOT(ISNUMBER(K696)),N(K696)&lt;=0)),"Qté commandée invalide",IF(AG696&lt;SUMPRODUCT(MAX((A$6:A695=A696)*AG$6:AG695)),"Date antérieure au bon précédent",IF(AND(A696&lt;&gt;"BR",ISNUMBER(M696),N(M696)&gt;0),IF(A696="BL","Livré plus que commandé","Sorti plus que demandé"),"OK"))))))))))))</f>
        <v/>
      </c>
      <c r="Y696" s="57" t="str">
        <f>IF(AND(OR(A696="BL",A696="BR",A696="BS"),AG696&gt;0,D696&lt;&gt;""),A696&amp;"|"&amp;AG696&amp;"|"&amp;D696&amp;"|"&amp;F696,"")</f>
        <v/>
      </c>
      <c r="Z696" s="57" t="str">
        <f>IF(Y696="","",IF(COUNTIF(Y$6:Y695,Y696)=0,1,0))</f>
        <v/>
      </c>
      <c r="AA696" s="57" t="str">
        <f>IF(Y696="","",IF(Z696=1,COUNTIFS(A$6:A696,A696,Z$6:Z696,1),INDEX(AA$6:AA695,MATCH(Y696,Y$6:Y695,0))))</f>
        <v/>
      </c>
      <c r="AB696" s="57" t="str">
        <f>IF(B696="","",COUNTIF(B$6:B696,B696))</f>
        <v/>
      </c>
      <c r="AC696" s="57" t="str">
        <f>IF(B696="","",B696&amp;"#"&amp;AB696)</f>
        <v/>
      </c>
      <c r="AD696" s="57" t="str">
        <f>IF(Z696=1,A696&amp;AA696,"")</f>
        <v/>
      </c>
      <c r="AE696" s="57" t="str">
        <f>IF(B696="","",YEAR(C696))</f>
        <v/>
      </c>
      <c r="AF696" s="57" t="str">
        <f>IF(B696="","",MONTH(C696))</f>
        <v/>
      </c>
      <c r="AG696" s="57">
        <f>IF(ISNUMBER(C696),C696,0)</f>
        <v>0.0</v>
      </c>
      <c r="AH696" s="57" t="str">
        <f>IF(N(W696)&gt;0,COUNTIF(W$6:W696,"&gt;0"),"")</f>
        <v/>
      </c>
      <c r="AI696" s="57" t="str">
        <f>IF(Z696=1,COUNTIF(Z$6:Z696,1),"")</f>
        <v/>
      </c>
    </row>
    <row r="697">
      <c r="A697" s="54" t="n"/>
      <c r="B697" s="55" t="str">
        <f>IF(AA697="","",A697&amp;"-"&amp;RIGHT("000"&amp;AA697,4))</f>
        <v/>
      </c>
      <c r="C697" s="56" t="n"/>
      <c r="D697" s="54" t="n"/>
      <c r="E697" s="57" t="str">
        <f>IF(D697="","",IF(A697="BL",IFERROR(INDEX(cl_name,MATCH(D697,cl_code,0))&amp;"","Client inconnu"),IF(A697="BR",IFERROR(INDEX(fo_name,MATCH(D697,fo_code,0))&amp;"","Fournisseur inconnu"),IF(A697="BS",IF(ISNA(MATCH(D697,p_services,0)),"Service inconnu",D697&amp;""),""))))</f>
        <v/>
      </c>
      <c r="F697" s="58" t="n"/>
      <c r="G697" s="58" t="n"/>
      <c r="H697" s="59" t="n"/>
      <c r="I697" s="57" t="str">
        <f>IF(H697="","",IFERROR(INDEX(art_des,MATCH(H697,art_ref,0))&amp;"","Article inconnu"))</f>
        <v/>
      </c>
      <c r="J697" s="60" t="str">
        <f>IF(H697="","",IFERROR(INDEX(art_unit,MATCH(H697,art_ref,0))&amp;"",""))</f>
        <v/>
      </c>
      <c r="K697" s="59" t="n"/>
      <c r="L697" s="59" t="n"/>
      <c r="M697" s="61" t="str">
        <f>IF(OR(B697="",NOT(ISNUMBER(K697)),NOT(ISNUMBER(L697))),"",IF(OR(K697&lt;=0,L697&lt;=0),"",ROUND(L697-K697,6)))</f>
        <v/>
      </c>
      <c r="N697" s="58" t="n"/>
      <c r="O697" s="62" t="n"/>
      <c r="P697" s="63" t="str">
        <f>IF(OR(B697="",NOT(ISNUMBER(L697))),"",IF(L697&lt;=0,"",IFERROR(ROUND(L697*N(INDEX(art_w,MATCH(H697,art_ref,0))),3),"")))</f>
        <v/>
      </c>
      <c r="Q697" s="59" t="n"/>
      <c r="R697" s="54" t="n"/>
      <c r="S697" s="59" t="n"/>
      <c r="T697" s="59" t="n"/>
      <c r="U697" s="64" t="str">
        <f>IF(OR(B697="",H697=""),"",IFERROR(IF(A697="BL",IF(N(INDEX(art_price,MATCH(H697,art_ref,0)))=0,"",N(INDEX(art_price,MATCH(H697,art_ref,0)))),IF(N(INDEX(art_cost,MATCH(H697,art_ref,0)))=0,"",N(INDEX(art_cost,MATCH(H697,art_ref,0))))),""))</f>
        <v/>
      </c>
      <c r="V697" s="64" t="str">
        <f>IF(OR(U697="",NOT(ISNUMBER(L697))),"",IF(L697&lt;=0,"",ROUND(L697*U697,2)))</f>
        <v/>
      </c>
      <c r="W697" s="60" t="str">
        <f>IF(AND(B697&lt;&gt;"",A697&lt;&gt;"BS",F697&lt;&gt;"",H697&lt;&gt;"",ISNUMBER(K697),ISNUMBER(L697)),IF(AND(K697&gt;0,L697&gt;0,K697-L697&gt;0,COUNTIFS(A698:A$2005,A697,F698:F$2005,F697,H698:H$2005,H697,AA698:AA$2005,"&gt;0")=0),ROUND(K697-L697,6),""),"")</f>
        <v/>
      </c>
      <c r="X697" s="60" t="str">
        <f>IF(AND(A697="",C697="",D697="",H697="",L697=""),"",IF(A697="","Type manquant",IF(AND(A697&lt;&gt;"BL",A697&lt;&gt;"BR",A697&lt;&gt;"BS"),"Type inconnu (BL, BR ou BS)",IF(AG697=0,"Date manquante ou invalide",IF(D697="",IF(A697="BL","Client manquant",IF(A697="BR","Fournisseur manquant","Service manquant")),IF(IF(A697="BL",ISNA(MATCH(D697,cl_code,0)),IF(A697="BR",ISNA(MATCH(D697,fo_code,0)),ISNA(MATCH(D697,p_services,0)))),IF(A697="BL","Client inconnu",IF(A697="BR","Fournisseur inconnu","Service inconnu")),IF(H697="","Article manquant",IF(ISNA(MATCH(H697,art_ref,0)),"Article inconnu",IF(OR(NOT(ISNUMBER(L697)),N(L697)&lt;=0),"Quantité invalide",IF(AND(K697&lt;&gt;"",OR(NOT(ISNUMBER(K697)),N(K697)&lt;=0)),"Qté commandée invalide",IF(AG697&lt;SUMPRODUCT(MAX((A$6:A696=A697)*AG$6:AG696)),"Date antérieure au bon précédent",IF(AND(A697&lt;&gt;"BR",ISNUMBER(M697),N(M697)&gt;0),IF(A697="BL","Livré plus que commandé","Sorti plus que demandé"),"OK"))))))))))))</f>
        <v/>
      </c>
      <c r="Y697" s="57" t="str">
        <f>IF(AND(OR(A697="BL",A697="BR",A697="BS"),AG697&gt;0,D697&lt;&gt;""),A697&amp;"|"&amp;AG697&amp;"|"&amp;D697&amp;"|"&amp;F697,"")</f>
        <v/>
      </c>
      <c r="Z697" s="57" t="str">
        <f>IF(Y697="","",IF(COUNTIF(Y$6:Y696,Y697)=0,1,0))</f>
        <v/>
      </c>
      <c r="AA697" s="57" t="str">
        <f>IF(Y697="","",IF(Z697=1,COUNTIFS(A$6:A697,A697,Z$6:Z697,1),INDEX(AA$6:AA696,MATCH(Y697,Y$6:Y696,0))))</f>
        <v/>
      </c>
      <c r="AB697" s="57" t="str">
        <f>IF(B697="","",COUNTIF(B$6:B697,B697))</f>
        <v/>
      </c>
      <c r="AC697" s="57" t="str">
        <f>IF(B697="","",B697&amp;"#"&amp;AB697)</f>
        <v/>
      </c>
      <c r="AD697" s="57" t="str">
        <f>IF(Z697=1,A697&amp;AA697,"")</f>
        <v/>
      </c>
      <c r="AE697" s="57" t="str">
        <f>IF(B697="","",YEAR(C697))</f>
        <v/>
      </c>
      <c r="AF697" s="57" t="str">
        <f>IF(B697="","",MONTH(C697))</f>
        <v/>
      </c>
      <c r="AG697" s="57">
        <f>IF(ISNUMBER(C697),C697,0)</f>
        <v>0.0</v>
      </c>
      <c r="AH697" s="57" t="str">
        <f>IF(N(W697)&gt;0,COUNTIF(W$6:W697,"&gt;0"),"")</f>
        <v/>
      </c>
      <c r="AI697" s="57" t="str">
        <f>IF(Z697=1,COUNTIF(Z$6:Z697,1),"")</f>
        <v/>
      </c>
    </row>
    <row r="698">
      <c r="A698" s="54" t="n"/>
      <c r="B698" s="55" t="str">
        <f>IF(AA698="","",A698&amp;"-"&amp;RIGHT("000"&amp;AA698,4))</f>
        <v/>
      </c>
      <c r="C698" s="56" t="n"/>
      <c r="D698" s="54" t="n"/>
      <c r="E698" s="57" t="str">
        <f>IF(D698="","",IF(A698="BL",IFERROR(INDEX(cl_name,MATCH(D698,cl_code,0))&amp;"","Client inconnu"),IF(A698="BR",IFERROR(INDEX(fo_name,MATCH(D698,fo_code,0))&amp;"","Fournisseur inconnu"),IF(A698="BS",IF(ISNA(MATCH(D698,p_services,0)),"Service inconnu",D698&amp;""),""))))</f>
        <v/>
      </c>
      <c r="F698" s="58" t="n"/>
      <c r="G698" s="58" t="n"/>
      <c r="H698" s="59" t="n"/>
      <c r="I698" s="57" t="str">
        <f>IF(H698="","",IFERROR(INDEX(art_des,MATCH(H698,art_ref,0))&amp;"","Article inconnu"))</f>
        <v/>
      </c>
      <c r="J698" s="60" t="str">
        <f>IF(H698="","",IFERROR(INDEX(art_unit,MATCH(H698,art_ref,0))&amp;"",""))</f>
        <v/>
      </c>
      <c r="K698" s="59" t="n"/>
      <c r="L698" s="59" t="n"/>
      <c r="M698" s="61" t="str">
        <f>IF(OR(B698="",NOT(ISNUMBER(K698)),NOT(ISNUMBER(L698))),"",IF(OR(K698&lt;=0,L698&lt;=0),"",ROUND(L698-K698,6)))</f>
        <v/>
      </c>
      <c r="N698" s="58" t="n"/>
      <c r="O698" s="62" t="n"/>
      <c r="P698" s="63" t="str">
        <f>IF(OR(B698="",NOT(ISNUMBER(L698))),"",IF(L698&lt;=0,"",IFERROR(ROUND(L698*N(INDEX(art_w,MATCH(H698,art_ref,0))),3),"")))</f>
        <v/>
      </c>
      <c r="Q698" s="59" t="n"/>
      <c r="R698" s="54" t="n"/>
      <c r="S698" s="59" t="n"/>
      <c r="T698" s="59" t="n"/>
      <c r="U698" s="64" t="str">
        <f>IF(OR(B698="",H698=""),"",IFERROR(IF(A698="BL",IF(N(INDEX(art_price,MATCH(H698,art_ref,0)))=0,"",N(INDEX(art_price,MATCH(H698,art_ref,0)))),IF(N(INDEX(art_cost,MATCH(H698,art_ref,0)))=0,"",N(INDEX(art_cost,MATCH(H698,art_ref,0))))),""))</f>
        <v/>
      </c>
      <c r="V698" s="64" t="str">
        <f>IF(OR(U698="",NOT(ISNUMBER(L698))),"",IF(L698&lt;=0,"",ROUND(L698*U698,2)))</f>
        <v/>
      </c>
      <c r="W698" s="60" t="str">
        <f>IF(AND(B698&lt;&gt;"",A698&lt;&gt;"BS",F698&lt;&gt;"",H698&lt;&gt;"",ISNUMBER(K698),ISNUMBER(L698)),IF(AND(K698&gt;0,L698&gt;0,K698-L698&gt;0,COUNTIFS(A699:A$2005,A698,F699:F$2005,F698,H699:H$2005,H698,AA699:AA$2005,"&gt;0")=0),ROUND(K698-L698,6),""),"")</f>
        <v/>
      </c>
      <c r="X698" s="60" t="str">
        <f>IF(AND(A698="",C698="",D698="",H698="",L698=""),"",IF(A698="","Type manquant",IF(AND(A698&lt;&gt;"BL",A698&lt;&gt;"BR",A698&lt;&gt;"BS"),"Type inconnu (BL, BR ou BS)",IF(AG698=0,"Date manquante ou invalide",IF(D698="",IF(A698="BL","Client manquant",IF(A698="BR","Fournisseur manquant","Service manquant")),IF(IF(A698="BL",ISNA(MATCH(D698,cl_code,0)),IF(A698="BR",ISNA(MATCH(D698,fo_code,0)),ISNA(MATCH(D698,p_services,0)))),IF(A698="BL","Client inconnu",IF(A698="BR","Fournisseur inconnu","Service inconnu")),IF(H698="","Article manquant",IF(ISNA(MATCH(H698,art_ref,0)),"Article inconnu",IF(OR(NOT(ISNUMBER(L698)),N(L698)&lt;=0),"Quantité invalide",IF(AND(K698&lt;&gt;"",OR(NOT(ISNUMBER(K698)),N(K698)&lt;=0)),"Qté commandée invalide",IF(AG698&lt;SUMPRODUCT(MAX((A$6:A697=A698)*AG$6:AG697)),"Date antérieure au bon précédent",IF(AND(A698&lt;&gt;"BR",ISNUMBER(M698),N(M698)&gt;0),IF(A698="BL","Livré plus que commandé","Sorti plus que demandé"),"OK"))))))))))))</f>
        <v/>
      </c>
      <c r="Y698" s="57" t="str">
        <f>IF(AND(OR(A698="BL",A698="BR",A698="BS"),AG698&gt;0,D698&lt;&gt;""),A698&amp;"|"&amp;AG698&amp;"|"&amp;D698&amp;"|"&amp;F698,"")</f>
        <v/>
      </c>
      <c r="Z698" s="57" t="str">
        <f>IF(Y698="","",IF(COUNTIF(Y$6:Y697,Y698)=0,1,0))</f>
        <v/>
      </c>
      <c r="AA698" s="57" t="str">
        <f>IF(Y698="","",IF(Z698=1,COUNTIFS(A$6:A698,A698,Z$6:Z698,1),INDEX(AA$6:AA697,MATCH(Y698,Y$6:Y697,0))))</f>
        <v/>
      </c>
      <c r="AB698" s="57" t="str">
        <f>IF(B698="","",COUNTIF(B$6:B698,B698))</f>
        <v/>
      </c>
      <c r="AC698" s="57" t="str">
        <f>IF(B698="","",B698&amp;"#"&amp;AB698)</f>
        <v/>
      </c>
      <c r="AD698" s="57" t="str">
        <f>IF(Z698=1,A698&amp;AA698,"")</f>
        <v/>
      </c>
      <c r="AE698" s="57" t="str">
        <f>IF(B698="","",YEAR(C698))</f>
        <v/>
      </c>
      <c r="AF698" s="57" t="str">
        <f>IF(B698="","",MONTH(C698))</f>
        <v/>
      </c>
      <c r="AG698" s="57">
        <f>IF(ISNUMBER(C698),C698,0)</f>
        <v>0.0</v>
      </c>
      <c r="AH698" s="57" t="str">
        <f>IF(N(W698)&gt;0,COUNTIF(W$6:W698,"&gt;0"),"")</f>
        <v/>
      </c>
      <c r="AI698" s="57" t="str">
        <f>IF(Z698=1,COUNTIF(Z$6:Z698,1),"")</f>
        <v/>
      </c>
    </row>
    <row r="699">
      <c r="A699" s="54" t="n"/>
      <c r="B699" s="55" t="str">
        <f>IF(AA699="","",A699&amp;"-"&amp;RIGHT("000"&amp;AA699,4))</f>
        <v/>
      </c>
      <c r="C699" s="56" t="n"/>
      <c r="D699" s="54" t="n"/>
      <c r="E699" s="57" t="str">
        <f>IF(D699="","",IF(A699="BL",IFERROR(INDEX(cl_name,MATCH(D699,cl_code,0))&amp;"","Client inconnu"),IF(A699="BR",IFERROR(INDEX(fo_name,MATCH(D699,fo_code,0))&amp;"","Fournisseur inconnu"),IF(A699="BS",IF(ISNA(MATCH(D699,p_services,0)),"Service inconnu",D699&amp;""),""))))</f>
        <v/>
      </c>
      <c r="F699" s="58" t="n"/>
      <c r="G699" s="58" t="n"/>
      <c r="H699" s="59" t="n"/>
      <c r="I699" s="57" t="str">
        <f>IF(H699="","",IFERROR(INDEX(art_des,MATCH(H699,art_ref,0))&amp;"","Article inconnu"))</f>
        <v/>
      </c>
      <c r="J699" s="60" t="str">
        <f>IF(H699="","",IFERROR(INDEX(art_unit,MATCH(H699,art_ref,0))&amp;"",""))</f>
        <v/>
      </c>
      <c r="K699" s="59" t="n"/>
      <c r="L699" s="59" t="n"/>
      <c r="M699" s="61" t="str">
        <f>IF(OR(B699="",NOT(ISNUMBER(K699)),NOT(ISNUMBER(L699))),"",IF(OR(K699&lt;=0,L699&lt;=0),"",ROUND(L699-K699,6)))</f>
        <v/>
      </c>
      <c r="N699" s="58" t="n"/>
      <c r="O699" s="62" t="n"/>
      <c r="P699" s="63" t="str">
        <f>IF(OR(B699="",NOT(ISNUMBER(L699))),"",IF(L699&lt;=0,"",IFERROR(ROUND(L699*N(INDEX(art_w,MATCH(H699,art_ref,0))),3),"")))</f>
        <v/>
      </c>
      <c r="Q699" s="59" t="n"/>
      <c r="R699" s="54" t="n"/>
      <c r="S699" s="59" t="n"/>
      <c r="T699" s="59" t="n"/>
      <c r="U699" s="64" t="str">
        <f>IF(OR(B699="",H699=""),"",IFERROR(IF(A699="BL",IF(N(INDEX(art_price,MATCH(H699,art_ref,0)))=0,"",N(INDEX(art_price,MATCH(H699,art_ref,0)))),IF(N(INDEX(art_cost,MATCH(H699,art_ref,0)))=0,"",N(INDEX(art_cost,MATCH(H699,art_ref,0))))),""))</f>
        <v/>
      </c>
      <c r="V699" s="64" t="str">
        <f>IF(OR(U699="",NOT(ISNUMBER(L699))),"",IF(L699&lt;=0,"",ROUND(L699*U699,2)))</f>
        <v/>
      </c>
      <c r="W699" s="60" t="str">
        <f>IF(AND(B699&lt;&gt;"",A699&lt;&gt;"BS",F699&lt;&gt;"",H699&lt;&gt;"",ISNUMBER(K699),ISNUMBER(L699)),IF(AND(K699&gt;0,L699&gt;0,K699-L699&gt;0,COUNTIFS(A700:A$2005,A699,F700:F$2005,F699,H700:H$2005,H699,AA700:AA$2005,"&gt;0")=0),ROUND(K699-L699,6),""),"")</f>
        <v/>
      </c>
      <c r="X699" s="60" t="str">
        <f>IF(AND(A699="",C699="",D699="",H699="",L699=""),"",IF(A699="","Type manquant",IF(AND(A699&lt;&gt;"BL",A699&lt;&gt;"BR",A699&lt;&gt;"BS"),"Type inconnu (BL, BR ou BS)",IF(AG699=0,"Date manquante ou invalide",IF(D699="",IF(A699="BL","Client manquant",IF(A699="BR","Fournisseur manquant","Service manquant")),IF(IF(A699="BL",ISNA(MATCH(D699,cl_code,0)),IF(A699="BR",ISNA(MATCH(D699,fo_code,0)),ISNA(MATCH(D699,p_services,0)))),IF(A699="BL","Client inconnu",IF(A699="BR","Fournisseur inconnu","Service inconnu")),IF(H699="","Article manquant",IF(ISNA(MATCH(H699,art_ref,0)),"Article inconnu",IF(OR(NOT(ISNUMBER(L699)),N(L699)&lt;=0),"Quantité invalide",IF(AND(K699&lt;&gt;"",OR(NOT(ISNUMBER(K699)),N(K699)&lt;=0)),"Qté commandée invalide",IF(AG699&lt;SUMPRODUCT(MAX((A$6:A698=A699)*AG$6:AG698)),"Date antérieure au bon précédent",IF(AND(A699&lt;&gt;"BR",ISNUMBER(M699),N(M699)&gt;0),IF(A699="BL","Livré plus que commandé","Sorti plus que demandé"),"OK"))))))))))))</f>
        <v/>
      </c>
      <c r="Y699" s="57" t="str">
        <f>IF(AND(OR(A699="BL",A699="BR",A699="BS"),AG699&gt;0,D699&lt;&gt;""),A699&amp;"|"&amp;AG699&amp;"|"&amp;D699&amp;"|"&amp;F699,"")</f>
        <v/>
      </c>
      <c r="Z699" s="57" t="str">
        <f>IF(Y699="","",IF(COUNTIF(Y$6:Y698,Y699)=0,1,0))</f>
        <v/>
      </c>
      <c r="AA699" s="57" t="str">
        <f>IF(Y699="","",IF(Z699=1,COUNTIFS(A$6:A699,A699,Z$6:Z699,1),INDEX(AA$6:AA698,MATCH(Y699,Y$6:Y698,0))))</f>
        <v/>
      </c>
      <c r="AB699" s="57" t="str">
        <f>IF(B699="","",COUNTIF(B$6:B699,B699))</f>
        <v/>
      </c>
      <c r="AC699" s="57" t="str">
        <f>IF(B699="","",B699&amp;"#"&amp;AB699)</f>
        <v/>
      </c>
      <c r="AD699" s="57" t="str">
        <f>IF(Z699=1,A699&amp;AA699,"")</f>
        <v/>
      </c>
      <c r="AE699" s="57" t="str">
        <f>IF(B699="","",YEAR(C699))</f>
        <v/>
      </c>
      <c r="AF699" s="57" t="str">
        <f>IF(B699="","",MONTH(C699))</f>
        <v/>
      </c>
      <c r="AG699" s="57">
        <f>IF(ISNUMBER(C699),C699,0)</f>
        <v>0.0</v>
      </c>
      <c r="AH699" s="57" t="str">
        <f>IF(N(W699)&gt;0,COUNTIF(W$6:W699,"&gt;0"),"")</f>
        <v/>
      </c>
      <c r="AI699" s="57" t="str">
        <f>IF(Z699=1,COUNTIF(Z$6:Z699,1),"")</f>
        <v/>
      </c>
    </row>
    <row r="700">
      <c r="A700" s="54" t="n"/>
      <c r="B700" s="55" t="str">
        <f>IF(AA700="","",A700&amp;"-"&amp;RIGHT("000"&amp;AA700,4))</f>
        <v/>
      </c>
      <c r="C700" s="56" t="n"/>
      <c r="D700" s="54" t="n"/>
      <c r="E700" s="57" t="str">
        <f>IF(D700="","",IF(A700="BL",IFERROR(INDEX(cl_name,MATCH(D700,cl_code,0))&amp;"","Client inconnu"),IF(A700="BR",IFERROR(INDEX(fo_name,MATCH(D700,fo_code,0))&amp;"","Fournisseur inconnu"),IF(A700="BS",IF(ISNA(MATCH(D700,p_services,0)),"Service inconnu",D700&amp;""),""))))</f>
        <v/>
      </c>
      <c r="F700" s="58" t="n"/>
      <c r="G700" s="58" t="n"/>
      <c r="H700" s="59" t="n"/>
      <c r="I700" s="57" t="str">
        <f>IF(H700="","",IFERROR(INDEX(art_des,MATCH(H700,art_ref,0))&amp;"","Article inconnu"))</f>
        <v/>
      </c>
      <c r="J700" s="60" t="str">
        <f>IF(H700="","",IFERROR(INDEX(art_unit,MATCH(H700,art_ref,0))&amp;"",""))</f>
        <v/>
      </c>
      <c r="K700" s="59" t="n"/>
      <c r="L700" s="59" t="n"/>
      <c r="M700" s="61" t="str">
        <f>IF(OR(B700="",NOT(ISNUMBER(K700)),NOT(ISNUMBER(L700))),"",IF(OR(K700&lt;=0,L700&lt;=0),"",ROUND(L700-K700,6)))</f>
        <v/>
      </c>
      <c r="N700" s="58" t="n"/>
      <c r="O700" s="62" t="n"/>
      <c r="P700" s="63" t="str">
        <f>IF(OR(B700="",NOT(ISNUMBER(L700))),"",IF(L700&lt;=0,"",IFERROR(ROUND(L700*N(INDEX(art_w,MATCH(H700,art_ref,0))),3),"")))</f>
        <v/>
      </c>
      <c r="Q700" s="59" t="n"/>
      <c r="R700" s="54" t="n"/>
      <c r="S700" s="59" t="n"/>
      <c r="T700" s="59" t="n"/>
      <c r="U700" s="64" t="str">
        <f>IF(OR(B700="",H700=""),"",IFERROR(IF(A700="BL",IF(N(INDEX(art_price,MATCH(H700,art_ref,0)))=0,"",N(INDEX(art_price,MATCH(H700,art_ref,0)))),IF(N(INDEX(art_cost,MATCH(H700,art_ref,0)))=0,"",N(INDEX(art_cost,MATCH(H700,art_ref,0))))),""))</f>
        <v/>
      </c>
      <c r="V700" s="64" t="str">
        <f>IF(OR(U700="",NOT(ISNUMBER(L700))),"",IF(L700&lt;=0,"",ROUND(L700*U700,2)))</f>
        <v/>
      </c>
      <c r="W700" s="60" t="str">
        <f>IF(AND(B700&lt;&gt;"",A700&lt;&gt;"BS",F700&lt;&gt;"",H700&lt;&gt;"",ISNUMBER(K700),ISNUMBER(L700)),IF(AND(K700&gt;0,L700&gt;0,K700-L700&gt;0,COUNTIFS(A701:A$2005,A700,F701:F$2005,F700,H701:H$2005,H700,AA701:AA$2005,"&gt;0")=0),ROUND(K700-L700,6),""),"")</f>
        <v/>
      </c>
      <c r="X700" s="60" t="str">
        <f>IF(AND(A700="",C700="",D700="",H700="",L700=""),"",IF(A700="","Type manquant",IF(AND(A700&lt;&gt;"BL",A700&lt;&gt;"BR",A700&lt;&gt;"BS"),"Type inconnu (BL, BR ou BS)",IF(AG700=0,"Date manquante ou invalide",IF(D700="",IF(A700="BL","Client manquant",IF(A700="BR","Fournisseur manquant","Service manquant")),IF(IF(A700="BL",ISNA(MATCH(D700,cl_code,0)),IF(A700="BR",ISNA(MATCH(D700,fo_code,0)),ISNA(MATCH(D700,p_services,0)))),IF(A700="BL","Client inconnu",IF(A700="BR","Fournisseur inconnu","Service inconnu")),IF(H700="","Article manquant",IF(ISNA(MATCH(H700,art_ref,0)),"Article inconnu",IF(OR(NOT(ISNUMBER(L700)),N(L700)&lt;=0),"Quantité invalide",IF(AND(K700&lt;&gt;"",OR(NOT(ISNUMBER(K700)),N(K700)&lt;=0)),"Qté commandée invalide",IF(AG700&lt;SUMPRODUCT(MAX((A$6:A699=A700)*AG$6:AG699)),"Date antérieure au bon précédent",IF(AND(A700&lt;&gt;"BR",ISNUMBER(M700),N(M700)&gt;0),IF(A700="BL","Livré plus que commandé","Sorti plus que demandé"),"OK"))))))))))))</f>
        <v/>
      </c>
      <c r="Y700" s="57" t="str">
        <f>IF(AND(OR(A700="BL",A700="BR",A700="BS"),AG700&gt;0,D700&lt;&gt;""),A700&amp;"|"&amp;AG700&amp;"|"&amp;D700&amp;"|"&amp;F700,"")</f>
        <v/>
      </c>
      <c r="Z700" s="57" t="str">
        <f>IF(Y700="","",IF(COUNTIF(Y$6:Y699,Y700)=0,1,0))</f>
        <v/>
      </c>
      <c r="AA700" s="57" t="str">
        <f>IF(Y700="","",IF(Z700=1,COUNTIFS(A$6:A700,A700,Z$6:Z700,1),INDEX(AA$6:AA699,MATCH(Y700,Y$6:Y699,0))))</f>
        <v/>
      </c>
      <c r="AB700" s="57" t="str">
        <f>IF(B700="","",COUNTIF(B$6:B700,B700))</f>
        <v/>
      </c>
      <c r="AC700" s="57" t="str">
        <f>IF(B700="","",B700&amp;"#"&amp;AB700)</f>
        <v/>
      </c>
      <c r="AD700" s="57" t="str">
        <f>IF(Z700=1,A700&amp;AA700,"")</f>
        <v/>
      </c>
      <c r="AE700" s="57" t="str">
        <f>IF(B700="","",YEAR(C700))</f>
        <v/>
      </c>
      <c r="AF700" s="57" t="str">
        <f>IF(B700="","",MONTH(C700))</f>
        <v/>
      </c>
      <c r="AG700" s="57">
        <f>IF(ISNUMBER(C700),C700,0)</f>
        <v>0.0</v>
      </c>
      <c r="AH700" s="57" t="str">
        <f>IF(N(W700)&gt;0,COUNTIF(W$6:W700,"&gt;0"),"")</f>
        <v/>
      </c>
      <c r="AI700" s="57" t="str">
        <f>IF(Z700=1,COUNTIF(Z$6:Z700,1),"")</f>
        <v/>
      </c>
    </row>
    <row r="701">
      <c r="A701" s="54" t="n"/>
      <c r="B701" s="55" t="str">
        <f>IF(AA701="","",A701&amp;"-"&amp;RIGHT("000"&amp;AA701,4))</f>
        <v/>
      </c>
      <c r="C701" s="56" t="n"/>
      <c r="D701" s="54" t="n"/>
      <c r="E701" s="57" t="str">
        <f>IF(D701="","",IF(A701="BL",IFERROR(INDEX(cl_name,MATCH(D701,cl_code,0))&amp;"","Client inconnu"),IF(A701="BR",IFERROR(INDEX(fo_name,MATCH(D701,fo_code,0))&amp;"","Fournisseur inconnu"),IF(A701="BS",IF(ISNA(MATCH(D701,p_services,0)),"Service inconnu",D701&amp;""),""))))</f>
        <v/>
      </c>
      <c r="F701" s="58" t="n"/>
      <c r="G701" s="58" t="n"/>
      <c r="H701" s="59" t="n"/>
      <c r="I701" s="57" t="str">
        <f>IF(H701="","",IFERROR(INDEX(art_des,MATCH(H701,art_ref,0))&amp;"","Article inconnu"))</f>
        <v/>
      </c>
      <c r="J701" s="60" t="str">
        <f>IF(H701="","",IFERROR(INDEX(art_unit,MATCH(H701,art_ref,0))&amp;"",""))</f>
        <v/>
      </c>
      <c r="K701" s="59" t="n"/>
      <c r="L701" s="59" t="n"/>
      <c r="M701" s="61" t="str">
        <f>IF(OR(B701="",NOT(ISNUMBER(K701)),NOT(ISNUMBER(L701))),"",IF(OR(K701&lt;=0,L701&lt;=0),"",ROUND(L701-K701,6)))</f>
        <v/>
      </c>
      <c r="N701" s="58" t="n"/>
      <c r="O701" s="62" t="n"/>
      <c r="P701" s="63" t="str">
        <f>IF(OR(B701="",NOT(ISNUMBER(L701))),"",IF(L701&lt;=0,"",IFERROR(ROUND(L701*N(INDEX(art_w,MATCH(H701,art_ref,0))),3),"")))</f>
        <v/>
      </c>
      <c r="Q701" s="59" t="n"/>
      <c r="R701" s="54" t="n"/>
      <c r="S701" s="59" t="n"/>
      <c r="T701" s="59" t="n"/>
      <c r="U701" s="64" t="str">
        <f>IF(OR(B701="",H701=""),"",IFERROR(IF(A701="BL",IF(N(INDEX(art_price,MATCH(H701,art_ref,0)))=0,"",N(INDEX(art_price,MATCH(H701,art_ref,0)))),IF(N(INDEX(art_cost,MATCH(H701,art_ref,0)))=0,"",N(INDEX(art_cost,MATCH(H701,art_ref,0))))),""))</f>
        <v/>
      </c>
      <c r="V701" s="64" t="str">
        <f>IF(OR(U701="",NOT(ISNUMBER(L701))),"",IF(L701&lt;=0,"",ROUND(L701*U701,2)))</f>
        <v/>
      </c>
      <c r="W701" s="60" t="str">
        <f>IF(AND(B701&lt;&gt;"",A701&lt;&gt;"BS",F701&lt;&gt;"",H701&lt;&gt;"",ISNUMBER(K701),ISNUMBER(L701)),IF(AND(K701&gt;0,L701&gt;0,K701-L701&gt;0,COUNTIFS(A702:A$2005,A701,F702:F$2005,F701,H702:H$2005,H701,AA702:AA$2005,"&gt;0")=0),ROUND(K701-L701,6),""),"")</f>
        <v/>
      </c>
      <c r="X701" s="60" t="str">
        <f>IF(AND(A701="",C701="",D701="",H701="",L701=""),"",IF(A701="","Type manquant",IF(AND(A701&lt;&gt;"BL",A701&lt;&gt;"BR",A701&lt;&gt;"BS"),"Type inconnu (BL, BR ou BS)",IF(AG701=0,"Date manquante ou invalide",IF(D701="",IF(A701="BL","Client manquant",IF(A701="BR","Fournisseur manquant","Service manquant")),IF(IF(A701="BL",ISNA(MATCH(D701,cl_code,0)),IF(A701="BR",ISNA(MATCH(D701,fo_code,0)),ISNA(MATCH(D701,p_services,0)))),IF(A701="BL","Client inconnu",IF(A701="BR","Fournisseur inconnu","Service inconnu")),IF(H701="","Article manquant",IF(ISNA(MATCH(H701,art_ref,0)),"Article inconnu",IF(OR(NOT(ISNUMBER(L701)),N(L701)&lt;=0),"Quantité invalide",IF(AND(K701&lt;&gt;"",OR(NOT(ISNUMBER(K701)),N(K701)&lt;=0)),"Qté commandée invalide",IF(AG701&lt;SUMPRODUCT(MAX((A$6:A700=A701)*AG$6:AG700)),"Date antérieure au bon précédent",IF(AND(A701&lt;&gt;"BR",ISNUMBER(M701),N(M701)&gt;0),IF(A701="BL","Livré plus que commandé","Sorti plus que demandé"),"OK"))))))))))))</f>
        <v/>
      </c>
      <c r="Y701" s="57" t="str">
        <f>IF(AND(OR(A701="BL",A701="BR",A701="BS"),AG701&gt;0,D701&lt;&gt;""),A701&amp;"|"&amp;AG701&amp;"|"&amp;D701&amp;"|"&amp;F701,"")</f>
        <v/>
      </c>
      <c r="Z701" s="57" t="str">
        <f>IF(Y701="","",IF(COUNTIF(Y$6:Y700,Y701)=0,1,0))</f>
        <v/>
      </c>
      <c r="AA701" s="57" t="str">
        <f>IF(Y701="","",IF(Z701=1,COUNTIFS(A$6:A701,A701,Z$6:Z701,1),INDEX(AA$6:AA700,MATCH(Y701,Y$6:Y700,0))))</f>
        <v/>
      </c>
      <c r="AB701" s="57" t="str">
        <f>IF(B701="","",COUNTIF(B$6:B701,B701))</f>
        <v/>
      </c>
      <c r="AC701" s="57" t="str">
        <f>IF(B701="","",B701&amp;"#"&amp;AB701)</f>
        <v/>
      </c>
      <c r="AD701" s="57" t="str">
        <f>IF(Z701=1,A701&amp;AA701,"")</f>
        <v/>
      </c>
      <c r="AE701" s="57" t="str">
        <f>IF(B701="","",YEAR(C701))</f>
        <v/>
      </c>
      <c r="AF701" s="57" t="str">
        <f>IF(B701="","",MONTH(C701))</f>
        <v/>
      </c>
      <c r="AG701" s="57">
        <f>IF(ISNUMBER(C701),C701,0)</f>
        <v>0.0</v>
      </c>
      <c r="AH701" s="57" t="str">
        <f>IF(N(W701)&gt;0,COUNTIF(W$6:W701,"&gt;0"),"")</f>
        <v/>
      </c>
      <c r="AI701" s="57" t="str">
        <f>IF(Z701=1,COUNTIF(Z$6:Z701,1),"")</f>
        <v/>
      </c>
    </row>
    <row r="702">
      <c r="A702" s="54" t="n"/>
      <c r="B702" s="55" t="str">
        <f>IF(AA702="","",A702&amp;"-"&amp;RIGHT("000"&amp;AA702,4))</f>
        <v/>
      </c>
      <c r="C702" s="56" t="n"/>
      <c r="D702" s="54" t="n"/>
      <c r="E702" s="57" t="str">
        <f>IF(D702="","",IF(A702="BL",IFERROR(INDEX(cl_name,MATCH(D702,cl_code,0))&amp;"","Client inconnu"),IF(A702="BR",IFERROR(INDEX(fo_name,MATCH(D702,fo_code,0))&amp;"","Fournisseur inconnu"),IF(A702="BS",IF(ISNA(MATCH(D702,p_services,0)),"Service inconnu",D702&amp;""),""))))</f>
        <v/>
      </c>
      <c r="F702" s="58" t="n"/>
      <c r="G702" s="58" t="n"/>
      <c r="H702" s="59" t="n"/>
      <c r="I702" s="57" t="str">
        <f>IF(H702="","",IFERROR(INDEX(art_des,MATCH(H702,art_ref,0))&amp;"","Article inconnu"))</f>
        <v/>
      </c>
      <c r="J702" s="60" t="str">
        <f>IF(H702="","",IFERROR(INDEX(art_unit,MATCH(H702,art_ref,0))&amp;"",""))</f>
        <v/>
      </c>
      <c r="K702" s="59" t="n"/>
      <c r="L702" s="59" t="n"/>
      <c r="M702" s="61" t="str">
        <f>IF(OR(B702="",NOT(ISNUMBER(K702)),NOT(ISNUMBER(L702))),"",IF(OR(K702&lt;=0,L702&lt;=0),"",ROUND(L702-K702,6)))</f>
        <v/>
      </c>
      <c r="N702" s="58" t="n"/>
      <c r="O702" s="62" t="n"/>
      <c r="P702" s="63" t="str">
        <f>IF(OR(B702="",NOT(ISNUMBER(L702))),"",IF(L702&lt;=0,"",IFERROR(ROUND(L702*N(INDEX(art_w,MATCH(H702,art_ref,0))),3),"")))</f>
        <v/>
      </c>
      <c r="Q702" s="59" t="n"/>
      <c r="R702" s="54" t="n"/>
      <c r="S702" s="59" t="n"/>
      <c r="T702" s="59" t="n"/>
      <c r="U702" s="64" t="str">
        <f>IF(OR(B702="",H702=""),"",IFERROR(IF(A702="BL",IF(N(INDEX(art_price,MATCH(H702,art_ref,0)))=0,"",N(INDEX(art_price,MATCH(H702,art_ref,0)))),IF(N(INDEX(art_cost,MATCH(H702,art_ref,0)))=0,"",N(INDEX(art_cost,MATCH(H702,art_ref,0))))),""))</f>
        <v/>
      </c>
      <c r="V702" s="64" t="str">
        <f>IF(OR(U702="",NOT(ISNUMBER(L702))),"",IF(L702&lt;=0,"",ROUND(L702*U702,2)))</f>
        <v/>
      </c>
      <c r="W702" s="60" t="str">
        <f>IF(AND(B702&lt;&gt;"",A702&lt;&gt;"BS",F702&lt;&gt;"",H702&lt;&gt;"",ISNUMBER(K702),ISNUMBER(L702)),IF(AND(K702&gt;0,L702&gt;0,K702-L702&gt;0,COUNTIFS(A703:A$2005,A702,F703:F$2005,F702,H703:H$2005,H702,AA703:AA$2005,"&gt;0")=0),ROUND(K702-L702,6),""),"")</f>
        <v/>
      </c>
      <c r="X702" s="60" t="str">
        <f>IF(AND(A702="",C702="",D702="",H702="",L702=""),"",IF(A702="","Type manquant",IF(AND(A702&lt;&gt;"BL",A702&lt;&gt;"BR",A702&lt;&gt;"BS"),"Type inconnu (BL, BR ou BS)",IF(AG702=0,"Date manquante ou invalide",IF(D702="",IF(A702="BL","Client manquant",IF(A702="BR","Fournisseur manquant","Service manquant")),IF(IF(A702="BL",ISNA(MATCH(D702,cl_code,0)),IF(A702="BR",ISNA(MATCH(D702,fo_code,0)),ISNA(MATCH(D702,p_services,0)))),IF(A702="BL","Client inconnu",IF(A702="BR","Fournisseur inconnu","Service inconnu")),IF(H702="","Article manquant",IF(ISNA(MATCH(H702,art_ref,0)),"Article inconnu",IF(OR(NOT(ISNUMBER(L702)),N(L702)&lt;=0),"Quantité invalide",IF(AND(K702&lt;&gt;"",OR(NOT(ISNUMBER(K702)),N(K702)&lt;=0)),"Qté commandée invalide",IF(AG702&lt;SUMPRODUCT(MAX((A$6:A701=A702)*AG$6:AG701)),"Date antérieure au bon précédent",IF(AND(A702&lt;&gt;"BR",ISNUMBER(M702),N(M702)&gt;0),IF(A702="BL","Livré plus que commandé","Sorti plus que demandé"),"OK"))))))))))))</f>
        <v/>
      </c>
      <c r="Y702" s="57" t="str">
        <f>IF(AND(OR(A702="BL",A702="BR",A702="BS"),AG702&gt;0,D702&lt;&gt;""),A702&amp;"|"&amp;AG702&amp;"|"&amp;D702&amp;"|"&amp;F702,"")</f>
        <v/>
      </c>
      <c r="Z702" s="57" t="str">
        <f>IF(Y702="","",IF(COUNTIF(Y$6:Y701,Y702)=0,1,0))</f>
        <v/>
      </c>
      <c r="AA702" s="57" t="str">
        <f>IF(Y702="","",IF(Z702=1,COUNTIFS(A$6:A702,A702,Z$6:Z702,1),INDEX(AA$6:AA701,MATCH(Y702,Y$6:Y701,0))))</f>
        <v/>
      </c>
      <c r="AB702" s="57" t="str">
        <f>IF(B702="","",COUNTIF(B$6:B702,B702))</f>
        <v/>
      </c>
      <c r="AC702" s="57" t="str">
        <f>IF(B702="","",B702&amp;"#"&amp;AB702)</f>
        <v/>
      </c>
      <c r="AD702" s="57" t="str">
        <f>IF(Z702=1,A702&amp;AA702,"")</f>
        <v/>
      </c>
      <c r="AE702" s="57" t="str">
        <f>IF(B702="","",YEAR(C702))</f>
        <v/>
      </c>
      <c r="AF702" s="57" t="str">
        <f>IF(B702="","",MONTH(C702))</f>
        <v/>
      </c>
      <c r="AG702" s="57">
        <f>IF(ISNUMBER(C702),C702,0)</f>
        <v>0.0</v>
      </c>
      <c r="AH702" s="57" t="str">
        <f>IF(N(W702)&gt;0,COUNTIF(W$6:W702,"&gt;0"),"")</f>
        <v/>
      </c>
      <c r="AI702" s="57" t="str">
        <f>IF(Z702=1,COUNTIF(Z$6:Z702,1),"")</f>
        <v/>
      </c>
    </row>
    <row r="703">
      <c r="A703" s="54" t="n"/>
      <c r="B703" s="55" t="str">
        <f>IF(AA703="","",A703&amp;"-"&amp;RIGHT("000"&amp;AA703,4))</f>
        <v/>
      </c>
      <c r="C703" s="56" t="n"/>
      <c r="D703" s="54" t="n"/>
      <c r="E703" s="57" t="str">
        <f>IF(D703="","",IF(A703="BL",IFERROR(INDEX(cl_name,MATCH(D703,cl_code,0))&amp;"","Client inconnu"),IF(A703="BR",IFERROR(INDEX(fo_name,MATCH(D703,fo_code,0))&amp;"","Fournisseur inconnu"),IF(A703="BS",IF(ISNA(MATCH(D703,p_services,0)),"Service inconnu",D703&amp;""),""))))</f>
        <v/>
      </c>
      <c r="F703" s="58" t="n"/>
      <c r="G703" s="58" t="n"/>
      <c r="H703" s="59" t="n"/>
      <c r="I703" s="57" t="str">
        <f>IF(H703="","",IFERROR(INDEX(art_des,MATCH(H703,art_ref,0))&amp;"","Article inconnu"))</f>
        <v/>
      </c>
      <c r="J703" s="60" t="str">
        <f>IF(H703="","",IFERROR(INDEX(art_unit,MATCH(H703,art_ref,0))&amp;"",""))</f>
        <v/>
      </c>
      <c r="K703" s="59" t="n"/>
      <c r="L703" s="59" t="n"/>
      <c r="M703" s="61" t="str">
        <f>IF(OR(B703="",NOT(ISNUMBER(K703)),NOT(ISNUMBER(L703))),"",IF(OR(K703&lt;=0,L703&lt;=0),"",ROUND(L703-K703,6)))</f>
        <v/>
      </c>
      <c r="N703" s="58" t="n"/>
      <c r="O703" s="62" t="n"/>
      <c r="P703" s="63" t="str">
        <f>IF(OR(B703="",NOT(ISNUMBER(L703))),"",IF(L703&lt;=0,"",IFERROR(ROUND(L703*N(INDEX(art_w,MATCH(H703,art_ref,0))),3),"")))</f>
        <v/>
      </c>
      <c r="Q703" s="59" t="n"/>
      <c r="R703" s="54" t="n"/>
      <c r="S703" s="59" t="n"/>
      <c r="T703" s="59" t="n"/>
      <c r="U703" s="64" t="str">
        <f>IF(OR(B703="",H703=""),"",IFERROR(IF(A703="BL",IF(N(INDEX(art_price,MATCH(H703,art_ref,0)))=0,"",N(INDEX(art_price,MATCH(H703,art_ref,0)))),IF(N(INDEX(art_cost,MATCH(H703,art_ref,0)))=0,"",N(INDEX(art_cost,MATCH(H703,art_ref,0))))),""))</f>
        <v/>
      </c>
      <c r="V703" s="64" t="str">
        <f>IF(OR(U703="",NOT(ISNUMBER(L703))),"",IF(L703&lt;=0,"",ROUND(L703*U703,2)))</f>
        <v/>
      </c>
      <c r="W703" s="60" t="str">
        <f>IF(AND(B703&lt;&gt;"",A703&lt;&gt;"BS",F703&lt;&gt;"",H703&lt;&gt;"",ISNUMBER(K703),ISNUMBER(L703)),IF(AND(K703&gt;0,L703&gt;0,K703-L703&gt;0,COUNTIFS(A704:A$2005,A703,F704:F$2005,F703,H704:H$2005,H703,AA704:AA$2005,"&gt;0")=0),ROUND(K703-L703,6),""),"")</f>
        <v/>
      </c>
      <c r="X703" s="60" t="str">
        <f>IF(AND(A703="",C703="",D703="",H703="",L703=""),"",IF(A703="","Type manquant",IF(AND(A703&lt;&gt;"BL",A703&lt;&gt;"BR",A703&lt;&gt;"BS"),"Type inconnu (BL, BR ou BS)",IF(AG703=0,"Date manquante ou invalide",IF(D703="",IF(A703="BL","Client manquant",IF(A703="BR","Fournisseur manquant","Service manquant")),IF(IF(A703="BL",ISNA(MATCH(D703,cl_code,0)),IF(A703="BR",ISNA(MATCH(D703,fo_code,0)),ISNA(MATCH(D703,p_services,0)))),IF(A703="BL","Client inconnu",IF(A703="BR","Fournisseur inconnu","Service inconnu")),IF(H703="","Article manquant",IF(ISNA(MATCH(H703,art_ref,0)),"Article inconnu",IF(OR(NOT(ISNUMBER(L703)),N(L703)&lt;=0),"Quantité invalide",IF(AND(K703&lt;&gt;"",OR(NOT(ISNUMBER(K703)),N(K703)&lt;=0)),"Qté commandée invalide",IF(AG703&lt;SUMPRODUCT(MAX((A$6:A702=A703)*AG$6:AG702)),"Date antérieure au bon précédent",IF(AND(A703&lt;&gt;"BR",ISNUMBER(M703),N(M703)&gt;0),IF(A703="BL","Livré plus que commandé","Sorti plus que demandé"),"OK"))))))))))))</f>
        <v/>
      </c>
      <c r="Y703" s="57" t="str">
        <f>IF(AND(OR(A703="BL",A703="BR",A703="BS"),AG703&gt;0,D703&lt;&gt;""),A703&amp;"|"&amp;AG703&amp;"|"&amp;D703&amp;"|"&amp;F703,"")</f>
        <v/>
      </c>
      <c r="Z703" s="57" t="str">
        <f>IF(Y703="","",IF(COUNTIF(Y$6:Y702,Y703)=0,1,0))</f>
        <v/>
      </c>
      <c r="AA703" s="57" t="str">
        <f>IF(Y703="","",IF(Z703=1,COUNTIFS(A$6:A703,A703,Z$6:Z703,1),INDEX(AA$6:AA702,MATCH(Y703,Y$6:Y702,0))))</f>
        <v/>
      </c>
      <c r="AB703" s="57" t="str">
        <f>IF(B703="","",COUNTIF(B$6:B703,B703))</f>
        <v/>
      </c>
      <c r="AC703" s="57" t="str">
        <f>IF(B703="","",B703&amp;"#"&amp;AB703)</f>
        <v/>
      </c>
      <c r="AD703" s="57" t="str">
        <f>IF(Z703=1,A703&amp;AA703,"")</f>
        <v/>
      </c>
      <c r="AE703" s="57" t="str">
        <f>IF(B703="","",YEAR(C703))</f>
        <v/>
      </c>
      <c r="AF703" s="57" t="str">
        <f>IF(B703="","",MONTH(C703))</f>
        <v/>
      </c>
      <c r="AG703" s="57">
        <f>IF(ISNUMBER(C703),C703,0)</f>
        <v>0.0</v>
      </c>
      <c r="AH703" s="57" t="str">
        <f>IF(N(W703)&gt;0,COUNTIF(W$6:W703,"&gt;0"),"")</f>
        <v/>
      </c>
      <c r="AI703" s="57" t="str">
        <f>IF(Z703=1,COUNTIF(Z$6:Z703,1),"")</f>
        <v/>
      </c>
    </row>
    <row r="704">
      <c r="A704" s="54" t="n"/>
      <c r="B704" s="55" t="str">
        <f>IF(AA704="","",A704&amp;"-"&amp;RIGHT("000"&amp;AA704,4))</f>
        <v/>
      </c>
      <c r="C704" s="56" t="n"/>
      <c r="D704" s="54" t="n"/>
      <c r="E704" s="57" t="str">
        <f>IF(D704="","",IF(A704="BL",IFERROR(INDEX(cl_name,MATCH(D704,cl_code,0))&amp;"","Client inconnu"),IF(A704="BR",IFERROR(INDEX(fo_name,MATCH(D704,fo_code,0))&amp;"","Fournisseur inconnu"),IF(A704="BS",IF(ISNA(MATCH(D704,p_services,0)),"Service inconnu",D704&amp;""),""))))</f>
        <v/>
      </c>
      <c r="F704" s="58" t="n"/>
      <c r="G704" s="58" t="n"/>
      <c r="H704" s="59" t="n"/>
      <c r="I704" s="57" t="str">
        <f>IF(H704="","",IFERROR(INDEX(art_des,MATCH(H704,art_ref,0))&amp;"","Article inconnu"))</f>
        <v/>
      </c>
      <c r="J704" s="60" t="str">
        <f>IF(H704="","",IFERROR(INDEX(art_unit,MATCH(H704,art_ref,0))&amp;"",""))</f>
        <v/>
      </c>
      <c r="K704" s="59" t="n"/>
      <c r="L704" s="59" t="n"/>
      <c r="M704" s="61" t="str">
        <f>IF(OR(B704="",NOT(ISNUMBER(K704)),NOT(ISNUMBER(L704))),"",IF(OR(K704&lt;=0,L704&lt;=0),"",ROUND(L704-K704,6)))</f>
        <v/>
      </c>
      <c r="N704" s="58" t="n"/>
      <c r="O704" s="62" t="n"/>
      <c r="P704" s="63" t="str">
        <f>IF(OR(B704="",NOT(ISNUMBER(L704))),"",IF(L704&lt;=0,"",IFERROR(ROUND(L704*N(INDEX(art_w,MATCH(H704,art_ref,0))),3),"")))</f>
        <v/>
      </c>
      <c r="Q704" s="59" t="n"/>
      <c r="R704" s="54" t="n"/>
      <c r="S704" s="59" t="n"/>
      <c r="T704" s="59" t="n"/>
      <c r="U704" s="64" t="str">
        <f>IF(OR(B704="",H704=""),"",IFERROR(IF(A704="BL",IF(N(INDEX(art_price,MATCH(H704,art_ref,0)))=0,"",N(INDEX(art_price,MATCH(H704,art_ref,0)))),IF(N(INDEX(art_cost,MATCH(H704,art_ref,0)))=0,"",N(INDEX(art_cost,MATCH(H704,art_ref,0))))),""))</f>
        <v/>
      </c>
      <c r="V704" s="64" t="str">
        <f>IF(OR(U704="",NOT(ISNUMBER(L704))),"",IF(L704&lt;=0,"",ROUND(L704*U704,2)))</f>
        <v/>
      </c>
      <c r="W704" s="60" t="str">
        <f>IF(AND(B704&lt;&gt;"",A704&lt;&gt;"BS",F704&lt;&gt;"",H704&lt;&gt;"",ISNUMBER(K704),ISNUMBER(L704)),IF(AND(K704&gt;0,L704&gt;0,K704-L704&gt;0,COUNTIFS(A705:A$2005,A704,F705:F$2005,F704,H705:H$2005,H704,AA705:AA$2005,"&gt;0")=0),ROUND(K704-L704,6),""),"")</f>
        <v/>
      </c>
      <c r="X704" s="60" t="str">
        <f>IF(AND(A704="",C704="",D704="",H704="",L704=""),"",IF(A704="","Type manquant",IF(AND(A704&lt;&gt;"BL",A704&lt;&gt;"BR",A704&lt;&gt;"BS"),"Type inconnu (BL, BR ou BS)",IF(AG704=0,"Date manquante ou invalide",IF(D704="",IF(A704="BL","Client manquant",IF(A704="BR","Fournisseur manquant","Service manquant")),IF(IF(A704="BL",ISNA(MATCH(D704,cl_code,0)),IF(A704="BR",ISNA(MATCH(D704,fo_code,0)),ISNA(MATCH(D704,p_services,0)))),IF(A704="BL","Client inconnu",IF(A704="BR","Fournisseur inconnu","Service inconnu")),IF(H704="","Article manquant",IF(ISNA(MATCH(H704,art_ref,0)),"Article inconnu",IF(OR(NOT(ISNUMBER(L704)),N(L704)&lt;=0),"Quantité invalide",IF(AND(K704&lt;&gt;"",OR(NOT(ISNUMBER(K704)),N(K704)&lt;=0)),"Qté commandée invalide",IF(AG704&lt;SUMPRODUCT(MAX((A$6:A703=A704)*AG$6:AG703)),"Date antérieure au bon précédent",IF(AND(A704&lt;&gt;"BR",ISNUMBER(M704),N(M704)&gt;0),IF(A704="BL","Livré plus que commandé","Sorti plus que demandé"),"OK"))))))))))))</f>
        <v/>
      </c>
      <c r="Y704" s="57" t="str">
        <f>IF(AND(OR(A704="BL",A704="BR",A704="BS"),AG704&gt;0,D704&lt;&gt;""),A704&amp;"|"&amp;AG704&amp;"|"&amp;D704&amp;"|"&amp;F704,"")</f>
        <v/>
      </c>
      <c r="Z704" s="57" t="str">
        <f>IF(Y704="","",IF(COUNTIF(Y$6:Y703,Y704)=0,1,0))</f>
        <v/>
      </c>
      <c r="AA704" s="57" t="str">
        <f>IF(Y704="","",IF(Z704=1,COUNTIFS(A$6:A704,A704,Z$6:Z704,1),INDEX(AA$6:AA703,MATCH(Y704,Y$6:Y703,0))))</f>
        <v/>
      </c>
      <c r="AB704" s="57" t="str">
        <f>IF(B704="","",COUNTIF(B$6:B704,B704))</f>
        <v/>
      </c>
      <c r="AC704" s="57" t="str">
        <f>IF(B704="","",B704&amp;"#"&amp;AB704)</f>
        <v/>
      </c>
      <c r="AD704" s="57" t="str">
        <f>IF(Z704=1,A704&amp;AA704,"")</f>
        <v/>
      </c>
      <c r="AE704" s="57" t="str">
        <f>IF(B704="","",YEAR(C704))</f>
        <v/>
      </c>
      <c r="AF704" s="57" t="str">
        <f>IF(B704="","",MONTH(C704))</f>
        <v/>
      </c>
      <c r="AG704" s="57">
        <f>IF(ISNUMBER(C704),C704,0)</f>
        <v>0.0</v>
      </c>
      <c r="AH704" s="57" t="str">
        <f>IF(N(W704)&gt;0,COUNTIF(W$6:W704,"&gt;0"),"")</f>
        <v/>
      </c>
      <c r="AI704" s="57" t="str">
        <f>IF(Z704=1,COUNTIF(Z$6:Z704,1),"")</f>
        <v/>
      </c>
    </row>
    <row r="705">
      <c r="A705" s="54" t="n"/>
      <c r="B705" s="55" t="str">
        <f>IF(AA705="","",A705&amp;"-"&amp;RIGHT("000"&amp;AA705,4))</f>
        <v/>
      </c>
      <c r="C705" s="56" t="n"/>
      <c r="D705" s="54" t="n"/>
      <c r="E705" s="57" t="str">
        <f>IF(D705="","",IF(A705="BL",IFERROR(INDEX(cl_name,MATCH(D705,cl_code,0))&amp;"","Client inconnu"),IF(A705="BR",IFERROR(INDEX(fo_name,MATCH(D705,fo_code,0))&amp;"","Fournisseur inconnu"),IF(A705="BS",IF(ISNA(MATCH(D705,p_services,0)),"Service inconnu",D705&amp;""),""))))</f>
        <v/>
      </c>
      <c r="F705" s="58" t="n"/>
      <c r="G705" s="58" t="n"/>
      <c r="H705" s="59" t="n"/>
      <c r="I705" s="57" t="str">
        <f>IF(H705="","",IFERROR(INDEX(art_des,MATCH(H705,art_ref,0))&amp;"","Article inconnu"))</f>
        <v/>
      </c>
      <c r="J705" s="60" t="str">
        <f>IF(H705="","",IFERROR(INDEX(art_unit,MATCH(H705,art_ref,0))&amp;"",""))</f>
        <v/>
      </c>
      <c r="K705" s="59" t="n"/>
      <c r="L705" s="59" t="n"/>
      <c r="M705" s="61" t="str">
        <f>IF(OR(B705="",NOT(ISNUMBER(K705)),NOT(ISNUMBER(L705))),"",IF(OR(K705&lt;=0,L705&lt;=0),"",ROUND(L705-K705,6)))</f>
        <v/>
      </c>
      <c r="N705" s="58" t="n"/>
      <c r="O705" s="62" t="n"/>
      <c r="P705" s="63" t="str">
        <f>IF(OR(B705="",NOT(ISNUMBER(L705))),"",IF(L705&lt;=0,"",IFERROR(ROUND(L705*N(INDEX(art_w,MATCH(H705,art_ref,0))),3),"")))</f>
        <v/>
      </c>
      <c r="Q705" s="59" t="n"/>
      <c r="R705" s="54" t="n"/>
      <c r="S705" s="59" t="n"/>
      <c r="T705" s="59" t="n"/>
      <c r="U705" s="64" t="str">
        <f>IF(OR(B705="",H705=""),"",IFERROR(IF(A705="BL",IF(N(INDEX(art_price,MATCH(H705,art_ref,0)))=0,"",N(INDEX(art_price,MATCH(H705,art_ref,0)))),IF(N(INDEX(art_cost,MATCH(H705,art_ref,0)))=0,"",N(INDEX(art_cost,MATCH(H705,art_ref,0))))),""))</f>
        <v/>
      </c>
      <c r="V705" s="64" t="str">
        <f>IF(OR(U705="",NOT(ISNUMBER(L705))),"",IF(L705&lt;=0,"",ROUND(L705*U705,2)))</f>
        <v/>
      </c>
      <c r="W705" s="60" t="str">
        <f>IF(AND(B705&lt;&gt;"",A705&lt;&gt;"BS",F705&lt;&gt;"",H705&lt;&gt;"",ISNUMBER(K705),ISNUMBER(L705)),IF(AND(K705&gt;0,L705&gt;0,K705-L705&gt;0,COUNTIFS(A706:A$2005,A705,F706:F$2005,F705,H706:H$2005,H705,AA706:AA$2005,"&gt;0")=0),ROUND(K705-L705,6),""),"")</f>
        <v/>
      </c>
      <c r="X705" s="60" t="str">
        <f>IF(AND(A705="",C705="",D705="",H705="",L705=""),"",IF(A705="","Type manquant",IF(AND(A705&lt;&gt;"BL",A705&lt;&gt;"BR",A705&lt;&gt;"BS"),"Type inconnu (BL, BR ou BS)",IF(AG705=0,"Date manquante ou invalide",IF(D705="",IF(A705="BL","Client manquant",IF(A705="BR","Fournisseur manquant","Service manquant")),IF(IF(A705="BL",ISNA(MATCH(D705,cl_code,0)),IF(A705="BR",ISNA(MATCH(D705,fo_code,0)),ISNA(MATCH(D705,p_services,0)))),IF(A705="BL","Client inconnu",IF(A705="BR","Fournisseur inconnu","Service inconnu")),IF(H705="","Article manquant",IF(ISNA(MATCH(H705,art_ref,0)),"Article inconnu",IF(OR(NOT(ISNUMBER(L705)),N(L705)&lt;=0),"Quantité invalide",IF(AND(K705&lt;&gt;"",OR(NOT(ISNUMBER(K705)),N(K705)&lt;=0)),"Qté commandée invalide",IF(AG705&lt;SUMPRODUCT(MAX((A$6:A704=A705)*AG$6:AG704)),"Date antérieure au bon précédent",IF(AND(A705&lt;&gt;"BR",ISNUMBER(M705),N(M705)&gt;0),IF(A705="BL","Livré plus que commandé","Sorti plus que demandé"),"OK"))))))))))))</f>
        <v/>
      </c>
      <c r="Y705" s="57" t="str">
        <f>IF(AND(OR(A705="BL",A705="BR",A705="BS"),AG705&gt;0,D705&lt;&gt;""),A705&amp;"|"&amp;AG705&amp;"|"&amp;D705&amp;"|"&amp;F705,"")</f>
        <v/>
      </c>
      <c r="Z705" s="57" t="str">
        <f>IF(Y705="","",IF(COUNTIF(Y$6:Y704,Y705)=0,1,0))</f>
        <v/>
      </c>
      <c r="AA705" s="57" t="str">
        <f>IF(Y705="","",IF(Z705=1,COUNTIFS(A$6:A705,A705,Z$6:Z705,1),INDEX(AA$6:AA704,MATCH(Y705,Y$6:Y704,0))))</f>
        <v/>
      </c>
      <c r="AB705" s="57" t="str">
        <f>IF(B705="","",COUNTIF(B$6:B705,B705))</f>
        <v/>
      </c>
      <c r="AC705" s="57" t="str">
        <f>IF(B705="","",B705&amp;"#"&amp;AB705)</f>
        <v/>
      </c>
      <c r="AD705" s="57" t="str">
        <f>IF(Z705=1,A705&amp;AA705,"")</f>
        <v/>
      </c>
      <c r="AE705" s="57" t="str">
        <f>IF(B705="","",YEAR(C705))</f>
        <v/>
      </c>
      <c r="AF705" s="57" t="str">
        <f>IF(B705="","",MONTH(C705))</f>
        <v/>
      </c>
      <c r="AG705" s="57">
        <f>IF(ISNUMBER(C705),C705,0)</f>
        <v>0.0</v>
      </c>
      <c r="AH705" s="57" t="str">
        <f>IF(N(W705)&gt;0,COUNTIF(W$6:W705,"&gt;0"),"")</f>
        <v/>
      </c>
      <c r="AI705" s="57" t="str">
        <f>IF(Z705=1,COUNTIF(Z$6:Z705,1),"")</f>
        <v/>
      </c>
    </row>
    <row r="706">
      <c r="A706" s="54" t="n"/>
      <c r="B706" s="55" t="str">
        <f>IF(AA706="","",A706&amp;"-"&amp;RIGHT("000"&amp;AA706,4))</f>
        <v/>
      </c>
      <c r="C706" s="56" t="n"/>
      <c r="D706" s="54" t="n"/>
      <c r="E706" s="57" t="str">
        <f>IF(D706="","",IF(A706="BL",IFERROR(INDEX(cl_name,MATCH(D706,cl_code,0))&amp;"","Client inconnu"),IF(A706="BR",IFERROR(INDEX(fo_name,MATCH(D706,fo_code,0))&amp;"","Fournisseur inconnu"),IF(A706="BS",IF(ISNA(MATCH(D706,p_services,0)),"Service inconnu",D706&amp;""),""))))</f>
        <v/>
      </c>
      <c r="F706" s="58" t="n"/>
      <c r="G706" s="58" t="n"/>
      <c r="H706" s="59" t="n"/>
      <c r="I706" s="57" t="str">
        <f>IF(H706="","",IFERROR(INDEX(art_des,MATCH(H706,art_ref,0))&amp;"","Article inconnu"))</f>
        <v/>
      </c>
      <c r="J706" s="60" t="str">
        <f>IF(H706="","",IFERROR(INDEX(art_unit,MATCH(H706,art_ref,0))&amp;"",""))</f>
        <v/>
      </c>
      <c r="K706" s="59" t="n"/>
      <c r="L706" s="59" t="n"/>
      <c r="M706" s="61" t="str">
        <f>IF(OR(B706="",NOT(ISNUMBER(K706)),NOT(ISNUMBER(L706))),"",IF(OR(K706&lt;=0,L706&lt;=0),"",ROUND(L706-K706,6)))</f>
        <v/>
      </c>
      <c r="N706" s="58" t="n"/>
      <c r="O706" s="62" t="n"/>
      <c r="P706" s="63" t="str">
        <f>IF(OR(B706="",NOT(ISNUMBER(L706))),"",IF(L706&lt;=0,"",IFERROR(ROUND(L706*N(INDEX(art_w,MATCH(H706,art_ref,0))),3),"")))</f>
        <v/>
      </c>
      <c r="Q706" s="59" t="n"/>
      <c r="R706" s="54" t="n"/>
      <c r="S706" s="59" t="n"/>
      <c r="T706" s="59" t="n"/>
      <c r="U706" s="64" t="str">
        <f>IF(OR(B706="",H706=""),"",IFERROR(IF(A706="BL",IF(N(INDEX(art_price,MATCH(H706,art_ref,0)))=0,"",N(INDEX(art_price,MATCH(H706,art_ref,0)))),IF(N(INDEX(art_cost,MATCH(H706,art_ref,0)))=0,"",N(INDEX(art_cost,MATCH(H706,art_ref,0))))),""))</f>
        <v/>
      </c>
      <c r="V706" s="64" t="str">
        <f>IF(OR(U706="",NOT(ISNUMBER(L706))),"",IF(L706&lt;=0,"",ROUND(L706*U706,2)))</f>
        <v/>
      </c>
      <c r="W706" s="60" t="str">
        <f>IF(AND(B706&lt;&gt;"",A706&lt;&gt;"BS",F706&lt;&gt;"",H706&lt;&gt;"",ISNUMBER(K706),ISNUMBER(L706)),IF(AND(K706&gt;0,L706&gt;0,K706-L706&gt;0,COUNTIFS(A707:A$2005,A706,F707:F$2005,F706,H707:H$2005,H706,AA707:AA$2005,"&gt;0")=0),ROUND(K706-L706,6),""),"")</f>
        <v/>
      </c>
      <c r="X706" s="60" t="str">
        <f>IF(AND(A706="",C706="",D706="",H706="",L706=""),"",IF(A706="","Type manquant",IF(AND(A706&lt;&gt;"BL",A706&lt;&gt;"BR",A706&lt;&gt;"BS"),"Type inconnu (BL, BR ou BS)",IF(AG706=0,"Date manquante ou invalide",IF(D706="",IF(A706="BL","Client manquant",IF(A706="BR","Fournisseur manquant","Service manquant")),IF(IF(A706="BL",ISNA(MATCH(D706,cl_code,0)),IF(A706="BR",ISNA(MATCH(D706,fo_code,0)),ISNA(MATCH(D706,p_services,0)))),IF(A706="BL","Client inconnu",IF(A706="BR","Fournisseur inconnu","Service inconnu")),IF(H706="","Article manquant",IF(ISNA(MATCH(H706,art_ref,0)),"Article inconnu",IF(OR(NOT(ISNUMBER(L706)),N(L706)&lt;=0),"Quantité invalide",IF(AND(K706&lt;&gt;"",OR(NOT(ISNUMBER(K706)),N(K706)&lt;=0)),"Qté commandée invalide",IF(AG706&lt;SUMPRODUCT(MAX((A$6:A705=A706)*AG$6:AG705)),"Date antérieure au bon précédent",IF(AND(A706&lt;&gt;"BR",ISNUMBER(M706),N(M706)&gt;0),IF(A706="BL","Livré plus que commandé","Sorti plus que demandé"),"OK"))))))))))))</f>
        <v/>
      </c>
      <c r="Y706" s="57" t="str">
        <f>IF(AND(OR(A706="BL",A706="BR",A706="BS"),AG706&gt;0,D706&lt;&gt;""),A706&amp;"|"&amp;AG706&amp;"|"&amp;D706&amp;"|"&amp;F706,"")</f>
        <v/>
      </c>
      <c r="Z706" s="57" t="str">
        <f>IF(Y706="","",IF(COUNTIF(Y$6:Y705,Y706)=0,1,0))</f>
        <v/>
      </c>
      <c r="AA706" s="57" t="str">
        <f>IF(Y706="","",IF(Z706=1,COUNTIFS(A$6:A706,A706,Z$6:Z706,1),INDEX(AA$6:AA705,MATCH(Y706,Y$6:Y705,0))))</f>
        <v/>
      </c>
      <c r="AB706" s="57" t="str">
        <f>IF(B706="","",COUNTIF(B$6:B706,B706))</f>
        <v/>
      </c>
      <c r="AC706" s="57" t="str">
        <f>IF(B706="","",B706&amp;"#"&amp;AB706)</f>
        <v/>
      </c>
      <c r="AD706" s="57" t="str">
        <f>IF(Z706=1,A706&amp;AA706,"")</f>
        <v/>
      </c>
      <c r="AE706" s="57" t="str">
        <f>IF(B706="","",YEAR(C706))</f>
        <v/>
      </c>
      <c r="AF706" s="57" t="str">
        <f>IF(B706="","",MONTH(C706))</f>
        <v/>
      </c>
      <c r="AG706" s="57">
        <f>IF(ISNUMBER(C706),C706,0)</f>
        <v>0.0</v>
      </c>
      <c r="AH706" s="57" t="str">
        <f>IF(N(W706)&gt;0,COUNTIF(W$6:W706,"&gt;0"),"")</f>
        <v/>
      </c>
      <c r="AI706" s="57" t="str">
        <f>IF(Z706=1,COUNTIF(Z$6:Z706,1),"")</f>
        <v/>
      </c>
    </row>
    <row r="707">
      <c r="A707" s="54" t="n"/>
      <c r="B707" s="55" t="str">
        <f>IF(AA707="","",A707&amp;"-"&amp;RIGHT("000"&amp;AA707,4))</f>
        <v/>
      </c>
      <c r="C707" s="56" t="n"/>
      <c r="D707" s="54" t="n"/>
      <c r="E707" s="57" t="str">
        <f>IF(D707="","",IF(A707="BL",IFERROR(INDEX(cl_name,MATCH(D707,cl_code,0))&amp;"","Client inconnu"),IF(A707="BR",IFERROR(INDEX(fo_name,MATCH(D707,fo_code,0))&amp;"","Fournisseur inconnu"),IF(A707="BS",IF(ISNA(MATCH(D707,p_services,0)),"Service inconnu",D707&amp;""),""))))</f>
        <v/>
      </c>
      <c r="F707" s="58" t="n"/>
      <c r="G707" s="58" t="n"/>
      <c r="H707" s="59" t="n"/>
      <c r="I707" s="57" t="str">
        <f>IF(H707="","",IFERROR(INDEX(art_des,MATCH(H707,art_ref,0))&amp;"","Article inconnu"))</f>
        <v/>
      </c>
      <c r="J707" s="60" t="str">
        <f>IF(H707="","",IFERROR(INDEX(art_unit,MATCH(H707,art_ref,0))&amp;"",""))</f>
        <v/>
      </c>
      <c r="K707" s="59" t="n"/>
      <c r="L707" s="59" t="n"/>
      <c r="M707" s="61" t="str">
        <f>IF(OR(B707="",NOT(ISNUMBER(K707)),NOT(ISNUMBER(L707))),"",IF(OR(K707&lt;=0,L707&lt;=0),"",ROUND(L707-K707,6)))</f>
        <v/>
      </c>
      <c r="N707" s="58" t="n"/>
      <c r="O707" s="62" t="n"/>
      <c r="P707" s="63" t="str">
        <f>IF(OR(B707="",NOT(ISNUMBER(L707))),"",IF(L707&lt;=0,"",IFERROR(ROUND(L707*N(INDEX(art_w,MATCH(H707,art_ref,0))),3),"")))</f>
        <v/>
      </c>
      <c r="Q707" s="59" t="n"/>
      <c r="R707" s="54" t="n"/>
      <c r="S707" s="59" t="n"/>
      <c r="T707" s="59" t="n"/>
      <c r="U707" s="64" t="str">
        <f>IF(OR(B707="",H707=""),"",IFERROR(IF(A707="BL",IF(N(INDEX(art_price,MATCH(H707,art_ref,0)))=0,"",N(INDEX(art_price,MATCH(H707,art_ref,0)))),IF(N(INDEX(art_cost,MATCH(H707,art_ref,0)))=0,"",N(INDEX(art_cost,MATCH(H707,art_ref,0))))),""))</f>
        <v/>
      </c>
      <c r="V707" s="64" t="str">
        <f>IF(OR(U707="",NOT(ISNUMBER(L707))),"",IF(L707&lt;=0,"",ROUND(L707*U707,2)))</f>
        <v/>
      </c>
      <c r="W707" s="60" t="str">
        <f>IF(AND(B707&lt;&gt;"",A707&lt;&gt;"BS",F707&lt;&gt;"",H707&lt;&gt;"",ISNUMBER(K707),ISNUMBER(L707)),IF(AND(K707&gt;0,L707&gt;0,K707-L707&gt;0,COUNTIFS(A708:A$2005,A707,F708:F$2005,F707,H708:H$2005,H707,AA708:AA$2005,"&gt;0")=0),ROUND(K707-L707,6),""),"")</f>
        <v/>
      </c>
      <c r="X707" s="60" t="str">
        <f>IF(AND(A707="",C707="",D707="",H707="",L707=""),"",IF(A707="","Type manquant",IF(AND(A707&lt;&gt;"BL",A707&lt;&gt;"BR",A707&lt;&gt;"BS"),"Type inconnu (BL, BR ou BS)",IF(AG707=0,"Date manquante ou invalide",IF(D707="",IF(A707="BL","Client manquant",IF(A707="BR","Fournisseur manquant","Service manquant")),IF(IF(A707="BL",ISNA(MATCH(D707,cl_code,0)),IF(A707="BR",ISNA(MATCH(D707,fo_code,0)),ISNA(MATCH(D707,p_services,0)))),IF(A707="BL","Client inconnu",IF(A707="BR","Fournisseur inconnu","Service inconnu")),IF(H707="","Article manquant",IF(ISNA(MATCH(H707,art_ref,0)),"Article inconnu",IF(OR(NOT(ISNUMBER(L707)),N(L707)&lt;=0),"Quantité invalide",IF(AND(K707&lt;&gt;"",OR(NOT(ISNUMBER(K707)),N(K707)&lt;=0)),"Qté commandée invalide",IF(AG707&lt;SUMPRODUCT(MAX((A$6:A706=A707)*AG$6:AG706)),"Date antérieure au bon précédent",IF(AND(A707&lt;&gt;"BR",ISNUMBER(M707),N(M707)&gt;0),IF(A707="BL","Livré plus que commandé","Sorti plus que demandé"),"OK"))))))))))))</f>
        <v/>
      </c>
      <c r="Y707" s="57" t="str">
        <f>IF(AND(OR(A707="BL",A707="BR",A707="BS"),AG707&gt;0,D707&lt;&gt;""),A707&amp;"|"&amp;AG707&amp;"|"&amp;D707&amp;"|"&amp;F707,"")</f>
        <v/>
      </c>
      <c r="Z707" s="57" t="str">
        <f>IF(Y707="","",IF(COUNTIF(Y$6:Y706,Y707)=0,1,0))</f>
        <v/>
      </c>
      <c r="AA707" s="57" t="str">
        <f>IF(Y707="","",IF(Z707=1,COUNTIFS(A$6:A707,A707,Z$6:Z707,1),INDEX(AA$6:AA706,MATCH(Y707,Y$6:Y706,0))))</f>
        <v/>
      </c>
      <c r="AB707" s="57" t="str">
        <f>IF(B707="","",COUNTIF(B$6:B707,B707))</f>
        <v/>
      </c>
      <c r="AC707" s="57" t="str">
        <f>IF(B707="","",B707&amp;"#"&amp;AB707)</f>
        <v/>
      </c>
      <c r="AD707" s="57" t="str">
        <f>IF(Z707=1,A707&amp;AA707,"")</f>
        <v/>
      </c>
      <c r="AE707" s="57" t="str">
        <f>IF(B707="","",YEAR(C707))</f>
        <v/>
      </c>
      <c r="AF707" s="57" t="str">
        <f>IF(B707="","",MONTH(C707))</f>
        <v/>
      </c>
      <c r="AG707" s="57">
        <f>IF(ISNUMBER(C707),C707,0)</f>
        <v>0.0</v>
      </c>
      <c r="AH707" s="57" t="str">
        <f>IF(N(W707)&gt;0,COUNTIF(W$6:W707,"&gt;0"),"")</f>
        <v/>
      </c>
      <c r="AI707" s="57" t="str">
        <f>IF(Z707=1,COUNTIF(Z$6:Z707,1),"")</f>
        <v/>
      </c>
    </row>
    <row r="708">
      <c r="A708" s="54" t="n"/>
      <c r="B708" s="55" t="str">
        <f>IF(AA708="","",A708&amp;"-"&amp;RIGHT("000"&amp;AA708,4))</f>
        <v/>
      </c>
      <c r="C708" s="56" t="n"/>
      <c r="D708" s="54" t="n"/>
      <c r="E708" s="57" t="str">
        <f>IF(D708="","",IF(A708="BL",IFERROR(INDEX(cl_name,MATCH(D708,cl_code,0))&amp;"","Client inconnu"),IF(A708="BR",IFERROR(INDEX(fo_name,MATCH(D708,fo_code,0))&amp;"","Fournisseur inconnu"),IF(A708="BS",IF(ISNA(MATCH(D708,p_services,0)),"Service inconnu",D708&amp;""),""))))</f>
        <v/>
      </c>
      <c r="F708" s="58" t="n"/>
      <c r="G708" s="58" t="n"/>
      <c r="H708" s="59" t="n"/>
      <c r="I708" s="57" t="str">
        <f>IF(H708="","",IFERROR(INDEX(art_des,MATCH(H708,art_ref,0))&amp;"","Article inconnu"))</f>
        <v/>
      </c>
      <c r="J708" s="60" t="str">
        <f>IF(H708="","",IFERROR(INDEX(art_unit,MATCH(H708,art_ref,0))&amp;"",""))</f>
        <v/>
      </c>
      <c r="K708" s="59" t="n"/>
      <c r="L708" s="59" t="n"/>
      <c r="M708" s="61" t="str">
        <f>IF(OR(B708="",NOT(ISNUMBER(K708)),NOT(ISNUMBER(L708))),"",IF(OR(K708&lt;=0,L708&lt;=0),"",ROUND(L708-K708,6)))</f>
        <v/>
      </c>
      <c r="N708" s="58" t="n"/>
      <c r="O708" s="62" t="n"/>
      <c r="P708" s="63" t="str">
        <f>IF(OR(B708="",NOT(ISNUMBER(L708))),"",IF(L708&lt;=0,"",IFERROR(ROUND(L708*N(INDEX(art_w,MATCH(H708,art_ref,0))),3),"")))</f>
        <v/>
      </c>
      <c r="Q708" s="59" t="n"/>
      <c r="R708" s="54" t="n"/>
      <c r="S708" s="59" t="n"/>
      <c r="T708" s="59" t="n"/>
      <c r="U708" s="64" t="str">
        <f>IF(OR(B708="",H708=""),"",IFERROR(IF(A708="BL",IF(N(INDEX(art_price,MATCH(H708,art_ref,0)))=0,"",N(INDEX(art_price,MATCH(H708,art_ref,0)))),IF(N(INDEX(art_cost,MATCH(H708,art_ref,0)))=0,"",N(INDEX(art_cost,MATCH(H708,art_ref,0))))),""))</f>
        <v/>
      </c>
      <c r="V708" s="64" t="str">
        <f>IF(OR(U708="",NOT(ISNUMBER(L708))),"",IF(L708&lt;=0,"",ROUND(L708*U708,2)))</f>
        <v/>
      </c>
      <c r="W708" s="60" t="str">
        <f>IF(AND(B708&lt;&gt;"",A708&lt;&gt;"BS",F708&lt;&gt;"",H708&lt;&gt;"",ISNUMBER(K708),ISNUMBER(L708)),IF(AND(K708&gt;0,L708&gt;0,K708-L708&gt;0,COUNTIFS(A709:A$2005,A708,F709:F$2005,F708,H709:H$2005,H708,AA709:AA$2005,"&gt;0")=0),ROUND(K708-L708,6),""),"")</f>
        <v/>
      </c>
      <c r="X708" s="60" t="str">
        <f>IF(AND(A708="",C708="",D708="",H708="",L708=""),"",IF(A708="","Type manquant",IF(AND(A708&lt;&gt;"BL",A708&lt;&gt;"BR",A708&lt;&gt;"BS"),"Type inconnu (BL, BR ou BS)",IF(AG708=0,"Date manquante ou invalide",IF(D708="",IF(A708="BL","Client manquant",IF(A708="BR","Fournisseur manquant","Service manquant")),IF(IF(A708="BL",ISNA(MATCH(D708,cl_code,0)),IF(A708="BR",ISNA(MATCH(D708,fo_code,0)),ISNA(MATCH(D708,p_services,0)))),IF(A708="BL","Client inconnu",IF(A708="BR","Fournisseur inconnu","Service inconnu")),IF(H708="","Article manquant",IF(ISNA(MATCH(H708,art_ref,0)),"Article inconnu",IF(OR(NOT(ISNUMBER(L708)),N(L708)&lt;=0),"Quantité invalide",IF(AND(K708&lt;&gt;"",OR(NOT(ISNUMBER(K708)),N(K708)&lt;=0)),"Qté commandée invalide",IF(AG708&lt;SUMPRODUCT(MAX((A$6:A707=A708)*AG$6:AG707)),"Date antérieure au bon précédent",IF(AND(A708&lt;&gt;"BR",ISNUMBER(M708),N(M708)&gt;0),IF(A708="BL","Livré plus que commandé","Sorti plus que demandé"),"OK"))))))))))))</f>
        <v/>
      </c>
      <c r="Y708" s="57" t="str">
        <f>IF(AND(OR(A708="BL",A708="BR",A708="BS"),AG708&gt;0,D708&lt;&gt;""),A708&amp;"|"&amp;AG708&amp;"|"&amp;D708&amp;"|"&amp;F708,"")</f>
        <v/>
      </c>
      <c r="Z708" s="57" t="str">
        <f>IF(Y708="","",IF(COUNTIF(Y$6:Y707,Y708)=0,1,0))</f>
        <v/>
      </c>
      <c r="AA708" s="57" t="str">
        <f>IF(Y708="","",IF(Z708=1,COUNTIFS(A$6:A708,A708,Z$6:Z708,1),INDEX(AA$6:AA707,MATCH(Y708,Y$6:Y707,0))))</f>
        <v/>
      </c>
      <c r="AB708" s="57" t="str">
        <f>IF(B708="","",COUNTIF(B$6:B708,B708))</f>
        <v/>
      </c>
      <c r="AC708" s="57" t="str">
        <f>IF(B708="","",B708&amp;"#"&amp;AB708)</f>
        <v/>
      </c>
      <c r="AD708" s="57" t="str">
        <f>IF(Z708=1,A708&amp;AA708,"")</f>
        <v/>
      </c>
      <c r="AE708" s="57" t="str">
        <f>IF(B708="","",YEAR(C708))</f>
        <v/>
      </c>
      <c r="AF708" s="57" t="str">
        <f>IF(B708="","",MONTH(C708))</f>
        <v/>
      </c>
      <c r="AG708" s="57">
        <f>IF(ISNUMBER(C708),C708,0)</f>
        <v>0.0</v>
      </c>
      <c r="AH708" s="57" t="str">
        <f>IF(N(W708)&gt;0,COUNTIF(W$6:W708,"&gt;0"),"")</f>
        <v/>
      </c>
      <c r="AI708" s="57" t="str">
        <f>IF(Z708=1,COUNTIF(Z$6:Z708,1),"")</f>
        <v/>
      </c>
    </row>
    <row r="709">
      <c r="A709" s="54" t="n"/>
      <c r="B709" s="55" t="str">
        <f>IF(AA709="","",A709&amp;"-"&amp;RIGHT("000"&amp;AA709,4))</f>
        <v/>
      </c>
      <c r="C709" s="56" t="n"/>
      <c r="D709" s="54" t="n"/>
      <c r="E709" s="57" t="str">
        <f>IF(D709="","",IF(A709="BL",IFERROR(INDEX(cl_name,MATCH(D709,cl_code,0))&amp;"","Client inconnu"),IF(A709="BR",IFERROR(INDEX(fo_name,MATCH(D709,fo_code,0))&amp;"","Fournisseur inconnu"),IF(A709="BS",IF(ISNA(MATCH(D709,p_services,0)),"Service inconnu",D709&amp;""),""))))</f>
        <v/>
      </c>
      <c r="F709" s="58" t="n"/>
      <c r="G709" s="58" t="n"/>
      <c r="H709" s="59" t="n"/>
      <c r="I709" s="57" t="str">
        <f>IF(H709="","",IFERROR(INDEX(art_des,MATCH(H709,art_ref,0))&amp;"","Article inconnu"))</f>
        <v/>
      </c>
      <c r="J709" s="60" t="str">
        <f>IF(H709="","",IFERROR(INDEX(art_unit,MATCH(H709,art_ref,0))&amp;"",""))</f>
        <v/>
      </c>
      <c r="K709" s="59" t="n"/>
      <c r="L709" s="59" t="n"/>
      <c r="M709" s="61" t="str">
        <f>IF(OR(B709="",NOT(ISNUMBER(K709)),NOT(ISNUMBER(L709))),"",IF(OR(K709&lt;=0,L709&lt;=0),"",ROUND(L709-K709,6)))</f>
        <v/>
      </c>
      <c r="N709" s="58" t="n"/>
      <c r="O709" s="62" t="n"/>
      <c r="P709" s="63" t="str">
        <f>IF(OR(B709="",NOT(ISNUMBER(L709))),"",IF(L709&lt;=0,"",IFERROR(ROUND(L709*N(INDEX(art_w,MATCH(H709,art_ref,0))),3),"")))</f>
        <v/>
      </c>
      <c r="Q709" s="59" t="n"/>
      <c r="R709" s="54" t="n"/>
      <c r="S709" s="59" t="n"/>
      <c r="T709" s="59" t="n"/>
      <c r="U709" s="64" t="str">
        <f>IF(OR(B709="",H709=""),"",IFERROR(IF(A709="BL",IF(N(INDEX(art_price,MATCH(H709,art_ref,0)))=0,"",N(INDEX(art_price,MATCH(H709,art_ref,0)))),IF(N(INDEX(art_cost,MATCH(H709,art_ref,0)))=0,"",N(INDEX(art_cost,MATCH(H709,art_ref,0))))),""))</f>
        <v/>
      </c>
      <c r="V709" s="64" t="str">
        <f>IF(OR(U709="",NOT(ISNUMBER(L709))),"",IF(L709&lt;=0,"",ROUND(L709*U709,2)))</f>
        <v/>
      </c>
      <c r="W709" s="60" t="str">
        <f>IF(AND(B709&lt;&gt;"",A709&lt;&gt;"BS",F709&lt;&gt;"",H709&lt;&gt;"",ISNUMBER(K709),ISNUMBER(L709)),IF(AND(K709&gt;0,L709&gt;0,K709-L709&gt;0,COUNTIFS(A710:A$2005,A709,F710:F$2005,F709,H710:H$2005,H709,AA710:AA$2005,"&gt;0")=0),ROUND(K709-L709,6),""),"")</f>
        <v/>
      </c>
      <c r="X709" s="60" t="str">
        <f>IF(AND(A709="",C709="",D709="",H709="",L709=""),"",IF(A709="","Type manquant",IF(AND(A709&lt;&gt;"BL",A709&lt;&gt;"BR",A709&lt;&gt;"BS"),"Type inconnu (BL, BR ou BS)",IF(AG709=0,"Date manquante ou invalide",IF(D709="",IF(A709="BL","Client manquant",IF(A709="BR","Fournisseur manquant","Service manquant")),IF(IF(A709="BL",ISNA(MATCH(D709,cl_code,0)),IF(A709="BR",ISNA(MATCH(D709,fo_code,0)),ISNA(MATCH(D709,p_services,0)))),IF(A709="BL","Client inconnu",IF(A709="BR","Fournisseur inconnu","Service inconnu")),IF(H709="","Article manquant",IF(ISNA(MATCH(H709,art_ref,0)),"Article inconnu",IF(OR(NOT(ISNUMBER(L709)),N(L709)&lt;=0),"Quantité invalide",IF(AND(K709&lt;&gt;"",OR(NOT(ISNUMBER(K709)),N(K709)&lt;=0)),"Qté commandée invalide",IF(AG709&lt;SUMPRODUCT(MAX((A$6:A708=A709)*AG$6:AG708)),"Date antérieure au bon précédent",IF(AND(A709&lt;&gt;"BR",ISNUMBER(M709),N(M709)&gt;0),IF(A709="BL","Livré plus que commandé","Sorti plus que demandé"),"OK"))))))))))))</f>
        <v/>
      </c>
      <c r="Y709" s="57" t="str">
        <f>IF(AND(OR(A709="BL",A709="BR",A709="BS"),AG709&gt;0,D709&lt;&gt;""),A709&amp;"|"&amp;AG709&amp;"|"&amp;D709&amp;"|"&amp;F709,"")</f>
        <v/>
      </c>
      <c r="Z709" s="57" t="str">
        <f>IF(Y709="","",IF(COUNTIF(Y$6:Y708,Y709)=0,1,0))</f>
        <v/>
      </c>
      <c r="AA709" s="57" t="str">
        <f>IF(Y709="","",IF(Z709=1,COUNTIFS(A$6:A709,A709,Z$6:Z709,1),INDEX(AA$6:AA708,MATCH(Y709,Y$6:Y708,0))))</f>
        <v/>
      </c>
      <c r="AB709" s="57" t="str">
        <f>IF(B709="","",COUNTIF(B$6:B709,B709))</f>
        <v/>
      </c>
      <c r="AC709" s="57" t="str">
        <f>IF(B709="","",B709&amp;"#"&amp;AB709)</f>
        <v/>
      </c>
      <c r="AD709" s="57" t="str">
        <f>IF(Z709=1,A709&amp;AA709,"")</f>
        <v/>
      </c>
      <c r="AE709" s="57" t="str">
        <f>IF(B709="","",YEAR(C709))</f>
        <v/>
      </c>
      <c r="AF709" s="57" t="str">
        <f>IF(B709="","",MONTH(C709))</f>
        <v/>
      </c>
      <c r="AG709" s="57">
        <f>IF(ISNUMBER(C709),C709,0)</f>
        <v>0.0</v>
      </c>
      <c r="AH709" s="57" t="str">
        <f>IF(N(W709)&gt;0,COUNTIF(W$6:W709,"&gt;0"),"")</f>
        <v/>
      </c>
      <c r="AI709" s="57" t="str">
        <f>IF(Z709=1,COUNTIF(Z$6:Z709,1),"")</f>
        <v/>
      </c>
    </row>
    <row r="710">
      <c r="A710" s="54" t="n"/>
      <c r="B710" s="55" t="str">
        <f>IF(AA710="","",A710&amp;"-"&amp;RIGHT("000"&amp;AA710,4))</f>
        <v/>
      </c>
      <c r="C710" s="56" t="n"/>
      <c r="D710" s="54" t="n"/>
      <c r="E710" s="57" t="str">
        <f>IF(D710="","",IF(A710="BL",IFERROR(INDEX(cl_name,MATCH(D710,cl_code,0))&amp;"","Client inconnu"),IF(A710="BR",IFERROR(INDEX(fo_name,MATCH(D710,fo_code,0))&amp;"","Fournisseur inconnu"),IF(A710="BS",IF(ISNA(MATCH(D710,p_services,0)),"Service inconnu",D710&amp;""),""))))</f>
        <v/>
      </c>
      <c r="F710" s="58" t="n"/>
      <c r="G710" s="58" t="n"/>
      <c r="H710" s="59" t="n"/>
      <c r="I710" s="57" t="str">
        <f>IF(H710="","",IFERROR(INDEX(art_des,MATCH(H710,art_ref,0))&amp;"","Article inconnu"))</f>
        <v/>
      </c>
      <c r="J710" s="60" t="str">
        <f>IF(H710="","",IFERROR(INDEX(art_unit,MATCH(H710,art_ref,0))&amp;"",""))</f>
        <v/>
      </c>
      <c r="K710" s="59" t="n"/>
      <c r="L710" s="59" t="n"/>
      <c r="M710" s="61" t="str">
        <f>IF(OR(B710="",NOT(ISNUMBER(K710)),NOT(ISNUMBER(L710))),"",IF(OR(K710&lt;=0,L710&lt;=0),"",ROUND(L710-K710,6)))</f>
        <v/>
      </c>
      <c r="N710" s="58" t="n"/>
      <c r="O710" s="62" t="n"/>
      <c r="P710" s="63" t="str">
        <f>IF(OR(B710="",NOT(ISNUMBER(L710))),"",IF(L710&lt;=0,"",IFERROR(ROUND(L710*N(INDEX(art_w,MATCH(H710,art_ref,0))),3),"")))</f>
        <v/>
      </c>
      <c r="Q710" s="59" t="n"/>
      <c r="R710" s="54" t="n"/>
      <c r="S710" s="59" t="n"/>
      <c r="T710" s="59" t="n"/>
      <c r="U710" s="64" t="str">
        <f>IF(OR(B710="",H710=""),"",IFERROR(IF(A710="BL",IF(N(INDEX(art_price,MATCH(H710,art_ref,0)))=0,"",N(INDEX(art_price,MATCH(H710,art_ref,0)))),IF(N(INDEX(art_cost,MATCH(H710,art_ref,0)))=0,"",N(INDEX(art_cost,MATCH(H710,art_ref,0))))),""))</f>
        <v/>
      </c>
      <c r="V710" s="64" t="str">
        <f>IF(OR(U710="",NOT(ISNUMBER(L710))),"",IF(L710&lt;=0,"",ROUND(L710*U710,2)))</f>
        <v/>
      </c>
      <c r="W710" s="60" t="str">
        <f>IF(AND(B710&lt;&gt;"",A710&lt;&gt;"BS",F710&lt;&gt;"",H710&lt;&gt;"",ISNUMBER(K710),ISNUMBER(L710)),IF(AND(K710&gt;0,L710&gt;0,K710-L710&gt;0,COUNTIFS(A711:A$2005,A710,F711:F$2005,F710,H711:H$2005,H710,AA711:AA$2005,"&gt;0")=0),ROUND(K710-L710,6),""),"")</f>
        <v/>
      </c>
      <c r="X710" s="60" t="str">
        <f>IF(AND(A710="",C710="",D710="",H710="",L710=""),"",IF(A710="","Type manquant",IF(AND(A710&lt;&gt;"BL",A710&lt;&gt;"BR",A710&lt;&gt;"BS"),"Type inconnu (BL, BR ou BS)",IF(AG710=0,"Date manquante ou invalide",IF(D710="",IF(A710="BL","Client manquant",IF(A710="BR","Fournisseur manquant","Service manquant")),IF(IF(A710="BL",ISNA(MATCH(D710,cl_code,0)),IF(A710="BR",ISNA(MATCH(D710,fo_code,0)),ISNA(MATCH(D710,p_services,0)))),IF(A710="BL","Client inconnu",IF(A710="BR","Fournisseur inconnu","Service inconnu")),IF(H710="","Article manquant",IF(ISNA(MATCH(H710,art_ref,0)),"Article inconnu",IF(OR(NOT(ISNUMBER(L710)),N(L710)&lt;=0),"Quantité invalide",IF(AND(K710&lt;&gt;"",OR(NOT(ISNUMBER(K710)),N(K710)&lt;=0)),"Qté commandée invalide",IF(AG710&lt;SUMPRODUCT(MAX((A$6:A709=A710)*AG$6:AG709)),"Date antérieure au bon précédent",IF(AND(A710&lt;&gt;"BR",ISNUMBER(M710),N(M710)&gt;0),IF(A710="BL","Livré plus que commandé","Sorti plus que demandé"),"OK"))))))))))))</f>
        <v/>
      </c>
      <c r="Y710" s="57" t="str">
        <f>IF(AND(OR(A710="BL",A710="BR",A710="BS"),AG710&gt;0,D710&lt;&gt;""),A710&amp;"|"&amp;AG710&amp;"|"&amp;D710&amp;"|"&amp;F710,"")</f>
        <v/>
      </c>
      <c r="Z710" s="57" t="str">
        <f>IF(Y710="","",IF(COUNTIF(Y$6:Y709,Y710)=0,1,0))</f>
        <v/>
      </c>
      <c r="AA710" s="57" t="str">
        <f>IF(Y710="","",IF(Z710=1,COUNTIFS(A$6:A710,A710,Z$6:Z710,1),INDEX(AA$6:AA709,MATCH(Y710,Y$6:Y709,0))))</f>
        <v/>
      </c>
      <c r="AB710" s="57" t="str">
        <f>IF(B710="","",COUNTIF(B$6:B710,B710))</f>
        <v/>
      </c>
      <c r="AC710" s="57" t="str">
        <f>IF(B710="","",B710&amp;"#"&amp;AB710)</f>
        <v/>
      </c>
      <c r="AD710" s="57" t="str">
        <f>IF(Z710=1,A710&amp;AA710,"")</f>
        <v/>
      </c>
      <c r="AE710" s="57" t="str">
        <f>IF(B710="","",YEAR(C710))</f>
        <v/>
      </c>
      <c r="AF710" s="57" t="str">
        <f>IF(B710="","",MONTH(C710))</f>
        <v/>
      </c>
      <c r="AG710" s="57">
        <f>IF(ISNUMBER(C710),C710,0)</f>
        <v>0.0</v>
      </c>
      <c r="AH710" s="57" t="str">
        <f>IF(N(W710)&gt;0,COUNTIF(W$6:W710,"&gt;0"),"")</f>
        <v/>
      </c>
      <c r="AI710" s="57" t="str">
        <f>IF(Z710=1,COUNTIF(Z$6:Z710,1),"")</f>
        <v/>
      </c>
    </row>
    <row r="711">
      <c r="A711" s="54" t="n"/>
      <c r="B711" s="55" t="str">
        <f>IF(AA711="","",A711&amp;"-"&amp;RIGHT("000"&amp;AA711,4))</f>
        <v/>
      </c>
      <c r="C711" s="56" t="n"/>
      <c r="D711" s="54" t="n"/>
      <c r="E711" s="57" t="str">
        <f>IF(D711="","",IF(A711="BL",IFERROR(INDEX(cl_name,MATCH(D711,cl_code,0))&amp;"","Client inconnu"),IF(A711="BR",IFERROR(INDEX(fo_name,MATCH(D711,fo_code,0))&amp;"","Fournisseur inconnu"),IF(A711="BS",IF(ISNA(MATCH(D711,p_services,0)),"Service inconnu",D711&amp;""),""))))</f>
        <v/>
      </c>
      <c r="F711" s="58" t="n"/>
      <c r="G711" s="58" t="n"/>
      <c r="H711" s="59" t="n"/>
      <c r="I711" s="57" t="str">
        <f>IF(H711="","",IFERROR(INDEX(art_des,MATCH(H711,art_ref,0))&amp;"","Article inconnu"))</f>
        <v/>
      </c>
      <c r="J711" s="60" t="str">
        <f>IF(H711="","",IFERROR(INDEX(art_unit,MATCH(H711,art_ref,0))&amp;"",""))</f>
        <v/>
      </c>
      <c r="K711" s="59" t="n"/>
      <c r="L711" s="59" t="n"/>
      <c r="M711" s="61" t="str">
        <f>IF(OR(B711="",NOT(ISNUMBER(K711)),NOT(ISNUMBER(L711))),"",IF(OR(K711&lt;=0,L711&lt;=0),"",ROUND(L711-K711,6)))</f>
        <v/>
      </c>
      <c r="N711" s="58" t="n"/>
      <c r="O711" s="62" t="n"/>
      <c r="P711" s="63" t="str">
        <f>IF(OR(B711="",NOT(ISNUMBER(L711))),"",IF(L711&lt;=0,"",IFERROR(ROUND(L711*N(INDEX(art_w,MATCH(H711,art_ref,0))),3),"")))</f>
        <v/>
      </c>
      <c r="Q711" s="59" t="n"/>
      <c r="R711" s="54" t="n"/>
      <c r="S711" s="59" t="n"/>
      <c r="T711" s="59" t="n"/>
      <c r="U711" s="64" t="str">
        <f>IF(OR(B711="",H711=""),"",IFERROR(IF(A711="BL",IF(N(INDEX(art_price,MATCH(H711,art_ref,0)))=0,"",N(INDEX(art_price,MATCH(H711,art_ref,0)))),IF(N(INDEX(art_cost,MATCH(H711,art_ref,0)))=0,"",N(INDEX(art_cost,MATCH(H711,art_ref,0))))),""))</f>
        <v/>
      </c>
      <c r="V711" s="64" t="str">
        <f>IF(OR(U711="",NOT(ISNUMBER(L711))),"",IF(L711&lt;=0,"",ROUND(L711*U711,2)))</f>
        <v/>
      </c>
      <c r="W711" s="60" t="str">
        <f>IF(AND(B711&lt;&gt;"",A711&lt;&gt;"BS",F711&lt;&gt;"",H711&lt;&gt;"",ISNUMBER(K711),ISNUMBER(L711)),IF(AND(K711&gt;0,L711&gt;0,K711-L711&gt;0,COUNTIFS(A712:A$2005,A711,F712:F$2005,F711,H712:H$2005,H711,AA712:AA$2005,"&gt;0")=0),ROUND(K711-L711,6),""),"")</f>
        <v/>
      </c>
      <c r="X711" s="60" t="str">
        <f>IF(AND(A711="",C711="",D711="",H711="",L711=""),"",IF(A711="","Type manquant",IF(AND(A711&lt;&gt;"BL",A711&lt;&gt;"BR",A711&lt;&gt;"BS"),"Type inconnu (BL, BR ou BS)",IF(AG711=0,"Date manquante ou invalide",IF(D711="",IF(A711="BL","Client manquant",IF(A711="BR","Fournisseur manquant","Service manquant")),IF(IF(A711="BL",ISNA(MATCH(D711,cl_code,0)),IF(A711="BR",ISNA(MATCH(D711,fo_code,0)),ISNA(MATCH(D711,p_services,0)))),IF(A711="BL","Client inconnu",IF(A711="BR","Fournisseur inconnu","Service inconnu")),IF(H711="","Article manquant",IF(ISNA(MATCH(H711,art_ref,0)),"Article inconnu",IF(OR(NOT(ISNUMBER(L711)),N(L711)&lt;=0),"Quantité invalide",IF(AND(K711&lt;&gt;"",OR(NOT(ISNUMBER(K711)),N(K711)&lt;=0)),"Qté commandée invalide",IF(AG711&lt;SUMPRODUCT(MAX((A$6:A710=A711)*AG$6:AG710)),"Date antérieure au bon précédent",IF(AND(A711&lt;&gt;"BR",ISNUMBER(M711),N(M711)&gt;0),IF(A711="BL","Livré plus que commandé","Sorti plus que demandé"),"OK"))))))))))))</f>
        <v/>
      </c>
      <c r="Y711" s="57" t="str">
        <f>IF(AND(OR(A711="BL",A711="BR",A711="BS"),AG711&gt;0,D711&lt;&gt;""),A711&amp;"|"&amp;AG711&amp;"|"&amp;D711&amp;"|"&amp;F711,"")</f>
        <v/>
      </c>
      <c r="Z711" s="57" t="str">
        <f>IF(Y711="","",IF(COUNTIF(Y$6:Y710,Y711)=0,1,0))</f>
        <v/>
      </c>
      <c r="AA711" s="57" t="str">
        <f>IF(Y711="","",IF(Z711=1,COUNTIFS(A$6:A711,A711,Z$6:Z711,1),INDEX(AA$6:AA710,MATCH(Y711,Y$6:Y710,0))))</f>
        <v/>
      </c>
      <c r="AB711" s="57" t="str">
        <f>IF(B711="","",COUNTIF(B$6:B711,B711))</f>
        <v/>
      </c>
      <c r="AC711" s="57" t="str">
        <f>IF(B711="","",B711&amp;"#"&amp;AB711)</f>
        <v/>
      </c>
      <c r="AD711" s="57" t="str">
        <f>IF(Z711=1,A711&amp;AA711,"")</f>
        <v/>
      </c>
      <c r="AE711" s="57" t="str">
        <f>IF(B711="","",YEAR(C711))</f>
        <v/>
      </c>
      <c r="AF711" s="57" t="str">
        <f>IF(B711="","",MONTH(C711))</f>
        <v/>
      </c>
      <c r="AG711" s="57">
        <f>IF(ISNUMBER(C711),C711,0)</f>
        <v>0.0</v>
      </c>
      <c r="AH711" s="57" t="str">
        <f>IF(N(W711)&gt;0,COUNTIF(W$6:W711,"&gt;0"),"")</f>
        <v/>
      </c>
      <c r="AI711" s="57" t="str">
        <f>IF(Z711=1,COUNTIF(Z$6:Z711,1),"")</f>
        <v/>
      </c>
    </row>
    <row r="712">
      <c r="A712" s="54" t="n"/>
      <c r="B712" s="55" t="str">
        <f>IF(AA712="","",A712&amp;"-"&amp;RIGHT("000"&amp;AA712,4))</f>
        <v/>
      </c>
      <c r="C712" s="56" t="n"/>
      <c r="D712" s="54" t="n"/>
      <c r="E712" s="57" t="str">
        <f>IF(D712="","",IF(A712="BL",IFERROR(INDEX(cl_name,MATCH(D712,cl_code,0))&amp;"","Client inconnu"),IF(A712="BR",IFERROR(INDEX(fo_name,MATCH(D712,fo_code,0))&amp;"","Fournisseur inconnu"),IF(A712="BS",IF(ISNA(MATCH(D712,p_services,0)),"Service inconnu",D712&amp;""),""))))</f>
        <v/>
      </c>
      <c r="F712" s="58" t="n"/>
      <c r="G712" s="58" t="n"/>
      <c r="H712" s="59" t="n"/>
      <c r="I712" s="57" t="str">
        <f>IF(H712="","",IFERROR(INDEX(art_des,MATCH(H712,art_ref,0))&amp;"","Article inconnu"))</f>
        <v/>
      </c>
      <c r="J712" s="60" t="str">
        <f>IF(H712="","",IFERROR(INDEX(art_unit,MATCH(H712,art_ref,0))&amp;"",""))</f>
        <v/>
      </c>
      <c r="K712" s="59" t="n"/>
      <c r="L712" s="59" t="n"/>
      <c r="M712" s="61" t="str">
        <f>IF(OR(B712="",NOT(ISNUMBER(K712)),NOT(ISNUMBER(L712))),"",IF(OR(K712&lt;=0,L712&lt;=0),"",ROUND(L712-K712,6)))</f>
        <v/>
      </c>
      <c r="N712" s="58" t="n"/>
      <c r="O712" s="62" t="n"/>
      <c r="P712" s="63" t="str">
        <f>IF(OR(B712="",NOT(ISNUMBER(L712))),"",IF(L712&lt;=0,"",IFERROR(ROUND(L712*N(INDEX(art_w,MATCH(H712,art_ref,0))),3),"")))</f>
        <v/>
      </c>
      <c r="Q712" s="59" t="n"/>
      <c r="R712" s="54" t="n"/>
      <c r="S712" s="59" t="n"/>
      <c r="T712" s="59" t="n"/>
      <c r="U712" s="64" t="str">
        <f>IF(OR(B712="",H712=""),"",IFERROR(IF(A712="BL",IF(N(INDEX(art_price,MATCH(H712,art_ref,0)))=0,"",N(INDEX(art_price,MATCH(H712,art_ref,0)))),IF(N(INDEX(art_cost,MATCH(H712,art_ref,0)))=0,"",N(INDEX(art_cost,MATCH(H712,art_ref,0))))),""))</f>
        <v/>
      </c>
      <c r="V712" s="64" t="str">
        <f>IF(OR(U712="",NOT(ISNUMBER(L712))),"",IF(L712&lt;=0,"",ROUND(L712*U712,2)))</f>
        <v/>
      </c>
      <c r="W712" s="60" t="str">
        <f>IF(AND(B712&lt;&gt;"",A712&lt;&gt;"BS",F712&lt;&gt;"",H712&lt;&gt;"",ISNUMBER(K712),ISNUMBER(L712)),IF(AND(K712&gt;0,L712&gt;0,K712-L712&gt;0,COUNTIFS(A713:A$2005,A712,F713:F$2005,F712,H713:H$2005,H712,AA713:AA$2005,"&gt;0")=0),ROUND(K712-L712,6),""),"")</f>
        <v/>
      </c>
      <c r="X712" s="60" t="str">
        <f>IF(AND(A712="",C712="",D712="",H712="",L712=""),"",IF(A712="","Type manquant",IF(AND(A712&lt;&gt;"BL",A712&lt;&gt;"BR",A712&lt;&gt;"BS"),"Type inconnu (BL, BR ou BS)",IF(AG712=0,"Date manquante ou invalide",IF(D712="",IF(A712="BL","Client manquant",IF(A712="BR","Fournisseur manquant","Service manquant")),IF(IF(A712="BL",ISNA(MATCH(D712,cl_code,0)),IF(A712="BR",ISNA(MATCH(D712,fo_code,0)),ISNA(MATCH(D712,p_services,0)))),IF(A712="BL","Client inconnu",IF(A712="BR","Fournisseur inconnu","Service inconnu")),IF(H712="","Article manquant",IF(ISNA(MATCH(H712,art_ref,0)),"Article inconnu",IF(OR(NOT(ISNUMBER(L712)),N(L712)&lt;=0),"Quantité invalide",IF(AND(K712&lt;&gt;"",OR(NOT(ISNUMBER(K712)),N(K712)&lt;=0)),"Qté commandée invalide",IF(AG712&lt;SUMPRODUCT(MAX((A$6:A711=A712)*AG$6:AG711)),"Date antérieure au bon précédent",IF(AND(A712&lt;&gt;"BR",ISNUMBER(M712),N(M712)&gt;0),IF(A712="BL","Livré plus que commandé","Sorti plus que demandé"),"OK"))))))))))))</f>
        <v/>
      </c>
      <c r="Y712" s="57" t="str">
        <f>IF(AND(OR(A712="BL",A712="BR",A712="BS"),AG712&gt;0,D712&lt;&gt;""),A712&amp;"|"&amp;AG712&amp;"|"&amp;D712&amp;"|"&amp;F712,"")</f>
        <v/>
      </c>
      <c r="Z712" s="57" t="str">
        <f>IF(Y712="","",IF(COUNTIF(Y$6:Y711,Y712)=0,1,0))</f>
        <v/>
      </c>
      <c r="AA712" s="57" t="str">
        <f>IF(Y712="","",IF(Z712=1,COUNTIFS(A$6:A712,A712,Z$6:Z712,1),INDEX(AA$6:AA711,MATCH(Y712,Y$6:Y711,0))))</f>
        <v/>
      </c>
      <c r="AB712" s="57" t="str">
        <f>IF(B712="","",COUNTIF(B$6:B712,B712))</f>
        <v/>
      </c>
      <c r="AC712" s="57" t="str">
        <f>IF(B712="","",B712&amp;"#"&amp;AB712)</f>
        <v/>
      </c>
      <c r="AD712" s="57" t="str">
        <f>IF(Z712=1,A712&amp;AA712,"")</f>
        <v/>
      </c>
      <c r="AE712" s="57" t="str">
        <f>IF(B712="","",YEAR(C712))</f>
        <v/>
      </c>
      <c r="AF712" s="57" t="str">
        <f>IF(B712="","",MONTH(C712))</f>
        <v/>
      </c>
      <c r="AG712" s="57">
        <f>IF(ISNUMBER(C712),C712,0)</f>
        <v>0.0</v>
      </c>
      <c r="AH712" s="57" t="str">
        <f>IF(N(W712)&gt;0,COUNTIF(W$6:W712,"&gt;0"),"")</f>
        <v/>
      </c>
      <c r="AI712" s="57" t="str">
        <f>IF(Z712=1,COUNTIF(Z$6:Z712,1),"")</f>
        <v/>
      </c>
    </row>
    <row r="713">
      <c r="A713" s="54" t="n"/>
      <c r="B713" s="55" t="str">
        <f>IF(AA713="","",A713&amp;"-"&amp;RIGHT("000"&amp;AA713,4))</f>
        <v/>
      </c>
      <c r="C713" s="56" t="n"/>
      <c r="D713" s="54" t="n"/>
      <c r="E713" s="57" t="str">
        <f>IF(D713="","",IF(A713="BL",IFERROR(INDEX(cl_name,MATCH(D713,cl_code,0))&amp;"","Client inconnu"),IF(A713="BR",IFERROR(INDEX(fo_name,MATCH(D713,fo_code,0))&amp;"","Fournisseur inconnu"),IF(A713="BS",IF(ISNA(MATCH(D713,p_services,0)),"Service inconnu",D713&amp;""),""))))</f>
        <v/>
      </c>
      <c r="F713" s="58" t="n"/>
      <c r="G713" s="58" t="n"/>
      <c r="H713" s="59" t="n"/>
      <c r="I713" s="57" t="str">
        <f>IF(H713="","",IFERROR(INDEX(art_des,MATCH(H713,art_ref,0))&amp;"","Article inconnu"))</f>
        <v/>
      </c>
      <c r="J713" s="60" t="str">
        <f>IF(H713="","",IFERROR(INDEX(art_unit,MATCH(H713,art_ref,0))&amp;"",""))</f>
        <v/>
      </c>
      <c r="K713" s="59" t="n"/>
      <c r="L713" s="59" t="n"/>
      <c r="M713" s="61" t="str">
        <f>IF(OR(B713="",NOT(ISNUMBER(K713)),NOT(ISNUMBER(L713))),"",IF(OR(K713&lt;=0,L713&lt;=0),"",ROUND(L713-K713,6)))</f>
        <v/>
      </c>
      <c r="N713" s="58" t="n"/>
      <c r="O713" s="62" t="n"/>
      <c r="P713" s="63" t="str">
        <f>IF(OR(B713="",NOT(ISNUMBER(L713))),"",IF(L713&lt;=0,"",IFERROR(ROUND(L713*N(INDEX(art_w,MATCH(H713,art_ref,0))),3),"")))</f>
        <v/>
      </c>
      <c r="Q713" s="59" t="n"/>
      <c r="R713" s="54" t="n"/>
      <c r="S713" s="59" t="n"/>
      <c r="T713" s="59" t="n"/>
      <c r="U713" s="64" t="str">
        <f>IF(OR(B713="",H713=""),"",IFERROR(IF(A713="BL",IF(N(INDEX(art_price,MATCH(H713,art_ref,0)))=0,"",N(INDEX(art_price,MATCH(H713,art_ref,0)))),IF(N(INDEX(art_cost,MATCH(H713,art_ref,0)))=0,"",N(INDEX(art_cost,MATCH(H713,art_ref,0))))),""))</f>
        <v/>
      </c>
      <c r="V713" s="64" t="str">
        <f>IF(OR(U713="",NOT(ISNUMBER(L713))),"",IF(L713&lt;=0,"",ROUND(L713*U713,2)))</f>
        <v/>
      </c>
      <c r="W713" s="60" t="str">
        <f>IF(AND(B713&lt;&gt;"",A713&lt;&gt;"BS",F713&lt;&gt;"",H713&lt;&gt;"",ISNUMBER(K713),ISNUMBER(L713)),IF(AND(K713&gt;0,L713&gt;0,K713-L713&gt;0,COUNTIFS(A714:A$2005,A713,F714:F$2005,F713,H714:H$2005,H713,AA714:AA$2005,"&gt;0")=0),ROUND(K713-L713,6),""),"")</f>
        <v/>
      </c>
      <c r="X713" s="60" t="str">
        <f>IF(AND(A713="",C713="",D713="",H713="",L713=""),"",IF(A713="","Type manquant",IF(AND(A713&lt;&gt;"BL",A713&lt;&gt;"BR",A713&lt;&gt;"BS"),"Type inconnu (BL, BR ou BS)",IF(AG713=0,"Date manquante ou invalide",IF(D713="",IF(A713="BL","Client manquant",IF(A713="BR","Fournisseur manquant","Service manquant")),IF(IF(A713="BL",ISNA(MATCH(D713,cl_code,0)),IF(A713="BR",ISNA(MATCH(D713,fo_code,0)),ISNA(MATCH(D713,p_services,0)))),IF(A713="BL","Client inconnu",IF(A713="BR","Fournisseur inconnu","Service inconnu")),IF(H713="","Article manquant",IF(ISNA(MATCH(H713,art_ref,0)),"Article inconnu",IF(OR(NOT(ISNUMBER(L713)),N(L713)&lt;=0),"Quantité invalide",IF(AND(K713&lt;&gt;"",OR(NOT(ISNUMBER(K713)),N(K713)&lt;=0)),"Qté commandée invalide",IF(AG713&lt;SUMPRODUCT(MAX((A$6:A712=A713)*AG$6:AG712)),"Date antérieure au bon précédent",IF(AND(A713&lt;&gt;"BR",ISNUMBER(M713),N(M713)&gt;0),IF(A713="BL","Livré plus que commandé","Sorti plus que demandé"),"OK"))))))))))))</f>
        <v/>
      </c>
      <c r="Y713" s="57" t="str">
        <f>IF(AND(OR(A713="BL",A713="BR",A713="BS"),AG713&gt;0,D713&lt;&gt;""),A713&amp;"|"&amp;AG713&amp;"|"&amp;D713&amp;"|"&amp;F713,"")</f>
        <v/>
      </c>
      <c r="Z713" s="57" t="str">
        <f>IF(Y713="","",IF(COUNTIF(Y$6:Y712,Y713)=0,1,0))</f>
        <v/>
      </c>
      <c r="AA713" s="57" t="str">
        <f>IF(Y713="","",IF(Z713=1,COUNTIFS(A$6:A713,A713,Z$6:Z713,1),INDEX(AA$6:AA712,MATCH(Y713,Y$6:Y712,0))))</f>
        <v/>
      </c>
      <c r="AB713" s="57" t="str">
        <f>IF(B713="","",COUNTIF(B$6:B713,B713))</f>
        <v/>
      </c>
      <c r="AC713" s="57" t="str">
        <f>IF(B713="","",B713&amp;"#"&amp;AB713)</f>
        <v/>
      </c>
      <c r="AD713" s="57" t="str">
        <f>IF(Z713=1,A713&amp;AA713,"")</f>
        <v/>
      </c>
      <c r="AE713" s="57" t="str">
        <f>IF(B713="","",YEAR(C713))</f>
        <v/>
      </c>
      <c r="AF713" s="57" t="str">
        <f>IF(B713="","",MONTH(C713))</f>
        <v/>
      </c>
      <c r="AG713" s="57">
        <f>IF(ISNUMBER(C713),C713,0)</f>
        <v>0.0</v>
      </c>
      <c r="AH713" s="57" t="str">
        <f>IF(N(W713)&gt;0,COUNTIF(W$6:W713,"&gt;0"),"")</f>
        <v/>
      </c>
      <c r="AI713" s="57" t="str">
        <f>IF(Z713=1,COUNTIF(Z$6:Z713,1),"")</f>
        <v/>
      </c>
    </row>
    <row r="714">
      <c r="A714" s="54" t="n"/>
      <c r="B714" s="55" t="str">
        <f>IF(AA714="","",A714&amp;"-"&amp;RIGHT("000"&amp;AA714,4))</f>
        <v/>
      </c>
      <c r="C714" s="56" t="n"/>
      <c r="D714" s="54" t="n"/>
      <c r="E714" s="57" t="str">
        <f>IF(D714="","",IF(A714="BL",IFERROR(INDEX(cl_name,MATCH(D714,cl_code,0))&amp;"","Client inconnu"),IF(A714="BR",IFERROR(INDEX(fo_name,MATCH(D714,fo_code,0))&amp;"","Fournisseur inconnu"),IF(A714="BS",IF(ISNA(MATCH(D714,p_services,0)),"Service inconnu",D714&amp;""),""))))</f>
        <v/>
      </c>
      <c r="F714" s="58" t="n"/>
      <c r="G714" s="58" t="n"/>
      <c r="H714" s="59" t="n"/>
      <c r="I714" s="57" t="str">
        <f>IF(H714="","",IFERROR(INDEX(art_des,MATCH(H714,art_ref,0))&amp;"","Article inconnu"))</f>
        <v/>
      </c>
      <c r="J714" s="60" t="str">
        <f>IF(H714="","",IFERROR(INDEX(art_unit,MATCH(H714,art_ref,0))&amp;"",""))</f>
        <v/>
      </c>
      <c r="K714" s="59" t="n"/>
      <c r="L714" s="59" t="n"/>
      <c r="M714" s="61" t="str">
        <f>IF(OR(B714="",NOT(ISNUMBER(K714)),NOT(ISNUMBER(L714))),"",IF(OR(K714&lt;=0,L714&lt;=0),"",ROUND(L714-K714,6)))</f>
        <v/>
      </c>
      <c r="N714" s="58" t="n"/>
      <c r="O714" s="62" t="n"/>
      <c r="P714" s="63" t="str">
        <f>IF(OR(B714="",NOT(ISNUMBER(L714))),"",IF(L714&lt;=0,"",IFERROR(ROUND(L714*N(INDEX(art_w,MATCH(H714,art_ref,0))),3),"")))</f>
        <v/>
      </c>
      <c r="Q714" s="59" t="n"/>
      <c r="R714" s="54" t="n"/>
      <c r="S714" s="59" t="n"/>
      <c r="T714" s="59" t="n"/>
      <c r="U714" s="64" t="str">
        <f>IF(OR(B714="",H714=""),"",IFERROR(IF(A714="BL",IF(N(INDEX(art_price,MATCH(H714,art_ref,0)))=0,"",N(INDEX(art_price,MATCH(H714,art_ref,0)))),IF(N(INDEX(art_cost,MATCH(H714,art_ref,0)))=0,"",N(INDEX(art_cost,MATCH(H714,art_ref,0))))),""))</f>
        <v/>
      </c>
      <c r="V714" s="64" t="str">
        <f>IF(OR(U714="",NOT(ISNUMBER(L714))),"",IF(L714&lt;=0,"",ROUND(L714*U714,2)))</f>
        <v/>
      </c>
      <c r="W714" s="60" t="str">
        <f>IF(AND(B714&lt;&gt;"",A714&lt;&gt;"BS",F714&lt;&gt;"",H714&lt;&gt;"",ISNUMBER(K714),ISNUMBER(L714)),IF(AND(K714&gt;0,L714&gt;0,K714-L714&gt;0,COUNTIFS(A715:A$2005,A714,F715:F$2005,F714,H715:H$2005,H714,AA715:AA$2005,"&gt;0")=0),ROUND(K714-L714,6),""),"")</f>
        <v/>
      </c>
      <c r="X714" s="60" t="str">
        <f>IF(AND(A714="",C714="",D714="",H714="",L714=""),"",IF(A714="","Type manquant",IF(AND(A714&lt;&gt;"BL",A714&lt;&gt;"BR",A714&lt;&gt;"BS"),"Type inconnu (BL, BR ou BS)",IF(AG714=0,"Date manquante ou invalide",IF(D714="",IF(A714="BL","Client manquant",IF(A714="BR","Fournisseur manquant","Service manquant")),IF(IF(A714="BL",ISNA(MATCH(D714,cl_code,0)),IF(A714="BR",ISNA(MATCH(D714,fo_code,0)),ISNA(MATCH(D714,p_services,0)))),IF(A714="BL","Client inconnu",IF(A714="BR","Fournisseur inconnu","Service inconnu")),IF(H714="","Article manquant",IF(ISNA(MATCH(H714,art_ref,0)),"Article inconnu",IF(OR(NOT(ISNUMBER(L714)),N(L714)&lt;=0),"Quantité invalide",IF(AND(K714&lt;&gt;"",OR(NOT(ISNUMBER(K714)),N(K714)&lt;=0)),"Qté commandée invalide",IF(AG714&lt;SUMPRODUCT(MAX((A$6:A713=A714)*AG$6:AG713)),"Date antérieure au bon précédent",IF(AND(A714&lt;&gt;"BR",ISNUMBER(M714),N(M714)&gt;0),IF(A714="BL","Livré plus que commandé","Sorti plus que demandé"),"OK"))))))))))))</f>
        <v/>
      </c>
      <c r="Y714" s="57" t="str">
        <f>IF(AND(OR(A714="BL",A714="BR",A714="BS"),AG714&gt;0,D714&lt;&gt;""),A714&amp;"|"&amp;AG714&amp;"|"&amp;D714&amp;"|"&amp;F714,"")</f>
        <v/>
      </c>
      <c r="Z714" s="57" t="str">
        <f>IF(Y714="","",IF(COUNTIF(Y$6:Y713,Y714)=0,1,0))</f>
        <v/>
      </c>
      <c r="AA714" s="57" t="str">
        <f>IF(Y714="","",IF(Z714=1,COUNTIFS(A$6:A714,A714,Z$6:Z714,1),INDEX(AA$6:AA713,MATCH(Y714,Y$6:Y713,0))))</f>
        <v/>
      </c>
      <c r="AB714" s="57" t="str">
        <f>IF(B714="","",COUNTIF(B$6:B714,B714))</f>
        <v/>
      </c>
      <c r="AC714" s="57" t="str">
        <f>IF(B714="","",B714&amp;"#"&amp;AB714)</f>
        <v/>
      </c>
      <c r="AD714" s="57" t="str">
        <f>IF(Z714=1,A714&amp;AA714,"")</f>
        <v/>
      </c>
      <c r="AE714" s="57" t="str">
        <f>IF(B714="","",YEAR(C714))</f>
        <v/>
      </c>
      <c r="AF714" s="57" t="str">
        <f>IF(B714="","",MONTH(C714))</f>
        <v/>
      </c>
      <c r="AG714" s="57">
        <f>IF(ISNUMBER(C714),C714,0)</f>
        <v>0.0</v>
      </c>
      <c r="AH714" s="57" t="str">
        <f>IF(N(W714)&gt;0,COUNTIF(W$6:W714,"&gt;0"),"")</f>
        <v/>
      </c>
      <c r="AI714" s="57" t="str">
        <f>IF(Z714=1,COUNTIF(Z$6:Z714,1),"")</f>
        <v/>
      </c>
    </row>
    <row r="715">
      <c r="A715" s="54" t="n"/>
      <c r="B715" s="55" t="str">
        <f>IF(AA715="","",A715&amp;"-"&amp;RIGHT("000"&amp;AA715,4))</f>
        <v/>
      </c>
      <c r="C715" s="56" t="n"/>
      <c r="D715" s="54" t="n"/>
      <c r="E715" s="57" t="str">
        <f>IF(D715="","",IF(A715="BL",IFERROR(INDEX(cl_name,MATCH(D715,cl_code,0))&amp;"","Client inconnu"),IF(A715="BR",IFERROR(INDEX(fo_name,MATCH(D715,fo_code,0))&amp;"","Fournisseur inconnu"),IF(A715="BS",IF(ISNA(MATCH(D715,p_services,0)),"Service inconnu",D715&amp;""),""))))</f>
        <v/>
      </c>
      <c r="F715" s="58" t="n"/>
      <c r="G715" s="58" t="n"/>
      <c r="H715" s="59" t="n"/>
      <c r="I715" s="57" t="str">
        <f>IF(H715="","",IFERROR(INDEX(art_des,MATCH(H715,art_ref,0))&amp;"","Article inconnu"))</f>
        <v/>
      </c>
      <c r="J715" s="60" t="str">
        <f>IF(H715="","",IFERROR(INDEX(art_unit,MATCH(H715,art_ref,0))&amp;"",""))</f>
        <v/>
      </c>
      <c r="K715" s="59" t="n"/>
      <c r="L715" s="59" t="n"/>
      <c r="M715" s="61" t="str">
        <f>IF(OR(B715="",NOT(ISNUMBER(K715)),NOT(ISNUMBER(L715))),"",IF(OR(K715&lt;=0,L715&lt;=0),"",ROUND(L715-K715,6)))</f>
        <v/>
      </c>
      <c r="N715" s="58" t="n"/>
      <c r="O715" s="62" t="n"/>
      <c r="P715" s="63" t="str">
        <f>IF(OR(B715="",NOT(ISNUMBER(L715))),"",IF(L715&lt;=0,"",IFERROR(ROUND(L715*N(INDEX(art_w,MATCH(H715,art_ref,0))),3),"")))</f>
        <v/>
      </c>
      <c r="Q715" s="59" t="n"/>
      <c r="R715" s="54" t="n"/>
      <c r="S715" s="59" t="n"/>
      <c r="T715" s="59" t="n"/>
      <c r="U715" s="64" t="str">
        <f>IF(OR(B715="",H715=""),"",IFERROR(IF(A715="BL",IF(N(INDEX(art_price,MATCH(H715,art_ref,0)))=0,"",N(INDEX(art_price,MATCH(H715,art_ref,0)))),IF(N(INDEX(art_cost,MATCH(H715,art_ref,0)))=0,"",N(INDEX(art_cost,MATCH(H715,art_ref,0))))),""))</f>
        <v/>
      </c>
      <c r="V715" s="64" t="str">
        <f>IF(OR(U715="",NOT(ISNUMBER(L715))),"",IF(L715&lt;=0,"",ROUND(L715*U715,2)))</f>
        <v/>
      </c>
      <c r="W715" s="60" t="str">
        <f>IF(AND(B715&lt;&gt;"",A715&lt;&gt;"BS",F715&lt;&gt;"",H715&lt;&gt;"",ISNUMBER(K715),ISNUMBER(L715)),IF(AND(K715&gt;0,L715&gt;0,K715-L715&gt;0,COUNTIFS(A716:A$2005,A715,F716:F$2005,F715,H716:H$2005,H715,AA716:AA$2005,"&gt;0")=0),ROUND(K715-L715,6),""),"")</f>
        <v/>
      </c>
      <c r="X715" s="60" t="str">
        <f>IF(AND(A715="",C715="",D715="",H715="",L715=""),"",IF(A715="","Type manquant",IF(AND(A715&lt;&gt;"BL",A715&lt;&gt;"BR",A715&lt;&gt;"BS"),"Type inconnu (BL, BR ou BS)",IF(AG715=0,"Date manquante ou invalide",IF(D715="",IF(A715="BL","Client manquant",IF(A715="BR","Fournisseur manquant","Service manquant")),IF(IF(A715="BL",ISNA(MATCH(D715,cl_code,0)),IF(A715="BR",ISNA(MATCH(D715,fo_code,0)),ISNA(MATCH(D715,p_services,0)))),IF(A715="BL","Client inconnu",IF(A715="BR","Fournisseur inconnu","Service inconnu")),IF(H715="","Article manquant",IF(ISNA(MATCH(H715,art_ref,0)),"Article inconnu",IF(OR(NOT(ISNUMBER(L715)),N(L715)&lt;=0),"Quantité invalide",IF(AND(K715&lt;&gt;"",OR(NOT(ISNUMBER(K715)),N(K715)&lt;=0)),"Qté commandée invalide",IF(AG715&lt;SUMPRODUCT(MAX((A$6:A714=A715)*AG$6:AG714)),"Date antérieure au bon précédent",IF(AND(A715&lt;&gt;"BR",ISNUMBER(M715),N(M715)&gt;0),IF(A715="BL","Livré plus que commandé","Sorti plus que demandé"),"OK"))))))))))))</f>
        <v/>
      </c>
      <c r="Y715" s="57" t="str">
        <f>IF(AND(OR(A715="BL",A715="BR",A715="BS"),AG715&gt;0,D715&lt;&gt;""),A715&amp;"|"&amp;AG715&amp;"|"&amp;D715&amp;"|"&amp;F715,"")</f>
        <v/>
      </c>
      <c r="Z715" s="57" t="str">
        <f>IF(Y715="","",IF(COUNTIF(Y$6:Y714,Y715)=0,1,0))</f>
        <v/>
      </c>
      <c r="AA715" s="57" t="str">
        <f>IF(Y715="","",IF(Z715=1,COUNTIFS(A$6:A715,A715,Z$6:Z715,1),INDEX(AA$6:AA714,MATCH(Y715,Y$6:Y714,0))))</f>
        <v/>
      </c>
      <c r="AB715" s="57" t="str">
        <f>IF(B715="","",COUNTIF(B$6:B715,B715))</f>
        <v/>
      </c>
      <c r="AC715" s="57" t="str">
        <f>IF(B715="","",B715&amp;"#"&amp;AB715)</f>
        <v/>
      </c>
      <c r="AD715" s="57" t="str">
        <f>IF(Z715=1,A715&amp;AA715,"")</f>
        <v/>
      </c>
      <c r="AE715" s="57" t="str">
        <f>IF(B715="","",YEAR(C715))</f>
        <v/>
      </c>
      <c r="AF715" s="57" t="str">
        <f>IF(B715="","",MONTH(C715))</f>
        <v/>
      </c>
      <c r="AG715" s="57">
        <f>IF(ISNUMBER(C715),C715,0)</f>
        <v>0.0</v>
      </c>
      <c r="AH715" s="57" t="str">
        <f>IF(N(W715)&gt;0,COUNTIF(W$6:W715,"&gt;0"),"")</f>
        <v/>
      </c>
      <c r="AI715" s="57" t="str">
        <f>IF(Z715=1,COUNTIF(Z$6:Z715,1),"")</f>
        <v/>
      </c>
    </row>
    <row r="716">
      <c r="A716" s="54" t="n"/>
      <c r="B716" s="55" t="str">
        <f>IF(AA716="","",A716&amp;"-"&amp;RIGHT("000"&amp;AA716,4))</f>
        <v/>
      </c>
      <c r="C716" s="56" t="n"/>
      <c r="D716" s="54" t="n"/>
      <c r="E716" s="57" t="str">
        <f>IF(D716="","",IF(A716="BL",IFERROR(INDEX(cl_name,MATCH(D716,cl_code,0))&amp;"","Client inconnu"),IF(A716="BR",IFERROR(INDEX(fo_name,MATCH(D716,fo_code,0))&amp;"","Fournisseur inconnu"),IF(A716="BS",IF(ISNA(MATCH(D716,p_services,0)),"Service inconnu",D716&amp;""),""))))</f>
        <v/>
      </c>
      <c r="F716" s="58" t="n"/>
      <c r="G716" s="58" t="n"/>
      <c r="H716" s="59" t="n"/>
      <c r="I716" s="57" t="str">
        <f>IF(H716="","",IFERROR(INDEX(art_des,MATCH(H716,art_ref,0))&amp;"","Article inconnu"))</f>
        <v/>
      </c>
      <c r="J716" s="60" t="str">
        <f>IF(H716="","",IFERROR(INDEX(art_unit,MATCH(H716,art_ref,0))&amp;"",""))</f>
        <v/>
      </c>
      <c r="K716" s="59" t="n"/>
      <c r="L716" s="59" t="n"/>
      <c r="M716" s="61" t="str">
        <f>IF(OR(B716="",NOT(ISNUMBER(K716)),NOT(ISNUMBER(L716))),"",IF(OR(K716&lt;=0,L716&lt;=0),"",ROUND(L716-K716,6)))</f>
        <v/>
      </c>
      <c r="N716" s="58" t="n"/>
      <c r="O716" s="62" t="n"/>
      <c r="P716" s="63" t="str">
        <f>IF(OR(B716="",NOT(ISNUMBER(L716))),"",IF(L716&lt;=0,"",IFERROR(ROUND(L716*N(INDEX(art_w,MATCH(H716,art_ref,0))),3),"")))</f>
        <v/>
      </c>
      <c r="Q716" s="59" t="n"/>
      <c r="R716" s="54" t="n"/>
      <c r="S716" s="59" t="n"/>
      <c r="T716" s="59" t="n"/>
      <c r="U716" s="64" t="str">
        <f>IF(OR(B716="",H716=""),"",IFERROR(IF(A716="BL",IF(N(INDEX(art_price,MATCH(H716,art_ref,0)))=0,"",N(INDEX(art_price,MATCH(H716,art_ref,0)))),IF(N(INDEX(art_cost,MATCH(H716,art_ref,0)))=0,"",N(INDEX(art_cost,MATCH(H716,art_ref,0))))),""))</f>
        <v/>
      </c>
      <c r="V716" s="64" t="str">
        <f>IF(OR(U716="",NOT(ISNUMBER(L716))),"",IF(L716&lt;=0,"",ROUND(L716*U716,2)))</f>
        <v/>
      </c>
      <c r="W716" s="60" t="str">
        <f>IF(AND(B716&lt;&gt;"",A716&lt;&gt;"BS",F716&lt;&gt;"",H716&lt;&gt;"",ISNUMBER(K716),ISNUMBER(L716)),IF(AND(K716&gt;0,L716&gt;0,K716-L716&gt;0,COUNTIFS(A717:A$2005,A716,F717:F$2005,F716,H717:H$2005,H716,AA717:AA$2005,"&gt;0")=0),ROUND(K716-L716,6),""),"")</f>
        <v/>
      </c>
      <c r="X716" s="60" t="str">
        <f>IF(AND(A716="",C716="",D716="",H716="",L716=""),"",IF(A716="","Type manquant",IF(AND(A716&lt;&gt;"BL",A716&lt;&gt;"BR",A716&lt;&gt;"BS"),"Type inconnu (BL, BR ou BS)",IF(AG716=0,"Date manquante ou invalide",IF(D716="",IF(A716="BL","Client manquant",IF(A716="BR","Fournisseur manquant","Service manquant")),IF(IF(A716="BL",ISNA(MATCH(D716,cl_code,0)),IF(A716="BR",ISNA(MATCH(D716,fo_code,0)),ISNA(MATCH(D716,p_services,0)))),IF(A716="BL","Client inconnu",IF(A716="BR","Fournisseur inconnu","Service inconnu")),IF(H716="","Article manquant",IF(ISNA(MATCH(H716,art_ref,0)),"Article inconnu",IF(OR(NOT(ISNUMBER(L716)),N(L716)&lt;=0),"Quantité invalide",IF(AND(K716&lt;&gt;"",OR(NOT(ISNUMBER(K716)),N(K716)&lt;=0)),"Qté commandée invalide",IF(AG716&lt;SUMPRODUCT(MAX((A$6:A715=A716)*AG$6:AG715)),"Date antérieure au bon précédent",IF(AND(A716&lt;&gt;"BR",ISNUMBER(M716),N(M716)&gt;0),IF(A716="BL","Livré plus que commandé","Sorti plus que demandé"),"OK"))))))))))))</f>
        <v/>
      </c>
      <c r="Y716" s="57" t="str">
        <f>IF(AND(OR(A716="BL",A716="BR",A716="BS"),AG716&gt;0,D716&lt;&gt;""),A716&amp;"|"&amp;AG716&amp;"|"&amp;D716&amp;"|"&amp;F716,"")</f>
        <v/>
      </c>
      <c r="Z716" s="57" t="str">
        <f>IF(Y716="","",IF(COUNTIF(Y$6:Y715,Y716)=0,1,0))</f>
        <v/>
      </c>
      <c r="AA716" s="57" t="str">
        <f>IF(Y716="","",IF(Z716=1,COUNTIFS(A$6:A716,A716,Z$6:Z716,1),INDEX(AA$6:AA715,MATCH(Y716,Y$6:Y715,0))))</f>
        <v/>
      </c>
      <c r="AB716" s="57" t="str">
        <f>IF(B716="","",COUNTIF(B$6:B716,B716))</f>
        <v/>
      </c>
      <c r="AC716" s="57" t="str">
        <f>IF(B716="","",B716&amp;"#"&amp;AB716)</f>
        <v/>
      </c>
      <c r="AD716" s="57" t="str">
        <f>IF(Z716=1,A716&amp;AA716,"")</f>
        <v/>
      </c>
      <c r="AE716" s="57" t="str">
        <f>IF(B716="","",YEAR(C716))</f>
        <v/>
      </c>
      <c r="AF716" s="57" t="str">
        <f>IF(B716="","",MONTH(C716))</f>
        <v/>
      </c>
      <c r="AG716" s="57">
        <f>IF(ISNUMBER(C716),C716,0)</f>
        <v>0.0</v>
      </c>
      <c r="AH716" s="57" t="str">
        <f>IF(N(W716)&gt;0,COUNTIF(W$6:W716,"&gt;0"),"")</f>
        <v/>
      </c>
      <c r="AI716" s="57" t="str">
        <f>IF(Z716=1,COUNTIF(Z$6:Z716,1),"")</f>
        <v/>
      </c>
    </row>
    <row r="717">
      <c r="A717" s="54" t="n"/>
      <c r="B717" s="55" t="str">
        <f>IF(AA717="","",A717&amp;"-"&amp;RIGHT("000"&amp;AA717,4))</f>
        <v/>
      </c>
      <c r="C717" s="56" t="n"/>
      <c r="D717" s="54" t="n"/>
      <c r="E717" s="57" t="str">
        <f>IF(D717="","",IF(A717="BL",IFERROR(INDEX(cl_name,MATCH(D717,cl_code,0))&amp;"","Client inconnu"),IF(A717="BR",IFERROR(INDEX(fo_name,MATCH(D717,fo_code,0))&amp;"","Fournisseur inconnu"),IF(A717="BS",IF(ISNA(MATCH(D717,p_services,0)),"Service inconnu",D717&amp;""),""))))</f>
        <v/>
      </c>
      <c r="F717" s="58" t="n"/>
      <c r="G717" s="58" t="n"/>
      <c r="H717" s="59" t="n"/>
      <c r="I717" s="57" t="str">
        <f>IF(H717="","",IFERROR(INDEX(art_des,MATCH(H717,art_ref,0))&amp;"","Article inconnu"))</f>
        <v/>
      </c>
      <c r="J717" s="60" t="str">
        <f>IF(H717="","",IFERROR(INDEX(art_unit,MATCH(H717,art_ref,0))&amp;"",""))</f>
        <v/>
      </c>
      <c r="K717" s="59" t="n"/>
      <c r="L717" s="59" t="n"/>
      <c r="M717" s="61" t="str">
        <f>IF(OR(B717="",NOT(ISNUMBER(K717)),NOT(ISNUMBER(L717))),"",IF(OR(K717&lt;=0,L717&lt;=0),"",ROUND(L717-K717,6)))</f>
        <v/>
      </c>
      <c r="N717" s="58" t="n"/>
      <c r="O717" s="62" t="n"/>
      <c r="P717" s="63" t="str">
        <f>IF(OR(B717="",NOT(ISNUMBER(L717))),"",IF(L717&lt;=0,"",IFERROR(ROUND(L717*N(INDEX(art_w,MATCH(H717,art_ref,0))),3),"")))</f>
        <v/>
      </c>
      <c r="Q717" s="59" t="n"/>
      <c r="R717" s="54" t="n"/>
      <c r="S717" s="59" t="n"/>
      <c r="T717" s="59" t="n"/>
      <c r="U717" s="64" t="str">
        <f>IF(OR(B717="",H717=""),"",IFERROR(IF(A717="BL",IF(N(INDEX(art_price,MATCH(H717,art_ref,0)))=0,"",N(INDEX(art_price,MATCH(H717,art_ref,0)))),IF(N(INDEX(art_cost,MATCH(H717,art_ref,0)))=0,"",N(INDEX(art_cost,MATCH(H717,art_ref,0))))),""))</f>
        <v/>
      </c>
      <c r="V717" s="64" t="str">
        <f>IF(OR(U717="",NOT(ISNUMBER(L717))),"",IF(L717&lt;=0,"",ROUND(L717*U717,2)))</f>
        <v/>
      </c>
      <c r="W717" s="60" t="str">
        <f>IF(AND(B717&lt;&gt;"",A717&lt;&gt;"BS",F717&lt;&gt;"",H717&lt;&gt;"",ISNUMBER(K717),ISNUMBER(L717)),IF(AND(K717&gt;0,L717&gt;0,K717-L717&gt;0,COUNTIFS(A718:A$2005,A717,F718:F$2005,F717,H718:H$2005,H717,AA718:AA$2005,"&gt;0")=0),ROUND(K717-L717,6),""),"")</f>
        <v/>
      </c>
      <c r="X717" s="60" t="str">
        <f>IF(AND(A717="",C717="",D717="",H717="",L717=""),"",IF(A717="","Type manquant",IF(AND(A717&lt;&gt;"BL",A717&lt;&gt;"BR",A717&lt;&gt;"BS"),"Type inconnu (BL, BR ou BS)",IF(AG717=0,"Date manquante ou invalide",IF(D717="",IF(A717="BL","Client manquant",IF(A717="BR","Fournisseur manquant","Service manquant")),IF(IF(A717="BL",ISNA(MATCH(D717,cl_code,0)),IF(A717="BR",ISNA(MATCH(D717,fo_code,0)),ISNA(MATCH(D717,p_services,0)))),IF(A717="BL","Client inconnu",IF(A717="BR","Fournisseur inconnu","Service inconnu")),IF(H717="","Article manquant",IF(ISNA(MATCH(H717,art_ref,0)),"Article inconnu",IF(OR(NOT(ISNUMBER(L717)),N(L717)&lt;=0),"Quantité invalide",IF(AND(K717&lt;&gt;"",OR(NOT(ISNUMBER(K717)),N(K717)&lt;=0)),"Qté commandée invalide",IF(AG717&lt;SUMPRODUCT(MAX((A$6:A716=A717)*AG$6:AG716)),"Date antérieure au bon précédent",IF(AND(A717&lt;&gt;"BR",ISNUMBER(M717),N(M717)&gt;0),IF(A717="BL","Livré plus que commandé","Sorti plus que demandé"),"OK"))))))))))))</f>
        <v/>
      </c>
      <c r="Y717" s="57" t="str">
        <f>IF(AND(OR(A717="BL",A717="BR",A717="BS"),AG717&gt;0,D717&lt;&gt;""),A717&amp;"|"&amp;AG717&amp;"|"&amp;D717&amp;"|"&amp;F717,"")</f>
        <v/>
      </c>
      <c r="Z717" s="57" t="str">
        <f>IF(Y717="","",IF(COUNTIF(Y$6:Y716,Y717)=0,1,0))</f>
        <v/>
      </c>
      <c r="AA717" s="57" t="str">
        <f>IF(Y717="","",IF(Z717=1,COUNTIFS(A$6:A717,A717,Z$6:Z717,1),INDEX(AA$6:AA716,MATCH(Y717,Y$6:Y716,0))))</f>
        <v/>
      </c>
      <c r="AB717" s="57" t="str">
        <f>IF(B717="","",COUNTIF(B$6:B717,B717))</f>
        <v/>
      </c>
      <c r="AC717" s="57" t="str">
        <f>IF(B717="","",B717&amp;"#"&amp;AB717)</f>
        <v/>
      </c>
      <c r="AD717" s="57" t="str">
        <f>IF(Z717=1,A717&amp;AA717,"")</f>
        <v/>
      </c>
      <c r="AE717" s="57" t="str">
        <f>IF(B717="","",YEAR(C717))</f>
        <v/>
      </c>
      <c r="AF717" s="57" t="str">
        <f>IF(B717="","",MONTH(C717))</f>
        <v/>
      </c>
      <c r="AG717" s="57">
        <f>IF(ISNUMBER(C717),C717,0)</f>
        <v>0.0</v>
      </c>
      <c r="AH717" s="57" t="str">
        <f>IF(N(W717)&gt;0,COUNTIF(W$6:W717,"&gt;0"),"")</f>
        <v/>
      </c>
      <c r="AI717" s="57" t="str">
        <f>IF(Z717=1,COUNTIF(Z$6:Z717,1),"")</f>
        <v/>
      </c>
    </row>
    <row r="718">
      <c r="A718" s="54" t="n"/>
      <c r="B718" s="55" t="str">
        <f>IF(AA718="","",A718&amp;"-"&amp;RIGHT("000"&amp;AA718,4))</f>
        <v/>
      </c>
      <c r="C718" s="56" t="n"/>
      <c r="D718" s="54" t="n"/>
      <c r="E718" s="57" t="str">
        <f>IF(D718="","",IF(A718="BL",IFERROR(INDEX(cl_name,MATCH(D718,cl_code,0))&amp;"","Client inconnu"),IF(A718="BR",IFERROR(INDEX(fo_name,MATCH(D718,fo_code,0))&amp;"","Fournisseur inconnu"),IF(A718="BS",IF(ISNA(MATCH(D718,p_services,0)),"Service inconnu",D718&amp;""),""))))</f>
        <v/>
      </c>
      <c r="F718" s="58" t="n"/>
      <c r="G718" s="58" t="n"/>
      <c r="H718" s="59" t="n"/>
      <c r="I718" s="57" t="str">
        <f>IF(H718="","",IFERROR(INDEX(art_des,MATCH(H718,art_ref,0))&amp;"","Article inconnu"))</f>
        <v/>
      </c>
      <c r="J718" s="60" t="str">
        <f>IF(H718="","",IFERROR(INDEX(art_unit,MATCH(H718,art_ref,0))&amp;"",""))</f>
        <v/>
      </c>
      <c r="K718" s="59" t="n"/>
      <c r="L718" s="59" t="n"/>
      <c r="M718" s="61" t="str">
        <f>IF(OR(B718="",NOT(ISNUMBER(K718)),NOT(ISNUMBER(L718))),"",IF(OR(K718&lt;=0,L718&lt;=0),"",ROUND(L718-K718,6)))</f>
        <v/>
      </c>
      <c r="N718" s="58" t="n"/>
      <c r="O718" s="62" t="n"/>
      <c r="P718" s="63" t="str">
        <f>IF(OR(B718="",NOT(ISNUMBER(L718))),"",IF(L718&lt;=0,"",IFERROR(ROUND(L718*N(INDEX(art_w,MATCH(H718,art_ref,0))),3),"")))</f>
        <v/>
      </c>
      <c r="Q718" s="59" t="n"/>
      <c r="R718" s="54" t="n"/>
      <c r="S718" s="59" t="n"/>
      <c r="T718" s="59" t="n"/>
      <c r="U718" s="64" t="str">
        <f>IF(OR(B718="",H718=""),"",IFERROR(IF(A718="BL",IF(N(INDEX(art_price,MATCH(H718,art_ref,0)))=0,"",N(INDEX(art_price,MATCH(H718,art_ref,0)))),IF(N(INDEX(art_cost,MATCH(H718,art_ref,0)))=0,"",N(INDEX(art_cost,MATCH(H718,art_ref,0))))),""))</f>
        <v/>
      </c>
      <c r="V718" s="64" t="str">
        <f>IF(OR(U718="",NOT(ISNUMBER(L718))),"",IF(L718&lt;=0,"",ROUND(L718*U718,2)))</f>
        <v/>
      </c>
      <c r="W718" s="60" t="str">
        <f>IF(AND(B718&lt;&gt;"",A718&lt;&gt;"BS",F718&lt;&gt;"",H718&lt;&gt;"",ISNUMBER(K718),ISNUMBER(L718)),IF(AND(K718&gt;0,L718&gt;0,K718-L718&gt;0,COUNTIFS(A719:A$2005,A718,F719:F$2005,F718,H719:H$2005,H718,AA719:AA$2005,"&gt;0")=0),ROUND(K718-L718,6),""),"")</f>
        <v/>
      </c>
      <c r="X718" s="60" t="str">
        <f>IF(AND(A718="",C718="",D718="",H718="",L718=""),"",IF(A718="","Type manquant",IF(AND(A718&lt;&gt;"BL",A718&lt;&gt;"BR",A718&lt;&gt;"BS"),"Type inconnu (BL, BR ou BS)",IF(AG718=0,"Date manquante ou invalide",IF(D718="",IF(A718="BL","Client manquant",IF(A718="BR","Fournisseur manquant","Service manquant")),IF(IF(A718="BL",ISNA(MATCH(D718,cl_code,0)),IF(A718="BR",ISNA(MATCH(D718,fo_code,0)),ISNA(MATCH(D718,p_services,0)))),IF(A718="BL","Client inconnu",IF(A718="BR","Fournisseur inconnu","Service inconnu")),IF(H718="","Article manquant",IF(ISNA(MATCH(H718,art_ref,0)),"Article inconnu",IF(OR(NOT(ISNUMBER(L718)),N(L718)&lt;=0),"Quantité invalide",IF(AND(K718&lt;&gt;"",OR(NOT(ISNUMBER(K718)),N(K718)&lt;=0)),"Qté commandée invalide",IF(AG718&lt;SUMPRODUCT(MAX((A$6:A717=A718)*AG$6:AG717)),"Date antérieure au bon précédent",IF(AND(A718&lt;&gt;"BR",ISNUMBER(M718),N(M718)&gt;0),IF(A718="BL","Livré plus que commandé","Sorti plus que demandé"),"OK"))))))))))))</f>
        <v/>
      </c>
      <c r="Y718" s="57" t="str">
        <f>IF(AND(OR(A718="BL",A718="BR",A718="BS"),AG718&gt;0,D718&lt;&gt;""),A718&amp;"|"&amp;AG718&amp;"|"&amp;D718&amp;"|"&amp;F718,"")</f>
        <v/>
      </c>
      <c r="Z718" s="57" t="str">
        <f>IF(Y718="","",IF(COUNTIF(Y$6:Y717,Y718)=0,1,0))</f>
        <v/>
      </c>
      <c r="AA718" s="57" t="str">
        <f>IF(Y718="","",IF(Z718=1,COUNTIFS(A$6:A718,A718,Z$6:Z718,1),INDEX(AA$6:AA717,MATCH(Y718,Y$6:Y717,0))))</f>
        <v/>
      </c>
      <c r="AB718" s="57" t="str">
        <f>IF(B718="","",COUNTIF(B$6:B718,B718))</f>
        <v/>
      </c>
      <c r="AC718" s="57" t="str">
        <f>IF(B718="","",B718&amp;"#"&amp;AB718)</f>
        <v/>
      </c>
      <c r="AD718" s="57" t="str">
        <f>IF(Z718=1,A718&amp;AA718,"")</f>
        <v/>
      </c>
      <c r="AE718" s="57" t="str">
        <f>IF(B718="","",YEAR(C718))</f>
        <v/>
      </c>
      <c r="AF718" s="57" t="str">
        <f>IF(B718="","",MONTH(C718))</f>
        <v/>
      </c>
      <c r="AG718" s="57">
        <f>IF(ISNUMBER(C718),C718,0)</f>
        <v>0.0</v>
      </c>
      <c r="AH718" s="57" t="str">
        <f>IF(N(W718)&gt;0,COUNTIF(W$6:W718,"&gt;0"),"")</f>
        <v/>
      </c>
      <c r="AI718" s="57" t="str">
        <f>IF(Z718=1,COUNTIF(Z$6:Z718,1),"")</f>
        <v/>
      </c>
    </row>
    <row r="719">
      <c r="A719" s="54" t="n"/>
      <c r="B719" s="55" t="str">
        <f>IF(AA719="","",A719&amp;"-"&amp;RIGHT("000"&amp;AA719,4))</f>
        <v/>
      </c>
      <c r="C719" s="56" t="n"/>
      <c r="D719" s="54" t="n"/>
      <c r="E719" s="57" t="str">
        <f>IF(D719="","",IF(A719="BL",IFERROR(INDEX(cl_name,MATCH(D719,cl_code,0))&amp;"","Client inconnu"),IF(A719="BR",IFERROR(INDEX(fo_name,MATCH(D719,fo_code,0))&amp;"","Fournisseur inconnu"),IF(A719="BS",IF(ISNA(MATCH(D719,p_services,0)),"Service inconnu",D719&amp;""),""))))</f>
        <v/>
      </c>
      <c r="F719" s="58" t="n"/>
      <c r="G719" s="58" t="n"/>
      <c r="H719" s="59" t="n"/>
      <c r="I719" s="57" t="str">
        <f>IF(H719="","",IFERROR(INDEX(art_des,MATCH(H719,art_ref,0))&amp;"","Article inconnu"))</f>
        <v/>
      </c>
      <c r="J719" s="60" t="str">
        <f>IF(H719="","",IFERROR(INDEX(art_unit,MATCH(H719,art_ref,0))&amp;"",""))</f>
        <v/>
      </c>
      <c r="K719" s="59" t="n"/>
      <c r="L719" s="59" t="n"/>
      <c r="M719" s="61" t="str">
        <f>IF(OR(B719="",NOT(ISNUMBER(K719)),NOT(ISNUMBER(L719))),"",IF(OR(K719&lt;=0,L719&lt;=0),"",ROUND(L719-K719,6)))</f>
        <v/>
      </c>
      <c r="N719" s="58" t="n"/>
      <c r="O719" s="62" t="n"/>
      <c r="P719" s="63" t="str">
        <f>IF(OR(B719="",NOT(ISNUMBER(L719))),"",IF(L719&lt;=0,"",IFERROR(ROUND(L719*N(INDEX(art_w,MATCH(H719,art_ref,0))),3),"")))</f>
        <v/>
      </c>
      <c r="Q719" s="59" t="n"/>
      <c r="R719" s="54" t="n"/>
      <c r="S719" s="59" t="n"/>
      <c r="T719" s="59" t="n"/>
      <c r="U719" s="64" t="str">
        <f>IF(OR(B719="",H719=""),"",IFERROR(IF(A719="BL",IF(N(INDEX(art_price,MATCH(H719,art_ref,0)))=0,"",N(INDEX(art_price,MATCH(H719,art_ref,0)))),IF(N(INDEX(art_cost,MATCH(H719,art_ref,0)))=0,"",N(INDEX(art_cost,MATCH(H719,art_ref,0))))),""))</f>
        <v/>
      </c>
      <c r="V719" s="64" t="str">
        <f>IF(OR(U719="",NOT(ISNUMBER(L719))),"",IF(L719&lt;=0,"",ROUND(L719*U719,2)))</f>
        <v/>
      </c>
      <c r="W719" s="60" t="str">
        <f>IF(AND(B719&lt;&gt;"",A719&lt;&gt;"BS",F719&lt;&gt;"",H719&lt;&gt;"",ISNUMBER(K719),ISNUMBER(L719)),IF(AND(K719&gt;0,L719&gt;0,K719-L719&gt;0,COUNTIFS(A720:A$2005,A719,F720:F$2005,F719,H720:H$2005,H719,AA720:AA$2005,"&gt;0")=0),ROUND(K719-L719,6),""),"")</f>
        <v/>
      </c>
      <c r="X719" s="60" t="str">
        <f>IF(AND(A719="",C719="",D719="",H719="",L719=""),"",IF(A719="","Type manquant",IF(AND(A719&lt;&gt;"BL",A719&lt;&gt;"BR",A719&lt;&gt;"BS"),"Type inconnu (BL, BR ou BS)",IF(AG719=0,"Date manquante ou invalide",IF(D719="",IF(A719="BL","Client manquant",IF(A719="BR","Fournisseur manquant","Service manquant")),IF(IF(A719="BL",ISNA(MATCH(D719,cl_code,0)),IF(A719="BR",ISNA(MATCH(D719,fo_code,0)),ISNA(MATCH(D719,p_services,0)))),IF(A719="BL","Client inconnu",IF(A719="BR","Fournisseur inconnu","Service inconnu")),IF(H719="","Article manquant",IF(ISNA(MATCH(H719,art_ref,0)),"Article inconnu",IF(OR(NOT(ISNUMBER(L719)),N(L719)&lt;=0),"Quantité invalide",IF(AND(K719&lt;&gt;"",OR(NOT(ISNUMBER(K719)),N(K719)&lt;=0)),"Qté commandée invalide",IF(AG719&lt;SUMPRODUCT(MAX((A$6:A718=A719)*AG$6:AG718)),"Date antérieure au bon précédent",IF(AND(A719&lt;&gt;"BR",ISNUMBER(M719),N(M719)&gt;0),IF(A719="BL","Livré plus que commandé","Sorti plus que demandé"),"OK"))))))))))))</f>
        <v/>
      </c>
      <c r="Y719" s="57" t="str">
        <f>IF(AND(OR(A719="BL",A719="BR",A719="BS"),AG719&gt;0,D719&lt;&gt;""),A719&amp;"|"&amp;AG719&amp;"|"&amp;D719&amp;"|"&amp;F719,"")</f>
        <v/>
      </c>
      <c r="Z719" s="57" t="str">
        <f>IF(Y719="","",IF(COUNTIF(Y$6:Y718,Y719)=0,1,0))</f>
        <v/>
      </c>
      <c r="AA719" s="57" t="str">
        <f>IF(Y719="","",IF(Z719=1,COUNTIFS(A$6:A719,A719,Z$6:Z719,1),INDEX(AA$6:AA718,MATCH(Y719,Y$6:Y718,0))))</f>
        <v/>
      </c>
      <c r="AB719" s="57" t="str">
        <f>IF(B719="","",COUNTIF(B$6:B719,B719))</f>
        <v/>
      </c>
      <c r="AC719" s="57" t="str">
        <f>IF(B719="","",B719&amp;"#"&amp;AB719)</f>
        <v/>
      </c>
      <c r="AD719" s="57" t="str">
        <f>IF(Z719=1,A719&amp;AA719,"")</f>
        <v/>
      </c>
      <c r="AE719" s="57" t="str">
        <f>IF(B719="","",YEAR(C719))</f>
        <v/>
      </c>
      <c r="AF719" s="57" t="str">
        <f>IF(B719="","",MONTH(C719))</f>
        <v/>
      </c>
      <c r="AG719" s="57">
        <f>IF(ISNUMBER(C719),C719,0)</f>
        <v>0.0</v>
      </c>
      <c r="AH719" s="57" t="str">
        <f>IF(N(W719)&gt;0,COUNTIF(W$6:W719,"&gt;0"),"")</f>
        <v/>
      </c>
      <c r="AI719" s="57" t="str">
        <f>IF(Z719=1,COUNTIF(Z$6:Z719,1),"")</f>
        <v/>
      </c>
    </row>
    <row r="720">
      <c r="A720" s="54" t="n"/>
      <c r="B720" s="55" t="str">
        <f>IF(AA720="","",A720&amp;"-"&amp;RIGHT("000"&amp;AA720,4))</f>
        <v/>
      </c>
      <c r="C720" s="56" t="n"/>
      <c r="D720" s="54" t="n"/>
      <c r="E720" s="57" t="str">
        <f>IF(D720="","",IF(A720="BL",IFERROR(INDEX(cl_name,MATCH(D720,cl_code,0))&amp;"","Client inconnu"),IF(A720="BR",IFERROR(INDEX(fo_name,MATCH(D720,fo_code,0))&amp;"","Fournisseur inconnu"),IF(A720="BS",IF(ISNA(MATCH(D720,p_services,0)),"Service inconnu",D720&amp;""),""))))</f>
        <v/>
      </c>
      <c r="F720" s="58" t="n"/>
      <c r="G720" s="58" t="n"/>
      <c r="H720" s="59" t="n"/>
      <c r="I720" s="57" t="str">
        <f>IF(H720="","",IFERROR(INDEX(art_des,MATCH(H720,art_ref,0))&amp;"","Article inconnu"))</f>
        <v/>
      </c>
      <c r="J720" s="60" t="str">
        <f>IF(H720="","",IFERROR(INDEX(art_unit,MATCH(H720,art_ref,0))&amp;"",""))</f>
        <v/>
      </c>
      <c r="K720" s="59" t="n"/>
      <c r="L720" s="59" t="n"/>
      <c r="M720" s="61" t="str">
        <f>IF(OR(B720="",NOT(ISNUMBER(K720)),NOT(ISNUMBER(L720))),"",IF(OR(K720&lt;=0,L720&lt;=0),"",ROUND(L720-K720,6)))</f>
        <v/>
      </c>
      <c r="N720" s="58" t="n"/>
      <c r="O720" s="62" t="n"/>
      <c r="P720" s="63" t="str">
        <f>IF(OR(B720="",NOT(ISNUMBER(L720))),"",IF(L720&lt;=0,"",IFERROR(ROUND(L720*N(INDEX(art_w,MATCH(H720,art_ref,0))),3),"")))</f>
        <v/>
      </c>
      <c r="Q720" s="59" t="n"/>
      <c r="R720" s="54" t="n"/>
      <c r="S720" s="59" t="n"/>
      <c r="T720" s="59" t="n"/>
      <c r="U720" s="64" t="str">
        <f>IF(OR(B720="",H720=""),"",IFERROR(IF(A720="BL",IF(N(INDEX(art_price,MATCH(H720,art_ref,0)))=0,"",N(INDEX(art_price,MATCH(H720,art_ref,0)))),IF(N(INDEX(art_cost,MATCH(H720,art_ref,0)))=0,"",N(INDEX(art_cost,MATCH(H720,art_ref,0))))),""))</f>
        <v/>
      </c>
      <c r="V720" s="64" t="str">
        <f>IF(OR(U720="",NOT(ISNUMBER(L720))),"",IF(L720&lt;=0,"",ROUND(L720*U720,2)))</f>
        <v/>
      </c>
      <c r="W720" s="60" t="str">
        <f>IF(AND(B720&lt;&gt;"",A720&lt;&gt;"BS",F720&lt;&gt;"",H720&lt;&gt;"",ISNUMBER(K720),ISNUMBER(L720)),IF(AND(K720&gt;0,L720&gt;0,K720-L720&gt;0,COUNTIFS(A721:A$2005,A720,F721:F$2005,F720,H721:H$2005,H720,AA721:AA$2005,"&gt;0")=0),ROUND(K720-L720,6),""),"")</f>
        <v/>
      </c>
      <c r="X720" s="60" t="str">
        <f>IF(AND(A720="",C720="",D720="",H720="",L720=""),"",IF(A720="","Type manquant",IF(AND(A720&lt;&gt;"BL",A720&lt;&gt;"BR",A720&lt;&gt;"BS"),"Type inconnu (BL, BR ou BS)",IF(AG720=0,"Date manquante ou invalide",IF(D720="",IF(A720="BL","Client manquant",IF(A720="BR","Fournisseur manquant","Service manquant")),IF(IF(A720="BL",ISNA(MATCH(D720,cl_code,0)),IF(A720="BR",ISNA(MATCH(D720,fo_code,0)),ISNA(MATCH(D720,p_services,0)))),IF(A720="BL","Client inconnu",IF(A720="BR","Fournisseur inconnu","Service inconnu")),IF(H720="","Article manquant",IF(ISNA(MATCH(H720,art_ref,0)),"Article inconnu",IF(OR(NOT(ISNUMBER(L720)),N(L720)&lt;=0),"Quantité invalide",IF(AND(K720&lt;&gt;"",OR(NOT(ISNUMBER(K720)),N(K720)&lt;=0)),"Qté commandée invalide",IF(AG720&lt;SUMPRODUCT(MAX((A$6:A719=A720)*AG$6:AG719)),"Date antérieure au bon précédent",IF(AND(A720&lt;&gt;"BR",ISNUMBER(M720),N(M720)&gt;0),IF(A720="BL","Livré plus que commandé","Sorti plus que demandé"),"OK"))))))))))))</f>
        <v/>
      </c>
      <c r="Y720" s="57" t="str">
        <f>IF(AND(OR(A720="BL",A720="BR",A720="BS"),AG720&gt;0,D720&lt;&gt;""),A720&amp;"|"&amp;AG720&amp;"|"&amp;D720&amp;"|"&amp;F720,"")</f>
        <v/>
      </c>
      <c r="Z720" s="57" t="str">
        <f>IF(Y720="","",IF(COUNTIF(Y$6:Y719,Y720)=0,1,0))</f>
        <v/>
      </c>
      <c r="AA720" s="57" t="str">
        <f>IF(Y720="","",IF(Z720=1,COUNTIFS(A$6:A720,A720,Z$6:Z720,1),INDEX(AA$6:AA719,MATCH(Y720,Y$6:Y719,0))))</f>
        <v/>
      </c>
      <c r="AB720" s="57" t="str">
        <f>IF(B720="","",COUNTIF(B$6:B720,B720))</f>
        <v/>
      </c>
      <c r="AC720" s="57" t="str">
        <f>IF(B720="","",B720&amp;"#"&amp;AB720)</f>
        <v/>
      </c>
      <c r="AD720" s="57" t="str">
        <f>IF(Z720=1,A720&amp;AA720,"")</f>
        <v/>
      </c>
      <c r="AE720" s="57" t="str">
        <f>IF(B720="","",YEAR(C720))</f>
        <v/>
      </c>
      <c r="AF720" s="57" t="str">
        <f>IF(B720="","",MONTH(C720))</f>
        <v/>
      </c>
      <c r="AG720" s="57">
        <f>IF(ISNUMBER(C720),C720,0)</f>
        <v>0.0</v>
      </c>
      <c r="AH720" s="57" t="str">
        <f>IF(N(W720)&gt;0,COUNTIF(W$6:W720,"&gt;0"),"")</f>
        <v/>
      </c>
      <c r="AI720" s="57" t="str">
        <f>IF(Z720=1,COUNTIF(Z$6:Z720,1),"")</f>
        <v/>
      </c>
    </row>
    <row r="721">
      <c r="A721" s="54" t="n"/>
      <c r="B721" s="55" t="str">
        <f>IF(AA721="","",A721&amp;"-"&amp;RIGHT("000"&amp;AA721,4))</f>
        <v/>
      </c>
      <c r="C721" s="56" t="n"/>
      <c r="D721" s="54" t="n"/>
      <c r="E721" s="57" t="str">
        <f>IF(D721="","",IF(A721="BL",IFERROR(INDEX(cl_name,MATCH(D721,cl_code,0))&amp;"","Client inconnu"),IF(A721="BR",IFERROR(INDEX(fo_name,MATCH(D721,fo_code,0))&amp;"","Fournisseur inconnu"),IF(A721="BS",IF(ISNA(MATCH(D721,p_services,0)),"Service inconnu",D721&amp;""),""))))</f>
        <v/>
      </c>
      <c r="F721" s="58" t="n"/>
      <c r="G721" s="58" t="n"/>
      <c r="H721" s="59" t="n"/>
      <c r="I721" s="57" t="str">
        <f>IF(H721="","",IFERROR(INDEX(art_des,MATCH(H721,art_ref,0))&amp;"","Article inconnu"))</f>
        <v/>
      </c>
      <c r="J721" s="60" t="str">
        <f>IF(H721="","",IFERROR(INDEX(art_unit,MATCH(H721,art_ref,0))&amp;"",""))</f>
        <v/>
      </c>
      <c r="K721" s="59" t="n"/>
      <c r="L721" s="59" t="n"/>
      <c r="M721" s="61" t="str">
        <f>IF(OR(B721="",NOT(ISNUMBER(K721)),NOT(ISNUMBER(L721))),"",IF(OR(K721&lt;=0,L721&lt;=0),"",ROUND(L721-K721,6)))</f>
        <v/>
      </c>
      <c r="N721" s="58" t="n"/>
      <c r="O721" s="62" t="n"/>
      <c r="P721" s="63" t="str">
        <f>IF(OR(B721="",NOT(ISNUMBER(L721))),"",IF(L721&lt;=0,"",IFERROR(ROUND(L721*N(INDEX(art_w,MATCH(H721,art_ref,0))),3),"")))</f>
        <v/>
      </c>
      <c r="Q721" s="59" t="n"/>
      <c r="R721" s="54" t="n"/>
      <c r="S721" s="59" t="n"/>
      <c r="T721" s="59" t="n"/>
      <c r="U721" s="64" t="str">
        <f>IF(OR(B721="",H721=""),"",IFERROR(IF(A721="BL",IF(N(INDEX(art_price,MATCH(H721,art_ref,0)))=0,"",N(INDEX(art_price,MATCH(H721,art_ref,0)))),IF(N(INDEX(art_cost,MATCH(H721,art_ref,0)))=0,"",N(INDEX(art_cost,MATCH(H721,art_ref,0))))),""))</f>
        <v/>
      </c>
      <c r="V721" s="64" t="str">
        <f>IF(OR(U721="",NOT(ISNUMBER(L721))),"",IF(L721&lt;=0,"",ROUND(L721*U721,2)))</f>
        <v/>
      </c>
      <c r="W721" s="60" t="str">
        <f>IF(AND(B721&lt;&gt;"",A721&lt;&gt;"BS",F721&lt;&gt;"",H721&lt;&gt;"",ISNUMBER(K721),ISNUMBER(L721)),IF(AND(K721&gt;0,L721&gt;0,K721-L721&gt;0,COUNTIFS(A722:A$2005,A721,F722:F$2005,F721,H722:H$2005,H721,AA722:AA$2005,"&gt;0")=0),ROUND(K721-L721,6),""),"")</f>
        <v/>
      </c>
      <c r="X721" s="60" t="str">
        <f>IF(AND(A721="",C721="",D721="",H721="",L721=""),"",IF(A721="","Type manquant",IF(AND(A721&lt;&gt;"BL",A721&lt;&gt;"BR",A721&lt;&gt;"BS"),"Type inconnu (BL, BR ou BS)",IF(AG721=0,"Date manquante ou invalide",IF(D721="",IF(A721="BL","Client manquant",IF(A721="BR","Fournisseur manquant","Service manquant")),IF(IF(A721="BL",ISNA(MATCH(D721,cl_code,0)),IF(A721="BR",ISNA(MATCH(D721,fo_code,0)),ISNA(MATCH(D721,p_services,0)))),IF(A721="BL","Client inconnu",IF(A721="BR","Fournisseur inconnu","Service inconnu")),IF(H721="","Article manquant",IF(ISNA(MATCH(H721,art_ref,0)),"Article inconnu",IF(OR(NOT(ISNUMBER(L721)),N(L721)&lt;=0),"Quantité invalide",IF(AND(K721&lt;&gt;"",OR(NOT(ISNUMBER(K721)),N(K721)&lt;=0)),"Qté commandée invalide",IF(AG721&lt;SUMPRODUCT(MAX((A$6:A720=A721)*AG$6:AG720)),"Date antérieure au bon précédent",IF(AND(A721&lt;&gt;"BR",ISNUMBER(M721),N(M721)&gt;0),IF(A721="BL","Livré plus que commandé","Sorti plus que demandé"),"OK"))))))))))))</f>
        <v/>
      </c>
      <c r="Y721" s="57" t="str">
        <f>IF(AND(OR(A721="BL",A721="BR",A721="BS"),AG721&gt;0,D721&lt;&gt;""),A721&amp;"|"&amp;AG721&amp;"|"&amp;D721&amp;"|"&amp;F721,"")</f>
        <v/>
      </c>
      <c r="Z721" s="57" t="str">
        <f>IF(Y721="","",IF(COUNTIF(Y$6:Y720,Y721)=0,1,0))</f>
        <v/>
      </c>
      <c r="AA721" s="57" t="str">
        <f>IF(Y721="","",IF(Z721=1,COUNTIFS(A$6:A721,A721,Z$6:Z721,1),INDEX(AA$6:AA720,MATCH(Y721,Y$6:Y720,0))))</f>
        <v/>
      </c>
      <c r="AB721" s="57" t="str">
        <f>IF(B721="","",COUNTIF(B$6:B721,B721))</f>
        <v/>
      </c>
      <c r="AC721" s="57" t="str">
        <f>IF(B721="","",B721&amp;"#"&amp;AB721)</f>
        <v/>
      </c>
      <c r="AD721" s="57" t="str">
        <f>IF(Z721=1,A721&amp;AA721,"")</f>
        <v/>
      </c>
      <c r="AE721" s="57" t="str">
        <f>IF(B721="","",YEAR(C721))</f>
        <v/>
      </c>
      <c r="AF721" s="57" t="str">
        <f>IF(B721="","",MONTH(C721))</f>
        <v/>
      </c>
      <c r="AG721" s="57">
        <f>IF(ISNUMBER(C721),C721,0)</f>
        <v>0.0</v>
      </c>
      <c r="AH721" s="57" t="str">
        <f>IF(N(W721)&gt;0,COUNTIF(W$6:W721,"&gt;0"),"")</f>
        <v/>
      </c>
      <c r="AI721" s="57" t="str">
        <f>IF(Z721=1,COUNTIF(Z$6:Z721,1),"")</f>
        <v/>
      </c>
    </row>
    <row r="722">
      <c r="A722" s="54" t="n"/>
      <c r="B722" s="55" t="str">
        <f>IF(AA722="","",A722&amp;"-"&amp;RIGHT("000"&amp;AA722,4))</f>
        <v/>
      </c>
      <c r="C722" s="56" t="n"/>
      <c r="D722" s="54" t="n"/>
      <c r="E722" s="57" t="str">
        <f>IF(D722="","",IF(A722="BL",IFERROR(INDEX(cl_name,MATCH(D722,cl_code,0))&amp;"","Client inconnu"),IF(A722="BR",IFERROR(INDEX(fo_name,MATCH(D722,fo_code,0))&amp;"","Fournisseur inconnu"),IF(A722="BS",IF(ISNA(MATCH(D722,p_services,0)),"Service inconnu",D722&amp;""),""))))</f>
        <v/>
      </c>
      <c r="F722" s="58" t="n"/>
      <c r="G722" s="58" t="n"/>
      <c r="H722" s="59" t="n"/>
      <c r="I722" s="57" t="str">
        <f>IF(H722="","",IFERROR(INDEX(art_des,MATCH(H722,art_ref,0))&amp;"","Article inconnu"))</f>
        <v/>
      </c>
      <c r="J722" s="60" t="str">
        <f>IF(H722="","",IFERROR(INDEX(art_unit,MATCH(H722,art_ref,0))&amp;"",""))</f>
        <v/>
      </c>
      <c r="K722" s="59" t="n"/>
      <c r="L722" s="59" t="n"/>
      <c r="M722" s="61" t="str">
        <f>IF(OR(B722="",NOT(ISNUMBER(K722)),NOT(ISNUMBER(L722))),"",IF(OR(K722&lt;=0,L722&lt;=0),"",ROUND(L722-K722,6)))</f>
        <v/>
      </c>
      <c r="N722" s="58" t="n"/>
      <c r="O722" s="62" t="n"/>
      <c r="P722" s="63" t="str">
        <f>IF(OR(B722="",NOT(ISNUMBER(L722))),"",IF(L722&lt;=0,"",IFERROR(ROUND(L722*N(INDEX(art_w,MATCH(H722,art_ref,0))),3),"")))</f>
        <v/>
      </c>
      <c r="Q722" s="59" t="n"/>
      <c r="R722" s="54" t="n"/>
      <c r="S722" s="59" t="n"/>
      <c r="T722" s="59" t="n"/>
      <c r="U722" s="64" t="str">
        <f>IF(OR(B722="",H722=""),"",IFERROR(IF(A722="BL",IF(N(INDEX(art_price,MATCH(H722,art_ref,0)))=0,"",N(INDEX(art_price,MATCH(H722,art_ref,0)))),IF(N(INDEX(art_cost,MATCH(H722,art_ref,0)))=0,"",N(INDEX(art_cost,MATCH(H722,art_ref,0))))),""))</f>
        <v/>
      </c>
      <c r="V722" s="64" t="str">
        <f>IF(OR(U722="",NOT(ISNUMBER(L722))),"",IF(L722&lt;=0,"",ROUND(L722*U722,2)))</f>
        <v/>
      </c>
      <c r="W722" s="60" t="str">
        <f>IF(AND(B722&lt;&gt;"",A722&lt;&gt;"BS",F722&lt;&gt;"",H722&lt;&gt;"",ISNUMBER(K722),ISNUMBER(L722)),IF(AND(K722&gt;0,L722&gt;0,K722-L722&gt;0,COUNTIFS(A723:A$2005,A722,F723:F$2005,F722,H723:H$2005,H722,AA723:AA$2005,"&gt;0")=0),ROUND(K722-L722,6),""),"")</f>
        <v/>
      </c>
      <c r="X722" s="60" t="str">
        <f>IF(AND(A722="",C722="",D722="",H722="",L722=""),"",IF(A722="","Type manquant",IF(AND(A722&lt;&gt;"BL",A722&lt;&gt;"BR",A722&lt;&gt;"BS"),"Type inconnu (BL, BR ou BS)",IF(AG722=0,"Date manquante ou invalide",IF(D722="",IF(A722="BL","Client manquant",IF(A722="BR","Fournisseur manquant","Service manquant")),IF(IF(A722="BL",ISNA(MATCH(D722,cl_code,0)),IF(A722="BR",ISNA(MATCH(D722,fo_code,0)),ISNA(MATCH(D722,p_services,0)))),IF(A722="BL","Client inconnu",IF(A722="BR","Fournisseur inconnu","Service inconnu")),IF(H722="","Article manquant",IF(ISNA(MATCH(H722,art_ref,0)),"Article inconnu",IF(OR(NOT(ISNUMBER(L722)),N(L722)&lt;=0),"Quantité invalide",IF(AND(K722&lt;&gt;"",OR(NOT(ISNUMBER(K722)),N(K722)&lt;=0)),"Qté commandée invalide",IF(AG722&lt;SUMPRODUCT(MAX((A$6:A721=A722)*AG$6:AG721)),"Date antérieure au bon précédent",IF(AND(A722&lt;&gt;"BR",ISNUMBER(M722),N(M722)&gt;0),IF(A722="BL","Livré plus que commandé","Sorti plus que demandé"),"OK"))))))))))))</f>
        <v/>
      </c>
      <c r="Y722" s="57" t="str">
        <f>IF(AND(OR(A722="BL",A722="BR",A722="BS"),AG722&gt;0,D722&lt;&gt;""),A722&amp;"|"&amp;AG722&amp;"|"&amp;D722&amp;"|"&amp;F722,"")</f>
        <v/>
      </c>
      <c r="Z722" s="57" t="str">
        <f>IF(Y722="","",IF(COUNTIF(Y$6:Y721,Y722)=0,1,0))</f>
        <v/>
      </c>
      <c r="AA722" s="57" t="str">
        <f>IF(Y722="","",IF(Z722=1,COUNTIFS(A$6:A722,A722,Z$6:Z722,1),INDEX(AA$6:AA721,MATCH(Y722,Y$6:Y721,0))))</f>
        <v/>
      </c>
      <c r="AB722" s="57" t="str">
        <f>IF(B722="","",COUNTIF(B$6:B722,B722))</f>
        <v/>
      </c>
      <c r="AC722" s="57" t="str">
        <f>IF(B722="","",B722&amp;"#"&amp;AB722)</f>
        <v/>
      </c>
      <c r="AD722" s="57" t="str">
        <f>IF(Z722=1,A722&amp;AA722,"")</f>
        <v/>
      </c>
      <c r="AE722" s="57" t="str">
        <f>IF(B722="","",YEAR(C722))</f>
        <v/>
      </c>
      <c r="AF722" s="57" t="str">
        <f>IF(B722="","",MONTH(C722))</f>
        <v/>
      </c>
      <c r="AG722" s="57">
        <f>IF(ISNUMBER(C722),C722,0)</f>
        <v>0.0</v>
      </c>
      <c r="AH722" s="57" t="str">
        <f>IF(N(W722)&gt;0,COUNTIF(W$6:W722,"&gt;0"),"")</f>
        <v/>
      </c>
      <c r="AI722" s="57" t="str">
        <f>IF(Z722=1,COUNTIF(Z$6:Z722,1),"")</f>
        <v/>
      </c>
    </row>
    <row r="723">
      <c r="A723" s="54" t="n"/>
      <c r="B723" s="55" t="str">
        <f>IF(AA723="","",A723&amp;"-"&amp;RIGHT("000"&amp;AA723,4))</f>
        <v/>
      </c>
      <c r="C723" s="56" t="n"/>
      <c r="D723" s="54" t="n"/>
      <c r="E723" s="57" t="str">
        <f>IF(D723="","",IF(A723="BL",IFERROR(INDEX(cl_name,MATCH(D723,cl_code,0))&amp;"","Client inconnu"),IF(A723="BR",IFERROR(INDEX(fo_name,MATCH(D723,fo_code,0))&amp;"","Fournisseur inconnu"),IF(A723="BS",IF(ISNA(MATCH(D723,p_services,0)),"Service inconnu",D723&amp;""),""))))</f>
        <v/>
      </c>
      <c r="F723" s="58" t="n"/>
      <c r="G723" s="58" t="n"/>
      <c r="H723" s="59" t="n"/>
      <c r="I723" s="57" t="str">
        <f>IF(H723="","",IFERROR(INDEX(art_des,MATCH(H723,art_ref,0))&amp;"","Article inconnu"))</f>
        <v/>
      </c>
      <c r="J723" s="60" t="str">
        <f>IF(H723="","",IFERROR(INDEX(art_unit,MATCH(H723,art_ref,0))&amp;"",""))</f>
        <v/>
      </c>
      <c r="K723" s="59" t="n"/>
      <c r="L723" s="59" t="n"/>
      <c r="M723" s="61" t="str">
        <f>IF(OR(B723="",NOT(ISNUMBER(K723)),NOT(ISNUMBER(L723))),"",IF(OR(K723&lt;=0,L723&lt;=0),"",ROUND(L723-K723,6)))</f>
        <v/>
      </c>
      <c r="N723" s="58" t="n"/>
      <c r="O723" s="62" t="n"/>
      <c r="P723" s="63" t="str">
        <f>IF(OR(B723="",NOT(ISNUMBER(L723))),"",IF(L723&lt;=0,"",IFERROR(ROUND(L723*N(INDEX(art_w,MATCH(H723,art_ref,0))),3),"")))</f>
        <v/>
      </c>
      <c r="Q723" s="59" t="n"/>
      <c r="R723" s="54" t="n"/>
      <c r="S723" s="59" t="n"/>
      <c r="T723" s="59" t="n"/>
      <c r="U723" s="64" t="str">
        <f>IF(OR(B723="",H723=""),"",IFERROR(IF(A723="BL",IF(N(INDEX(art_price,MATCH(H723,art_ref,0)))=0,"",N(INDEX(art_price,MATCH(H723,art_ref,0)))),IF(N(INDEX(art_cost,MATCH(H723,art_ref,0)))=0,"",N(INDEX(art_cost,MATCH(H723,art_ref,0))))),""))</f>
        <v/>
      </c>
      <c r="V723" s="64" t="str">
        <f>IF(OR(U723="",NOT(ISNUMBER(L723))),"",IF(L723&lt;=0,"",ROUND(L723*U723,2)))</f>
        <v/>
      </c>
      <c r="W723" s="60" t="str">
        <f>IF(AND(B723&lt;&gt;"",A723&lt;&gt;"BS",F723&lt;&gt;"",H723&lt;&gt;"",ISNUMBER(K723),ISNUMBER(L723)),IF(AND(K723&gt;0,L723&gt;0,K723-L723&gt;0,COUNTIFS(A724:A$2005,A723,F724:F$2005,F723,H724:H$2005,H723,AA724:AA$2005,"&gt;0")=0),ROUND(K723-L723,6),""),"")</f>
        <v/>
      </c>
      <c r="X723" s="60" t="str">
        <f>IF(AND(A723="",C723="",D723="",H723="",L723=""),"",IF(A723="","Type manquant",IF(AND(A723&lt;&gt;"BL",A723&lt;&gt;"BR",A723&lt;&gt;"BS"),"Type inconnu (BL, BR ou BS)",IF(AG723=0,"Date manquante ou invalide",IF(D723="",IF(A723="BL","Client manquant",IF(A723="BR","Fournisseur manquant","Service manquant")),IF(IF(A723="BL",ISNA(MATCH(D723,cl_code,0)),IF(A723="BR",ISNA(MATCH(D723,fo_code,0)),ISNA(MATCH(D723,p_services,0)))),IF(A723="BL","Client inconnu",IF(A723="BR","Fournisseur inconnu","Service inconnu")),IF(H723="","Article manquant",IF(ISNA(MATCH(H723,art_ref,0)),"Article inconnu",IF(OR(NOT(ISNUMBER(L723)),N(L723)&lt;=0),"Quantité invalide",IF(AND(K723&lt;&gt;"",OR(NOT(ISNUMBER(K723)),N(K723)&lt;=0)),"Qté commandée invalide",IF(AG723&lt;SUMPRODUCT(MAX((A$6:A722=A723)*AG$6:AG722)),"Date antérieure au bon précédent",IF(AND(A723&lt;&gt;"BR",ISNUMBER(M723),N(M723)&gt;0),IF(A723="BL","Livré plus que commandé","Sorti plus que demandé"),"OK"))))))))))))</f>
        <v/>
      </c>
      <c r="Y723" s="57" t="str">
        <f>IF(AND(OR(A723="BL",A723="BR",A723="BS"),AG723&gt;0,D723&lt;&gt;""),A723&amp;"|"&amp;AG723&amp;"|"&amp;D723&amp;"|"&amp;F723,"")</f>
        <v/>
      </c>
      <c r="Z723" s="57" t="str">
        <f>IF(Y723="","",IF(COUNTIF(Y$6:Y722,Y723)=0,1,0))</f>
        <v/>
      </c>
      <c r="AA723" s="57" t="str">
        <f>IF(Y723="","",IF(Z723=1,COUNTIFS(A$6:A723,A723,Z$6:Z723,1),INDEX(AA$6:AA722,MATCH(Y723,Y$6:Y722,0))))</f>
        <v/>
      </c>
      <c r="AB723" s="57" t="str">
        <f>IF(B723="","",COUNTIF(B$6:B723,B723))</f>
        <v/>
      </c>
      <c r="AC723" s="57" t="str">
        <f>IF(B723="","",B723&amp;"#"&amp;AB723)</f>
        <v/>
      </c>
      <c r="AD723" s="57" t="str">
        <f>IF(Z723=1,A723&amp;AA723,"")</f>
        <v/>
      </c>
      <c r="AE723" s="57" t="str">
        <f>IF(B723="","",YEAR(C723))</f>
        <v/>
      </c>
      <c r="AF723" s="57" t="str">
        <f>IF(B723="","",MONTH(C723))</f>
        <v/>
      </c>
      <c r="AG723" s="57">
        <f>IF(ISNUMBER(C723),C723,0)</f>
        <v>0.0</v>
      </c>
      <c r="AH723" s="57" t="str">
        <f>IF(N(W723)&gt;0,COUNTIF(W$6:W723,"&gt;0"),"")</f>
        <v/>
      </c>
      <c r="AI723" s="57" t="str">
        <f>IF(Z723=1,COUNTIF(Z$6:Z723,1),"")</f>
        <v/>
      </c>
    </row>
    <row r="724">
      <c r="A724" s="54" t="n"/>
      <c r="B724" s="55" t="str">
        <f>IF(AA724="","",A724&amp;"-"&amp;RIGHT("000"&amp;AA724,4))</f>
        <v/>
      </c>
      <c r="C724" s="56" t="n"/>
      <c r="D724" s="54" t="n"/>
      <c r="E724" s="57" t="str">
        <f>IF(D724="","",IF(A724="BL",IFERROR(INDEX(cl_name,MATCH(D724,cl_code,0))&amp;"","Client inconnu"),IF(A724="BR",IFERROR(INDEX(fo_name,MATCH(D724,fo_code,0))&amp;"","Fournisseur inconnu"),IF(A724="BS",IF(ISNA(MATCH(D724,p_services,0)),"Service inconnu",D724&amp;""),""))))</f>
        <v/>
      </c>
      <c r="F724" s="58" t="n"/>
      <c r="G724" s="58" t="n"/>
      <c r="H724" s="59" t="n"/>
      <c r="I724" s="57" t="str">
        <f>IF(H724="","",IFERROR(INDEX(art_des,MATCH(H724,art_ref,0))&amp;"","Article inconnu"))</f>
        <v/>
      </c>
      <c r="J724" s="60" t="str">
        <f>IF(H724="","",IFERROR(INDEX(art_unit,MATCH(H724,art_ref,0))&amp;"",""))</f>
        <v/>
      </c>
      <c r="K724" s="59" t="n"/>
      <c r="L724" s="59" t="n"/>
      <c r="M724" s="61" t="str">
        <f>IF(OR(B724="",NOT(ISNUMBER(K724)),NOT(ISNUMBER(L724))),"",IF(OR(K724&lt;=0,L724&lt;=0),"",ROUND(L724-K724,6)))</f>
        <v/>
      </c>
      <c r="N724" s="58" t="n"/>
      <c r="O724" s="62" t="n"/>
      <c r="P724" s="63" t="str">
        <f>IF(OR(B724="",NOT(ISNUMBER(L724))),"",IF(L724&lt;=0,"",IFERROR(ROUND(L724*N(INDEX(art_w,MATCH(H724,art_ref,0))),3),"")))</f>
        <v/>
      </c>
      <c r="Q724" s="59" t="n"/>
      <c r="R724" s="54" t="n"/>
      <c r="S724" s="59" t="n"/>
      <c r="T724" s="59" t="n"/>
      <c r="U724" s="64" t="str">
        <f>IF(OR(B724="",H724=""),"",IFERROR(IF(A724="BL",IF(N(INDEX(art_price,MATCH(H724,art_ref,0)))=0,"",N(INDEX(art_price,MATCH(H724,art_ref,0)))),IF(N(INDEX(art_cost,MATCH(H724,art_ref,0)))=0,"",N(INDEX(art_cost,MATCH(H724,art_ref,0))))),""))</f>
        <v/>
      </c>
      <c r="V724" s="64" t="str">
        <f>IF(OR(U724="",NOT(ISNUMBER(L724))),"",IF(L724&lt;=0,"",ROUND(L724*U724,2)))</f>
        <v/>
      </c>
      <c r="W724" s="60" t="str">
        <f>IF(AND(B724&lt;&gt;"",A724&lt;&gt;"BS",F724&lt;&gt;"",H724&lt;&gt;"",ISNUMBER(K724),ISNUMBER(L724)),IF(AND(K724&gt;0,L724&gt;0,K724-L724&gt;0,COUNTIFS(A725:A$2005,A724,F725:F$2005,F724,H725:H$2005,H724,AA725:AA$2005,"&gt;0")=0),ROUND(K724-L724,6),""),"")</f>
        <v/>
      </c>
      <c r="X724" s="60" t="str">
        <f>IF(AND(A724="",C724="",D724="",H724="",L724=""),"",IF(A724="","Type manquant",IF(AND(A724&lt;&gt;"BL",A724&lt;&gt;"BR",A724&lt;&gt;"BS"),"Type inconnu (BL, BR ou BS)",IF(AG724=0,"Date manquante ou invalide",IF(D724="",IF(A724="BL","Client manquant",IF(A724="BR","Fournisseur manquant","Service manquant")),IF(IF(A724="BL",ISNA(MATCH(D724,cl_code,0)),IF(A724="BR",ISNA(MATCH(D724,fo_code,0)),ISNA(MATCH(D724,p_services,0)))),IF(A724="BL","Client inconnu",IF(A724="BR","Fournisseur inconnu","Service inconnu")),IF(H724="","Article manquant",IF(ISNA(MATCH(H724,art_ref,0)),"Article inconnu",IF(OR(NOT(ISNUMBER(L724)),N(L724)&lt;=0),"Quantité invalide",IF(AND(K724&lt;&gt;"",OR(NOT(ISNUMBER(K724)),N(K724)&lt;=0)),"Qté commandée invalide",IF(AG724&lt;SUMPRODUCT(MAX((A$6:A723=A724)*AG$6:AG723)),"Date antérieure au bon précédent",IF(AND(A724&lt;&gt;"BR",ISNUMBER(M724),N(M724)&gt;0),IF(A724="BL","Livré plus que commandé","Sorti plus que demandé"),"OK"))))))))))))</f>
        <v/>
      </c>
      <c r="Y724" s="57" t="str">
        <f>IF(AND(OR(A724="BL",A724="BR",A724="BS"),AG724&gt;0,D724&lt;&gt;""),A724&amp;"|"&amp;AG724&amp;"|"&amp;D724&amp;"|"&amp;F724,"")</f>
        <v/>
      </c>
      <c r="Z724" s="57" t="str">
        <f>IF(Y724="","",IF(COUNTIF(Y$6:Y723,Y724)=0,1,0))</f>
        <v/>
      </c>
      <c r="AA724" s="57" t="str">
        <f>IF(Y724="","",IF(Z724=1,COUNTIFS(A$6:A724,A724,Z$6:Z724,1),INDEX(AA$6:AA723,MATCH(Y724,Y$6:Y723,0))))</f>
        <v/>
      </c>
      <c r="AB724" s="57" t="str">
        <f>IF(B724="","",COUNTIF(B$6:B724,B724))</f>
        <v/>
      </c>
      <c r="AC724" s="57" t="str">
        <f>IF(B724="","",B724&amp;"#"&amp;AB724)</f>
        <v/>
      </c>
      <c r="AD724" s="57" t="str">
        <f>IF(Z724=1,A724&amp;AA724,"")</f>
        <v/>
      </c>
      <c r="AE724" s="57" t="str">
        <f>IF(B724="","",YEAR(C724))</f>
        <v/>
      </c>
      <c r="AF724" s="57" t="str">
        <f>IF(B724="","",MONTH(C724))</f>
        <v/>
      </c>
      <c r="AG724" s="57">
        <f>IF(ISNUMBER(C724),C724,0)</f>
        <v>0.0</v>
      </c>
      <c r="AH724" s="57" t="str">
        <f>IF(N(W724)&gt;0,COUNTIF(W$6:W724,"&gt;0"),"")</f>
        <v/>
      </c>
      <c r="AI724" s="57" t="str">
        <f>IF(Z724=1,COUNTIF(Z$6:Z724,1),"")</f>
        <v/>
      </c>
    </row>
    <row r="725">
      <c r="A725" s="54" t="n"/>
      <c r="B725" s="55" t="str">
        <f>IF(AA725="","",A725&amp;"-"&amp;RIGHT("000"&amp;AA725,4))</f>
        <v/>
      </c>
      <c r="C725" s="56" t="n"/>
      <c r="D725" s="54" t="n"/>
      <c r="E725" s="57" t="str">
        <f>IF(D725="","",IF(A725="BL",IFERROR(INDEX(cl_name,MATCH(D725,cl_code,0))&amp;"","Client inconnu"),IF(A725="BR",IFERROR(INDEX(fo_name,MATCH(D725,fo_code,0))&amp;"","Fournisseur inconnu"),IF(A725="BS",IF(ISNA(MATCH(D725,p_services,0)),"Service inconnu",D725&amp;""),""))))</f>
        <v/>
      </c>
      <c r="F725" s="58" t="n"/>
      <c r="G725" s="58" t="n"/>
      <c r="H725" s="59" t="n"/>
      <c r="I725" s="57" t="str">
        <f>IF(H725="","",IFERROR(INDEX(art_des,MATCH(H725,art_ref,0))&amp;"","Article inconnu"))</f>
        <v/>
      </c>
      <c r="J725" s="60" t="str">
        <f>IF(H725="","",IFERROR(INDEX(art_unit,MATCH(H725,art_ref,0))&amp;"",""))</f>
        <v/>
      </c>
      <c r="K725" s="59" t="n"/>
      <c r="L725" s="59" t="n"/>
      <c r="M725" s="61" t="str">
        <f>IF(OR(B725="",NOT(ISNUMBER(K725)),NOT(ISNUMBER(L725))),"",IF(OR(K725&lt;=0,L725&lt;=0),"",ROUND(L725-K725,6)))</f>
        <v/>
      </c>
      <c r="N725" s="58" t="n"/>
      <c r="O725" s="62" t="n"/>
      <c r="P725" s="63" t="str">
        <f>IF(OR(B725="",NOT(ISNUMBER(L725))),"",IF(L725&lt;=0,"",IFERROR(ROUND(L725*N(INDEX(art_w,MATCH(H725,art_ref,0))),3),"")))</f>
        <v/>
      </c>
      <c r="Q725" s="59" t="n"/>
      <c r="R725" s="54" t="n"/>
      <c r="S725" s="59" t="n"/>
      <c r="T725" s="59" t="n"/>
      <c r="U725" s="64" t="str">
        <f>IF(OR(B725="",H725=""),"",IFERROR(IF(A725="BL",IF(N(INDEX(art_price,MATCH(H725,art_ref,0)))=0,"",N(INDEX(art_price,MATCH(H725,art_ref,0)))),IF(N(INDEX(art_cost,MATCH(H725,art_ref,0)))=0,"",N(INDEX(art_cost,MATCH(H725,art_ref,0))))),""))</f>
        <v/>
      </c>
      <c r="V725" s="64" t="str">
        <f>IF(OR(U725="",NOT(ISNUMBER(L725))),"",IF(L725&lt;=0,"",ROUND(L725*U725,2)))</f>
        <v/>
      </c>
      <c r="W725" s="60" t="str">
        <f>IF(AND(B725&lt;&gt;"",A725&lt;&gt;"BS",F725&lt;&gt;"",H725&lt;&gt;"",ISNUMBER(K725),ISNUMBER(L725)),IF(AND(K725&gt;0,L725&gt;0,K725-L725&gt;0,COUNTIFS(A726:A$2005,A725,F726:F$2005,F725,H726:H$2005,H725,AA726:AA$2005,"&gt;0")=0),ROUND(K725-L725,6),""),"")</f>
        <v/>
      </c>
      <c r="X725" s="60" t="str">
        <f>IF(AND(A725="",C725="",D725="",H725="",L725=""),"",IF(A725="","Type manquant",IF(AND(A725&lt;&gt;"BL",A725&lt;&gt;"BR",A725&lt;&gt;"BS"),"Type inconnu (BL, BR ou BS)",IF(AG725=0,"Date manquante ou invalide",IF(D725="",IF(A725="BL","Client manquant",IF(A725="BR","Fournisseur manquant","Service manquant")),IF(IF(A725="BL",ISNA(MATCH(D725,cl_code,0)),IF(A725="BR",ISNA(MATCH(D725,fo_code,0)),ISNA(MATCH(D725,p_services,0)))),IF(A725="BL","Client inconnu",IF(A725="BR","Fournisseur inconnu","Service inconnu")),IF(H725="","Article manquant",IF(ISNA(MATCH(H725,art_ref,0)),"Article inconnu",IF(OR(NOT(ISNUMBER(L725)),N(L725)&lt;=0),"Quantité invalide",IF(AND(K725&lt;&gt;"",OR(NOT(ISNUMBER(K725)),N(K725)&lt;=0)),"Qté commandée invalide",IF(AG725&lt;SUMPRODUCT(MAX((A$6:A724=A725)*AG$6:AG724)),"Date antérieure au bon précédent",IF(AND(A725&lt;&gt;"BR",ISNUMBER(M725),N(M725)&gt;0),IF(A725="BL","Livré plus que commandé","Sorti plus que demandé"),"OK"))))))))))))</f>
        <v/>
      </c>
      <c r="Y725" s="57" t="str">
        <f>IF(AND(OR(A725="BL",A725="BR",A725="BS"),AG725&gt;0,D725&lt;&gt;""),A725&amp;"|"&amp;AG725&amp;"|"&amp;D725&amp;"|"&amp;F725,"")</f>
        <v/>
      </c>
      <c r="Z725" s="57" t="str">
        <f>IF(Y725="","",IF(COUNTIF(Y$6:Y724,Y725)=0,1,0))</f>
        <v/>
      </c>
      <c r="AA725" s="57" t="str">
        <f>IF(Y725="","",IF(Z725=1,COUNTIFS(A$6:A725,A725,Z$6:Z725,1),INDEX(AA$6:AA724,MATCH(Y725,Y$6:Y724,0))))</f>
        <v/>
      </c>
      <c r="AB725" s="57" t="str">
        <f>IF(B725="","",COUNTIF(B$6:B725,B725))</f>
        <v/>
      </c>
      <c r="AC725" s="57" t="str">
        <f>IF(B725="","",B725&amp;"#"&amp;AB725)</f>
        <v/>
      </c>
      <c r="AD725" s="57" t="str">
        <f>IF(Z725=1,A725&amp;AA725,"")</f>
        <v/>
      </c>
      <c r="AE725" s="57" t="str">
        <f>IF(B725="","",YEAR(C725))</f>
        <v/>
      </c>
      <c r="AF725" s="57" t="str">
        <f>IF(B725="","",MONTH(C725))</f>
        <v/>
      </c>
      <c r="AG725" s="57">
        <f>IF(ISNUMBER(C725),C725,0)</f>
        <v>0.0</v>
      </c>
      <c r="AH725" s="57" t="str">
        <f>IF(N(W725)&gt;0,COUNTIF(W$6:W725,"&gt;0"),"")</f>
        <v/>
      </c>
      <c r="AI725" s="57" t="str">
        <f>IF(Z725=1,COUNTIF(Z$6:Z725,1),"")</f>
        <v/>
      </c>
    </row>
    <row r="726">
      <c r="A726" s="54" t="n"/>
      <c r="B726" s="55" t="str">
        <f>IF(AA726="","",A726&amp;"-"&amp;RIGHT("000"&amp;AA726,4))</f>
        <v/>
      </c>
      <c r="C726" s="56" t="n"/>
      <c r="D726" s="54" t="n"/>
      <c r="E726" s="57" t="str">
        <f>IF(D726="","",IF(A726="BL",IFERROR(INDEX(cl_name,MATCH(D726,cl_code,0))&amp;"","Client inconnu"),IF(A726="BR",IFERROR(INDEX(fo_name,MATCH(D726,fo_code,0))&amp;"","Fournisseur inconnu"),IF(A726="BS",IF(ISNA(MATCH(D726,p_services,0)),"Service inconnu",D726&amp;""),""))))</f>
        <v/>
      </c>
      <c r="F726" s="58" t="n"/>
      <c r="G726" s="58" t="n"/>
      <c r="H726" s="59" t="n"/>
      <c r="I726" s="57" t="str">
        <f>IF(H726="","",IFERROR(INDEX(art_des,MATCH(H726,art_ref,0))&amp;"","Article inconnu"))</f>
        <v/>
      </c>
      <c r="J726" s="60" t="str">
        <f>IF(H726="","",IFERROR(INDEX(art_unit,MATCH(H726,art_ref,0))&amp;"",""))</f>
        <v/>
      </c>
      <c r="K726" s="59" t="n"/>
      <c r="L726" s="59" t="n"/>
      <c r="M726" s="61" t="str">
        <f>IF(OR(B726="",NOT(ISNUMBER(K726)),NOT(ISNUMBER(L726))),"",IF(OR(K726&lt;=0,L726&lt;=0),"",ROUND(L726-K726,6)))</f>
        <v/>
      </c>
      <c r="N726" s="58" t="n"/>
      <c r="O726" s="62" t="n"/>
      <c r="P726" s="63" t="str">
        <f>IF(OR(B726="",NOT(ISNUMBER(L726))),"",IF(L726&lt;=0,"",IFERROR(ROUND(L726*N(INDEX(art_w,MATCH(H726,art_ref,0))),3),"")))</f>
        <v/>
      </c>
      <c r="Q726" s="59" t="n"/>
      <c r="R726" s="54" t="n"/>
      <c r="S726" s="59" t="n"/>
      <c r="T726" s="59" t="n"/>
      <c r="U726" s="64" t="str">
        <f>IF(OR(B726="",H726=""),"",IFERROR(IF(A726="BL",IF(N(INDEX(art_price,MATCH(H726,art_ref,0)))=0,"",N(INDEX(art_price,MATCH(H726,art_ref,0)))),IF(N(INDEX(art_cost,MATCH(H726,art_ref,0)))=0,"",N(INDEX(art_cost,MATCH(H726,art_ref,0))))),""))</f>
        <v/>
      </c>
      <c r="V726" s="64" t="str">
        <f>IF(OR(U726="",NOT(ISNUMBER(L726))),"",IF(L726&lt;=0,"",ROUND(L726*U726,2)))</f>
        <v/>
      </c>
      <c r="W726" s="60" t="str">
        <f>IF(AND(B726&lt;&gt;"",A726&lt;&gt;"BS",F726&lt;&gt;"",H726&lt;&gt;"",ISNUMBER(K726),ISNUMBER(L726)),IF(AND(K726&gt;0,L726&gt;0,K726-L726&gt;0,COUNTIFS(A727:A$2005,A726,F727:F$2005,F726,H727:H$2005,H726,AA727:AA$2005,"&gt;0")=0),ROUND(K726-L726,6),""),"")</f>
        <v/>
      </c>
      <c r="X726" s="60" t="str">
        <f>IF(AND(A726="",C726="",D726="",H726="",L726=""),"",IF(A726="","Type manquant",IF(AND(A726&lt;&gt;"BL",A726&lt;&gt;"BR",A726&lt;&gt;"BS"),"Type inconnu (BL, BR ou BS)",IF(AG726=0,"Date manquante ou invalide",IF(D726="",IF(A726="BL","Client manquant",IF(A726="BR","Fournisseur manquant","Service manquant")),IF(IF(A726="BL",ISNA(MATCH(D726,cl_code,0)),IF(A726="BR",ISNA(MATCH(D726,fo_code,0)),ISNA(MATCH(D726,p_services,0)))),IF(A726="BL","Client inconnu",IF(A726="BR","Fournisseur inconnu","Service inconnu")),IF(H726="","Article manquant",IF(ISNA(MATCH(H726,art_ref,0)),"Article inconnu",IF(OR(NOT(ISNUMBER(L726)),N(L726)&lt;=0),"Quantité invalide",IF(AND(K726&lt;&gt;"",OR(NOT(ISNUMBER(K726)),N(K726)&lt;=0)),"Qté commandée invalide",IF(AG726&lt;SUMPRODUCT(MAX((A$6:A725=A726)*AG$6:AG725)),"Date antérieure au bon précédent",IF(AND(A726&lt;&gt;"BR",ISNUMBER(M726),N(M726)&gt;0),IF(A726="BL","Livré plus que commandé","Sorti plus que demandé"),"OK"))))))))))))</f>
        <v/>
      </c>
      <c r="Y726" s="57" t="str">
        <f>IF(AND(OR(A726="BL",A726="BR",A726="BS"),AG726&gt;0,D726&lt;&gt;""),A726&amp;"|"&amp;AG726&amp;"|"&amp;D726&amp;"|"&amp;F726,"")</f>
        <v/>
      </c>
      <c r="Z726" s="57" t="str">
        <f>IF(Y726="","",IF(COUNTIF(Y$6:Y725,Y726)=0,1,0))</f>
        <v/>
      </c>
      <c r="AA726" s="57" t="str">
        <f>IF(Y726="","",IF(Z726=1,COUNTIFS(A$6:A726,A726,Z$6:Z726,1),INDEX(AA$6:AA725,MATCH(Y726,Y$6:Y725,0))))</f>
        <v/>
      </c>
      <c r="AB726" s="57" t="str">
        <f>IF(B726="","",COUNTIF(B$6:B726,B726))</f>
        <v/>
      </c>
      <c r="AC726" s="57" t="str">
        <f>IF(B726="","",B726&amp;"#"&amp;AB726)</f>
        <v/>
      </c>
      <c r="AD726" s="57" t="str">
        <f>IF(Z726=1,A726&amp;AA726,"")</f>
        <v/>
      </c>
      <c r="AE726" s="57" t="str">
        <f>IF(B726="","",YEAR(C726))</f>
        <v/>
      </c>
      <c r="AF726" s="57" t="str">
        <f>IF(B726="","",MONTH(C726))</f>
        <v/>
      </c>
      <c r="AG726" s="57">
        <f>IF(ISNUMBER(C726),C726,0)</f>
        <v>0.0</v>
      </c>
      <c r="AH726" s="57" t="str">
        <f>IF(N(W726)&gt;0,COUNTIF(W$6:W726,"&gt;0"),"")</f>
        <v/>
      </c>
      <c r="AI726" s="57" t="str">
        <f>IF(Z726=1,COUNTIF(Z$6:Z726,1),"")</f>
        <v/>
      </c>
    </row>
    <row r="727">
      <c r="A727" s="54" t="n"/>
      <c r="B727" s="55" t="str">
        <f>IF(AA727="","",A727&amp;"-"&amp;RIGHT("000"&amp;AA727,4))</f>
        <v/>
      </c>
      <c r="C727" s="56" t="n"/>
      <c r="D727" s="54" t="n"/>
      <c r="E727" s="57" t="str">
        <f>IF(D727="","",IF(A727="BL",IFERROR(INDEX(cl_name,MATCH(D727,cl_code,0))&amp;"","Client inconnu"),IF(A727="BR",IFERROR(INDEX(fo_name,MATCH(D727,fo_code,0))&amp;"","Fournisseur inconnu"),IF(A727="BS",IF(ISNA(MATCH(D727,p_services,0)),"Service inconnu",D727&amp;""),""))))</f>
        <v/>
      </c>
      <c r="F727" s="58" t="n"/>
      <c r="G727" s="58" t="n"/>
      <c r="H727" s="59" t="n"/>
      <c r="I727" s="57" t="str">
        <f>IF(H727="","",IFERROR(INDEX(art_des,MATCH(H727,art_ref,0))&amp;"","Article inconnu"))</f>
        <v/>
      </c>
      <c r="J727" s="60" t="str">
        <f>IF(H727="","",IFERROR(INDEX(art_unit,MATCH(H727,art_ref,0))&amp;"",""))</f>
        <v/>
      </c>
      <c r="K727" s="59" t="n"/>
      <c r="L727" s="59" t="n"/>
      <c r="M727" s="61" t="str">
        <f>IF(OR(B727="",NOT(ISNUMBER(K727)),NOT(ISNUMBER(L727))),"",IF(OR(K727&lt;=0,L727&lt;=0),"",ROUND(L727-K727,6)))</f>
        <v/>
      </c>
      <c r="N727" s="58" t="n"/>
      <c r="O727" s="62" t="n"/>
      <c r="P727" s="63" t="str">
        <f>IF(OR(B727="",NOT(ISNUMBER(L727))),"",IF(L727&lt;=0,"",IFERROR(ROUND(L727*N(INDEX(art_w,MATCH(H727,art_ref,0))),3),"")))</f>
        <v/>
      </c>
      <c r="Q727" s="59" t="n"/>
      <c r="R727" s="54" t="n"/>
      <c r="S727" s="59" t="n"/>
      <c r="T727" s="59" t="n"/>
      <c r="U727" s="64" t="str">
        <f>IF(OR(B727="",H727=""),"",IFERROR(IF(A727="BL",IF(N(INDEX(art_price,MATCH(H727,art_ref,0)))=0,"",N(INDEX(art_price,MATCH(H727,art_ref,0)))),IF(N(INDEX(art_cost,MATCH(H727,art_ref,0)))=0,"",N(INDEX(art_cost,MATCH(H727,art_ref,0))))),""))</f>
        <v/>
      </c>
      <c r="V727" s="64" t="str">
        <f>IF(OR(U727="",NOT(ISNUMBER(L727))),"",IF(L727&lt;=0,"",ROUND(L727*U727,2)))</f>
        <v/>
      </c>
      <c r="W727" s="60" t="str">
        <f>IF(AND(B727&lt;&gt;"",A727&lt;&gt;"BS",F727&lt;&gt;"",H727&lt;&gt;"",ISNUMBER(K727),ISNUMBER(L727)),IF(AND(K727&gt;0,L727&gt;0,K727-L727&gt;0,COUNTIFS(A728:A$2005,A727,F728:F$2005,F727,H728:H$2005,H727,AA728:AA$2005,"&gt;0")=0),ROUND(K727-L727,6),""),"")</f>
        <v/>
      </c>
      <c r="X727" s="60" t="str">
        <f>IF(AND(A727="",C727="",D727="",H727="",L727=""),"",IF(A727="","Type manquant",IF(AND(A727&lt;&gt;"BL",A727&lt;&gt;"BR",A727&lt;&gt;"BS"),"Type inconnu (BL, BR ou BS)",IF(AG727=0,"Date manquante ou invalide",IF(D727="",IF(A727="BL","Client manquant",IF(A727="BR","Fournisseur manquant","Service manquant")),IF(IF(A727="BL",ISNA(MATCH(D727,cl_code,0)),IF(A727="BR",ISNA(MATCH(D727,fo_code,0)),ISNA(MATCH(D727,p_services,0)))),IF(A727="BL","Client inconnu",IF(A727="BR","Fournisseur inconnu","Service inconnu")),IF(H727="","Article manquant",IF(ISNA(MATCH(H727,art_ref,0)),"Article inconnu",IF(OR(NOT(ISNUMBER(L727)),N(L727)&lt;=0),"Quantité invalide",IF(AND(K727&lt;&gt;"",OR(NOT(ISNUMBER(K727)),N(K727)&lt;=0)),"Qté commandée invalide",IF(AG727&lt;SUMPRODUCT(MAX((A$6:A726=A727)*AG$6:AG726)),"Date antérieure au bon précédent",IF(AND(A727&lt;&gt;"BR",ISNUMBER(M727),N(M727)&gt;0),IF(A727="BL","Livré plus que commandé","Sorti plus que demandé"),"OK"))))))))))))</f>
        <v/>
      </c>
      <c r="Y727" s="57" t="str">
        <f>IF(AND(OR(A727="BL",A727="BR",A727="BS"),AG727&gt;0,D727&lt;&gt;""),A727&amp;"|"&amp;AG727&amp;"|"&amp;D727&amp;"|"&amp;F727,"")</f>
        <v/>
      </c>
      <c r="Z727" s="57" t="str">
        <f>IF(Y727="","",IF(COUNTIF(Y$6:Y726,Y727)=0,1,0))</f>
        <v/>
      </c>
      <c r="AA727" s="57" t="str">
        <f>IF(Y727="","",IF(Z727=1,COUNTIFS(A$6:A727,A727,Z$6:Z727,1),INDEX(AA$6:AA726,MATCH(Y727,Y$6:Y726,0))))</f>
        <v/>
      </c>
      <c r="AB727" s="57" t="str">
        <f>IF(B727="","",COUNTIF(B$6:B727,B727))</f>
        <v/>
      </c>
      <c r="AC727" s="57" t="str">
        <f>IF(B727="","",B727&amp;"#"&amp;AB727)</f>
        <v/>
      </c>
      <c r="AD727" s="57" t="str">
        <f>IF(Z727=1,A727&amp;AA727,"")</f>
        <v/>
      </c>
      <c r="AE727" s="57" t="str">
        <f>IF(B727="","",YEAR(C727))</f>
        <v/>
      </c>
      <c r="AF727" s="57" t="str">
        <f>IF(B727="","",MONTH(C727))</f>
        <v/>
      </c>
      <c r="AG727" s="57">
        <f>IF(ISNUMBER(C727),C727,0)</f>
        <v>0.0</v>
      </c>
      <c r="AH727" s="57" t="str">
        <f>IF(N(W727)&gt;0,COUNTIF(W$6:W727,"&gt;0"),"")</f>
        <v/>
      </c>
      <c r="AI727" s="57" t="str">
        <f>IF(Z727=1,COUNTIF(Z$6:Z727,1),"")</f>
        <v/>
      </c>
    </row>
    <row r="728">
      <c r="A728" s="54" t="n"/>
      <c r="B728" s="55" t="str">
        <f>IF(AA728="","",A728&amp;"-"&amp;RIGHT("000"&amp;AA728,4))</f>
        <v/>
      </c>
      <c r="C728" s="56" t="n"/>
      <c r="D728" s="54" t="n"/>
      <c r="E728" s="57" t="str">
        <f>IF(D728="","",IF(A728="BL",IFERROR(INDEX(cl_name,MATCH(D728,cl_code,0))&amp;"","Client inconnu"),IF(A728="BR",IFERROR(INDEX(fo_name,MATCH(D728,fo_code,0))&amp;"","Fournisseur inconnu"),IF(A728="BS",IF(ISNA(MATCH(D728,p_services,0)),"Service inconnu",D728&amp;""),""))))</f>
        <v/>
      </c>
      <c r="F728" s="58" t="n"/>
      <c r="G728" s="58" t="n"/>
      <c r="H728" s="59" t="n"/>
      <c r="I728" s="57" t="str">
        <f>IF(H728="","",IFERROR(INDEX(art_des,MATCH(H728,art_ref,0))&amp;"","Article inconnu"))</f>
        <v/>
      </c>
      <c r="J728" s="60" t="str">
        <f>IF(H728="","",IFERROR(INDEX(art_unit,MATCH(H728,art_ref,0))&amp;"",""))</f>
        <v/>
      </c>
      <c r="K728" s="59" t="n"/>
      <c r="L728" s="59" t="n"/>
      <c r="M728" s="61" t="str">
        <f>IF(OR(B728="",NOT(ISNUMBER(K728)),NOT(ISNUMBER(L728))),"",IF(OR(K728&lt;=0,L728&lt;=0),"",ROUND(L728-K728,6)))</f>
        <v/>
      </c>
      <c r="N728" s="58" t="n"/>
      <c r="O728" s="62" t="n"/>
      <c r="P728" s="63" t="str">
        <f>IF(OR(B728="",NOT(ISNUMBER(L728))),"",IF(L728&lt;=0,"",IFERROR(ROUND(L728*N(INDEX(art_w,MATCH(H728,art_ref,0))),3),"")))</f>
        <v/>
      </c>
      <c r="Q728" s="59" t="n"/>
      <c r="R728" s="54" t="n"/>
      <c r="S728" s="59" t="n"/>
      <c r="T728" s="59" t="n"/>
      <c r="U728" s="64" t="str">
        <f>IF(OR(B728="",H728=""),"",IFERROR(IF(A728="BL",IF(N(INDEX(art_price,MATCH(H728,art_ref,0)))=0,"",N(INDEX(art_price,MATCH(H728,art_ref,0)))),IF(N(INDEX(art_cost,MATCH(H728,art_ref,0)))=0,"",N(INDEX(art_cost,MATCH(H728,art_ref,0))))),""))</f>
        <v/>
      </c>
      <c r="V728" s="64" t="str">
        <f>IF(OR(U728="",NOT(ISNUMBER(L728))),"",IF(L728&lt;=0,"",ROUND(L728*U728,2)))</f>
        <v/>
      </c>
      <c r="W728" s="60" t="str">
        <f>IF(AND(B728&lt;&gt;"",A728&lt;&gt;"BS",F728&lt;&gt;"",H728&lt;&gt;"",ISNUMBER(K728),ISNUMBER(L728)),IF(AND(K728&gt;0,L728&gt;0,K728-L728&gt;0,COUNTIFS(A729:A$2005,A728,F729:F$2005,F728,H729:H$2005,H728,AA729:AA$2005,"&gt;0")=0),ROUND(K728-L728,6),""),"")</f>
        <v/>
      </c>
      <c r="X728" s="60" t="str">
        <f>IF(AND(A728="",C728="",D728="",H728="",L728=""),"",IF(A728="","Type manquant",IF(AND(A728&lt;&gt;"BL",A728&lt;&gt;"BR",A728&lt;&gt;"BS"),"Type inconnu (BL, BR ou BS)",IF(AG728=0,"Date manquante ou invalide",IF(D728="",IF(A728="BL","Client manquant",IF(A728="BR","Fournisseur manquant","Service manquant")),IF(IF(A728="BL",ISNA(MATCH(D728,cl_code,0)),IF(A728="BR",ISNA(MATCH(D728,fo_code,0)),ISNA(MATCH(D728,p_services,0)))),IF(A728="BL","Client inconnu",IF(A728="BR","Fournisseur inconnu","Service inconnu")),IF(H728="","Article manquant",IF(ISNA(MATCH(H728,art_ref,0)),"Article inconnu",IF(OR(NOT(ISNUMBER(L728)),N(L728)&lt;=0),"Quantité invalide",IF(AND(K728&lt;&gt;"",OR(NOT(ISNUMBER(K728)),N(K728)&lt;=0)),"Qté commandée invalide",IF(AG728&lt;SUMPRODUCT(MAX((A$6:A727=A728)*AG$6:AG727)),"Date antérieure au bon précédent",IF(AND(A728&lt;&gt;"BR",ISNUMBER(M728),N(M728)&gt;0),IF(A728="BL","Livré plus que commandé","Sorti plus que demandé"),"OK"))))))))))))</f>
        <v/>
      </c>
      <c r="Y728" s="57" t="str">
        <f>IF(AND(OR(A728="BL",A728="BR",A728="BS"),AG728&gt;0,D728&lt;&gt;""),A728&amp;"|"&amp;AG728&amp;"|"&amp;D728&amp;"|"&amp;F728,"")</f>
        <v/>
      </c>
      <c r="Z728" s="57" t="str">
        <f>IF(Y728="","",IF(COUNTIF(Y$6:Y727,Y728)=0,1,0))</f>
        <v/>
      </c>
      <c r="AA728" s="57" t="str">
        <f>IF(Y728="","",IF(Z728=1,COUNTIFS(A$6:A728,A728,Z$6:Z728,1),INDEX(AA$6:AA727,MATCH(Y728,Y$6:Y727,0))))</f>
        <v/>
      </c>
      <c r="AB728" s="57" t="str">
        <f>IF(B728="","",COUNTIF(B$6:B728,B728))</f>
        <v/>
      </c>
      <c r="AC728" s="57" t="str">
        <f>IF(B728="","",B728&amp;"#"&amp;AB728)</f>
        <v/>
      </c>
      <c r="AD728" s="57" t="str">
        <f>IF(Z728=1,A728&amp;AA728,"")</f>
        <v/>
      </c>
      <c r="AE728" s="57" t="str">
        <f>IF(B728="","",YEAR(C728))</f>
        <v/>
      </c>
      <c r="AF728" s="57" t="str">
        <f>IF(B728="","",MONTH(C728))</f>
        <v/>
      </c>
      <c r="AG728" s="57">
        <f>IF(ISNUMBER(C728),C728,0)</f>
        <v>0.0</v>
      </c>
      <c r="AH728" s="57" t="str">
        <f>IF(N(W728)&gt;0,COUNTIF(W$6:W728,"&gt;0"),"")</f>
        <v/>
      </c>
      <c r="AI728" s="57" t="str">
        <f>IF(Z728=1,COUNTIF(Z$6:Z728,1),"")</f>
        <v/>
      </c>
    </row>
    <row r="729">
      <c r="A729" s="54" t="n"/>
      <c r="B729" s="55" t="str">
        <f>IF(AA729="","",A729&amp;"-"&amp;RIGHT("000"&amp;AA729,4))</f>
        <v/>
      </c>
      <c r="C729" s="56" t="n"/>
      <c r="D729" s="54" t="n"/>
      <c r="E729" s="57" t="str">
        <f>IF(D729="","",IF(A729="BL",IFERROR(INDEX(cl_name,MATCH(D729,cl_code,0))&amp;"","Client inconnu"),IF(A729="BR",IFERROR(INDEX(fo_name,MATCH(D729,fo_code,0))&amp;"","Fournisseur inconnu"),IF(A729="BS",IF(ISNA(MATCH(D729,p_services,0)),"Service inconnu",D729&amp;""),""))))</f>
        <v/>
      </c>
      <c r="F729" s="58" t="n"/>
      <c r="G729" s="58" t="n"/>
      <c r="H729" s="59" t="n"/>
      <c r="I729" s="57" t="str">
        <f>IF(H729="","",IFERROR(INDEX(art_des,MATCH(H729,art_ref,0))&amp;"","Article inconnu"))</f>
        <v/>
      </c>
      <c r="J729" s="60" t="str">
        <f>IF(H729="","",IFERROR(INDEX(art_unit,MATCH(H729,art_ref,0))&amp;"",""))</f>
        <v/>
      </c>
      <c r="K729" s="59" t="n"/>
      <c r="L729" s="59" t="n"/>
      <c r="M729" s="61" t="str">
        <f>IF(OR(B729="",NOT(ISNUMBER(K729)),NOT(ISNUMBER(L729))),"",IF(OR(K729&lt;=0,L729&lt;=0),"",ROUND(L729-K729,6)))</f>
        <v/>
      </c>
      <c r="N729" s="58" t="n"/>
      <c r="O729" s="62" t="n"/>
      <c r="P729" s="63" t="str">
        <f>IF(OR(B729="",NOT(ISNUMBER(L729))),"",IF(L729&lt;=0,"",IFERROR(ROUND(L729*N(INDEX(art_w,MATCH(H729,art_ref,0))),3),"")))</f>
        <v/>
      </c>
      <c r="Q729" s="59" t="n"/>
      <c r="R729" s="54" t="n"/>
      <c r="S729" s="59" t="n"/>
      <c r="T729" s="59" t="n"/>
      <c r="U729" s="64" t="str">
        <f>IF(OR(B729="",H729=""),"",IFERROR(IF(A729="BL",IF(N(INDEX(art_price,MATCH(H729,art_ref,0)))=0,"",N(INDEX(art_price,MATCH(H729,art_ref,0)))),IF(N(INDEX(art_cost,MATCH(H729,art_ref,0)))=0,"",N(INDEX(art_cost,MATCH(H729,art_ref,0))))),""))</f>
        <v/>
      </c>
      <c r="V729" s="64" t="str">
        <f>IF(OR(U729="",NOT(ISNUMBER(L729))),"",IF(L729&lt;=0,"",ROUND(L729*U729,2)))</f>
        <v/>
      </c>
      <c r="W729" s="60" t="str">
        <f>IF(AND(B729&lt;&gt;"",A729&lt;&gt;"BS",F729&lt;&gt;"",H729&lt;&gt;"",ISNUMBER(K729),ISNUMBER(L729)),IF(AND(K729&gt;0,L729&gt;0,K729-L729&gt;0,COUNTIFS(A730:A$2005,A729,F730:F$2005,F729,H730:H$2005,H729,AA730:AA$2005,"&gt;0")=0),ROUND(K729-L729,6),""),"")</f>
        <v/>
      </c>
      <c r="X729" s="60" t="str">
        <f>IF(AND(A729="",C729="",D729="",H729="",L729=""),"",IF(A729="","Type manquant",IF(AND(A729&lt;&gt;"BL",A729&lt;&gt;"BR",A729&lt;&gt;"BS"),"Type inconnu (BL, BR ou BS)",IF(AG729=0,"Date manquante ou invalide",IF(D729="",IF(A729="BL","Client manquant",IF(A729="BR","Fournisseur manquant","Service manquant")),IF(IF(A729="BL",ISNA(MATCH(D729,cl_code,0)),IF(A729="BR",ISNA(MATCH(D729,fo_code,0)),ISNA(MATCH(D729,p_services,0)))),IF(A729="BL","Client inconnu",IF(A729="BR","Fournisseur inconnu","Service inconnu")),IF(H729="","Article manquant",IF(ISNA(MATCH(H729,art_ref,0)),"Article inconnu",IF(OR(NOT(ISNUMBER(L729)),N(L729)&lt;=0),"Quantité invalide",IF(AND(K729&lt;&gt;"",OR(NOT(ISNUMBER(K729)),N(K729)&lt;=0)),"Qté commandée invalide",IF(AG729&lt;SUMPRODUCT(MAX((A$6:A728=A729)*AG$6:AG728)),"Date antérieure au bon précédent",IF(AND(A729&lt;&gt;"BR",ISNUMBER(M729),N(M729)&gt;0),IF(A729="BL","Livré plus que commandé","Sorti plus que demandé"),"OK"))))))))))))</f>
        <v/>
      </c>
      <c r="Y729" s="57" t="str">
        <f>IF(AND(OR(A729="BL",A729="BR",A729="BS"),AG729&gt;0,D729&lt;&gt;""),A729&amp;"|"&amp;AG729&amp;"|"&amp;D729&amp;"|"&amp;F729,"")</f>
        <v/>
      </c>
      <c r="Z729" s="57" t="str">
        <f>IF(Y729="","",IF(COUNTIF(Y$6:Y728,Y729)=0,1,0))</f>
        <v/>
      </c>
      <c r="AA729" s="57" t="str">
        <f>IF(Y729="","",IF(Z729=1,COUNTIFS(A$6:A729,A729,Z$6:Z729,1),INDEX(AA$6:AA728,MATCH(Y729,Y$6:Y728,0))))</f>
        <v/>
      </c>
      <c r="AB729" s="57" t="str">
        <f>IF(B729="","",COUNTIF(B$6:B729,B729))</f>
        <v/>
      </c>
      <c r="AC729" s="57" t="str">
        <f>IF(B729="","",B729&amp;"#"&amp;AB729)</f>
        <v/>
      </c>
      <c r="AD729" s="57" t="str">
        <f>IF(Z729=1,A729&amp;AA729,"")</f>
        <v/>
      </c>
      <c r="AE729" s="57" t="str">
        <f>IF(B729="","",YEAR(C729))</f>
        <v/>
      </c>
      <c r="AF729" s="57" t="str">
        <f>IF(B729="","",MONTH(C729))</f>
        <v/>
      </c>
      <c r="AG729" s="57">
        <f>IF(ISNUMBER(C729),C729,0)</f>
        <v>0.0</v>
      </c>
      <c r="AH729" s="57" t="str">
        <f>IF(N(W729)&gt;0,COUNTIF(W$6:W729,"&gt;0"),"")</f>
        <v/>
      </c>
      <c r="AI729" s="57" t="str">
        <f>IF(Z729=1,COUNTIF(Z$6:Z729,1),"")</f>
        <v/>
      </c>
    </row>
    <row r="730">
      <c r="A730" s="54" t="n"/>
      <c r="B730" s="55" t="str">
        <f>IF(AA730="","",A730&amp;"-"&amp;RIGHT("000"&amp;AA730,4))</f>
        <v/>
      </c>
      <c r="C730" s="56" t="n"/>
      <c r="D730" s="54" t="n"/>
      <c r="E730" s="57" t="str">
        <f>IF(D730="","",IF(A730="BL",IFERROR(INDEX(cl_name,MATCH(D730,cl_code,0))&amp;"","Client inconnu"),IF(A730="BR",IFERROR(INDEX(fo_name,MATCH(D730,fo_code,0))&amp;"","Fournisseur inconnu"),IF(A730="BS",IF(ISNA(MATCH(D730,p_services,0)),"Service inconnu",D730&amp;""),""))))</f>
        <v/>
      </c>
      <c r="F730" s="58" t="n"/>
      <c r="G730" s="58" t="n"/>
      <c r="H730" s="59" t="n"/>
      <c r="I730" s="57" t="str">
        <f>IF(H730="","",IFERROR(INDEX(art_des,MATCH(H730,art_ref,0))&amp;"","Article inconnu"))</f>
        <v/>
      </c>
      <c r="J730" s="60" t="str">
        <f>IF(H730="","",IFERROR(INDEX(art_unit,MATCH(H730,art_ref,0))&amp;"",""))</f>
        <v/>
      </c>
      <c r="K730" s="59" t="n"/>
      <c r="L730" s="59" t="n"/>
      <c r="M730" s="61" t="str">
        <f>IF(OR(B730="",NOT(ISNUMBER(K730)),NOT(ISNUMBER(L730))),"",IF(OR(K730&lt;=0,L730&lt;=0),"",ROUND(L730-K730,6)))</f>
        <v/>
      </c>
      <c r="N730" s="58" t="n"/>
      <c r="O730" s="62" t="n"/>
      <c r="P730" s="63" t="str">
        <f>IF(OR(B730="",NOT(ISNUMBER(L730))),"",IF(L730&lt;=0,"",IFERROR(ROUND(L730*N(INDEX(art_w,MATCH(H730,art_ref,0))),3),"")))</f>
        <v/>
      </c>
      <c r="Q730" s="59" t="n"/>
      <c r="R730" s="54" t="n"/>
      <c r="S730" s="59" t="n"/>
      <c r="T730" s="59" t="n"/>
      <c r="U730" s="64" t="str">
        <f>IF(OR(B730="",H730=""),"",IFERROR(IF(A730="BL",IF(N(INDEX(art_price,MATCH(H730,art_ref,0)))=0,"",N(INDEX(art_price,MATCH(H730,art_ref,0)))),IF(N(INDEX(art_cost,MATCH(H730,art_ref,0)))=0,"",N(INDEX(art_cost,MATCH(H730,art_ref,0))))),""))</f>
        <v/>
      </c>
      <c r="V730" s="64" t="str">
        <f>IF(OR(U730="",NOT(ISNUMBER(L730))),"",IF(L730&lt;=0,"",ROUND(L730*U730,2)))</f>
        <v/>
      </c>
      <c r="W730" s="60" t="str">
        <f>IF(AND(B730&lt;&gt;"",A730&lt;&gt;"BS",F730&lt;&gt;"",H730&lt;&gt;"",ISNUMBER(K730),ISNUMBER(L730)),IF(AND(K730&gt;0,L730&gt;0,K730-L730&gt;0,COUNTIFS(A731:A$2005,A730,F731:F$2005,F730,H731:H$2005,H730,AA731:AA$2005,"&gt;0")=0),ROUND(K730-L730,6),""),"")</f>
        <v/>
      </c>
      <c r="X730" s="60" t="str">
        <f>IF(AND(A730="",C730="",D730="",H730="",L730=""),"",IF(A730="","Type manquant",IF(AND(A730&lt;&gt;"BL",A730&lt;&gt;"BR",A730&lt;&gt;"BS"),"Type inconnu (BL, BR ou BS)",IF(AG730=0,"Date manquante ou invalide",IF(D730="",IF(A730="BL","Client manquant",IF(A730="BR","Fournisseur manquant","Service manquant")),IF(IF(A730="BL",ISNA(MATCH(D730,cl_code,0)),IF(A730="BR",ISNA(MATCH(D730,fo_code,0)),ISNA(MATCH(D730,p_services,0)))),IF(A730="BL","Client inconnu",IF(A730="BR","Fournisseur inconnu","Service inconnu")),IF(H730="","Article manquant",IF(ISNA(MATCH(H730,art_ref,0)),"Article inconnu",IF(OR(NOT(ISNUMBER(L730)),N(L730)&lt;=0),"Quantité invalide",IF(AND(K730&lt;&gt;"",OR(NOT(ISNUMBER(K730)),N(K730)&lt;=0)),"Qté commandée invalide",IF(AG730&lt;SUMPRODUCT(MAX((A$6:A729=A730)*AG$6:AG729)),"Date antérieure au bon précédent",IF(AND(A730&lt;&gt;"BR",ISNUMBER(M730),N(M730)&gt;0),IF(A730="BL","Livré plus que commandé","Sorti plus que demandé"),"OK"))))))))))))</f>
        <v/>
      </c>
      <c r="Y730" s="57" t="str">
        <f>IF(AND(OR(A730="BL",A730="BR",A730="BS"),AG730&gt;0,D730&lt;&gt;""),A730&amp;"|"&amp;AG730&amp;"|"&amp;D730&amp;"|"&amp;F730,"")</f>
        <v/>
      </c>
      <c r="Z730" s="57" t="str">
        <f>IF(Y730="","",IF(COUNTIF(Y$6:Y729,Y730)=0,1,0))</f>
        <v/>
      </c>
      <c r="AA730" s="57" t="str">
        <f>IF(Y730="","",IF(Z730=1,COUNTIFS(A$6:A730,A730,Z$6:Z730,1),INDEX(AA$6:AA729,MATCH(Y730,Y$6:Y729,0))))</f>
        <v/>
      </c>
      <c r="AB730" s="57" t="str">
        <f>IF(B730="","",COUNTIF(B$6:B730,B730))</f>
        <v/>
      </c>
      <c r="AC730" s="57" t="str">
        <f>IF(B730="","",B730&amp;"#"&amp;AB730)</f>
        <v/>
      </c>
      <c r="AD730" s="57" t="str">
        <f>IF(Z730=1,A730&amp;AA730,"")</f>
        <v/>
      </c>
      <c r="AE730" s="57" t="str">
        <f>IF(B730="","",YEAR(C730))</f>
        <v/>
      </c>
      <c r="AF730" s="57" t="str">
        <f>IF(B730="","",MONTH(C730))</f>
        <v/>
      </c>
      <c r="AG730" s="57">
        <f>IF(ISNUMBER(C730),C730,0)</f>
        <v>0.0</v>
      </c>
      <c r="AH730" s="57" t="str">
        <f>IF(N(W730)&gt;0,COUNTIF(W$6:W730,"&gt;0"),"")</f>
        <v/>
      </c>
      <c r="AI730" s="57" t="str">
        <f>IF(Z730=1,COUNTIF(Z$6:Z730,1),"")</f>
        <v/>
      </c>
    </row>
    <row r="731">
      <c r="A731" s="54" t="n"/>
      <c r="B731" s="55" t="str">
        <f>IF(AA731="","",A731&amp;"-"&amp;RIGHT("000"&amp;AA731,4))</f>
        <v/>
      </c>
      <c r="C731" s="56" t="n"/>
      <c r="D731" s="54" t="n"/>
      <c r="E731" s="57" t="str">
        <f>IF(D731="","",IF(A731="BL",IFERROR(INDEX(cl_name,MATCH(D731,cl_code,0))&amp;"","Client inconnu"),IF(A731="BR",IFERROR(INDEX(fo_name,MATCH(D731,fo_code,0))&amp;"","Fournisseur inconnu"),IF(A731="BS",IF(ISNA(MATCH(D731,p_services,0)),"Service inconnu",D731&amp;""),""))))</f>
        <v/>
      </c>
      <c r="F731" s="58" t="n"/>
      <c r="G731" s="58" t="n"/>
      <c r="H731" s="59" t="n"/>
      <c r="I731" s="57" t="str">
        <f>IF(H731="","",IFERROR(INDEX(art_des,MATCH(H731,art_ref,0))&amp;"","Article inconnu"))</f>
        <v/>
      </c>
      <c r="J731" s="60" t="str">
        <f>IF(H731="","",IFERROR(INDEX(art_unit,MATCH(H731,art_ref,0))&amp;"",""))</f>
        <v/>
      </c>
      <c r="K731" s="59" t="n"/>
      <c r="L731" s="59" t="n"/>
      <c r="M731" s="61" t="str">
        <f>IF(OR(B731="",NOT(ISNUMBER(K731)),NOT(ISNUMBER(L731))),"",IF(OR(K731&lt;=0,L731&lt;=0),"",ROUND(L731-K731,6)))</f>
        <v/>
      </c>
      <c r="N731" s="58" t="n"/>
      <c r="O731" s="62" t="n"/>
      <c r="P731" s="63" t="str">
        <f>IF(OR(B731="",NOT(ISNUMBER(L731))),"",IF(L731&lt;=0,"",IFERROR(ROUND(L731*N(INDEX(art_w,MATCH(H731,art_ref,0))),3),"")))</f>
        <v/>
      </c>
      <c r="Q731" s="59" t="n"/>
      <c r="R731" s="54" t="n"/>
      <c r="S731" s="59" t="n"/>
      <c r="T731" s="59" t="n"/>
      <c r="U731" s="64" t="str">
        <f>IF(OR(B731="",H731=""),"",IFERROR(IF(A731="BL",IF(N(INDEX(art_price,MATCH(H731,art_ref,0)))=0,"",N(INDEX(art_price,MATCH(H731,art_ref,0)))),IF(N(INDEX(art_cost,MATCH(H731,art_ref,0)))=0,"",N(INDEX(art_cost,MATCH(H731,art_ref,0))))),""))</f>
        <v/>
      </c>
      <c r="V731" s="64" t="str">
        <f>IF(OR(U731="",NOT(ISNUMBER(L731))),"",IF(L731&lt;=0,"",ROUND(L731*U731,2)))</f>
        <v/>
      </c>
      <c r="W731" s="60" t="str">
        <f>IF(AND(B731&lt;&gt;"",A731&lt;&gt;"BS",F731&lt;&gt;"",H731&lt;&gt;"",ISNUMBER(K731),ISNUMBER(L731)),IF(AND(K731&gt;0,L731&gt;0,K731-L731&gt;0,COUNTIFS(A732:A$2005,A731,F732:F$2005,F731,H732:H$2005,H731,AA732:AA$2005,"&gt;0")=0),ROUND(K731-L731,6),""),"")</f>
        <v/>
      </c>
      <c r="X731" s="60" t="str">
        <f>IF(AND(A731="",C731="",D731="",H731="",L731=""),"",IF(A731="","Type manquant",IF(AND(A731&lt;&gt;"BL",A731&lt;&gt;"BR",A731&lt;&gt;"BS"),"Type inconnu (BL, BR ou BS)",IF(AG731=0,"Date manquante ou invalide",IF(D731="",IF(A731="BL","Client manquant",IF(A731="BR","Fournisseur manquant","Service manquant")),IF(IF(A731="BL",ISNA(MATCH(D731,cl_code,0)),IF(A731="BR",ISNA(MATCH(D731,fo_code,0)),ISNA(MATCH(D731,p_services,0)))),IF(A731="BL","Client inconnu",IF(A731="BR","Fournisseur inconnu","Service inconnu")),IF(H731="","Article manquant",IF(ISNA(MATCH(H731,art_ref,0)),"Article inconnu",IF(OR(NOT(ISNUMBER(L731)),N(L731)&lt;=0),"Quantité invalide",IF(AND(K731&lt;&gt;"",OR(NOT(ISNUMBER(K731)),N(K731)&lt;=0)),"Qté commandée invalide",IF(AG731&lt;SUMPRODUCT(MAX((A$6:A730=A731)*AG$6:AG730)),"Date antérieure au bon précédent",IF(AND(A731&lt;&gt;"BR",ISNUMBER(M731),N(M731)&gt;0),IF(A731="BL","Livré plus que commandé","Sorti plus que demandé"),"OK"))))))))))))</f>
        <v/>
      </c>
      <c r="Y731" s="57" t="str">
        <f>IF(AND(OR(A731="BL",A731="BR",A731="BS"),AG731&gt;0,D731&lt;&gt;""),A731&amp;"|"&amp;AG731&amp;"|"&amp;D731&amp;"|"&amp;F731,"")</f>
        <v/>
      </c>
      <c r="Z731" s="57" t="str">
        <f>IF(Y731="","",IF(COUNTIF(Y$6:Y730,Y731)=0,1,0))</f>
        <v/>
      </c>
      <c r="AA731" s="57" t="str">
        <f>IF(Y731="","",IF(Z731=1,COUNTIFS(A$6:A731,A731,Z$6:Z731,1),INDEX(AA$6:AA730,MATCH(Y731,Y$6:Y730,0))))</f>
        <v/>
      </c>
      <c r="AB731" s="57" t="str">
        <f>IF(B731="","",COUNTIF(B$6:B731,B731))</f>
        <v/>
      </c>
      <c r="AC731" s="57" t="str">
        <f>IF(B731="","",B731&amp;"#"&amp;AB731)</f>
        <v/>
      </c>
      <c r="AD731" s="57" t="str">
        <f>IF(Z731=1,A731&amp;AA731,"")</f>
        <v/>
      </c>
      <c r="AE731" s="57" t="str">
        <f>IF(B731="","",YEAR(C731))</f>
        <v/>
      </c>
      <c r="AF731" s="57" t="str">
        <f>IF(B731="","",MONTH(C731))</f>
        <v/>
      </c>
      <c r="AG731" s="57">
        <f>IF(ISNUMBER(C731),C731,0)</f>
        <v>0.0</v>
      </c>
      <c r="AH731" s="57" t="str">
        <f>IF(N(W731)&gt;0,COUNTIF(W$6:W731,"&gt;0"),"")</f>
        <v/>
      </c>
      <c r="AI731" s="57" t="str">
        <f>IF(Z731=1,COUNTIF(Z$6:Z731,1),"")</f>
        <v/>
      </c>
    </row>
    <row r="732">
      <c r="A732" s="54" t="n"/>
      <c r="B732" s="55" t="str">
        <f>IF(AA732="","",A732&amp;"-"&amp;RIGHT("000"&amp;AA732,4))</f>
        <v/>
      </c>
      <c r="C732" s="56" t="n"/>
      <c r="D732" s="54" t="n"/>
      <c r="E732" s="57" t="str">
        <f>IF(D732="","",IF(A732="BL",IFERROR(INDEX(cl_name,MATCH(D732,cl_code,0))&amp;"","Client inconnu"),IF(A732="BR",IFERROR(INDEX(fo_name,MATCH(D732,fo_code,0))&amp;"","Fournisseur inconnu"),IF(A732="BS",IF(ISNA(MATCH(D732,p_services,0)),"Service inconnu",D732&amp;""),""))))</f>
        <v/>
      </c>
      <c r="F732" s="58" t="n"/>
      <c r="G732" s="58" t="n"/>
      <c r="H732" s="59" t="n"/>
      <c r="I732" s="57" t="str">
        <f>IF(H732="","",IFERROR(INDEX(art_des,MATCH(H732,art_ref,0))&amp;"","Article inconnu"))</f>
        <v/>
      </c>
      <c r="J732" s="60" t="str">
        <f>IF(H732="","",IFERROR(INDEX(art_unit,MATCH(H732,art_ref,0))&amp;"",""))</f>
        <v/>
      </c>
      <c r="K732" s="59" t="n"/>
      <c r="L732" s="59" t="n"/>
      <c r="M732" s="61" t="str">
        <f>IF(OR(B732="",NOT(ISNUMBER(K732)),NOT(ISNUMBER(L732))),"",IF(OR(K732&lt;=0,L732&lt;=0),"",ROUND(L732-K732,6)))</f>
        <v/>
      </c>
      <c r="N732" s="58" t="n"/>
      <c r="O732" s="62" t="n"/>
      <c r="P732" s="63" t="str">
        <f>IF(OR(B732="",NOT(ISNUMBER(L732))),"",IF(L732&lt;=0,"",IFERROR(ROUND(L732*N(INDEX(art_w,MATCH(H732,art_ref,0))),3),"")))</f>
        <v/>
      </c>
      <c r="Q732" s="59" t="n"/>
      <c r="R732" s="54" t="n"/>
      <c r="S732" s="59" t="n"/>
      <c r="T732" s="59" t="n"/>
      <c r="U732" s="64" t="str">
        <f>IF(OR(B732="",H732=""),"",IFERROR(IF(A732="BL",IF(N(INDEX(art_price,MATCH(H732,art_ref,0)))=0,"",N(INDEX(art_price,MATCH(H732,art_ref,0)))),IF(N(INDEX(art_cost,MATCH(H732,art_ref,0)))=0,"",N(INDEX(art_cost,MATCH(H732,art_ref,0))))),""))</f>
        <v/>
      </c>
      <c r="V732" s="64" t="str">
        <f>IF(OR(U732="",NOT(ISNUMBER(L732))),"",IF(L732&lt;=0,"",ROUND(L732*U732,2)))</f>
        <v/>
      </c>
      <c r="W732" s="60" t="str">
        <f>IF(AND(B732&lt;&gt;"",A732&lt;&gt;"BS",F732&lt;&gt;"",H732&lt;&gt;"",ISNUMBER(K732),ISNUMBER(L732)),IF(AND(K732&gt;0,L732&gt;0,K732-L732&gt;0,COUNTIFS(A733:A$2005,A732,F733:F$2005,F732,H733:H$2005,H732,AA733:AA$2005,"&gt;0")=0),ROUND(K732-L732,6),""),"")</f>
        <v/>
      </c>
      <c r="X732" s="60" t="str">
        <f>IF(AND(A732="",C732="",D732="",H732="",L732=""),"",IF(A732="","Type manquant",IF(AND(A732&lt;&gt;"BL",A732&lt;&gt;"BR",A732&lt;&gt;"BS"),"Type inconnu (BL, BR ou BS)",IF(AG732=0,"Date manquante ou invalide",IF(D732="",IF(A732="BL","Client manquant",IF(A732="BR","Fournisseur manquant","Service manquant")),IF(IF(A732="BL",ISNA(MATCH(D732,cl_code,0)),IF(A732="BR",ISNA(MATCH(D732,fo_code,0)),ISNA(MATCH(D732,p_services,0)))),IF(A732="BL","Client inconnu",IF(A732="BR","Fournisseur inconnu","Service inconnu")),IF(H732="","Article manquant",IF(ISNA(MATCH(H732,art_ref,0)),"Article inconnu",IF(OR(NOT(ISNUMBER(L732)),N(L732)&lt;=0),"Quantité invalide",IF(AND(K732&lt;&gt;"",OR(NOT(ISNUMBER(K732)),N(K732)&lt;=0)),"Qté commandée invalide",IF(AG732&lt;SUMPRODUCT(MAX((A$6:A731=A732)*AG$6:AG731)),"Date antérieure au bon précédent",IF(AND(A732&lt;&gt;"BR",ISNUMBER(M732),N(M732)&gt;0),IF(A732="BL","Livré plus que commandé","Sorti plus que demandé"),"OK"))))))))))))</f>
        <v/>
      </c>
      <c r="Y732" s="57" t="str">
        <f>IF(AND(OR(A732="BL",A732="BR",A732="BS"),AG732&gt;0,D732&lt;&gt;""),A732&amp;"|"&amp;AG732&amp;"|"&amp;D732&amp;"|"&amp;F732,"")</f>
        <v/>
      </c>
      <c r="Z732" s="57" t="str">
        <f>IF(Y732="","",IF(COUNTIF(Y$6:Y731,Y732)=0,1,0))</f>
        <v/>
      </c>
      <c r="AA732" s="57" t="str">
        <f>IF(Y732="","",IF(Z732=1,COUNTIFS(A$6:A732,A732,Z$6:Z732,1),INDEX(AA$6:AA731,MATCH(Y732,Y$6:Y731,0))))</f>
        <v/>
      </c>
      <c r="AB732" s="57" t="str">
        <f>IF(B732="","",COUNTIF(B$6:B732,B732))</f>
        <v/>
      </c>
      <c r="AC732" s="57" t="str">
        <f>IF(B732="","",B732&amp;"#"&amp;AB732)</f>
        <v/>
      </c>
      <c r="AD732" s="57" t="str">
        <f>IF(Z732=1,A732&amp;AA732,"")</f>
        <v/>
      </c>
      <c r="AE732" s="57" t="str">
        <f>IF(B732="","",YEAR(C732))</f>
        <v/>
      </c>
      <c r="AF732" s="57" t="str">
        <f>IF(B732="","",MONTH(C732))</f>
        <v/>
      </c>
      <c r="AG732" s="57">
        <f>IF(ISNUMBER(C732),C732,0)</f>
        <v>0.0</v>
      </c>
      <c r="AH732" s="57" t="str">
        <f>IF(N(W732)&gt;0,COUNTIF(W$6:W732,"&gt;0"),"")</f>
        <v/>
      </c>
      <c r="AI732" s="57" t="str">
        <f>IF(Z732=1,COUNTIF(Z$6:Z732,1),"")</f>
        <v/>
      </c>
    </row>
    <row r="733">
      <c r="A733" s="54" t="n"/>
      <c r="B733" s="55" t="str">
        <f>IF(AA733="","",A733&amp;"-"&amp;RIGHT("000"&amp;AA733,4))</f>
        <v/>
      </c>
      <c r="C733" s="56" t="n"/>
      <c r="D733" s="54" t="n"/>
      <c r="E733" s="57" t="str">
        <f>IF(D733="","",IF(A733="BL",IFERROR(INDEX(cl_name,MATCH(D733,cl_code,0))&amp;"","Client inconnu"),IF(A733="BR",IFERROR(INDEX(fo_name,MATCH(D733,fo_code,0))&amp;"","Fournisseur inconnu"),IF(A733="BS",IF(ISNA(MATCH(D733,p_services,0)),"Service inconnu",D733&amp;""),""))))</f>
        <v/>
      </c>
      <c r="F733" s="58" t="n"/>
      <c r="G733" s="58" t="n"/>
      <c r="H733" s="59" t="n"/>
      <c r="I733" s="57" t="str">
        <f>IF(H733="","",IFERROR(INDEX(art_des,MATCH(H733,art_ref,0))&amp;"","Article inconnu"))</f>
        <v/>
      </c>
      <c r="J733" s="60" t="str">
        <f>IF(H733="","",IFERROR(INDEX(art_unit,MATCH(H733,art_ref,0))&amp;"",""))</f>
        <v/>
      </c>
      <c r="K733" s="59" t="n"/>
      <c r="L733" s="59" t="n"/>
      <c r="M733" s="61" t="str">
        <f>IF(OR(B733="",NOT(ISNUMBER(K733)),NOT(ISNUMBER(L733))),"",IF(OR(K733&lt;=0,L733&lt;=0),"",ROUND(L733-K733,6)))</f>
        <v/>
      </c>
      <c r="N733" s="58" t="n"/>
      <c r="O733" s="62" t="n"/>
      <c r="P733" s="63" t="str">
        <f>IF(OR(B733="",NOT(ISNUMBER(L733))),"",IF(L733&lt;=0,"",IFERROR(ROUND(L733*N(INDEX(art_w,MATCH(H733,art_ref,0))),3),"")))</f>
        <v/>
      </c>
      <c r="Q733" s="59" t="n"/>
      <c r="R733" s="54" t="n"/>
      <c r="S733" s="59" t="n"/>
      <c r="T733" s="59" t="n"/>
      <c r="U733" s="64" t="str">
        <f>IF(OR(B733="",H733=""),"",IFERROR(IF(A733="BL",IF(N(INDEX(art_price,MATCH(H733,art_ref,0)))=0,"",N(INDEX(art_price,MATCH(H733,art_ref,0)))),IF(N(INDEX(art_cost,MATCH(H733,art_ref,0)))=0,"",N(INDEX(art_cost,MATCH(H733,art_ref,0))))),""))</f>
        <v/>
      </c>
      <c r="V733" s="64" t="str">
        <f>IF(OR(U733="",NOT(ISNUMBER(L733))),"",IF(L733&lt;=0,"",ROUND(L733*U733,2)))</f>
        <v/>
      </c>
      <c r="W733" s="60" t="str">
        <f>IF(AND(B733&lt;&gt;"",A733&lt;&gt;"BS",F733&lt;&gt;"",H733&lt;&gt;"",ISNUMBER(K733),ISNUMBER(L733)),IF(AND(K733&gt;0,L733&gt;0,K733-L733&gt;0,COUNTIFS(A734:A$2005,A733,F734:F$2005,F733,H734:H$2005,H733,AA734:AA$2005,"&gt;0")=0),ROUND(K733-L733,6),""),"")</f>
        <v/>
      </c>
      <c r="X733" s="60" t="str">
        <f>IF(AND(A733="",C733="",D733="",H733="",L733=""),"",IF(A733="","Type manquant",IF(AND(A733&lt;&gt;"BL",A733&lt;&gt;"BR",A733&lt;&gt;"BS"),"Type inconnu (BL, BR ou BS)",IF(AG733=0,"Date manquante ou invalide",IF(D733="",IF(A733="BL","Client manquant",IF(A733="BR","Fournisseur manquant","Service manquant")),IF(IF(A733="BL",ISNA(MATCH(D733,cl_code,0)),IF(A733="BR",ISNA(MATCH(D733,fo_code,0)),ISNA(MATCH(D733,p_services,0)))),IF(A733="BL","Client inconnu",IF(A733="BR","Fournisseur inconnu","Service inconnu")),IF(H733="","Article manquant",IF(ISNA(MATCH(H733,art_ref,0)),"Article inconnu",IF(OR(NOT(ISNUMBER(L733)),N(L733)&lt;=0),"Quantité invalide",IF(AND(K733&lt;&gt;"",OR(NOT(ISNUMBER(K733)),N(K733)&lt;=0)),"Qté commandée invalide",IF(AG733&lt;SUMPRODUCT(MAX((A$6:A732=A733)*AG$6:AG732)),"Date antérieure au bon précédent",IF(AND(A733&lt;&gt;"BR",ISNUMBER(M733),N(M733)&gt;0),IF(A733="BL","Livré plus que commandé","Sorti plus que demandé"),"OK"))))))))))))</f>
        <v/>
      </c>
      <c r="Y733" s="57" t="str">
        <f>IF(AND(OR(A733="BL",A733="BR",A733="BS"),AG733&gt;0,D733&lt;&gt;""),A733&amp;"|"&amp;AG733&amp;"|"&amp;D733&amp;"|"&amp;F733,"")</f>
        <v/>
      </c>
      <c r="Z733" s="57" t="str">
        <f>IF(Y733="","",IF(COUNTIF(Y$6:Y732,Y733)=0,1,0))</f>
        <v/>
      </c>
      <c r="AA733" s="57" t="str">
        <f>IF(Y733="","",IF(Z733=1,COUNTIFS(A$6:A733,A733,Z$6:Z733,1),INDEX(AA$6:AA732,MATCH(Y733,Y$6:Y732,0))))</f>
        <v/>
      </c>
      <c r="AB733" s="57" t="str">
        <f>IF(B733="","",COUNTIF(B$6:B733,B733))</f>
        <v/>
      </c>
      <c r="AC733" s="57" t="str">
        <f>IF(B733="","",B733&amp;"#"&amp;AB733)</f>
        <v/>
      </c>
      <c r="AD733" s="57" t="str">
        <f>IF(Z733=1,A733&amp;AA733,"")</f>
        <v/>
      </c>
      <c r="AE733" s="57" t="str">
        <f>IF(B733="","",YEAR(C733))</f>
        <v/>
      </c>
      <c r="AF733" s="57" t="str">
        <f>IF(B733="","",MONTH(C733))</f>
        <v/>
      </c>
      <c r="AG733" s="57">
        <f>IF(ISNUMBER(C733),C733,0)</f>
        <v>0.0</v>
      </c>
      <c r="AH733" s="57" t="str">
        <f>IF(N(W733)&gt;0,COUNTIF(W$6:W733,"&gt;0"),"")</f>
        <v/>
      </c>
      <c r="AI733" s="57" t="str">
        <f>IF(Z733=1,COUNTIF(Z$6:Z733,1),"")</f>
        <v/>
      </c>
    </row>
    <row r="734">
      <c r="A734" s="54" t="n"/>
      <c r="B734" s="55" t="str">
        <f>IF(AA734="","",A734&amp;"-"&amp;RIGHT("000"&amp;AA734,4))</f>
        <v/>
      </c>
      <c r="C734" s="56" t="n"/>
      <c r="D734" s="54" t="n"/>
      <c r="E734" s="57" t="str">
        <f>IF(D734="","",IF(A734="BL",IFERROR(INDEX(cl_name,MATCH(D734,cl_code,0))&amp;"","Client inconnu"),IF(A734="BR",IFERROR(INDEX(fo_name,MATCH(D734,fo_code,0))&amp;"","Fournisseur inconnu"),IF(A734="BS",IF(ISNA(MATCH(D734,p_services,0)),"Service inconnu",D734&amp;""),""))))</f>
        <v/>
      </c>
      <c r="F734" s="58" t="n"/>
      <c r="G734" s="58" t="n"/>
      <c r="H734" s="59" t="n"/>
      <c r="I734" s="57" t="str">
        <f>IF(H734="","",IFERROR(INDEX(art_des,MATCH(H734,art_ref,0))&amp;"","Article inconnu"))</f>
        <v/>
      </c>
      <c r="J734" s="60" t="str">
        <f>IF(H734="","",IFERROR(INDEX(art_unit,MATCH(H734,art_ref,0))&amp;"",""))</f>
        <v/>
      </c>
      <c r="K734" s="59" t="n"/>
      <c r="L734" s="59" t="n"/>
      <c r="M734" s="61" t="str">
        <f>IF(OR(B734="",NOT(ISNUMBER(K734)),NOT(ISNUMBER(L734))),"",IF(OR(K734&lt;=0,L734&lt;=0),"",ROUND(L734-K734,6)))</f>
        <v/>
      </c>
      <c r="N734" s="58" t="n"/>
      <c r="O734" s="62" t="n"/>
      <c r="P734" s="63" t="str">
        <f>IF(OR(B734="",NOT(ISNUMBER(L734))),"",IF(L734&lt;=0,"",IFERROR(ROUND(L734*N(INDEX(art_w,MATCH(H734,art_ref,0))),3),"")))</f>
        <v/>
      </c>
      <c r="Q734" s="59" t="n"/>
      <c r="R734" s="54" t="n"/>
      <c r="S734" s="59" t="n"/>
      <c r="T734" s="59" t="n"/>
      <c r="U734" s="64" t="str">
        <f>IF(OR(B734="",H734=""),"",IFERROR(IF(A734="BL",IF(N(INDEX(art_price,MATCH(H734,art_ref,0)))=0,"",N(INDEX(art_price,MATCH(H734,art_ref,0)))),IF(N(INDEX(art_cost,MATCH(H734,art_ref,0)))=0,"",N(INDEX(art_cost,MATCH(H734,art_ref,0))))),""))</f>
        <v/>
      </c>
      <c r="V734" s="64" t="str">
        <f>IF(OR(U734="",NOT(ISNUMBER(L734))),"",IF(L734&lt;=0,"",ROUND(L734*U734,2)))</f>
        <v/>
      </c>
      <c r="W734" s="60" t="str">
        <f>IF(AND(B734&lt;&gt;"",A734&lt;&gt;"BS",F734&lt;&gt;"",H734&lt;&gt;"",ISNUMBER(K734),ISNUMBER(L734)),IF(AND(K734&gt;0,L734&gt;0,K734-L734&gt;0,COUNTIFS(A735:A$2005,A734,F735:F$2005,F734,H735:H$2005,H734,AA735:AA$2005,"&gt;0")=0),ROUND(K734-L734,6),""),"")</f>
        <v/>
      </c>
      <c r="X734" s="60" t="str">
        <f>IF(AND(A734="",C734="",D734="",H734="",L734=""),"",IF(A734="","Type manquant",IF(AND(A734&lt;&gt;"BL",A734&lt;&gt;"BR",A734&lt;&gt;"BS"),"Type inconnu (BL, BR ou BS)",IF(AG734=0,"Date manquante ou invalide",IF(D734="",IF(A734="BL","Client manquant",IF(A734="BR","Fournisseur manquant","Service manquant")),IF(IF(A734="BL",ISNA(MATCH(D734,cl_code,0)),IF(A734="BR",ISNA(MATCH(D734,fo_code,0)),ISNA(MATCH(D734,p_services,0)))),IF(A734="BL","Client inconnu",IF(A734="BR","Fournisseur inconnu","Service inconnu")),IF(H734="","Article manquant",IF(ISNA(MATCH(H734,art_ref,0)),"Article inconnu",IF(OR(NOT(ISNUMBER(L734)),N(L734)&lt;=0),"Quantité invalide",IF(AND(K734&lt;&gt;"",OR(NOT(ISNUMBER(K734)),N(K734)&lt;=0)),"Qté commandée invalide",IF(AG734&lt;SUMPRODUCT(MAX((A$6:A733=A734)*AG$6:AG733)),"Date antérieure au bon précédent",IF(AND(A734&lt;&gt;"BR",ISNUMBER(M734),N(M734)&gt;0),IF(A734="BL","Livré plus que commandé","Sorti plus que demandé"),"OK"))))))))))))</f>
        <v/>
      </c>
      <c r="Y734" s="57" t="str">
        <f>IF(AND(OR(A734="BL",A734="BR",A734="BS"),AG734&gt;0,D734&lt;&gt;""),A734&amp;"|"&amp;AG734&amp;"|"&amp;D734&amp;"|"&amp;F734,"")</f>
        <v/>
      </c>
      <c r="Z734" s="57" t="str">
        <f>IF(Y734="","",IF(COUNTIF(Y$6:Y733,Y734)=0,1,0))</f>
        <v/>
      </c>
      <c r="AA734" s="57" t="str">
        <f>IF(Y734="","",IF(Z734=1,COUNTIFS(A$6:A734,A734,Z$6:Z734,1),INDEX(AA$6:AA733,MATCH(Y734,Y$6:Y733,0))))</f>
        <v/>
      </c>
      <c r="AB734" s="57" t="str">
        <f>IF(B734="","",COUNTIF(B$6:B734,B734))</f>
        <v/>
      </c>
      <c r="AC734" s="57" t="str">
        <f>IF(B734="","",B734&amp;"#"&amp;AB734)</f>
        <v/>
      </c>
      <c r="AD734" s="57" t="str">
        <f>IF(Z734=1,A734&amp;AA734,"")</f>
        <v/>
      </c>
      <c r="AE734" s="57" t="str">
        <f>IF(B734="","",YEAR(C734))</f>
        <v/>
      </c>
      <c r="AF734" s="57" t="str">
        <f>IF(B734="","",MONTH(C734))</f>
        <v/>
      </c>
      <c r="AG734" s="57">
        <f>IF(ISNUMBER(C734),C734,0)</f>
        <v>0.0</v>
      </c>
      <c r="AH734" s="57" t="str">
        <f>IF(N(W734)&gt;0,COUNTIF(W$6:W734,"&gt;0"),"")</f>
        <v/>
      </c>
      <c r="AI734" s="57" t="str">
        <f>IF(Z734=1,COUNTIF(Z$6:Z734,1),"")</f>
        <v/>
      </c>
    </row>
    <row r="735">
      <c r="A735" s="54" t="n"/>
      <c r="B735" s="55" t="str">
        <f>IF(AA735="","",A735&amp;"-"&amp;RIGHT("000"&amp;AA735,4))</f>
        <v/>
      </c>
      <c r="C735" s="56" t="n"/>
      <c r="D735" s="54" t="n"/>
      <c r="E735" s="57" t="str">
        <f>IF(D735="","",IF(A735="BL",IFERROR(INDEX(cl_name,MATCH(D735,cl_code,0))&amp;"","Client inconnu"),IF(A735="BR",IFERROR(INDEX(fo_name,MATCH(D735,fo_code,0))&amp;"","Fournisseur inconnu"),IF(A735="BS",IF(ISNA(MATCH(D735,p_services,0)),"Service inconnu",D735&amp;""),""))))</f>
        <v/>
      </c>
      <c r="F735" s="58" t="n"/>
      <c r="G735" s="58" t="n"/>
      <c r="H735" s="59" t="n"/>
      <c r="I735" s="57" t="str">
        <f>IF(H735="","",IFERROR(INDEX(art_des,MATCH(H735,art_ref,0))&amp;"","Article inconnu"))</f>
        <v/>
      </c>
      <c r="J735" s="60" t="str">
        <f>IF(H735="","",IFERROR(INDEX(art_unit,MATCH(H735,art_ref,0))&amp;"",""))</f>
        <v/>
      </c>
      <c r="K735" s="59" t="n"/>
      <c r="L735" s="59" t="n"/>
      <c r="M735" s="61" t="str">
        <f>IF(OR(B735="",NOT(ISNUMBER(K735)),NOT(ISNUMBER(L735))),"",IF(OR(K735&lt;=0,L735&lt;=0),"",ROUND(L735-K735,6)))</f>
        <v/>
      </c>
      <c r="N735" s="58" t="n"/>
      <c r="O735" s="62" t="n"/>
      <c r="P735" s="63" t="str">
        <f>IF(OR(B735="",NOT(ISNUMBER(L735))),"",IF(L735&lt;=0,"",IFERROR(ROUND(L735*N(INDEX(art_w,MATCH(H735,art_ref,0))),3),"")))</f>
        <v/>
      </c>
      <c r="Q735" s="59" t="n"/>
      <c r="R735" s="54" t="n"/>
      <c r="S735" s="59" t="n"/>
      <c r="T735" s="59" t="n"/>
      <c r="U735" s="64" t="str">
        <f>IF(OR(B735="",H735=""),"",IFERROR(IF(A735="BL",IF(N(INDEX(art_price,MATCH(H735,art_ref,0)))=0,"",N(INDEX(art_price,MATCH(H735,art_ref,0)))),IF(N(INDEX(art_cost,MATCH(H735,art_ref,0)))=0,"",N(INDEX(art_cost,MATCH(H735,art_ref,0))))),""))</f>
        <v/>
      </c>
      <c r="V735" s="64" t="str">
        <f>IF(OR(U735="",NOT(ISNUMBER(L735))),"",IF(L735&lt;=0,"",ROUND(L735*U735,2)))</f>
        <v/>
      </c>
      <c r="W735" s="60" t="str">
        <f>IF(AND(B735&lt;&gt;"",A735&lt;&gt;"BS",F735&lt;&gt;"",H735&lt;&gt;"",ISNUMBER(K735),ISNUMBER(L735)),IF(AND(K735&gt;0,L735&gt;0,K735-L735&gt;0,COUNTIFS(A736:A$2005,A735,F736:F$2005,F735,H736:H$2005,H735,AA736:AA$2005,"&gt;0")=0),ROUND(K735-L735,6),""),"")</f>
        <v/>
      </c>
      <c r="X735" s="60" t="str">
        <f>IF(AND(A735="",C735="",D735="",H735="",L735=""),"",IF(A735="","Type manquant",IF(AND(A735&lt;&gt;"BL",A735&lt;&gt;"BR",A735&lt;&gt;"BS"),"Type inconnu (BL, BR ou BS)",IF(AG735=0,"Date manquante ou invalide",IF(D735="",IF(A735="BL","Client manquant",IF(A735="BR","Fournisseur manquant","Service manquant")),IF(IF(A735="BL",ISNA(MATCH(D735,cl_code,0)),IF(A735="BR",ISNA(MATCH(D735,fo_code,0)),ISNA(MATCH(D735,p_services,0)))),IF(A735="BL","Client inconnu",IF(A735="BR","Fournisseur inconnu","Service inconnu")),IF(H735="","Article manquant",IF(ISNA(MATCH(H735,art_ref,0)),"Article inconnu",IF(OR(NOT(ISNUMBER(L735)),N(L735)&lt;=0),"Quantité invalide",IF(AND(K735&lt;&gt;"",OR(NOT(ISNUMBER(K735)),N(K735)&lt;=0)),"Qté commandée invalide",IF(AG735&lt;SUMPRODUCT(MAX((A$6:A734=A735)*AG$6:AG734)),"Date antérieure au bon précédent",IF(AND(A735&lt;&gt;"BR",ISNUMBER(M735),N(M735)&gt;0),IF(A735="BL","Livré plus que commandé","Sorti plus que demandé"),"OK"))))))))))))</f>
        <v/>
      </c>
      <c r="Y735" s="57" t="str">
        <f>IF(AND(OR(A735="BL",A735="BR",A735="BS"),AG735&gt;0,D735&lt;&gt;""),A735&amp;"|"&amp;AG735&amp;"|"&amp;D735&amp;"|"&amp;F735,"")</f>
        <v/>
      </c>
      <c r="Z735" s="57" t="str">
        <f>IF(Y735="","",IF(COUNTIF(Y$6:Y734,Y735)=0,1,0))</f>
        <v/>
      </c>
      <c r="AA735" s="57" t="str">
        <f>IF(Y735="","",IF(Z735=1,COUNTIFS(A$6:A735,A735,Z$6:Z735,1),INDEX(AA$6:AA734,MATCH(Y735,Y$6:Y734,0))))</f>
        <v/>
      </c>
      <c r="AB735" s="57" t="str">
        <f>IF(B735="","",COUNTIF(B$6:B735,B735))</f>
        <v/>
      </c>
      <c r="AC735" s="57" t="str">
        <f>IF(B735="","",B735&amp;"#"&amp;AB735)</f>
        <v/>
      </c>
      <c r="AD735" s="57" t="str">
        <f>IF(Z735=1,A735&amp;AA735,"")</f>
        <v/>
      </c>
      <c r="AE735" s="57" t="str">
        <f>IF(B735="","",YEAR(C735))</f>
        <v/>
      </c>
      <c r="AF735" s="57" t="str">
        <f>IF(B735="","",MONTH(C735))</f>
        <v/>
      </c>
      <c r="AG735" s="57">
        <f>IF(ISNUMBER(C735),C735,0)</f>
        <v>0.0</v>
      </c>
      <c r="AH735" s="57" t="str">
        <f>IF(N(W735)&gt;0,COUNTIF(W$6:W735,"&gt;0"),"")</f>
        <v/>
      </c>
      <c r="AI735" s="57" t="str">
        <f>IF(Z735=1,COUNTIF(Z$6:Z735,1),"")</f>
        <v/>
      </c>
    </row>
    <row r="736">
      <c r="A736" s="54" t="n"/>
      <c r="B736" s="55" t="str">
        <f>IF(AA736="","",A736&amp;"-"&amp;RIGHT("000"&amp;AA736,4))</f>
        <v/>
      </c>
      <c r="C736" s="56" t="n"/>
      <c r="D736" s="54" t="n"/>
      <c r="E736" s="57" t="str">
        <f>IF(D736="","",IF(A736="BL",IFERROR(INDEX(cl_name,MATCH(D736,cl_code,0))&amp;"","Client inconnu"),IF(A736="BR",IFERROR(INDEX(fo_name,MATCH(D736,fo_code,0))&amp;"","Fournisseur inconnu"),IF(A736="BS",IF(ISNA(MATCH(D736,p_services,0)),"Service inconnu",D736&amp;""),""))))</f>
        <v/>
      </c>
      <c r="F736" s="58" t="n"/>
      <c r="G736" s="58" t="n"/>
      <c r="H736" s="59" t="n"/>
      <c r="I736" s="57" t="str">
        <f>IF(H736="","",IFERROR(INDEX(art_des,MATCH(H736,art_ref,0))&amp;"","Article inconnu"))</f>
        <v/>
      </c>
      <c r="J736" s="60" t="str">
        <f>IF(H736="","",IFERROR(INDEX(art_unit,MATCH(H736,art_ref,0))&amp;"",""))</f>
        <v/>
      </c>
      <c r="K736" s="59" t="n"/>
      <c r="L736" s="59" t="n"/>
      <c r="M736" s="61" t="str">
        <f>IF(OR(B736="",NOT(ISNUMBER(K736)),NOT(ISNUMBER(L736))),"",IF(OR(K736&lt;=0,L736&lt;=0),"",ROUND(L736-K736,6)))</f>
        <v/>
      </c>
      <c r="N736" s="58" t="n"/>
      <c r="O736" s="62" t="n"/>
      <c r="P736" s="63" t="str">
        <f>IF(OR(B736="",NOT(ISNUMBER(L736))),"",IF(L736&lt;=0,"",IFERROR(ROUND(L736*N(INDEX(art_w,MATCH(H736,art_ref,0))),3),"")))</f>
        <v/>
      </c>
      <c r="Q736" s="59" t="n"/>
      <c r="R736" s="54" t="n"/>
      <c r="S736" s="59" t="n"/>
      <c r="T736" s="59" t="n"/>
      <c r="U736" s="64" t="str">
        <f>IF(OR(B736="",H736=""),"",IFERROR(IF(A736="BL",IF(N(INDEX(art_price,MATCH(H736,art_ref,0)))=0,"",N(INDEX(art_price,MATCH(H736,art_ref,0)))),IF(N(INDEX(art_cost,MATCH(H736,art_ref,0)))=0,"",N(INDEX(art_cost,MATCH(H736,art_ref,0))))),""))</f>
        <v/>
      </c>
      <c r="V736" s="64" t="str">
        <f>IF(OR(U736="",NOT(ISNUMBER(L736))),"",IF(L736&lt;=0,"",ROUND(L736*U736,2)))</f>
        <v/>
      </c>
      <c r="W736" s="60" t="str">
        <f>IF(AND(B736&lt;&gt;"",A736&lt;&gt;"BS",F736&lt;&gt;"",H736&lt;&gt;"",ISNUMBER(K736),ISNUMBER(L736)),IF(AND(K736&gt;0,L736&gt;0,K736-L736&gt;0,COUNTIFS(A737:A$2005,A736,F737:F$2005,F736,H737:H$2005,H736,AA737:AA$2005,"&gt;0")=0),ROUND(K736-L736,6),""),"")</f>
        <v/>
      </c>
      <c r="X736" s="60" t="str">
        <f>IF(AND(A736="",C736="",D736="",H736="",L736=""),"",IF(A736="","Type manquant",IF(AND(A736&lt;&gt;"BL",A736&lt;&gt;"BR",A736&lt;&gt;"BS"),"Type inconnu (BL, BR ou BS)",IF(AG736=0,"Date manquante ou invalide",IF(D736="",IF(A736="BL","Client manquant",IF(A736="BR","Fournisseur manquant","Service manquant")),IF(IF(A736="BL",ISNA(MATCH(D736,cl_code,0)),IF(A736="BR",ISNA(MATCH(D736,fo_code,0)),ISNA(MATCH(D736,p_services,0)))),IF(A736="BL","Client inconnu",IF(A736="BR","Fournisseur inconnu","Service inconnu")),IF(H736="","Article manquant",IF(ISNA(MATCH(H736,art_ref,0)),"Article inconnu",IF(OR(NOT(ISNUMBER(L736)),N(L736)&lt;=0),"Quantité invalide",IF(AND(K736&lt;&gt;"",OR(NOT(ISNUMBER(K736)),N(K736)&lt;=0)),"Qté commandée invalide",IF(AG736&lt;SUMPRODUCT(MAX((A$6:A735=A736)*AG$6:AG735)),"Date antérieure au bon précédent",IF(AND(A736&lt;&gt;"BR",ISNUMBER(M736),N(M736)&gt;0),IF(A736="BL","Livré plus que commandé","Sorti plus que demandé"),"OK"))))))))))))</f>
        <v/>
      </c>
      <c r="Y736" s="57" t="str">
        <f>IF(AND(OR(A736="BL",A736="BR",A736="BS"),AG736&gt;0,D736&lt;&gt;""),A736&amp;"|"&amp;AG736&amp;"|"&amp;D736&amp;"|"&amp;F736,"")</f>
        <v/>
      </c>
      <c r="Z736" s="57" t="str">
        <f>IF(Y736="","",IF(COUNTIF(Y$6:Y735,Y736)=0,1,0))</f>
        <v/>
      </c>
      <c r="AA736" s="57" t="str">
        <f>IF(Y736="","",IF(Z736=1,COUNTIFS(A$6:A736,A736,Z$6:Z736,1),INDEX(AA$6:AA735,MATCH(Y736,Y$6:Y735,0))))</f>
        <v/>
      </c>
      <c r="AB736" s="57" t="str">
        <f>IF(B736="","",COUNTIF(B$6:B736,B736))</f>
        <v/>
      </c>
      <c r="AC736" s="57" t="str">
        <f>IF(B736="","",B736&amp;"#"&amp;AB736)</f>
        <v/>
      </c>
      <c r="AD736" s="57" t="str">
        <f>IF(Z736=1,A736&amp;AA736,"")</f>
        <v/>
      </c>
      <c r="AE736" s="57" t="str">
        <f>IF(B736="","",YEAR(C736))</f>
        <v/>
      </c>
      <c r="AF736" s="57" t="str">
        <f>IF(B736="","",MONTH(C736))</f>
        <v/>
      </c>
      <c r="AG736" s="57">
        <f>IF(ISNUMBER(C736),C736,0)</f>
        <v>0.0</v>
      </c>
      <c r="AH736" s="57" t="str">
        <f>IF(N(W736)&gt;0,COUNTIF(W$6:W736,"&gt;0"),"")</f>
        <v/>
      </c>
      <c r="AI736" s="57" t="str">
        <f>IF(Z736=1,COUNTIF(Z$6:Z736,1),"")</f>
        <v/>
      </c>
    </row>
    <row r="737">
      <c r="A737" s="54" t="n"/>
      <c r="B737" s="55" t="str">
        <f>IF(AA737="","",A737&amp;"-"&amp;RIGHT("000"&amp;AA737,4))</f>
        <v/>
      </c>
      <c r="C737" s="56" t="n"/>
      <c r="D737" s="54" t="n"/>
      <c r="E737" s="57" t="str">
        <f>IF(D737="","",IF(A737="BL",IFERROR(INDEX(cl_name,MATCH(D737,cl_code,0))&amp;"","Client inconnu"),IF(A737="BR",IFERROR(INDEX(fo_name,MATCH(D737,fo_code,0))&amp;"","Fournisseur inconnu"),IF(A737="BS",IF(ISNA(MATCH(D737,p_services,0)),"Service inconnu",D737&amp;""),""))))</f>
        <v/>
      </c>
      <c r="F737" s="58" t="n"/>
      <c r="G737" s="58" t="n"/>
      <c r="H737" s="59" t="n"/>
      <c r="I737" s="57" t="str">
        <f>IF(H737="","",IFERROR(INDEX(art_des,MATCH(H737,art_ref,0))&amp;"","Article inconnu"))</f>
        <v/>
      </c>
      <c r="J737" s="60" t="str">
        <f>IF(H737="","",IFERROR(INDEX(art_unit,MATCH(H737,art_ref,0))&amp;"",""))</f>
        <v/>
      </c>
      <c r="K737" s="59" t="n"/>
      <c r="L737" s="59" t="n"/>
      <c r="M737" s="61" t="str">
        <f>IF(OR(B737="",NOT(ISNUMBER(K737)),NOT(ISNUMBER(L737))),"",IF(OR(K737&lt;=0,L737&lt;=0),"",ROUND(L737-K737,6)))</f>
        <v/>
      </c>
      <c r="N737" s="58" t="n"/>
      <c r="O737" s="62" t="n"/>
      <c r="P737" s="63" t="str">
        <f>IF(OR(B737="",NOT(ISNUMBER(L737))),"",IF(L737&lt;=0,"",IFERROR(ROUND(L737*N(INDEX(art_w,MATCH(H737,art_ref,0))),3),"")))</f>
        <v/>
      </c>
      <c r="Q737" s="59" t="n"/>
      <c r="R737" s="54" t="n"/>
      <c r="S737" s="59" t="n"/>
      <c r="T737" s="59" t="n"/>
      <c r="U737" s="64" t="str">
        <f>IF(OR(B737="",H737=""),"",IFERROR(IF(A737="BL",IF(N(INDEX(art_price,MATCH(H737,art_ref,0)))=0,"",N(INDEX(art_price,MATCH(H737,art_ref,0)))),IF(N(INDEX(art_cost,MATCH(H737,art_ref,0)))=0,"",N(INDEX(art_cost,MATCH(H737,art_ref,0))))),""))</f>
        <v/>
      </c>
      <c r="V737" s="64" t="str">
        <f>IF(OR(U737="",NOT(ISNUMBER(L737))),"",IF(L737&lt;=0,"",ROUND(L737*U737,2)))</f>
        <v/>
      </c>
      <c r="W737" s="60" t="str">
        <f>IF(AND(B737&lt;&gt;"",A737&lt;&gt;"BS",F737&lt;&gt;"",H737&lt;&gt;"",ISNUMBER(K737),ISNUMBER(L737)),IF(AND(K737&gt;0,L737&gt;0,K737-L737&gt;0,COUNTIFS(A738:A$2005,A737,F738:F$2005,F737,H738:H$2005,H737,AA738:AA$2005,"&gt;0")=0),ROUND(K737-L737,6),""),"")</f>
        <v/>
      </c>
      <c r="X737" s="60" t="str">
        <f>IF(AND(A737="",C737="",D737="",H737="",L737=""),"",IF(A737="","Type manquant",IF(AND(A737&lt;&gt;"BL",A737&lt;&gt;"BR",A737&lt;&gt;"BS"),"Type inconnu (BL, BR ou BS)",IF(AG737=0,"Date manquante ou invalide",IF(D737="",IF(A737="BL","Client manquant",IF(A737="BR","Fournisseur manquant","Service manquant")),IF(IF(A737="BL",ISNA(MATCH(D737,cl_code,0)),IF(A737="BR",ISNA(MATCH(D737,fo_code,0)),ISNA(MATCH(D737,p_services,0)))),IF(A737="BL","Client inconnu",IF(A737="BR","Fournisseur inconnu","Service inconnu")),IF(H737="","Article manquant",IF(ISNA(MATCH(H737,art_ref,0)),"Article inconnu",IF(OR(NOT(ISNUMBER(L737)),N(L737)&lt;=0),"Quantité invalide",IF(AND(K737&lt;&gt;"",OR(NOT(ISNUMBER(K737)),N(K737)&lt;=0)),"Qté commandée invalide",IF(AG737&lt;SUMPRODUCT(MAX((A$6:A736=A737)*AG$6:AG736)),"Date antérieure au bon précédent",IF(AND(A737&lt;&gt;"BR",ISNUMBER(M737),N(M737)&gt;0),IF(A737="BL","Livré plus que commandé","Sorti plus que demandé"),"OK"))))))))))))</f>
        <v/>
      </c>
      <c r="Y737" s="57" t="str">
        <f>IF(AND(OR(A737="BL",A737="BR",A737="BS"),AG737&gt;0,D737&lt;&gt;""),A737&amp;"|"&amp;AG737&amp;"|"&amp;D737&amp;"|"&amp;F737,"")</f>
        <v/>
      </c>
      <c r="Z737" s="57" t="str">
        <f>IF(Y737="","",IF(COUNTIF(Y$6:Y736,Y737)=0,1,0))</f>
        <v/>
      </c>
      <c r="AA737" s="57" t="str">
        <f>IF(Y737="","",IF(Z737=1,COUNTIFS(A$6:A737,A737,Z$6:Z737,1),INDEX(AA$6:AA736,MATCH(Y737,Y$6:Y736,0))))</f>
        <v/>
      </c>
      <c r="AB737" s="57" t="str">
        <f>IF(B737="","",COUNTIF(B$6:B737,B737))</f>
        <v/>
      </c>
      <c r="AC737" s="57" t="str">
        <f>IF(B737="","",B737&amp;"#"&amp;AB737)</f>
        <v/>
      </c>
      <c r="AD737" s="57" t="str">
        <f>IF(Z737=1,A737&amp;AA737,"")</f>
        <v/>
      </c>
      <c r="AE737" s="57" t="str">
        <f>IF(B737="","",YEAR(C737))</f>
        <v/>
      </c>
      <c r="AF737" s="57" t="str">
        <f>IF(B737="","",MONTH(C737))</f>
        <v/>
      </c>
      <c r="AG737" s="57">
        <f>IF(ISNUMBER(C737),C737,0)</f>
        <v>0.0</v>
      </c>
      <c r="AH737" s="57" t="str">
        <f>IF(N(W737)&gt;0,COUNTIF(W$6:W737,"&gt;0"),"")</f>
        <v/>
      </c>
      <c r="AI737" s="57" t="str">
        <f>IF(Z737=1,COUNTIF(Z$6:Z737,1),"")</f>
        <v/>
      </c>
    </row>
    <row r="738">
      <c r="A738" s="54" t="n"/>
      <c r="B738" s="55" t="str">
        <f>IF(AA738="","",A738&amp;"-"&amp;RIGHT("000"&amp;AA738,4))</f>
        <v/>
      </c>
      <c r="C738" s="56" t="n"/>
      <c r="D738" s="54" t="n"/>
      <c r="E738" s="57" t="str">
        <f>IF(D738="","",IF(A738="BL",IFERROR(INDEX(cl_name,MATCH(D738,cl_code,0))&amp;"","Client inconnu"),IF(A738="BR",IFERROR(INDEX(fo_name,MATCH(D738,fo_code,0))&amp;"","Fournisseur inconnu"),IF(A738="BS",IF(ISNA(MATCH(D738,p_services,0)),"Service inconnu",D738&amp;""),""))))</f>
        <v/>
      </c>
      <c r="F738" s="58" t="n"/>
      <c r="G738" s="58" t="n"/>
      <c r="H738" s="59" t="n"/>
      <c r="I738" s="57" t="str">
        <f>IF(H738="","",IFERROR(INDEX(art_des,MATCH(H738,art_ref,0))&amp;"","Article inconnu"))</f>
        <v/>
      </c>
      <c r="J738" s="60" t="str">
        <f>IF(H738="","",IFERROR(INDEX(art_unit,MATCH(H738,art_ref,0))&amp;"",""))</f>
        <v/>
      </c>
      <c r="K738" s="59" t="n"/>
      <c r="L738" s="59" t="n"/>
      <c r="M738" s="61" t="str">
        <f>IF(OR(B738="",NOT(ISNUMBER(K738)),NOT(ISNUMBER(L738))),"",IF(OR(K738&lt;=0,L738&lt;=0),"",ROUND(L738-K738,6)))</f>
        <v/>
      </c>
      <c r="N738" s="58" t="n"/>
      <c r="O738" s="62" t="n"/>
      <c r="P738" s="63" t="str">
        <f>IF(OR(B738="",NOT(ISNUMBER(L738))),"",IF(L738&lt;=0,"",IFERROR(ROUND(L738*N(INDEX(art_w,MATCH(H738,art_ref,0))),3),"")))</f>
        <v/>
      </c>
      <c r="Q738" s="59" t="n"/>
      <c r="R738" s="54" t="n"/>
      <c r="S738" s="59" t="n"/>
      <c r="T738" s="59" t="n"/>
      <c r="U738" s="64" t="str">
        <f>IF(OR(B738="",H738=""),"",IFERROR(IF(A738="BL",IF(N(INDEX(art_price,MATCH(H738,art_ref,0)))=0,"",N(INDEX(art_price,MATCH(H738,art_ref,0)))),IF(N(INDEX(art_cost,MATCH(H738,art_ref,0)))=0,"",N(INDEX(art_cost,MATCH(H738,art_ref,0))))),""))</f>
        <v/>
      </c>
      <c r="V738" s="64" t="str">
        <f>IF(OR(U738="",NOT(ISNUMBER(L738))),"",IF(L738&lt;=0,"",ROUND(L738*U738,2)))</f>
        <v/>
      </c>
      <c r="W738" s="60" t="str">
        <f>IF(AND(B738&lt;&gt;"",A738&lt;&gt;"BS",F738&lt;&gt;"",H738&lt;&gt;"",ISNUMBER(K738),ISNUMBER(L738)),IF(AND(K738&gt;0,L738&gt;0,K738-L738&gt;0,COUNTIFS(A739:A$2005,A738,F739:F$2005,F738,H739:H$2005,H738,AA739:AA$2005,"&gt;0")=0),ROUND(K738-L738,6),""),"")</f>
        <v/>
      </c>
      <c r="X738" s="60" t="str">
        <f>IF(AND(A738="",C738="",D738="",H738="",L738=""),"",IF(A738="","Type manquant",IF(AND(A738&lt;&gt;"BL",A738&lt;&gt;"BR",A738&lt;&gt;"BS"),"Type inconnu (BL, BR ou BS)",IF(AG738=0,"Date manquante ou invalide",IF(D738="",IF(A738="BL","Client manquant",IF(A738="BR","Fournisseur manquant","Service manquant")),IF(IF(A738="BL",ISNA(MATCH(D738,cl_code,0)),IF(A738="BR",ISNA(MATCH(D738,fo_code,0)),ISNA(MATCH(D738,p_services,0)))),IF(A738="BL","Client inconnu",IF(A738="BR","Fournisseur inconnu","Service inconnu")),IF(H738="","Article manquant",IF(ISNA(MATCH(H738,art_ref,0)),"Article inconnu",IF(OR(NOT(ISNUMBER(L738)),N(L738)&lt;=0),"Quantité invalide",IF(AND(K738&lt;&gt;"",OR(NOT(ISNUMBER(K738)),N(K738)&lt;=0)),"Qté commandée invalide",IF(AG738&lt;SUMPRODUCT(MAX((A$6:A737=A738)*AG$6:AG737)),"Date antérieure au bon précédent",IF(AND(A738&lt;&gt;"BR",ISNUMBER(M738),N(M738)&gt;0),IF(A738="BL","Livré plus que commandé","Sorti plus que demandé"),"OK"))))))))))))</f>
        <v/>
      </c>
      <c r="Y738" s="57" t="str">
        <f>IF(AND(OR(A738="BL",A738="BR",A738="BS"),AG738&gt;0,D738&lt;&gt;""),A738&amp;"|"&amp;AG738&amp;"|"&amp;D738&amp;"|"&amp;F738,"")</f>
        <v/>
      </c>
      <c r="Z738" s="57" t="str">
        <f>IF(Y738="","",IF(COUNTIF(Y$6:Y737,Y738)=0,1,0))</f>
        <v/>
      </c>
      <c r="AA738" s="57" t="str">
        <f>IF(Y738="","",IF(Z738=1,COUNTIFS(A$6:A738,A738,Z$6:Z738,1),INDEX(AA$6:AA737,MATCH(Y738,Y$6:Y737,0))))</f>
        <v/>
      </c>
      <c r="AB738" s="57" t="str">
        <f>IF(B738="","",COUNTIF(B$6:B738,B738))</f>
        <v/>
      </c>
      <c r="AC738" s="57" t="str">
        <f>IF(B738="","",B738&amp;"#"&amp;AB738)</f>
        <v/>
      </c>
      <c r="AD738" s="57" t="str">
        <f>IF(Z738=1,A738&amp;AA738,"")</f>
        <v/>
      </c>
      <c r="AE738" s="57" t="str">
        <f>IF(B738="","",YEAR(C738))</f>
        <v/>
      </c>
      <c r="AF738" s="57" t="str">
        <f>IF(B738="","",MONTH(C738))</f>
        <v/>
      </c>
      <c r="AG738" s="57">
        <f>IF(ISNUMBER(C738),C738,0)</f>
        <v>0.0</v>
      </c>
      <c r="AH738" s="57" t="str">
        <f>IF(N(W738)&gt;0,COUNTIF(W$6:W738,"&gt;0"),"")</f>
        <v/>
      </c>
      <c r="AI738" s="57" t="str">
        <f>IF(Z738=1,COUNTIF(Z$6:Z738,1),"")</f>
        <v/>
      </c>
    </row>
    <row r="739">
      <c r="A739" s="54" t="n"/>
      <c r="B739" s="55" t="str">
        <f>IF(AA739="","",A739&amp;"-"&amp;RIGHT("000"&amp;AA739,4))</f>
        <v/>
      </c>
      <c r="C739" s="56" t="n"/>
      <c r="D739" s="54" t="n"/>
      <c r="E739" s="57" t="str">
        <f>IF(D739="","",IF(A739="BL",IFERROR(INDEX(cl_name,MATCH(D739,cl_code,0))&amp;"","Client inconnu"),IF(A739="BR",IFERROR(INDEX(fo_name,MATCH(D739,fo_code,0))&amp;"","Fournisseur inconnu"),IF(A739="BS",IF(ISNA(MATCH(D739,p_services,0)),"Service inconnu",D739&amp;""),""))))</f>
        <v/>
      </c>
      <c r="F739" s="58" t="n"/>
      <c r="G739" s="58" t="n"/>
      <c r="H739" s="59" t="n"/>
      <c r="I739" s="57" t="str">
        <f>IF(H739="","",IFERROR(INDEX(art_des,MATCH(H739,art_ref,0))&amp;"","Article inconnu"))</f>
        <v/>
      </c>
      <c r="J739" s="60" t="str">
        <f>IF(H739="","",IFERROR(INDEX(art_unit,MATCH(H739,art_ref,0))&amp;"",""))</f>
        <v/>
      </c>
      <c r="K739" s="59" t="n"/>
      <c r="L739" s="59" t="n"/>
      <c r="M739" s="61" t="str">
        <f>IF(OR(B739="",NOT(ISNUMBER(K739)),NOT(ISNUMBER(L739))),"",IF(OR(K739&lt;=0,L739&lt;=0),"",ROUND(L739-K739,6)))</f>
        <v/>
      </c>
      <c r="N739" s="58" t="n"/>
      <c r="O739" s="62" t="n"/>
      <c r="P739" s="63" t="str">
        <f>IF(OR(B739="",NOT(ISNUMBER(L739))),"",IF(L739&lt;=0,"",IFERROR(ROUND(L739*N(INDEX(art_w,MATCH(H739,art_ref,0))),3),"")))</f>
        <v/>
      </c>
      <c r="Q739" s="59" t="n"/>
      <c r="R739" s="54" t="n"/>
      <c r="S739" s="59" t="n"/>
      <c r="T739" s="59" t="n"/>
      <c r="U739" s="64" t="str">
        <f>IF(OR(B739="",H739=""),"",IFERROR(IF(A739="BL",IF(N(INDEX(art_price,MATCH(H739,art_ref,0)))=0,"",N(INDEX(art_price,MATCH(H739,art_ref,0)))),IF(N(INDEX(art_cost,MATCH(H739,art_ref,0)))=0,"",N(INDEX(art_cost,MATCH(H739,art_ref,0))))),""))</f>
        <v/>
      </c>
      <c r="V739" s="64" t="str">
        <f>IF(OR(U739="",NOT(ISNUMBER(L739))),"",IF(L739&lt;=0,"",ROUND(L739*U739,2)))</f>
        <v/>
      </c>
      <c r="W739" s="60" t="str">
        <f>IF(AND(B739&lt;&gt;"",A739&lt;&gt;"BS",F739&lt;&gt;"",H739&lt;&gt;"",ISNUMBER(K739),ISNUMBER(L739)),IF(AND(K739&gt;0,L739&gt;0,K739-L739&gt;0,COUNTIFS(A740:A$2005,A739,F740:F$2005,F739,H740:H$2005,H739,AA740:AA$2005,"&gt;0")=0),ROUND(K739-L739,6),""),"")</f>
        <v/>
      </c>
      <c r="X739" s="60" t="str">
        <f>IF(AND(A739="",C739="",D739="",H739="",L739=""),"",IF(A739="","Type manquant",IF(AND(A739&lt;&gt;"BL",A739&lt;&gt;"BR",A739&lt;&gt;"BS"),"Type inconnu (BL, BR ou BS)",IF(AG739=0,"Date manquante ou invalide",IF(D739="",IF(A739="BL","Client manquant",IF(A739="BR","Fournisseur manquant","Service manquant")),IF(IF(A739="BL",ISNA(MATCH(D739,cl_code,0)),IF(A739="BR",ISNA(MATCH(D739,fo_code,0)),ISNA(MATCH(D739,p_services,0)))),IF(A739="BL","Client inconnu",IF(A739="BR","Fournisseur inconnu","Service inconnu")),IF(H739="","Article manquant",IF(ISNA(MATCH(H739,art_ref,0)),"Article inconnu",IF(OR(NOT(ISNUMBER(L739)),N(L739)&lt;=0),"Quantité invalide",IF(AND(K739&lt;&gt;"",OR(NOT(ISNUMBER(K739)),N(K739)&lt;=0)),"Qté commandée invalide",IF(AG739&lt;SUMPRODUCT(MAX((A$6:A738=A739)*AG$6:AG738)),"Date antérieure au bon précédent",IF(AND(A739&lt;&gt;"BR",ISNUMBER(M739),N(M739)&gt;0),IF(A739="BL","Livré plus que commandé","Sorti plus que demandé"),"OK"))))))))))))</f>
        <v/>
      </c>
      <c r="Y739" s="57" t="str">
        <f>IF(AND(OR(A739="BL",A739="BR",A739="BS"),AG739&gt;0,D739&lt;&gt;""),A739&amp;"|"&amp;AG739&amp;"|"&amp;D739&amp;"|"&amp;F739,"")</f>
        <v/>
      </c>
      <c r="Z739" s="57" t="str">
        <f>IF(Y739="","",IF(COUNTIF(Y$6:Y738,Y739)=0,1,0))</f>
        <v/>
      </c>
      <c r="AA739" s="57" t="str">
        <f>IF(Y739="","",IF(Z739=1,COUNTIFS(A$6:A739,A739,Z$6:Z739,1),INDEX(AA$6:AA738,MATCH(Y739,Y$6:Y738,0))))</f>
        <v/>
      </c>
      <c r="AB739" s="57" t="str">
        <f>IF(B739="","",COUNTIF(B$6:B739,B739))</f>
        <v/>
      </c>
      <c r="AC739" s="57" t="str">
        <f>IF(B739="","",B739&amp;"#"&amp;AB739)</f>
        <v/>
      </c>
      <c r="AD739" s="57" t="str">
        <f>IF(Z739=1,A739&amp;AA739,"")</f>
        <v/>
      </c>
      <c r="AE739" s="57" t="str">
        <f>IF(B739="","",YEAR(C739))</f>
        <v/>
      </c>
      <c r="AF739" s="57" t="str">
        <f>IF(B739="","",MONTH(C739))</f>
        <v/>
      </c>
      <c r="AG739" s="57">
        <f>IF(ISNUMBER(C739),C739,0)</f>
        <v>0.0</v>
      </c>
      <c r="AH739" s="57" t="str">
        <f>IF(N(W739)&gt;0,COUNTIF(W$6:W739,"&gt;0"),"")</f>
        <v/>
      </c>
      <c r="AI739" s="57" t="str">
        <f>IF(Z739=1,COUNTIF(Z$6:Z739,1),"")</f>
        <v/>
      </c>
    </row>
    <row r="740">
      <c r="A740" s="54" t="n"/>
      <c r="B740" s="55" t="str">
        <f>IF(AA740="","",A740&amp;"-"&amp;RIGHT("000"&amp;AA740,4))</f>
        <v/>
      </c>
      <c r="C740" s="56" t="n"/>
      <c r="D740" s="54" t="n"/>
      <c r="E740" s="57" t="str">
        <f>IF(D740="","",IF(A740="BL",IFERROR(INDEX(cl_name,MATCH(D740,cl_code,0))&amp;"","Client inconnu"),IF(A740="BR",IFERROR(INDEX(fo_name,MATCH(D740,fo_code,0))&amp;"","Fournisseur inconnu"),IF(A740="BS",IF(ISNA(MATCH(D740,p_services,0)),"Service inconnu",D740&amp;""),""))))</f>
        <v/>
      </c>
      <c r="F740" s="58" t="n"/>
      <c r="G740" s="58" t="n"/>
      <c r="H740" s="59" t="n"/>
      <c r="I740" s="57" t="str">
        <f>IF(H740="","",IFERROR(INDEX(art_des,MATCH(H740,art_ref,0))&amp;"","Article inconnu"))</f>
        <v/>
      </c>
      <c r="J740" s="60" t="str">
        <f>IF(H740="","",IFERROR(INDEX(art_unit,MATCH(H740,art_ref,0))&amp;"",""))</f>
        <v/>
      </c>
      <c r="K740" s="59" t="n"/>
      <c r="L740" s="59" t="n"/>
      <c r="M740" s="61" t="str">
        <f>IF(OR(B740="",NOT(ISNUMBER(K740)),NOT(ISNUMBER(L740))),"",IF(OR(K740&lt;=0,L740&lt;=0),"",ROUND(L740-K740,6)))</f>
        <v/>
      </c>
      <c r="N740" s="58" t="n"/>
      <c r="O740" s="62" t="n"/>
      <c r="P740" s="63" t="str">
        <f>IF(OR(B740="",NOT(ISNUMBER(L740))),"",IF(L740&lt;=0,"",IFERROR(ROUND(L740*N(INDEX(art_w,MATCH(H740,art_ref,0))),3),"")))</f>
        <v/>
      </c>
      <c r="Q740" s="59" t="n"/>
      <c r="R740" s="54" t="n"/>
      <c r="S740" s="59" t="n"/>
      <c r="T740" s="59" t="n"/>
      <c r="U740" s="64" t="str">
        <f>IF(OR(B740="",H740=""),"",IFERROR(IF(A740="BL",IF(N(INDEX(art_price,MATCH(H740,art_ref,0)))=0,"",N(INDEX(art_price,MATCH(H740,art_ref,0)))),IF(N(INDEX(art_cost,MATCH(H740,art_ref,0)))=0,"",N(INDEX(art_cost,MATCH(H740,art_ref,0))))),""))</f>
        <v/>
      </c>
      <c r="V740" s="64" t="str">
        <f>IF(OR(U740="",NOT(ISNUMBER(L740))),"",IF(L740&lt;=0,"",ROUND(L740*U740,2)))</f>
        <v/>
      </c>
      <c r="W740" s="60" t="str">
        <f>IF(AND(B740&lt;&gt;"",A740&lt;&gt;"BS",F740&lt;&gt;"",H740&lt;&gt;"",ISNUMBER(K740),ISNUMBER(L740)),IF(AND(K740&gt;0,L740&gt;0,K740-L740&gt;0,COUNTIFS(A741:A$2005,A740,F741:F$2005,F740,H741:H$2005,H740,AA741:AA$2005,"&gt;0")=0),ROUND(K740-L740,6),""),"")</f>
        <v/>
      </c>
      <c r="X740" s="60" t="str">
        <f>IF(AND(A740="",C740="",D740="",H740="",L740=""),"",IF(A740="","Type manquant",IF(AND(A740&lt;&gt;"BL",A740&lt;&gt;"BR",A740&lt;&gt;"BS"),"Type inconnu (BL, BR ou BS)",IF(AG740=0,"Date manquante ou invalide",IF(D740="",IF(A740="BL","Client manquant",IF(A740="BR","Fournisseur manquant","Service manquant")),IF(IF(A740="BL",ISNA(MATCH(D740,cl_code,0)),IF(A740="BR",ISNA(MATCH(D740,fo_code,0)),ISNA(MATCH(D740,p_services,0)))),IF(A740="BL","Client inconnu",IF(A740="BR","Fournisseur inconnu","Service inconnu")),IF(H740="","Article manquant",IF(ISNA(MATCH(H740,art_ref,0)),"Article inconnu",IF(OR(NOT(ISNUMBER(L740)),N(L740)&lt;=0),"Quantité invalide",IF(AND(K740&lt;&gt;"",OR(NOT(ISNUMBER(K740)),N(K740)&lt;=0)),"Qté commandée invalide",IF(AG740&lt;SUMPRODUCT(MAX((A$6:A739=A740)*AG$6:AG739)),"Date antérieure au bon précédent",IF(AND(A740&lt;&gt;"BR",ISNUMBER(M740),N(M740)&gt;0),IF(A740="BL","Livré plus que commandé","Sorti plus que demandé"),"OK"))))))))))))</f>
        <v/>
      </c>
      <c r="Y740" s="57" t="str">
        <f>IF(AND(OR(A740="BL",A740="BR",A740="BS"),AG740&gt;0,D740&lt;&gt;""),A740&amp;"|"&amp;AG740&amp;"|"&amp;D740&amp;"|"&amp;F740,"")</f>
        <v/>
      </c>
      <c r="Z740" s="57" t="str">
        <f>IF(Y740="","",IF(COUNTIF(Y$6:Y739,Y740)=0,1,0))</f>
        <v/>
      </c>
      <c r="AA740" s="57" t="str">
        <f>IF(Y740="","",IF(Z740=1,COUNTIFS(A$6:A740,A740,Z$6:Z740,1),INDEX(AA$6:AA739,MATCH(Y740,Y$6:Y739,0))))</f>
        <v/>
      </c>
      <c r="AB740" s="57" t="str">
        <f>IF(B740="","",COUNTIF(B$6:B740,B740))</f>
        <v/>
      </c>
      <c r="AC740" s="57" t="str">
        <f>IF(B740="","",B740&amp;"#"&amp;AB740)</f>
        <v/>
      </c>
      <c r="AD740" s="57" t="str">
        <f>IF(Z740=1,A740&amp;AA740,"")</f>
        <v/>
      </c>
      <c r="AE740" s="57" t="str">
        <f>IF(B740="","",YEAR(C740))</f>
        <v/>
      </c>
      <c r="AF740" s="57" t="str">
        <f>IF(B740="","",MONTH(C740))</f>
        <v/>
      </c>
      <c r="AG740" s="57">
        <f>IF(ISNUMBER(C740),C740,0)</f>
        <v>0.0</v>
      </c>
      <c r="AH740" s="57" t="str">
        <f>IF(N(W740)&gt;0,COUNTIF(W$6:W740,"&gt;0"),"")</f>
        <v/>
      </c>
      <c r="AI740" s="57" t="str">
        <f>IF(Z740=1,COUNTIF(Z$6:Z740,1),"")</f>
        <v/>
      </c>
    </row>
    <row r="741">
      <c r="A741" s="54" t="n"/>
      <c r="B741" s="55" t="str">
        <f>IF(AA741="","",A741&amp;"-"&amp;RIGHT("000"&amp;AA741,4))</f>
        <v/>
      </c>
      <c r="C741" s="56" t="n"/>
      <c r="D741" s="54" t="n"/>
      <c r="E741" s="57" t="str">
        <f>IF(D741="","",IF(A741="BL",IFERROR(INDEX(cl_name,MATCH(D741,cl_code,0))&amp;"","Client inconnu"),IF(A741="BR",IFERROR(INDEX(fo_name,MATCH(D741,fo_code,0))&amp;"","Fournisseur inconnu"),IF(A741="BS",IF(ISNA(MATCH(D741,p_services,0)),"Service inconnu",D741&amp;""),""))))</f>
        <v/>
      </c>
      <c r="F741" s="58" t="n"/>
      <c r="G741" s="58" t="n"/>
      <c r="H741" s="59" t="n"/>
      <c r="I741" s="57" t="str">
        <f>IF(H741="","",IFERROR(INDEX(art_des,MATCH(H741,art_ref,0))&amp;"","Article inconnu"))</f>
        <v/>
      </c>
      <c r="J741" s="60" t="str">
        <f>IF(H741="","",IFERROR(INDEX(art_unit,MATCH(H741,art_ref,0))&amp;"",""))</f>
        <v/>
      </c>
      <c r="K741" s="59" t="n"/>
      <c r="L741" s="59" t="n"/>
      <c r="M741" s="61" t="str">
        <f>IF(OR(B741="",NOT(ISNUMBER(K741)),NOT(ISNUMBER(L741))),"",IF(OR(K741&lt;=0,L741&lt;=0),"",ROUND(L741-K741,6)))</f>
        <v/>
      </c>
      <c r="N741" s="58" t="n"/>
      <c r="O741" s="62" t="n"/>
      <c r="P741" s="63" t="str">
        <f>IF(OR(B741="",NOT(ISNUMBER(L741))),"",IF(L741&lt;=0,"",IFERROR(ROUND(L741*N(INDEX(art_w,MATCH(H741,art_ref,0))),3),"")))</f>
        <v/>
      </c>
      <c r="Q741" s="59" t="n"/>
      <c r="R741" s="54" t="n"/>
      <c r="S741" s="59" t="n"/>
      <c r="T741" s="59" t="n"/>
      <c r="U741" s="64" t="str">
        <f>IF(OR(B741="",H741=""),"",IFERROR(IF(A741="BL",IF(N(INDEX(art_price,MATCH(H741,art_ref,0)))=0,"",N(INDEX(art_price,MATCH(H741,art_ref,0)))),IF(N(INDEX(art_cost,MATCH(H741,art_ref,0)))=0,"",N(INDEX(art_cost,MATCH(H741,art_ref,0))))),""))</f>
        <v/>
      </c>
      <c r="V741" s="64" t="str">
        <f>IF(OR(U741="",NOT(ISNUMBER(L741))),"",IF(L741&lt;=0,"",ROUND(L741*U741,2)))</f>
        <v/>
      </c>
      <c r="W741" s="60" t="str">
        <f>IF(AND(B741&lt;&gt;"",A741&lt;&gt;"BS",F741&lt;&gt;"",H741&lt;&gt;"",ISNUMBER(K741),ISNUMBER(L741)),IF(AND(K741&gt;0,L741&gt;0,K741-L741&gt;0,COUNTIFS(A742:A$2005,A741,F742:F$2005,F741,H742:H$2005,H741,AA742:AA$2005,"&gt;0")=0),ROUND(K741-L741,6),""),"")</f>
        <v/>
      </c>
      <c r="X741" s="60" t="str">
        <f>IF(AND(A741="",C741="",D741="",H741="",L741=""),"",IF(A741="","Type manquant",IF(AND(A741&lt;&gt;"BL",A741&lt;&gt;"BR",A741&lt;&gt;"BS"),"Type inconnu (BL, BR ou BS)",IF(AG741=0,"Date manquante ou invalide",IF(D741="",IF(A741="BL","Client manquant",IF(A741="BR","Fournisseur manquant","Service manquant")),IF(IF(A741="BL",ISNA(MATCH(D741,cl_code,0)),IF(A741="BR",ISNA(MATCH(D741,fo_code,0)),ISNA(MATCH(D741,p_services,0)))),IF(A741="BL","Client inconnu",IF(A741="BR","Fournisseur inconnu","Service inconnu")),IF(H741="","Article manquant",IF(ISNA(MATCH(H741,art_ref,0)),"Article inconnu",IF(OR(NOT(ISNUMBER(L741)),N(L741)&lt;=0),"Quantité invalide",IF(AND(K741&lt;&gt;"",OR(NOT(ISNUMBER(K741)),N(K741)&lt;=0)),"Qté commandée invalide",IF(AG741&lt;SUMPRODUCT(MAX((A$6:A740=A741)*AG$6:AG740)),"Date antérieure au bon précédent",IF(AND(A741&lt;&gt;"BR",ISNUMBER(M741),N(M741)&gt;0),IF(A741="BL","Livré plus que commandé","Sorti plus que demandé"),"OK"))))))))))))</f>
        <v/>
      </c>
      <c r="Y741" s="57" t="str">
        <f>IF(AND(OR(A741="BL",A741="BR",A741="BS"),AG741&gt;0,D741&lt;&gt;""),A741&amp;"|"&amp;AG741&amp;"|"&amp;D741&amp;"|"&amp;F741,"")</f>
        <v/>
      </c>
      <c r="Z741" s="57" t="str">
        <f>IF(Y741="","",IF(COUNTIF(Y$6:Y740,Y741)=0,1,0))</f>
        <v/>
      </c>
      <c r="AA741" s="57" t="str">
        <f>IF(Y741="","",IF(Z741=1,COUNTIFS(A$6:A741,A741,Z$6:Z741,1),INDEX(AA$6:AA740,MATCH(Y741,Y$6:Y740,0))))</f>
        <v/>
      </c>
      <c r="AB741" s="57" t="str">
        <f>IF(B741="","",COUNTIF(B$6:B741,B741))</f>
        <v/>
      </c>
      <c r="AC741" s="57" t="str">
        <f>IF(B741="","",B741&amp;"#"&amp;AB741)</f>
        <v/>
      </c>
      <c r="AD741" s="57" t="str">
        <f>IF(Z741=1,A741&amp;AA741,"")</f>
        <v/>
      </c>
      <c r="AE741" s="57" t="str">
        <f>IF(B741="","",YEAR(C741))</f>
        <v/>
      </c>
      <c r="AF741" s="57" t="str">
        <f>IF(B741="","",MONTH(C741))</f>
        <v/>
      </c>
      <c r="AG741" s="57">
        <f>IF(ISNUMBER(C741),C741,0)</f>
        <v>0.0</v>
      </c>
      <c r="AH741" s="57" t="str">
        <f>IF(N(W741)&gt;0,COUNTIF(W$6:W741,"&gt;0"),"")</f>
        <v/>
      </c>
      <c r="AI741" s="57" t="str">
        <f>IF(Z741=1,COUNTIF(Z$6:Z741,1),"")</f>
        <v/>
      </c>
    </row>
    <row r="742">
      <c r="A742" s="54" t="n"/>
      <c r="B742" s="55" t="str">
        <f>IF(AA742="","",A742&amp;"-"&amp;RIGHT("000"&amp;AA742,4))</f>
        <v/>
      </c>
      <c r="C742" s="56" t="n"/>
      <c r="D742" s="54" t="n"/>
      <c r="E742" s="57" t="str">
        <f>IF(D742="","",IF(A742="BL",IFERROR(INDEX(cl_name,MATCH(D742,cl_code,0))&amp;"","Client inconnu"),IF(A742="BR",IFERROR(INDEX(fo_name,MATCH(D742,fo_code,0))&amp;"","Fournisseur inconnu"),IF(A742="BS",IF(ISNA(MATCH(D742,p_services,0)),"Service inconnu",D742&amp;""),""))))</f>
        <v/>
      </c>
      <c r="F742" s="58" t="n"/>
      <c r="G742" s="58" t="n"/>
      <c r="H742" s="59" t="n"/>
      <c r="I742" s="57" t="str">
        <f>IF(H742="","",IFERROR(INDEX(art_des,MATCH(H742,art_ref,0))&amp;"","Article inconnu"))</f>
        <v/>
      </c>
      <c r="J742" s="60" t="str">
        <f>IF(H742="","",IFERROR(INDEX(art_unit,MATCH(H742,art_ref,0))&amp;"",""))</f>
        <v/>
      </c>
      <c r="K742" s="59" t="n"/>
      <c r="L742" s="59" t="n"/>
      <c r="M742" s="61" t="str">
        <f>IF(OR(B742="",NOT(ISNUMBER(K742)),NOT(ISNUMBER(L742))),"",IF(OR(K742&lt;=0,L742&lt;=0),"",ROUND(L742-K742,6)))</f>
        <v/>
      </c>
      <c r="N742" s="58" t="n"/>
      <c r="O742" s="62" t="n"/>
      <c r="P742" s="63" t="str">
        <f>IF(OR(B742="",NOT(ISNUMBER(L742))),"",IF(L742&lt;=0,"",IFERROR(ROUND(L742*N(INDEX(art_w,MATCH(H742,art_ref,0))),3),"")))</f>
        <v/>
      </c>
      <c r="Q742" s="59" t="n"/>
      <c r="R742" s="54" t="n"/>
      <c r="S742" s="59" t="n"/>
      <c r="T742" s="59" t="n"/>
      <c r="U742" s="64" t="str">
        <f>IF(OR(B742="",H742=""),"",IFERROR(IF(A742="BL",IF(N(INDEX(art_price,MATCH(H742,art_ref,0)))=0,"",N(INDEX(art_price,MATCH(H742,art_ref,0)))),IF(N(INDEX(art_cost,MATCH(H742,art_ref,0)))=0,"",N(INDEX(art_cost,MATCH(H742,art_ref,0))))),""))</f>
        <v/>
      </c>
      <c r="V742" s="64" t="str">
        <f>IF(OR(U742="",NOT(ISNUMBER(L742))),"",IF(L742&lt;=0,"",ROUND(L742*U742,2)))</f>
        <v/>
      </c>
      <c r="W742" s="60" t="str">
        <f>IF(AND(B742&lt;&gt;"",A742&lt;&gt;"BS",F742&lt;&gt;"",H742&lt;&gt;"",ISNUMBER(K742),ISNUMBER(L742)),IF(AND(K742&gt;0,L742&gt;0,K742-L742&gt;0,COUNTIFS(A743:A$2005,A742,F743:F$2005,F742,H743:H$2005,H742,AA743:AA$2005,"&gt;0")=0),ROUND(K742-L742,6),""),"")</f>
        <v/>
      </c>
      <c r="X742" s="60" t="str">
        <f>IF(AND(A742="",C742="",D742="",H742="",L742=""),"",IF(A742="","Type manquant",IF(AND(A742&lt;&gt;"BL",A742&lt;&gt;"BR",A742&lt;&gt;"BS"),"Type inconnu (BL, BR ou BS)",IF(AG742=0,"Date manquante ou invalide",IF(D742="",IF(A742="BL","Client manquant",IF(A742="BR","Fournisseur manquant","Service manquant")),IF(IF(A742="BL",ISNA(MATCH(D742,cl_code,0)),IF(A742="BR",ISNA(MATCH(D742,fo_code,0)),ISNA(MATCH(D742,p_services,0)))),IF(A742="BL","Client inconnu",IF(A742="BR","Fournisseur inconnu","Service inconnu")),IF(H742="","Article manquant",IF(ISNA(MATCH(H742,art_ref,0)),"Article inconnu",IF(OR(NOT(ISNUMBER(L742)),N(L742)&lt;=0),"Quantité invalide",IF(AND(K742&lt;&gt;"",OR(NOT(ISNUMBER(K742)),N(K742)&lt;=0)),"Qté commandée invalide",IF(AG742&lt;SUMPRODUCT(MAX((A$6:A741=A742)*AG$6:AG741)),"Date antérieure au bon précédent",IF(AND(A742&lt;&gt;"BR",ISNUMBER(M742),N(M742)&gt;0),IF(A742="BL","Livré plus que commandé","Sorti plus que demandé"),"OK"))))))))))))</f>
        <v/>
      </c>
      <c r="Y742" s="57" t="str">
        <f>IF(AND(OR(A742="BL",A742="BR",A742="BS"),AG742&gt;0,D742&lt;&gt;""),A742&amp;"|"&amp;AG742&amp;"|"&amp;D742&amp;"|"&amp;F742,"")</f>
        <v/>
      </c>
      <c r="Z742" s="57" t="str">
        <f>IF(Y742="","",IF(COUNTIF(Y$6:Y741,Y742)=0,1,0))</f>
        <v/>
      </c>
      <c r="AA742" s="57" t="str">
        <f>IF(Y742="","",IF(Z742=1,COUNTIFS(A$6:A742,A742,Z$6:Z742,1),INDEX(AA$6:AA741,MATCH(Y742,Y$6:Y741,0))))</f>
        <v/>
      </c>
      <c r="AB742" s="57" t="str">
        <f>IF(B742="","",COUNTIF(B$6:B742,B742))</f>
        <v/>
      </c>
      <c r="AC742" s="57" t="str">
        <f>IF(B742="","",B742&amp;"#"&amp;AB742)</f>
        <v/>
      </c>
      <c r="AD742" s="57" t="str">
        <f>IF(Z742=1,A742&amp;AA742,"")</f>
        <v/>
      </c>
      <c r="AE742" s="57" t="str">
        <f>IF(B742="","",YEAR(C742))</f>
        <v/>
      </c>
      <c r="AF742" s="57" t="str">
        <f>IF(B742="","",MONTH(C742))</f>
        <v/>
      </c>
      <c r="AG742" s="57">
        <f>IF(ISNUMBER(C742),C742,0)</f>
        <v>0.0</v>
      </c>
      <c r="AH742" s="57" t="str">
        <f>IF(N(W742)&gt;0,COUNTIF(W$6:W742,"&gt;0"),"")</f>
        <v/>
      </c>
      <c r="AI742" s="57" t="str">
        <f>IF(Z742=1,COUNTIF(Z$6:Z742,1),"")</f>
        <v/>
      </c>
    </row>
    <row r="743">
      <c r="A743" s="54" t="n"/>
      <c r="B743" s="55" t="str">
        <f>IF(AA743="","",A743&amp;"-"&amp;RIGHT("000"&amp;AA743,4))</f>
        <v/>
      </c>
      <c r="C743" s="56" t="n"/>
      <c r="D743" s="54" t="n"/>
      <c r="E743" s="57" t="str">
        <f>IF(D743="","",IF(A743="BL",IFERROR(INDEX(cl_name,MATCH(D743,cl_code,0))&amp;"","Client inconnu"),IF(A743="BR",IFERROR(INDEX(fo_name,MATCH(D743,fo_code,0))&amp;"","Fournisseur inconnu"),IF(A743="BS",IF(ISNA(MATCH(D743,p_services,0)),"Service inconnu",D743&amp;""),""))))</f>
        <v/>
      </c>
      <c r="F743" s="58" t="n"/>
      <c r="G743" s="58" t="n"/>
      <c r="H743" s="59" t="n"/>
      <c r="I743" s="57" t="str">
        <f>IF(H743="","",IFERROR(INDEX(art_des,MATCH(H743,art_ref,0))&amp;"","Article inconnu"))</f>
        <v/>
      </c>
      <c r="J743" s="60" t="str">
        <f>IF(H743="","",IFERROR(INDEX(art_unit,MATCH(H743,art_ref,0))&amp;"",""))</f>
        <v/>
      </c>
      <c r="K743" s="59" t="n"/>
      <c r="L743" s="59" t="n"/>
      <c r="M743" s="61" t="str">
        <f>IF(OR(B743="",NOT(ISNUMBER(K743)),NOT(ISNUMBER(L743))),"",IF(OR(K743&lt;=0,L743&lt;=0),"",ROUND(L743-K743,6)))</f>
        <v/>
      </c>
      <c r="N743" s="58" t="n"/>
      <c r="O743" s="62" t="n"/>
      <c r="P743" s="63" t="str">
        <f>IF(OR(B743="",NOT(ISNUMBER(L743))),"",IF(L743&lt;=0,"",IFERROR(ROUND(L743*N(INDEX(art_w,MATCH(H743,art_ref,0))),3),"")))</f>
        <v/>
      </c>
      <c r="Q743" s="59" t="n"/>
      <c r="R743" s="54" t="n"/>
      <c r="S743" s="59" t="n"/>
      <c r="T743" s="59" t="n"/>
      <c r="U743" s="64" t="str">
        <f>IF(OR(B743="",H743=""),"",IFERROR(IF(A743="BL",IF(N(INDEX(art_price,MATCH(H743,art_ref,0)))=0,"",N(INDEX(art_price,MATCH(H743,art_ref,0)))),IF(N(INDEX(art_cost,MATCH(H743,art_ref,0)))=0,"",N(INDEX(art_cost,MATCH(H743,art_ref,0))))),""))</f>
        <v/>
      </c>
      <c r="V743" s="64" t="str">
        <f>IF(OR(U743="",NOT(ISNUMBER(L743))),"",IF(L743&lt;=0,"",ROUND(L743*U743,2)))</f>
        <v/>
      </c>
      <c r="W743" s="60" t="str">
        <f>IF(AND(B743&lt;&gt;"",A743&lt;&gt;"BS",F743&lt;&gt;"",H743&lt;&gt;"",ISNUMBER(K743),ISNUMBER(L743)),IF(AND(K743&gt;0,L743&gt;0,K743-L743&gt;0,COUNTIFS(A744:A$2005,A743,F744:F$2005,F743,H744:H$2005,H743,AA744:AA$2005,"&gt;0")=0),ROUND(K743-L743,6),""),"")</f>
        <v/>
      </c>
      <c r="X743" s="60" t="str">
        <f>IF(AND(A743="",C743="",D743="",H743="",L743=""),"",IF(A743="","Type manquant",IF(AND(A743&lt;&gt;"BL",A743&lt;&gt;"BR",A743&lt;&gt;"BS"),"Type inconnu (BL, BR ou BS)",IF(AG743=0,"Date manquante ou invalide",IF(D743="",IF(A743="BL","Client manquant",IF(A743="BR","Fournisseur manquant","Service manquant")),IF(IF(A743="BL",ISNA(MATCH(D743,cl_code,0)),IF(A743="BR",ISNA(MATCH(D743,fo_code,0)),ISNA(MATCH(D743,p_services,0)))),IF(A743="BL","Client inconnu",IF(A743="BR","Fournisseur inconnu","Service inconnu")),IF(H743="","Article manquant",IF(ISNA(MATCH(H743,art_ref,0)),"Article inconnu",IF(OR(NOT(ISNUMBER(L743)),N(L743)&lt;=0),"Quantité invalide",IF(AND(K743&lt;&gt;"",OR(NOT(ISNUMBER(K743)),N(K743)&lt;=0)),"Qté commandée invalide",IF(AG743&lt;SUMPRODUCT(MAX((A$6:A742=A743)*AG$6:AG742)),"Date antérieure au bon précédent",IF(AND(A743&lt;&gt;"BR",ISNUMBER(M743),N(M743)&gt;0),IF(A743="BL","Livré plus que commandé","Sorti plus que demandé"),"OK"))))))))))))</f>
        <v/>
      </c>
      <c r="Y743" s="57" t="str">
        <f>IF(AND(OR(A743="BL",A743="BR",A743="BS"),AG743&gt;0,D743&lt;&gt;""),A743&amp;"|"&amp;AG743&amp;"|"&amp;D743&amp;"|"&amp;F743,"")</f>
        <v/>
      </c>
      <c r="Z743" s="57" t="str">
        <f>IF(Y743="","",IF(COUNTIF(Y$6:Y742,Y743)=0,1,0))</f>
        <v/>
      </c>
      <c r="AA743" s="57" t="str">
        <f>IF(Y743="","",IF(Z743=1,COUNTIFS(A$6:A743,A743,Z$6:Z743,1),INDEX(AA$6:AA742,MATCH(Y743,Y$6:Y742,0))))</f>
        <v/>
      </c>
      <c r="AB743" s="57" t="str">
        <f>IF(B743="","",COUNTIF(B$6:B743,B743))</f>
        <v/>
      </c>
      <c r="AC743" s="57" t="str">
        <f>IF(B743="","",B743&amp;"#"&amp;AB743)</f>
        <v/>
      </c>
      <c r="AD743" s="57" t="str">
        <f>IF(Z743=1,A743&amp;AA743,"")</f>
        <v/>
      </c>
      <c r="AE743" s="57" t="str">
        <f>IF(B743="","",YEAR(C743))</f>
        <v/>
      </c>
      <c r="AF743" s="57" t="str">
        <f>IF(B743="","",MONTH(C743))</f>
        <v/>
      </c>
      <c r="AG743" s="57">
        <f>IF(ISNUMBER(C743),C743,0)</f>
        <v>0.0</v>
      </c>
      <c r="AH743" s="57" t="str">
        <f>IF(N(W743)&gt;0,COUNTIF(W$6:W743,"&gt;0"),"")</f>
        <v/>
      </c>
      <c r="AI743" s="57" t="str">
        <f>IF(Z743=1,COUNTIF(Z$6:Z743,1),"")</f>
        <v/>
      </c>
    </row>
    <row r="744">
      <c r="A744" s="54" t="n"/>
      <c r="B744" s="55" t="str">
        <f>IF(AA744="","",A744&amp;"-"&amp;RIGHT("000"&amp;AA744,4))</f>
        <v/>
      </c>
      <c r="C744" s="56" t="n"/>
      <c r="D744" s="54" t="n"/>
      <c r="E744" s="57" t="str">
        <f>IF(D744="","",IF(A744="BL",IFERROR(INDEX(cl_name,MATCH(D744,cl_code,0))&amp;"","Client inconnu"),IF(A744="BR",IFERROR(INDEX(fo_name,MATCH(D744,fo_code,0))&amp;"","Fournisseur inconnu"),IF(A744="BS",IF(ISNA(MATCH(D744,p_services,0)),"Service inconnu",D744&amp;""),""))))</f>
        <v/>
      </c>
      <c r="F744" s="58" t="n"/>
      <c r="G744" s="58" t="n"/>
      <c r="H744" s="59" t="n"/>
      <c r="I744" s="57" t="str">
        <f>IF(H744="","",IFERROR(INDEX(art_des,MATCH(H744,art_ref,0))&amp;"","Article inconnu"))</f>
        <v/>
      </c>
      <c r="J744" s="60" t="str">
        <f>IF(H744="","",IFERROR(INDEX(art_unit,MATCH(H744,art_ref,0))&amp;"",""))</f>
        <v/>
      </c>
      <c r="K744" s="59" t="n"/>
      <c r="L744" s="59" t="n"/>
      <c r="M744" s="61" t="str">
        <f>IF(OR(B744="",NOT(ISNUMBER(K744)),NOT(ISNUMBER(L744))),"",IF(OR(K744&lt;=0,L744&lt;=0),"",ROUND(L744-K744,6)))</f>
        <v/>
      </c>
      <c r="N744" s="58" t="n"/>
      <c r="O744" s="62" t="n"/>
      <c r="P744" s="63" t="str">
        <f>IF(OR(B744="",NOT(ISNUMBER(L744))),"",IF(L744&lt;=0,"",IFERROR(ROUND(L744*N(INDEX(art_w,MATCH(H744,art_ref,0))),3),"")))</f>
        <v/>
      </c>
      <c r="Q744" s="59" t="n"/>
      <c r="R744" s="54" t="n"/>
      <c r="S744" s="59" t="n"/>
      <c r="T744" s="59" t="n"/>
      <c r="U744" s="64" t="str">
        <f>IF(OR(B744="",H744=""),"",IFERROR(IF(A744="BL",IF(N(INDEX(art_price,MATCH(H744,art_ref,0)))=0,"",N(INDEX(art_price,MATCH(H744,art_ref,0)))),IF(N(INDEX(art_cost,MATCH(H744,art_ref,0)))=0,"",N(INDEX(art_cost,MATCH(H744,art_ref,0))))),""))</f>
        <v/>
      </c>
      <c r="V744" s="64" t="str">
        <f>IF(OR(U744="",NOT(ISNUMBER(L744))),"",IF(L744&lt;=0,"",ROUND(L744*U744,2)))</f>
        <v/>
      </c>
      <c r="W744" s="60" t="str">
        <f>IF(AND(B744&lt;&gt;"",A744&lt;&gt;"BS",F744&lt;&gt;"",H744&lt;&gt;"",ISNUMBER(K744),ISNUMBER(L744)),IF(AND(K744&gt;0,L744&gt;0,K744-L744&gt;0,COUNTIFS(A745:A$2005,A744,F745:F$2005,F744,H745:H$2005,H744,AA745:AA$2005,"&gt;0")=0),ROUND(K744-L744,6),""),"")</f>
        <v/>
      </c>
      <c r="X744" s="60" t="str">
        <f>IF(AND(A744="",C744="",D744="",H744="",L744=""),"",IF(A744="","Type manquant",IF(AND(A744&lt;&gt;"BL",A744&lt;&gt;"BR",A744&lt;&gt;"BS"),"Type inconnu (BL, BR ou BS)",IF(AG744=0,"Date manquante ou invalide",IF(D744="",IF(A744="BL","Client manquant",IF(A744="BR","Fournisseur manquant","Service manquant")),IF(IF(A744="BL",ISNA(MATCH(D744,cl_code,0)),IF(A744="BR",ISNA(MATCH(D744,fo_code,0)),ISNA(MATCH(D744,p_services,0)))),IF(A744="BL","Client inconnu",IF(A744="BR","Fournisseur inconnu","Service inconnu")),IF(H744="","Article manquant",IF(ISNA(MATCH(H744,art_ref,0)),"Article inconnu",IF(OR(NOT(ISNUMBER(L744)),N(L744)&lt;=0),"Quantité invalide",IF(AND(K744&lt;&gt;"",OR(NOT(ISNUMBER(K744)),N(K744)&lt;=0)),"Qté commandée invalide",IF(AG744&lt;SUMPRODUCT(MAX((A$6:A743=A744)*AG$6:AG743)),"Date antérieure au bon précédent",IF(AND(A744&lt;&gt;"BR",ISNUMBER(M744),N(M744)&gt;0),IF(A744="BL","Livré plus que commandé","Sorti plus que demandé"),"OK"))))))))))))</f>
        <v/>
      </c>
      <c r="Y744" s="57" t="str">
        <f>IF(AND(OR(A744="BL",A744="BR",A744="BS"),AG744&gt;0,D744&lt;&gt;""),A744&amp;"|"&amp;AG744&amp;"|"&amp;D744&amp;"|"&amp;F744,"")</f>
        <v/>
      </c>
      <c r="Z744" s="57" t="str">
        <f>IF(Y744="","",IF(COUNTIF(Y$6:Y743,Y744)=0,1,0))</f>
        <v/>
      </c>
      <c r="AA744" s="57" t="str">
        <f>IF(Y744="","",IF(Z744=1,COUNTIFS(A$6:A744,A744,Z$6:Z744,1),INDEX(AA$6:AA743,MATCH(Y744,Y$6:Y743,0))))</f>
        <v/>
      </c>
      <c r="AB744" s="57" t="str">
        <f>IF(B744="","",COUNTIF(B$6:B744,B744))</f>
        <v/>
      </c>
      <c r="AC744" s="57" t="str">
        <f>IF(B744="","",B744&amp;"#"&amp;AB744)</f>
        <v/>
      </c>
      <c r="AD744" s="57" t="str">
        <f>IF(Z744=1,A744&amp;AA744,"")</f>
        <v/>
      </c>
      <c r="AE744" s="57" t="str">
        <f>IF(B744="","",YEAR(C744))</f>
        <v/>
      </c>
      <c r="AF744" s="57" t="str">
        <f>IF(B744="","",MONTH(C744))</f>
        <v/>
      </c>
      <c r="AG744" s="57">
        <f>IF(ISNUMBER(C744),C744,0)</f>
        <v>0.0</v>
      </c>
      <c r="AH744" s="57" t="str">
        <f>IF(N(W744)&gt;0,COUNTIF(W$6:W744,"&gt;0"),"")</f>
        <v/>
      </c>
      <c r="AI744" s="57" t="str">
        <f>IF(Z744=1,COUNTIF(Z$6:Z744,1),"")</f>
        <v/>
      </c>
    </row>
    <row r="745">
      <c r="A745" s="54" t="n"/>
      <c r="B745" s="55" t="str">
        <f>IF(AA745="","",A745&amp;"-"&amp;RIGHT("000"&amp;AA745,4))</f>
        <v/>
      </c>
      <c r="C745" s="56" t="n"/>
      <c r="D745" s="54" t="n"/>
      <c r="E745" s="57" t="str">
        <f>IF(D745="","",IF(A745="BL",IFERROR(INDEX(cl_name,MATCH(D745,cl_code,0))&amp;"","Client inconnu"),IF(A745="BR",IFERROR(INDEX(fo_name,MATCH(D745,fo_code,0))&amp;"","Fournisseur inconnu"),IF(A745="BS",IF(ISNA(MATCH(D745,p_services,0)),"Service inconnu",D745&amp;""),""))))</f>
        <v/>
      </c>
      <c r="F745" s="58" t="n"/>
      <c r="G745" s="58" t="n"/>
      <c r="H745" s="59" t="n"/>
      <c r="I745" s="57" t="str">
        <f>IF(H745="","",IFERROR(INDEX(art_des,MATCH(H745,art_ref,0))&amp;"","Article inconnu"))</f>
        <v/>
      </c>
      <c r="J745" s="60" t="str">
        <f>IF(H745="","",IFERROR(INDEX(art_unit,MATCH(H745,art_ref,0))&amp;"",""))</f>
        <v/>
      </c>
      <c r="K745" s="59" t="n"/>
      <c r="L745" s="59" t="n"/>
      <c r="M745" s="61" t="str">
        <f>IF(OR(B745="",NOT(ISNUMBER(K745)),NOT(ISNUMBER(L745))),"",IF(OR(K745&lt;=0,L745&lt;=0),"",ROUND(L745-K745,6)))</f>
        <v/>
      </c>
      <c r="N745" s="58" t="n"/>
      <c r="O745" s="62" t="n"/>
      <c r="P745" s="63" t="str">
        <f>IF(OR(B745="",NOT(ISNUMBER(L745))),"",IF(L745&lt;=0,"",IFERROR(ROUND(L745*N(INDEX(art_w,MATCH(H745,art_ref,0))),3),"")))</f>
        <v/>
      </c>
      <c r="Q745" s="59" t="n"/>
      <c r="R745" s="54" t="n"/>
      <c r="S745" s="59" t="n"/>
      <c r="T745" s="59" t="n"/>
      <c r="U745" s="64" t="str">
        <f>IF(OR(B745="",H745=""),"",IFERROR(IF(A745="BL",IF(N(INDEX(art_price,MATCH(H745,art_ref,0)))=0,"",N(INDEX(art_price,MATCH(H745,art_ref,0)))),IF(N(INDEX(art_cost,MATCH(H745,art_ref,0)))=0,"",N(INDEX(art_cost,MATCH(H745,art_ref,0))))),""))</f>
        <v/>
      </c>
      <c r="V745" s="64" t="str">
        <f>IF(OR(U745="",NOT(ISNUMBER(L745))),"",IF(L745&lt;=0,"",ROUND(L745*U745,2)))</f>
        <v/>
      </c>
      <c r="W745" s="60" t="str">
        <f>IF(AND(B745&lt;&gt;"",A745&lt;&gt;"BS",F745&lt;&gt;"",H745&lt;&gt;"",ISNUMBER(K745),ISNUMBER(L745)),IF(AND(K745&gt;0,L745&gt;0,K745-L745&gt;0,COUNTIFS(A746:A$2005,A745,F746:F$2005,F745,H746:H$2005,H745,AA746:AA$2005,"&gt;0")=0),ROUND(K745-L745,6),""),"")</f>
        <v/>
      </c>
      <c r="X745" s="60" t="str">
        <f>IF(AND(A745="",C745="",D745="",H745="",L745=""),"",IF(A745="","Type manquant",IF(AND(A745&lt;&gt;"BL",A745&lt;&gt;"BR",A745&lt;&gt;"BS"),"Type inconnu (BL, BR ou BS)",IF(AG745=0,"Date manquante ou invalide",IF(D745="",IF(A745="BL","Client manquant",IF(A745="BR","Fournisseur manquant","Service manquant")),IF(IF(A745="BL",ISNA(MATCH(D745,cl_code,0)),IF(A745="BR",ISNA(MATCH(D745,fo_code,0)),ISNA(MATCH(D745,p_services,0)))),IF(A745="BL","Client inconnu",IF(A745="BR","Fournisseur inconnu","Service inconnu")),IF(H745="","Article manquant",IF(ISNA(MATCH(H745,art_ref,0)),"Article inconnu",IF(OR(NOT(ISNUMBER(L745)),N(L745)&lt;=0),"Quantité invalide",IF(AND(K745&lt;&gt;"",OR(NOT(ISNUMBER(K745)),N(K745)&lt;=0)),"Qté commandée invalide",IF(AG745&lt;SUMPRODUCT(MAX((A$6:A744=A745)*AG$6:AG744)),"Date antérieure au bon précédent",IF(AND(A745&lt;&gt;"BR",ISNUMBER(M745),N(M745)&gt;0),IF(A745="BL","Livré plus que commandé","Sorti plus que demandé"),"OK"))))))))))))</f>
        <v/>
      </c>
      <c r="Y745" s="57" t="str">
        <f>IF(AND(OR(A745="BL",A745="BR",A745="BS"),AG745&gt;0,D745&lt;&gt;""),A745&amp;"|"&amp;AG745&amp;"|"&amp;D745&amp;"|"&amp;F745,"")</f>
        <v/>
      </c>
      <c r="Z745" s="57" t="str">
        <f>IF(Y745="","",IF(COUNTIF(Y$6:Y744,Y745)=0,1,0))</f>
        <v/>
      </c>
      <c r="AA745" s="57" t="str">
        <f>IF(Y745="","",IF(Z745=1,COUNTIFS(A$6:A745,A745,Z$6:Z745,1),INDEX(AA$6:AA744,MATCH(Y745,Y$6:Y744,0))))</f>
        <v/>
      </c>
      <c r="AB745" s="57" t="str">
        <f>IF(B745="","",COUNTIF(B$6:B745,B745))</f>
        <v/>
      </c>
      <c r="AC745" s="57" t="str">
        <f>IF(B745="","",B745&amp;"#"&amp;AB745)</f>
        <v/>
      </c>
      <c r="AD745" s="57" t="str">
        <f>IF(Z745=1,A745&amp;AA745,"")</f>
        <v/>
      </c>
      <c r="AE745" s="57" t="str">
        <f>IF(B745="","",YEAR(C745))</f>
        <v/>
      </c>
      <c r="AF745" s="57" t="str">
        <f>IF(B745="","",MONTH(C745))</f>
        <v/>
      </c>
      <c r="AG745" s="57">
        <f>IF(ISNUMBER(C745),C745,0)</f>
        <v>0.0</v>
      </c>
      <c r="AH745" s="57" t="str">
        <f>IF(N(W745)&gt;0,COUNTIF(W$6:W745,"&gt;0"),"")</f>
        <v/>
      </c>
      <c r="AI745" s="57" t="str">
        <f>IF(Z745=1,COUNTIF(Z$6:Z745,1),"")</f>
        <v/>
      </c>
    </row>
    <row r="746">
      <c r="A746" s="54" t="n"/>
      <c r="B746" s="55" t="str">
        <f>IF(AA746="","",A746&amp;"-"&amp;RIGHT("000"&amp;AA746,4))</f>
        <v/>
      </c>
      <c r="C746" s="56" t="n"/>
      <c r="D746" s="54" t="n"/>
      <c r="E746" s="57" t="str">
        <f>IF(D746="","",IF(A746="BL",IFERROR(INDEX(cl_name,MATCH(D746,cl_code,0))&amp;"","Client inconnu"),IF(A746="BR",IFERROR(INDEX(fo_name,MATCH(D746,fo_code,0))&amp;"","Fournisseur inconnu"),IF(A746="BS",IF(ISNA(MATCH(D746,p_services,0)),"Service inconnu",D746&amp;""),""))))</f>
        <v/>
      </c>
      <c r="F746" s="58" t="n"/>
      <c r="G746" s="58" t="n"/>
      <c r="H746" s="59" t="n"/>
      <c r="I746" s="57" t="str">
        <f>IF(H746="","",IFERROR(INDEX(art_des,MATCH(H746,art_ref,0))&amp;"","Article inconnu"))</f>
        <v/>
      </c>
      <c r="J746" s="60" t="str">
        <f>IF(H746="","",IFERROR(INDEX(art_unit,MATCH(H746,art_ref,0))&amp;"",""))</f>
        <v/>
      </c>
      <c r="K746" s="59" t="n"/>
      <c r="L746" s="59" t="n"/>
      <c r="M746" s="61" t="str">
        <f>IF(OR(B746="",NOT(ISNUMBER(K746)),NOT(ISNUMBER(L746))),"",IF(OR(K746&lt;=0,L746&lt;=0),"",ROUND(L746-K746,6)))</f>
        <v/>
      </c>
      <c r="N746" s="58" t="n"/>
      <c r="O746" s="62" t="n"/>
      <c r="P746" s="63" t="str">
        <f>IF(OR(B746="",NOT(ISNUMBER(L746))),"",IF(L746&lt;=0,"",IFERROR(ROUND(L746*N(INDEX(art_w,MATCH(H746,art_ref,0))),3),"")))</f>
        <v/>
      </c>
      <c r="Q746" s="59" t="n"/>
      <c r="R746" s="54" t="n"/>
      <c r="S746" s="59" t="n"/>
      <c r="T746" s="59" t="n"/>
      <c r="U746" s="64" t="str">
        <f>IF(OR(B746="",H746=""),"",IFERROR(IF(A746="BL",IF(N(INDEX(art_price,MATCH(H746,art_ref,0)))=0,"",N(INDEX(art_price,MATCH(H746,art_ref,0)))),IF(N(INDEX(art_cost,MATCH(H746,art_ref,0)))=0,"",N(INDEX(art_cost,MATCH(H746,art_ref,0))))),""))</f>
        <v/>
      </c>
      <c r="V746" s="64" t="str">
        <f>IF(OR(U746="",NOT(ISNUMBER(L746))),"",IF(L746&lt;=0,"",ROUND(L746*U746,2)))</f>
        <v/>
      </c>
      <c r="W746" s="60" t="str">
        <f>IF(AND(B746&lt;&gt;"",A746&lt;&gt;"BS",F746&lt;&gt;"",H746&lt;&gt;"",ISNUMBER(K746),ISNUMBER(L746)),IF(AND(K746&gt;0,L746&gt;0,K746-L746&gt;0,COUNTIFS(A747:A$2005,A746,F747:F$2005,F746,H747:H$2005,H746,AA747:AA$2005,"&gt;0")=0),ROUND(K746-L746,6),""),"")</f>
        <v/>
      </c>
      <c r="X746" s="60" t="str">
        <f>IF(AND(A746="",C746="",D746="",H746="",L746=""),"",IF(A746="","Type manquant",IF(AND(A746&lt;&gt;"BL",A746&lt;&gt;"BR",A746&lt;&gt;"BS"),"Type inconnu (BL, BR ou BS)",IF(AG746=0,"Date manquante ou invalide",IF(D746="",IF(A746="BL","Client manquant",IF(A746="BR","Fournisseur manquant","Service manquant")),IF(IF(A746="BL",ISNA(MATCH(D746,cl_code,0)),IF(A746="BR",ISNA(MATCH(D746,fo_code,0)),ISNA(MATCH(D746,p_services,0)))),IF(A746="BL","Client inconnu",IF(A746="BR","Fournisseur inconnu","Service inconnu")),IF(H746="","Article manquant",IF(ISNA(MATCH(H746,art_ref,0)),"Article inconnu",IF(OR(NOT(ISNUMBER(L746)),N(L746)&lt;=0),"Quantité invalide",IF(AND(K746&lt;&gt;"",OR(NOT(ISNUMBER(K746)),N(K746)&lt;=0)),"Qté commandée invalide",IF(AG746&lt;SUMPRODUCT(MAX((A$6:A745=A746)*AG$6:AG745)),"Date antérieure au bon précédent",IF(AND(A746&lt;&gt;"BR",ISNUMBER(M746),N(M746)&gt;0),IF(A746="BL","Livré plus que commandé","Sorti plus que demandé"),"OK"))))))))))))</f>
        <v/>
      </c>
      <c r="Y746" s="57" t="str">
        <f>IF(AND(OR(A746="BL",A746="BR",A746="BS"),AG746&gt;0,D746&lt;&gt;""),A746&amp;"|"&amp;AG746&amp;"|"&amp;D746&amp;"|"&amp;F746,"")</f>
        <v/>
      </c>
      <c r="Z746" s="57" t="str">
        <f>IF(Y746="","",IF(COUNTIF(Y$6:Y745,Y746)=0,1,0))</f>
        <v/>
      </c>
      <c r="AA746" s="57" t="str">
        <f>IF(Y746="","",IF(Z746=1,COUNTIFS(A$6:A746,A746,Z$6:Z746,1),INDEX(AA$6:AA745,MATCH(Y746,Y$6:Y745,0))))</f>
        <v/>
      </c>
      <c r="AB746" s="57" t="str">
        <f>IF(B746="","",COUNTIF(B$6:B746,B746))</f>
        <v/>
      </c>
      <c r="AC746" s="57" t="str">
        <f>IF(B746="","",B746&amp;"#"&amp;AB746)</f>
        <v/>
      </c>
      <c r="AD746" s="57" t="str">
        <f>IF(Z746=1,A746&amp;AA746,"")</f>
        <v/>
      </c>
      <c r="AE746" s="57" t="str">
        <f>IF(B746="","",YEAR(C746))</f>
        <v/>
      </c>
      <c r="AF746" s="57" t="str">
        <f>IF(B746="","",MONTH(C746))</f>
        <v/>
      </c>
      <c r="AG746" s="57">
        <f>IF(ISNUMBER(C746),C746,0)</f>
        <v>0.0</v>
      </c>
      <c r="AH746" s="57" t="str">
        <f>IF(N(W746)&gt;0,COUNTIF(W$6:W746,"&gt;0"),"")</f>
        <v/>
      </c>
      <c r="AI746" s="57" t="str">
        <f>IF(Z746=1,COUNTIF(Z$6:Z746,1),"")</f>
        <v/>
      </c>
    </row>
    <row r="747">
      <c r="A747" s="54" t="n"/>
      <c r="B747" s="55" t="str">
        <f>IF(AA747="","",A747&amp;"-"&amp;RIGHT("000"&amp;AA747,4))</f>
        <v/>
      </c>
      <c r="C747" s="56" t="n"/>
      <c r="D747" s="54" t="n"/>
      <c r="E747" s="57" t="str">
        <f>IF(D747="","",IF(A747="BL",IFERROR(INDEX(cl_name,MATCH(D747,cl_code,0))&amp;"","Client inconnu"),IF(A747="BR",IFERROR(INDEX(fo_name,MATCH(D747,fo_code,0))&amp;"","Fournisseur inconnu"),IF(A747="BS",IF(ISNA(MATCH(D747,p_services,0)),"Service inconnu",D747&amp;""),""))))</f>
        <v/>
      </c>
      <c r="F747" s="58" t="n"/>
      <c r="G747" s="58" t="n"/>
      <c r="H747" s="59" t="n"/>
      <c r="I747" s="57" t="str">
        <f>IF(H747="","",IFERROR(INDEX(art_des,MATCH(H747,art_ref,0))&amp;"","Article inconnu"))</f>
        <v/>
      </c>
      <c r="J747" s="60" t="str">
        <f>IF(H747="","",IFERROR(INDEX(art_unit,MATCH(H747,art_ref,0))&amp;"",""))</f>
        <v/>
      </c>
      <c r="K747" s="59" t="n"/>
      <c r="L747" s="59" t="n"/>
      <c r="M747" s="61" t="str">
        <f>IF(OR(B747="",NOT(ISNUMBER(K747)),NOT(ISNUMBER(L747))),"",IF(OR(K747&lt;=0,L747&lt;=0),"",ROUND(L747-K747,6)))</f>
        <v/>
      </c>
      <c r="N747" s="58" t="n"/>
      <c r="O747" s="62" t="n"/>
      <c r="P747" s="63" t="str">
        <f>IF(OR(B747="",NOT(ISNUMBER(L747))),"",IF(L747&lt;=0,"",IFERROR(ROUND(L747*N(INDEX(art_w,MATCH(H747,art_ref,0))),3),"")))</f>
        <v/>
      </c>
      <c r="Q747" s="59" t="n"/>
      <c r="R747" s="54" t="n"/>
      <c r="S747" s="59" t="n"/>
      <c r="T747" s="59" t="n"/>
      <c r="U747" s="64" t="str">
        <f>IF(OR(B747="",H747=""),"",IFERROR(IF(A747="BL",IF(N(INDEX(art_price,MATCH(H747,art_ref,0)))=0,"",N(INDEX(art_price,MATCH(H747,art_ref,0)))),IF(N(INDEX(art_cost,MATCH(H747,art_ref,0)))=0,"",N(INDEX(art_cost,MATCH(H747,art_ref,0))))),""))</f>
        <v/>
      </c>
      <c r="V747" s="64" t="str">
        <f>IF(OR(U747="",NOT(ISNUMBER(L747))),"",IF(L747&lt;=0,"",ROUND(L747*U747,2)))</f>
        <v/>
      </c>
      <c r="W747" s="60" t="str">
        <f>IF(AND(B747&lt;&gt;"",A747&lt;&gt;"BS",F747&lt;&gt;"",H747&lt;&gt;"",ISNUMBER(K747),ISNUMBER(L747)),IF(AND(K747&gt;0,L747&gt;0,K747-L747&gt;0,COUNTIFS(A748:A$2005,A747,F748:F$2005,F747,H748:H$2005,H747,AA748:AA$2005,"&gt;0")=0),ROUND(K747-L747,6),""),"")</f>
        <v/>
      </c>
      <c r="X747" s="60" t="str">
        <f>IF(AND(A747="",C747="",D747="",H747="",L747=""),"",IF(A747="","Type manquant",IF(AND(A747&lt;&gt;"BL",A747&lt;&gt;"BR",A747&lt;&gt;"BS"),"Type inconnu (BL, BR ou BS)",IF(AG747=0,"Date manquante ou invalide",IF(D747="",IF(A747="BL","Client manquant",IF(A747="BR","Fournisseur manquant","Service manquant")),IF(IF(A747="BL",ISNA(MATCH(D747,cl_code,0)),IF(A747="BR",ISNA(MATCH(D747,fo_code,0)),ISNA(MATCH(D747,p_services,0)))),IF(A747="BL","Client inconnu",IF(A747="BR","Fournisseur inconnu","Service inconnu")),IF(H747="","Article manquant",IF(ISNA(MATCH(H747,art_ref,0)),"Article inconnu",IF(OR(NOT(ISNUMBER(L747)),N(L747)&lt;=0),"Quantité invalide",IF(AND(K747&lt;&gt;"",OR(NOT(ISNUMBER(K747)),N(K747)&lt;=0)),"Qté commandée invalide",IF(AG747&lt;SUMPRODUCT(MAX((A$6:A746=A747)*AG$6:AG746)),"Date antérieure au bon précédent",IF(AND(A747&lt;&gt;"BR",ISNUMBER(M747),N(M747)&gt;0),IF(A747="BL","Livré plus que commandé","Sorti plus que demandé"),"OK"))))))))))))</f>
        <v/>
      </c>
      <c r="Y747" s="57" t="str">
        <f>IF(AND(OR(A747="BL",A747="BR",A747="BS"),AG747&gt;0,D747&lt;&gt;""),A747&amp;"|"&amp;AG747&amp;"|"&amp;D747&amp;"|"&amp;F747,"")</f>
        <v/>
      </c>
      <c r="Z747" s="57" t="str">
        <f>IF(Y747="","",IF(COUNTIF(Y$6:Y746,Y747)=0,1,0))</f>
        <v/>
      </c>
      <c r="AA747" s="57" t="str">
        <f>IF(Y747="","",IF(Z747=1,COUNTIFS(A$6:A747,A747,Z$6:Z747,1),INDEX(AA$6:AA746,MATCH(Y747,Y$6:Y746,0))))</f>
        <v/>
      </c>
      <c r="AB747" s="57" t="str">
        <f>IF(B747="","",COUNTIF(B$6:B747,B747))</f>
        <v/>
      </c>
      <c r="AC747" s="57" t="str">
        <f>IF(B747="","",B747&amp;"#"&amp;AB747)</f>
        <v/>
      </c>
      <c r="AD747" s="57" t="str">
        <f>IF(Z747=1,A747&amp;AA747,"")</f>
        <v/>
      </c>
      <c r="AE747" s="57" t="str">
        <f>IF(B747="","",YEAR(C747))</f>
        <v/>
      </c>
      <c r="AF747" s="57" t="str">
        <f>IF(B747="","",MONTH(C747))</f>
        <v/>
      </c>
      <c r="AG747" s="57">
        <f>IF(ISNUMBER(C747),C747,0)</f>
        <v>0.0</v>
      </c>
      <c r="AH747" s="57" t="str">
        <f>IF(N(W747)&gt;0,COUNTIF(W$6:W747,"&gt;0"),"")</f>
        <v/>
      </c>
      <c r="AI747" s="57" t="str">
        <f>IF(Z747=1,COUNTIF(Z$6:Z747,1),"")</f>
        <v/>
      </c>
    </row>
    <row r="748">
      <c r="A748" s="54" t="n"/>
      <c r="B748" s="55" t="str">
        <f>IF(AA748="","",A748&amp;"-"&amp;RIGHT("000"&amp;AA748,4))</f>
        <v/>
      </c>
      <c r="C748" s="56" t="n"/>
      <c r="D748" s="54" t="n"/>
      <c r="E748" s="57" t="str">
        <f>IF(D748="","",IF(A748="BL",IFERROR(INDEX(cl_name,MATCH(D748,cl_code,0))&amp;"","Client inconnu"),IF(A748="BR",IFERROR(INDEX(fo_name,MATCH(D748,fo_code,0))&amp;"","Fournisseur inconnu"),IF(A748="BS",IF(ISNA(MATCH(D748,p_services,0)),"Service inconnu",D748&amp;""),""))))</f>
        <v/>
      </c>
      <c r="F748" s="58" t="n"/>
      <c r="G748" s="58" t="n"/>
      <c r="H748" s="59" t="n"/>
      <c r="I748" s="57" t="str">
        <f>IF(H748="","",IFERROR(INDEX(art_des,MATCH(H748,art_ref,0))&amp;"","Article inconnu"))</f>
        <v/>
      </c>
      <c r="J748" s="60" t="str">
        <f>IF(H748="","",IFERROR(INDEX(art_unit,MATCH(H748,art_ref,0))&amp;"",""))</f>
        <v/>
      </c>
      <c r="K748" s="59" t="n"/>
      <c r="L748" s="59" t="n"/>
      <c r="M748" s="61" t="str">
        <f>IF(OR(B748="",NOT(ISNUMBER(K748)),NOT(ISNUMBER(L748))),"",IF(OR(K748&lt;=0,L748&lt;=0),"",ROUND(L748-K748,6)))</f>
        <v/>
      </c>
      <c r="N748" s="58" t="n"/>
      <c r="O748" s="62" t="n"/>
      <c r="P748" s="63" t="str">
        <f>IF(OR(B748="",NOT(ISNUMBER(L748))),"",IF(L748&lt;=0,"",IFERROR(ROUND(L748*N(INDEX(art_w,MATCH(H748,art_ref,0))),3),"")))</f>
        <v/>
      </c>
      <c r="Q748" s="59" t="n"/>
      <c r="R748" s="54" t="n"/>
      <c r="S748" s="59" t="n"/>
      <c r="T748" s="59" t="n"/>
      <c r="U748" s="64" t="str">
        <f>IF(OR(B748="",H748=""),"",IFERROR(IF(A748="BL",IF(N(INDEX(art_price,MATCH(H748,art_ref,0)))=0,"",N(INDEX(art_price,MATCH(H748,art_ref,0)))),IF(N(INDEX(art_cost,MATCH(H748,art_ref,0)))=0,"",N(INDEX(art_cost,MATCH(H748,art_ref,0))))),""))</f>
        <v/>
      </c>
      <c r="V748" s="64" t="str">
        <f>IF(OR(U748="",NOT(ISNUMBER(L748))),"",IF(L748&lt;=0,"",ROUND(L748*U748,2)))</f>
        <v/>
      </c>
      <c r="W748" s="60" t="str">
        <f>IF(AND(B748&lt;&gt;"",A748&lt;&gt;"BS",F748&lt;&gt;"",H748&lt;&gt;"",ISNUMBER(K748),ISNUMBER(L748)),IF(AND(K748&gt;0,L748&gt;0,K748-L748&gt;0,COUNTIFS(A749:A$2005,A748,F749:F$2005,F748,H749:H$2005,H748,AA749:AA$2005,"&gt;0")=0),ROUND(K748-L748,6),""),"")</f>
        <v/>
      </c>
      <c r="X748" s="60" t="str">
        <f>IF(AND(A748="",C748="",D748="",H748="",L748=""),"",IF(A748="","Type manquant",IF(AND(A748&lt;&gt;"BL",A748&lt;&gt;"BR",A748&lt;&gt;"BS"),"Type inconnu (BL, BR ou BS)",IF(AG748=0,"Date manquante ou invalide",IF(D748="",IF(A748="BL","Client manquant",IF(A748="BR","Fournisseur manquant","Service manquant")),IF(IF(A748="BL",ISNA(MATCH(D748,cl_code,0)),IF(A748="BR",ISNA(MATCH(D748,fo_code,0)),ISNA(MATCH(D748,p_services,0)))),IF(A748="BL","Client inconnu",IF(A748="BR","Fournisseur inconnu","Service inconnu")),IF(H748="","Article manquant",IF(ISNA(MATCH(H748,art_ref,0)),"Article inconnu",IF(OR(NOT(ISNUMBER(L748)),N(L748)&lt;=0),"Quantité invalide",IF(AND(K748&lt;&gt;"",OR(NOT(ISNUMBER(K748)),N(K748)&lt;=0)),"Qté commandée invalide",IF(AG748&lt;SUMPRODUCT(MAX((A$6:A747=A748)*AG$6:AG747)),"Date antérieure au bon précédent",IF(AND(A748&lt;&gt;"BR",ISNUMBER(M748),N(M748)&gt;0),IF(A748="BL","Livré plus que commandé","Sorti plus que demandé"),"OK"))))))))))))</f>
        <v/>
      </c>
      <c r="Y748" s="57" t="str">
        <f>IF(AND(OR(A748="BL",A748="BR",A748="BS"),AG748&gt;0,D748&lt;&gt;""),A748&amp;"|"&amp;AG748&amp;"|"&amp;D748&amp;"|"&amp;F748,"")</f>
        <v/>
      </c>
      <c r="Z748" s="57" t="str">
        <f>IF(Y748="","",IF(COUNTIF(Y$6:Y747,Y748)=0,1,0))</f>
        <v/>
      </c>
      <c r="AA748" s="57" t="str">
        <f>IF(Y748="","",IF(Z748=1,COUNTIFS(A$6:A748,A748,Z$6:Z748,1),INDEX(AA$6:AA747,MATCH(Y748,Y$6:Y747,0))))</f>
        <v/>
      </c>
      <c r="AB748" s="57" t="str">
        <f>IF(B748="","",COUNTIF(B$6:B748,B748))</f>
        <v/>
      </c>
      <c r="AC748" s="57" t="str">
        <f>IF(B748="","",B748&amp;"#"&amp;AB748)</f>
        <v/>
      </c>
      <c r="AD748" s="57" t="str">
        <f>IF(Z748=1,A748&amp;AA748,"")</f>
        <v/>
      </c>
      <c r="AE748" s="57" t="str">
        <f>IF(B748="","",YEAR(C748))</f>
        <v/>
      </c>
      <c r="AF748" s="57" t="str">
        <f>IF(B748="","",MONTH(C748))</f>
        <v/>
      </c>
      <c r="AG748" s="57">
        <f>IF(ISNUMBER(C748),C748,0)</f>
        <v>0.0</v>
      </c>
      <c r="AH748" s="57" t="str">
        <f>IF(N(W748)&gt;0,COUNTIF(W$6:W748,"&gt;0"),"")</f>
        <v/>
      </c>
      <c r="AI748" s="57" t="str">
        <f>IF(Z748=1,COUNTIF(Z$6:Z748,1),"")</f>
        <v/>
      </c>
    </row>
    <row r="749">
      <c r="A749" s="54" t="n"/>
      <c r="B749" s="55" t="str">
        <f>IF(AA749="","",A749&amp;"-"&amp;RIGHT("000"&amp;AA749,4))</f>
        <v/>
      </c>
      <c r="C749" s="56" t="n"/>
      <c r="D749" s="54" t="n"/>
      <c r="E749" s="57" t="str">
        <f>IF(D749="","",IF(A749="BL",IFERROR(INDEX(cl_name,MATCH(D749,cl_code,0))&amp;"","Client inconnu"),IF(A749="BR",IFERROR(INDEX(fo_name,MATCH(D749,fo_code,0))&amp;"","Fournisseur inconnu"),IF(A749="BS",IF(ISNA(MATCH(D749,p_services,0)),"Service inconnu",D749&amp;""),""))))</f>
        <v/>
      </c>
      <c r="F749" s="58" t="n"/>
      <c r="G749" s="58" t="n"/>
      <c r="H749" s="59" t="n"/>
      <c r="I749" s="57" t="str">
        <f>IF(H749="","",IFERROR(INDEX(art_des,MATCH(H749,art_ref,0))&amp;"","Article inconnu"))</f>
        <v/>
      </c>
      <c r="J749" s="60" t="str">
        <f>IF(H749="","",IFERROR(INDEX(art_unit,MATCH(H749,art_ref,0))&amp;"",""))</f>
        <v/>
      </c>
      <c r="K749" s="59" t="n"/>
      <c r="L749" s="59" t="n"/>
      <c r="M749" s="61" t="str">
        <f>IF(OR(B749="",NOT(ISNUMBER(K749)),NOT(ISNUMBER(L749))),"",IF(OR(K749&lt;=0,L749&lt;=0),"",ROUND(L749-K749,6)))</f>
        <v/>
      </c>
      <c r="N749" s="58" t="n"/>
      <c r="O749" s="62" t="n"/>
      <c r="P749" s="63" t="str">
        <f>IF(OR(B749="",NOT(ISNUMBER(L749))),"",IF(L749&lt;=0,"",IFERROR(ROUND(L749*N(INDEX(art_w,MATCH(H749,art_ref,0))),3),"")))</f>
        <v/>
      </c>
      <c r="Q749" s="59" t="n"/>
      <c r="R749" s="54" t="n"/>
      <c r="S749" s="59" t="n"/>
      <c r="T749" s="59" t="n"/>
      <c r="U749" s="64" t="str">
        <f>IF(OR(B749="",H749=""),"",IFERROR(IF(A749="BL",IF(N(INDEX(art_price,MATCH(H749,art_ref,0)))=0,"",N(INDEX(art_price,MATCH(H749,art_ref,0)))),IF(N(INDEX(art_cost,MATCH(H749,art_ref,0)))=0,"",N(INDEX(art_cost,MATCH(H749,art_ref,0))))),""))</f>
        <v/>
      </c>
      <c r="V749" s="64" t="str">
        <f>IF(OR(U749="",NOT(ISNUMBER(L749))),"",IF(L749&lt;=0,"",ROUND(L749*U749,2)))</f>
        <v/>
      </c>
      <c r="W749" s="60" t="str">
        <f>IF(AND(B749&lt;&gt;"",A749&lt;&gt;"BS",F749&lt;&gt;"",H749&lt;&gt;"",ISNUMBER(K749),ISNUMBER(L749)),IF(AND(K749&gt;0,L749&gt;0,K749-L749&gt;0,COUNTIFS(A750:A$2005,A749,F750:F$2005,F749,H750:H$2005,H749,AA750:AA$2005,"&gt;0")=0),ROUND(K749-L749,6),""),"")</f>
        <v/>
      </c>
      <c r="X749" s="60" t="str">
        <f>IF(AND(A749="",C749="",D749="",H749="",L749=""),"",IF(A749="","Type manquant",IF(AND(A749&lt;&gt;"BL",A749&lt;&gt;"BR",A749&lt;&gt;"BS"),"Type inconnu (BL, BR ou BS)",IF(AG749=0,"Date manquante ou invalide",IF(D749="",IF(A749="BL","Client manquant",IF(A749="BR","Fournisseur manquant","Service manquant")),IF(IF(A749="BL",ISNA(MATCH(D749,cl_code,0)),IF(A749="BR",ISNA(MATCH(D749,fo_code,0)),ISNA(MATCH(D749,p_services,0)))),IF(A749="BL","Client inconnu",IF(A749="BR","Fournisseur inconnu","Service inconnu")),IF(H749="","Article manquant",IF(ISNA(MATCH(H749,art_ref,0)),"Article inconnu",IF(OR(NOT(ISNUMBER(L749)),N(L749)&lt;=0),"Quantité invalide",IF(AND(K749&lt;&gt;"",OR(NOT(ISNUMBER(K749)),N(K749)&lt;=0)),"Qté commandée invalide",IF(AG749&lt;SUMPRODUCT(MAX((A$6:A748=A749)*AG$6:AG748)),"Date antérieure au bon précédent",IF(AND(A749&lt;&gt;"BR",ISNUMBER(M749),N(M749)&gt;0),IF(A749="BL","Livré plus que commandé","Sorti plus que demandé"),"OK"))))))))))))</f>
        <v/>
      </c>
      <c r="Y749" s="57" t="str">
        <f>IF(AND(OR(A749="BL",A749="BR",A749="BS"),AG749&gt;0,D749&lt;&gt;""),A749&amp;"|"&amp;AG749&amp;"|"&amp;D749&amp;"|"&amp;F749,"")</f>
        <v/>
      </c>
      <c r="Z749" s="57" t="str">
        <f>IF(Y749="","",IF(COUNTIF(Y$6:Y748,Y749)=0,1,0))</f>
        <v/>
      </c>
      <c r="AA749" s="57" t="str">
        <f>IF(Y749="","",IF(Z749=1,COUNTIFS(A$6:A749,A749,Z$6:Z749,1),INDEX(AA$6:AA748,MATCH(Y749,Y$6:Y748,0))))</f>
        <v/>
      </c>
      <c r="AB749" s="57" t="str">
        <f>IF(B749="","",COUNTIF(B$6:B749,B749))</f>
        <v/>
      </c>
      <c r="AC749" s="57" t="str">
        <f>IF(B749="","",B749&amp;"#"&amp;AB749)</f>
        <v/>
      </c>
      <c r="AD749" s="57" t="str">
        <f>IF(Z749=1,A749&amp;AA749,"")</f>
        <v/>
      </c>
      <c r="AE749" s="57" t="str">
        <f>IF(B749="","",YEAR(C749))</f>
        <v/>
      </c>
      <c r="AF749" s="57" t="str">
        <f>IF(B749="","",MONTH(C749))</f>
        <v/>
      </c>
      <c r="AG749" s="57">
        <f>IF(ISNUMBER(C749),C749,0)</f>
        <v>0.0</v>
      </c>
      <c r="AH749" s="57" t="str">
        <f>IF(N(W749)&gt;0,COUNTIF(W$6:W749,"&gt;0"),"")</f>
        <v/>
      </c>
      <c r="AI749" s="57" t="str">
        <f>IF(Z749=1,COUNTIF(Z$6:Z749,1),"")</f>
        <v/>
      </c>
    </row>
    <row r="750">
      <c r="A750" s="54" t="n"/>
      <c r="B750" s="55" t="str">
        <f>IF(AA750="","",A750&amp;"-"&amp;RIGHT("000"&amp;AA750,4))</f>
        <v/>
      </c>
      <c r="C750" s="56" t="n"/>
      <c r="D750" s="54" t="n"/>
      <c r="E750" s="57" t="str">
        <f>IF(D750="","",IF(A750="BL",IFERROR(INDEX(cl_name,MATCH(D750,cl_code,0))&amp;"","Client inconnu"),IF(A750="BR",IFERROR(INDEX(fo_name,MATCH(D750,fo_code,0))&amp;"","Fournisseur inconnu"),IF(A750="BS",IF(ISNA(MATCH(D750,p_services,0)),"Service inconnu",D750&amp;""),""))))</f>
        <v/>
      </c>
      <c r="F750" s="58" t="n"/>
      <c r="G750" s="58" t="n"/>
      <c r="H750" s="59" t="n"/>
      <c r="I750" s="57" t="str">
        <f>IF(H750="","",IFERROR(INDEX(art_des,MATCH(H750,art_ref,0))&amp;"","Article inconnu"))</f>
        <v/>
      </c>
      <c r="J750" s="60" t="str">
        <f>IF(H750="","",IFERROR(INDEX(art_unit,MATCH(H750,art_ref,0))&amp;"",""))</f>
        <v/>
      </c>
      <c r="K750" s="59" t="n"/>
      <c r="L750" s="59" t="n"/>
      <c r="M750" s="61" t="str">
        <f>IF(OR(B750="",NOT(ISNUMBER(K750)),NOT(ISNUMBER(L750))),"",IF(OR(K750&lt;=0,L750&lt;=0),"",ROUND(L750-K750,6)))</f>
        <v/>
      </c>
      <c r="N750" s="58" t="n"/>
      <c r="O750" s="62" t="n"/>
      <c r="P750" s="63" t="str">
        <f>IF(OR(B750="",NOT(ISNUMBER(L750))),"",IF(L750&lt;=0,"",IFERROR(ROUND(L750*N(INDEX(art_w,MATCH(H750,art_ref,0))),3),"")))</f>
        <v/>
      </c>
      <c r="Q750" s="59" t="n"/>
      <c r="R750" s="54" t="n"/>
      <c r="S750" s="59" t="n"/>
      <c r="T750" s="59" t="n"/>
      <c r="U750" s="64" t="str">
        <f>IF(OR(B750="",H750=""),"",IFERROR(IF(A750="BL",IF(N(INDEX(art_price,MATCH(H750,art_ref,0)))=0,"",N(INDEX(art_price,MATCH(H750,art_ref,0)))),IF(N(INDEX(art_cost,MATCH(H750,art_ref,0)))=0,"",N(INDEX(art_cost,MATCH(H750,art_ref,0))))),""))</f>
        <v/>
      </c>
      <c r="V750" s="64" t="str">
        <f>IF(OR(U750="",NOT(ISNUMBER(L750))),"",IF(L750&lt;=0,"",ROUND(L750*U750,2)))</f>
        <v/>
      </c>
      <c r="W750" s="60" t="str">
        <f>IF(AND(B750&lt;&gt;"",A750&lt;&gt;"BS",F750&lt;&gt;"",H750&lt;&gt;"",ISNUMBER(K750),ISNUMBER(L750)),IF(AND(K750&gt;0,L750&gt;0,K750-L750&gt;0,COUNTIFS(A751:A$2005,A750,F751:F$2005,F750,H751:H$2005,H750,AA751:AA$2005,"&gt;0")=0),ROUND(K750-L750,6),""),"")</f>
        <v/>
      </c>
      <c r="X750" s="60" t="str">
        <f>IF(AND(A750="",C750="",D750="",H750="",L750=""),"",IF(A750="","Type manquant",IF(AND(A750&lt;&gt;"BL",A750&lt;&gt;"BR",A750&lt;&gt;"BS"),"Type inconnu (BL, BR ou BS)",IF(AG750=0,"Date manquante ou invalide",IF(D750="",IF(A750="BL","Client manquant",IF(A750="BR","Fournisseur manquant","Service manquant")),IF(IF(A750="BL",ISNA(MATCH(D750,cl_code,0)),IF(A750="BR",ISNA(MATCH(D750,fo_code,0)),ISNA(MATCH(D750,p_services,0)))),IF(A750="BL","Client inconnu",IF(A750="BR","Fournisseur inconnu","Service inconnu")),IF(H750="","Article manquant",IF(ISNA(MATCH(H750,art_ref,0)),"Article inconnu",IF(OR(NOT(ISNUMBER(L750)),N(L750)&lt;=0),"Quantité invalide",IF(AND(K750&lt;&gt;"",OR(NOT(ISNUMBER(K750)),N(K750)&lt;=0)),"Qté commandée invalide",IF(AG750&lt;SUMPRODUCT(MAX((A$6:A749=A750)*AG$6:AG749)),"Date antérieure au bon précédent",IF(AND(A750&lt;&gt;"BR",ISNUMBER(M750),N(M750)&gt;0),IF(A750="BL","Livré plus que commandé","Sorti plus que demandé"),"OK"))))))))))))</f>
        <v/>
      </c>
      <c r="Y750" s="57" t="str">
        <f>IF(AND(OR(A750="BL",A750="BR",A750="BS"),AG750&gt;0,D750&lt;&gt;""),A750&amp;"|"&amp;AG750&amp;"|"&amp;D750&amp;"|"&amp;F750,"")</f>
        <v/>
      </c>
      <c r="Z750" s="57" t="str">
        <f>IF(Y750="","",IF(COUNTIF(Y$6:Y749,Y750)=0,1,0))</f>
        <v/>
      </c>
      <c r="AA750" s="57" t="str">
        <f>IF(Y750="","",IF(Z750=1,COUNTIFS(A$6:A750,A750,Z$6:Z750,1),INDEX(AA$6:AA749,MATCH(Y750,Y$6:Y749,0))))</f>
        <v/>
      </c>
      <c r="AB750" s="57" t="str">
        <f>IF(B750="","",COUNTIF(B$6:B750,B750))</f>
        <v/>
      </c>
      <c r="AC750" s="57" t="str">
        <f>IF(B750="","",B750&amp;"#"&amp;AB750)</f>
        <v/>
      </c>
      <c r="AD750" s="57" t="str">
        <f>IF(Z750=1,A750&amp;AA750,"")</f>
        <v/>
      </c>
      <c r="AE750" s="57" t="str">
        <f>IF(B750="","",YEAR(C750))</f>
        <v/>
      </c>
      <c r="AF750" s="57" t="str">
        <f>IF(B750="","",MONTH(C750))</f>
        <v/>
      </c>
      <c r="AG750" s="57">
        <f>IF(ISNUMBER(C750),C750,0)</f>
        <v>0.0</v>
      </c>
      <c r="AH750" s="57" t="str">
        <f>IF(N(W750)&gt;0,COUNTIF(W$6:W750,"&gt;0"),"")</f>
        <v/>
      </c>
      <c r="AI750" s="57" t="str">
        <f>IF(Z750=1,COUNTIF(Z$6:Z750,1),"")</f>
        <v/>
      </c>
    </row>
    <row r="751">
      <c r="A751" s="54" t="n"/>
      <c r="B751" s="55" t="str">
        <f>IF(AA751="","",A751&amp;"-"&amp;RIGHT("000"&amp;AA751,4))</f>
        <v/>
      </c>
      <c r="C751" s="56" t="n"/>
      <c r="D751" s="54" t="n"/>
      <c r="E751" s="57" t="str">
        <f>IF(D751="","",IF(A751="BL",IFERROR(INDEX(cl_name,MATCH(D751,cl_code,0))&amp;"","Client inconnu"),IF(A751="BR",IFERROR(INDEX(fo_name,MATCH(D751,fo_code,0))&amp;"","Fournisseur inconnu"),IF(A751="BS",IF(ISNA(MATCH(D751,p_services,0)),"Service inconnu",D751&amp;""),""))))</f>
        <v/>
      </c>
      <c r="F751" s="58" t="n"/>
      <c r="G751" s="58" t="n"/>
      <c r="H751" s="59" t="n"/>
      <c r="I751" s="57" t="str">
        <f>IF(H751="","",IFERROR(INDEX(art_des,MATCH(H751,art_ref,0))&amp;"","Article inconnu"))</f>
        <v/>
      </c>
      <c r="J751" s="60" t="str">
        <f>IF(H751="","",IFERROR(INDEX(art_unit,MATCH(H751,art_ref,0))&amp;"",""))</f>
        <v/>
      </c>
      <c r="K751" s="59" t="n"/>
      <c r="L751" s="59" t="n"/>
      <c r="M751" s="61" t="str">
        <f>IF(OR(B751="",NOT(ISNUMBER(K751)),NOT(ISNUMBER(L751))),"",IF(OR(K751&lt;=0,L751&lt;=0),"",ROUND(L751-K751,6)))</f>
        <v/>
      </c>
      <c r="N751" s="58" t="n"/>
      <c r="O751" s="62" t="n"/>
      <c r="P751" s="63" t="str">
        <f>IF(OR(B751="",NOT(ISNUMBER(L751))),"",IF(L751&lt;=0,"",IFERROR(ROUND(L751*N(INDEX(art_w,MATCH(H751,art_ref,0))),3),"")))</f>
        <v/>
      </c>
      <c r="Q751" s="59" t="n"/>
      <c r="R751" s="54" t="n"/>
      <c r="S751" s="59" t="n"/>
      <c r="T751" s="59" t="n"/>
      <c r="U751" s="64" t="str">
        <f>IF(OR(B751="",H751=""),"",IFERROR(IF(A751="BL",IF(N(INDEX(art_price,MATCH(H751,art_ref,0)))=0,"",N(INDEX(art_price,MATCH(H751,art_ref,0)))),IF(N(INDEX(art_cost,MATCH(H751,art_ref,0)))=0,"",N(INDEX(art_cost,MATCH(H751,art_ref,0))))),""))</f>
        <v/>
      </c>
      <c r="V751" s="64" t="str">
        <f>IF(OR(U751="",NOT(ISNUMBER(L751))),"",IF(L751&lt;=0,"",ROUND(L751*U751,2)))</f>
        <v/>
      </c>
      <c r="W751" s="60" t="str">
        <f>IF(AND(B751&lt;&gt;"",A751&lt;&gt;"BS",F751&lt;&gt;"",H751&lt;&gt;"",ISNUMBER(K751),ISNUMBER(L751)),IF(AND(K751&gt;0,L751&gt;0,K751-L751&gt;0,COUNTIFS(A752:A$2005,A751,F752:F$2005,F751,H752:H$2005,H751,AA752:AA$2005,"&gt;0")=0),ROUND(K751-L751,6),""),"")</f>
        <v/>
      </c>
      <c r="X751" s="60" t="str">
        <f>IF(AND(A751="",C751="",D751="",H751="",L751=""),"",IF(A751="","Type manquant",IF(AND(A751&lt;&gt;"BL",A751&lt;&gt;"BR",A751&lt;&gt;"BS"),"Type inconnu (BL, BR ou BS)",IF(AG751=0,"Date manquante ou invalide",IF(D751="",IF(A751="BL","Client manquant",IF(A751="BR","Fournisseur manquant","Service manquant")),IF(IF(A751="BL",ISNA(MATCH(D751,cl_code,0)),IF(A751="BR",ISNA(MATCH(D751,fo_code,0)),ISNA(MATCH(D751,p_services,0)))),IF(A751="BL","Client inconnu",IF(A751="BR","Fournisseur inconnu","Service inconnu")),IF(H751="","Article manquant",IF(ISNA(MATCH(H751,art_ref,0)),"Article inconnu",IF(OR(NOT(ISNUMBER(L751)),N(L751)&lt;=0),"Quantité invalide",IF(AND(K751&lt;&gt;"",OR(NOT(ISNUMBER(K751)),N(K751)&lt;=0)),"Qté commandée invalide",IF(AG751&lt;SUMPRODUCT(MAX((A$6:A750=A751)*AG$6:AG750)),"Date antérieure au bon précédent",IF(AND(A751&lt;&gt;"BR",ISNUMBER(M751),N(M751)&gt;0),IF(A751="BL","Livré plus que commandé","Sorti plus que demandé"),"OK"))))))))))))</f>
        <v/>
      </c>
      <c r="Y751" s="57" t="str">
        <f>IF(AND(OR(A751="BL",A751="BR",A751="BS"),AG751&gt;0,D751&lt;&gt;""),A751&amp;"|"&amp;AG751&amp;"|"&amp;D751&amp;"|"&amp;F751,"")</f>
        <v/>
      </c>
      <c r="Z751" s="57" t="str">
        <f>IF(Y751="","",IF(COUNTIF(Y$6:Y750,Y751)=0,1,0))</f>
        <v/>
      </c>
      <c r="AA751" s="57" t="str">
        <f>IF(Y751="","",IF(Z751=1,COUNTIFS(A$6:A751,A751,Z$6:Z751,1),INDEX(AA$6:AA750,MATCH(Y751,Y$6:Y750,0))))</f>
        <v/>
      </c>
      <c r="AB751" s="57" t="str">
        <f>IF(B751="","",COUNTIF(B$6:B751,B751))</f>
        <v/>
      </c>
      <c r="AC751" s="57" t="str">
        <f>IF(B751="","",B751&amp;"#"&amp;AB751)</f>
        <v/>
      </c>
      <c r="AD751" s="57" t="str">
        <f>IF(Z751=1,A751&amp;AA751,"")</f>
        <v/>
      </c>
      <c r="AE751" s="57" t="str">
        <f>IF(B751="","",YEAR(C751))</f>
        <v/>
      </c>
      <c r="AF751" s="57" t="str">
        <f>IF(B751="","",MONTH(C751))</f>
        <v/>
      </c>
      <c r="AG751" s="57">
        <f>IF(ISNUMBER(C751),C751,0)</f>
        <v>0.0</v>
      </c>
      <c r="AH751" s="57" t="str">
        <f>IF(N(W751)&gt;0,COUNTIF(W$6:W751,"&gt;0"),"")</f>
        <v/>
      </c>
      <c r="AI751" s="57" t="str">
        <f>IF(Z751=1,COUNTIF(Z$6:Z751,1),"")</f>
        <v/>
      </c>
    </row>
    <row r="752">
      <c r="A752" s="54" t="n"/>
      <c r="B752" s="55" t="str">
        <f>IF(AA752="","",A752&amp;"-"&amp;RIGHT("000"&amp;AA752,4))</f>
        <v/>
      </c>
      <c r="C752" s="56" t="n"/>
      <c r="D752" s="54" t="n"/>
      <c r="E752" s="57" t="str">
        <f>IF(D752="","",IF(A752="BL",IFERROR(INDEX(cl_name,MATCH(D752,cl_code,0))&amp;"","Client inconnu"),IF(A752="BR",IFERROR(INDEX(fo_name,MATCH(D752,fo_code,0))&amp;"","Fournisseur inconnu"),IF(A752="BS",IF(ISNA(MATCH(D752,p_services,0)),"Service inconnu",D752&amp;""),""))))</f>
        <v/>
      </c>
      <c r="F752" s="58" t="n"/>
      <c r="G752" s="58" t="n"/>
      <c r="H752" s="59" t="n"/>
      <c r="I752" s="57" t="str">
        <f>IF(H752="","",IFERROR(INDEX(art_des,MATCH(H752,art_ref,0))&amp;"","Article inconnu"))</f>
        <v/>
      </c>
      <c r="J752" s="60" t="str">
        <f>IF(H752="","",IFERROR(INDEX(art_unit,MATCH(H752,art_ref,0))&amp;"",""))</f>
        <v/>
      </c>
      <c r="K752" s="59" t="n"/>
      <c r="L752" s="59" t="n"/>
      <c r="M752" s="61" t="str">
        <f>IF(OR(B752="",NOT(ISNUMBER(K752)),NOT(ISNUMBER(L752))),"",IF(OR(K752&lt;=0,L752&lt;=0),"",ROUND(L752-K752,6)))</f>
        <v/>
      </c>
      <c r="N752" s="58" t="n"/>
      <c r="O752" s="62" t="n"/>
      <c r="P752" s="63" t="str">
        <f>IF(OR(B752="",NOT(ISNUMBER(L752))),"",IF(L752&lt;=0,"",IFERROR(ROUND(L752*N(INDEX(art_w,MATCH(H752,art_ref,0))),3),"")))</f>
        <v/>
      </c>
      <c r="Q752" s="59" t="n"/>
      <c r="R752" s="54" t="n"/>
      <c r="S752" s="59" t="n"/>
      <c r="T752" s="59" t="n"/>
      <c r="U752" s="64" t="str">
        <f>IF(OR(B752="",H752=""),"",IFERROR(IF(A752="BL",IF(N(INDEX(art_price,MATCH(H752,art_ref,0)))=0,"",N(INDEX(art_price,MATCH(H752,art_ref,0)))),IF(N(INDEX(art_cost,MATCH(H752,art_ref,0)))=0,"",N(INDEX(art_cost,MATCH(H752,art_ref,0))))),""))</f>
        <v/>
      </c>
      <c r="V752" s="64" t="str">
        <f>IF(OR(U752="",NOT(ISNUMBER(L752))),"",IF(L752&lt;=0,"",ROUND(L752*U752,2)))</f>
        <v/>
      </c>
      <c r="W752" s="60" t="str">
        <f>IF(AND(B752&lt;&gt;"",A752&lt;&gt;"BS",F752&lt;&gt;"",H752&lt;&gt;"",ISNUMBER(K752),ISNUMBER(L752)),IF(AND(K752&gt;0,L752&gt;0,K752-L752&gt;0,COUNTIFS(A753:A$2005,A752,F753:F$2005,F752,H753:H$2005,H752,AA753:AA$2005,"&gt;0")=0),ROUND(K752-L752,6),""),"")</f>
        <v/>
      </c>
      <c r="X752" s="60" t="str">
        <f>IF(AND(A752="",C752="",D752="",H752="",L752=""),"",IF(A752="","Type manquant",IF(AND(A752&lt;&gt;"BL",A752&lt;&gt;"BR",A752&lt;&gt;"BS"),"Type inconnu (BL, BR ou BS)",IF(AG752=0,"Date manquante ou invalide",IF(D752="",IF(A752="BL","Client manquant",IF(A752="BR","Fournisseur manquant","Service manquant")),IF(IF(A752="BL",ISNA(MATCH(D752,cl_code,0)),IF(A752="BR",ISNA(MATCH(D752,fo_code,0)),ISNA(MATCH(D752,p_services,0)))),IF(A752="BL","Client inconnu",IF(A752="BR","Fournisseur inconnu","Service inconnu")),IF(H752="","Article manquant",IF(ISNA(MATCH(H752,art_ref,0)),"Article inconnu",IF(OR(NOT(ISNUMBER(L752)),N(L752)&lt;=0),"Quantité invalide",IF(AND(K752&lt;&gt;"",OR(NOT(ISNUMBER(K752)),N(K752)&lt;=0)),"Qté commandée invalide",IF(AG752&lt;SUMPRODUCT(MAX((A$6:A751=A752)*AG$6:AG751)),"Date antérieure au bon précédent",IF(AND(A752&lt;&gt;"BR",ISNUMBER(M752),N(M752)&gt;0),IF(A752="BL","Livré plus que commandé","Sorti plus que demandé"),"OK"))))))))))))</f>
        <v/>
      </c>
      <c r="Y752" s="57" t="str">
        <f>IF(AND(OR(A752="BL",A752="BR",A752="BS"),AG752&gt;0,D752&lt;&gt;""),A752&amp;"|"&amp;AG752&amp;"|"&amp;D752&amp;"|"&amp;F752,"")</f>
        <v/>
      </c>
      <c r="Z752" s="57" t="str">
        <f>IF(Y752="","",IF(COUNTIF(Y$6:Y751,Y752)=0,1,0))</f>
        <v/>
      </c>
      <c r="AA752" s="57" t="str">
        <f>IF(Y752="","",IF(Z752=1,COUNTIFS(A$6:A752,A752,Z$6:Z752,1),INDEX(AA$6:AA751,MATCH(Y752,Y$6:Y751,0))))</f>
        <v/>
      </c>
      <c r="AB752" s="57" t="str">
        <f>IF(B752="","",COUNTIF(B$6:B752,B752))</f>
        <v/>
      </c>
      <c r="AC752" s="57" t="str">
        <f>IF(B752="","",B752&amp;"#"&amp;AB752)</f>
        <v/>
      </c>
      <c r="AD752" s="57" t="str">
        <f>IF(Z752=1,A752&amp;AA752,"")</f>
        <v/>
      </c>
      <c r="AE752" s="57" t="str">
        <f>IF(B752="","",YEAR(C752))</f>
        <v/>
      </c>
      <c r="AF752" s="57" t="str">
        <f>IF(B752="","",MONTH(C752))</f>
        <v/>
      </c>
      <c r="AG752" s="57">
        <f>IF(ISNUMBER(C752),C752,0)</f>
        <v>0.0</v>
      </c>
      <c r="AH752" s="57" t="str">
        <f>IF(N(W752)&gt;0,COUNTIF(W$6:W752,"&gt;0"),"")</f>
        <v/>
      </c>
      <c r="AI752" s="57" t="str">
        <f>IF(Z752=1,COUNTIF(Z$6:Z752,1),"")</f>
        <v/>
      </c>
    </row>
    <row r="753">
      <c r="A753" s="54" t="n"/>
      <c r="B753" s="55" t="str">
        <f>IF(AA753="","",A753&amp;"-"&amp;RIGHT("000"&amp;AA753,4))</f>
        <v/>
      </c>
      <c r="C753" s="56" t="n"/>
      <c r="D753" s="54" t="n"/>
      <c r="E753" s="57" t="str">
        <f>IF(D753="","",IF(A753="BL",IFERROR(INDEX(cl_name,MATCH(D753,cl_code,0))&amp;"","Client inconnu"),IF(A753="BR",IFERROR(INDEX(fo_name,MATCH(D753,fo_code,0))&amp;"","Fournisseur inconnu"),IF(A753="BS",IF(ISNA(MATCH(D753,p_services,0)),"Service inconnu",D753&amp;""),""))))</f>
        <v/>
      </c>
      <c r="F753" s="58" t="n"/>
      <c r="G753" s="58" t="n"/>
      <c r="H753" s="59" t="n"/>
      <c r="I753" s="57" t="str">
        <f>IF(H753="","",IFERROR(INDEX(art_des,MATCH(H753,art_ref,0))&amp;"","Article inconnu"))</f>
        <v/>
      </c>
      <c r="J753" s="60" t="str">
        <f>IF(H753="","",IFERROR(INDEX(art_unit,MATCH(H753,art_ref,0))&amp;"",""))</f>
        <v/>
      </c>
      <c r="K753" s="59" t="n"/>
      <c r="L753" s="59" t="n"/>
      <c r="M753" s="61" t="str">
        <f>IF(OR(B753="",NOT(ISNUMBER(K753)),NOT(ISNUMBER(L753))),"",IF(OR(K753&lt;=0,L753&lt;=0),"",ROUND(L753-K753,6)))</f>
        <v/>
      </c>
      <c r="N753" s="58" t="n"/>
      <c r="O753" s="62" t="n"/>
      <c r="P753" s="63" t="str">
        <f>IF(OR(B753="",NOT(ISNUMBER(L753))),"",IF(L753&lt;=0,"",IFERROR(ROUND(L753*N(INDEX(art_w,MATCH(H753,art_ref,0))),3),"")))</f>
        <v/>
      </c>
      <c r="Q753" s="59" t="n"/>
      <c r="R753" s="54" t="n"/>
      <c r="S753" s="59" t="n"/>
      <c r="T753" s="59" t="n"/>
      <c r="U753" s="64" t="str">
        <f>IF(OR(B753="",H753=""),"",IFERROR(IF(A753="BL",IF(N(INDEX(art_price,MATCH(H753,art_ref,0)))=0,"",N(INDEX(art_price,MATCH(H753,art_ref,0)))),IF(N(INDEX(art_cost,MATCH(H753,art_ref,0)))=0,"",N(INDEX(art_cost,MATCH(H753,art_ref,0))))),""))</f>
        <v/>
      </c>
      <c r="V753" s="64" t="str">
        <f>IF(OR(U753="",NOT(ISNUMBER(L753))),"",IF(L753&lt;=0,"",ROUND(L753*U753,2)))</f>
        <v/>
      </c>
      <c r="W753" s="60" t="str">
        <f>IF(AND(B753&lt;&gt;"",A753&lt;&gt;"BS",F753&lt;&gt;"",H753&lt;&gt;"",ISNUMBER(K753),ISNUMBER(L753)),IF(AND(K753&gt;0,L753&gt;0,K753-L753&gt;0,COUNTIFS(A754:A$2005,A753,F754:F$2005,F753,H754:H$2005,H753,AA754:AA$2005,"&gt;0")=0),ROUND(K753-L753,6),""),"")</f>
        <v/>
      </c>
      <c r="X753" s="60" t="str">
        <f>IF(AND(A753="",C753="",D753="",H753="",L753=""),"",IF(A753="","Type manquant",IF(AND(A753&lt;&gt;"BL",A753&lt;&gt;"BR",A753&lt;&gt;"BS"),"Type inconnu (BL, BR ou BS)",IF(AG753=0,"Date manquante ou invalide",IF(D753="",IF(A753="BL","Client manquant",IF(A753="BR","Fournisseur manquant","Service manquant")),IF(IF(A753="BL",ISNA(MATCH(D753,cl_code,0)),IF(A753="BR",ISNA(MATCH(D753,fo_code,0)),ISNA(MATCH(D753,p_services,0)))),IF(A753="BL","Client inconnu",IF(A753="BR","Fournisseur inconnu","Service inconnu")),IF(H753="","Article manquant",IF(ISNA(MATCH(H753,art_ref,0)),"Article inconnu",IF(OR(NOT(ISNUMBER(L753)),N(L753)&lt;=0),"Quantité invalide",IF(AND(K753&lt;&gt;"",OR(NOT(ISNUMBER(K753)),N(K753)&lt;=0)),"Qté commandée invalide",IF(AG753&lt;SUMPRODUCT(MAX((A$6:A752=A753)*AG$6:AG752)),"Date antérieure au bon précédent",IF(AND(A753&lt;&gt;"BR",ISNUMBER(M753),N(M753)&gt;0),IF(A753="BL","Livré plus que commandé","Sorti plus que demandé"),"OK"))))))))))))</f>
        <v/>
      </c>
      <c r="Y753" s="57" t="str">
        <f>IF(AND(OR(A753="BL",A753="BR",A753="BS"),AG753&gt;0,D753&lt;&gt;""),A753&amp;"|"&amp;AG753&amp;"|"&amp;D753&amp;"|"&amp;F753,"")</f>
        <v/>
      </c>
      <c r="Z753" s="57" t="str">
        <f>IF(Y753="","",IF(COUNTIF(Y$6:Y752,Y753)=0,1,0))</f>
        <v/>
      </c>
      <c r="AA753" s="57" t="str">
        <f>IF(Y753="","",IF(Z753=1,COUNTIFS(A$6:A753,A753,Z$6:Z753,1),INDEX(AA$6:AA752,MATCH(Y753,Y$6:Y752,0))))</f>
        <v/>
      </c>
      <c r="AB753" s="57" t="str">
        <f>IF(B753="","",COUNTIF(B$6:B753,B753))</f>
        <v/>
      </c>
      <c r="AC753" s="57" t="str">
        <f>IF(B753="","",B753&amp;"#"&amp;AB753)</f>
        <v/>
      </c>
      <c r="AD753" s="57" t="str">
        <f>IF(Z753=1,A753&amp;AA753,"")</f>
        <v/>
      </c>
      <c r="AE753" s="57" t="str">
        <f>IF(B753="","",YEAR(C753))</f>
        <v/>
      </c>
      <c r="AF753" s="57" t="str">
        <f>IF(B753="","",MONTH(C753))</f>
        <v/>
      </c>
      <c r="AG753" s="57">
        <f>IF(ISNUMBER(C753),C753,0)</f>
        <v>0.0</v>
      </c>
      <c r="AH753" s="57" t="str">
        <f>IF(N(W753)&gt;0,COUNTIF(W$6:W753,"&gt;0"),"")</f>
        <v/>
      </c>
      <c r="AI753" s="57" t="str">
        <f>IF(Z753=1,COUNTIF(Z$6:Z753,1),"")</f>
        <v/>
      </c>
    </row>
    <row r="754">
      <c r="A754" s="54" t="n"/>
      <c r="B754" s="55" t="str">
        <f>IF(AA754="","",A754&amp;"-"&amp;RIGHT("000"&amp;AA754,4))</f>
        <v/>
      </c>
      <c r="C754" s="56" t="n"/>
      <c r="D754" s="54" t="n"/>
      <c r="E754" s="57" t="str">
        <f>IF(D754="","",IF(A754="BL",IFERROR(INDEX(cl_name,MATCH(D754,cl_code,0))&amp;"","Client inconnu"),IF(A754="BR",IFERROR(INDEX(fo_name,MATCH(D754,fo_code,0))&amp;"","Fournisseur inconnu"),IF(A754="BS",IF(ISNA(MATCH(D754,p_services,0)),"Service inconnu",D754&amp;""),""))))</f>
        <v/>
      </c>
      <c r="F754" s="58" t="n"/>
      <c r="G754" s="58" t="n"/>
      <c r="H754" s="59" t="n"/>
      <c r="I754" s="57" t="str">
        <f>IF(H754="","",IFERROR(INDEX(art_des,MATCH(H754,art_ref,0))&amp;"","Article inconnu"))</f>
        <v/>
      </c>
      <c r="J754" s="60" t="str">
        <f>IF(H754="","",IFERROR(INDEX(art_unit,MATCH(H754,art_ref,0))&amp;"",""))</f>
        <v/>
      </c>
      <c r="K754" s="59" t="n"/>
      <c r="L754" s="59" t="n"/>
      <c r="M754" s="61" t="str">
        <f>IF(OR(B754="",NOT(ISNUMBER(K754)),NOT(ISNUMBER(L754))),"",IF(OR(K754&lt;=0,L754&lt;=0),"",ROUND(L754-K754,6)))</f>
        <v/>
      </c>
      <c r="N754" s="58" t="n"/>
      <c r="O754" s="62" t="n"/>
      <c r="P754" s="63" t="str">
        <f>IF(OR(B754="",NOT(ISNUMBER(L754))),"",IF(L754&lt;=0,"",IFERROR(ROUND(L754*N(INDEX(art_w,MATCH(H754,art_ref,0))),3),"")))</f>
        <v/>
      </c>
      <c r="Q754" s="59" t="n"/>
      <c r="R754" s="54" t="n"/>
      <c r="S754" s="59" t="n"/>
      <c r="T754" s="59" t="n"/>
      <c r="U754" s="64" t="str">
        <f>IF(OR(B754="",H754=""),"",IFERROR(IF(A754="BL",IF(N(INDEX(art_price,MATCH(H754,art_ref,0)))=0,"",N(INDEX(art_price,MATCH(H754,art_ref,0)))),IF(N(INDEX(art_cost,MATCH(H754,art_ref,0)))=0,"",N(INDEX(art_cost,MATCH(H754,art_ref,0))))),""))</f>
        <v/>
      </c>
      <c r="V754" s="64" t="str">
        <f>IF(OR(U754="",NOT(ISNUMBER(L754))),"",IF(L754&lt;=0,"",ROUND(L754*U754,2)))</f>
        <v/>
      </c>
      <c r="W754" s="60" t="str">
        <f>IF(AND(B754&lt;&gt;"",A754&lt;&gt;"BS",F754&lt;&gt;"",H754&lt;&gt;"",ISNUMBER(K754),ISNUMBER(L754)),IF(AND(K754&gt;0,L754&gt;0,K754-L754&gt;0,COUNTIFS(A755:A$2005,A754,F755:F$2005,F754,H755:H$2005,H754,AA755:AA$2005,"&gt;0")=0),ROUND(K754-L754,6),""),"")</f>
        <v/>
      </c>
      <c r="X754" s="60" t="str">
        <f>IF(AND(A754="",C754="",D754="",H754="",L754=""),"",IF(A754="","Type manquant",IF(AND(A754&lt;&gt;"BL",A754&lt;&gt;"BR",A754&lt;&gt;"BS"),"Type inconnu (BL, BR ou BS)",IF(AG754=0,"Date manquante ou invalide",IF(D754="",IF(A754="BL","Client manquant",IF(A754="BR","Fournisseur manquant","Service manquant")),IF(IF(A754="BL",ISNA(MATCH(D754,cl_code,0)),IF(A754="BR",ISNA(MATCH(D754,fo_code,0)),ISNA(MATCH(D754,p_services,0)))),IF(A754="BL","Client inconnu",IF(A754="BR","Fournisseur inconnu","Service inconnu")),IF(H754="","Article manquant",IF(ISNA(MATCH(H754,art_ref,0)),"Article inconnu",IF(OR(NOT(ISNUMBER(L754)),N(L754)&lt;=0),"Quantité invalide",IF(AND(K754&lt;&gt;"",OR(NOT(ISNUMBER(K754)),N(K754)&lt;=0)),"Qté commandée invalide",IF(AG754&lt;SUMPRODUCT(MAX((A$6:A753=A754)*AG$6:AG753)),"Date antérieure au bon précédent",IF(AND(A754&lt;&gt;"BR",ISNUMBER(M754),N(M754)&gt;0),IF(A754="BL","Livré plus que commandé","Sorti plus que demandé"),"OK"))))))))))))</f>
        <v/>
      </c>
      <c r="Y754" s="57" t="str">
        <f>IF(AND(OR(A754="BL",A754="BR",A754="BS"),AG754&gt;0,D754&lt;&gt;""),A754&amp;"|"&amp;AG754&amp;"|"&amp;D754&amp;"|"&amp;F754,"")</f>
        <v/>
      </c>
      <c r="Z754" s="57" t="str">
        <f>IF(Y754="","",IF(COUNTIF(Y$6:Y753,Y754)=0,1,0))</f>
        <v/>
      </c>
      <c r="AA754" s="57" t="str">
        <f>IF(Y754="","",IF(Z754=1,COUNTIFS(A$6:A754,A754,Z$6:Z754,1),INDEX(AA$6:AA753,MATCH(Y754,Y$6:Y753,0))))</f>
        <v/>
      </c>
      <c r="AB754" s="57" t="str">
        <f>IF(B754="","",COUNTIF(B$6:B754,B754))</f>
        <v/>
      </c>
      <c r="AC754" s="57" t="str">
        <f>IF(B754="","",B754&amp;"#"&amp;AB754)</f>
        <v/>
      </c>
      <c r="AD754" s="57" t="str">
        <f>IF(Z754=1,A754&amp;AA754,"")</f>
        <v/>
      </c>
      <c r="AE754" s="57" t="str">
        <f>IF(B754="","",YEAR(C754))</f>
        <v/>
      </c>
      <c r="AF754" s="57" t="str">
        <f>IF(B754="","",MONTH(C754))</f>
        <v/>
      </c>
      <c r="AG754" s="57">
        <f>IF(ISNUMBER(C754),C754,0)</f>
        <v>0.0</v>
      </c>
      <c r="AH754" s="57" t="str">
        <f>IF(N(W754)&gt;0,COUNTIF(W$6:W754,"&gt;0"),"")</f>
        <v/>
      </c>
      <c r="AI754" s="57" t="str">
        <f>IF(Z754=1,COUNTIF(Z$6:Z754,1),"")</f>
        <v/>
      </c>
    </row>
    <row r="755">
      <c r="A755" s="54" t="n"/>
      <c r="B755" s="55" t="str">
        <f>IF(AA755="","",A755&amp;"-"&amp;RIGHT("000"&amp;AA755,4))</f>
        <v/>
      </c>
      <c r="C755" s="56" t="n"/>
      <c r="D755" s="54" t="n"/>
      <c r="E755" s="57" t="str">
        <f>IF(D755="","",IF(A755="BL",IFERROR(INDEX(cl_name,MATCH(D755,cl_code,0))&amp;"","Client inconnu"),IF(A755="BR",IFERROR(INDEX(fo_name,MATCH(D755,fo_code,0))&amp;"","Fournisseur inconnu"),IF(A755="BS",IF(ISNA(MATCH(D755,p_services,0)),"Service inconnu",D755&amp;""),""))))</f>
        <v/>
      </c>
      <c r="F755" s="58" t="n"/>
      <c r="G755" s="58" t="n"/>
      <c r="H755" s="59" t="n"/>
      <c r="I755" s="57" t="str">
        <f>IF(H755="","",IFERROR(INDEX(art_des,MATCH(H755,art_ref,0))&amp;"","Article inconnu"))</f>
        <v/>
      </c>
      <c r="J755" s="60" t="str">
        <f>IF(H755="","",IFERROR(INDEX(art_unit,MATCH(H755,art_ref,0))&amp;"",""))</f>
        <v/>
      </c>
      <c r="K755" s="59" t="n"/>
      <c r="L755" s="59" t="n"/>
      <c r="M755" s="61" t="str">
        <f>IF(OR(B755="",NOT(ISNUMBER(K755)),NOT(ISNUMBER(L755))),"",IF(OR(K755&lt;=0,L755&lt;=0),"",ROUND(L755-K755,6)))</f>
        <v/>
      </c>
      <c r="N755" s="58" t="n"/>
      <c r="O755" s="62" t="n"/>
      <c r="P755" s="63" t="str">
        <f>IF(OR(B755="",NOT(ISNUMBER(L755))),"",IF(L755&lt;=0,"",IFERROR(ROUND(L755*N(INDEX(art_w,MATCH(H755,art_ref,0))),3),"")))</f>
        <v/>
      </c>
      <c r="Q755" s="59" t="n"/>
      <c r="R755" s="54" t="n"/>
      <c r="S755" s="59" t="n"/>
      <c r="T755" s="59" t="n"/>
      <c r="U755" s="64" t="str">
        <f>IF(OR(B755="",H755=""),"",IFERROR(IF(A755="BL",IF(N(INDEX(art_price,MATCH(H755,art_ref,0)))=0,"",N(INDEX(art_price,MATCH(H755,art_ref,0)))),IF(N(INDEX(art_cost,MATCH(H755,art_ref,0)))=0,"",N(INDEX(art_cost,MATCH(H755,art_ref,0))))),""))</f>
        <v/>
      </c>
      <c r="V755" s="64" t="str">
        <f>IF(OR(U755="",NOT(ISNUMBER(L755))),"",IF(L755&lt;=0,"",ROUND(L755*U755,2)))</f>
        <v/>
      </c>
      <c r="W755" s="60" t="str">
        <f>IF(AND(B755&lt;&gt;"",A755&lt;&gt;"BS",F755&lt;&gt;"",H755&lt;&gt;"",ISNUMBER(K755),ISNUMBER(L755)),IF(AND(K755&gt;0,L755&gt;0,K755-L755&gt;0,COUNTIFS(A756:A$2005,A755,F756:F$2005,F755,H756:H$2005,H755,AA756:AA$2005,"&gt;0")=0),ROUND(K755-L755,6),""),"")</f>
        <v/>
      </c>
      <c r="X755" s="60" t="str">
        <f>IF(AND(A755="",C755="",D755="",H755="",L755=""),"",IF(A755="","Type manquant",IF(AND(A755&lt;&gt;"BL",A755&lt;&gt;"BR",A755&lt;&gt;"BS"),"Type inconnu (BL, BR ou BS)",IF(AG755=0,"Date manquante ou invalide",IF(D755="",IF(A755="BL","Client manquant",IF(A755="BR","Fournisseur manquant","Service manquant")),IF(IF(A755="BL",ISNA(MATCH(D755,cl_code,0)),IF(A755="BR",ISNA(MATCH(D755,fo_code,0)),ISNA(MATCH(D755,p_services,0)))),IF(A755="BL","Client inconnu",IF(A755="BR","Fournisseur inconnu","Service inconnu")),IF(H755="","Article manquant",IF(ISNA(MATCH(H755,art_ref,0)),"Article inconnu",IF(OR(NOT(ISNUMBER(L755)),N(L755)&lt;=0),"Quantité invalide",IF(AND(K755&lt;&gt;"",OR(NOT(ISNUMBER(K755)),N(K755)&lt;=0)),"Qté commandée invalide",IF(AG755&lt;SUMPRODUCT(MAX((A$6:A754=A755)*AG$6:AG754)),"Date antérieure au bon précédent",IF(AND(A755&lt;&gt;"BR",ISNUMBER(M755),N(M755)&gt;0),IF(A755="BL","Livré plus que commandé","Sorti plus que demandé"),"OK"))))))))))))</f>
        <v/>
      </c>
      <c r="Y755" s="57" t="str">
        <f>IF(AND(OR(A755="BL",A755="BR",A755="BS"),AG755&gt;0,D755&lt;&gt;""),A755&amp;"|"&amp;AG755&amp;"|"&amp;D755&amp;"|"&amp;F755,"")</f>
        <v/>
      </c>
      <c r="Z755" s="57" t="str">
        <f>IF(Y755="","",IF(COUNTIF(Y$6:Y754,Y755)=0,1,0))</f>
        <v/>
      </c>
      <c r="AA755" s="57" t="str">
        <f>IF(Y755="","",IF(Z755=1,COUNTIFS(A$6:A755,A755,Z$6:Z755,1),INDEX(AA$6:AA754,MATCH(Y755,Y$6:Y754,0))))</f>
        <v/>
      </c>
      <c r="AB755" s="57" t="str">
        <f>IF(B755="","",COUNTIF(B$6:B755,B755))</f>
        <v/>
      </c>
      <c r="AC755" s="57" t="str">
        <f>IF(B755="","",B755&amp;"#"&amp;AB755)</f>
        <v/>
      </c>
      <c r="AD755" s="57" t="str">
        <f>IF(Z755=1,A755&amp;AA755,"")</f>
        <v/>
      </c>
      <c r="AE755" s="57" t="str">
        <f>IF(B755="","",YEAR(C755))</f>
        <v/>
      </c>
      <c r="AF755" s="57" t="str">
        <f>IF(B755="","",MONTH(C755))</f>
        <v/>
      </c>
      <c r="AG755" s="57">
        <f>IF(ISNUMBER(C755),C755,0)</f>
        <v>0.0</v>
      </c>
      <c r="AH755" s="57" t="str">
        <f>IF(N(W755)&gt;0,COUNTIF(W$6:W755,"&gt;0"),"")</f>
        <v/>
      </c>
      <c r="AI755" s="57" t="str">
        <f>IF(Z755=1,COUNTIF(Z$6:Z755,1),"")</f>
        <v/>
      </c>
    </row>
    <row r="756">
      <c r="A756" s="54" t="n"/>
      <c r="B756" s="55" t="str">
        <f>IF(AA756="","",A756&amp;"-"&amp;RIGHT("000"&amp;AA756,4))</f>
        <v/>
      </c>
      <c r="C756" s="56" t="n"/>
      <c r="D756" s="54" t="n"/>
      <c r="E756" s="57" t="str">
        <f>IF(D756="","",IF(A756="BL",IFERROR(INDEX(cl_name,MATCH(D756,cl_code,0))&amp;"","Client inconnu"),IF(A756="BR",IFERROR(INDEX(fo_name,MATCH(D756,fo_code,0))&amp;"","Fournisseur inconnu"),IF(A756="BS",IF(ISNA(MATCH(D756,p_services,0)),"Service inconnu",D756&amp;""),""))))</f>
        <v/>
      </c>
      <c r="F756" s="58" t="n"/>
      <c r="G756" s="58" t="n"/>
      <c r="H756" s="59" t="n"/>
      <c r="I756" s="57" t="str">
        <f>IF(H756="","",IFERROR(INDEX(art_des,MATCH(H756,art_ref,0))&amp;"","Article inconnu"))</f>
        <v/>
      </c>
      <c r="J756" s="60" t="str">
        <f>IF(H756="","",IFERROR(INDEX(art_unit,MATCH(H756,art_ref,0))&amp;"",""))</f>
        <v/>
      </c>
      <c r="K756" s="59" t="n"/>
      <c r="L756" s="59" t="n"/>
      <c r="M756" s="61" t="str">
        <f>IF(OR(B756="",NOT(ISNUMBER(K756)),NOT(ISNUMBER(L756))),"",IF(OR(K756&lt;=0,L756&lt;=0),"",ROUND(L756-K756,6)))</f>
        <v/>
      </c>
      <c r="N756" s="58" t="n"/>
      <c r="O756" s="62" t="n"/>
      <c r="P756" s="63" t="str">
        <f>IF(OR(B756="",NOT(ISNUMBER(L756))),"",IF(L756&lt;=0,"",IFERROR(ROUND(L756*N(INDEX(art_w,MATCH(H756,art_ref,0))),3),"")))</f>
        <v/>
      </c>
      <c r="Q756" s="59" t="n"/>
      <c r="R756" s="54" t="n"/>
      <c r="S756" s="59" t="n"/>
      <c r="T756" s="59" t="n"/>
      <c r="U756" s="64" t="str">
        <f>IF(OR(B756="",H756=""),"",IFERROR(IF(A756="BL",IF(N(INDEX(art_price,MATCH(H756,art_ref,0)))=0,"",N(INDEX(art_price,MATCH(H756,art_ref,0)))),IF(N(INDEX(art_cost,MATCH(H756,art_ref,0)))=0,"",N(INDEX(art_cost,MATCH(H756,art_ref,0))))),""))</f>
        <v/>
      </c>
      <c r="V756" s="64" t="str">
        <f>IF(OR(U756="",NOT(ISNUMBER(L756))),"",IF(L756&lt;=0,"",ROUND(L756*U756,2)))</f>
        <v/>
      </c>
      <c r="W756" s="60" t="str">
        <f>IF(AND(B756&lt;&gt;"",A756&lt;&gt;"BS",F756&lt;&gt;"",H756&lt;&gt;"",ISNUMBER(K756),ISNUMBER(L756)),IF(AND(K756&gt;0,L756&gt;0,K756-L756&gt;0,COUNTIFS(A757:A$2005,A756,F757:F$2005,F756,H757:H$2005,H756,AA757:AA$2005,"&gt;0")=0),ROUND(K756-L756,6),""),"")</f>
        <v/>
      </c>
      <c r="X756" s="60" t="str">
        <f>IF(AND(A756="",C756="",D756="",H756="",L756=""),"",IF(A756="","Type manquant",IF(AND(A756&lt;&gt;"BL",A756&lt;&gt;"BR",A756&lt;&gt;"BS"),"Type inconnu (BL, BR ou BS)",IF(AG756=0,"Date manquante ou invalide",IF(D756="",IF(A756="BL","Client manquant",IF(A756="BR","Fournisseur manquant","Service manquant")),IF(IF(A756="BL",ISNA(MATCH(D756,cl_code,0)),IF(A756="BR",ISNA(MATCH(D756,fo_code,0)),ISNA(MATCH(D756,p_services,0)))),IF(A756="BL","Client inconnu",IF(A756="BR","Fournisseur inconnu","Service inconnu")),IF(H756="","Article manquant",IF(ISNA(MATCH(H756,art_ref,0)),"Article inconnu",IF(OR(NOT(ISNUMBER(L756)),N(L756)&lt;=0),"Quantité invalide",IF(AND(K756&lt;&gt;"",OR(NOT(ISNUMBER(K756)),N(K756)&lt;=0)),"Qté commandée invalide",IF(AG756&lt;SUMPRODUCT(MAX((A$6:A755=A756)*AG$6:AG755)),"Date antérieure au bon précédent",IF(AND(A756&lt;&gt;"BR",ISNUMBER(M756),N(M756)&gt;0),IF(A756="BL","Livré plus que commandé","Sorti plus que demandé"),"OK"))))))))))))</f>
        <v/>
      </c>
      <c r="Y756" s="57" t="str">
        <f>IF(AND(OR(A756="BL",A756="BR",A756="BS"),AG756&gt;0,D756&lt;&gt;""),A756&amp;"|"&amp;AG756&amp;"|"&amp;D756&amp;"|"&amp;F756,"")</f>
        <v/>
      </c>
      <c r="Z756" s="57" t="str">
        <f>IF(Y756="","",IF(COUNTIF(Y$6:Y755,Y756)=0,1,0))</f>
        <v/>
      </c>
      <c r="AA756" s="57" t="str">
        <f>IF(Y756="","",IF(Z756=1,COUNTIFS(A$6:A756,A756,Z$6:Z756,1),INDEX(AA$6:AA755,MATCH(Y756,Y$6:Y755,0))))</f>
        <v/>
      </c>
      <c r="AB756" s="57" t="str">
        <f>IF(B756="","",COUNTIF(B$6:B756,B756))</f>
        <v/>
      </c>
      <c r="AC756" s="57" t="str">
        <f>IF(B756="","",B756&amp;"#"&amp;AB756)</f>
        <v/>
      </c>
      <c r="AD756" s="57" t="str">
        <f>IF(Z756=1,A756&amp;AA756,"")</f>
        <v/>
      </c>
      <c r="AE756" s="57" t="str">
        <f>IF(B756="","",YEAR(C756))</f>
        <v/>
      </c>
      <c r="AF756" s="57" t="str">
        <f>IF(B756="","",MONTH(C756))</f>
        <v/>
      </c>
      <c r="AG756" s="57">
        <f>IF(ISNUMBER(C756),C756,0)</f>
        <v>0.0</v>
      </c>
      <c r="AH756" s="57" t="str">
        <f>IF(N(W756)&gt;0,COUNTIF(W$6:W756,"&gt;0"),"")</f>
        <v/>
      </c>
      <c r="AI756" s="57" t="str">
        <f>IF(Z756=1,COUNTIF(Z$6:Z756,1),"")</f>
        <v/>
      </c>
    </row>
    <row r="757">
      <c r="A757" s="54" t="n"/>
      <c r="B757" s="55" t="str">
        <f>IF(AA757="","",A757&amp;"-"&amp;RIGHT("000"&amp;AA757,4))</f>
        <v/>
      </c>
      <c r="C757" s="56" t="n"/>
      <c r="D757" s="54" t="n"/>
      <c r="E757" s="57" t="str">
        <f>IF(D757="","",IF(A757="BL",IFERROR(INDEX(cl_name,MATCH(D757,cl_code,0))&amp;"","Client inconnu"),IF(A757="BR",IFERROR(INDEX(fo_name,MATCH(D757,fo_code,0))&amp;"","Fournisseur inconnu"),IF(A757="BS",IF(ISNA(MATCH(D757,p_services,0)),"Service inconnu",D757&amp;""),""))))</f>
        <v/>
      </c>
      <c r="F757" s="58" t="n"/>
      <c r="G757" s="58" t="n"/>
      <c r="H757" s="59" t="n"/>
      <c r="I757" s="57" t="str">
        <f>IF(H757="","",IFERROR(INDEX(art_des,MATCH(H757,art_ref,0))&amp;"","Article inconnu"))</f>
        <v/>
      </c>
      <c r="J757" s="60" t="str">
        <f>IF(H757="","",IFERROR(INDEX(art_unit,MATCH(H757,art_ref,0))&amp;"",""))</f>
        <v/>
      </c>
      <c r="K757" s="59" t="n"/>
      <c r="L757" s="59" t="n"/>
      <c r="M757" s="61" t="str">
        <f>IF(OR(B757="",NOT(ISNUMBER(K757)),NOT(ISNUMBER(L757))),"",IF(OR(K757&lt;=0,L757&lt;=0),"",ROUND(L757-K757,6)))</f>
        <v/>
      </c>
      <c r="N757" s="58" t="n"/>
      <c r="O757" s="62" t="n"/>
      <c r="P757" s="63" t="str">
        <f>IF(OR(B757="",NOT(ISNUMBER(L757))),"",IF(L757&lt;=0,"",IFERROR(ROUND(L757*N(INDEX(art_w,MATCH(H757,art_ref,0))),3),"")))</f>
        <v/>
      </c>
      <c r="Q757" s="59" t="n"/>
      <c r="R757" s="54" t="n"/>
      <c r="S757" s="59" t="n"/>
      <c r="T757" s="59" t="n"/>
      <c r="U757" s="64" t="str">
        <f>IF(OR(B757="",H757=""),"",IFERROR(IF(A757="BL",IF(N(INDEX(art_price,MATCH(H757,art_ref,0)))=0,"",N(INDEX(art_price,MATCH(H757,art_ref,0)))),IF(N(INDEX(art_cost,MATCH(H757,art_ref,0)))=0,"",N(INDEX(art_cost,MATCH(H757,art_ref,0))))),""))</f>
        <v/>
      </c>
      <c r="V757" s="64" t="str">
        <f>IF(OR(U757="",NOT(ISNUMBER(L757))),"",IF(L757&lt;=0,"",ROUND(L757*U757,2)))</f>
        <v/>
      </c>
      <c r="W757" s="60" t="str">
        <f>IF(AND(B757&lt;&gt;"",A757&lt;&gt;"BS",F757&lt;&gt;"",H757&lt;&gt;"",ISNUMBER(K757),ISNUMBER(L757)),IF(AND(K757&gt;0,L757&gt;0,K757-L757&gt;0,COUNTIFS(A758:A$2005,A757,F758:F$2005,F757,H758:H$2005,H757,AA758:AA$2005,"&gt;0")=0),ROUND(K757-L757,6),""),"")</f>
        <v/>
      </c>
      <c r="X757" s="60" t="str">
        <f>IF(AND(A757="",C757="",D757="",H757="",L757=""),"",IF(A757="","Type manquant",IF(AND(A757&lt;&gt;"BL",A757&lt;&gt;"BR",A757&lt;&gt;"BS"),"Type inconnu (BL, BR ou BS)",IF(AG757=0,"Date manquante ou invalide",IF(D757="",IF(A757="BL","Client manquant",IF(A757="BR","Fournisseur manquant","Service manquant")),IF(IF(A757="BL",ISNA(MATCH(D757,cl_code,0)),IF(A757="BR",ISNA(MATCH(D757,fo_code,0)),ISNA(MATCH(D757,p_services,0)))),IF(A757="BL","Client inconnu",IF(A757="BR","Fournisseur inconnu","Service inconnu")),IF(H757="","Article manquant",IF(ISNA(MATCH(H757,art_ref,0)),"Article inconnu",IF(OR(NOT(ISNUMBER(L757)),N(L757)&lt;=0),"Quantité invalide",IF(AND(K757&lt;&gt;"",OR(NOT(ISNUMBER(K757)),N(K757)&lt;=0)),"Qté commandée invalide",IF(AG757&lt;SUMPRODUCT(MAX((A$6:A756=A757)*AG$6:AG756)),"Date antérieure au bon précédent",IF(AND(A757&lt;&gt;"BR",ISNUMBER(M757),N(M757)&gt;0),IF(A757="BL","Livré plus que commandé","Sorti plus que demandé"),"OK"))))))))))))</f>
        <v/>
      </c>
      <c r="Y757" s="57" t="str">
        <f>IF(AND(OR(A757="BL",A757="BR",A757="BS"),AG757&gt;0,D757&lt;&gt;""),A757&amp;"|"&amp;AG757&amp;"|"&amp;D757&amp;"|"&amp;F757,"")</f>
        <v/>
      </c>
      <c r="Z757" s="57" t="str">
        <f>IF(Y757="","",IF(COUNTIF(Y$6:Y756,Y757)=0,1,0))</f>
        <v/>
      </c>
      <c r="AA757" s="57" t="str">
        <f>IF(Y757="","",IF(Z757=1,COUNTIFS(A$6:A757,A757,Z$6:Z757,1),INDEX(AA$6:AA756,MATCH(Y757,Y$6:Y756,0))))</f>
        <v/>
      </c>
      <c r="AB757" s="57" t="str">
        <f>IF(B757="","",COUNTIF(B$6:B757,B757))</f>
        <v/>
      </c>
      <c r="AC757" s="57" t="str">
        <f>IF(B757="","",B757&amp;"#"&amp;AB757)</f>
        <v/>
      </c>
      <c r="AD757" s="57" t="str">
        <f>IF(Z757=1,A757&amp;AA757,"")</f>
        <v/>
      </c>
      <c r="AE757" s="57" t="str">
        <f>IF(B757="","",YEAR(C757))</f>
        <v/>
      </c>
      <c r="AF757" s="57" t="str">
        <f>IF(B757="","",MONTH(C757))</f>
        <v/>
      </c>
      <c r="AG757" s="57">
        <f>IF(ISNUMBER(C757),C757,0)</f>
        <v>0.0</v>
      </c>
      <c r="AH757" s="57" t="str">
        <f>IF(N(W757)&gt;0,COUNTIF(W$6:W757,"&gt;0"),"")</f>
        <v/>
      </c>
      <c r="AI757" s="57" t="str">
        <f>IF(Z757=1,COUNTIF(Z$6:Z757,1),"")</f>
        <v/>
      </c>
    </row>
    <row r="758">
      <c r="A758" s="54" t="n"/>
      <c r="B758" s="55" t="str">
        <f>IF(AA758="","",A758&amp;"-"&amp;RIGHT("000"&amp;AA758,4))</f>
        <v/>
      </c>
      <c r="C758" s="56" t="n"/>
      <c r="D758" s="54" t="n"/>
      <c r="E758" s="57" t="str">
        <f>IF(D758="","",IF(A758="BL",IFERROR(INDEX(cl_name,MATCH(D758,cl_code,0))&amp;"","Client inconnu"),IF(A758="BR",IFERROR(INDEX(fo_name,MATCH(D758,fo_code,0))&amp;"","Fournisseur inconnu"),IF(A758="BS",IF(ISNA(MATCH(D758,p_services,0)),"Service inconnu",D758&amp;""),""))))</f>
        <v/>
      </c>
      <c r="F758" s="58" t="n"/>
      <c r="G758" s="58" t="n"/>
      <c r="H758" s="59" t="n"/>
      <c r="I758" s="57" t="str">
        <f>IF(H758="","",IFERROR(INDEX(art_des,MATCH(H758,art_ref,0))&amp;"","Article inconnu"))</f>
        <v/>
      </c>
      <c r="J758" s="60" t="str">
        <f>IF(H758="","",IFERROR(INDEX(art_unit,MATCH(H758,art_ref,0))&amp;"",""))</f>
        <v/>
      </c>
      <c r="K758" s="59" t="n"/>
      <c r="L758" s="59" t="n"/>
      <c r="M758" s="61" t="str">
        <f>IF(OR(B758="",NOT(ISNUMBER(K758)),NOT(ISNUMBER(L758))),"",IF(OR(K758&lt;=0,L758&lt;=0),"",ROUND(L758-K758,6)))</f>
        <v/>
      </c>
      <c r="N758" s="58" t="n"/>
      <c r="O758" s="62" t="n"/>
      <c r="P758" s="63" t="str">
        <f>IF(OR(B758="",NOT(ISNUMBER(L758))),"",IF(L758&lt;=0,"",IFERROR(ROUND(L758*N(INDEX(art_w,MATCH(H758,art_ref,0))),3),"")))</f>
        <v/>
      </c>
      <c r="Q758" s="59" t="n"/>
      <c r="R758" s="54" t="n"/>
      <c r="S758" s="59" t="n"/>
      <c r="T758" s="59" t="n"/>
      <c r="U758" s="64" t="str">
        <f>IF(OR(B758="",H758=""),"",IFERROR(IF(A758="BL",IF(N(INDEX(art_price,MATCH(H758,art_ref,0)))=0,"",N(INDEX(art_price,MATCH(H758,art_ref,0)))),IF(N(INDEX(art_cost,MATCH(H758,art_ref,0)))=0,"",N(INDEX(art_cost,MATCH(H758,art_ref,0))))),""))</f>
        <v/>
      </c>
      <c r="V758" s="64" t="str">
        <f>IF(OR(U758="",NOT(ISNUMBER(L758))),"",IF(L758&lt;=0,"",ROUND(L758*U758,2)))</f>
        <v/>
      </c>
      <c r="W758" s="60" t="str">
        <f>IF(AND(B758&lt;&gt;"",A758&lt;&gt;"BS",F758&lt;&gt;"",H758&lt;&gt;"",ISNUMBER(K758),ISNUMBER(L758)),IF(AND(K758&gt;0,L758&gt;0,K758-L758&gt;0,COUNTIFS(A759:A$2005,A758,F759:F$2005,F758,H759:H$2005,H758,AA759:AA$2005,"&gt;0")=0),ROUND(K758-L758,6),""),"")</f>
        <v/>
      </c>
      <c r="X758" s="60" t="str">
        <f>IF(AND(A758="",C758="",D758="",H758="",L758=""),"",IF(A758="","Type manquant",IF(AND(A758&lt;&gt;"BL",A758&lt;&gt;"BR",A758&lt;&gt;"BS"),"Type inconnu (BL, BR ou BS)",IF(AG758=0,"Date manquante ou invalide",IF(D758="",IF(A758="BL","Client manquant",IF(A758="BR","Fournisseur manquant","Service manquant")),IF(IF(A758="BL",ISNA(MATCH(D758,cl_code,0)),IF(A758="BR",ISNA(MATCH(D758,fo_code,0)),ISNA(MATCH(D758,p_services,0)))),IF(A758="BL","Client inconnu",IF(A758="BR","Fournisseur inconnu","Service inconnu")),IF(H758="","Article manquant",IF(ISNA(MATCH(H758,art_ref,0)),"Article inconnu",IF(OR(NOT(ISNUMBER(L758)),N(L758)&lt;=0),"Quantité invalide",IF(AND(K758&lt;&gt;"",OR(NOT(ISNUMBER(K758)),N(K758)&lt;=0)),"Qté commandée invalide",IF(AG758&lt;SUMPRODUCT(MAX((A$6:A757=A758)*AG$6:AG757)),"Date antérieure au bon précédent",IF(AND(A758&lt;&gt;"BR",ISNUMBER(M758),N(M758)&gt;0),IF(A758="BL","Livré plus que commandé","Sorti plus que demandé"),"OK"))))))))))))</f>
        <v/>
      </c>
      <c r="Y758" s="57" t="str">
        <f>IF(AND(OR(A758="BL",A758="BR",A758="BS"),AG758&gt;0,D758&lt;&gt;""),A758&amp;"|"&amp;AG758&amp;"|"&amp;D758&amp;"|"&amp;F758,"")</f>
        <v/>
      </c>
      <c r="Z758" s="57" t="str">
        <f>IF(Y758="","",IF(COUNTIF(Y$6:Y757,Y758)=0,1,0))</f>
        <v/>
      </c>
      <c r="AA758" s="57" t="str">
        <f>IF(Y758="","",IF(Z758=1,COUNTIFS(A$6:A758,A758,Z$6:Z758,1),INDEX(AA$6:AA757,MATCH(Y758,Y$6:Y757,0))))</f>
        <v/>
      </c>
      <c r="AB758" s="57" t="str">
        <f>IF(B758="","",COUNTIF(B$6:B758,B758))</f>
        <v/>
      </c>
      <c r="AC758" s="57" t="str">
        <f>IF(B758="","",B758&amp;"#"&amp;AB758)</f>
        <v/>
      </c>
      <c r="AD758" s="57" t="str">
        <f>IF(Z758=1,A758&amp;AA758,"")</f>
        <v/>
      </c>
      <c r="AE758" s="57" t="str">
        <f>IF(B758="","",YEAR(C758))</f>
        <v/>
      </c>
      <c r="AF758" s="57" t="str">
        <f>IF(B758="","",MONTH(C758))</f>
        <v/>
      </c>
      <c r="AG758" s="57">
        <f>IF(ISNUMBER(C758),C758,0)</f>
        <v>0.0</v>
      </c>
      <c r="AH758" s="57" t="str">
        <f>IF(N(W758)&gt;0,COUNTIF(W$6:W758,"&gt;0"),"")</f>
        <v/>
      </c>
      <c r="AI758" s="57" t="str">
        <f>IF(Z758=1,COUNTIF(Z$6:Z758,1),"")</f>
        <v/>
      </c>
    </row>
    <row r="759">
      <c r="A759" s="54" t="n"/>
      <c r="B759" s="55" t="str">
        <f>IF(AA759="","",A759&amp;"-"&amp;RIGHT("000"&amp;AA759,4))</f>
        <v/>
      </c>
      <c r="C759" s="56" t="n"/>
      <c r="D759" s="54" t="n"/>
      <c r="E759" s="57" t="str">
        <f>IF(D759="","",IF(A759="BL",IFERROR(INDEX(cl_name,MATCH(D759,cl_code,0))&amp;"","Client inconnu"),IF(A759="BR",IFERROR(INDEX(fo_name,MATCH(D759,fo_code,0))&amp;"","Fournisseur inconnu"),IF(A759="BS",IF(ISNA(MATCH(D759,p_services,0)),"Service inconnu",D759&amp;""),""))))</f>
        <v/>
      </c>
      <c r="F759" s="58" t="n"/>
      <c r="G759" s="58" t="n"/>
      <c r="H759" s="59" t="n"/>
      <c r="I759" s="57" t="str">
        <f>IF(H759="","",IFERROR(INDEX(art_des,MATCH(H759,art_ref,0))&amp;"","Article inconnu"))</f>
        <v/>
      </c>
      <c r="J759" s="60" t="str">
        <f>IF(H759="","",IFERROR(INDEX(art_unit,MATCH(H759,art_ref,0))&amp;"",""))</f>
        <v/>
      </c>
      <c r="K759" s="59" t="n"/>
      <c r="L759" s="59" t="n"/>
      <c r="M759" s="61" t="str">
        <f>IF(OR(B759="",NOT(ISNUMBER(K759)),NOT(ISNUMBER(L759))),"",IF(OR(K759&lt;=0,L759&lt;=0),"",ROUND(L759-K759,6)))</f>
        <v/>
      </c>
      <c r="N759" s="58" t="n"/>
      <c r="O759" s="62" t="n"/>
      <c r="P759" s="63" t="str">
        <f>IF(OR(B759="",NOT(ISNUMBER(L759))),"",IF(L759&lt;=0,"",IFERROR(ROUND(L759*N(INDEX(art_w,MATCH(H759,art_ref,0))),3),"")))</f>
        <v/>
      </c>
      <c r="Q759" s="59" t="n"/>
      <c r="R759" s="54" t="n"/>
      <c r="S759" s="59" t="n"/>
      <c r="T759" s="59" t="n"/>
      <c r="U759" s="64" t="str">
        <f>IF(OR(B759="",H759=""),"",IFERROR(IF(A759="BL",IF(N(INDEX(art_price,MATCH(H759,art_ref,0)))=0,"",N(INDEX(art_price,MATCH(H759,art_ref,0)))),IF(N(INDEX(art_cost,MATCH(H759,art_ref,0)))=0,"",N(INDEX(art_cost,MATCH(H759,art_ref,0))))),""))</f>
        <v/>
      </c>
      <c r="V759" s="64" t="str">
        <f>IF(OR(U759="",NOT(ISNUMBER(L759))),"",IF(L759&lt;=0,"",ROUND(L759*U759,2)))</f>
        <v/>
      </c>
      <c r="W759" s="60" t="str">
        <f>IF(AND(B759&lt;&gt;"",A759&lt;&gt;"BS",F759&lt;&gt;"",H759&lt;&gt;"",ISNUMBER(K759),ISNUMBER(L759)),IF(AND(K759&gt;0,L759&gt;0,K759-L759&gt;0,COUNTIFS(A760:A$2005,A759,F760:F$2005,F759,H760:H$2005,H759,AA760:AA$2005,"&gt;0")=0),ROUND(K759-L759,6),""),"")</f>
        <v/>
      </c>
      <c r="X759" s="60" t="str">
        <f>IF(AND(A759="",C759="",D759="",H759="",L759=""),"",IF(A759="","Type manquant",IF(AND(A759&lt;&gt;"BL",A759&lt;&gt;"BR",A759&lt;&gt;"BS"),"Type inconnu (BL, BR ou BS)",IF(AG759=0,"Date manquante ou invalide",IF(D759="",IF(A759="BL","Client manquant",IF(A759="BR","Fournisseur manquant","Service manquant")),IF(IF(A759="BL",ISNA(MATCH(D759,cl_code,0)),IF(A759="BR",ISNA(MATCH(D759,fo_code,0)),ISNA(MATCH(D759,p_services,0)))),IF(A759="BL","Client inconnu",IF(A759="BR","Fournisseur inconnu","Service inconnu")),IF(H759="","Article manquant",IF(ISNA(MATCH(H759,art_ref,0)),"Article inconnu",IF(OR(NOT(ISNUMBER(L759)),N(L759)&lt;=0),"Quantité invalide",IF(AND(K759&lt;&gt;"",OR(NOT(ISNUMBER(K759)),N(K759)&lt;=0)),"Qté commandée invalide",IF(AG759&lt;SUMPRODUCT(MAX((A$6:A758=A759)*AG$6:AG758)),"Date antérieure au bon précédent",IF(AND(A759&lt;&gt;"BR",ISNUMBER(M759),N(M759)&gt;0),IF(A759="BL","Livré plus que commandé","Sorti plus que demandé"),"OK"))))))))))))</f>
        <v/>
      </c>
      <c r="Y759" s="57" t="str">
        <f>IF(AND(OR(A759="BL",A759="BR",A759="BS"),AG759&gt;0,D759&lt;&gt;""),A759&amp;"|"&amp;AG759&amp;"|"&amp;D759&amp;"|"&amp;F759,"")</f>
        <v/>
      </c>
      <c r="Z759" s="57" t="str">
        <f>IF(Y759="","",IF(COUNTIF(Y$6:Y758,Y759)=0,1,0))</f>
        <v/>
      </c>
      <c r="AA759" s="57" t="str">
        <f>IF(Y759="","",IF(Z759=1,COUNTIFS(A$6:A759,A759,Z$6:Z759,1),INDEX(AA$6:AA758,MATCH(Y759,Y$6:Y758,0))))</f>
        <v/>
      </c>
      <c r="AB759" s="57" t="str">
        <f>IF(B759="","",COUNTIF(B$6:B759,B759))</f>
        <v/>
      </c>
      <c r="AC759" s="57" t="str">
        <f>IF(B759="","",B759&amp;"#"&amp;AB759)</f>
        <v/>
      </c>
      <c r="AD759" s="57" t="str">
        <f>IF(Z759=1,A759&amp;AA759,"")</f>
        <v/>
      </c>
      <c r="AE759" s="57" t="str">
        <f>IF(B759="","",YEAR(C759))</f>
        <v/>
      </c>
      <c r="AF759" s="57" t="str">
        <f>IF(B759="","",MONTH(C759))</f>
        <v/>
      </c>
      <c r="AG759" s="57">
        <f>IF(ISNUMBER(C759),C759,0)</f>
        <v>0.0</v>
      </c>
      <c r="AH759" s="57" t="str">
        <f>IF(N(W759)&gt;0,COUNTIF(W$6:W759,"&gt;0"),"")</f>
        <v/>
      </c>
      <c r="AI759" s="57" t="str">
        <f>IF(Z759=1,COUNTIF(Z$6:Z759,1),"")</f>
        <v/>
      </c>
    </row>
    <row r="760">
      <c r="A760" s="54" t="n"/>
      <c r="B760" s="55" t="str">
        <f>IF(AA760="","",A760&amp;"-"&amp;RIGHT("000"&amp;AA760,4))</f>
        <v/>
      </c>
      <c r="C760" s="56" t="n"/>
      <c r="D760" s="54" t="n"/>
      <c r="E760" s="57" t="str">
        <f>IF(D760="","",IF(A760="BL",IFERROR(INDEX(cl_name,MATCH(D760,cl_code,0))&amp;"","Client inconnu"),IF(A760="BR",IFERROR(INDEX(fo_name,MATCH(D760,fo_code,0))&amp;"","Fournisseur inconnu"),IF(A760="BS",IF(ISNA(MATCH(D760,p_services,0)),"Service inconnu",D760&amp;""),""))))</f>
        <v/>
      </c>
      <c r="F760" s="58" t="n"/>
      <c r="G760" s="58" t="n"/>
      <c r="H760" s="59" t="n"/>
      <c r="I760" s="57" t="str">
        <f>IF(H760="","",IFERROR(INDEX(art_des,MATCH(H760,art_ref,0))&amp;"","Article inconnu"))</f>
        <v/>
      </c>
      <c r="J760" s="60" t="str">
        <f>IF(H760="","",IFERROR(INDEX(art_unit,MATCH(H760,art_ref,0))&amp;"",""))</f>
        <v/>
      </c>
      <c r="K760" s="59" t="n"/>
      <c r="L760" s="59" t="n"/>
      <c r="M760" s="61" t="str">
        <f>IF(OR(B760="",NOT(ISNUMBER(K760)),NOT(ISNUMBER(L760))),"",IF(OR(K760&lt;=0,L760&lt;=0),"",ROUND(L760-K760,6)))</f>
        <v/>
      </c>
      <c r="N760" s="58" t="n"/>
      <c r="O760" s="62" t="n"/>
      <c r="P760" s="63" t="str">
        <f>IF(OR(B760="",NOT(ISNUMBER(L760))),"",IF(L760&lt;=0,"",IFERROR(ROUND(L760*N(INDEX(art_w,MATCH(H760,art_ref,0))),3),"")))</f>
        <v/>
      </c>
      <c r="Q760" s="59" t="n"/>
      <c r="R760" s="54" t="n"/>
      <c r="S760" s="59" t="n"/>
      <c r="T760" s="59" t="n"/>
      <c r="U760" s="64" t="str">
        <f>IF(OR(B760="",H760=""),"",IFERROR(IF(A760="BL",IF(N(INDEX(art_price,MATCH(H760,art_ref,0)))=0,"",N(INDEX(art_price,MATCH(H760,art_ref,0)))),IF(N(INDEX(art_cost,MATCH(H760,art_ref,0)))=0,"",N(INDEX(art_cost,MATCH(H760,art_ref,0))))),""))</f>
        <v/>
      </c>
      <c r="V760" s="64" t="str">
        <f>IF(OR(U760="",NOT(ISNUMBER(L760))),"",IF(L760&lt;=0,"",ROUND(L760*U760,2)))</f>
        <v/>
      </c>
      <c r="W760" s="60" t="str">
        <f>IF(AND(B760&lt;&gt;"",A760&lt;&gt;"BS",F760&lt;&gt;"",H760&lt;&gt;"",ISNUMBER(K760),ISNUMBER(L760)),IF(AND(K760&gt;0,L760&gt;0,K760-L760&gt;0,COUNTIFS(A761:A$2005,A760,F761:F$2005,F760,H761:H$2005,H760,AA761:AA$2005,"&gt;0")=0),ROUND(K760-L760,6),""),"")</f>
        <v/>
      </c>
      <c r="X760" s="60" t="str">
        <f>IF(AND(A760="",C760="",D760="",H760="",L760=""),"",IF(A760="","Type manquant",IF(AND(A760&lt;&gt;"BL",A760&lt;&gt;"BR",A760&lt;&gt;"BS"),"Type inconnu (BL, BR ou BS)",IF(AG760=0,"Date manquante ou invalide",IF(D760="",IF(A760="BL","Client manquant",IF(A760="BR","Fournisseur manquant","Service manquant")),IF(IF(A760="BL",ISNA(MATCH(D760,cl_code,0)),IF(A760="BR",ISNA(MATCH(D760,fo_code,0)),ISNA(MATCH(D760,p_services,0)))),IF(A760="BL","Client inconnu",IF(A760="BR","Fournisseur inconnu","Service inconnu")),IF(H760="","Article manquant",IF(ISNA(MATCH(H760,art_ref,0)),"Article inconnu",IF(OR(NOT(ISNUMBER(L760)),N(L760)&lt;=0),"Quantité invalide",IF(AND(K760&lt;&gt;"",OR(NOT(ISNUMBER(K760)),N(K760)&lt;=0)),"Qté commandée invalide",IF(AG760&lt;SUMPRODUCT(MAX((A$6:A759=A760)*AG$6:AG759)),"Date antérieure au bon précédent",IF(AND(A760&lt;&gt;"BR",ISNUMBER(M760),N(M760)&gt;0),IF(A760="BL","Livré plus que commandé","Sorti plus que demandé"),"OK"))))))))))))</f>
        <v/>
      </c>
      <c r="Y760" s="57" t="str">
        <f>IF(AND(OR(A760="BL",A760="BR",A760="BS"),AG760&gt;0,D760&lt;&gt;""),A760&amp;"|"&amp;AG760&amp;"|"&amp;D760&amp;"|"&amp;F760,"")</f>
        <v/>
      </c>
      <c r="Z760" s="57" t="str">
        <f>IF(Y760="","",IF(COUNTIF(Y$6:Y759,Y760)=0,1,0))</f>
        <v/>
      </c>
      <c r="AA760" s="57" t="str">
        <f>IF(Y760="","",IF(Z760=1,COUNTIFS(A$6:A760,A760,Z$6:Z760,1),INDEX(AA$6:AA759,MATCH(Y760,Y$6:Y759,0))))</f>
        <v/>
      </c>
      <c r="AB760" s="57" t="str">
        <f>IF(B760="","",COUNTIF(B$6:B760,B760))</f>
        <v/>
      </c>
      <c r="AC760" s="57" t="str">
        <f>IF(B760="","",B760&amp;"#"&amp;AB760)</f>
        <v/>
      </c>
      <c r="AD760" s="57" t="str">
        <f>IF(Z760=1,A760&amp;AA760,"")</f>
        <v/>
      </c>
      <c r="AE760" s="57" t="str">
        <f>IF(B760="","",YEAR(C760))</f>
        <v/>
      </c>
      <c r="AF760" s="57" t="str">
        <f>IF(B760="","",MONTH(C760))</f>
        <v/>
      </c>
      <c r="AG760" s="57">
        <f>IF(ISNUMBER(C760),C760,0)</f>
        <v>0.0</v>
      </c>
      <c r="AH760" s="57" t="str">
        <f>IF(N(W760)&gt;0,COUNTIF(W$6:W760,"&gt;0"),"")</f>
        <v/>
      </c>
      <c r="AI760" s="57" t="str">
        <f>IF(Z760=1,COUNTIF(Z$6:Z760,1),"")</f>
        <v/>
      </c>
    </row>
    <row r="761">
      <c r="A761" s="54" t="n"/>
      <c r="B761" s="55" t="str">
        <f>IF(AA761="","",A761&amp;"-"&amp;RIGHT("000"&amp;AA761,4))</f>
        <v/>
      </c>
      <c r="C761" s="56" t="n"/>
      <c r="D761" s="54" t="n"/>
      <c r="E761" s="57" t="str">
        <f>IF(D761="","",IF(A761="BL",IFERROR(INDEX(cl_name,MATCH(D761,cl_code,0))&amp;"","Client inconnu"),IF(A761="BR",IFERROR(INDEX(fo_name,MATCH(D761,fo_code,0))&amp;"","Fournisseur inconnu"),IF(A761="BS",IF(ISNA(MATCH(D761,p_services,0)),"Service inconnu",D761&amp;""),""))))</f>
        <v/>
      </c>
      <c r="F761" s="58" t="n"/>
      <c r="G761" s="58" t="n"/>
      <c r="H761" s="59" t="n"/>
      <c r="I761" s="57" t="str">
        <f>IF(H761="","",IFERROR(INDEX(art_des,MATCH(H761,art_ref,0))&amp;"","Article inconnu"))</f>
        <v/>
      </c>
      <c r="J761" s="60" t="str">
        <f>IF(H761="","",IFERROR(INDEX(art_unit,MATCH(H761,art_ref,0))&amp;"",""))</f>
        <v/>
      </c>
      <c r="K761" s="59" t="n"/>
      <c r="L761" s="59" t="n"/>
      <c r="M761" s="61" t="str">
        <f>IF(OR(B761="",NOT(ISNUMBER(K761)),NOT(ISNUMBER(L761))),"",IF(OR(K761&lt;=0,L761&lt;=0),"",ROUND(L761-K761,6)))</f>
        <v/>
      </c>
      <c r="N761" s="58" t="n"/>
      <c r="O761" s="62" t="n"/>
      <c r="P761" s="63" t="str">
        <f>IF(OR(B761="",NOT(ISNUMBER(L761))),"",IF(L761&lt;=0,"",IFERROR(ROUND(L761*N(INDEX(art_w,MATCH(H761,art_ref,0))),3),"")))</f>
        <v/>
      </c>
      <c r="Q761" s="59" t="n"/>
      <c r="R761" s="54" t="n"/>
      <c r="S761" s="59" t="n"/>
      <c r="T761" s="59" t="n"/>
      <c r="U761" s="64" t="str">
        <f>IF(OR(B761="",H761=""),"",IFERROR(IF(A761="BL",IF(N(INDEX(art_price,MATCH(H761,art_ref,0)))=0,"",N(INDEX(art_price,MATCH(H761,art_ref,0)))),IF(N(INDEX(art_cost,MATCH(H761,art_ref,0)))=0,"",N(INDEX(art_cost,MATCH(H761,art_ref,0))))),""))</f>
        <v/>
      </c>
      <c r="V761" s="64" t="str">
        <f>IF(OR(U761="",NOT(ISNUMBER(L761))),"",IF(L761&lt;=0,"",ROUND(L761*U761,2)))</f>
        <v/>
      </c>
      <c r="W761" s="60" t="str">
        <f>IF(AND(B761&lt;&gt;"",A761&lt;&gt;"BS",F761&lt;&gt;"",H761&lt;&gt;"",ISNUMBER(K761),ISNUMBER(L761)),IF(AND(K761&gt;0,L761&gt;0,K761-L761&gt;0,COUNTIFS(A762:A$2005,A761,F762:F$2005,F761,H762:H$2005,H761,AA762:AA$2005,"&gt;0")=0),ROUND(K761-L761,6),""),"")</f>
        <v/>
      </c>
      <c r="X761" s="60" t="str">
        <f>IF(AND(A761="",C761="",D761="",H761="",L761=""),"",IF(A761="","Type manquant",IF(AND(A761&lt;&gt;"BL",A761&lt;&gt;"BR",A761&lt;&gt;"BS"),"Type inconnu (BL, BR ou BS)",IF(AG761=0,"Date manquante ou invalide",IF(D761="",IF(A761="BL","Client manquant",IF(A761="BR","Fournisseur manquant","Service manquant")),IF(IF(A761="BL",ISNA(MATCH(D761,cl_code,0)),IF(A761="BR",ISNA(MATCH(D761,fo_code,0)),ISNA(MATCH(D761,p_services,0)))),IF(A761="BL","Client inconnu",IF(A761="BR","Fournisseur inconnu","Service inconnu")),IF(H761="","Article manquant",IF(ISNA(MATCH(H761,art_ref,0)),"Article inconnu",IF(OR(NOT(ISNUMBER(L761)),N(L761)&lt;=0),"Quantité invalide",IF(AND(K761&lt;&gt;"",OR(NOT(ISNUMBER(K761)),N(K761)&lt;=0)),"Qté commandée invalide",IF(AG761&lt;SUMPRODUCT(MAX((A$6:A760=A761)*AG$6:AG760)),"Date antérieure au bon précédent",IF(AND(A761&lt;&gt;"BR",ISNUMBER(M761),N(M761)&gt;0),IF(A761="BL","Livré plus que commandé","Sorti plus que demandé"),"OK"))))))))))))</f>
        <v/>
      </c>
      <c r="Y761" s="57" t="str">
        <f>IF(AND(OR(A761="BL",A761="BR",A761="BS"),AG761&gt;0,D761&lt;&gt;""),A761&amp;"|"&amp;AG761&amp;"|"&amp;D761&amp;"|"&amp;F761,"")</f>
        <v/>
      </c>
      <c r="Z761" s="57" t="str">
        <f>IF(Y761="","",IF(COUNTIF(Y$6:Y760,Y761)=0,1,0))</f>
        <v/>
      </c>
      <c r="AA761" s="57" t="str">
        <f>IF(Y761="","",IF(Z761=1,COUNTIFS(A$6:A761,A761,Z$6:Z761,1),INDEX(AA$6:AA760,MATCH(Y761,Y$6:Y760,0))))</f>
        <v/>
      </c>
      <c r="AB761" s="57" t="str">
        <f>IF(B761="","",COUNTIF(B$6:B761,B761))</f>
        <v/>
      </c>
      <c r="AC761" s="57" t="str">
        <f>IF(B761="","",B761&amp;"#"&amp;AB761)</f>
        <v/>
      </c>
      <c r="AD761" s="57" t="str">
        <f>IF(Z761=1,A761&amp;AA761,"")</f>
        <v/>
      </c>
      <c r="AE761" s="57" t="str">
        <f>IF(B761="","",YEAR(C761))</f>
        <v/>
      </c>
      <c r="AF761" s="57" t="str">
        <f>IF(B761="","",MONTH(C761))</f>
        <v/>
      </c>
      <c r="AG761" s="57">
        <f>IF(ISNUMBER(C761),C761,0)</f>
        <v>0.0</v>
      </c>
      <c r="AH761" s="57" t="str">
        <f>IF(N(W761)&gt;0,COUNTIF(W$6:W761,"&gt;0"),"")</f>
        <v/>
      </c>
      <c r="AI761" s="57" t="str">
        <f>IF(Z761=1,COUNTIF(Z$6:Z761,1),"")</f>
        <v/>
      </c>
    </row>
    <row r="762">
      <c r="A762" s="54" t="n"/>
      <c r="B762" s="55" t="str">
        <f>IF(AA762="","",A762&amp;"-"&amp;RIGHT("000"&amp;AA762,4))</f>
        <v/>
      </c>
      <c r="C762" s="56" t="n"/>
      <c r="D762" s="54" t="n"/>
      <c r="E762" s="57" t="str">
        <f>IF(D762="","",IF(A762="BL",IFERROR(INDEX(cl_name,MATCH(D762,cl_code,0))&amp;"","Client inconnu"),IF(A762="BR",IFERROR(INDEX(fo_name,MATCH(D762,fo_code,0))&amp;"","Fournisseur inconnu"),IF(A762="BS",IF(ISNA(MATCH(D762,p_services,0)),"Service inconnu",D762&amp;""),""))))</f>
        <v/>
      </c>
      <c r="F762" s="58" t="n"/>
      <c r="G762" s="58" t="n"/>
      <c r="H762" s="59" t="n"/>
      <c r="I762" s="57" t="str">
        <f>IF(H762="","",IFERROR(INDEX(art_des,MATCH(H762,art_ref,0))&amp;"","Article inconnu"))</f>
        <v/>
      </c>
      <c r="J762" s="60" t="str">
        <f>IF(H762="","",IFERROR(INDEX(art_unit,MATCH(H762,art_ref,0))&amp;"",""))</f>
        <v/>
      </c>
      <c r="K762" s="59" t="n"/>
      <c r="L762" s="59" t="n"/>
      <c r="M762" s="61" t="str">
        <f>IF(OR(B762="",NOT(ISNUMBER(K762)),NOT(ISNUMBER(L762))),"",IF(OR(K762&lt;=0,L762&lt;=0),"",ROUND(L762-K762,6)))</f>
        <v/>
      </c>
      <c r="N762" s="58" t="n"/>
      <c r="O762" s="62" t="n"/>
      <c r="P762" s="63" t="str">
        <f>IF(OR(B762="",NOT(ISNUMBER(L762))),"",IF(L762&lt;=0,"",IFERROR(ROUND(L762*N(INDEX(art_w,MATCH(H762,art_ref,0))),3),"")))</f>
        <v/>
      </c>
      <c r="Q762" s="59" t="n"/>
      <c r="R762" s="54" t="n"/>
      <c r="S762" s="59" t="n"/>
      <c r="T762" s="59" t="n"/>
      <c r="U762" s="64" t="str">
        <f>IF(OR(B762="",H762=""),"",IFERROR(IF(A762="BL",IF(N(INDEX(art_price,MATCH(H762,art_ref,0)))=0,"",N(INDEX(art_price,MATCH(H762,art_ref,0)))),IF(N(INDEX(art_cost,MATCH(H762,art_ref,0)))=0,"",N(INDEX(art_cost,MATCH(H762,art_ref,0))))),""))</f>
        <v/>
      </c>
      <c r="V762" s="64" t="str">
        <f>IF(OR(U762="",NOT(ISNUMBER(L762))),"",IF(L762&lt;=0,"",ROUND(L762*U762,2)))</f>
        <v/>
      </c>
      <c r="W762" s="60" t="str">
        <f>IF(AND(B762&lt;&gt;"",A762&lt;&gt;"BS",F762&lt;&gt;"",H762&lt;&gt;"",ISNUMBER(K762),ISNUMBER(L762)),IF(AND(K762&gt;0,L762&gt;0,K762-L762&gt;0,COUNTIFS(A763:A$2005,A762,F763:F$2005,F762,H763:H$2005,H762,AA763:AA$2005,"&gt;0")=0),ROUND(K762-L762,6),""),"")</f>
        <v/>
      </c>
      <c r="X762" s="60" t="str">
        <f>IF(AND(A762="",C762="",D762="",H762="",L762=""),"",IF(A762="","Type manquant",IF(AND(A762&lt;&gt;"BL",A762&lt;&gt;"BR",A762&lt;&gt;"BS"),"Type inconnu (BL, BR ou BS)",IF(AG762=0,"Date manquante ou invalide",IF(D762="",IF(A762="BL","Client manquant",IF(A762="BR","Fournisseur manquant","Service manquant")),IF(IF(A762="BL",ISNA(MATCH(D762,cl_code,0)),IF(A762="BR",ISNA(MATCH(D762,fo_code,0)),ISNA(MATCH(D762,p_services,0)))),IF(A762="BL","Client inconnu",IF(A762="BR","Fournisseur inconnu","Service inconnu")),IF(H762="","Article manquant",IF(ISNA(MATCH(H762,art_ref,0)),"Article inconnu",IF(OR(NOT(ISNUMBER(L762)),N(L762)&lt;=0),"Quantité invalide",IF(AND(K762&lt;&gt;"",OR(NOT(ISNUMBER(K762)),N(K762)&lt;=0)),"Qté commandée invalide",IF(AG762&lt;SUMPRODUCT(MAX((A$6:A761=A762)*AG$6:AG761)),"Date antérieure au bon précédent",IF(AND(A762&lt;&gt;"BR",ISNUMBER(M762),N(M762)&gt;0),IF(A762="BL","Livré plus que commandé","Sorti plus que demandé"),"OK"))))))))))))</f>
        <v/>
      </c>
      <c r="Y762" s="57" t="str">
        <f>IF(AND(OR(A762="BL",A762="BR",A762="BS"),AG762&gt;0,D762&lt;&gt;""),A762&amp;"|"&amp;AG762&amp;"|"&amp;D762&amp;"|"&amp;F762,"")</f>
        <v/>
      </c>
      <c r="Z762" s="57" t="str">
        <f>IF(Y762="","",IF(COUNTIF(Y$6:Y761,Y762)=0,1,0))</f>
        <v/>
      </c>
      <c r="AA762" s="57" t="str">
        <f>IF(Y762="","",IF(Z762=1,COUNTIFS(A$6:A762,A762,Z$6:Z762,1),INDEX(AA$6:AA761,MATCH(Y762,Y$6:Y761,0))))</f>
        <v/>
      </c>
      <c r="AB762" s="57" t="str">
        <f>IF(B762="","",COUNTIF(B$6:B762,B762))</f>
        <v/>
      </c>
      <c r="AC762" s="57" t="str">
        <f>IF(B762="","",B762&amp;"#"&amp;AB762)</f>
        <v/>
      </c>
      <c r="AD762" s="57" t="str">
        <f>IF(Z762=1,A762&amp;AA762,"")</f>
        <v/>
      </c>
      <c r="AE762" s="57" t="str">
        <f>IF(B762="","",YEAR(C762))</f>
        <v/>
      </c>
      <c r="AF762" s="57" t="str">
        <f>IF(B762="","",MONTH(C762))</f>
        <v/>
      </c>
      <c r="AG762" s="57">
        <f>IF(ISNUMBER(C762),C762,0)</f>
        <v>0.0</v>
      </c>
      <c r="AH762" s="57" t="str">
        <f>IF(N(W762)&gt;0,COUNTIF(W$6:W762,"&gt;0"),"")</f>
        <v/>
      </c>
      <c r="AI762" s="57" t="str">
        <f>IF(Z762=1,COUNTIF(Z$6:Z762,1),"")</f>
        <v/>
      </c>
    </row>
    <row r="763">
      <c r="A763" s="54" t="n"/>
      <c r="B763" s="55" t="str">
        <f>IF(AA763="","",A763&amp;"-"&amp;RIGHT("000"&amp;AA763,4))</f>
        <v/>
      </c>
      <c r="C763" s="56" t="n"/>
      <c r="D763" s="54" t="n"/>
      <c r="E763" s="57" t="str">
        <f>IF(D763="","",IF(A763="BL",IFERROR(INDEX(cl_name,MATCH(D763,cl_code,0))&amp;"","Client inconnu"),IF(A763="BR",IFERROR(INDEX(fo_name,MATCH(D763,fo_code,0))&amp;"","Fournisseur inconnu"),IF(A763="BS",IF(ISNA(MATCH(D763,p_services,0)),"Service inconnu",D763&amp;""),""))))</f>
        <v/>
      </c>
      <c r="F763" s="58" t="n"/>
      <c r="G763" s="58" t="n"/>
      <c r="H763" s="59" t="n"/>
      <c r="I763" s="57" t="str">
        <f>IF(H763="","",IFERROR(INDEX(art_des,MATCH(H763,art_ref,0))&amp;"","Article inconnu"))</f>
        <v/>
      </c>
      <c r="J763" s="60" t="str">
        <f>IF(H763="","",IFERROR(INDEX(art_unit,MATCH(H763,art_ref,0))&amp;"",""))</f>
        <v/>
      </c>
      <c r="K763" s="59" t="n"/>
      <c r="L763" s="59" t="n"/>
      <c r="M763" s="61" t="str">
        <f>IF(OR(B763="",NOT(ISNUMBER(K763)),NOT(ISNUMBER(L763))),"",IF(OR(K763&lt;=0,L763&lt;=0),"",ROUND(L763-K763,6)))</f>
        <v/>
      </c>
      <c r="N763" s="58" t="n"/>
      <c r="O763" s="62" t="n"/>
      <c r="P763" s="63" t="str">
        <f>IF(OR(B763="",NOT(ISNUMBER(L763))),"",IF(L763&lt;=0,"",IFERROR(ROUND(L763*N(INDEX(art_w,MATCH(H763,art_ref,0))),3),"")))</f>
        <v/>
      </c>
      <c r="Q763" s="59" t="n"/>
      <c r="R763" s="54" t="n"/>
      <c r="S763" s="59" t="n"/>
      <c r="T763" s="59" t="n"/>
      <c r="U763" s="64" t="str">
        <f>IF(OR(B763="",H763=""),"",IFERROR(IF(A763="BL",IF(N(INDEX(art_price,MATCH(H763,art_ref,0)))=0,"",N(INDEX(art_price,MATCH(H763,art_ref,0)))),IF(N(INDEX(art_cost,MATCH(H763,art_ref,0)))=0,"",N(INDEX(art_cost,MATCH(H763,art_ref,0))))),""))</f>
        <v/>
      </c>
      <c r="V763" s="64" t="str">
        <f>IF(OR(U763="",NOT(ISNUMBER(L763))),"",IF(L763&lt;=0,"",ROUND(L763*U763,2)))</f>
        <v/>
      </c>
      <c r="W763" s="60" t="str">
        <f>IF(AND(B763&lt;&gt;"",A763&lt;&gt;"BS",F763&lt;&gt;"",H763&lt;&gt;"",ISNUMBER(K763),ISNUMBER(L763)),IF(AND(K763&gt;0,L763&gt;0,K763-L763&gt;0,COUNTIFS(A764:A$2005,A763,F764:F$2005,F763,H764:H$2005,H763,AA764:AA$2005,"&gt;0")=0),ROUND(K763-L763,6),""),"")</f>
        <v/>
      </c>
      <c r="X763" s="60" t="str">
        <f>IF(AND(A763="",C763="",D763="",H763="",L763=""),"",IF(A763="","Type manquant",IF(AND(A763&lt;&gt;"BL",A763&lt;&gt;"BR",A763&lt;&gt;"BS"),"Type inconnu (BL, BR ou BS)",IF(AG763=0,"Date manquante ou invalide",IF(D763="",IF(A763="BL","Client manquant",IF(A763="BR","Fournisseur manquant","Service manquant")),IF(IF(A763="BL",ISNA(MATCH(D763,cl_code,0)),IF(A763="BR",ISNA(MATCH(D763,fo_code,0)),ISNA(MATCH(D763,p_services,0)))),IF(A763="BL","Client inconnu",IF(A763="BR","Fournisseur inconnu","Service inconnu")),IF(H763="","Article manquant",IF(ISNA(MATCH(H763,art_ref,0)),"Article inconnu",IF(OR(NOT(ISNUMBER(L763)),N(L763)&lt;=0),"Quantité invalide",IF(AND(K763&lt;&gt;"",OR(NOT(ISNUMBER(K763)),N(K763)&lt;=0)),"Qté commandée invalide",IF(AG763&lt;SUMPRODUCT(MAX((A$6:A762=A763)*AG$6:AG762)),"Date antérieure au bon précédent",IF(AND(A763&lt;&gt;"BR",ISNUMBER(M763),N(M763)&gt;0),IF(A763="BL","Livré plus que commandé","Sorti plus que demandé"),"OK"))))))))))))</f>
        <v/>
      </c>
      <c r="Y763" s="57" t="str">
        <f>IF(AND(OR(A763="BL",A763="BR",A763="BS"),AG763&gt;0,D763&lt;&gt;""),A763&amp;"|"&amp;AG763&amp;"|"&amp;D763&amp;"|"&amp;F763,"")</f>
        <v/>
      </c>
      <c r="Z763" s="57" t="str">
        <f>IF(Y763="","",IF(COUNTIF(Y$6:Y762,Y763)=0,1,0))</f>
        <v/>
      </c>
      <c r="AA763" s="57" t="str">
        <f>IF(Y763="","",IF(Z763=1,COUNTIFS(A$6:A763,A763,Z$6:Z763,1),INDEX(AA$6:AA762,MATCH(Y763,Y$6:Y762,0))))</f>
        <v/>
      </c>
      <c r="AB763" s="57" t="str">
        <f>IF(B763="","",COUNTIF(B$6:B763,B763))</f>
        <v/>
      </c>
      <c r="AC763" s="57" t="str">
        <f>IF(B763="","",B763&amp;"#"&amp;AB763)</f>
        <v/>
      </c>
      <c r="AD763" s="57" t="str">
        <f>IF(Z763=1,A763&amp;AA763,"")</f>
        <v/>
      </c>
      <c r="AE763" s="57" t="str">
        <f>IF(B763="","",YEAR(C763))</f>
        <v/>
      </c>
      <c r="AF763" s="57" t="str">
        <f>IF(B763="","",MONTH(C763))</f>
        <v/>
      </c>
      <c r="AG763" s="57">
        <f>IF(ISNUMBER(C763),C763,0)</f>
        <v>0.0</v>
      </c>
      <c r="AH763" s="57" t="str">
        <f>IF(N(W763)&gt;0,COUNTIF(W$6:W763,"&gt;0"),"")</f>
        <v/>
      </c>
      <c r="AI763" s="57" t="str">
        <f>IF(Z763=1,COUNTIF(Z$6:Z763,1),"")</f>
        <v/>
      </c>
    </row>
    <row r="764">
      <c r="A764" s="54" t="n"/>
      <c r="B764" s="55" t="str">
        <f>IF(AA764="","",A764&amp;"-"&amp;RIGHT("000"&amp;AA764,4))</f>
        <v/>
      </c>
      <c r="C764" s="56" t="n"/>
      <c r="D764" s="54" t="n"/>
      <c r="E764" s="57" t="str">
        <f>IF(D764="","",IF(A764="BL",IFERROR(INDEX(cl_name,MATCH(D764,cl_code,0))&amp;"","Client inconnu"),IF(A764="BR",IFERROR(INDEX(fo_name,MATCH(D764,fo_code,0))&amp;"","Fournisseur inconnu"),IF(A764="BS",IF(ISNA(MATCH(D764,p_services,0)),"Service inconnu",D764&amp;""),""))))</f>
        <v/>
      </c>
      <c r="F764" s="58" t="n"/>
      <c r="G764" s="58" t="n"/>
      <c r="H764" s="59" t="n"/>
      <c r="I764" s="57" t="str">
        <f>IF(H764="","",IFERROR(INDEX(art_des,MATCH(H764,art_ref,0))&amp;"","Article inconnu"))</f>
        <v/>
      </c>
      <c r="J764" s="60" t="str">
        <f>IF(H764="","",IFERROR(INDEX(art_unit,MATCH(H764,art_ref,0))&amp;"",""))</f>
        <v/>
      </c>
      <c r="K764" s="59" t="n"/>
      <c r="L764" s="59" t="n"/>
      <c r="M764" s="61" t="str">
        <f>IF(OR(B764="",NOT(ISNUMBER(K764)),NOT(ISNUMBER(L764))),"",IF(OR(K764&lt;=0,L764&lt;=0),"",ROUND(L764-K764,6)))</f>
        <v/>
      </c>
      <c r="N764" s="58" t="n"/>
      <c r="O764" s="62" t="n"/>
      <c r="P764" s="63" t="str">
        <f>IF(OR(B764="",NOT(ISNUMBER(L764))),"",IF(L764&lt;=0,"",IFERROR(ROUND(L764*N(INDEX(art_w,MATCH(H764,art_ref,0))),3),"")))</f>
        <v/>
      </c>
      <c r="Q764" s="59" t="n"/>
      <c r="R764" s="54" t="n"/>
      <c r="S764" s="59" t="n"/>
      <c r="T764" s="59" t="n"/>
      <c r="U764" s="64" t="str">
        <f>IF(OR(B764="",H764=""),"",IFERROR(IF(A764="BL",IF(N(INDEX(art_price,MATCH(H764,art_ref,0)))=0,"",N(INDEX(art_price,MATCH(H764,art_ref,0)))),IF(N(INDEX(art_cost,MATCH(H764,art_ref,0)))=0,"",N(INDEX(art_cost,MATCH(H764,art_ref,0))))),""))</f>
        <v/>
      </c>
      <c r="V764" s="64" t="str">
        <f>IF(OR(U764="",NOT(ISNUMBER(L764))),"",IF(L764&lt;=0,"",ROUND(L764*U764,2)))</f>
        <v/>
      </c>
      <c r="W764" s="60" t="str">
        <f>IF(AND(B764&lt;&gt;"",A764&lt;&gt;"BS",F764&lt;&gt;"",H764&lt;&gt;"",ISNUMBER(K764),ISNUMBER(L764)),IF(AND(K764&gt;0,L764&gt;0,K764-L764&gt;0,COUNTIFS(A765:A$2005,A764,F765:F$2005,F764,H765:H$2005,H764,AA765:AA$2005,"&gt;0")=0),ROUND(K764-L764,6),""),"")</f>
        <v/>
      </c>
      <c r="X764" s="60" t="str">
        <f>IF(AND(A764="",C764="",D764="",H764="",L764=""),"",IF(A764="","Type manquant",IF(AND(A764&lt;&gt;"BL",A764&lt;&gt;"BR",A764&lt;&gt;"BS"),"Type inconnu (BL, BR ou BS)",IF(AG764=0,"Date manquante ou invalide",IF(D764="",IF(A764="BL","Client manquant",IF(A764="BR","Fournisseur manquant","Service manquant")),IF(IF(A764="BL",ISNA(MATCH(D764,cl_code,0)),IF(A764="BR",ISNA(MATCH(D764,fo_code,0)),ISNA(MATCH(D764,p_services,0)))),IF(A764="BL","Client inconnu",IF(A764="BR","Fournisseur inconnu","Service inconnu")),IF(H764="","Article manquant",IF(ISNA(MATCH(H764,art_ref,0)),"Article inconnu",IF(OR(NOT(ISNUMBER(L764)),N(L764)&lt;=0),"Quantité invalide",IF(AND(K764&lt;&gt;"",OR(NOT(ISNUMBER(K764)),N(K764)&lt;=0)),"Qté commandée invalide",IF(AG764&lt;SUMPRODUCT(MAX((A$6:A763=A764)*AG$6:AG763)),"Date antérieure au bon précédent",IF(AND(A764&lt;&gt;"BR",ISNUMBER(M764),N(M764)&gt;0),IF(A764="BL","Livré plus que commandé","Sorti plus que demandé"),"OK"))))))))))))</f>
        <v/>
      </c>
      <c r="Y764" s="57" t="str">
        <f>IF(AND(OR(A764="BL",A764="BR",A764="BS"),AG764&gt;0,D764&lt;&gt;""),A764&amp;"|"&amp;AG764&amp;"|"&amp;D764&amp;"|"&amp;F764,"")</f>
        <v/>
      </c>
      <c r="Z764" s="57" t="str">
        <f>IF(Y764="","",IF(COUNTIF(Y$6:Y763,Y764)=0,1,0))</f>
        <v/>
      </c>
      <c r="AA764" s="57" t="str">
        <f>IF(Y764="","",IF(Z764=1,COUNTIFS(A$6:A764,A764,Z$6:Z764,1),INDEX(AA$6:AA763,MATCH(Y764,Y$6:Y763,0))))</f>
        <v/>
      </c>
      <c r="AB764" s="57" t="str">
        <f>IF(B764="","",COUNTIF(B$6:B764,B764))</f>
        <v/>
      </c>
      <c r="AC764" s="57" t="str">
        <f>IF(B764="","",B764&amp;"#"&amp;AB764)</f>
        <v/>
      </c>
      <c r="AD764" s="57" t="str">
        <f>IF(Z764=1,A764&amp;AA764,"")</f>
        <v/>
      </c>
      <c r="AE764" s="57" t="str">
        <f>IF(B764="","",YEAR(C764))</f>
        <v/>
      </c>
      <c r="AF764" s="57" t="str">
        <f>IF(B764="","",MONTH(C764))</f>
        <v/>
      </c>
      <c r="AG764" s="57">
        <f>IF(ISNUMBER(C764),C764,0)</f>
        <v>0.0</v>
      </c>
      <c r="AH764" s="57" t="str">
        <f>IF(N(W764)&gt;0,COUNTIF(W$6:W764,"&gt;0"),"")</f>
        <v/>
      </c>
      <c r="AI764" s="57" t="str">
        <f>IF(Z764=1,COUNTIF(Z$6:Z764,1),"")</f>
        <v/>
      </c>
    </row>
    <row r="765">
      <c r="A765" s="54" t="n"/>
      <c r="B765" s="55" t="str">
        <f>IF(AA765="","",A765&amp;"-"&amp;RIGHT("000"&amp;AA765,4))</f>
        <v/>
      </c>
      <c r="C765" s="56" t="n"/>
      <c r="D765" s="54" t="n"/>
      <c r="E765" s="57" t="str">
        <f>IF(D765="","",IF(A765="BL",IFERROR(INDEX(cl_name,MATCH(D765,cl_code,0))&amp;"","Client inconnu"),IF(A765="BR",IFERROR(INDEX(fo_name,MATCH(D765,fo_code,0))&amp;"","Fournisseur inconnu"),IF(A765="BS",IF(ISNA(MATCH(D765,p_services,0)),"Service inconnu",D765&amp;""),""))))</f>
        <v/>
      </c>
      <c r="F765" s="58" t="n"/>
      <c r="G765" s="58" t="n"/>
      <c r="H765" s="59" t="n"/>
      <c r="I765" s="57" t="str">
        <f>IF(H765="","",IFERROR(INDEX(art_des,MATCH(H765,art_ref,0))&amp;"","Article inconnu"))</f>
        <v/>
      </c>
      <c r="J765" s="60" t="str">
        <f>IF(H765="","",IFERROR(INDEX(art_unit,MATCH(H765,art_ref,0))&amp;"",""))</f>
        <v/>
      </c>
      <c r="K765" s="59" t="n"/>
      <c r="L765" s="59" t="n"/>
      <c r="M765" s="61" t="str">
        <f>IF(OR(B765="",NOT(ISNUMBER(K765)),NOT(ISNUMBER(L765))),"",IF(OR(K765&lt;=0,L765&lt;=0),"",ROUND(L765-K765,6)))</f>
        <v/>
      </c>
      <c r="N765" s="58" t="n"/>
      <c r="O765" s="62" t="n"/>
      <c r="P765" s="63" t="str">
        <f>IF(OR(B765="",NOT(ISNUMBER(L765))),"",IF(L765&lt;=0,"",IFERROR(ROUND(L765*N(INDEX(art_w,MATCH(H765,art_ref,0))),3),"")))</f>
        <v/>
      </c>
      <c r="Q765" s="59" t="n"/>
      <c r="R765" s="54" t="n"/>
      <c r="S765" s="59" t="n"/>
      <c r="T765" s="59" t="n"/>
      <c r="U765" s="64" t="str">
        <f>IF(OR(B765="",H765=""),"",IFERROR(IF(A765="BL",IF(N(INDEX(art_price,MATCH(H765,art_ref,0)))=0,"",N(INDEX(art_price,MATCH(H765,art_ref,0)))),IF(N(INDEX(art_cost,MATCH(H765,art_ref,0)))=0,"",N(INDEX(art_cost,MATCH(H765,art_ref,0))))),""))</f>
        <v/>
      </c>
      <c r="V765" s="64" t="str">
        <f>IF(OR(U765="",NOT(ISNUMBER(L765))),"",IF(L765&lt;=0,"",ROUND(L765*U765,2)))</f>
        <v/>
      </c>
      <c r="W765" s="60" t="str">
        <f>IF(AND(B765&lt;&gt;"",A765&lt;&gt;"BS",F765&lt;&gt;"",H765&lt;&gt;"",ISNUMBER(K765),ISNUMBER(L765)),IF(AND(K765&gt;0,L765&gt;0,K765-L765&gt;0,COUNTIFS(A766:A$2005,A765,F766:F$2005,F765,H766:H$2005,H765,AA766:AA$2005,"&gt;0")=0),ROUND(K765-L765,6),""),"")</f>
        <v/>
      </c>
      <c r="X765" s="60" t="str">
        <f>IF(AND(A765="",C765="",D765="",H765="",L765=""),"",IF(A765="","Type manquant",IF(AND(A765&lt;&gt;"BL",A765&lt;&gt;"BR",A765&lt;&gt;"BS"),"Type inconnu (BL, BR ou BS)",IF(AG765=0,"Date manquante ou invalide",IF(D765="",IF(A765="BL","Client manquant",IF(A765="BR","Fournisseur manquant","Service manquant")),IF(IF(A765="BL",ISNA(MATCH(D765,cl_code,0)),IF(A765="BR",ISNA(MATCH(D765,fo_code,0)),ISNA(MATCH(D765,p_services,0)))),IF(A765="BL","Client inconnu",IF(A765="BR","Fournisseur inconnu","Service inconnu")),IF(H765="","Article manquant",IF(ISNA(MATCH(H765,art_ref,0)),"Article inconnu",IF(OR(NOT(ISNUMBER(L765)),N(L765)&lt;=0),"Quantité invalide",IF(AND(K765&lt;&gt;"",OR(NOT(ISNUMBER(K765)),N(K765)&lt;=0)),"Qté commandée invalide",IF(AG765&lt;SUMPRODUCT(MAX((A$6:A764=A765)*AG$6:AG764)),"Date antérieure au bon précédent",IF(AND(A765&lt;&gt;"BR",ISNUMBER(M765),N(M765)&gt;0),IF(A765="BL","Livré plus que commandé","Sorti plus que demandé"),"OK"))))))))))))</f>
        <v/>
      </c>
      <c r="Y765" s="57" t="str">
        <f>IF(AND(OR(A765="BL",A765="BR",A765="BS"),AG765&gt;0,D765&lt;&gt;""),A765&amp;"|"&amp;AG765&amp;"|"&amp;D765&amp;"|"&amp;F765,"")</f>
        <v/>
      </c>
      <c r="Z765" s="57" t="str">
        <f>IF(Y765="","",IF(COUNTIF(Y$6:Y764,Y765)=0,1,0))</f>
        <v/>
      </c>
      <c r="AA765" s="57" t="str">
        <f>IF(Y765="","",IF(Z765=1,COUNTIFS(A$6:A765,A765,Z$6:Z765,1),INDEX(AA$6:AA764,MATCH(Y765,Y$6:Y764,0))))</f>
        <v/>
      </c>
      <c r="AB765" s="57" t="str">
        <f>IF(B765="","",COUNTIF(B$6:B765,B765))</f>
        <v/>
      </c>
      <c r="AC765" s="57" t="str">
        <f>IF(B765="","",B765&amp;"#"&amp;AB765)</f>
        <v/>
      </c>
      <c r="AD765" s="57" t="str">
        <f>IF(Z765=1,A765&amp;AA765,"")</f>
        <v/>
      </c>
      <c r="AE765" s="57" t="str">
        <f>IF(B765="","",YEAR(C765))</f>
        <v/>
      </c>
      <c r="AF765" s="57" t="str">
        <f>IF(B765="","",MONTH(C765))</f>
        <v/>
      </c>
      <c r="AG765" s="57">
        <f>IF(ISNUMBER(C765),C765,0)</f>
        <v>0.0</v>
      </c>
      <c r="AH765" s="57" t="str">
        <f>IF(N(W765)&gt;0,COUNTIF(W$6:W765,"&gt;0"),"")</f>
        <v/>
      </c>
      <c r="AI765" s="57" t="str">
        <f>IF(Z765=1,COUNTIF(Z$6:Z765,1),"")</f>
        <v/>
      </c>
    </row>
    <row r="766">
      <c r="A766" s="54" t="n"/>
      <c r="B766" s="55" t="str">
        <f>IF(AA766="","",A766&amp;"-"&amp;RIGHT("000"&amp;AA766,4))</f>
        <v/>
      </c>
      <c r="C766" s="56" t="n"/>
      <c r="D766" s="54" t="n"/>
      <c r="E766" s="57" t="str">
        <f>IF(D766="","",IF(A766="BL",IFERROR(INDEX(cl_name,MATCH(D766,cl_code,0))&amp;"","Client inconnu"),IF(A766="BR",IFERROR(INDEX(fo_name,MATCH(D766,fo_code,0))&amp;"","Fournisseur inconnu"),IF(A766="BS",IF(ISNA(MATCH(D766,p_services,0)),"Service inconnu",D766&amp;""),""))))</f>
        <v/>
      </c>
      <c r="F766" s="58" t="n"/>
      <c r="G766" s="58" t="n"/>
      <c r="H766" s="59" t="n"/>
      <c r="I766" s="57" t="str">
        <f>IF(H766="","",IFERROR(INDEX(art_des,MATCH(H766,art_ref,0))&amp;"","Article inconnu"))</f>
        <v/>
      </c>
      <c r="J766" s="60" t="str">
        <f>IF(H766="","",IFERROR(INDEX(art_unit,MATCH(H766,art_ref,0))&amp;"",""))</f>
        <v/>
      </c>
      <c r="K766" s="59" t="n"/>
      <c r="L766" s="59" t="n"/>
      <c r="M766" s="61" t="str">
        <f>IF(OR(B766="",NOT(ISNUMBER(K766)),NOT(ISNUMBER(L766))),"",IF(OR(K766&lt;=0,L766&lt;=0),"",ROUND(L766-K766,6)))</f>
        <v/>
      </c>
      <c r="N766" s="58" t="n"/>
      <c r="O766" s="62" t="n"/>
      <c r="P766" s="63" t="str">
        <f>IF(OR(B766="",NOT(ISNUMBER(L766))),"",IF(L766&lt;=0,"",IFERROR(ROUND(L766*N(INDEX(art_w,MATCH(H766,art_ref,0))),3),"")))</f>
        <v/>
      </c>
      <c r="Q766" s="59" t="n"/>
      <c r="R766" s="54" t="n"/>
      <c r="S766" s="59" t="n"/>
      <c r="T766" s="59" t="n"/>
      <c r="U766" s="64" t="str">
        <f>IF(OR(B766="",H766=""),"",IFERROR(IF(A766="BL",IF(N(INDEX(art_price,MATCH(H766,art_ref,0)))=0,"",N(INDEX(art_price,MATCH(H766,art_ref,0)))),IF(N(INDEX(art_cost,MATCH(H766,art_ref,0)))=0,"",N(INDEX(art_cost,MATCH(H766,art_ref,0))))),""))</f>
        <v/>
      </c>
      <c r="V766" s="64" t="str">
        <f>IF(OR(U766="",NOT(ISNUMBER(L766))),"",IF(L766&lt;=0,"",ROUND(L766*U766,2)))</f>
        <v/>
      </c>
      <c r="W766" s="60" t="str">
        <f>IF(AND(B766&lt;&gt;"",A766&lt;&gt;"BS",F766&lt;&gt;"",H766&lt;&gt;"",ISNUMBER(K766),ISNUMBER(L766)),IF(AND(K766&gt;0,L766&gt;0,K766-L766&gt;0,COUNTIFS(A767:A$2005,A766,F767:F$2005,F766,H767:H$2005,H766,AA767:AA$2005,"&gt;0")=0),ROUND(K766-L766,6),""),"")</f>
        <v/>
      </c>
      <c r="X766" s="60" t="str">
        <f>IF(AND(A766="",C766="",D766="",H766="",L766=""),"",IF(A766="","Type manquant",IF(AND(A766&lt;&gt;"BL",A766&lt;&gt;"BR",A766&lt;&gt;"BS"),"Type inconnu (BL, BR ou BS)",IF(AG766=0,"Date manquante ou invalide",IF(D766="",IF(A766="BL","Client manquant",IF(A766="BR","Fournisseur manquant","Service manquant")),IF(IF(A766="BL",ISNA(MATCH(D766,cl_code,0)),IF(A766="BR",ISNA(MATCH(D766,fo_code,0)),ISNA(MATCH(D766,p_services,0)))),IF(A766="BL","Client inconnu",IF(A766="BR","Fournisseur inconnu","Service inconnu")),IF(H766="","Article manquant",IF(ISNA(MATCH(H766,art_ref,0)),"Article inconnu",IF(OR(NOT(ISNUMBER(L766)),N(L766)&lt;=0),"Quantité invalide",IF(AND(K766&lt;&gt;"",OR(NOT(ISNUMBER(K766)),N(K766)&lt;=0)),"Qté commandée invalide",IF(AG766&lt;SUMPRODUCT(MAX((A$6:A765=A766)*AG$6:AG765)),"Date antérieure au bon précédent",IF(AND(A766&lt;&gt;"BR",ISNUMBER(M766),N(M766)&gt;0),IF(A766="BL","Livré plus que commandé","Sorti plus que demandé"),"OK"))))))))))))</f>
        <v/>
      </c>
      <c r="Y766" s="57" t="str">
        <f>IF(AND(OR(A766="BL",A766="BR",A766="BS"),AG766&gt;0,D766&lt;&gt;""),A766&amp;"|"&amp;AG766&amp;"|"&amp;D766&amp;"|"&amp;F766,"")</f>
        <v/>
      </c>
      <c r="Z766" s="57" t="str">
        <f>IF(Y766="","",IF(COUNTIF(Y$6:Y765,Y766)=0,1,0))</f>
        <v/>
      </c>
      <c r="AA766" s="57" t="str">
        <f>IF(Y766="","",IF(Z766=1,COUNTIFS(A$6:A766,A766,Z$6:Z766,1),INDEX(AA$6:AA765,MATCH(Y766,Y$6:Y765,0))))</f>
        <v/>
      </c>
      <c r="AB766" s="57" t="str">
        <f>IF(B766="","",COUNTIF(B$6:B766,B766))</f>
        <v/>
      </c>
      <c r="AC766" s="57" t="str">
        <f>IF(B766="","",B766&amp;"#"&amp;AB766)</f>
        <v/>
      </c>
      <c r="AD766" s="57" t="str">
        <f>IF(Z766=1,A766&amp;AA766,"")</f>
        <v/>
      </c>
      <c r="AE766" s="57" t="str">
        <f>IF(B766="","",YEAR(C766))</f>
        <v/>
      </c>
      <c r="AF766" s="57" t="str">
        <f>IF(B766="","",MONTH(C766))</f>
        <v/>
      </c>
      <c r="AG766" s="57">
        <f>IF(ISNUMBER(C766),C766,0)</f>
        <v>0.0</v>
      </c>
      <c r="AH766" s="57" t="str">
        <f>IF(N(W766)&gt;0,COUNTIF(W$6:W766,"&gt;0"),"")</f>
        <v/>
      </c>
      <c r="AI766" s="57" t="str">
        <f>IF(Z766=1,COUNTIF(Z$6:Z766,1),"")</f>
        <v/>
      </c>
    </row>
    <row r="767">
      <c r="A767" s="54" t="n"/>
      <c r="B767" s="55" t="str">
        <f>IF(AA767="","",A767&amp;"-"&amp;RIGHT("000"&amp;AA767,4))</f>
        <v/>
      </c>
      <c r="C767" s="56" t="n"/>
      <c r="D767" s="54" t="n"/>
      <c r="E767" s="57" t="str">
        <f>IF(D767="","",IF(A767="BL",IFERROR(INDEX(cl_name,MATCH(D767,cl_code,0))&amp;"","Client inconnu"),IF(A767="BR",IFERROR(INDEX(fo_name,MATCH(D767,fo_code,0))&amp;"","Fournisseur inconnu"),IF(A767="BS",IF(ISNA(MATCH(D767,p_services,0)),"Service inconnu",D767&amp;""),""))))</f>
        <v/>
      </c>
      <c r="F767" s="58" t="n"/>
      <c r="G767" s="58" t="n"/>
      <c r="H767" s="59" t="n"/>
      <c r="I767" s="57" t="str">
        <f>IF(H767="","",IFERROR(INDEX(art_des,MATCH(H767,art_ref,0))&amp;"","Article inconnu"))</f>
        <v/>
      </c>
      <c r="J767" s="60" t="str">
        <f>IF(H767="","",IFERROR(INDEX(art_unit,MATCH(H767,art_ref,0))&amp;"",""))</f>
        <v/>
      </c>
      <c r="K767" s="59" t="n"/>
      <c r="L767" s="59" t="n"/>
      <c r="M767" s="61" t="str">
        <f>IF(OR(B767="",NOT(ISNUMBER(K767)),NOT(ISNUMBER(L767))),"",IF(OR(K767&lt;=0,L767&lt;=0),"",ROUND(L767-K767,6)))</f>
        <v/>
      </c>
      <c r="N767" s="58" t="n"/>
      <c r="O767" s="62" t="n"/>
      <c r="P767" s="63" t="str">
        <f>IF(OR(B767="",NOT(ISNUMBER(L767))),"",IF(L767&lt;=0,"",IFERROR(ROUND(L767*N(INDEX(art_w,MATCH(H767,art_ref,0))),3),"")))</f>
        <v/>
      </c>
      <c r="Q767" s="59" t="n"/>
      <c r="R767" s="54" t="n"/>
      <c r="S767" s="59" t="n"/>
      <c r="T767" s="59" t="n"/>
      <c r="U767" s="64" t="str">
        <f>IF(OR(B767="",H767=""),"",IFERROR(IF(A767="BL",IF(N(INDEX(art_price,MATCH(H767,art_ref,0)))=0,"",N(INDEX(art_price,MATCH(H767,art_ref,0)))),IF(N(INDEX(art_cost,MATCH(H767,art_ref,0)))=0,"",N(INDEX(art_cost,MATCH(H767,art_ref,0))))),""))</f>
        <v/>
      </c>
      <c r="V767" s="64" t="str">
        <f>IF(OR(U767="",NOT(ISNUMBER(L767))),"",IF(L767&lt;=0,"",ROUND(L767*U767,2)))</f>
        <v/>
      </c>
      <c r="W767" s="60" t="str">
        <f>IF(AND(B767&lt;&gt;"",A767&lt;&gt;"BS",F767&lt;&gt;"",H767&lt;&gt;"",ISNUMBER(K767),ISNUMBER(L767)),IF(AND(K767&gt;0,L767&gt;0,K767-L767&gt;0,COUNTIFS(A768:A$2005,A767,F768:F$2005,F767,H768:H$2005,H767,AA768:AA$2005,"&gt;0")=0),ROUND(K767-L767,6),""),"")</f>
        <v/>
      </c>
      <c r="X767" s="60" t="str">
        <f>IF(AND(A767="",C767="",D767="",H767="",L767=""),"",IF(A767="","Type manquant",IF(AND(A767&lt;&gt;"BL",A767&lt;&gt;"BR",A767&lt;&gt;"BS"),"Type inconnu (BL, BR ou BS)",IF(AG767=0,"Date manquante ou invalide",IF(D767="",IF(A767="BL","Client manquant",IF(A767="BR","Fournisseur manquant","Service manquant")),IF(IF(A767="BL",ISNA(MATCH(D767,cl_code,0)),IF(A767="BR",ISNA(MATCH(D767,fo_code,0)),ISNA(MATCH(D767,p_services,0)))),IF(A767="BL","Client inconnu",IF(A767="BR","Fournisseur inconnu","Service inconnu")),IF(H767="","Article manquant",IF(ISNA(MATCH(H767,art_ref,0)),"Article inconnu",IF(OR(NOT(ISNUMBER(L767)),N(L767)&lt;=0),"Quantité invalide",IF(AND(K767&lt;&gt;"",OR(NOT(ISNUMBER(K767)),N(K767)&lt;=0)),"Qté commandée invalide",IF(AG767&lt;SUMPRODUCT(MAX((A$6:A766=A767)*AG$6:AG766)),"Date antérieure au bon précédent",IF(AND(A767&lt;&gt;"BR",ISNUMBER(M767),N(M767)&gt;0),IF(A767="BL","Livré plus que commandé","Sorti plus que demandé"),"OK"))))))))))))</f>
        <v/>
      </c>
      <c r="Y767" s="57" t="str">
        <f>IF(AND(OR(A767="BL",A767="BR",A767="BS"),AG767&gt;0,D767&lt;&gt;""),A767&amp;"|"&amp;AG767&amp;"|"&amp;D767&amp;"|"&amp;F767,"")</f>
        <v/>
      </c>
      <c r="Z767" s="57" t="str">
        <f>IF(Y767="","",IF(COUNTIF(Y$6:Y766,Y767)=0,1,0))</f>
        <v/>
      </c>
      <c r="AA767" s="57" t="str">
        <f>IF(Y767="","",IF(Z767=1,COUNTIFS(A$6:A767,A767,Z$6:Z767,1),INDEX(AA$6:AA766,MATCH(Y767,Y$6:Y766,0))))</f>
        <v/>
      </c>
      <c r="AB767" s="57" t="str">
        <f>IF(B767="","",COUNTIF(B$6:B767,B767))</f>
        <v/>
      </c>
      <c r="AC767" s="57" t="str">
        <f>IF(B767="","",B767&amp;"#"&amp;AB767)</f>
        <v/>
      </c>
      <c r="AD767" s="57" t="str">
        <f>IF(Z767=1,A767&amp;AA767,"")</f>
        <v/>
      </c>
      <c r="AE767" s="57" t="str">
        <f>IF(B767="","",YEAR(C767))</f>
        <v/>
      </c>
      <c r="AF767" s="57" t="str">
        <f>IF(B767="","",MONTH(C767))</f>
        <v/>
      </c>
      <c r="AG767" s="57">
        <f>IF(ISNUMBER(C767),C767,0)</f>
        <v>0.0</v>
      </c>
      <c r="AH767" s="57" t="str">
        <f>IF(N(W767)&gt;0,COUNTIF(W$6:W767,"&gt;0"),"")</f>
        <v/>
      </c>
      <c r="AI767" s="57" t="str">
        <f>IF(Z767=1,COUNTIF(Z$6:Z767,1),"")</f>
        <v/>
      </c>
    </row>
    <row r="768">
      <c r="A768" s="54" t="n"/>
      <c r="B768" s="55" t="str">
        <f>IF(AA768="","",A768&amp;"-"&amp;RIGHT("000"&amp;AA768,4))</f>
        <v/>
      </c>
      <c r="C768" s="56" t="n"/>
      <c r="D768" s="54" t="n"/>
      <c r="E768" s="57" t="str">
        <f>IF(D768="","",IF(A768="BL",IFERROR(INDEX(cl_name,MATCH(D768,cl_code,0))&amp;"","Client inconnu"),IF(A768="BR",IFERROR(INDEX(fo_name,MATCH(D768,fo_code,0))&amp;"","Fournisseur inconnu"),IF(A768="BS",IF(ISNA(MATCH(D768,p_services,0)),"Service inconnu",D768&amp;""),""))))</f>
        <v/>
      </c>
      <c r="F768" s="58" t="n"/>
      <c r="G768" s="58" t="n"/>
      <c r="H768" s="59" t="n"/>
      <c r="I768" s="57" t="str">
        <f>IF(H768="","",IFERROR(INDEX(art_des,MATCH(H768,art_ref,0))&amp;"","Article inconnu"))</f>
        <v/>
      </c>
      <c r="J768" s="60" t="str">
        <f>IF(H768="","",IFERROR(INDEX(art_unit,MATCH(H768,art_ref,0))&amp;"",""))</f>
        <v/>
      </c>
      <c r="K768" s="59" t="n"/>
      <c r="L768" s="59" t="n"/>
      <c r="M768" s="61" t="str">
        <f>IF(OR(B768="",NOT(ISNUMBER(K768)),NOT(ISNUMBER(L768))),"",IF(OR(K768&lt;=0,L768&lt;=0),"",ROUND(L768-K768,6)))</f>
        <v/>
      </c>
      <c r="N768" s="58" t="n"/>
      <c r="O768" s="62" t="n"/>
      <c r="P768" s="63" t="str">
        <f>IF(OR(B768="",NOT(ISNUMBER(L768))),"",IF(L768&lt;=0,"",IFERROR(ROUND(L768*N(INDEX(art_w,MATCH(H768,art_ref,0))),3),"")))</f>
        <v/>
      </c>
      <c r="Q768" s="59" t="n"/>
      <c r="R768" s="54" t="n"/>
      <c r="S768" s="59" t="n"/>
      <c r="T768" s="59" t="n"/>
      <c r="U768" s="64" t="str">
        <f>IF(OR(B768="",H768=""),"",IFERROR(IF(A768="BL",IF(N(INDEX(art_price,MATCH(H768,art_ref,0)))=0,"",N(INDEX(art_price,MATCH(H768,art_ref,0)))),IF(N(INDEX(art_cost,MATCH(H768,art_ref,0)))=0,"",N(INDEX(art_cost,MATCH(H768,art_ref,0))))),""))</f>
        <v/>
      </c>
      <c r="V768" s="64" t="str">
        <f>IF(OR(U768="",NOT(ISNUMBER(L768))),"",IF(L768&lt;=0,"",ROUND(L768*U768,2)))</f>
        <v/>
      </c>
      <c r="W768" s="60" t="str">
        <f>IF(AND(B768&lt;&gt;"",A768&lt;&gt;"BS",F768&lt;&gt;"",H768&lt;&gt;"",ISNUMBER(K768),ISNUMBER(L768)),IF(AND(K768&gt;0,L768&gt;0,K768-L768&gt;0,COUNTIFS(A769:A$2005,A768,F769:F$2005,F768,H769:H$2005,H768,AA769:AA$2005,"&gt;0")=0),ROUND(K768-L768,6),""),"")</f>
        <v/>
      </c>
      <c r="X768" s="60" t="str">
        <f>IF(AND(A768="",C768="",D768="",H768="",L768=""),"",IF(A768="","Type manquant",IF(AND(A768&lt;&gt;"BL",A768&lt;&gt;"BR",A768&lt;&gt;"BS"),"Type inconnu (BL, BR ou BS)",IF(AG768=0,"Date manquante ou invalide",IF(D768="",IF(A768="BL","Client manquant",IF(A768="BR","Fournisseur manquant","Service manquant")),IF(IF(A768="BL",ISNA(MATCH(D768,cl_code,0)),IF(A768="BR",ISNA(MATCH(D768,fo_code,0)),ISNA(MATCH(D768,p_services,0)))),IF(A768="BL","Client inconnu",IF(A768="BR","Fournisseur inconnu","Service inconnu")),IF(H768="","Article manquant",IF(ISNA(MATCH(H768,art_ref,0)),"Article inconnu",IF(OR(NOT(ISNUMBER(L768)),N(L768)&lt;=0),"Quantité invalide",IF(AND(K768&lt;&gt;"",OR(NOT(ISNUMBER(K768)),N(K768)&lt;=0)),"Qté commandée invalide",IF(AG768&lt;SUMPRODUCT(MAX((A$6:A767=A768)*AG$6:AG767)),"Date antérieure au bon précédent",IF(AND(A768&lt;&gt;"BR",ISNUMBER(M768),N(M768)&gt;0),IF(A768="BL","Livré plus que commandé","Sorti plus que demandé"),"OK"))))))))))))</f>
        <v/>
      </c>
      <c r="Y768" s="57" t="str">
        <f>IF(AND(OR(A768="BL",A768="BR",A768="BS"),AG768&gt;0,D768&lt;&gt;""),A768&amp;"|"&amp;AG768&amp;"|"&amp;D768&amp;"|"&amp;F768,"")</f>
        <v/>
      </c>
      <c r="Z768" s="57" t="str">
        <f>IF(Y768="","",IF(COUNTIF(Y$6:Y767,Y768)=0,1,0))</f>
        <v/>
      </c>
      <c r="AA768" s="57" t="str">
        <f>IF(Y768="","",IF(Z768=1,COUNTIFS(A$6:A768,A768,Z$6:Z768,1),INDEX(AA$6:AA767,MATCH(Y768,Y$6:Y767,0))))</f>
        <v/>
      </c>
      <c r="AB768" s="57" t="str">
        <f>IF(B768="","",COUNTIF(B$6:B768,B768))</f>
        <v/>
      </c>
      <c r="AC768" s="57" t="str">
        <f>IF(B768="","",B768&amp;"#"&amp;AB768)</f>
        <v/>
      </c>
      <c r="AD768" s="57" t="str">
        <f>IF(Z768=1,A768&amp;AA768,"")</f>
        <v/>
      </c>
      <c r="AE768" s="57" t="str">
        <f>IF(B768="","",YEAR(C768))</f>
        <v/>
      </c>
      <c r="AF768" s="57" t="str">
        <f>IF(B768="","",MONTH(C768))</f>
        <v/>
      </c>
      <c r="AG768" s="57">
        <f>IF(ISNUMBER(C768),C768,0)</f>
        <v>0.0</v>
      </c>
      <c r="AH768" s="57" t="str">
        <f>IF(N(W768)&gt;0,COUNTIF(W$6:W768,"&gt;0"),"")</f>
        <v/>
      </c>
      <c r="AI768" s="57" t="str">
        <f>IF(Z768=1,COUNTIF(Z$6:Z768,1),"")</f>
        <v/>
      </c>
    </row>
    <row r="769">
      <c r="A769" s="54" t="n"/>
      <c r="B769" s="55" t="str">
        <f>IF(AA769="","",A769&amp;"-"&amp;RIGHT("000"&amp;AA769,4))</f>
        <v/>
      </c>
      <c r="C769" s="56" t="n"/>
      <c r="D769" s="54" t="n"/>
      <c r="E769" s="57" t="str">
        <f>IF(D769="","",IF(A769="BL",IFERROR(INDEX(cl_name,MATCH(D769,cl_code,0))&amp;"","Client inconnu"),IF(A769="BR",IFERROR(INDEX(fo_name,MATCH(D769,fo_code,0))&amp;"","Fournisseur inconnu"),IF(A769="BS",IF(ISNA(MATCH(D769,p_services,0)),"Service inconnu",D769&amp;""),""))))</f>
        <v/>
      </c>
      <c r="F769" s="58" t="n"/>
      <c r="G769" s="58" t="n"/>
      <c r="H769" s="59" t="n"/>
      <c r="I769" s="57" t="str">
        <f>IF(H769="","",IFERROR(INDEX(art_des,MATCH(H769,art_ref,0))&amp;"","Article inconnu"))</f>
        <v/>
      </c>
      <c r="J769" s="60" t="str">
        <f>IF(H769="","",IFERROR(INDEX(art_unit,MATCH(H769,art_ref,0))&amp;"",""))</f>
        <v/>
      </c>
      <c r="K769" s="59" t="n"/>
      <c r="L769" s="59" t="n"/>
      <c r="M769" s="61" t="str">
        <f>IF(OR(B769="",NOT(ISNUMBER(K769)),NOT(ISNUMBER(L769))),"",IF(OR(K769&lt;=0,L769&lt;=0),"",ROUND(L769-K769,6)))</f>
        <v/>
      </c>
      <c r="N769" s="58" t="n"/>
      <c r="O769" s="62" t="n"/>
      <c r="P769" s="63" t="str">
        <f>IF(OR(B769="",NOT(ISNUMBER(L769))),"",IF(L769&lt;=0,"",IFERROR(ROUND(L769*N(INDEX(art_w,MATCH(H769,art_ref,0))),3),"")))</f>
        <v/>
      </c>
      <c r="Q769" s="59" t="n"/>
      <c r="R769" s="54" t="n"/>
      <c r="S769" s="59" t="n"/>
      <c r="T769" s="59" t="n"/>
      <c r="U769" s="64" t="str">
        <f>IF(OR(B769="",H769=""),"",IFERROR(IF(A769="BL",IF(N(INDEX(art_price,MATCH(H769,art_ref,0)))=0,"",N(INDEX(art_price,MATCH(H769,art_ref,0)))),IF(N(INDEX(art_cost,MATCH(H769,art_ref,0)))=0,"",N(INDEX(art_cost,MATCH(H769,art_ref,0))))),""))</f>
        <v/>
      </c>
      <c r="V769" s="64" t="str">
        <f>IF(OR(U769="",NOT(ISNUMBER(L769))),"",IF(L769&lt;=0,"",ROUND(L769*U769,2)))</f>
        <v/>
      </c>
      <c r="W769" s="60" t="str">
        <f>IF(AND(B769&lt;&gt;"",A769&lt;&gt;"BS",F769&lt;&gt;"",H769&lt;&gt;"",ISNUMBER(K769),ISNUMBER(L769)),IF(AND(K769&gt;0,L769&gt;0,K769-L769&gt;0,COUNTIFS(A770:A$2005,A769,F770:F$2005,F769,H770:H$2005,H769,AA770:AA$2005,"&gt;0")=0),ROUND(K769-L769,6),""),"")</f>
        <v/>
      </c>
      <c r="X769" s="60" t="str">
        <f>IF(AND(A769="",C769="",D769="",H769="",L769=""),"",IF(A769="","Type manquant",IF(AND(A769&lt;&gt;"BL",A769&lt;&gt;"BR",A769&lt;&gt;"BS"),"Type inconnu (BL, BR ou BS)",IF(AG769=0,"Date manquante ou invalide",IF(D769="",IF(A769="BL","Client manquant",IF(A769="BR","Fournisseur manquant","Service manquant")),IF(IF(A769="BL",ISNA(MATCH(D769,cl_code,0)),IF(A769="BR",ISNA(MATCH(D769,fo_code,0)),ISNA(MATCH(D769,p_services,0)))),IF(A769="BL","Client inconnu",IF(A769="BR","Fournisseur inconnu","Service inconnu")),IF(H769="","Article manquant",IF(ISNA(MATCH(H769,art_ref,0)),"Article inconnu",IF(OR(NOT(ISNUMBER(L769)),N(L769)&lt;=0),"Quantité invalide",IF(AND(K769&lt;&gt;"",OR(NOT(ISNUMBER(K769)),N(K769)&lt;=0)),"Qté commandée invalide",IF(AG769&lt;SUMPRODUCT(MAX((A$6:A768=A769)*AG$6:AG768)),"Date antérieure au bon précédent",IF(AND(A769&lt;&gt;"BR",ISNUMBER(M769),N(M769)&gt;0),IF(A769="BL","Livré plus que commandé","Sorti plus que demandé"),"OK"))))))))))))</f>
        <v/>
      </c>
      <c r="Y769" s="57" t="str">
        <f>IF(AND(OR(A769="BL",A769="BR",A769="BS"),AG769&gt;0,D769&lt;&gt;""),A769&amp;"|"&amp;AG769&amp;"|"&amp;D769&amp;"|"&amp;F769,"")</f>
        <v/>
      </c>
      <c r="Z769" s="57" t="str">
        <f>IF(Y769="","",IF(COUNTIF(Y$6:Y768,Y769)=0,1,0))</f>
        <v/>
      </c>
      <c r="AA769" s="57" t="str">
        <f>IF(Y769="","",IF(Z769=1,COUNTIFS(A$6:A769,A769,Z$6:Z769,1),INDEX(AA$6:AA768,MATCH(Y769,Y$6:Y768,0))))</f>
        <v/>
      </c>
      <c r="AB769" s="57" t="str">
        <f>IF(B769="","",COUNTIF(B$6:B769,B769))</f>
        <v/>
      </c>
      <c r="AC769" s="57" t="str">
        <f>IF(B769="","",B769&amp;"#"&amp;AB769)</f>
        <v/>
      </c>
      <c r="AD769" s="57" t="str">
        <f>IF(Z769=1,A769&amp;AA769,"")</f>
        <v/>
      </c>
      <c r="AE769" s="57" t="str">
        <f>IF(B769="","",YEAR(C769))</f>
        <v/>
      </c>
      <c r="AF769" s="57" t="str">
        <f>IF(B769="","",MONTH(C769))</f>
        <v/>
      </c>
      <c r="AG769" s="57">
        <f>IF(ISNUMBER(C769),C769,0)</f>
        <v>0.0</v>
      </c>
      <c r="AH769" s="57" t="str">
        <f>IF(N(W769)&gt;0,COUNTIF(W$6:W769,"&gt;0"),"")</f>
        <v/>
      </c>
      <c r="AI769" s="57" t="str">
        <f>IF(Z769=1,COUNTIF(Z$6:Z769,1),"")</f>
        <v/>
      </c>
    </row>
    <row r="770">
      <c r="A770" s="54" t="n"/>
      <c r="B770" s="55" t="str">
        <f>IF(AA770="","",A770&amp;"-"&amp;RIGHT("000"&amp;AA770,4))</f>
        <v/>
      </c>
      <c r="C770" s="56" t="n"/>
      <c r="D770" s="54" t="n"/>
      <c r="E770" s="57" t="str">
        <f>IF(D770="","",IF(A770="BL",IFERROR(INDEX(cl_name,MATCH(D770,cl_code,0))&amp;"","Client inconnu"),IF(A770="BR",IFERROR(INDEX(fo_name,MATCH(D770,fo_code,0))&amp;"","Fournisseur inconnu"),IF(A770="BS",IF(ISNA(MATCH(D770,p_services,0)),"Service inconnu",D770&amp;""),""))))</f>
        <v/>
      </c>
      <c r="F770" s="58" t="n"/>
      <c r="G770" s="58" t="n"/>
      <c r="H770" s="59" t="n"/>
      <c r="I770" s="57" t="str">
        <f>IF(H770="","",IFERROR(INDEX(art_des,MATCH(H770,art_ref,0))&amp;"","Article inconnu"))</f>
        <v/>
      </c>
      <c r="J770" s="60" t="str">
        <f>IF(H770="","",IFERROR(INDEX(art_unit,MATCH(H770,art_ref,0))&amp;"",""))</f>
        <v/>
      </c>
      <c r="K770" s="59" t="n"/>
      <c r="L770" s="59" t="n"/>
      <c r="M770" s="61" t="str">
        <f>IF(OR(B770="",NOT(ISNUMBER(K770)),NOT(ISNUMBER(L770))),"",IF(OR(K770&lt;=0,L770&lt;=0),"",ROUND(L770-K770,6)))</f>
        <v/>
      </c>
      <c r="N770" s="58" t="n"/>
      <c r="O770" s="62" t="n"/>
      <c r="P770" s="63" t="str">
        <f>IF(OR(B770="",NOT(ISNUMBER(L770))),"",IF(L770&lt;=0,"",IFERROR(ROUND(L770*N(INDEX(art_w,MATCH(H770,art_ref,0))),3),"")))</f>
        <v/>
      </c>
      <c r="Q770" s="59" t="n"/>
      <c r="R770" s="54" t="n"/>
      <c r="S770" s="59" t="n"/>
      <c r="T770" s="59" t="n"/>
      <c r="U770" s="64" t="str">
        <f>IF(OR(B770="",H770=""),"",IFERROR(IF(A770="BL",IF(N(INDEX(art_price,MATCH(H770,art_ref,0)))=0,"",N(INDEX(art_price,MATCH(H770,art_ref,0)))),IF(N(INDEX(art_cost,MATCH(H770,art_ref,0)))=0,"",N(INDEX(art_cost,MATCH(H770,art_ref,0))))),""))</f>
        <v/>
      </c>
      <c r="V770" s="64" t="str">
        <f>IF(OR(U770="",NOT(ISNUMBER(L770))),"",IF(L770&lt;=0,"",ROUND(L770*U770,2)))</f>
        <v/>
      </c>
      <c r="W770" s="60" t="str">
        <f>IF(AND(B770&lt;&gt;"",A770&lt;&gt;"BS",F770&lt;&gt;"",H770&lt;&gt;"",ISNUMBER(K770),ISNUMBER(L770)),IF(AND(K770&gt;0,L770&gt;0,K770-L770&gt;0,COUNTIFS(A771:A$2005,A770,F771:F$2005,F770,H771:H$2005,H770,AA771:AA$2005,"&gt;0")=0),ROUND(K770-L770,6),""),"")</f>
        <v/>
      </c>
      <c r="X770" s="60" t="str">
        <f>IF(AND(A770="",C770="",D770="",H770="",L770=""),"",IF(A770="","Type manquant",IF(AND(A770&lt;&gt;"BL",A770&lt;&gt;"BR",A770&lt;&gt;"BS"),"Type inconnu (BL, BR ou BS)",IF(AG770=0,"Date manquante ou invalide",IF(D770="",IF(A770="BL","Client manquant",IF(A770="BR","Fournisseur manquant","Service manquant")),IF(IF(A770="BL",ISNA(MATCH(D770,cl_code,0)),IF(A770="BR",ISNA(MATCH(D770,fo_code,0)),ISNA(MATCH(D770,p_services,0)))),IF(A770="BL","Client inconnu",IF(A770="BR","Fournisseur inconnu","Service inconnu")),IF(H770="","Article manquant",IF(ISNA(MATCH(H770,art_ref,0)),"Article inconnu",IF(OR(NOT(ISNUMBER(L770)),N(L770)&lt;=0),"Quantité invalide",IF(AND(K770&lt;&gt;"",OR(NOT(ISNUMBER(K770)),N(K770)&lt;=0)),"Qté commandée invalide",IF(AG770&lt;SUMPRODUCT(MAX((A$6:A769=A770)*AG$6:AG769)),"Date antérieure au bon précédent",IF(AND(A770&lt;&gt;"BR",ISNUMBER(M770),N(M770)&gt;0),IF(A770="BL","Livré plus que commandé","Sorti plus que demandé"),"OK"))))))))))))</f>
        <v/>
      </c>
      <c r="Y770" s="57" t="str">
        <f>IF(AND(OR(A770="BL",A770="BR",A770="BS"),AG770&gt;0,D770&lt;&gt;""),A770&amp;"|"&amp;AG770&amp;"|"&amp;D770&amp;"|"&amp;F770,"")</f>
        <v/>
      </c>
      <c r="Z770" s="57" t="str">
        <f>IF(Y770="","",IF(COUNTIF(Y$6:Y769,Y770)=0,1,0))</f>
        <v/>
      </c>
      <c r="AA770" s="57" t="str">
        <f>IF(Y770="","",IF(Z770=1,COUNTIFS(A$6:A770,A770,Z$6:Z770,1),INDEX(AA$6:AA769,MATCH(Y770,Y$6:Y769,0))))</f>
        <v/>
      </c>
      <c r="AB770" s="57" t="str">
        <f>IF(B770="","",COUNTIF(B$6:B770,B770))</f>
        <v/>
      </c>
      <c r="AC770" s="57" t="str">
        <f>IF(B770="","",B770&amp;"#"&amp;AB770)</f>
        <v/>
      </c>
      <c r="AD770" s="57" t="str">
        <f>IF(Z770=1,A770&amp;AA770,"")</f>
        <v/>
      </c>
      <c r="AE770" s="57" t="str">
        <f>IF(B770="","",YEAR(C770))</f>
        <v/>
      </c>
      <c r="AF770" s="57" t="str">
        <f>IF(B770="","",MONTH(C770))</f>
        <v/>
      </c>
      <c r="AG770" s="57">
        <f>IF(ISNUMBER(C770),C770,0)</f>
        <v>0.0</v>
      </c>
      <c r="AH770" s="57" t="str">
        <f>IF(N(W770)&gt;0,COUNTIF(W$6:W770,"&gt;0"),"")</f>
        <v/>
      </c>
      <c r="AI770" s="57" t="str">
        <f>IF(Z770=1,COUNTIF(Z$6:Z770,1),"")</f>
        <v/>
      </c>
    </row>
    <row r="771">
      <c r="A771" s="54" t="n"/>
      <c r="B771" s="55" t="str">
        <f>IF(AA771="","",A771&amp;"-"&amp;RIGHT("000"&amp;AA771,4))</f>
        <v/>
      </c>
      <c r="C771" s="56" t="n"/>
      <c r="D771" s="54" t="n"/>
      <c r="E771" s="57" t="str">
        <f>IF(D771="","",IF(A771="BL",IFERROR(INDEX(cl_name,MATCH(D771,cl_code,0))&amp;"","Client inconnu"),IF(A771="BR",IFERROR(INDEX(fo_name,MATCH(D771,fo_code,0))&amp;"","Fournisseur inconnu"),IF(A771="BS",IF(ISNA(MATCH(D771,p_services,0)),"Service inconnu",D771&amp;""),""))))</f>
        <v/>
      </c>
      <c r="F771" s="58" t="n"/>
      <c r="G771" s="58" t="n"/>
      <c r="H771" s="59" t="n"/>
      <c r="I771" s="57" t="str">
        <f>IF(H771="","",IFERROR(INDEX(art_des,MATCH(H771,art_ref,0))&amp;"","Article inconnu"))</f>
        <v/>
      </c>
      <c r="J771" s="60" t="str">
        <f>IF(H771="","",IFERROR(INDEX(art_unit,MATCH(H771,art_ref,0))&amp;"",""))</f>
        <v/>
      </c>
      <c r="K771" s="59" t="n"/>
      <c r="L771" s="59" t="n"/>
      <c r="M771" s="61" t="str">
        <f>IF(OR(B771="",NOT(ISNUMBER(K771)),NOT(ISNUMBER(L771))),"",IF(OR(K771&lt;=0,L771&lt;=0),"",ROUND(L771-K771,6)))</f>
        <v/>
      </c>
      <c r="N771" s="58" t="n"/>
      <c r="O771" s="62" t="n"/>
      <c r="P771" s="63" t="str">
        <f>IF(OR(B771="",NOT(ISNUMBER(L771))),"",IF(L771&lt;=0,"",IFERROR(ROUND(L771*N(INDEX(art_w,MATCH(H771,art_ref,0))),3),"")))</f>
        <v/>
      </c>
      <c r="Q771" s="59" t="n"/>
      <c r="R771" s="54" t="n"/>
      <c r="S771" s="59" t="n"/>
      <c r="T771" s="59" t="n"/>
      <c r="U771" s="64" t="str">
        <f>IF(OR(B771="",H771=""),"",IFERROR(IF(A771="BL",IF(N(INDEX(art_price,MATCH(H771,art_ref,0)))=0,"",N(INDEX(art_price,MATCH(H771,art_ref,0)))),IF(N(INDEX(art_cost,MATCH(H771,art_ref,0)))=0,"",N(INDEX(art_cost,MATCH(H771,art_ref,0))))),""))</f>
        <v/>
      </c>
      <c r="V771" s="64" t="str">
        <f>IF(OR(U771="",NOT(ISNUMBER(L771))),"",IF(L771&lt;=0,"",ROUND(L771*U771,2)))</f>
        <v/>
      </c>
      <c r="W771" s="60" t="str">
        <f>IF(AND(B771&lt;&gt;"",A771&lt;&gt;"BS",F771&lt;&gt;"",H771&lt;&gt;"",ISNUMBER(K771),ISNUMBER(L771)),IF(AND(K771&gt;0,L771&gt;0,K771-L771&gt;0,COUNTIFS(A772:A$2005,A771,F772:F$2005,F771,H772:H$2005,H771,AA772:AA$2005,"&gt;0")=0),ROUND(K771-L771,6),""),"")</f>
        <v/>
      </c>
      <c r="X771" s="60" t="str">
        <f>IF(AND(A771="",C771="",D771="",H771="",L771=""),"",IF(A771="","Type manquant",IF(AND(A771&lt;&gt;"BL",A771&lt;&gt;"BR",A771&lt;&gt;"BS"),"Type inconnu (BL, BR ou BS)",IF(AG771=0,"Date manquante ou invalide",IF(D771="",IF(A771="BL","Client manquant",IF(A771="BR","Fournisseur manquant","Service manquant")),IF(IF(A771="BL",ISNA(MATCH(D771,cl_code,0)),IF(A771="BR",ISNA(MATCH(D771,fo_code,0)),ISNA(MATCH(D771,p_services,0)))),IF(A771="BL","Client inconnu",IF(A771="BR","Fournisseur inconnu","Service inconnu")),IF(H771="","Article manquant",IF(ISNA(MATCH(H771,art_ref,0)),"Article inconnu",IF(OR(NOT(ISNUMBER(L771)),N(L771)&lt;=0),"Quantité invalide",IF(AND(K771&lt;&gt;"",OR(NOT(ISNUMBER(K771)),N(K771)&lt;=0)),"Qté commandée invalide",IF(AG771&lt;SUMPRODUCT(MAX((A$6:A770=A771)*AG$6:AG770)),"Date antérieure au bon précédent",IF(AND(A771&lt;&gt;"BR",ISNUMBER(M771),N(M771)&gt;0),IF(A771="BL","Livré plus que commandé","Sorti plus que demandé"),"OK"))))))))))))</f>
        <v/>
      </c>
      <c r="Y771" s="57" t="str">
        <f>IF(AND(OR(A771="BL",A771="BR",A771="BS"),AG771&gt;0,D771&lt;&gt;""),A771&amp;"|"&amp;AG771&amp;"|"&amp;D771&amp;"|"&amp;F771,"")</f>
        <v/>
      </c>
      <c r="Z771" s="57" t="str">
        <f>IF(Y771="","",IF(COUNTIF(Y$6:Y770,Y771)=0,1,0))</f>
        <v/>
      </c>
      <c r="AA771" s="57" t="str">
        <f>IF(Y771="","",IF(Z771=1,COUNTIFS(A$6:A771,A771,Z$6:Z771,1),INDEX(AA$6:AA770,MATCH(Y771,Y$6:Y770,0))))</f>
        <v/>
      </c>
      <c r="AB771" s="57" t="str">
        <f>IF(B771="","",COUNTIF(B$6:B771,B771))</f>
        <v/>
      </c>
      <c r="AC771" s="57" t="str">
        <f>IF(B771="","",B771&amp;"#"&amp;AB771)</f>
        <v/>
      </c>
      <c r="AD771" s="57" t="str">
        <f>IF(Z771=1,A771&amp;AA771,"")</f>
        <v/>
      </c>
      <c r="AE771" s="57" t="str">
        <f>IF(B771="","",YEAR(C771))</f>
        <v/>
      </c>
      <c r="AF771" s="57" t="str">
        <f>IF(B771="","",MONTH(C771))</f>
        <v/>
      </c>
      <c r="AG771" s="57">
        <f>IF(ISNUMBER(C771),C771,0)</f>
        <v>0.0</v>
      </c>
      <c r="AH771" s="57" t="str">
        <f>IF(N(W771)&gt;0,COUNTIF(W$6:W771,"&gt;0"),"")</f>
        <v/>
      </c>
      <c r="AI771" s="57" t="str">
        <f>IF(Z771=1,COUNTIF(Z$6:Z771,1),"")</f>
        <v/>
      </c>
    </row>
    <row r="772">
      <c r="A772" s="54" t="n"/>
      <c r="B772" s="55" t="str">
        <f>IF(AA772="","",A772&amp;"-"&amp;RIGHT("000"&amp;AA772,4))</f>
        <v/>
      </c>
      <c r="C772" s="56" t="n"/>
      <c r="D772" s="54" t="n"/>
      <c r="E772" s="57" t="str">
        <f>IF(D772="","",IF(A772="BL",IFERROR(INDEX(cl_name,MATCH(D772,cl_code,0))&amp;"","Client inconnu"),IF(A772="BR",IFERROR(INDEX(fo_name,MATCH(D772,fo_code,0))&amp;"","Fournisseur inconnu"),IF(A772="BS",IF(ISNA(MATCH(D772,p_services,0)),"Service inconnu",D772&amp;""),""))))</f>
        <v/>
      </c>
      <c r="F772" s="58" t="n"/>
      <c r="G772" s="58" t="n"/>
      <c r="H772" s="59" t="n"/>
      <c r="I772" s="57" t="str">
        <f>IF(H772="","",IFERROR(INDEX(art_des,MATCH(H772,art_ref,0))&amp;"","Article inconnu"))</f>
        <v/>
      </c>
      <c r="J772" s="60" t="str">
        <f>IF(H772="","",IFERROR(INDEX(art_unit,MATCH(H772,art_ref,0))&amp;"",""))</f>
        <v/>
      </c>
      <c r="K772" s="59" t="n"/>
      <c r="L772" s="59" t="n"/>
      <c r="M772" s="61" t="str">
        <f>IF(OR(B772="",NOT(ISNUMBER(K772)),NOT(ISNUMBER(L772))),"",IF(OR(K772&lt;=0,L772&lt;=0),"",ROUND(L772-K772,6)))</f>
        <v/>
      </c>
      <c r="N772" s="58" t="n"/>
      <c r="O772" s="62" t="n"/>
      <c r="P772" s="63" t="str">
        <f>IF(OR(B772="",NOT(ISNUMBER(L772))),"",IF(L772&lt;=0,"",IFERROR(ROUND(L772*N(INDEX(art_w,MATCH(H772,art_ref,0))),3),"")))</f>
        <v/>
      </c>
      <c r="Q772" s="59" t="n"/>
      <c r="R772" s="54" t="n"/>
      <c r="S772" s="59" t="n"/>
      <c r="T772" s="59" t="n"/>
      <c r="U772" s="64" t="str">
        <f>IF(OR(B772="",H772=""),"",IFERROR(IF(A772="BL",IF(N(INDEX(art_price,MATCH(H772,art_ref,0)))=0,"",N(INDEX(art_price,MATCH(H772,art_ref,0)))),IF(N(INDEX(art_cost,MATCH(H772,art_ref,0)))=0,"",N(INDEX(art_cost,MATCH(H772,art_ref,0))))),""))</f>
        <v/>
      </c>
      <c r="V772" s="64" t="str">
        <f>IF(OR(U772="",NOT(ISNUMBER(L772))),"",IF(L772&lt;=0,"",ROUND(L772*U772,2)))</f>
        <v/>
      </c>
      <c r="W772" s="60" t="str">
        <f>IF(AND(B772&lt;&gt;"",A772&lt;&gt;"BS",F772&lt;&gt;"",H772&lt;&gt;"",ISNUMBER(K772),ISNUMBER(L772)),IF(AND(K772&gt;0,L772&gt;0,K772-L772&gt;0,COUNTIFS(A773:A$2005,A772,F773:F$2005,F772,H773:H$2005,H772,AA773:AA$2005,"&gt;0")=0),ROUND(K772-L772,6),""),"")</f>
        <v/>
      </c>
      <c r="X772" s="60" t="str">
        <f>IF(AND(A772="",C772="",D772="",H772="",L772=""),"",IF(A772="","Type manquant",IF(AND(A772&lt;&gt;"BL",A772&lt;&gt;"BR",A772&lt;&gt;"BS"),"Type inconnu (BL, BR ou BS)",IF(AG772=0,"Date manquante ou invalide",IF(D772="",IF(A772="BL","Client manquant",IF(A772="BR","Fournisseur manquant","Service manquant")),IF(IF(A772="BL",ISNA(MATCH(D772,cl_code,0)),IF(A772="BR",ISNA(MATCH(D772,fo_code,0)),ISNA(MATCH(D772,p_services,0)))),IF(A772="BL","Client inconnu",IF(A772="BR","Fournisseur inconnu","Service inconnu")),IF(H772="","Article manquant",IF(ISNA(MATCH(H772,art_ref,0)),"Article inconnu",IF(OR(NOT(ISNUMBER(L772)),N(L772)&lt;=0),"Quantité invalide",IF(AND(K772&lt;&gt;"",OR(NOT(ISNUMBER(K772)),N(K772)&lt;=0)),"Qté commandée invalide",IF(AG772&lt;SUMPRODUCT(MAX((A$6:A771=A772)*AG$6:AG771)),"Date antérieure au bon précédent",IF(AND(A772&lt;&gt;"BR",ISNUMBER(M772),N(M772)&gt;0),IF(A772="BL","Livré plus que commandé","Sorti plus que demandé"),"OK"))))))))))))</f>
        <v/>
      </c>
      <c r="Y772" s="57" t="str">
        <f>IF(AND(OR(A772="BL",A772="BR",A772="BS"),AG772&gt;0,D772&lt;&gt;""),A772&amp;"|"&amp;AG772&amp;"|"&amp;D772&amp;"|"&amp;F772,"")</f>
        <v/>
      </c>
      <c r="Z772" s="57" t="str">
        <f>IF(Y772="","",IF(COUNTIF(Y$6:Y771,Y772)=0,1,0))</f>
        <v/>
      </c>
      <c r="AA772" s="57" t="str">
        <f>IF(Y772="","",IF(Z772=1,COUNTIFS(A$6:A772,A772,Z$6:Z772,1),INDEX(AA$6:AA771,MATCH(Y772,Y$6:Y771,0))))</f>
        <v/>
      </c>
      <c r="AB772" s="57" t="str">
        <f>IF(B772="","",COUNTIF(B$6:B772,B772))</f>
        <v/>
      </c>
      <c r="AC772" s="57" t="str">
        <f>IF(B772="","",B772&amp;"#"&amp;AB772)</f>
        <v/>
      </c>
      <c r="AD772" s="57" t="str">
        <f>IF(Z772=1,A772&amp;AA772,"")</f>
        <v/>
      </c>
      <c r="AE772" s="57" t="str">
        <f>IF(B772="","",YEAR(C772))</f>
        <v/>
      </c>
      <c r="AF772" s="57" t="str">
        <f>IF(B772="","",MONTH(C772))</f>
        <v/>
      </c>
      <c r="AG772" s="57">
        <f>IF(ISNUMBER(C772),C772,0)</f>
        <v>0.0</v>
      </c>
      <c r="AH772" s="57" t="str">
        <f>IF(N(W772)&gt;0,COUNTIF(W$6:W772,"&gt;0"),"")</f>
        <v/>
      </c>
      <c r="AI772" s="57" t="str">
        <f>IF(Z772=1,COUNTIF(Z$6:Z772,1),"")</f>
        <v/>
      </c>
    </row>
    <row r="773">
      <c r="A773" s="54" t="n"/>
      <c r="B773" s="55" t="str">
        <f>IF(AA773="","",A773&amp;"-"&amp;RIGHT("000"&amp;AA773,4))</f>
        <v/>
      </c>
      <c r="C773" s="56" t="n"/>
      <c r="D773" s="54" t="n"/>
      <c r="E773" s="57" t="str">
        <f>IF(D773="","",IF(A773="BL",IFERROR(INDEX(cl_name,MATCH(D773,cl_code,0))&amp;"","Client inconnu"),IF(A773="BR",IFERROR(INDEX(fo_name,MATCH(D773,fo_code,0))&amp;"","Fournisseur inconnu"),IF(A773="BS",IF(ISNA(MATCH(D773,p_services,0)),"Service inconnu",D773&amp;""),""))))</f>
        <v/>
      </c>
      <c r="F773" s="58" t="n"/>
      <c r="G773" s="58" t="n"/>
      <c r="H773" s="59" t="n"/>
      <c r="I773" s="57" t="str">
        <f>IF(H773="","",IFERROR(INDEX(art_des,MATCH(H773,art_ref,0))&amp;"","Article inconnu"))</f>
        <v/>
      </c>
      <c r="J773" s="60" t="str">
        <f>IF(H773="","",IFERROR(INDEX(art_unit,MATCH(H773,art_ref,0))&amp;"",""))</f>
        <v/>
      </c>
      <c r="K773" s="59" t="n"/>
      <c r="L773" s="59" t="n"/>
      <c r="M773" s="61" t="str">
        <f>IF(OR(B773="",NOT(ISNUMBER(K773)),NOT(ISNUMBER(L773))),"",IF(OR(K773&lt;=0,L773&lt;=0),"",ROUND(L773-K773,6)))</f>
        <v/>
      </c>
      <c r="N773" s="58" t="n"/>
      <c r="O773" s="62" t="n"/>
      <c r="P773" s="63" t="str">
        <f>IF(OR(B773="",NOT(ISNUMBER(L773))),"",IF(L773&lt;=0,"",IFERROR(ROUND(L773*N(INDEX(art_w,MATCH(H773,art_ref,0))),3),"")))</f>
        <v/>
      </c>
      <c r="Q773" s="59" t="n"/>
      <c r="R773" s="54" t="n"/>
      <c r="S773" s="59" t="n"/>
      <c r="T773" s="59" t="n"/>
      <c r="U773" s="64" t="str">
        <f>IF(OR(B773="",H773=""),"",IFERROR(IF(A773="BL",IF(N(INDEX(art_price,MATCH(H773,art_ref,0)))=0,"",N(INDEX(art_price,MATCH(H773,art_ref,0)))),IF(N(INDEX(art_cost,MATCH(H773,art_ref,0)))=0,"",N(INDEX(art_cost,MATCH(H773,art_ref,0))))),""))</f>
        <v/>
      </c>
      <c r="V773" s="64" t="str">
        <f>IF(OR(U773="",NOT(ISNUMBER(L773))),"",IF(L773&lt;=0,"",ROUND(L773*U773,2)))</f>
        <v/>
      </c>
      <c r="W773" s="60" t="str">
        <f>IF(AND(B773&lt;&gt;"",A773&lt;&gt;"BS",F773&lt;&gt;"",H773&lt;&gt;"",ISNUMBER(K773),ISNUMBER(L773)),IF(AND(K773&gt;0,L773&gt;0,K773-L773&gt;0,COUNTIFS(A774:A$2005,A773,F774:F$2005,F773,H774:H$2005,H773,AA774:AA$2005,"&gt;0")=0),ROUND(K773-L773,6),""),"")</f>
        <v/>
      </c>
      <c r="X773" s="60" t="str">
        <f>IF(AND(A773="",C773="",D773="",H773="",L773=""),"",IF(A773="","Type manquant",IF(AND(A773&lt;&gt;"BL",A773&lt;&gt;"BR",A773&lt;&gt;"BS"),"Type inconnu (BL, BR ou BS)",IF(AG773=0,"Date manquante ou invalide",IF(D773="",IF(A773="BL","Client manquant",IF(A773="BR","Fournisseur manquant","Service manquant")),IF(IF(A773="BL",ISNA(MATCH(D773,cl_code,0)),IF(A773="BR",ISNA(MATCH(D773,fo_code,0)),ISNA(MATCH(D773,p_services,0)))),IF(A773="BL","Client inconnu",IF(A773="BR","Fournisseur inconnu","Service inconnu")),IF(H773="","Article manquant",IF(ISNA(MATCH(H773,art_ref,0)),"Article inconnu",IF(OR(NOT(ISNUMBER(L773)),N(L773)&lt;=0),"Quantité invalide",IF(AND(K773&lt;&gt;"",OR(NOT(ISNUMBER(K773)),N(K773)&lt;=0)),"Qté commandée invalide",IF(AG773&lt;SUMPRODUCT(MAX((A$6:A772=A773)*AG$6:AG772)),"Date antérieure au bon précédent",IF(AND(A773&lt;&gt;"BR",ISNUMBER(M773),N(M773)&gt;0),IF(A773="BL","Livré plus que commandé","Sorti plus que demandé"),"OK"))))))))))))</f>
        <v/>
      </c>
      <c r="Y773" s="57" t="str">
        <f>IF(AND(OR(A773="BL",A773="BR",A773="BS"),AG773&gt;0,D773&lt;&gt;""),A773&amp;"|"&amp;AG773&amp;"|"&amp;D773&amp;"|"&amp;F773,"")</f>
        <v/>
      </c>
      <c r="Z773" s="57" t="str">
        <f>IF(Y773="","",IF(COUNTIF(Y$6:Y772,Y773)=0,1,0))</f>
        <v/>
      </c>
      <c r="AA773" s="57" t="str">
        <f>IF(Y773="","",IF(Z773=1,COUNTIFS(A$6:A773,A773,Z$6:Z773,1),INDEX(AA$6:AA772,MATCH(Y773,Y$6:Y772,0))))</f>
        <v/>
      </c>
      <c r="AB773" s="57" t="str">
        <f>IF(B773="","",COUNTIF(B$6:B773,B773))</f>
        <v/>
      </c>
      <c r="AC773" s="57" t="str">
        <f>IF(B773="","",B773&amp;"#"&amp;AB773)</f>
        <v/>
      </c>
      <c r="AD773" s="57" t="str">
        <f>IF(Z773=1,A773&amp;AA773,"")</f>
        <v/>
      </c>
      <c r="AE773" s="57" t="str">
        <f>IF(B773="","",YEAR(C773))</f>
        <v/>
      </c>
      <c r="AF773" s="57" t="str">
        <f>IF(B773="","",MONTH(C773))</f>
        <v/>
      </c>
      <c r="AG773" s="57">
        <f>IF(ISNUMBER(C773),C773,0)</f>
        <v>0.0</v>
      </c>
      <c r="AH773" s="57" t="str">
        <f>IF(N(W773)&gt;0,COUNTIF(W$6:W773,"&gt;0"),"")</f>
        <v/>
      </c>
      <c r="AI773" s="57" t="str">
        <f>IF(Z773=1,COUNTIF(Z$6:Z773,1),"")</f>
        <v/>
      </c>
    </row>
    <row r="774">
      <c r="A774" s="54" t="n"/>
      <c r="B774" s="55" t="str">
        <f>IF(AA774="","",A774&amp;"-"&amp;RIGHT("000"&amp;AA774,4))</f>
        <v/>
      </c>
      <c r="C774" s="56" t="n"/>
      <c r="D774" s="54" t="n"/>
      <c r="E774" s="57" t="str">
        <f>IF(D774="","",IF(A774="BL",IFERROR(INDEX(cl_name,MATCH(D774,cl_code,0))&amp;"","Client inconnu"),IF(A774="BR",IFERROR(INDEX(fo_name,MATCH(D774,fo_code,0))&amp;"","Fournisseur inconnu"),IF(A774="BS",IF(ISNA(MATCH(D774,p_services,0)),"Service inconnu",D774&amp;""),""))))</f>
        <v/>
      </c>
      <c r="F774" s="58" t="n"/>
      <c r="G774" s="58" t="n"/>
      <c r="H774" s="59" t="n"/>
      <c r="I774" s="57" t="str">
        <f>IF(H774="","",IFERROR(INDEX(art_des,MATCH(H774,art_ref,0))&amp;"","Article inconnu"))</f>
        <v/>
      </c>
      <c r="J774" s="60" t="str">
        <f>IF(H774="","",IFERROR(INDEX(art_unit,MATCH(H774,art_ref,0))&amp;"",""))</f>
        <v/>
      </c>
      <c r="K774" s="59" t="n"/>
      <c r="L774" s="59" t="n"/>
      <c r="M774" s="61" t="str">
        <f>IF(OR(B774="",NOT(ISNUMBER(K774)),NOT(ISNUMBER(L774))),"",IF(OR(K774&lt;=0,L774&lt;=0),"",ROUND(L774-K774,6)))</f>
        <v/>
      </c>
      <c r="N774" s="58" t="n"/>
      <c r="O774" s="62" t="n"/>
      <c r="P774" s="63" t="str">
        <f>IF(OR(B774="",NOT(ISNUMBER(L774))),"",IF(L774&lt;=0,"",IFERROR(ROUND(L774*N(INDEX(art_w,MATCH(H774,art_ref,0))),3),"")))</f>
        <v/>
      </c>
      <c r="Q774" s="59" t="n"/>
      <c r="R774" s="54" t="n"/>
      <c r="S774" s="59" t="n"/>
      <c r="T774" s="59" t="n"/>
      <c r="U774" s="64" t="str">
        <f>IF(OR(B774="",H774=""),"",IFERROR(IF(A774="BL",IF(N(INDEX(art_price,MATCH(H774,art_ref,0)))=0,"",N(INDEX(art_price,MATCH(H774,art_ref,0)))),IF(N(INDEX(art_cost,MATCH(H774,art_ref,0)))=0,"",N(INDEX(art_cost,MATCH(H774,art_ref,0))))),""))</f>
        <v/>
      </c>
      <c r="V774" s="64" t="str">
        <f>IF(OR(U774="",NOT(ISNUMBER(L774))),"",IF(L774&lt;=0,"",ROUND(L774*U774,2)))</f>
        <v/>
      </c>
      <c r="W774" s="60" t="str">
        <f>IF(AND(B774&lt;&gt;"",A774&lt;&gt;"BS",F774&lt;&gt;"",H774&lt;&gt;"",ISNUMBER(K774),ISNUMBER(L774)),IF(AND(K774&gt;0,L774&gt;0,K774-L774&gt;0,COUNTIFS(A775:A$2005,A774,F775:F$2005,F774,H775:H$2005,H774,AA775:AA$2005,"&gt;0")=0),ROUND(K774-L774,6),""),"")</f>
        <v/>
      </c>
      <c r="X774" s="60" t="str">
        <f>IF(AND(A774="",C774="",D774="",H774="",L774=""),"",IF(A774="","Type manquant",IF(AND(A774&lt;&gt;"BL",A774&lt;&gt;"BR",A774&lt;&gt;"BS"),"Type inconnu (BL, BR ou BS)",IF(AG774=0,"Date manquante ou invalide",IF(D774="",IF(A774="BL","Client manquant",IF(A774="BR","Fournisseur manquant","Service manquant")),IF(IF(A774="BL",ISNA(MATCH(D774,cl_code,0)),IF(A774="BR",ISNA(MATCH(D774,fo_code,0)),ISNA(MATCH(D774,p_services,0)))),IF(A774="BL","Client inconnu",IF(A774="BR","Fournisseur inconnu","Service inconnu")),IF(H774="","Article manquant",IF(ISNA(MATCH(H774,art_ref,0)),"Article inconnu",IF(OR(NOT(ISNUMBER(L774)),N(L774)&lt;=0),"Quantité invalide",IF(AND(K774&lt;&gt;"",OR(NOT(ISNUMBER(K774)),N(K774)&lt;=0)),"Qté commandée invalide",IF(AG774&lt;SUMPRODUCT(MAX((A$6:A773=A774)*AG$6:AG773)),"Date antérieure au bon précédent",IF(AND(A774&lt;&gt;"BR",ISNUMBER(M774),N(M774)&gt;0),IF(A774="BL","Livré plus que commandé","Sorti plus que demandé"),"OK"))))))))))))</f>
        <v/>
      </c>
      <c r="Y774" s="57" t="str">
        <f>IF(AND(OR(A774="BL",A774="BR",A774="BS"),AG774&gt;0,D774&lt;&gt;""),A774&amp;"|"&amp;AG774&amp;"|"&amp;D774&amp;"|"&amp;F774,"")</f>
        <v/>
      </c>
      <c r="Z774" s="57" t="str">
        <f>IF(Y774="","",IF(COUNTIF(Y$6:Y773,Y774)=0,1,0))</f>
        <v/>
      </c>
      <c r="AA774" s="57" t="str">
        <f>IF(Y774="","",IF(Z774=1,COUNTIFS(A$6:A774,A774,Z$6:Z774,1),INDEX(AA$6:AA773,MATCH(Y774,Y$6:Y773,0))))</f>
        <v/>
      </c>
      <c r="AB774" s="57" t="str">
        <f>IF(B774="","",COUNTIF(B$6:B774,B774))</f>
        <v/>
      </c>
      <c r="AC774" s="57" t="str">
        <f>IF(B774="","",B774&amp;"#"&amp;AB774)</f>
        <v/>
      </c>
      <c r="AD774" s="57" t="str">
        <f>IF(Z774=1,A774&amp;AA774,"")</f>
        <v/>
      </c>
      <c r="AE774" s="57" t="str">
        <f>IF(B774="","",YEAR(C774))</f>
        <v/>
      </c>
      <c r="AF774" s="57" t="str">
        <f>IF(B774="","",MONTH(C774))</f>
        <v/>
      </c>
      <c r="AG774" s="57">
        <f>IF(ISNUMBER(C774),C774,0)</f>
        <v>0.0</v>
      </c>
      <c r="AH774" s="57" t="str">
        <f>IF(N(W774)&gt;0,COUNTIF(W$6:W774,"&gt;0"),"")</f>
        <v/>
      </c>
      <c r="AI774" s="57" t="str">
        <f>IF(Z774=1,COUNTIF(Z$6:Z774,1),"")</f>
        <v/>
      </c>
    </row>
    <row r="775">
      <c r="A775" s="54" t="n"/>
      <c r="B775" s="55" t="str">
        <f>IF(AA775="","",A775&amp;"-"&amp;RIGHT("000"&amp;AA775,4))</f>
        <v/>
      </c>
      <c r="C775" s="56" t="n"/>
      <c r="D775" s="54" t="n"/>
      <c r="E775" s="57" t="str">
        <f>IF(D775="","",IF(A775="BL",IFERROR(INDEX(cl_name,MATCH(D775,cl_code,0))&amp;"","Client inconnu"),IF(A775="BR",IFERROR(INDEX(fo_name,MATCH(D775,fo_code,0))&amp;"","Fournisseur inconnu"),IF(A775="BS",IF(ISNA(MATCH(D775,p_services,0)),"Service inconnu",D775&amp;""),""))))</f>
        <v/>
      </c>
      <c r="F775" s="58" t="n"/>
      <c r="G775" s="58" t="n"/>
      <c r="H775" s="59" t="n"/>
      <c r="I775" s="57" t="str">
        <f>IF(H775="","",IFERROR(INDEX(art_des,MATCH(H775,art_ref,0))&amp;"","Article inconnu"))</f>
        <v/>
      </c>
      <c r="J775" s="60" t="str">
        <f>IF(H775="","",IFERROR(INDEX(art_unit,MATCH(H775,art_ref,0))&amp;"",""))</f>
        <v/>
      </c>
      <c r="K775" s="59" t="n"/>
      <c r="L775" s="59" t="n"/>
      <c r="M775" s="61" t="str">
        <f>IF(OR(B775="",NOT(ISNUMBER(K775)),NOT(ISNUMBER(L775))),"",IF(OR(K775&lt;=0,L775&lt;=0),"",ROUND(L775-K775,6)))</f>
        <v/>
      </c>
      <c r="N775" s="58" t="n"/>
      <c r="O775" s="62" t="n"/>
      <c r="P775" s="63" t="str">
        <f>IF(OR(B775="",NOT(ISNUMBER(L775))),"",IF(L775&lt;=0,"",IFERROR(ROUND(L775*N(INDEX(art_w,MATCH(H775,art_ref,0))),3),"")))</f>
        <v/>
      </c>
      <c r="Q775" s="59" t="n"/>
      <c r="R775" s="54" t="n"/>
      <c r="S775" s="59" t="n"/>
      <c r="T775" s="59" t="n"/>
      <c r="U775" s="64" t="str">
        <f>IF(OR(B775="",H775=""),"",IFERROR(IF(A775="BL",IF(N(INDEX(art_price,MATCH(H775,art_ref,0)))=0,"",N(INDEX(art_price,MATCH(H775,art_ref,0)))),IF(N(INDEX(art_cost,MATCH(H775,art_ref,0)))=0,"",N(INDEX(art_cost,MATCH(H775,art_ref,0))))),""))</f>
        <v/>
      </c>
      <c r="V775" s="64" t="str">
        <f>IF(OR(U775="",NOT(ISNUMBER(L775))),"",IF(L775&lt;=0,"",ROUND(L775*U775,2)))</f>
        <v/>
      </c>
      <c r="W775" s="60" t="str">
        <f>IF(AND(B775&lt;&gt;"",A775&lt;&gt;"BS",F775&lt;&gt;"",H775&lt;&gt;"",ISNUMBER(K775),ISNUMBER(L775)),IF(AND(K775&gt;0,L775&gt;0,K775-L775&gt;0,COUNTIFS(A776:A$2005,A775,F776:F$2005,F775,H776:H$2005,H775,AA776:AA$2005,"&gt;0")=0),ROUND(K775-L775,6),""),"")</f>
        <v/>
      </c>
      <c r="X775" s="60" t="str">
        <f>IF(AND(A775="",C775="",D775="",H775="",L775=""),"",IF(A775="","Type manquant",IF(AND(A775&lt;&gt;"BL",A775&lt;&gt;"BR",A775&lt;&gt;"BS"),"Type inconnu (BL, BR ou BS)",IF(AG775=0,"Date manquante ou invalide",IF(D775="",IF(A775="BL","Client manquant",IF(A775="BR","Fournisseur manquant","Service manquant")),IF(IF(A775="BL",ISNA(MATCH(D775,cl_code,0)),IF(A775="BR",ISNA(MATCH(D775,fo_code,0)),ISNA(MATCH(D775,p_services,0)))),IF(A775="BL","Client inconnu",IF(A775="BR","Fournisseur inconnu","Service inconnu")),IF(H775="","Article manquant",IF(ISNA(MATCH(H775,art_ref,0)),"Article inconnu",IF(OR(NOT(ISNUMBER(L775)),N(L775)&lt;=0),"Quantité invalide",IF(AND(K775&lt;&gt;"",OR(NOT(ISNUMBER(K775)),N(K775)&lt;=0)),"Qté commandée invalide",IF(AG775&lt;SUMPRODUCT(MAX((A$6:A774=A775)*AG$6:AG774)),"Date antérieure au bon précédent",IF(AND(A775&lt;&gt;"BR",ISNUMBER(M775),N(M775)&gt;0),IF(A775="BL","Livré plus que commandé","Sorti plus que demandé"),"OK"))))))))))))</f>
        <v/>
      </c>
      <c r="Y775" s="57" t="str">
        <f>IF(AND(OR(A775="BL",A775="BR",A775="BS"),AG775&gt;0,D775&lt;&gt;""),A775&amp;"|"&amp;AG775&amp;"|"&amp;D775&amp;"|"&amp;F775,"")</f>
        <v/>
      </c>
      <c r="Z775" s="57" t="str">
        <f>IF(Y775="","",IF(COUNTIF(Y$6:Y774,Y775)=0,1,0))</f>
        <v/>
      </c>
      <c r="AA775" s="57" t="str">
        <f>IF(Y775="","",IF(Z775=1,COUNTIFS(A$6:A775,A775,Z$6:Z775,1),INDEX(AA$6:AA774,MATCH(Y775,Y$6:Y774,0))))</f>
        <v/>
      </c>
      <c r="AB775" s="57" t="str">
        <f>IF(B775="","",COUNTIF(B$6:B775,B775))</f>
        <v/>
      </c>
      <c r="AC775" s="57" t="str">
        <f>IF(B775="","",B775&amp;"#"&amp;AB775)</f>
        <v/>
      </c>
      <c r="AD775" s="57" t="str">
        <f>IF(Z775=1,A775&amp;AA775,"")</f>
        <v/>
      </c>
      <c r="AE775" s="57" t="str">
        <f>IF(B775="","",YEAR(C775))</f>
        <v/>
      </c>
      <c r="AF775" s="57" t="str">
        <f>IF(B775="","",MONTH(C775))</f>
        <v/>
      </c>
      <c r="AG775" s="57">
        <f>IF(ISNUMBER(C775),C775,0)</f>
        <v>0.0</v>
      </c>
      <c r="AH775" s="57" t="str">
        <f>IF(N(W775)&gt;0,COUNTIF(W$6:W775,"&gt;0"),"")</f>
        <v/>
      </c>
      <c r="AI775" s="57" t="str">
        <f>IF(Z775=1,COUNTIF(Z$6:Z775,1),"")</f>
        <v/>
      </c>
    </row>
    <row r="776">
      <c r="A776" s="54" t="n"/>
      <c r="B776" s="55" t="str">
        <f>IF(AA776="","",A776&amp;"-"&amp;RIGHT("000"&amp;AA776,4))</f>
        <v/>
      </c>
      <c r="C776" s="56" t="n"/>
      <c r="D776" s="54" t="n"/>
      <c r="E776" s="57" t="str">
        <f>IF(D776="","",IF(A776="BL",IFERROR(INDEX(cl_name,MATCH(D776,cl_code,0))&amp;"","Client inconnu"),IF(A776="BR",IFERROR(INDEX(fo_name,MATCH(D776,fo_code,0))&amp;"","Fournisseur inconnu"),IF(A776="BS",IF(ISNA(MATCH(D776,p_services,0)),"Service inconnu",D776&amp;""),""))))</f>
        <v/>
      </c>
      <c r="F776" s="58" t="n"/>
      <c r="G776" s="58" t="n"/>
      <c r="H776" s="59" t="n"/>
      <c r="I776" s="57" t="str">
        <f>IF(H776="","",IFERROR(INDEX(art_des,MATCH(H776,art_ref,0))&amp;"","Article inconnu"))</f>
        <v/>
      </c>
      <c r="J776" s="60" t="str">
        <f>IF(H776="","",IFERROR(INDEX(art_unit,MATCH(H776,art_ref,0))&amp;"",""))</f>
        <v/>
      </c>
      <c r="K776" s="59" t="n"/>
      <c r="L776" s="59" t="n"/>
      <c r="M776" s="61" t="str">
        <f>IF(OR(B776="",NOT(ISNUMBER(K776)),NOT(ISNUMBER(L776))),"",IF(OR(K776&lt;=0,L776&lt;=0),"",ROUND(L776-K776,6)))</f>
        <v/>
      </c>
      <c r="N776" s="58" t="n"/>
      <c r="O776" s="62" t="n"/>
      <c r="P776" s="63" t="str">
        <f>IF(OR(B776="",NOT(ISNUMBER(L776))),"",IF(L776&lt;=0,"",IFERROR(ROUND(L776*N(INDEX(art_w,MATCH(H776,art_ref,0))),3),"")))</f>
        <v/>
      </c>
      <c r="Q776" s="59" t="n"/>
      <c r="R776" s="54" t="n"/>
      <c r="S776" s="59" t="n"/>
      <c r="T776" s="59" t="n"/>
      <c r="U776" s="64" t="str">
        <f>IF(OR(B776="",H776=""),"",IFERROR(IF(A776="BL",IF(N(INDEX(art_price,MATCH(H776,art_ref,0)))=0,"",N(INDEX(art_price,MATCH(H776,art_ref,0)))),IF(N(INDEX(art_cost,MATCH(H776,art_ref,0)))=0,"",N(INDEX(art_cost,MATCH(H776,art_ref,0))))),""))</f>
        <v/>
      </c>
      <c r="V776" s="64" t="str">
        <f>IF(OR(U776="",NOT(ISNUMBER(L776))),"",IF(L776&lt;=0,"",ROUND(L776*U776,2)))</f>
        <v/>
      </c>
      <c r="W776" s="60" t="str">
        <f>IF(AND(B776&lt;&gt;"",A776&lt;&gt;"BS",F776&lt;&gt;"",H776&lt;&gt;"",ISNUMBER(K776),ISNUMBER(L776)),IF(AND(K776&gt;0,L776&gt;0,K776-L776&gt;0,COUNTIFS(A777:A$2005,A776,F777:F$2005,F776,H777:H$2005,H776,AA777:AA$2005,"&gt;0")=0),ROUND(K776-L776,6),""),"")</f>
        <v/>
      </c>
      <c r="X776" s="60" t="str">
        <f>IF(AND(A776="",C776="",D776="",H776="",L776=""),"",IF(A776="","Type manquant",IF(AND(A776&lt;&gt;"BL",A776&lt;&gt;"BR",A776&lt;&gt;"BS"),"Type inconnu (BL, BR ou BS)",IF(AG776=0,"Date manquante ou invalide",IF(D776="",IF(A776="BL","Client manquant",IF(A776="BR","Fournisseur manquant","Service manquant")),IF(IF(A776="BL",ISNA(MATCH(D776,cl_code,0)),IF(A776="BR",ISNA(MATCH(D776,fo_code,0)),ISNA(MATCH(D776,p_services,0)))),IF(A776="BL","Client inconnu",IF(A776="BR","Fournisseur inconnu","Service inconnu")),IF(H776="","Article manquant",IF(ISNA(MATCH(H776,art_ref,0)),"Article inconnu",IF(OR(NOT(ISNUMBER(L776)),N(L776)&lt;=0),"Quantité invalide",IF(AND(K776&lt;&gt;"",OR(NOT(ISNUMBER(K776)),N(K776)&lt;=0)),"Qté commandée invalide",IF(AG776&lt;SUMPRODUCT(MAX((A$6:A775=A776)*AG$6:AG775)),"Date antérieure au bon précédent",IF(AND(A776&lt;&gt;"BR",ISNUMBER(M776),N(M776)&gt;0),IF(A776="BL","Livré plus que commandé","Sorti plus que demandé"),"OK"))))))))))))</f>
        <v/>
      </c>
      <c r="Y776" s="57" t="str">
        <f>IF(AND(OR(A776="BL",A776="BR",A776="BS"),AG776&gt;0,D776&lt;&gt;""),A776&amp;"|"&amp;AG776&amp;"|"&amp;D776&amp;"|"&amp;F776,"")</f>
        <v/>
      </c>
      <c r="Z776" s="57" t="str">
        <f>IF(Y776="","",IF(COUNTIF(Y$6:Y775,Y776)=0,1,0))</f>
        <v/>
      </c>
      <c r="AA776" s="57" t="str">
        <f>IF(Y776="","",IF(Z776=1,COUNTIFS(A$6:A776,A776,Z$6:Z776,1),INDEX(AA$6:AA775,MATCH(Y776,Y$6:Y775,0))))</f>
        <v/>
      </c>
      <c r="AB776" s="57" t="str">
        <f>IF(B776="","",COUNTIF(B$6:B776,B776))</f>
        <v/>
      </c>
      <c r="AC776" s="57" t="str">
        <f>IF(B776="","",B776&amp;"#"&amp;AB776)</f>
        <v/>
      </c>
      <c r="AD776" s="57" t="str">
        <f>IF(Z776=1,A776&amp;AA776,"")</f>
        <v/>
      </c>
      <c r="AE776" s="57" t="str">
        <f>IF(B776="","",YEAR(C776))</f>
        <v/>
      </c>
      <c r="AF776" s="57" t="str">
        <f>IF(B776="","",MONTH(C776))</f>
        <v/>
      </c>
      <c r="AG776" s="57">
        <f>IF(ISNUMBER(C776),C776,0)</f>
        <v>0.0</v>
      </c>
      <c r="AH776" s="57" t="str">
        <f>IF(N(W776)&gt;0,COUNTIF(W$6:W776,"&gt;0"),"")</f>
        <v/>
      </c>
      <c r="AI776" s="57" t="str">
        <f>IF(Z776=1,COUNTIF(Z$6:Z776,1),"")</f>
        <v/>
      </c>
    </row>
    <row r="777">
      <c r="A777" s="54" t="n"/>
      <c r="B777" s="55" t="str">
        <f>IF(AA777="","",A777&amp;"-"&amp;RIGHT("000"&amp;AA777,4))</f>
        <v/>
      </c>
      <c r="C777" s="56" t="n"/>
      <c r="D777" s="54" t="n"/>
      <c r="E777" s="57" t="str">
        <f>IF(D777="","",IF(A777="BL",IFERROR(INDEX(cl_name,MATCH(D777,cl_code,0))&amp;"","Client inconnu"),IF(A777="BR",IFERROR(INDEX(fo_name,MATCH(D777,fo_code,0))&amp;"","Fournisseur inconnu"),IF(A777="BS",IF(ISNA(MATCH(D777,p_services,0)),"Service inconnu",D777&amp;""),""))))</f>
        <v/>
      </c>
      <c r="F777" s="58" t="n"/>
      <c r="G777" s="58" t="n"/>
      <c r="H777" s="59" t="n"/>
      <c r="I777" s="57" t="str">
        <f>IF(H777="","",IFERROR(INDEX(art_des,MATCH(H777,art_ref,0))&amp;"","Article inconnu"))</f>
        <v/>
      </c>
      <c r="J777" s="60" t="str">
        <f>IF(H777="","",IFERROR(INDEX(art_unit,MATCH(H777,art_ref,0))&amp;"",""))</f>
        <v/>
      </c>
      <c r="K777" s="59" t="n"/>
      <c r="L777" s="59" t="n"/>
      <c r="M777" s="61" t="str">
        <f>IF(OR(B777="",NOT(ISNUMBER(K777)),NOT(ISNUMBER(L777))),"",IF(OR(K777&lt;=0,L777&lt;=0),"",ROUND(L777-K777,6)))</f>
        <v/>
      </c>
      <c r="N777" s="58" t="n"/>
      <c r="O777" s="62" t="n"/>
      <c r="P777" s="63" t="str">
        <f>IF(OR(B777="",NOT(ISNUMBER(L777))),"",IF(L777&lt;=0,"",IFERROR(ROUND(L777*N(INDEX(art_w,MATCH(H777,art_ref,0))),3),"")))</f>
        <v/>
      </c>
      <c r="Q777" s="59" t="n"/>
      <c r="R777" s="54" t="n"/>
      <c r="S777" s="59" t="n"/>
      <c r="T777" s="59" t="n"/>
      <c r="U777" s="64" t="str">
        <f>IF(OR(B777="",H777=""),"",IFERROR(IF(A777="BL",IF(N(INDEX(art_price,MATCH(H777,art_ref,0)))=0,"",N(INDEX(art_price,MATCH(H777,art_ref,0)))),IF(N(INDEX(art_cost,MATCH(H777,art_ref,0)))=0,"",N(INDEX(art_cost,MATCH(H777,art_ref,0))))),""))</f>
        <v/>
      </c>
      <c r="V777" s="64" t="str">
        <f>IF(OR(U777="",NOT(ISNUMBER(L777))),"",IF(L777&lt;=0,"",ROUND(L777*U777,2)))</f>
        <v/>
      </c>
      <c r="W777" s="60" t="str">
        <f>IF(AND(B777&lt;&gt;"",A777&lt;&gt;"BS",F777&lt;&gt;"",H777&lt;&gt;"",ISNUMBER(K777),ISNUMBER(L777)),IF(AND(K777&gt;0,L777&gt;0,K777-L777&gt;0,COUNTIFS(A778:A$2005,A777,F778:F$2005,F777,H778:H$2005,H777,AA778:AA$2005,"&gt;0")=0),ROUND(K777-L777,6),""),"")</f>
        <v/>
      </c>
      <c r="X777" s="60" t="str">
        <f>IF(AND(A777="",C777="",D777="",H777="",L777=""),"",IF(A777="","Type manquant",IF(AND(A777&lt;&gt;"BL",A777&lt;&gt;"BR",A777&lt;&gt;"BS"),"Type inconnu (BL, BR ou BS)",IF(AG777=0,"Date manquante ou invalide",IF(D777="",IF(A777="BL","Client manquant",IF(A777="BR","Fournisseur manquant","Service manquant")),IF(IF(A777="BL",ISNA(MATCH(D777,cl_code,0)),IF(A777="BR",ISNA(MATCH(D777,fo_code,0)),ISNA(MATCH(D777,p_services,0)))),IF(A777="BL","Client inconnu",IF(A777="BR","Fournisseur inconnu","Service inconnu")),IF(H777="","Article manquant",IF(ISNA(MATCH(H777,art_ref,0)),"Article inconnu",IF(OR(NOT(ISNUMBER(L777)),N(L777)&lt;=0),"Quantité invalide",IF(AND(K777&lt;&gt;"",OR(NOT(ISNUMBER(K777)),N(K777)&lt;=0)),"Qté commandée invalide",IF(AG777&lt;SUMPRODUCT(MAX((A$6:A776=A777)*AG$6:AG776)),"Date antérieure au bon précédent",IF(AND(A777&lt;&gt;"BR",ISNUMBER(M777),N(M777)&gt;0),IF(A777="BL","Livré plus que commandé","Sorti plus que demandé"),"OK"))))))))))))</f>
        <v/>
      </c>
      <c r="Y777" s="57" t="str">
        <f>IF(AND(OR(A777="BL",A777="BR",A777="BS"),AG777&gt;0,D777&lt;&gt;""),A777&amp;"|"&amp;AG777&amp;"|"&amp;D777&amp;"|"&amp;F777,"")</f>
        <v/>
      </c>
      <c r="Z777" s="57" t="str">
        <f>IF(Y777="","",IF(COUNTIF(Y$6:Y776,Y777)=0,1,0))</f>
        <v/>
      </c>
      <c r="AA777" s="57" t="str">
        <f>IF(Y777="","",IF(Z777=1,COUNTIFS(A$6:A777,A777,Z$6:Z777,1),INDEX(AA$6:AA776,MATCH(Y777,Y$6:Y776,0))))</f>
        <v/>
      </c>
      <c r="AB777" s="57" t="str">
        <f>IF(B777="","",COUNTIF(B$6:B777,B777))</f>
        <v/>
      </c>
      <c r="AC777" s="57" t="str">
        <f>IF(B777="","",B777&amp;"#"&amp;AB777)</f>
        <v/>
      </c>
      <c r="AD777" s="57" t="str">
        <f>IF(Z777=1,A777&amp;AA777,"")</f>
        <v/>
      </c>
      <c r="AE777" s="57" t="str">
        <f>IF(B777="","",YEAR(C777))</f>
        <v/>
      </c>
      <c r="AF777" s="57" t="str">
        <f>IF(B777="","",MONTH(C777))</f>
        <v/>
      </c>
      <c r="AG777" s="57">
        <f>IF(ISNUMBER(C777),C777,0)</f>
        <v>0.0</v>
      </c>
      <c r="AH777" s="57" t="str">
        <f>IF(N(W777)&gt;0,COUNTIF(W$6:W777,"&gt;0"),"")</f>
        <v/>
      </c>
      <c r="AI777" s="57" t="str">
        <f>IF(Z777=1,COUNTIF(Z$6:Z777,1),"")</f>
        <v/>
      </c>
    </row>
    <row r="778">
      <c r="A778" s="54" t="n"/>
      <c r="B778" s="55" t="str">
        <f>IF(AA778="","",A778&amp;"-"&amp;RIGHT("000"&amp;AA778,4))</f>
        <v/>
      </c>
      <c r="C778" s="56" t="n"/>
      <c r="D778" s="54" t="n"/>
      <c r="E778" s="57" t="str">
        <f>IF(D778="","",IF(A778="BL",IFERROR(INDEX(cl_name,MATCH(D778,cl_code,0))&amp;"","Client inconnu"),IF(A778="BR",IFERROR(INDEX(fo_name,MATCH(D778,fo_code,0))&amp;"","Fournisseur inconnu"),IF(A778="BS",IF(ISNA(MATCH(D778,p_services,0)),"Service inconnu",D778&amp;""),""))))</f>
        <v/>
      </c>
      <c r="F778" s="58" t="n"/>
      <c r="G778" s="58" t="n"/>
      <c r="H778" s="59" t="n"/>
      <c r="I778" s="57" t="str">
        <f>IF(H778="","",IFERROR(INDEX(art_des,MATCH(H778,art_ref,0))&amp;"","Article inconnu"))</f>
        <v/>
      </c>
      <c r="J778" s="60" t="str">
        <f>IF(H778="","",IFERROR(INDEX(art_unit,MATCH(H778,art_ref,0))&amp;"",""))</f>
        <v/>
      </c>
      <c r="K778" s="59" t="n"/>
      <c r="L778" s="59" t="n"/>
      <c r="M778" s="61" t="str">
        <f>IF(OR(B778="",NOT(ISNUMBER(K778)),NOT(ISNUMBER(L778))),"",IF(OR(K778&lt;=0,L778&lt;=0),"",ROUND(L778-K778,6)))</f>
        <v/>
      </c>
      <c r="N778" s="58" t="n"/>
      <c r="O778" s="62" t="n"/>
      <c r="P778" s="63" t="str">
        <f>IF(OR(B778="",NOT(ISNUMBER(L778))),"",IF(L778&lt;=0,"",IFERROR(ROUND(L778*N(INDEX(art_w,MATCH(H778,art_ref,0))),3),"")))</f>
        <v/>
      </c>
      <c r="Q778" s="59" t="n"/>
      <c r="R778" s="54" t="n"/>
      <c r="S778" s="59" t="n"/>
      <c r="T778" s="59" t="n"/>
      <c r="U778" s="64" t="str">
        <f>IF(OR(B778="",H778=""),"",IFERROR(IF(A778="BL",IF(N(INDEX(art_price,MATCH(H778,art_ref,0)))=0,"",N(INDEX(art_price,MATCH(H778,art_ref,0)))),IF(N(INDEX(art_cost,MATCH(H778,art_ref,0)))=0,"",N(INDEX(art_cost,MATCH(H778,art_ref,0))))),""))</f>
        <v/>
      </c>
      <c r="V778" s="64" t="str">
        <f>IF(OR(U778="",NOT(ISNUMBER(L778))),"",IF(L778&lt;=0,"",ROUND(L778*U778,2)))</f>
        <v/>
      </c>
      <c r="W778" s="60" t="str">
        <f>IF(AND(B778&lt;&gt;"",A778&lt;&gt;"BS",F778&lt;&gt;"",H778&lt;&gt;"",ISNUMBER(K778),ISNUMBER(L778)),IF(AND(K778&gt;0,L778&gt;0,K778-L778&gt;0,COUNTIFS(A779:A$2005,A778,F779:F$2005,F778,H779:H$2005,H778,AA779:AA$2005,"&gt;0")=0),ROUND(K778-L778,6),""),"")</f>
        <v/>
      </c>
      <c r="X778" s="60" t="str">
        <f>IF(AND(A778="",C778="",D778="",H778="",L778=""),"",IF(A778="","Type manquant",IF(AND(A778&lt;&gt;"BL",A778&lt;&gt;"BR",A778&lt;&gt;"BS"),"Type inconnu (BL, BR ou BS)",IF(AG778=0,"Date manquante ou invalide",IF(D778="",IF(A778="BL","Client manquant",IF(A778="BR","Fournisseur manquant","Service manquant")),IF(IF(A778="BL",ISNA(MATCH(D778,cl_code,0)),IF(A778="BR",ISNA(MATCH(D778,fo_code,0)),ISNA(MATCH(D778,p_services,0)))),IF(A778="BL","Client inconnu",IF(A778="BR","Fournisseur inconnu","Service inconnu")),IF(H778="","Article manquant",IF(ISNA(MATCH(H778,art_ref,0)),"Article inconnu",IF(OR(NOT(ISNUMBER(L778)),N(L778)&lt;=0),"Quantité invalide",IF(AND(K778&lt;&gt;"",OR(NOT(ISNUMBER(K778)),N(K778)&lt;=0)),"Qté commandée invalide",IF(AG778&lt;SUMPRODUCT(MAX((A$6:A777=A778)*AG$6:AG777)),"Date antérieure au bon précédent",IF(AND(A778&lt;&gt;"BR",ISNUMBER(M778),N(M778)&gt;0),IF(A778="BL","Livré plus que commandé","Sorti plus que demandé"),"OK"))))))))))))</f>
        <v/>
      </c>
      <c r="Y778" s="57" t="str">
        <f>IF(AND(OR(A778="BL",A778="BR",A778="BS"),AG778&gt;0,D778&lt;&gt;""),A778&amp;"|"&amp;AG778&amp;"|"&amp;D778&amp;"|"&amp;F778,"")</f>
        <v/>
      </c>
      <c r="Z778" s="57" t="str">
        <f>IF(Y778="","",IF(COUNTIF(Y$6:Y777,Y778)=0,1,0))</f>
        <v/>
      </c>
      <c r="AA778" s="57" t="str">
        <f>IF(Y778="","",IF(Z778=1,COUNTIFS(A$6:A778,A778,Z$6:Z778,1),INDEX(AA$6:AA777,MATCH(Y778,Y$6:Y777,0))))</f>
        <v/>
      </c>
      <c r="AB778" s="57" t="str">
        <f>IF(B778="","",COUNTIF(B$6:B778,B778))</f>
        <v/>
      </c>
      <c r="AC778" s="57" t="str">
        <f>IF(B778="","",B778&amp;"#"&amp;AB778)</f>
        <v/>
      </c>
      <c r="AD778" s="57" t="str">
        <f>IF(Z778=1,A778&amp;AA778,"")</f>
        <v/>
      </c>
      <c r="AE778" s="57" t="str">
        <f>IF(B778="","",YEAR(C778))</f>
        <v/>
      </c>
      <c r="AF778" s="57" t="str">
        <f>IF(B778="","",MONTH(C778))</f>
        <v/>
      </c>
      <c r="AG778" s="57">
        <f>IF(ISNUMBER(C778),C778,0)</f>
        <v>0.0</v>
      </c>
      <c r="AH778" s="57" t="str">
        <f>IF(N(W778)&gt;0,COUNTIF(W$6:W778,"&gt;0"),"")</f>
        <v/>
      </c>
      <c r="AI778" s="57" t="str">
        <f>IF(Z778=1,COUNTIF(Z$6:Z778,1),"")</f>
        <v/>
      </c>
    </row>
    <row r="779">
      <c r="A779" s="54" t="n"/>
      <c r="B779" s="55" t="str">
        <f>IF(AA779="","",A779&amp;"-"&amp;RIGHT("000"&amp;AA779,4))</f>
        <v/>
      </c>
      <c r="C779" s="56" t="n"/>
      <c r="D779" s="54" t="n"/>
      <c r="E779" s="57" t="str">
        <f>IF(D779="","",IF(A779="BL",IFERROR(INDEX(cl_name,MATCH(D779,cl_code,0))&amp;"","Client inconnu"),IF(A779="BR",IFERROR(INDEX(fo_name,MATCH(D779,fo_code,0))&amp;"","Fournisseur inconnu"),IF(A779="BS",IF(ISNA(MATCH(D779,p_services,0)),"Service inconnu",D779&amp;""),""))))</f>
        <v/>
      </c>
      <c r="F779" s="58" t="n"/>
      <c r="G779" s="58" t="n"/>
      <c r="H779" s="59" t="n"/>
      <c r="I779" s="57" t="str">
        <f>IF(H779="","",IFERROR(INDEX(art_des,MATCH(H779,art_ref,0))&amp;"","Article inconnu"))</f>
        <v/>
      </c>
      <c r="J779" s="60" t="str">
        <f>IF(H779="","",IFERROR(INDEX(art_unit,MATCH(H779,art_ref,0))&amp;"",""))</f>
        <v/>
      </c>
      <c r="K779" s="59" t="n"/>
      <c r="L779" s="59" t="n"/>
      <c r="M779" s="61" t="str">
        <f>IF(OR(B779="",NOT(ISNUMBER(K779)),NOT(ISNUMBER(L779))),"",IF(OR(K779&lt;=0,L779&lt;=0),"",ROUND(L779-K779,6)))</f>
        <v/>
      </c>
      <c r="N779" s="58" t="n"/>
      <c r="O779" s="62" t="n"/>
      <c r="P779" s="63" t="str">
        <f>IF(OR(B779="",NOT(ISNUMBER(L779))),"",IF(L779&lt;=0,"",IFERROR(ROUND(L779*N(INDEX(art_w,MATCH(H779,art_ref,0))),3),"")))</f>
        <v/>
      </c>
      <c r="Q779" s="59" t="n"/>
      <c r="R779" s="54" t="n"/>
      <c r="S779" s="59" t="n"/>
      <c r="T779" s="59" t="n"/>
      <c r="U779" s="64" t="str">
        <f>IF(OR(B779="",H779=""),"",IFERROR(IF(A779="BL",IF(N(INDEX(art_price,MATCH(H779,art_ref,0)))=0,"",N(INDEX(art_price,MATCH(H779,art_ref,0)))),IF(N(INDEX(art_cost,MATCH(H779,art_ref,0)))=0,"",N(INDEX(art_cost,MATCH(H779,art_ref,0))))),""))</f>
        <v/>
      </c>
      <c r="V779" s="64" t="str">
        <f>IF(OR(U779="",NOT(ISNUMBER(L779))),"",IF(L779&lt;=0,"",ROUND(L779*U779,2)))</f>
        <v/>
      </c>
      <c r="W779" s="60" t="str">
        <f>IF(AND(B779&lt;&gt;"",A779&lt;&gt;"BS",F779&lt;&gt;"",H779&lt;&gt;"",ISNUMBER(K779),ISNUMBER(L779)),IF(AND(K779&gt;0,L779&gt;0,K779-L779&gt;0,COUNTIFS(A780:A$2005,A779,F780:F$2005,F779,H780:H$2005,H779,AA780:AA$2005,"&gt;0")=0),ROUND(K779-L779,6),""),"")</f>
        <v/>
      </c>
      <c r="X779" s="60" t="str">
        <f>IF(AND(A779="",C779="",D779="",H779="",L779=""),"",IF(A779="","Type manquant",IF(AND(A779&lt;&gt;"BL",A779&lt;&gt;"BR",A779&lt;&gt;"BS"),"Type inconnu (BL, BR ou BS)",IF(AG779=0,"Date manquante ou invalide",IF(D779="",IF(A779="BL","Client manquant",IF(A779="BR","Fournisseur manquant","Service manquant")),IF(IF(A779="BL",ISNA(MATCH(D779,cl_code,0)),IF(A779="BR",ISNA(MATCH(D779,fo_code,0)),ISNA(MATCH(D779,p_services,0)))),IF(A779="BL","Client inconnu",IF(A779="BR","Fournisseur inconnu","Service inconnu")),IF(H779="","Article manquant",IF(ISNA(MATCH(H779,art_ref,0)),"Article inconnu",IF(OR(NOT(ISNUMBER(L779)),N(L779)&lt;=0),"Quantité invalide",IF(AND(K779&lt;&gt;"",OR(NOT(ISNUMBER(K779)),N(K779)&lt;=0)),"Qté commandée invalide",IF(AG779&lt;SUMPRODUCT(MAX((A$6:A778=A779)*AG$6:AG778)),"Date antérieure au bon précédent",IF(AND(A779&lt;&gt;"BR",ISNUMBER(M779),N(M779)&gt;0),IF(A779="BL","Livré plus que commandé","Sorti plus que demandé"),"OK"))))))))))))</f>
        <v/>
      </c>
      <c r="Y779" s="57" t="str">
        <f>IF(AND(OR(A779="BL",A779="BR",A779="BS"),AG779&gt;0,D779&lt;&gt;""),A779&amp;"|"&amp;AG779&amp;"|"&amp;D779&amp;"|"&amp;F779,"")</f>
        <v/>
      </c>
      <c r="Z779" s="57" t="str">
        <f>IF(Y779="","",IF(COUNTIF(Y$6:Y778,Y779)=0,1,0))</f>
        <v/>
      </c>
      <c r="AA779" s="57" t="str">
        <f>IF(Y779="","",IF(Z779=1,COUNTIFS(A$6:A779,A779,Z$6:Z779,1),INDEX(AA$6:AA778,MATCH(Y779,Y$6:Y778,0))))</f>
        <v/>
      </c>
      <c r="AB779" s="57" t="str">
        <f>IF(B779="","",COUNTIF(B$6:B779,B779))</f>
        <v/>
      </c>
      <c r="AC779" s="57" t="str">
        <f>IF(B779="","",B779&amp;"#"&amp;AB779)</f>
        <v/>
      </c>
      <c r="AD779" s="57" t="str">
        <f>IF(Z779=1,A779&amp;AA779,"")</f>
        <v/>
      </c>
      <c r="AE779" s="57" t="str">
        <f>IF(B779="","",YEAR(C779))</f>
        <v/>
      </c>
      <c r="AF779" s="57" t="str">
        <f>IF(B779="","",MONTH(C779))</f>
        <v/>
      </c>
      <c r="AG779" s="57">
        <f>IF(ISNUMBER(C779),C779,0)</f>
        <v>0.0</v>
      </c>
      <c r="AH779" s="57" t="str">
        <f>IF(N(W779)&gt;0,COUNTIF(W$6:W779,"&gt;0"),"")</f>
        <v/>
      </c>
      <c r="AI779" s="57" t="str">
        <f>IF(Z779=1,COUNTIF(Z$6:Z779,1),"")</f>
        <v/>
      </c>
    </row>
    <row r="780">
      <c r="A780" s="54" t="n"/>
      <c r="B780" s="55" t="str">
        <f>IF(AA780="","",A780&amp;"-"&amp;RIGHT("000"&amp;AA780,4))</f>
        <v/>
      </c>
      <c r="C780" s="56" t="n"/>
      <c r="D780" s="54" t="n"/>
      <c r="E780" s="57" t="str">
        <f>IF(D780="","",IF(A780="BL",IFERROR(INDEX(cl_name,MATCH(D780,cl_code,0))&amp;"","Client inconnu"),IF(A780="BR",IFERROR(INDEX(fo_name,MATCH(D780,fo_code,0))&amp;"","Fournisseur inconnu"),IF(A780="BS",IF(ISNA(MATCH(D780,p_services,0)),"Service inconnu",D780&amp;""),""))))</f>
        <v/>
      </c>
      <c r="F780" s="58" t="n"/>
      <c r="G780" s="58" t="n"/>
      <c r="H780" s="59" t="n"/>
      <c r="I780" s="57" t="str">
        <f>IF(H780="","",IFERROR(INDEX(art_des,MATCH(H780,art_ref,0))&amp;"","Article inconnu"))</f>
        <v/>
      </c>
      <c r="J780" s="60" t="str">
        <f>IF(H780="","",IFERROR(INDEX(art_unit,MATCH(H780,art_ref,0))&amp;"",""))</f>
        <v/>
      </c>
      <c r="K780" s="59" t="n"/>
      <c r="L780" s="59" t="n"/>
      <c r="M780" s="61" t="str">
        <f>IF(OR(B780="",NOT(ISNUMBER(K780)),NOT(ISNUMBER(L780))),"",IF(OR(K780&lt;=0,L780&lt;=0),"",ROUND(L780-K780,6)))</f>
        <v/>
      </c>
      <c r="N780" s="58" t="n"/>
      <c r="O780" s="62" t="n"/>
      <c r="P780" s="63" t="str">
        <f>IF(OR(B780="",NOT(ISNUMBER(L780))),"",IF(L780&lt;=0,"",IFERROR(ROUND(L780*N(INDEX(art_w,MATCH(H780,art_ref,0))),3),"")))</f>
        <v/>
      </c>
      <c r="Q780" s="59" t="n"/>
      <c r="R780" s="54" t="n"/>
      <c r="S780" s="59" t="n"/>
      <c r="T780" s="59" t="n"/>
      <c r="U780" s="64" t="str">
        <f>IF(OR(B780="",H780=""),"",IFERROR(IF(A780="BL",IF(N(INDEX(art_price,MATCH(H780,art_ref,0)))=0,"",N(INDEX(art_price,MATCH(H780,art_ref,0)))),IF(N(INDEX(art_cost,MATCH(H780,art_ref,0)))=0,"",N(INDEX(art_cost,MATCH(H780,art_ref,0))))),""))</f>
        <v/>
      </c>
      <c r="V780" s="64" t="str">
        <f>IF(OR(U780="",NOT(ISNUMBER(L780))),"",IF(L780&lt;=0,"",ROUND(L780*U780,2)))</f>
        <v/>
      </c>
      <c r="W780" s="60" t="str">
        <f>IF(AND(B780&lt;&gt;"",A780&lt;&gt;"BS",F780&lt;&gt;"",H780&lt;&gt;"",ISNUMBER(K780),ISNUMBER(L780)),IF(AND(K780&gt;0,L780&gt;0,K780-L780&gt;0,COUNTIFS(A781:A$2005,A780,F781:F$2005,F780,H781:H$2005,H780,AA781:AA$2005,"&gt;0")=0),ROUND(K780-L780,6),""),"")</f>
        <v/>
      </c>
      <c r="X780" s="60" t="str">
        <f>IF(AND(A780="",C780="",D780="",H780="",L780=""),"",IF(A780="","Type manquant",IF(AND(A780&lt;&gt;"BL",A780&lt;&gt;"BR",A780&lt;&gt;"BS"),"Type inconnu (BL, BR ou BS)",IF(AG780=0,"Date manquante ou invalide",IF(D780="",IF(A780="BL","Client manquant",IF(A780="BR","Fournisseur manquant","Service manquant")),IF(IF(A780="BL",ISNA(MATCH(D780,cl_code,0)),IF(A780="BR",ISNA(MATCH(D780,fo_code,0)),ISNA(MATCH(D780,p_services,0)))),IF(A780="BL","Client inconnu",IF(A780="BR","Fournisseur inconnu","Service inconnu")),IF(H780="","Article manquant",IF(ISNA(MATCH(H780,art_ref,0)),"Article inconnu",IF(OR(NOT(ISNUMBER(L780)),N(L780)&lt;=0),"Quantité invalide",IF(AND(K780&lt;&gt;"",OR(NOT(ISNUMBER(K780)),N(K780)&lt;=0)),"Qté commandée invalide",IF(AG780&lt;SUMPRODUCT(MAX((A$6:A779=A780)*AG$6:AG779)),"Date antérieure au bon précédent",IF(AND(A780&lt;&gt;"BR",ISNUMBER(M780),N(M780)&gt;0),IF(A780="BL","Livré plus que commandé","Sorti plus que demandé"),"OK"))))))))))))</f>
        <v/>
      </c>
      <c r="Y780" s="57" t="str">
        <f>IF(AND(OR(A780="BL",A780="BR",A780="BS"),AG780&gt;0,D780&lt;&gt;""),A780&amp;"|"&amp;AG780&amp;"|"&amp;D780&amp;"|"&amp;F780,"")</f>
        <v/>
      </c>
      <c r="Z780" s="57" t="str">
        <f>IF(Y780="","",IF(COUNTIF(Y$6:Y779,Y780)=0,1,0))</f>
        <v/>
      </c>
      <c r="AA780" s="57" t="str">
        <f>IF(Y780="","",IF(Z780=1,COUNTIFS(A$6:A780,A780,Z$6:Z780,1),INDEX(AA$6:AA779,MATCH(Y780,Y$6:Y779,0))))</f>
        <v/>
      </c>
      <c r="AB780" s="57" t="str">
        <f>IF(B780="","",COUNTIF(B$6:B780,B780))</f>
        <v/>
      </c>
      <c r="AC780" s="57" t="str">
        <f>IF(B780="","",B780&amp;"#"&amp;AB780)</f>
        <v/>
      </c>
      <c r="AD780" s="57" t="str">
        <f>IF(Z780=1,A780&amp;AA780,"")</f>
        <v/>
      </c>
      <c r="AE780" s="57" t="str">
        <f>IF(B780="","",YEAR(C780))</f>
        <v/>
      </c>
      <c r="AF780" s="57" t="str">
        <f>IF(B780="","",MONTH(C780))</f>
        <v/>
      </c>
      <c r="AG780" s="57">
        <f>IF(ISNUMBER(C780),C780,0)</f>
        <v>0.0</v>
      </c>
      <c r="AH780" s="57" t="str">
        <f>IF(N(W780)&gt;0,COUNTIF(W$6:W780,"&gt;0"),"")</f>
        <v/>
      </c>
      <c r="AI780" s="57" t="str">
        <f>IF(Z780=1,COUNTIF(Z$6:Z780,1),"")</f>
        <v/>
      </c>
    </row>
    <row r="781">
      <c r="A781" s="54" t="n"/>
      <c r="B781" s="55" t="str">
        <f>IF(AA781="","",A781&amp;"-"&amp;RIGHT("000"&amp;AA781,4))</f>
        <v/>
      </c>
      <c r="C781" s="56" t="n"/>
      <c r="D781" s="54" t="n"/>
      <c r="E781" s="57" t="str">
        <f>IF(D781="","",IF(A781="BL",IFERROR(INDEX(cl_name,MATCH(D781,cl_code,0))&amp;"","Client inconnu"),IF(A781="BR",IFERROR(INDEX(fo_name,MATCH(D781,fo_code,0))&amp;"","Fournisseur inconnu"),IF(A781="BS",IF(ISNA(MATCH(D781,p_services,0)),"Service inconnu",D781&amp;""),""))))</f>
        <v/>
      </c>
      <c r="F781" s="58" t="n"/>
      <c r="G781" s="58" t="n"/>
      <c r="H781" s="59" t="n"/>
      <c r="I781" s="57" t="str">
        <f>IF(H781="","",IFERROR(INDEX(art_des,MATCH(H781,art_ref,0))&amp;"","Article inconnu"))</f>
        <v/>
      </c>
      <c r="J781" s="60" t="str">
        <f>IF(H781="","",IFERROR(INDEX(art_unit,MATCH(H781,art_ref,0))&amp;"",""))</f>
        <v/>
      </c>
      <c r="K781" s="59" t="n"/>
      <c r="L781" s="59" t="n"/>
      <c r="M781" s="61" t="str">
        <f>IF(OR(B781="",NOT(ISNUMBER(K781)),NOT(ISNUMBER(L781))),"",IF(OR(K781&lt;=0,L781&lt;=0),"",ROUND(L781-K781,6)))</f>
        <v/>
      </c>
      <c r="N781" s="58" t="n"/>
      <c r="O781" s="62" t="n"/>
      <c r="P781" s="63" t="str">
        <f>IF(OR(B781="",NOT(ISNUMBER(L781))),"",IF(L781&lt;=0,"",IFERROR(ROUND(L781*N(INDEX(art_w,MATCH(H781,art_ref,0))),3),"")))</f>
        <v/>
      </c>
      <c r="Q781" s="59" t="n"/>
      <c r="R781" s="54" t="n"/>
      <c r="S781" s="59" t="n"/>
      <c r="T781" s="59" t="n"/>
      <c r="U781" s="64" t="str">
        <f>IF(OR(B781="",H781=""),"",IFERROR(IF(A781="BL",IF(N(INDEX(art_price,MATCH(H781,art_ref,0)))=0,"",N(INDEX(art_price,MATCH(H781,art_ref,0)))),IF(N(INDEX(art_cost,MATCH(H781,art_ref,0)))=0,"",N(INDEX(art_cost,MATCH(H781,art_ref,0))))),""))</f>
        <v/>
      </c>
      <c r="V781" s="64" t="str">
        <f>IF(OR(U781="",NOT(ISNUMBER(L781))),"",IF(L781&lt;=0,"",ROUND(L781*U781,2)))</f>
        <v/>
      </c>
      <c r="W781" s="60" t="str">
        <f>IF(AND(B781&lt;&gt;"",A781&lt;&gt;"BS",F781&lt;&gt;"",H781&lt;&gt;"",ISNUMBER(K781),ISNUMBER(L781)),IF(AND(K781&gt;0,L781&gt;0,K781-L781&gt;0,COUNTIFS(A782:A$2005,A781,F782:F$2005,F781,H782:H$2005,H781,AA782:AA$2005,"&gt;0")=0),ROUND(K781-L781,6),""),"")</f>
        <v/>
      </c>
      <c r="X781" s="60" t="str">
        <f>IF(AND(A781="",C781="",D781="",H781="",L781=""),"",IF(A781="","Type manquant",IF(AND(A781&lt;&gt;"BL",A781&lt;&gt;"BR",A781&lt;&gt;"BS"),"Type inconnu (BL, BR ou BS)",IF(AG781=0,"Date manquante ou invalide",IF(D781="",IF(A781="BL","Client manquant",IF(A781="BR","Fournisseur manquant","Service manquant")),IF(IF(A781="BL",ISNA(MATCH(D781,cl_code,0)),IF(A781="BR",ISNA(MATCH(D781,fo_code,0)),ISNA(MATCH(D781,p_services,0)))),IF(A781="BL","Client inconnu",IF(A781="BR","Fournisseur inconnu","Service inconnu")),IF(H781="","Article manquant",IF(ISNA(MATCH(H781,art_ref,0)),"Article inconnu",IF(OR(NOT(ISNUMBER(L781)),N(L781)&lt;=0),"Quantité invalide",IF(AND(K781&lt;&gt;"",OR(NOT(ISNUMBER(K781)),N(K781)&lt;=0)),"Qté commandée invalide",IF(AG781&lt;SUMPRODUCT(MAX((A$6:A780=A781)*AG$6:AG780)),"Date antérieure au bon précédent",IF(AND(A781&lt;&gt;"BR",ISNUMBER(M781),N(M781)&gt;0),IF(A781="BL","Livré plus que commandé","Sorti plus que demandé"),"OK"))))))))))))</f>
        <v/>
      </c>
      <c r="Y781" s="57" t="str">
        <f>IF(AND(OR(A781="BL",A781="BR",A781="BS"),AG781&gt;0,D781&lt;&gt;""),A781&amp;"|"&amp;AG781&amp;"|"&amp;D781&amp;"|"&amp;F781,"")</f>
        <v/>
      </c>
      <c r="Z781" s="57" t="str">
        <f>IF(Y781="","",IF(COUNTIF(Y$6:Y780,Y781)=0,1,0))</f>
        <v/>
      </c>
      <c r="AA781" s="57" t="str">
        <f>IF(Y781="","",IF(Z781=1,COUNTIFS(A$6:A781,A781,Z$6:Z781,1),INDEX(AA$6:AA780,MATCH(Y781,Y$6:Y780,0))))</f>
        <v/>
      </c>
      <c r="AB781" s="57" t="str">
        <f>IF(B781="","",COUNTIF(B$6:B781,B781))</f>
        <v/>
      </c>
      <c r="AC781" s="57" t="str">
        <f>IF(B781="","",B781&amp;"#"&amp;AB781)</f>
        <v/>
      </c>
      <c r="AD781" s="57" t="str">
        <f>IF(Z781=1,A781&amp;AA781,"")</f>
        <v/>
      </c>
      <c r="AE781" s="57" t="str">
        <f>IF(B781="","",YEAR(C781))</f>
        <v/>
      </c>
      <c r="AF781" s="57" t="str">
        <f>IF(B781="","",MONTH(C781))</f>
        <v/>
      </c>
      <c r="AG781" s="57">
        <f>IF(ISNUMBER(C781),C781,0)</f>
        <v>0.0</v>
      </c>
      <c r="AH781" s="57" t="str">
        <f>IF(N(W781)&gt;0,COUNTIF(W$6:W781,"&gt;0"),"")</f>
        <v/>
      </c>
      <c r="AI781" s="57" t="str">
        <f>IF(Z781=1,COUNTIF(Z$6:Z781,1),"")</f>
        <v/>
      </c>
    </row>
    <row r="782">
      <c r="A782" s="54" t="n"/>
      <c r="B782" s="55" t="str">
        <f>IF(AA782="","",A782&amp;"-"&amp;RIGHT("000"&amp;AA782,4))</f>
        <v/>
      </c>
      <c r="C782" s="56" t="n"/>
      <c r="D782" s="54" t="n"/>
      <c r="E782" s="57" t="str">
        <f>IF(D782="","",IF(A782="BL",IFERROR(INDEX(cl_name,MATCH(D782,cl_code,0))&amp;"","Client inconnu"),IF(A782="BR",IFERROR(INDEX(fo_name,MATCH(D782,fo_code,0))&amp;"","Fournisseur inconnu"),IF(A782="BS",IF(ISNA(MATCH(D782,p_services,0)),"Service inconnu",D782&amp;""),""))))</f>
        <v/>
      </c>
      <c r="F782" s="58" t="n"/>
      <c r="G782" s="58" t="n"/>
      <c r="H782" s="59" t="n"/>
      <c r="I782" s="57" t="str">
        <f>IF(H782="","",IFERROR(INDEX(art_des,MATCH(H782,art_ref,0))&amp;"","Article inconnu"))</f>
        <v/>
      </c>
      <c r="J782" s="60" t="str">
        <f>IF(H782="","",IFERROR(INDEX(art_unit,MATCH(H782,art_ref,0))&amp;"",""))</f>
        <v/>
      </c>
      <c r="K782" s="59" t="n"/>
      <c r="L782" s="59" t="n"/>
      <c r="M782" s="61" t="str">
        <f>IF(OR(B782="",NOT(ISNUMBER(K782)),NOT(ISNUMBER(L782))),"",IF(OR(K782&lt;=0,L782&lt;=0),"",ROUND(L782-K782,6)))</f>
        <v/>
      </c>
      <c r="N782" s="58" t="n"/>
      <c r="O782" s="62" t="n"/>
      <c r="P782" s="63" t="str">
        <f>IF(OR(B782="",NOT(ISNUMBER(L782))),"",IF(L782&lt;=0,"",IFERROR(ROUND(L782*N(INDEX(art_w,MATCH(H782,art_ref,0))),3),"")))</f>
        <v/>
      </c>
      <c r="Q782" s="59" t="n"/>
      <c r="R782" s="54" t="n"/>
      <c r="S782" s="59" t="n"/>
      <c r="T782" s="59" t="n"/>
      <c r="U782" s="64" t="str">
        <f>IF(OR(B782="",H782=""),"",IFERROR(IF(A782="BL",IF(N(INDEX(art_price,MATCH(H782,art_ref,0)))=0,"",N(INDEX(art_price,MATCH(H782,art_ref,0)))),IF(N(INDEX(art_cost,MATCH(H782,art_ref,0)))=0,"",N(INDEX(art_cost,MATCH(H782,art_ref,0))))),""))</f>
        <v/>
      </c>
      <c r="V782" s="64" t="str">
        <f>IF(OR(U782="",NOT(ISNUMBER(L782))),"",IF(L782&lt;=0,"",ROUND(L782*U782,2)))</f>
        <v/>
      </c>
      <c r="W782" s="60" t="str">
        <f>IF(AND(B782&lt;&gt;"",A782&lt;&gt;"BS",F782&lt;&gt;"",H782&lt;&gt;"",ISNUMBER(K782),ISNUMBER(L782)),IF(AND(K782&gt;0,L782&gt;0,K782-L782&gt;0,COUNTIFS(A783:A$2005,A782,F783:F$2005,F782,H783:H$2005,H782,AA783:AA$2005,"&gt;0")=0),ROUND(K782-L782,6),""),"")</f>
        <v/>
      </c>
      <c r="X782" s="60" t="str">
        <f>IF(AND(A782="",C782="",D782="",H782="",L782=""),"",IF(A782="","Type manquant",IF(AND(A782&lt;&gt;"BL",A782&lt;&gt;"BR",A782&lt;&gt;"BS"),"Type inconnu (BL, BR ou BS)",IF(AG782=0,"Date manquante ou invalide",IF(D782="",IF(A782="BL","Client manquant",IF(A782="BR","Fournisseur manquant","Service manquant")),IF(IF(A782="BL",ISNA(MATCH(D782,cl_code,0)),IF(A782="BR",ISNA(MATCH(D782,fo_code,0)),ISNA(MATCH(D782,p_services,0)))),IF(A782="BL","Client inconnu",IF(A782="BR","Fournisseur inconnu","Service inconnu")),IF(H782="","Article manquant",IF(ISNA(MATCH(H782,art_ref,0)),"Article inconnu",IF(OR(NOT(ISNUMBER(L782)),N(L782)&lt;=0),"Quantité invalide",IF(AND(K782&lt;&gt;"",OR(NOT(ISNUMBER(K782)),N(K782)&lt;=0)),"Qté commandée invalide",IF(AG782&lt;SUMPRODUCT(MAX((A$6:A781=A782)*AG$6:AG781)),"Date antérieure au bon précédent",IF(AND(A782&lt;&gt;"BR",ISNUMBER(M782),N(M782)&gt;0),IF(A782="BL","Livré plus que commandé","Sorti plus que demandé"),"OK"))))))))))))</f>
        <v/>
      </c>
      <c r="Y782" s="57" t="str">
        <f>IF(AND(OR(A782="BL",A782="BR",A782="BS"),AG782&gt;0,D782&lt;&gt;""),A782&amp;"|"&amp;AG782&amp;"|"&amp;D782&amp;"|"&amp;F782,"")</f>
        <v/>
      </c>
      <c r="Z782" s="57" t="str">
        <f>IF(Y782="","",IF(COUNTIF(Y$6:Y781,Y782)=0,1,0))</f>
        <v/>
      </c>
      <c r="AA782" s="57" t="str">
        <f>IF(Y782="","",IF(Z782=1,COUNTIFS(A$6:A782,A782,Z$6:Z782,1),INDEX(AA$6:AA781,MATCH(Y782,Y$6:Y781,0))))</f>
        <v/>
      </c>
      <c r="AB782" s="57" t="str">
        <f>IF(B782="","",COUNTIF(B$6:B782,B782))</f>
        <v/>
      </c>
      <c r="AC782" s="57" t="str">
        <f>IF(B782="","",B782&amp;"#"&amp;AB782)</f>
        <v/>
      </c>
      <c r="AD782" s="57" t="str">
        <f>IF(Z782=1,A782&amp;AA782,"")</f>
        <v/>
      </c>
      <c r="AE782" s="57" t="str">
        <f>IF(B782="","",YEAR(C782))</f>
        <v/>
      </c>
      <c r="AF782" s="57" t="str">
        <f>IF(B782="","",MONTH(C782))</f>
        <v/>
      </c>
      <c r="AG782" s="57">
        <f>IF(ISNUMBER(C782),C782,0)</f>
        <v>0.0</v>
      </c>
      <c r="AH782" s="57" t="str">
        <f>IF(N(W782)&gt;0,COUNTIF(W$6:W782,"&gt;0"),"")</f>
        <v/>
      </c>
      <c r="AI782" s="57" t="str">
        <f>IF(Z782=1,COUNTIF(Z$6:Z782,1),"")</f>
        <v/>
      </c>
    </row>
    <row r="783">
      <c r="A783" s="54" t="n"/>
      <c r="B783" s="55" t="str">
        <f>IF(AA783="","",A783&amp;"-"&amp;RIGHT("000"&amp;AA783,4))</f>
        <v/>
      </c>
      <c r="C783" s="56" t="n"/>
      <c r="D783" s="54" t="n"/>
      <c r="E783" s="57" t="str">
        <f>IF(D783="","",IF(A783="BL",IFERROR(INDEX(cl_name,MATCH(D783,cl_code,0))&amp;"","Client inconnu"),IF(A783="BR",IFERROR(INDEX(fo_name,MATCH(D783,fo_code,0))&amp;"","Fournisseur inconnu"),IF(A783="BS",IF(ISNA(MATCH(D783,p_services,0)),"Service inconnu",D783&amp;""),""))))</f>
        <v/>
      </c>
      <c r="F783" s="58" t="n"/>
      <c r="G783" s="58" t="n"/>
      <c r="H783" s="59" t="n"/>
      <c r="I783" s="57" t="str">
        <f>IF(H783="","",IFERROR(INDEX(art_des,MATCH(H783,art_ref,0))&amp;"","Article inconnu"))</f>
        <v/>
      </c>
      <c r="J783" s="60" t="str">
        <f>IF(H783="","",IFERROR(INDEX(art_unit,MATCH(H783,art_ref,0))&amp;"",""))</f>
        <v/>
      </c>
      <c r="K783" s="59" t="n"/>
      <c r="L783" s="59" t="n"/>
      <c r="M783" s="61" t="str">
        <f>IF(OR(B783="",NOT(ISNUMBER(K783)),NOT(ISNUMBER(L783))),"",IF(OR(K783&lt;=0,L783&lt;=0),"",ROUND(L783-K783,6)))</f>
        <v/>
      </c>
      <c r="N783" s="58" t="n"/>
      <c r="O783" s="62" t="n"/>
      <c r="P783" s="63" t="str">
        <f>IF(OR(B783="",NOT(ISNUMBER(L783))),"",IF(L783&lt;=0,"",IFERROR(ROUND(L783*N(INDEX(art_w,MATCH(H783,art_ref,0))),3),"")))</f>
        <v/>
      </c>
      <c r="Q783" s="59" t="n"/>
      <c r="R783" s="54" t="n"/>
      <c r="S783" s="59" t="n"/>
      <c r="T783" s="59" t="n"/>
      <c r="U783" s="64" t="str">
        <f>IF(OR(B783="",H783=""),"",IFERROR(IF(A783="BL",IF(N(INDEX(art_price,MATCH(H783,art_ref,0)))=0,"",N(INDEX(art_price,MATCH(H783,art_ref,0)))),IF(N(INDEX(art_cost,MATCH(H783,art_ref,0)))=0,"",N(INDEX(art_cost,MATCH(H783,art_ref,0))))),""))</f>
        <v/>
      </c>
      <c r="V783" s="64" t="str">
        <f>IF(OR(U783="",NOT(ISNUMBER(L783))),"",IF(L783&lt;=0,"",ROUND(L783*U783,2)))</f>
        <v/>
      </c>
      <c r="W783" s="60" t="str">
        <f>IF(AND(B783&lt;&gt;"",A783&lt;&gt;"BS",F783&lt;&gt;"",H783&lt;&gt;"",ISNUMBER(K783),ISNUMBER(L783)),IF(AND(K783&gt;0,L783&gt;0,K783-L783&gt;0,COUNTIFS(A784:A$2005,A783,F784:F$2005,F783,H784:H$2005,H783,AA784:AA$2005,"&gt;0")=0),ROUND(K783-L783,6),""),"")</f>
        <v/>
      </c>
      <c r="X783" s="60" t="str">
        <f>IF(AND(A783="",C783="",D783="",H783="",L783=""),"",IF(A783="","Type manquant",IF(AND(A783&lt;&gt;"BL",A783&lt;&gt;"BR",A783&lt;&gt;"BS"),"Type inconnu (BL, BR ou BS)",IF(AG783=0,"Date manquante ou invalide",IF(D783="",IF(A783="BL","Client manquant",IF(A783="BR","Fournisseur manquant","Service manquant")),IF(IF(A783="BL",ISNA(MATCH(D783,cl_code,0)),IF(A783="BR",ISNA(MATCH(D783,fo_code,0)),ISNA(MATCH(D783,p_services,0)))),IF(A783="BL","Client inconnu",IF(A783="BR","Fournisseur inconnu","Service inconnu")),IF(H783="","Article manquant",IF(ISNA(MATCH(H783,art_ref,0)),"Article inconnu",IF(OR(NOT(ISNUMBER(L783)),N(L783)&lt;=0),"Quantité invalide",IF(AND(K783&lt;&gt;"",OR(NOT(ISNUMBER(K783)),N(K783)&lt;=0)),"Qté commandée invalide",IF(AG783&lt;SUMPRODUCT(MAX((A$6:A782=A783)*AG$6:AG782)),"Date antérieure au bon précédent",IF(AND(A783&lt;&gt;"BR",ISNUMBER(M783),N(M783)&gt;0),IF(A783="BL","Livré plus que commandé","Sorti plus que demandé"),"OK"))))))))))))</f>
        <v/>
      </c>
      <c r="Y783" s="57" t="str">
        <f>IF(AND(OR(A783="BL",A783="BR",A783="BS"),AG783&gt;0,D783&lt;&gt;""),A783&amp;"|"&amp;AG783&amp;"|"&amp;D783&amp;"|"&amp;F783,"")</f>
        <v/>
      </c>
      <c r="Z783" s="57" t="str">
        <f>IF(Y783="","",IF(COUNTIF(Y$6:Y782,Y783)=0,1,0))</f>
        <v/>
      </c>
      <c r="AA783" s="57" t="str">
        <f>IF(Y783="","",IF(Z783=1,COUNTIFS(A$6:A783,A783,Z$6:Z783,1),INDEX(AA$6:AA782,MATCH(Y783,Y$6:Y782,0))))</f>
        <v/>
      </c>
      <c r="AB783" s="57" t="str">
        <f>IF(B783="","",COUNTIF(B$6:B783,B783))</f>
        <v/>
      </c>
      <c r="AC783" s="57" t="str">
        <f>IF(B783="","",B783&amp;"#"&amp;AB783)</f>
        <v/>
      </c>
      <c r="AD783" s="57" t="str">
        <f>IF(Z783=1,A783&amp;AA783,"")</f>
        <v/>
      </c>
      <c r="AE783" s="57" t="str">
        <f>IF(B783="","",YEAR(C783))</f>
        <v/>
      </c>
      <c r="AF783" s="57" t="str">
        <f>IF(B783="","",MONTH(C783))</f>
        <v/>
      </c>
      <c r="AG783" s="57">
        <f>IF(ISNUMBER(C783),C783,0)</f>
        <v>0.0</v>
      </c>
      <c r="AH783" s="57" t="str">
        <f>IF(N(W783)&gt;0,COUNTIF(W$6:W783,"&gt;0"),"")</f>
        <v/>
      </c>
      <c r="AI783" s="57" t="str">
        <f>IF(Z783=1,COUNTIF(Z$6:Z783,1),"")</f>
        <v/>
      </c>
    </row>
    <row r="784">
      <c r="A784" s="54" t="n"/>
      <c r="B784" s="55" t="str">
        <f>IF(AA784="","",A784&amp;"-"&amp;RIGHT("000"&amp;AA784,4))</f>
        <v/>
      </c>
      <c r="C784" s="56" t="n"/>
      <c r="D784" s="54" t="n"/>
      <c r="E784" s="57" t="str">
        <f>IF(D784="","",IF(A784="BL",IFERROR(INDEX(cl_name,MATCH(D784,cl_code,0))&amp;"","Client inconnu"),IF(A784="BR",IFERROR(INDEX(fo_name,MATCH(D784,fo_code,0))&amp;"","Fournisseur inconnu"),IF(A784="BS",IF(ISNA(MATCH(D784,p_services,0)),"Service inconnu",D784&amp;""),""))))</f>
        <v/>
      </c>
      <c r="F784" s="58" t="n"/>
      <c r="G784" s="58" t="n"/>
      <c r="H784" s="59" t="n"/>
      <c r="I784" s="57" t="str">
        <f>IF(H784="","",IFERROR(INDEX(art_des,MATCH(H784,art_ref,0))&amp;"","Article inconnu"))</f>
        <v/>
      </c>
      <c r="J784" s="60" t="str">
        <f>IF(H784="","",IFERROR(INDEX(art_unit,MATCH(H784,art_ref,0))&amp;"",""))</f>
        <v/>
      </c>
      <c r="K784" s="59" t="n"/>
      <c r="L784" s="59" t="n"/>
      <c r="M784" s="61" t="str">
        <f>IF(OR(B784="",NOT(ISNUMBER(K784)),NOT(ISNUMBER(L784))),"",IF(OR(K784&lt;=0,L784&lt;=0),"",ROUND(L784-K784,6)))</f>
        <v/>
      </c>
      <c r="N784" s="58" t="n"/>
      <c r="O784" s="62" t="n"/>
      <c r="P784" s="63" t="str">
        <f>IF(OR(B784="",NOT(ISNUMBER(L784))),"",IF(L784&lt;=0,"",IFERROR(ROUND(L784*N(INDEX(art_w,MATCH(H784,art_ref,0))),3),"")))</f>
        <v/>
      </c>
      <c r="Q784" s="59" t="n"/>
      <c r="R784" s="54" t="n"/>
      <c r="S784" s="59" t="n"/>
      <c r="T784" s="59" t="n"/>
      <c r="U784" s="64" t="str">
        <f>IF(OR(B784="",H784=""),"",IFERROR(IF(A784="BL",IF(N(INDEX(art_price,MATCH(H784,art_ref,0)))=0,"",N(INDEX(art_price,MATCH(H784,art_ref,0)))),IF(N(INDEX(art_cost,MATCH(H784,art_ref,0)))=0,"",N(INDEX(art_cost,MATCH(H784,art_ref,0))))),""))</f>
        <v/>
      </c>
      <c r="V784" s="64" t="str">
        <f>IF(OR(U784="",NOT(ISNUMBER(L784))),"",IF(L784&lt;=0,"",ROUND(L784*U784,2)))</f>
        <v/>
      </c>
      <c r="W784" s="60" t="str">
        <f>IF(AND(B784&lt;&gt;"",A784&lt;&gt;"BS",F784&lt;&gt;"",H784&lt;&gt;"",ISNUMBER(K784),ISNUMBER(L784)),IF(AND(K784&gt;0,L784&gt;0,K784-L784&gt;0,COUNTIFS(A785:A$2005,A784,F785:F$2005,F784,H785:H$2005,H784,AA785:AA$2005,"&gt;0")=0),ROUND(K784-L784,6),""),"")</f>
        <v/>
      </c>
      <c r="X784" s="60" t="str">
        <f>IF(AND(A784="",C784="",D784="",H784="",L784=""),"",IF(A784="","Type manquant",IF(AND(A784&lt;&gt;"BL",A784&lt;&gt;"BR",A784&lt;&gt;"BS"),"Type inconnu (BL, BR ou BS)",IF(AG784=0,"Date manquante ou invalide",IF(D784="",IF(A784="BL","Client manquant",IF(A784="BR","Fournisseur manquant","Service manquant")),IF(IF(A784="BL",ISNA(MATCH(D784,cl_code,0)),IF(A784="BR",ISNA(MATCH(D784,fo_code,0)),ISNA(MATCH(D784,p_services,0)))),IF(A784="BL","Client inconnu",IF(A784="BR","Fournisseur inconnu","Service inconnu")),IF(H784="","Article manquant",IF(ISNA(MATCH(H784,art_ref,0)),"Article inconnu",IF(OR(NOT(ISNUMBER(L784)),N(L784)&lt;=0),"Quantité invalide",IF(AND(K784&lt;&gt;"",OR(NOT(ISNUMBER(K784)),N(K784)&lt;=0)),"Qté commandée invalide",IF(AG784&lt;SUMPRODUCT(MAX((A$6:A783=A784)*AG$6:AG783)),"Date antérieure au bon précédent",IF(AND(A784&lt;&gt;"BR",ISNUMBER(M784),N(M784)&gt;0),IF(A784="BL","Livré plus que commandé","Sorti plus que demandé"),"OK"))))))))))))</f>
        <v/>
      </c>
      <c r="Y784" s="57" t="str">
        <f>IF(AND(OR(A784="BL",A784="BR",A784="BS"),AG784&gt;0,D784&lt;&gt;""),A784&amp;"|"&amp;AG784&amp;"|"&amp;D784&amp;"|"&amp;F784,"")</f>
        <v/>
      </c>
      <c r="Z784" s="57" t="str">
        <f>IF(Y784="","",IF(COUNTIF(Y$6:Y783,Y784)=0,1,0))</f>
        <v/>
      </c>
      <c r="AA784" s="57" t="str">
        <f>IF(Y784="","",IF(Z784=1,COUNTIFS(A$6:A784,A784,Z$6:Z784,1),INDEX(AA$6:AA783,MATCH(Y784,Y$6:Y783,0))))</f>
        <v/>
      </c>
      <c r="AB784" s="57" t="str">
        <f>IF(B784="","",COUNTIF(B$6:B784,B784))</f>
        <v/>
      </c>
      <c r="AC784" s="57" t="str">
        <f>IF(B784="","",B784&amp;"#"&amp;AB784)</f>
        <v/>
      </c>
      <c r="AD784" s="57" t="str">
        <f>IF(Z784=1,A784&amp;AA784,"")</f>
        <v/>
      </c>
      <c r="AE784" s="57" t="str">
        <f>IF(B784="","",YEAR(C784))</f>
        <v/>
      </c>
      <c r="AF784" s="57" t="str">
        <f>IF(B784="","",MONTH(C784))</f>
        <v/>
      </c>
      <c r="AG784" s="57">
        <f>IF(ISNUMBER(C784),C784,0)</f>
        <v>0.0</v>
      </c>
      <c r="AH784" s="57" t="str">
        <f>IF(N(W784)&gt;0,COUNTIF(W$6:W784,"&gt;0"),"")</f>
        <v/>
      </c>
      <c r="AI784" s="57" t="str">
        <f>IF(Z784=1,COUNTIF(Z$6:Z784,1),"")</f>
        <v/>
      </c>
    </row>
    <row r="785">
      <c r="A785" s="54" t="n"/>
      <c r="B785" s="55" t="str">
        <f>IF(AA785="","",A785&amp;"-"&amp;RIGHT("000"&amp;AA785,4))</f>
        <v/>
      </c>
      <c r="C785" s="56" t="n"/>
      <c r="D785" s="54" t="n"/>
      <c r="E785" s="57" t="str">
        <f>IF(D785="","",IF(A785="BL",IFERROR(INDEX(cl_name,MATCH(D785,cl_code,0))&amp;"","Client inconnu"),IF(A785="BR",IFERROR(INDEX(fo_name,MATCH(D785,fo_code,0))&amp;"","Fournisseur inconnu"),IF(A785="BS",IF(ISNA(MATCH(D785,p_services,0)),"Service inconnu",D785&amp;""),""))))</f>
        <v/>
      </c>
      <c r="F785" s="58" t="n"/>
      <c r="G785" s="58" t="n"/>
      <c r="H785" s="59" t="n"/>
      <c r="I785" s="57" t="str">
        <f>IF(H785="","",IFERROR(INDEX(art_des,MATCH(H785,art_ref,0))&amp;"","Article inconnu"))</f>
        <v/>
      </c>
      <c r="J785" s="60" t="str">
        <f>IF(H785="","",IFERROR(INDEX(art_unit,MATCH(H785,art_ref,0))&amp;"",""))</f>
        <v/>
      </c>
      <c r="K785" s="59" t="n"/>
      <c r="L785" s="59" t="n"/>
      <c r="M785" s="61" t="str">
        <f>IF(OR(B785="",NOT(ISNUMBER(K785)),NOT(ISNUMBER(L785))),"",IF(OR(K785&lt;=0,L785&lt;=0),"",ROUND(L785-K785,6)))</f>
        <v/>
      </c>
      <c r="N785" s="58" t="n"/>
      <c r="O785" s="62" t="n"/>
      <c r="P785" s="63" t="str">
        <f>IF(OR(B785="",NOT(ISNUMBER(L785))),"",IF(L785&lt;=0,"",IFERROR(ROUND(L785*N(INDEX(art_w,MATCH(H785,art_ref,0))),3),"")))</f>
        <v/>
      </c>
      <c r="Q785" s="59" t="n"/>
      <c r="R785" s="54" t="n"/>
      <c r="S785" s="59" t="n"/>
      <c r="T785" s="59" t="n"/>
      <c r="U785" s="64" t="str">
        <f>IF(OR(B785="",H785=""),"",IFERROR(IF(A785="BL",IF(N(INDEX(art_price,MATCH(H785,art_ref,0)))=0,"",N(INDEX(art_price,MATCH(H785,art_ref,0)))),IF(N(INDEX(art_cost,MATCH(H785,art_ref,0)))=0,"",N(INDEX(art_cost,MATCH(H785,art_ref,0))))),""))</f>
        <v/>
      </c>
      <c r="V785" s="64" t="str">
        <f>IF(OR(U785="",NOT(ISNUMBER(L785))),"",IF(L785&lt;=0,"",ROUND(L785*U785,2)))</f>
        <v/>
      </c>
      <c r="W785" s="60" t="str">
        <f>IF(AND(B785&lt;&gt;"",A785&lt;&gt;"BS",F785&lt;&gt;"",H785&lt;&gt;"",ISNUMBER(K785),ISNUMBER(L785)),IF(AND(K785&gt;0,L785&gt;0,K785-L785&gt;0,COUNTIFS(A786:A$2005,A785,F786:F$2005,F785,H786:H$2005,H785,AA786:AA$2005,"&gt;0")=0),ROUND(K785-L785,6),""),"")</f>
        <v/>
      </c>
      <c r="X785" s="60" t="str">
        <f>IF(AND(A785="",C785="",D785="",H785="",L785=""),"",IF(A785="","Type manquant",IF(AND(A785&lt;&gt;"BL",A785&lt;&gt;"BR",A785&lt;&gt;"BS"),"Type inconnu (BL, BR ou BS)",IF(AG785=0,"Date manquante ou invalide",IF(D785="",IF(A785="BL","Client manquant",IF(A785="BR","Fournisseur manquant","Service manquant")),IF(IF(A785="BL",ISNA(MATCH(D785,cl_code,0)),IF(A785="BR",ISNA(MATCH(D785,fo_code,0)),ISNA(MATCH(D785,p_services,0)))),IF(A785="BL","Client inconnu",IF(A785="BR","Fournisseur inconnu","Service inconnu")),IF(H785="","Article manquant",IF(ISNA(MATCH(H785,art_ref,0)),"Article inconnu",IF(OR(NOT(ISNUMBER(L785)),N(L785)&lt;=0),"Quantité invalide",IF(AND(K785&lt;&gt;"",OR(NOT(ISNUMBER(K785)),N(K785)&lt;=0)),"Qté commandée invalide",IF(AG785&lt;SUMPRODUCT(MAX((A$6:A784=A785)*AG$6:AG784)),"Date antérieure au bon précédent",IF(AND(A785&lt;&gt;"BR",ISNUMBER(M785),N(M785)&gt;0),IF(A785="BL","Livré plus que commandé","Sorti plus que demandé"),"OK"))))))))))))</f>
        <v/>
      </c>
      <c r="Y785" s="57" t="str">
        <f>IF(AND(OR(A785="BL",A785="BR",A785="BS"),AG785&gt;0,D785&lt;&gt;""),A785&amp;"|"&amp;AG785&amp;"|"&amp;D785&amp;"|"&amp;F785,"")</f>
        <v/>
      </c>
      <c r="Z785" s="57" t="str">
        <f>IF(Y785="","",IF(COUNTIF(Y$6:Y784,Y785)=0,1,0))</f>
        <v/>
      </c>
      <c r="AA785" s="57" t="str">
        <f>IF(Y785="","",IF(Z785=1,COUNTIFS(A$6:A785,A785,Z$6:Z785,1),INDEX(AA$6:AA784,MATCH(Y785,Y$6:Y784,0))))</f>
        <v/>
      </c>
      <c r="AB785" s="57" t="str">
        <f>IF(B785="","",COUNTIF(B$6:B785,B785))</f>
        <v/>
      </c>
      <c r="AC785" s="57" t="str">
        <f>IF(B785="","",B785&amp;"#"&amp;AB785)</f>
        <v/>
      </c>
      <c r="AD785" s="57" t="str">
        <f>IF(Z785=1,A785&amp;AA785,"")</f>
        <v/>
      </c>
      <c r="AE785" s="57" t="str">
        <f>IF(B785="","",YEAR(C785))</f>
        <v/>
      </c>
      <c r="AF785" s="57" t="str">
        <f>IF(B785="","",MONTH(C785))</f>
        <v/>
      </c>
      <c r="AG785" s="57">
        <f>IF(ISNUMBER(C785),C785,0)</f>
        <v>0.0</v>
      </c>
      <c r="AH785" s="57" t="str">
        <f>IF(N(W785)&gt;0,COUNTIF(W$6:W785,"&gt;0"),"")</f>
        <v/>
      </c>
      <c r="AI785" s="57" t="str">
        <f>IF(Z785=1,COUNTIF(Z$6:Z785,1),"")</f>
        <v/>
      </c>
    </row>
    <row r="786">
      <c r="A786" s="54" t="n"/>
      <c r="B786" s="55" t="str">
        <f>IF(AA786="","",A786&amp;"-"&amp;RIGHT("000"&amp;AA786,4))</f>
        <v/>
      </c>
      <c r="C786" s="56" t="n"/>
      <c r="D786" s="54" t="n"/>
      <c r="E786" s="57" t="str">
        <f>IF(D786="","",IF(A786="BL",IFERROR(INDEX(cl_name,MATCH(D786,cl_code,0))&amp;"","Client inconnu"),IF(A786="BR",IFERROR(INDEX(fo_name,MATCH(D786,fo_code,0))&amp;"","Fournisseur inconnu"),IF(A786="BS",IF(ISNA(MATCH(D786,p_services,0)),"Service inconnu",D786&amp;""),""))))</f>
        <v/>
      </c>
      <c r="F786" s="58" t="n"/>
      <c r="G786" s="58" t="n"/>
      <c r="H786" s="59" t="n"/>
      <c r="I786" s="57" t="str">
        <f>IF(H786="","",IFERROR(INDEX(art_des,MATCH(H786,art_ref,0))&amp;"","Article inconnu"))</f>
        <v/>
      </c>
      <c r="J786" s="60" t="str">
        <f>IF(H786="","",IFERROR(INDEX(art_unit,MATCH(H786,art_ref,0))&amp;"",""))</f>
        <v/>
      </c>
      <c r="K786" s="59" t="n"/>
      <c r="L786" s="59" t="n"/>
      <c r="M786" s="61" t="str">
        <f>IF(OR(B786="",NOT(ISNUMBER(K786)),NOT(ISNUMBER(L786))),"",IF(OR(K786&lt;=0,L786&lt;=0),"",ROUND(L786-K786,6)))</f>
        <v/>
      </c>
      <c r="N786" s="58" t="n"/>
      <c r="O786" s="62" t="n"/>
      <c r="P786" s="63" t="str">
        <f>IF(OR(B786="",NOT(ISNUMBER(L786))),"",IF(L786&lt;=0,"",IFERROR(ROUND(L786*N(INDEX(art_w,MATCH(H786,art_ref,0))),3),"")))</f>
        <v/>
      </c>
      <c r="Q786" s="59" t="n"/>
      <c r="R786" s="54" t="n"/>
      <c r="S786" s="59" t="n"/>
      <c r="T786" s="59" t="n"/>
      <c r="U786" s="64" t="str">
        <f>IF(OR(B786="",H786=""),"",IFERROR(IF(A786="BL",IF(N(INDEX(art_price,MATCH(H786,art_ref,0)))=0,"",N(INDEX(art_price,MATCH(H786,art_ref,0)))),IF(N(INDEX(art_cost,MATCH(H786,art_ref,0)))=0,"",N(INDEX(art_cost,MATCH(H786,art_ref,0))))),""))</f>
        <v/>
      </c>
      <c r="V786" s="64" t="str">
        <f>IF(OR(U786="",NOT(ISNUMBER(L786))),"",IF(L786&lt;=0,"",ROUND(L786*U786,2)))</f>
        <v/>
      </c>
      <c r="W786" s="60" t="str">
        <f>IF(AND(B786&lt;&gt;"",A786&lt;&gt;"BS",F786&lt;&gt;"",H786&lt;&gt;"",ISNUMBER(K786),ISNUMBER(L786)),IF(AND(K786&gt;0,L786&gt;0,K786-L786&gt;0,COUNTIFS(A787:A$2005,A786,F787:F$2005,F786,H787:H$2005,H786,AA787:AA$2005,"&gt;0")=0),ROUND(K786-L786,6),""),"")</f>
        <v/>
      </c>
      <c r="X786" s="60" t="str">
        <f>IF(AND(A786="",C786="",D786="",H786="",L786=""),"",IF(A786="","Type manquant",IF(AND(A786&lt;&gt;"BL",A786&lt;&gt;"BR",A786&lt;&gt;"BS"),"Type inconnu (BL, BR ou BS)",IF(AG786=0,"Date manquante ou invalide",IF(D786="",IF(A786="BL","Client manquant",IF(A786="BR","Fournisseur manquant","Service manquant")),IF(IF(A786="BL",ISNA(MATCH(D786,cl_code,0)),IF(A786="BR",ISNA(MATCH(D786,fo_code,0)),ISNA(MATCH(D786,p_services,0)))),IF(A786="BL","Client inconnu",IF(A786="BR","Fournisseur inconnu","Service inconnu")),IF(H786="","Article manquant",IF(ISNA(MATCH(H786,art_ref,0)),"Article inconnu",IF(OR(NOT(ISNUMBER(L786)),N(L786)&lt;=0),"Quantité invalide",IF(AND(K786&lt;&gt;"",OR(NOT(ISNUMBER(K786)),N(K786)&lt;=0)),"Qté commandée invalide",IF(AG786&lt;SUMPRODUCT(MAX((A$6:A785=A786)*AG$6:AG785)),"Date antérieure au bon précédent",IF(AND(A786&lt;&gt;"BR",ISNUMBER(M786),N(M786)&gt;0),IF(A786="BL","Livré plus que commandé","Sorti plus que demandé"),"OK"))))))))))))</f>
        <v/>
      </c>
      <c r="Y786" s="57" t="str">
        <f>IF(AND(OR(A786="BL",A786="BR",A786="BS"),AG786&gt;0,D786&lt;&gt;""),A786&amp;"|"&amp;AG786&amp;"|"&amp;D786&amp;"|"&amp;F786,"")</f>
        <v/>
      </c>
      <c r="Z786" s="57" t="str">
        <f>IF(Y786="","",IF(COUNTIF(Y$6:Y785,Y786)=0,1,0))</f>
        <v/>
      </c>
      <c r="AA786" s="57" t="str">
        <f>IF(Y786="","",IF(Z786=1,COUNTIFS(A$6:A786,A786,Z$6:Z786,1),INDEX(AA$6:AA785,MATCH(Y786,Y$6:Y785,0))))</f>
        <v/>
      </c>
      <c r="AB786" s="57" t="str">
        <f>IF(B786="","",COUNTIF(B$6:B786,B786))</f>
        <v/>
      </c>
      <c r="AC786" s="57" t="str">
        <f>IF(B786="","",B786&amp;"#"&amp;AB786)</f>
        <v/>
      </c>
      <c r="AD786" s="57" t="str">
        <f>IF(Z786=1,A786&amp;AA786,"")</f>
        <v/>
      </c>
      <c r="AE786" s="57" t="str">
        <f>IF(B786="","",YEAR(C786))</f>
        <v/>
      </c>
      <c r="AF786" s="57" t="str">
        <f>IF(B786="","",MONTH(C786))</f>
        <v/>
      </c>
      <c r="AG786" s="57">
        <f>IF(ISNUMBER(C786),C786,0)</f>
        <v>0.0</v>
      </c>
      <c r="AH786" s="57" t="str">
        <f>IF(N(W786)&gt;0,COUNTIF(W$6:W786,"&gt;0"),"")</f>
        <v/>
      </c>
      <c r="AI786" s="57" t="str">
        <f>IF(Z786=1,COUNTIF(Z$6:Z786,1),"")</f>
        <v/>
      </c>
    </row>
    <row r="787">
      <c r="A787" s="54" t="n"/>
      <c r="B787" s="55" t="str">
        <f>IF(AA787="","",A787&amp;"-"&amp;RIGHT("000"&amp;AA787,4))</f>
        <v/>
      </c>
      <c r="C787" s="56" t="n"/>
      <c r="D787" s="54" t="n"/>
      <c r="E787" s="57" t="str">
        <f>IF(D787="","",IF(A787="BL",IFERROR(INDEX(cl_name,MATCH(D787,cl_code,0))&amp;"","Client inconnu"),IF(A787="BR",IFERROR(INDEX(fo_name,MATCH(D787,fo_code,0))&amp;"","Fournisseur inconnu"),IF(A787="BS",IF(ISNA(MATCH(D787,p_services,0)),"Service inconnu",D787&amp;""),""))))</f>
        <v/>
      </c>
      <c r="F787" s="58" t="n"/>
      <c r="G787" s="58" t="n"/>
      <c r="H787" s="59" t="n"/>
      <c r="I787" s="57" t="str">
        <f>IF(H787="","",IFERROR(INDEX(art_des,MATCH(H787,art_ref,0))&amp;"","Article inconnu"))</f>
        <v/>
      </c>
      <c r="J787" s="60" t="str">
        <f>IF(H787="","",IFERROR(INDEX(art_unit,MATCH(H787,art_ref,0))&amp;"",""))</f>
        <v/>
      </c>
      <c r="K787" s="59" t="n"/>
      <c r="L787" s="59" t="n"/>
      <c r="M787" s="61" t="str">
        <f>IF(OR(B787="",NOT(ISNUMBER(K787)),NOT(ISNUMBER(L787))),"",IF(OR(K787&lt;=0,L787&lt;=0),"",ROUND(L787-K787,6)))</f>
        <v/>
      </c>
      <c r="N787" s="58" t="n"/>
      <c r="O787" s="62" t="n"/>
      <c r="P787" s="63" t="str">
        <f>IF(OR(B787="",NOT(ISNUMBER(L787))),"",IF(L787&lt;=0,"",IFERROR(ROUND(L787*N(INDEX(art_w,MATCH(H787,art_ref,0))),3),"")))</f>
        <v/>
      </c>
      <c r="Q787" s="59" t="n"/>
      <c r="R787" s="54" t="n"/>
      <c r="S787" s="59" t="n"/>
      <c r="T787" s="59" t="n"/>
      <c r="U787" s="64" t="str">
        <f>IF(OR(B787="",H787=""),"",IFERROR(IF(A787="BL",IF(N(INDEX(art_price,MATCH(H787,art_ref,0)))=0,"",N(INDEX(art_price,MATCH(H787,art_ref,0)))),IF(N(INDEX(art_cost,MATCH(H787,art_ref,0)))=0,"",N(INDEX(art_cost,MATCH(H787,art_ref,0))))),""))</f>
        <v/>
      </c>
      <c r="V787" s="64" t="str">
        <f>IF(OR(U787="",NOT(ISNUMBER(L787))),"",IF(L787&lt;=0,"",ROUND(L787*U787,2)))</f>
        <v/>
      </c>
      <c r="W787" s="60" t="str">
        <f>IF(AND(B787&lt;&gt;"",A787&lt;&gt;"BS",F787&lt;&gt;"",H787&lt;&gt;"",ISNUMBER(K787),ISNUMBER(L787)),IF(AND(K787&gt;0,L787&gt;0,K787-L787&gt;0,COUNTIFS(A788:A$2005,A787,F788:F$2005,F787,H788:H$2005,H787,AA788:AA$2005,"&gt;0")=0),ROUND(K787-L787,6),""),"")</f>
        <v/>
      </c>
      <c r="X787" s="60" t="str">
        <f>IF(AND(A787="",C787="",D787="",H787="",L787=""),"",IF(A787="","Type manquant",IF(AND(A787&lt;&gt;"BL",A787&lt;&gt;"BR",A787&lt;&gt;"BS"),"Type inconnu (BL, BR ou BS)",IF(AG787=0,"Date manquante ou invalide",IF(D787="",IF(A787="BL","Client manquant",IF(A787="BR","Fournisseur manquant","Service manquant")),IF(IF(A787="BL",ISNA(MATCH(D787,cl_code,0)),IF(A787="BR",ISNA(MATCH(D787,fo_code,0)),ISNA(MATCH(D787,p_services,0)))),IF(A787="BL","Client inconnu",IF(A787="BR","Fournisseur inconnu","Service inconnu")),IF(H787="","Article manquant",IF(ISNA(MATCH(H787,art_ref,0)),"Article inconnu",IF(OR(NOT(ISNUMBER(L787)),N(L787)&lt;=0),"Quantité invalide",IF(AND(K787&lt;&gt;"",OR(NOT(ISNUMBER(K787)),N(K787)&lt;=0)),"Qté commandée invalide",IF(AG787&lt;SUMPRODUCT(MAX((A$6:A786=A787)*AG$6:AG786)),"Date antérieure au bon précédent",IF(AND(A787&lt;&gt;"BR",ISNUMBER(M787),N(M787)&gt;0),IF(A787="BL","Livré plus que commandé","Sorti plus que demandé"),"OK"))))))))))))</f>
        <v/>
      </c>
      <c r="Y787" s="57" t="str">
        <f>IF(AND(OR(A787="BL",A787="BR",A787="BS"),AG787&gt;0,D787&lt;&gt;""),A787&amp;"|"&amp;AG787&amp;"|"&amp;D787&amp;"|"&amp;F787,"")</f>
        <v/>
      </c>
      <c r="Z787" s="57" t="str">
        <f>IF(Y787="","",IF(COUNTIF(Y$6:Y786,Y787)=0,1,0))</f>
        <v/>
      </c>
      <c r="AA787" s="57" t="str">
        <f>IF(Y787="","",IF(Z787=1,COUNTIFS(A$6:A787,A787,Z$6:Z787,1),INDEX(AA$6:AA786,MATCH(Y787,Y$6:Y786,0))))</f>
        <v/>
      </c>
      <c r="AB787" s="57" t="str">
        <f>IF(B787="","",COUNTIF(B$6:B787,B787))</f>
        <v/>
      </c>
      <c r="AC787" s="57" t="str">
        <f>IF(B787="","",B787&amp;"#"&amp;AB787)</f>
        <v/>
      </c>
      <c r="AD787" s="57" t="str">
        <f>IF(Z787=1,A787&amp;AA787,"")</f>
        <v/>
      </c>
      <c r="AE787" s="57" t="str">
        <f>IF(B787="","",YEAR(C787))</f>
        <v/>
      </c>
      <c r="AF787" s="57" t="str">
        <f>IF(B787="","",MONTH(C787))</f>
        <v/>
      </c>
      <c r="AG787" s="57">
        <f>IF(ISNUMBER(C787),C787,0)</f>
        <v>0.0</v>
      </c>
      <c r="AH787" s="57" t="str">
        <f>IF(N(W787)&gt;0,COUNTIF(W$6:W787,"&gt;0"),"")</f>
        <v/>
      </c>
      <c r="AI787" s="57" t="str">
        <f>IF(Z787=1,COUNTIF(Z$6:Z787,1),"")</f>
        <v/>
      </c>
    </row>
    <row r="788">
      <c r="A788" s="54" t="n"/>
      <c r="B788" s="55" t="str">
        <f>IF(AA788="","",A788&amp;"-"&amp;RIGHT("000"&amp;AA788,4))</f>
        <v/>
      </c>
      <c r="C788" s="56" t="n"/>
      <c r="D788" s="54" t="n"/>
      <c r="E788" s="57" t="str">
        <f>IF(D788="","",IF(A788="BL",IFERROR(INDEX(cl_name,MATCH(D788,cl_code,0))&amp;"","Client inconnu"),IF(A788="BR",IFERROR(INDEX(fo_name,MATCH(D788,fo_code,0))&amp;"","Fournisseur inconnu"),IF(A788="BS",IF(ISNA(MATCH(D788,p_services,0)),"Service inconnu",D788&amp;""),""))))</f>
        <v/>
      </c>
      <c r="F788" s="58" t="n"/>
      <c r="G788" s="58" t="n"/>
      <c r="H788" s="59" t="n"/>
      <c r="I788" s="57" t="str">
        <f>IF(H788="","",IFERROR(INDEX(art_des,MATCH(H788,art_ref,0))&amp;"","Article inconnu"))</f>
        <v/>
      </c>
      <c r="J788" s="60" t="str">
        <f>IF(H788="","",IFERROR(INDEX(art_unit,MATCH(H788,art_ref,0))&amp;"",""))</f>
        <v/>
      </c>
      <c r="K788" s="59" t="n"/>
      <c r="L788" s="59" t="n"/>
      <c r="M788" s="61" t="str">
        <f>IF(OR(B788="",NOT(ISNUMBER(K788)),NOT(ISNUMBER(L788))),"",IF(OR(K788&lt;=0,L788&lt;=0),"",ROUND(L788-K788,6)))</f>
        <v/>
      </c>
      <c r="N788" s="58" t="n"/>
      <c r="O788" s="62" t="n"/>
      <c r="P788" s="63" t="str">
        <f>IF(OR(B788="",NOT(ISNUMBER(L788))),"",IF(L788&lt;=0,"",IFERROR(ROUND(L788*N(INDEX(art_w,MATCH(H788,art_ref,0))),3),"")))</f>
        <v/>
      </c>
      <c r="Q788" s="59" t="n"/>
      <c r="R788" s="54" t="n"/>
      <c r="S788" s="59" t="n"/>
      <c r="T788" s="59" t="n"/>
      <c r="U788" s="64" t="str">
        <f>IF(OR(B788="",H788=""),"",IFERROR(IF(A788="BL",IF(N(INDEX(art_price,MATCH(H788,art_ref,0)))=0,"",N(INDEX(art_price,MATCH(H788,art_ref,0)))),IF(N(INDEX(art_cost,MATCH(H788,art_ref,0)))=0,"",N(INDEX(art_cost,MATCH(H788,art_ref,0))))),""))</f>
        <v/>
      </c>
      <c r="V788" s="64" t="str">
        <f>IF(OR(U788="",NOT(ISNUMBER(L788))),"",IF(L788&lt;=0,"",ROUND(L788*U788,2)))</f>
        <v/>
      </c>
      <c r="W788" s="60" t="str">
        <f>IF(AND(B788&lt;&gt;"",A788&lt;&gt;"BS",F788&lt;&gt;"",H788&lt;&gt;"",ISNUMBER(K788),ISNUMBER(L788)),IF(AND(K788&gt;0,L788&gt;0,K788-L788&gt;0,COUNTIFS(A789:A$2005,A788,F789:F$2005,F788,H789:H$2005,H788,AA789:AA$2005,"&gt;0")=0),ROUND(K788-L788,6),""),"")</f>
        <v/>
      </c>
      <c r="X788" s="60" t="str">
        <f>IF(AND(A788="",C788="",D788="",H788="",L788=""),"",IF(A788="","Type manquant",IF(AND(A788&lt;&gt;"BL",A788&lt;&gt;"BR",A788&lt;&gt;"BS"),"Type inconnu (BL, BR ou BS)",IF(AG788=0,"Date manquante ou invalide",IF(D788="",IF(A788="BL","Client manquant",IF(A788="BR","Fournisseur manquant","Service manquant")),IF(IF(A788="BL",ISNA(MATCH(D788,cl_code,0)),IF(A788="BR",ISNA(MATCH(D788,fo_code,0)),ISNA(MATCH(D788,p_services,0)))),IF(A788="BL","Client inconnu",IF(A788="BR","Fournisseur inconnu","Service inconnu")),IF(H788="","Article manquant",IF(ISNA(MATCH(H788,art_ref,0)),"Article inconnu",IF(OR(NOT(ISNUMBER(L788)),N(L788)&lt;=0),"Quantité invalide",IF(AND(K788&lt;&gt;"",OR(NOT(ISNUMBER(K788)),N(K788)&lt;=0)),"Qté commandée invalide",IF(AG788&lt;SUMPRODUCT(MAX((A$6:A787=A788)*AG$6:AG787)),"Date antérieure au bon précédent",IF(AND(A788&lt;&gt;"BR",ISNUMBER(M788),N(M788)&gt;0),IF(A788="BL","Livré plus que commandé","Sorti plus que demandé"),"OK"))))))))))))</f>
        <v/>
      </c>
      <c r="Y788" s="57" t="str">
        <f>IF(AND(OR(A788="BL",A788="BR",A788="BS"),AG788&gt;0,D788&lt;&gt;""),A788&amp;"|"&amp;AG788&amp;"|"&amp;D788&amp;"|"&amp;F788,"")</f>
        <v/>
      </c>
      <c r="Z788" s="57" t="str">
        <f>IF(Y788="","",IF(COUNTIF(Y$6:Y787,Y788)=0,1,0))</f>
        <v/>
      </c>
      <c r="AA788" s="57" t="str">
        <f>IF(Y788="","",IF(Z788=1,COUNTIFS(A$6:A788,A788,Z$6:Z788,1),INDEX(AA$6:AA787,MATCH(Y788,Y$6:Y787,0))))</f>
        <v/>
      </c>
      <c r="AB788" s="57" t="str">
        <f>IF(B788="","",COUNTIF(B$6:B788,B788))</f>
        <v/>
      </c>
      <c r="AC788" s="57" t="str">
        <f>IF(B788="","",B788&amp;"#"&amp;AB788)</f>
        <v/>
      </c>
      <c r="AD788" s="57" t="str">
        <f>IF(Z788=1,A788&amp;AA788,"")</f>
        <v/>
      </c>
      <c r="AE788" s="57" t="str">
        <f>IF(B788="","",YEAR(C788))</f>
        <v/>
      </c>
      <c r="AF788" s="57" t="str">
        <f>IF(B788="","",MONTH(C788))</f>
        <v/>
      </c>
      <c r="AG788" s="57">
        <f>IF(ISNUMBER(C788),C788,0)</f>
        <v>0.0</v>
      </c>
      <c r="AH788" s="57" t="str">
        <f>IF(N(W788)&gt;0,COUNTIF(W$6:W788,"&gt;0"),"")</f>
        <v/>
      </c>
      <c r="AI788" s="57" t="str">
        <f>IF(Z788=1,COUNTIF(Z$6:Z788,1),"")</f>
        <v/>
      </c>
    </row>
    <row r="789">
      <c r="A789" s="54" t="n"/>
      <c r="B789" s="55" t="str">
        <f>IF(AA789="","",A789&amp;"-"&amp;RIGHT("000"&amp;AA789,4))</f>
        <v/>
      </c>
      <c r="C789" s="56" t="n"/>
      <c r="D789" s="54" t="n"/>
      <c r="E789" s="57" t="str">
        <f>IF(D789="","",IF(A789="BL",IFERROR(INDEX(cl_name,MATCH(D789,cl_code,0))&amp;"","Client inconnu"),IF(A789="BR",IFERROR(INDEX(fo_name,MATCH(D789,fo_code,0))&amp;"","Fournisseur inconnu"),IF(A789="BS",IF(ISNA(MATCH(D789,p_services,0)),"Service inconnu",D789&amp;""),""))))</f>
        <v/>
      </c>
      <c r="F789" s="58" t="n"/>
      <c r="G789" s="58" t="n"/>
      <c r="H789" s="59" t="n"/>
      <c r="I789" s="57" t="str">
        <f>IF(H789="","",IFERROR(INDEX(art_des,MATCH(H789,art_ref,0))&amp;"","Article inconnu"))</f>
        <v/>
      </c>
      <c r="J789" s="60" t="str">
        <f>IF(H789="","",IFERROR(INDEX(art_unit,MATCH(H789,art_ref,0))&amp;"",""))</f>
        <v/>
      </c>
      <c r="K789" s="59" t="n"/>
      <c r="L789" s="59" t="n"/>
      <c r="M789" s="61" t="str">
        <f>IF(OR(B789="",NOT(ISNUMBER(K789)),NOT(ISNUMBER(L789))),"",IF(OR(K789&lt;=0,L789&lt;=0),"",ROUND(L789-K789,6)))</f>
        <v/>
      </c>
      <c r="N789" s="58" t="n"/>
      <c r="O789" s="62" t="n"/>
      <c r="P789" s="63" t="str">
        <f>IF(OR(B789="",NOT(ISNUMBER(L789))),"",IF(L789&lt;=0,"",IFERROR(ROUND(L789*N(INDEX(art_w,MATCH(H789,art_ref,0))),3),"")))</f>
        <v/>
      </c>
      <c r="Q789" s="59" t="n"/>
      <c r="R789" s="54" t="n"/>
      <c r="S789" s="59" t="n"/>
      <c r="T789" s="59" t="n"/>
      <c r="U789" s="64" t="str">
        <f>IF(OR(B789="",H789=""),"",IFERROR(IF(A789="BL",IF(N(INDEX(art_price,MATCH(H789,art_ref,0)))=0,"",N(INDEX(art_price,MATCH(H789,art_ref,0)))),IF(N(INDEX(art_cost,MATCH(H789,art_ref,0)))=0,"",N(INDEX(art_cost,MATCH(H789,art_ref,0))))),""))</f>
        <v/>
      </c>
      <c r="V789" s="64" t="str">
        <f>IF(OR(U789="",NOT(ISNUMBER(L789))),"",IF(L789&lt;=0,"",ROUND(L789*U789,2)))</f>
        <v/>
      </c>
      <c r="W789" s="60" t="str">
        <f>IF(AND(B789&lt;&gt;"",A789&lt;&gt;"BS",F789&lt;&gt;"",H789&lt;&gt;"",ISNUMBER(K789),ISNUMBER(L789)),IF(AND(K789&gt;0,L789&gt;0,K789-L789&gt;0,COUNTIFS(A790:A$2005,A789,F790:F$2005,F789,H790:H$2005,H789,AA790:AA$2005,"&gt;0")=0),ROUND(K789-L789,6),""),"")</f>
        <v/>
      </c>
      <c r="X789" s="60" t="str">
        <f>IF(AND(A789="",C789="",D789="",H789="",L789=""),"",IF(A789="","Type manquant",IF(AND(A789&lt;&gt;"BL",A789&lt;&gt;"BR",A789&lt;&gt;"BS"),"Type inconnu (BL, BR ou BS)",IF(AG789=0,"Date manquante ou invalide",IF(D789="",IF(A789="BL","Client manquant",IF(A789="BR","Fournisseur manquant","Service manquant")),IF(IF(A789="BL",ISNA(MATCH(D789,cl_code,0)),IF(A789="BR",ISNA(MATCH(D789,fo_code,0)),ISNA(MATCH(D789,p_services,0)))),IF(A789="BL","Client inconnu",IF(A789="BR","Fournisseur inconnu","Service inconnu")),IF(H789="","Article manquant",IF(ISNA(MATCH(H789,art_ref,0)),"Article inconnu",IF(OR(NOT(ISNUMBER(L789)),N(L789)&lt;=0),"Quantité invalide",IF(AND(K789&lt;&gt;"",OR(NOT(ISNUMBER(K789)),N(K789)&lt;=0)),"Qté commandée invalide",IF(AG789&lt;SUMPRODUCT(MAX((A$6:A788=A789)*AG$6:AG788)),"Date antérieure au bon précédent",IF(AND(A789&lt;&gt;"BR",ISNUMBER(M789),N(M789)&gt;0),IF(A789="BL","Livré plus que commandé","Sorti plus que demandé"),"OK"))))))))))))</f>
        <v/>
      </c>
      <c r="Y789" s="57" t="str">
        <f>IF(AND(OR(A789="BL",A789="BR",A789="BS"),AG789&gt;0,D789&lt;&gt;""),A789&amp;"|"&amp;AG789&amp;"|"&amp;D789&amp;"|"&amp;F789,"")</f>
        <v/>
      </c>
      <c r="Z789" s="57" t="str">
        <f>IF(Y789="","",IF(COUNTIF(Y$6:Y788,Y789)=0,1,0))</f>
        <v/>
      </c>
      <c r="AA789" s="57" t="str">
        <f>IF(Y789="","",IF(Z789=1,COUNTIFS(A$6:A789,A789,Z$6:Z789,1),INDEX(AA$6:AA788,MATCH(Y789,Y$6:Y788,0))))</f>
        <v/>
      </c>
      <c r="AB789" s="57" t="str">
        <f>IF(B789="","",COUNTIF(B$6:B789,B789))</f>
        <v/>
      </c>
      <c r="AC789" s="57" t="str">
        <f>IF(B789="","",B789&amp;"#"&amp;AB789)</f>
        <v/>
      </c>
      <c r="AD789" s="57" t="str">
        <f>IF(Z789=1,A789&amp;AA789,"")</f>
        <v/>
      </c>
      <c r="AE789" s="57" t="str">
        <f>IF(B789="","",YEAR(C789))</f>
        <v/>
      </c>
      <c r="AF789" s="57" t="str">
        <f>IF(B789="","",MONTH(C789))</f>
        <v/>
      </c>
      <c r="AG789" s="57">
        <f>IF(ISNUMBER(C789),C789,0)</f>
        <v>0.0</v>
      </c>
      <c r="AH789" s="57" t="str">
        <f>IF(N(W789)&gt;0,COUNTIF(W$6:W789,"&gt;0"),"")</f>
        <v/>
      </c>
      <c r="AI789" s="57" t="str">
        <f>IF(Z789=1,COUNTIF(Z$6:Z789,1),"")</f>
        <v/>
      </c>
    </row>
    <row r="790">
      <c r="A790" s="54" t="n"/>
      <c r="B790" s="55" t="str">
        <f>IF(AA790="","",A790&amp;"-"&amp;RIGHT("000"&amp;AA790,4))</f>
        <v/>
      </c>
      <c r="C790" s="56" t="n"/>
      <c r="D790" s="54" t="n"/>
      <c r="E790" s="57" t="str">
        <f>IF(D790="","",IF(A790="BL",IFERROR(INDEX(cl_name,MATCH(D790,cl_code,0))&amp;"","Client inconnu"),IF(A790="BR",IFERROR(INDEX(fo_name,MATCH(D790,fo_code,0))&amp;"","Fournisseur inconnu"),IF(A790="BS",IF(ISNA(MATCH(D790,p_services,0)),"Service inconnu",D790&amp;""),""))))</f>
        <v/>
      </c>
      <c r="F790" s="58" t="n"/>
      <c r="G790" s="58" t="n"/>
      <c r="H790" s="59" t="n"/>
      <c r="I790" s="57" t="str">
        <f>IF(H790="","",IFERROR(INDEX(art_des,MATCH(H790,art_ref,0))&amp;"","Article inconnu"))</f>
        <v/>
      </c>
      <c r="J790" s="60" t="str">
        <f>IF(H790="","",IFERROR(INDEX(art_unit,MATCH(H790,art_ref,0))&amp;"",""))</f>
        <v/>
      </c>
      <c r="K790" s="59" t="n"/>
      <c r="L790" s="59" t="n"/>
      <c r="M790" s="61" t="str">
        <f>IF(OR(B790="",NOT(ISNUMBER(K790)),NOT(ISNUMBER(L790))),"",IF(OR(K790&lt;=0,L790&lt;=0),"",ROUND(L790-K790,6)))</f>
        <v/>
      </c>
      <c r="N790" s="58" t="n"/>
      <c r="O790" s="62" t="n"/>
      <c r="P790" s="63" t="str">
        <f>IF(OR(B790="",NOT(ISNUMBER(L790))),"",IF(L790&lt;=0,"",IFERROR(ROUND(L790*N(INDEX(art_w,MATCH(H790,art_ref,0))),3),"")))</f>
        <v/>
      </c>
      <c r="Q790" s="59" t="n"/>
      <c r="R790" s="54" t="n"/>
      <c r="S790" s="59" t="n"/>
      <c r="T790" s="59" t="n"/>
      <c r="U790" s="64" t="str">
        <f>IF(OR(B790="",H790=""),"",IFERROR(IF(A790="BL",IF(N(INDEX(art_price,MATCH(H790,art_ref,0)))=0,"",N(INDEX(art_price,MATCH(H790,art_ref,0)))),IF(N(INDEX(art_cost,MATCH(H790,art_ref,0)))=0,"",N(INDEX(art_cost,MATCH(H790,art_ref,0))))),""))</f>
        <v/>
      </c>
      <c r="V790" s="64" t="str">
        <f>IF(OR(U790="",NOT(ISNUMBER(L790))),"",IF(L790&lt;=0,"",ROUND(L790*U790,2)))</f>
        <v/>
      </c>
      <c r="W790" s="60" t="str">
        <f>IF(AND(B790&lt;&gt;"",A790&lt;&gt;"BS",F790&lt;&gt;"",H790&lt;&gt;"",ISNUMBER(K790),ISNUMBER(L790)),IF(AND(K790&gt;0,L790&gt;0,K790-L790&gt;0,COUNTIFS(A791:A$2005,A790,F791:F$2005,F790,H791:H$2005,H790,AA791:AA$2005,"&gt;0")=0),ROUND(K790-L790,6),""),"")</f>
        <v/>
      </c>
      <c r="X790" s="60" t="str">
        <f>IF(AND(A790="",C790="",D790="",H790="",L790=""),"",IF(A790="","Type manquant",IF(AND(A790&lt;&gt;"BL",A790&lt;&gt;"BR",A790&lt;&gt;"BS"),"Type inconnu (BL, BR ou BS)",IF(AG790=0,"Date manquante ou invalide",IF(D790="",IF(A790="BL","Client manquant",IF(A790="BR","Fournisseur manquant","Service manquant")),IF(IF(A790="BL",ISNA(MATCH(D790,cl_code,0)),IF(A790="BR",ISNA(MATCH(D790,fo_code,0)),ISNA(MATCH(D790,p_services,0)))),IF(A790="BL","Client inconnu",IF(A790="BR","Fournisseur inconnu","Service inconnu")),IF(H790="","Article manquant",IF(ISNA(MATCH(H790,art_ref,0)),"Article inconnu",IF(OR(NOT(ISNUMBER(L790)),N(L790)&lt;=0),"Quantité invalide",IF(AND(K790&lt;&gt;"",OR(NOT(ISNUMBER(K790)),N(K790)&lt;=0)),"Qté commandée invalide",IF(AG790&lt;SUMPRODUCT(MAX((A$6:A789=A790)*AG$6:AG789)),"Date antérieure au bon précédent",IF(AND(A790&lt;&gt;"BR",ISNUMBER(M790),N(M790)&gt;0),IF(A790="BL","Livré plus que commandé","Sorti plus que demandé"),"OK"))))))))))))</f>
        <v/>
      </c>
      <c r="Y790" s="57" t="str">
        <f>IF(AND(OR(A790="BL",A790="BR",A790="BS"),AG790&gt;0,D790&lt;&gt;""),A790&amp;"|"&amp;AG790&amp;"|"&amp;D790&amp;"|"&amp;F790,"")</f>
        <v/>
      </c>
      <c r="Z790" s="57" t="str">
        <f>IF(Y790="","",IF(COUNTIF(Y$6:Y789,Y790)=0,1,0))</f>
        <v/>
      </c>
      <c r="AA790" s="57" t="str">
        <f>IF(Y790="","",IF(Z790=1,COUNTIFS(A$6:A790,A790,Z$6:Z790,1),INDEX(AA$6:AA789,MATCH(Y790,Y$6:Y789,0))))</f>
        <v/>
      </c>
      <c r="AB790" s="57" t="str">
        <f>IF(B790="","",COUNTIF(B$6:B790,B790))</f>
        <v/>
      </c>
      <c r="AC790" s="57" t="str">
        <f>IF(B790="","",B790&amp;"#"&amp;AB790)</f>
        <v/>
      </c>
      <c r="AD790" s="57" t="str">
        <f>IF(Z790=1,A790&amp;AA790,"")</f>
        <v/>
      </c>
      <c r="AE790" s="57" t="str">
        <f>IF(B790="","",YEAR(C790))</f>
        <v/>
      </c>
      <c r="AF790" s="57" t="str">
        <f>IF(B790="","",MONTH(C790))</f>
        <v/>
      </c>
      <c r="AG790" s="57">
        <f>IF(ISNUMBER(C790),C790,0)</f>
        <v>0.0</v>
      </c>
      <c r="AH790" s="57" t="str">
        <f>IF(N(W790)&gt;0,COUNTIF(W$6:W790,"&gt;0"),"")</f>
        <v/>
      </c>
      <c r="AI790" s="57" t="str">
        <f>IF(Z790=1,COUNTIF(Z$6:Z790,1),"")</f>
        <v/>
      </c>
    </row>
    <row r="791">
      <c r="A791" s="54" t="n"/>
      <c r="B791" s="55" t="str">
        <f>IF(AA791="","",A791&amp;"-"&amp;RIGHT("000"&amp;AA791,4))</f>
        <v/>
      </c>
      <c r="C791" s="56" t="n"/>
      <c r="D791" s="54" t="n"/>
      <c r="E791" s="57" t="str">
        <f>IF(D791="","",IF(A791="BL",IFERROR(INDEX(cl_name,MATCH(D791,cl_code,0))&amp;"","Client inconnu"),IF(A791="BR",IFERROR(INDEX(fo_name,MATCH(D791,fo_code,0))&amp;"","Fournisseur inconnu"),IF(A791="BS",IF(ISNA(MATCH(D791,p_services,0)),"Service inconnu",D791&amp;""),""))))</f>
        <v/>
      </c>
      <c r="F791" s="58" t="n"/>
      <c r="G791" s="58" t="n"/>
      <c r="H791" s="59" t="n"/>
      <c r="I791" s="57" t="str">
        <f>IF(H791="","",IFERROR(INDEX(art_des,MATCH(H791,art_ref,0))&amp;"","Article inconnu"))</f>
        <v/>
      </c>
      <c r="J791" s="60" t="str">
        <f>IF(H791="","",IFERROR(INDEX(art_unit,MATCH(H791,art_ref,0))&amp;"",""))</f>
        <v/>
      </c>
      <c r="K791" s="59" t="n"/>
      <c r="L791" s="59" t="n"/>
      <c r="M791" s="61" t="str">
        <f>IF(OR(B791="",NOT(ISNUMBER(K791)),NOT(ISNUMBER(L791))),"",IF(OR(K791&lt;=0,L791&lt;=0),"",ROUND(L791-K791,6)))</f>
        <v/>
      </c>
      <c r="N791" s="58" t="n"/>
      <c r="O791" s="62" t="n"/>
      <c r="P791" s="63" t="str">
        <f>IF(OR(B791="",NOT(ISNUMBER(L791))),"",IF(L791&lt;=0,"",IFERROR(ROUND(L791*N(INDEX(art_w,MATCH(H791,art_ref,0))),3),"")))</f>
        <v/>
      </c>
      <c r="Q791" s="59" t="n"/>
      <c r="R791" s="54" t="n"/>
      <c r="S791" s="59" t="n"/>
      <c r="T791" s="59" t="n"/>
      <c r="U791" s="64" t="str">
        <f>IF(OR(B791="",H791=""),"",IFERROR(IF(A791="BL",IF(N(INDEX(art_price,MATCH(H791,art_ref,0)))=0,"",N(INDEX(art_price,MATCH(H791,art_ref,0)))),IF(N(INDEX(art_cost,MATCH(H791,art_ref,0)))=0,"",N(INDEX(art_cost,MATCH(H791,art_ref,0))))),""))</f>
        <v/>
      </c>
      <c r="V791" s="64" t="str">
        <f>IF(OR(U791="",NOT(ISNUMBER(L791))),"",IF(L791&lt;=0,"",ROUND(L791*U791,2)))</f>
        <v/>
      </c>
      <c r="W791" s="60" t="str">
        <f>IF(AND(B791&lt;&gt;"",A791&lt;&gt;"BS",F791&lt;&gt;"",H791&lt;&gt;"",ISNUMBER(K791),ISNUMBER(L791)),IF(AND(K791&gt;0,L791&gt;0,K791-L791&gt;0,COUNTIFS(A792:A$2005,A791,F792:F$2005,F791,H792:H$2005,H791,AA792:AA$2005,"&gt;0")=0),ROUND(K791-L791,6),""),"")</f>
        <v/>
      </c>
      <c r="X791" s="60" t="str">
        <f>IF(AND(A791="",C791="",D791="",H791="",L791=""),"",IF(A791="","Type manquant",IF(AND(A791&lt;&gt;"BL",A791&lt;&gt;"BR",A791&lt;&gt;"BS"),"Type inconnu (BL, BR ou BS)",IF(AG791=0,"Date manquante ou invalide",IF(D791="",IF(A791="BL","Client manquant",IF(A791="BR","Fournisseur manquant","Service manquant")),IF(IF(A791="BL",ISNA(MATCH(D791,cl_code,0)),IF(A791="BR",ISNA(MATCH(D791,fo_code,0)),ISNA(MATCH(D791,p_services,0)))),IF(A791="BL","Client inconnu",IF(A791="BR","Fournisseur inconnu","Service inconnu")),IF(H791="","Article manquant",IF(ISNA(MATCH(H791,art_ref,0)),"Article inconnu",IF(OR(NOT(ISNUMBER(L791)),N(L791)&lt;=0),"Quantité invalide",IF(AND(K791&lt;&gt;"",OR(NOT(ISNUMBER(K791)),N(K791)&lt;=0)),"Qté commandée invalide",IF(AG791&lt;SUMPRODUCT(MAX((A$6:A790=A791)*AG$6:AG790)),"Date antérieure au bon précédent",IF(AND(A791&lt;&gt;"BR",ISNUMBER(M791),N(M791)&gt;0),IF(A791="BL","Livré plus que commandé","Sorti plus que demandé"),"OK"))))))))))))</f>
        <v/>
      </c>
      <c r="Y791" s="57" t="str">
        <f>IF(AND(OR(A791="BL",A791="BR",A791="BS"),AG791&gt;0,D791&lt;&gt;""),A791&amp;"|"&amp;AG791&amp;"|"&amp;D791&amp;"|"&amp;F791,"")</f>
        <v/>
      </c>
      <c r="Z791" s="57" t="str">
        <f>IF(Y791="","",IF(COUNTIF(Y$6:Y790,Y791)=0,1,0))</f>
        <v/>
      </c>
      <c r="AA791" s="57" t="str">
        <f>IF(Y791="","",IF(Z791=1,COUNTIFS(A$6:A791,A791,Z$6:Z791,1),INDEX(AA$6:AA790,MATCH(Y791,Y$6:Y790,0))))</f>
        <v/>
      </c>
      <c r="AB791" s="57" t="str">
        <f>IF(B791="","",COUNTIF(B$6:B791,B791))</f>
        <v/>
      </c>
      <c r="AC791" s="57" t="str">
        <f>IF(B791="","",B791&amp;"#"&amp;AB791)</f>
        <v/>
      </c>
      <c r="AD791" s="57" t="str">
        <f>IF(Z791=1,A791&amp;AA791,"")</f>
        <v/>
      </c>
      <c r="AE791" s="57" t="str">
        <f>IF(B791="","",YEAR(C791))</f>
        <v/>
      </c>
      <c r="AF791" s="57" t="str">
        <f>IF(B791="","",MONTH(C791))</f>
        <v/>
      </c>
      <c r="AG791" s="57">
        <f>IF(ISNUMBER(C791),C791,0)</f>
        <v>0.0</v>
      </c>
      <c r="AH791" s="57" t="str">
        <f>IF(N(W791)&gt;0,COUNTIF(W$6:W791,"&gt;0"),"")</f>
        <v/>
      </c>
      <c r="AI791" s="57" t="str">
        <f>IF(Z791=1,COUNTIF(Z$6:Z791,1),"")</f>
        <v/>
      </c>
    </row>
    <row r="792">
      <c r="A792" s="54" t="n"/>
      <c r="B792" s="55" t="str">
        <f>IF(AA792="","",A792&amp;"-"&amp;RIGHT("000"&amp;AA792,4))</f>
        <v/>
      </c>
      <c r="C792" s="56" t="n"/>
      <c r="D792" s="54" t="n"/>
      <c r="E792" s="57" t="str">
        <f>IF(D792="","",IF(A792="BL",IFERROR(INDEX(cl_name,MATCH(D792,cl_code,0))&amp;"","Client inconnu"),IF(A792="BR",IFERROR(INDEX(fo_name,MATCH(D792,fo_code,0))&amp;"","Fournisseur inconnu"),IF(A792="BS",IF(ISNA(MATCH(D792,p_services,0)),"Service inconnu",D792&amp;""),""))))</f>
        <v/>
      </c>
      <c r="F792" s="58" t="n"/>
      <c r="G792" s="58" t="n"/>
      <c r="H792" s="59" t="n"/>
      <c r="I792" s="57" t="str">
        <f>IF(H792="","",IFERROR(INDEX(art_des,MATCH(H792,art_ref,0))&amp;"","Article inconnu"))</f>
        <v/>
      </c>
      <c r="J792" s="60" t="str">
        <f>IF(H792="","",IFERROR(INDEX(art_unit,MATCH(H792,art_ref,0))&amp;"",""))</f>
        <v/>
      </c>
      <c r="K792" s="59" t="n"/>
      <c r="L792" s="59" t="n"/>
      <c r="M792" s="61" t="str">
        <f>IF(OR(B792="",NOT(ISNUMBER(K792)),NOT(ISNUMBER(L792))),"",IF(OR(K792&lt;=0,L792&lt;=0),"",ROUND(L792-K792,6)))</f>
        <v/>
      </c>
      <c r="N792" s="58" t="n"/>
      <c r="O792" s="62" t="n"/>
      <c r="P792" s="63" t="str">
        <f>IF(OR(B792="",NOT(ISNUMBER(L792))),"",IF(L792&lt;=0,"",IFERROR(ROUND(L792*N(INDEX(art_w,MATCH(H792,art_ref,0))),3),"")))</f>
        <v/>
      </c>
      <c r="Q792" s="59" t="n"/>
      <c r="R792" s="54" t="n"/>
      <c r="S792" s="59" t="n"/>
      <c r="T792" s="59" t="n"/>
      <c r="U792" s="64" t="str">
        <f>IF(OR(B792="",H792=""),"",IFERROR(IF(A792="BL",IF(N(INDEX(art_price,MATCH(H792,art_ref,0)))=0,"",N(INDEX(art_price,MATCH(H792,art_ref,0)))),IF(N(INDEX(art_cost,MATCH(H792,art_ref,0)))=0,"",N(INDEX(art_cost,MATCH(H792,art_ref,0))))),""))</f>
        <v/>
      </c>
      <c r="V792" s="64" t="str">
        <f>IF(OR(U792="",NOT(ISNUMBER(L792))),"",IF(L792&lt;=0,"",ROUND(L792*U792,2)))</f>
        <v/>
      </c>
      <c r="W792" s="60" t="str">
        <f>IF(AND(B792&lt;&gt;"",A792&lt;&gt;"BS",F792&lt;&gt;"",H792&lt;&gt;"",ISNUMBER(K792),ISNUMBER(L792)),IF(AND(K792&gt;0,L792&gt;0,K792-L792&gt;0,COUNTIFS(A793:A$2005,A792,F793:F$2005,F792,H793:H$2005,H792,AA793:AA$2005,"&gt;0")=0),ROUND(K792-L792,6),""),"")</f>
        <v/>
      </c>
      <c r="X792" s="60" t="str">
        <f>IF(AND(A792="",C792="",D792="",H792="",L792=""),"",IF(A792="","Type manquant",IF(AND(A792&lt;&gt;"BL",A792&lt;&gt;"BR",A792&lt;&gt;"BS"),"Type inconnu (BL, BR ou BS)",IF(AG792=0,"Date manquante ou invalide",IF(D792="",IF(A792="BL","Client manquant",IF(A792="BR","Fournisseur manquant","Service manquant")),IF(IF(A792="BL",ISNA(MATCH(D792,cl_code,0)),IF(A792="BR",ISNA(MATCH(D792,fo_code,0)),ISNA(MATCH(D792,p_services,0)))),IF(A792="BL","Client inconnu",IF(A792="BR","Fournisseur inconnu","Service inconnu")),IF(H792="","Article manquant",IF(ISNA(MATCH(H792,art_ref,0)),"Article inconnu",IF(OR(NOT(ISNUMBER(L792)),N(L792)&lt;=0),"Quantité invalide",IF(AND(K792&lt;&gt;"",OR(NOT(ISNUMBER(K792)),N(K792)&lt;=0)),"Qté commandée invalide",IF(AG792&lt;SUMPRODUCT(MAX((A$6:A791=A792)*AG$6:AG791)),"Date antérieure au bon précédent",IF(AND(A792&lt;&gt;"BR",ISNUMBER(M792),N(M792)&gt;0),IF(A792="BL","Livré plus que commandé","Sorti plus que demandé"),"OK"))))))))))))</f>
        <v/>
      </c>
      <c r="Y792" s="57" t="str">
        <f>IF(AND(OR(A792="BL",A792="BR",A792="BS"),AG792&gt;0,D792&lt;&gt;""),A792&amp;"|"&amp;AG792&amp;"|"&amp;D792&amp;"|"&amp;F792,"")</f>
        <v/>
      </c>
      <c r="Z792" s="57" t="str">
        <f>IF(Y792="","",IF(COUNTIF(Y$6:Y791,Y792)=0,1,0))</f>
        <v/>
      </c>
      <c r="AA792" s="57" t="str">
        <f>IF(Y792="","",IF(Z792=1,COUNTIFS(A$6:A792,A792,Z$6:Z792,1),INDEX(AA$6:AA791,MATCH(Y792,Y$6:Y791,0))))</f>
        <v/>
      </c>
      <c r="AB792" s="57" t="str">
        <f>IF(B792="","",COUNTIF(B$6:B792,B792))</f>
        <v/>
      </c>
      <c r="AC792" s="57" t="str">
        <f>IF(B792="","",B792&amp;"#"&amp;AB792)</f>
        <v/>
      </c>
      <c r="AD792" s="57" t="str">
        <f>IF(Z792=1,A792&amp;AA792,"")</f>
        <v/>
      </c>
      <c r="AE792" s="57" t="str">
        <f>IF(B792="","",YEAR(C792))</f>
        <v/>
      </c>
      <c r="AF792" s="57" t="str">
        <f>IF(B792="","",MONTH(C792))</f>
        <v/>
      </c>
      <c r="AG792" s="57">
        <f>IF(ISNUMBER(C792),C792,0)</f>
        <v>0.0</v>
      </c>
      <c r="AH792" s="57" t="str">
        <f>IF(N(W792)&gt;0,COUNTIF(W$6:W792,"&gt;0"),"")</f>
        <v/>
      </c>
      <c r="AI792" s="57" t="str">
        <f>IF(Z792=1,COUNTIF(Z$6:Z792,1),"")</f>
        <v/>
      </c>
    </row>
    <row r="793">
      <c r="A793" s="54" t="n"/>
      <c r="B793" s="55" t="str">
        <f>IF(AA793="","",A793&amp;"-"&amp;RIGHT("000"&amp;AA793,4))</f>
        <v/>
      </c>
      <c r="C793" s="56" t="n"/>
      <c r="D793" s="54" t="n"/>
      <c r="E793" s="57" t="str">
        <f>IF(D793="","",IF(A793="BL",IFERROR(INDEX(cl_name,MATCH(D793,cl_code,0))&amp;"","Client inconnu"),IF(A793="BR",IFERROR(INDEX(fo_name,MATCH(D793,fo_code,0))&amp;"","Fournisseur inconnu"),IF(A793="BS",IF(ISNA(MATCH(D793,p_services,0)),"Service inconnu",D793&amp;""),""))))</f>
        <v/>
      </c>
      <c r="F793" s="58" t="n"/>
      <c r="G793" s="58" t="n"/>
      <c r="H793" s="59" t="n"/>
      <c r="I793" s="57" t="str">
        <f>IF(H793="","",IFERROR(INDEX(art_des,MATCH(H793,art_ref,0))&amp;"","Article inconnu"))</f>
        <v/>
      </c>
      <c r="J793" s="60" t="str">
        <f>IF(H793="","",IFERROR(INDEX(art_unit,MATCH(H793,art_ref,0))&amp;"",""))</f>
        <v/>
      </c>
      <c r="K793" s="59" t="n"/>
      <c r="L793" s="59" t="n"/>
      <c r="M793" s="61" t="str">
        <f>IF(OR(B793="",NOT(ISNUMBER(K793)),NOT(ISNUMBER(L793))),"",IF(OR(K793&lt;=0,L793&lt;=0),"",ROUND(L793-K793,6)))</f>
        <v/>
      </c>
      <c r="N793" s="58" t="n"/>
      <c r="O793" s="62" t="n"/>
      <c r="P793" s="63" t="str">
        <f>IF(OR(B793="",NOT(ISNUMBER(L793))),"",IF(L793&lt;=0,"",IFERROR(ROUND(L793*N(INDEX(art_w,MATCH(H793,art_ref,0))),3),"")))</f>
        <v/>
      </c>
      <c r="Q793" s="59" t="n"/>
      <c r="R793" s="54" t="n"/>
      <c r="S793" s="59" t="n"/>
      <c r="T793" s="59" t="n"/>
      <c r="U793" s="64" t="str">
        <f>IF(OR(B793="",H793=""),"",IFERROR(IF(A793="BL",IF(N(INDEX(art_price,MATCH(H793,art_ref,0)))=0,"",N(INDEX(art_price,MATCH(H793,art_ref,0)))),IF(N(INDEX(art_cost,MATCH(H793,art_ref,0)))=0,"",N(INDEX(art_cost,MATCH(H793,art_ref,0))))),""))</f>
        <v/>
      </c>
      <c r="V793" s="64" t="str">
        <f>IF(OR(U793="",NOT(ISNUMBER(L793))),"",IF(L793&lt;=0,"",ROUND(L793*U793,2)))</f>
        <v/>
      </c>
      <c r="W793" s="60" t="str">
        <f>IF(AND(B793&lt;&gt;"",A793&lt;&gt;"BS",F793&lt;&gt;"",H793&lt;&gt;"",ISNUMBER(K793),ISNUMBER(L793)),IF(AND(K793&gt;0,L793&gt;0,K793-L793&gt;0,COUNTIFS(A794:A$2005,A793,F794:F$2005,F793,H794:H$2005,H793,AA794:AA$2005,"&gt;0")=0),ROUND(K793-L793,6),""),"")</f>
        <v/>
      </c>
      <c r="X793" s="60" t="str">
        <f>IF(AND(A793="",C793="",D793="",H793="",L793=""),"",IF(A793="","Type manquant",IF(AND(A793&lt;&gt;"BL",A793&lt;&gt;"BR",A793&lt;&gt;"BS"),"Type inconnu (BL, BR ou BS)",IF(AG793=0,"Date manquante ou invalide",IF(D793="",IF(A793="BL","Client manquant",IF(A793="BR","Fournisseur manquant","Service manquant")),IF(IF(A793="BL",ISNA(MATCH(D793,cl_code,0)),IF(A793="BR",ISNA(MATCH(D793,fo_code,0)),ISNA(MATCH(D793,p_services,0)))),IF(A793="BL","Client inconnu",IF(A793="BR","Fournisseur inconnu","Service inconnu")),IF(H793="","Article manquant",IF(ISNA(MATCH(H793,art_ref,0)),"Article inconnu",IF(OR(NOT(ISNUMBER(L793)),N(L793)&lt;=0),"Quantité invalide",IF(AND(K793&lt;&gt;"",OR(NOT(ISNUMBER(K793)),N(K793)&lt;=0)),"Qté commandée invalide",IF(AG793&lt;SUMPRODUCT(MAX((A$6:A792=A793)*AG$6:AG792)),"Date antérieure au bon précédent",IF(AND(A793&lt;&gt;"BR",ISNUMBER(M793),N(M793)&gt;0),IF(A793="BL","Livré plus que commandé","Sorti plus que demandé"),"OK"))))))))))))</f>
        <v/>
      </c>
      <c r="Y793" s="57" t="str">
        <f>IF(AND(OR(A793="BL",A793="BR",A793="BS"),AG793&gt;0,D793&lt;&gt;""),A793&amp;"|"&amp;AG793&amp;"|"&amp;D793&amp;"|"&amp;F793,"")</f>
        <v/>
      </c>
      <c r="Z793" s="57" t="str">
        <f>IF(Y793="","",IF(COUNTIF(Y$6:Y792,Y793)=0,1,0))</f>
        <v/>
      </c>
      <c r="AA793" s="57" t="str">
        <f>IF(Y793="","",IF(Z793=1,COUNTIFS(A$6:A793,A793,Z$6:Z793,1),INDEX(AA$6:AA792,MATCH(Y793,Y$6:Y792,0))))</f>
        <v/>
      </c>
      <c r="AB793" s="57" t="str">
        <f>IF(B793="","",COUNTIF(B$6:B793,B793))</f>
        <v/>
      </c>
      <c r="AC793" s="57" t="str">
        <f>IF(B793="","",B793&amp;"#"&amp;AB793)</f>
        <v/>
      </c>
      <c r="AD793" s="57" t="str">
        <f>IF(Z793=1,A793&amp;AA793,"")</f>
        <v/>
      </c>
      <c r="AE793" s="57" t="str">
        <f>IF(B793="","",YEAR(C793))</f>
        <v/>
      </c>
      <c r="AF793" s="57" t="str">
        <f>IF(B793="","",MONTH(C793))</f>
        <v/>
      </c>
      <c r="AG793" s="57">
        <f>IF(ISNUMBER(C793),C793,0)</f>
        <v>0.0</v>
      </c>
      <c r="AH793" s="57" t="str">
        <f>IF(N(W793)&gt;0,COUNTIF(W$6:W793,"&gt;0"),"")</f>
        <v/>
      </c>
      <c r="AI793" s="57" t="str">
        <f>IF(Z793=1,COUNTIF(Z$6:Z793,1),"")</f>
        <v/>
      </c>
    </row>
    <row r="794">
      <c r="A794" s="54" t="n"/>
      <c r="B794" s="55" t="str">
        <f>IF(AA794="","",A794&amp;"-"&amp;RIGHT("000"&amp;AA794,4))</f>
        <v/>
      </c>
      <c r="C794" s="56" t="n"/>
      <c r="D794" s="54" t="n"/>
      <c r="E794" s="57" t="str">
        <f>IF(D794="","",IF(A794="BL",IFERROR(INDEX(cl_name,MATCH(D794,cl_code,0))&amp;"","Client inconnu"),IF(A794="BR",IFERROR(INDEX(fo_name,MATCH(D794,fo_code,0))&amp;"","Fournisseur inconnu"),IF(A794="BS",IF(ISNA(MATCH(D794,p_services,0)),"Service inconnu",D794&amp;""),""))))</f>
        <v/>
      </c>
      <c r="F794" s="58" t="n"/>
      <c r="G794" s="58" t="n"/>
      <c r="H794" s="59" t="n"/>
      <c r="I794" s="57" t="str">
        <f>IF(H794="","",IFERROR(INDEX(art_des,MATCH(H794,art_ref,0))&amp;"","Article inconnu"))</f>
        <v/>
      </c>
      <c r="J794" s="60" t="str">
        <f>IF(H794="","",IFERROR(INDEX(art_unit,MATCH(H794,art_ref,0))&amp;"",""))</f>
        <v/>
      </c>
      <c r="K794" s="59" t="n"/>
      <c r="L794" s="59" t="n"/>
      <c r="M794" s="61" t="str">
        <f>IF(OR(B794="",NOT(ISNUMBER(K794)),NOT(ISNUMBER(L794))),"",IF(OR(K794&lt;=0,L794&lt;=0),"",ROUND(L794-K794,6)))</f>
        <v/>
      </c>
      <c r="N794" s="58" t="n"/>
      <c r="O794" s="62" t="n"/>
      <c r="P794" s="63" t="str">
        <f>IF(OR(B794="",NOT(ISNUMBER(L794))),"",IF(L794&lt;=0,"",IFERROR(ROUND(L794*N(INDEX(art_w,MATCH(H794,art_ref,0))),3),"")))</f>
        <v/>
      </c>
      <c r="Q794" s="59" t="n"/>
      <c r="R794" s="54" t="n"/>
      <c r="S794" s="59" t="n"/>
      <c r="T794" s="59" t="n"/>
      <c r="U794" s="64" t="str">
        <f>IF(OR(B794="",H794=""),"",IFERROR(IF(A794="BL",IF(N(INDEX(art_price,MATCH(H794,art_ref,0)))=0,"",N(INDEX(art_price,MATCH(H794,art_ref,0)))),IF(N(INDEX(art_cost,MATCH(H794,art_ref,0)))=0,"",N(INDEX(art_cost,MATCH(H794,art_ref,0))))),""))</f>
        <v/>
      </c>
      <c r="V794" s="64" t="str">
        <f>IF(OR(U794="",NOT(ISNUMBER(L794))),"",IF(L794&lt;=0,"",ROUND(L794*U794,2)))</f>
        <v/>
      </c>
      <c r="W794" s="60" t="str">
        <f>IF(AND(B794&lt;&gt;"",A794&lt;&gt;"BS",F794&lt;&gt;"",H794&lt;&gt;"",ISNUMBER(K794),ISNUMBER(L794)),IF(AND(K794&gt;0,L794&gt;0,K794-L794&gt;0,COUNTIFS(A795:A$2005,A794,F795:F$2005,F794,H795:H$2005,H794,AA795:AA$2005,"&gt;0")=0),ROUND(K794-L794,6),""),"")</f>
        <v/>
      </c>
      <c r="X794" s="60" t="str">
        <f>IF(AND(A794="",C794="",D794="",H794="",L794=""),"",IF(A794="","Type manquant",IF(AND(A794&lt;&gt;"BL",A794&lt;&gt;"BR",A794&lt;&gt;"BS"),"Type inconnu (BL, BR ou BS)",IF(AG794=0,"Date manquante ou invalide",IF(D794="",IF(A794="BL","Client manquant",IF(A794="BR","Fournisseur manquant","Service manquant")),IF(IF(A794="BL",ISNA(MATCH(D794,cl_code,0)),IF(A794="BR",ISNA(MATCH(D794,fo_code,0)),ISNA(MATCH(D794,p_services,0)))),IF(A794="BL","Client inconnu",IF(A794="BR","Fournisseur inconnu","Service inconnu")),IF(H794="","Article manquant",IF(ISNA(MATCH(H794,art_ref,0)),"Article inconnu",IF(OR(NOT(ISNUMBER(L794)),N(L794)&lt;=0),"Quantité invalide",IF(AND(K794&lt;&gt;"",OR(NOT(ISNUMBER(K794)),N(K794)&lt;=0)),"Qté commandée invalide",IF(AG794&lt;SUMPRODUCT(MAX((A$6:A793=A794)*AG$6:AG793)),"Date antérieure au bon précédent",IF(AND(A794&lt;&gt;"BR",ISNUMBER(M794),N(M794)&gt;0),IF(A794="BL","Livré plus que commandé","Sorti plus que demandé"),"OK"))))))))))))</f>
        <v/>
      </c>
      <c r="Y794" s="57" t="str">
        <f>IF(AND(OR(A794="BL",A794="BR",A794="BS"),AG794&gt;0,D794&lt;&gt;""),A794&amp;"|"&amp;AG794&amp;"|"&amp;D794&amp;"|"&amp;F794,"")</f>
        <v/>
      </c>
      <c r="Z794" s="57" t="str">
        <f>IF(Y794="","",IF(COUNTIF(Y$6:Y793,Y794)=0,1,0))</f>
        <v/>
      </c>
      <c r="AA794" s="57" t="str">
        <f>IF(Y794="","",IF(Z794=1,COUNTIFS(A$6:A794,A794,Z$6:Z794,1),INDEX(AA$6:AA793,MATCH(Y794,Y$6:Y793,0))))</f>
        <v/>
      </c>
      <c r="AB794" s="57" t="str">
        <f>IF(B794="","",COUNTIF(B$6:B794,B794))</f>
        <v/>
      </c>
      <c r="AC794" s="57" t="str">
        <f>IF(B794="","",B794&amp;"#"&amp;AB794)</f>
        <v/>
      </c>
      <c r="AD794" s="57" t="str">
        <f>IF(Z794=1,A794&amp;AA794,"")</f>
        <v/>
      </c>
      <c r="AE794" s="57" t="str">
        <f>IF(B794="","",YEAR(C794))</f>
        <v/>
      </c>
      <c r="AF794" s="57" t="str">
        <f>IF(B794="","",MONTH(C794))</f>
        <v/>
      </c>
      <c r="AG794" s="57">
        <f>IF(ISNUMBER(C794),C794,0)</f>
        <v>0.0</v>
      </c>
      <c r="AH794" s="57" t="str">
        <f>IF(N(W794)&gt;0,COUNTIF(W$6:W794,"&gt;0"),"")</f>
        <v/>
      </c>
      <c r="AI794" s="57" t="str">
        <f>IF(Z794=1,COUNTIF(Z$6:Z794,1),"")</f>
        <v/>
      </c>
    </row>
    <row r="795">
      <c r="A795" s="54" t="n"/>
      <c r="B795" s="55" t="str">
        <f>IF(AA795="","",A795&amp;"-"&amp;RIGHT("000"&amp;AA795,4))</f>
        <v/>
      </c>
      <c r="C795" s="56" t="n"/>
      <c r="D795" s="54" t="n"/>
      <c r="E795" s="57" t="str">
        <f>IF(D795="","",IF(A795="BL",IFERROR(INDEX(cl_name,MATCH(D795,cl_code,0))&amp;"","Client inconnu"),IF(A795="BR",IFERROR(INDEX(fo_name,MATCH(D795,fo_code,0))&amp;"","Fournisseur inconnu"),IF(A795="BS",IF(ISNA(MATCH(D795,p_services,0)),"Service inconnu",D795&amp;""),""))))</f>
        <v/>
      </c>
      <c r="F795" s="58" t="n"/>
      <c r="G795" s="58" t="n"/>
      <c r="H795" s="59" t="n"/>
      <c r="I795" s="57" t="str">
        <f>IF(H795="","",IFERROR(INDEX(art_des,MATCH(H795,art_ref,0))&amp;"","Article inconnu"))</f>
        <v/>
      </c>
      <c r="J795" s="60" t="str">
        <f>IF(H795="","",IFERROR(INDEX(art_unit,MATCH(H795,art_ref,0))&amp;"",""))</f>
        <v/>
      </c>
      <c r="K795" s="59" t="n"/>
      <c r="L795" s="59" t="n"/>
      <c r="M795" s="61" t="str">
        <f>IF(OR(B795="",NOT(ISNUMBER(K795)),NOT(ISNUMBER(L795))),"",IF(OR(K795&lt;=0,L795&lt;=0),"",ROUND(L795-K795,6)))</f>
        <v/>
      </c>
      <c r="N795" s="58" t="n"/>
      <c r="O795" s="62" t="n"/>
      <c r="P795" s="63" t="str">
        <f>IF(OR(B795="",NOT(ISNUMBER(L795))),"",IF(L795&lt;=0,"",IFERROR(ROUND(L795*N(INDEX(art_w,MATCH(H795,art_ref,0))),3),"")))</f>
        <v/>
      </c>
      <c r="Q795" s="59" t="n"/>
      <c r="R795" s="54" t="n"/>
      <c r="S795" s="59" t="n"/>
      <c r="T795" s="59" t="n"/>
      <c r="U795" s="64" t="str">
        <f>IF(OR(B795="",H795=""),"",IFERROR(IF(A795="BL",IF(N(INDEX(art_price,MATCH(H795,art_ref,0)))=0,"",N(INDEX(art_price,MATCH(H795,art_ref,0)))),IF(N(INDEX(art_cost,MATCH(H795,art_ref,0)))=0,"",N(INDEX(art_cost,MATCH(H795,art_ref,0))))),""))</f>
        <v/>
      </c>
      <c r="V795" s="64" t="str">
        <f>IF(OR(U795="",NOT(ISNUMBER(L795))),"",IF(L795&lt;=0,"",ROUND(L795*U795,2)))</f>
        <v/>
      </c>
      <c r="W795" s="60" t="str">
        <f>IF(AND(B795&lt;&gt;"",A795&lt;&gt;"BS",F795&lt;&gt;"",H795&lt;&gt;"",ISNUMBER(K795),ISNUMBER(L795)),IF(AND(K795&gt;0,L795&gt;0,K795-L795&gt;0,COUNTIFS(A796:A$2005,A795,F796:F$2005,F795,H796:H$2005,H795,AA796:AA$2005,"&gt;0")=0),ROUND(K795-L795,6),""),"")</f>
        <v/>
      </c>
      <c r="X795" s="60" t="str">
        <f>IF(AND(A795="",C795="",D795="",H795="",L795=""),"",IF(A795="","Type manquant",IF(AND(A795&lt;&gt;"BL",A795&lt;&gt;"BR",A795&lt;&gt;"BS"),"Type inconnu (BL, BR ou BS)",IF(AG795=0,"Date manquante ou invalide",IF(D795="",IF(A795="BL","Client manquant",IF(A795="BR","Fournisseur manquant","Service manquant")),IF(IF(A795="BL",ISNA(MATCH(D795,cl_code,0)),IF(A795="BR",ISNA(MATCH(D795,fo_code,0)),ISNA(MATCH(D795,p_services,0)))),IF(A795="BL","Client inconnu",IF(A795="BR","Fournisseur inconnu","Service inconnu")),IF(H795="","Article manquant",IF(ISNA(MATCH(H795,art_ref,0)),"Article inconnu",IF(OR(NOT(ISNUMBER(L795)),N(L795)&lt;=0),"Quantité invalide",IF(AND(K795&lt;&gt;"",OR(NOT(ISNUMBER(K795)),N(K795)&lt;=0)),"Qté commandée invalide",IF(AG795&lt;SUMPRODUCT(MAX((A$6:A794=A795)*AG$6:AG794)),"Date antérieure au bon précédent",IF(AND(A795&lt;&gt;"BR",ISNUMBER(M795),N(M795)&gt;0),IF(A795="BL","Livré plus que commandé","Sorti plus que demandé"),"OK"))))))))))))</f>
        <v/>
      </c>
      <c r="Y795" s="57" t="str">
        <f>IF(AND(OR(A795="BL",A795="BR",A795="BS"),AG795&gt;0,D795&lt;&gt;""),A795&amp;"|"&amp;AG795&amp;"|"&amp;D795&amp;"|"&amp;F795,"")</f>
        <v/>
      </c>
      <c r="Z795" s="57" t="str">
        <f>IF(Y795="","",IF(COUNTIF(Y$6:Y794,Y795)=0,1,0))</f>
        <v/>
      </c>
      <c r="AA795" s="57" t="str">
        <f>IF(Y795="","",IF(Z795=1,COUNTIFS(A$6:A795,A795,Z$6:Z795,1),INDEX(AA$6:AA794,MATCH(Y795,Y$6:Y794,0))))</f>
        <v/>
      </c>
      <c r="AB795" s="57" t="str">
        <f>IF(B795="","",COUNTIF(B$6:B795,B795))</f>
        <v/>
      </c>
      <c r="AC795" s="57" t="str">
        <f>IF(B795="","",B795&amp;"#"&amp;AB795)</f>
        <v/>
      </c>
      <c r="AD795" s="57" t="str">
        <f>IF(Z795=1,A795&amp;AA795,"")</f>
        <v/>
      </c>
      <c r="AE795" s="57" t="str">
        <f>IF(B795="","",YEAR(C795))</f>
        <v/>
      </c>
      <c r="AF795" s="57" t="str">
        <f>IF(B795="","",MONTH(C795))</f>
        <v/>
      </c>
      <c r="AG795" s="57">
        <f>IF(ISNUMBER(C795),C795,0)</f>
        <v>0.0</v>
      </c>
      <c r="AH795" s="57" t="str">
        <f>IF(N(W795)&gt;0,COUNTIF(W$6:W795,"&gt;0"),"")</f>
        <v/>
      </c>
      <c r="AI795" s="57" t="str">
        <f>IF(Z795=1,COUNTIF(Z$6:Z795,1),"")</f>
        <v/>
      </c>
    </row>
    <row r="796">
      <c r="A796" s="54" t="n"/>
      <c r="B796" s="55" t="str">
        <f>IF(AA796="","",A796&amp;"-"&amp;RIGHT("000"&amp;AA796,4))</f>
        <v/>
      </c>
      <c r="C796" s="56" t="n"/>
      <c r="D796" s="54" t="n"/>
      <c r="E796" s="57" t="str">
        <f>IF(D796="","",IF(A796="BL",IFERROR(INDEX(cl_name,MATCH(D796,cl_code,0))&amp;"","Client inconnu"),IF(A796="BR",IFERROR(INDEX(fo_name,MATCH(D796,fo_code,0))&amp;"","Fournisseur inconnu"),IF(A796="BS",IF(ISNA(MATCH(D796,p_services,0)),"Service inconnu",D796&amp;""),""))))</f>
        <v/>
      </c>
      <c r="F796" s="58" t="n"/>
      <c r="G796" s="58" t="n"/>
      <c r="H796" s="59" t="n"/>
      <c r="I796" s="57" t="str">
        <f>IF(H796="","",IFERROR(INDEX(art_des,MATCH(H796,art_ref,0))&amp;"","Article inconnu"))</f>
        <v/>
      </c>
      <c r="J796" s="60" t="str">
        <f>IF(H796="","",IFERROR(INDEX(art_unit,MATCH(H796,art_ref,0))&amp;"",""))</f>
        <v/>
      </c>
      <c r="K796" s="59" t="n"/>
      <c r="L796" s="59" t="n"/>
      <c r="M796" s="61" t="str">
        <f>IF(OR(B796="",NOT(ISNUMBER(K796)),NOT(ISNUMBER(L796))),"",IF(OR(K796&lt;=0,L796&lt;=0),"",ROUND(L796-K796,6)))</f>
        <v/>
      </c>
      <c r="N796" s="58" t="n"/>
      <c r="O796" s="62" t="n"/>
      <c r="P796" s="63" t="str">
        <f>IF(OR(B796="",NOT(ISNUMBER(L796))),"",IF(L796&lt;=0,"",IFERROR(ROUND(L796*N(INDEX(art_w,MATCH(H796,art_ref,0))),3),"")))</f>
        <v/>
      </c>
      <c r="Q796" s="59" t="n"/>
      <c r="R796" s="54" t="n"/>
      <c r="S796" s="59" t="n"/>
      <c r="T796" s="59" t="n"/>
      <c r="U796" s="64" t="str">
        <f>IF(OR(B796="",H796=""),"",IFERROR(IF(A796="BL",IF(N(INDEX(art_price,MATCH(H796,art_ref,0)))=0,"",N(INDEX(art_price,MATCH(H796,art_ref,0)))),IF(N(INDEX(art_cost,MATCH(H796,art_ref,0)))=0,"",N(INDEX(art_cost,MATCH(H796,art_ref,0))))),""))</f>
        <v/>
      </c>
      <c r="V796" s="64" t="str">
        <f>IF(OR(U796="",NOT(ISNUMBER(L796))),"",IF(L796&lt;=0,"",ROUND(L796*U796,2)))</f>
        <v/>
      </c>
      <c r="W796" s="60" t="str">
        <f>IF(AND(B796&lt;&gt;"",A796&lt;&gt;"BS",F796&lt;&gt;"",H796&lt;&gt;"",ISNUMBER(K796),ISNUMBER(L796)),IF(AND(K796&gt;0,L796&gt;0,K796-L796&gt;0,COUNTIFS(A797:A$2005,A796,F797:F$2005,F796,H797:H$2005,H796,AA797:AA$2005,"&gt;0")=0),ROUND(K796-L796,6),""),"")</f>
        <v/>
      </c>
      <c r="X796" s="60" t="str">
        <f>IF(AND(A796="",C796="",D796="",H796="",L796=""),"",IF(A796="","Type manquant",IF(AND(A796&lt;&gt;"BL",A796&lt;&gt;"BR",A796&lt;&gt;"BS"),"Type inconnu (BL, BR ou BS)",IF(AG796=0,"Date manquante ou invalide",IF(D796="",IF(A796="BL","Client manquant",IF(A796="BR","Fournisseur manquant","Service manquant")),IF(IF(A796="BL",ISNA(MATCH(D796,cl_code,0)),IF(A796="BR",ISNA(MATCH(D796,fo_code,0)),ISNA(MATCH(D796,p_services,0)))),IF(A796="BL","Client inconnu",IF(A796="BR","Fournisseur inconnu","Service inconnu")),IF(H796="","Article manquant",IF(ISNA(MATCH(H796,art_ref,0)),"Article inconnu",IF(OR(NOT(ISNUMBER(L796)),N(L796)&lt;=0),"Quantité invalide",IF(AND(K796&lt;&gt;"",OR(NOT(ISNUMBER(K796)),N(K796)&lt;=0)),"Qté commandée invalide",IF(AG796&lt;SUMPRODUCT(MAX((A$6:A795=A796)*AG$6:AG795)),"Date antérieure au bon précédent",IF(AND(A796&lt;&gt;"BR",ISNUMBER(M796),N(M796)&gt;0),IF(A796="BL","Livré plus que commandé","Sorti plus que demandé"),"OK"))))))))))))</f>
        <v/>
      </c>
      <c r="Y796" s="57" t="str">
        <f>IF(AND(OR(A796="BL",A796="BR",A796="BS"),AG796&gt;0,D796&lt;&gt;""),A796&amp;"|"&amp;AG796&amp;"|"&amp;D796&amp;"|"&amp;F796,"")</f>
        <v/>
      </c>
      <c r="Z796" s="57" t="str">
        <f>IF(Y796="","",IF(COUNTIF(Y$6:Y795,Y796)=0,1,0))</f>
        <v/>
      </c>
      <c r="AA796" s="57" t="str">
        <f>IF(Y796="","",IF(Z796=1,COUNTIFS(A$6:A796,A796,Z$6:Z796,1),INDEX(AA$6:AA795,MATCH(Y796,Y$6:Y795,0))))</f>
        <v/>
      </c>
      <c r="AB796" s="57" t="str">
        <f>IF(B796="","",COUNTIF(B$6:B796,B796))</f>
        <v/>
      </c>
      <c r="AC796" s="57" t="str">
        <f>IF(B796="","",B796&amp;"#"&amp;AB796)</f>
        <v/>
      </c>
      <c r="AD796" s="57" t="str">
        <f>IF(Z796=1,A796&amp;AA796,"")</f>
        <v/>
      </c>
      <c r="AE796" s="57" t="str">
        <f>IF(B796="","",YEAR(C796))</f>
        <v/>
      </c>
      <c r="AF796" s="57" t="str">
        <f>IF(B796="","",MONTH(C796))</f>
        <v/>
      </c>
      <c r="AG796" s="57">
        <f>IF(ISNUMBER(C796),C796,0)</f>
        <v>0.0</v>
      </c>
      <c r="AH796" s="57" t="str">
        <f>IF(N(W796)&gt;0,COUNTIF(W$6:W796,"&gt;0"),"")</f>
        <v/>
      </c>
      <c r="AI796" s="57" t="str">
        <f>IF(Z796=1,COUNTIF(Z$6:Z796,1),"")</f>
        <v/>
      </c>
    </row>
    <row r="797">
      <c r="A797" s="54" t="n"/>
      <c r="B797" s="55" t="str">
        <f>IF(AA797="","",A797&amp;"-"&amp;RIGHT("000"&amp;AA797,4))</f>
        <v/>
      </c>
      <c r="C797" s="56" t="n"/>
      <c r="D797" s="54" t="n"/>
      <c r="E797" s="57" t="str">
        <f>IF(D797="","",IF(A797="BL",IFERROR(INDEX(cl_name,MATCH(D797,cl_code,0))&amp;"","Client inconnu"),IF(A797="BR",IFERROR(INDEX(fo_name,MATCH(D797,fo_code,0))&amp;"","Fournisseur inconnu"),IF(A797="BS",IF(ISNA(MATCH(D797,p_services,0)),"Service inconnu",D797&amp;""),""))))</f>
        <v/>
      </c>
      <c r="F797" s="58" t="n"/>
      <c r="G797" s="58" t="n"/>
      <c r="H797" s="59" t="n"/>
      <c r="I797" s="57" t="str">
        <f>IF(H797="","",IFERROR(INDEX(art_des,MATCH(H797,art_ref,0))&amp;"","Article inconnu"))</f>
        <v/>
      </c>
      <c r="J797" s="60" t="str">
        <f>IF(H797="","",IFERROR(INDEX(art_unit,MATCH(H797,art_ref,0))&amp;"",""))</f>
        <v/>
      </c>
      <c r="K797" s="59" t="n"/>
      <c r="L797" s="59" t="n"/>
      <c r="M797" s="61" t="str">
        <f>IF(OR(B797="",NOT(ISNUMBER(K797)),NOT(ISNUMBER(L797))),"",IF(OR(K797&lt;=0,L797&lt;=0),"",ROUND(L797-K797,6)))</f>
        <v/>
      </c>
      <c r="N797" s="58" t="n"/>
      <c r="O797" s="62" t="n"/>
      <c r="P797" s="63" t="str">
        <f>IF(OR(B797="",NOT(ISNUMBER(L797))),"",IF(L797&lt;=0,"",IFERROR(ROUND(L797*N(INDEX(art_w,MATCH(H797,art_ref,0))),3),"")))</f>
        <v/>
      </c>
      <c r="Q797" s="59" t="n"/>
      <c r="R797" s="54" t="n"/>
      <c r="S797" s="59" t="n"/>
      <c r="T797" s="59" t="n"/>
      <c r="U797" s="64" t="str">
        <f>IF(OR(B797="",H797=""),"",IFERROR(IF(A797="BL",IF(N(INDEX(art_price,MATCH(H797,art_ref,0)))=0,"",N(INDEX(art_price,MATCH(H797,art_ref,0)))),IF(N(INDEX(art_cost,MATCH(H797,art_ref,0)))=0,"",N(INDEX(art_cost,MATCH(H797,art_ref,0))))),""))</f>
        <v/>
      </c>
      <c r="V797" s="64" t="str">
        <f>IF(OR(U797="",NOT(ISNUMBER(L797))),"",IF(L797&lt;=0,"",ROUND(L797*U797,2)))</f>
        <v/>
      </c>
      <c r="W797" s="60" t="str">
        <f>IF(AND(B797&lt;&gt;"",A797&lt;&gt;"BS",F797&lt;&gt;"",H797&lt;&gt;"",ISNUMBER(K797),ISNUMBER(L797)),IF(AND(K797&gt;0,L797&gt;0,K797-L797&gt;0,COUNTIFS(A798:A$2005,A797,F798:F$2005,F797,H798:H$2005,H797,AA798:AA$2005,"&gt;0")=0),ROUND(K797-L797,6),""),"")</f>
        <v/>
      </c>
      <c r="X797" s="60" t="str">
        <f>IF(AND(A797="",C797="",D797="",H797="",L797=""),"",IF(A797="","Type manquant",IF(AND(A797&lt;&gt;"BL",A797&lt;&gt;"BR",A797&lt;&gt;"BS"),"Type inconnu (BL, BR ou BS)",IF(AG797=0,"Date manquante ou invalide",IF(D797="",IF(A797="BL","Client manquant",IF(A797="BR","Fournisseur manquant","Service manquant")),IF(IF(A797="BL",ISNA(MATCH(D797,cl_code,0)),IF(A797="BR",ISNA(MATCH(D797,fo_code,0)),ISNA(MATCH(D797,p_services,0)))),IF(A797="BL","Client inconnu",IF(A797="BR","Fournisseur inconnu","Service inconnu")),IF(H797="","Article manquant",IF(ISNA(MATCH(H797,art_ref,0)),"Article inconnu",IF(OR(NOT(ISNUMBER(L797)),N(L797)&lt;=0),"Quantité invalide",IF(AND(K797&lt;&gt;"",OR(NOT(ISNUMBER(K797)),N(K797)&lt;=0)),"Qté commandée invalide",IF(AG797&lt;SUMPRODUCT(MAX((A$6:A796=A797)*AG$6:AG796)),"Date antérieure au bon précédent",IF(AND(A797&lt;&gt;"BR",ISNUMBER(M797),N(M797)&gt;0),IF(A797="BL","Livré plus que commandé","Sorti plus que demandé"),"OK"))))))))))))</f>
        <v/>
      </c>
      <c r="Y797" s="57" t="str">
        <f>IF(AND(OR(A797="BL",A797="BR",A797="BS"),AG797&gt;0,D797&lt;&gt;""),A797&amp;"|"&amp;AG797&amp;"|"&amp;D797&amp;"|"&amp;F797,"")</f>
        <v/>
      </c>
      <c r="Z797" s="57" t="str">
        <f>IF(Y797="","",IF(COUNTIF(Y$6:Y796,Y797)=0,1,0))</f>
        <v/>
      </c>
      <c r="AA797" s="57" t="str">
        <f>IF(Y797="","",IF(Z797=1,COUNTIFS(A$6:A797,A797,Z$6:Z797,1),INDEX(AA$6:AA796,MATCH(Y797,Y$6:Y796,0))))</f>
        <v/>
      </c>
      <c r="AB797" s="57" t="str">
        <f>IF(B797="","",COUNTIF(B$6:B797,B797))</f>
        <v/>
      </c>
      <c r="AC797" s="57" t="str">
        <f>IF(B797="","",B797&amp;"#"&amp;AB797)</f>
        <v/>
      </c>
      <c r="AD797" s="57" t="str">
        <f>IF(Z797=1,A797&amp;AA797,"")</f>
        <v/>
      </c>
      <c r="AE797" s="57" t="str">
        <f>IF(B797="","",YEAR(C797))</f>
        <v/>
      </c>
      <c r="AF797" s="57" t="str">
        <f>IF(B797="","",MONTH(C797))</f>
        <v/>
      </c>
      <c r="AG797" s="57">
        <f>IF(ISNUMBER(C797),C797,0)</f>
        <v>0.0</v>
      </c>
      <c r="AH797" s="57" t="str">
        <f>IF(N(W797)&gt;0,COUNTIF(W$6:W797,"&gt;0"),"")</f>
        <v/>
      </c>
      <c r="AI797" s="57" t="str">
        <f>IF(Z797=1,COUNTIF(Z$6:Z797,1),"")</f>
        <v/>
      </c>
    </row>
    <row r="798">
      <c r="A798" s="54" t="n"/>
      <c r="B798" s="55" t="str">
        <f>IF(AA798="","",A798&amp;"-"&amp;RIGHT("000"&amp;AA798,4))</f>
        <v/>
      </c>
      <c r="C798" s="56" t="n"/>
      <c r="D798" s="54" t="n"/>
      <c r="E798" s="57" t="str">
        <f>IF(D798="","",IF(A798="BL",IFERROR(INDEX(cl_name,MATCH(D798,cl_code,0))&amp;"","Client inconnu"),IF(A798="BR",IFERROR(INDEX(fo_name,MATCH(D798,fo_code,0))&amp;"","Fournisseur inconnu"),IF(A798="BS",IF(ISNA(MATCH(D798,p_services,0)),"Service inconnu",D798&amp;""),""))))</f>
        <v/>
      </c>
      <c r="F798" s="58" t="n"/>
      <c r="G798" s="58" t="n"/>
      <c r="H798" s="59" t="n"/>
      <c r="I798" s="57" t="str">
        <f>IF(H798="","",IFERROR(INDEX(art_des,MATCH(H798,art_ref,0))&amp;"","Article inconnu"))</f>
        <v/>
      </c>
      <c r="J798" s="60" t="str">
        <f>IF(H798="","",IFERROR(INDEX(art_unit,MATCH(H798,art_ref,0))&amp;"",""))</f>
        <v/>
      </c>
      <c r="K798" s="59" t="n"/>
      <c r="L798" s="59" t="n"/>
      <c r="M798" s="61" t="str">
        <f>IF(OR(B798="",NOT(ISNUMBER(K798)),NOT(ISNUMBER(L798))),"",IF(OR(K798&lt;=0,L798&lt;=0),"",ROUND(L798-K798,6)))</f>
        <v/>
      </c>
      <c r="N798" s="58" t="n"/>
      <c r="O798" s="62" t="n"/>
      <c r="P798" s="63" t="str">
        <f>IF(OR(B798="",NOT(ISNUMBER(L798))),"",IF(L798&lt;=0,"",IFERROR(ROUND(L798*N(INDEX(art_w,MATCH(H798,art_ref,0))),3),"")))</f>
        <v/>
      </c>
      <c r="Q798" s="59" t="n"/>
      <c r="R798" s="54" t="n"/>
      <c r="S798" s="59" t="n"/>
      <c r="T798" s="59" t="n"/>
      <c r="U798" s="64" t="str">
        <f>IF(OR(B798="",H798=""),"",IFERROR(IF(A798="BL",IF(N(INDEX(art_price,MATCH(H798,art_ref,0)))=0,"",N(INDEX(art_price,MATCH(H798,art_ref,0)))),IF(N(INDEX(art_cost,MATCH(H798,art_ref,0)))=0,"",N(INDEX(art_cost,MATCH(H798,art_ref,0))))),""))</f>
        <v/>
      </c>
      <c r="V798" s="64" t="str">
        <f>IF(OR(U798="",NOT(ISNUMBER(L798))),"",IF(L798&lt;=0,"",ROUND(L798*U798,2)))</f>
        <v/>
      </c>
      <c r="W798" s="60" t="str">
        <f>IF(AND(B798&lt;&gt;"",A798&lt;&gt;"BS",F798&lt;&gt;"",H798&lt;&gt;"",ISNUMBER(K798),ISNUMBER(L798)),IF(AND(K798&gt;0,L798&gt;0,K798-L798&gt;0,COUNTIFS(A799:A$2005,A798,F799:F$2005,F798,H799:H$2005,H798,AA799:AA$2005,"&gt;0")=0),ROUND(K798-L798,6),""),"")</f>
        <v/>
      </c>
      <c r="X798" s="60" t="str">
        <f>IF(AND(A798="",C798="",D798="",H798="",L798=""),"",IF(A798="","Type manquant",IF(AND(A798&lt;&gt;"BL",A798&lt;&gt;"BR",A798&lt;&gt;"BS"),"Type inconnu (BL, BR ou BS)",IF(AG798=0,"Date manquante ou invalide",IF(D798="",IF(A798="BL","Client manquant",IF(A798="BR","Fournisseur manquant","Service manquant")),IF(IF(A798="BL",ISNA(MATCH(D798,cl_code,0)),IF(A798="BR",ISNA(MATCH(D798,fo_code,0)),ISNA(MATCH(D798,p_services,0)))),IF(A798="BL","Client inconnu",IF(A798="BR","Fournisseur inconnu","Service inconnu")),IF(H798="","Article manquant",IF(ISNA(MATCH(H798,art_ref,0)),"Article inconnu",IF(OR(NOT(ISNUMBER(L798)),N(L798)&lt;=0),"Quantité invalide",IF(AND(K798&lt;&gt;"",OR(NOT(ISNUMBER(K798)),N(K798)&lt;=0)),"Qté commandée invalide",IF(AG798&lt;SUMPRODUCT(MAX((A$6:A797=A798)*AG$6:AG797)),"Date antérieure au bon précédent",IF(AND(A798&lt;&gt;"BR",ISNUMBER(M798),N(M798)&gt;0),IF(A798="BL","Livré plus que commandé","Sorti plus que demandé"),"OK"))))))))))))</f>
        <v/>
      </c>
      <c r="Y798" s="57" t="str">
        <f>IF(AND(OR(A798="BL",A798="BR",A798="BS"),AG798&gt;0,D798&lt;&gt;""),A798&amp;"|"&amp;AG798&amp;"|"&amp;D798&amp;"|"&amp;F798,"")</f>
        <v/>
      </c>
      <c r="Z798" s="57" t="str">
        <f>IF(Y798="","",IF(COUNTIF(Y$6:Y797,Y798)=0,1,0))</f>
        <v/>
      </c>
      <c r="AA798" s="57" t="str">
        <f>IF(Y798="","",IF(Z798=1,COUNTIFS(A$6:A798,A798,Z$6:Z798,1),INDEX(AA$6:AA797,MATCH(Y798,Y$6:Y797,0))))</f>
        <v/>
      </c>
      <c r="AB798" s="57" t="str">
        <f>IF(B798="","",COUNTIF(B$6:B798,B798))</f>
        <v/>
      </c>
      <c r="AC798" s="57" t="str">
        <f>IF(B798="","",B798&amp;"#"&amp;AB798)</f>
        <v/>
      </c>
      <c r="AD798" s="57" t="str">
        <f>IF(Z798=1,A798&amp;AA798,"")</f>
        <v/>
      </c>
      <c r="AE798" s="57" t="str">
        <f>IF(B798="","",YEAR(C798))</f>
        <v/>
      </c>
      <c r="AF798" s="57" t="str">
        <f>IF(B798="","",MONTH(C798))</f>
        <v/>
      </c>
      <c r="AG798" s="57">
        <f>IF(ISNUMBER(C798),C798,0)</f>
        <v>0.0</v>
      </c>
      <c r="AH798" s="57" t="str">
        <f>IF(N(W798)&gt;0,COUNTIF(W$6:W798,"&gt;0"),"")</f>
        <v/>
      </c>
      <c r="AI798" s="57" t="str">
        <f>IF(Z798=1,COUNTIF(Z$6:Z798,1),"")</f>
        <v/>
      </c>
    </row>
    <row r="799">
      <c r="A799" s="54" t="n"/>
      <c r="B799" s="55" t="str">
        <f>IF(AA799="","",A799&amp;"-"&amp;RIGHT("000"&amp;AA799,4))</f>
        <v/>
      </c>
      <c r="C799" s="56" t="n"/>
      <c r="D799" s="54" t="n"/>
      <c r="E799" s="57" t="str">
        <f>IF(D799="","",IF(A799="BL",IFERROR(INDEX(cl_name,MATCH(D799,cl_code,0))&amp;"","Client inconnu"),IF(A799="BR",IFERROR(INDEX(fo_name,MATCH(D799,fo_code,0))&amp;"","Fournisseur inconnu"),IF(A799="BS",IF(ISNA(MATCH(D799,p_services,0)),"Service inconnu",D799&amp;""),""))))</f>
        <v/>
      </c>
      <c r="F799" s="58" t="n"/>
      <c r="G799" s="58" t="n"/>
      <c r="H799" s="59" t="n"/>
      <c r="I799" s="57" t="str">
        <f>IF(H799="","",IFERROR(INDEX(art_des,MATCH(H799,art_ref,0))&amp;"","Article inconnu"))</f>
        <v/>
      </c>
      <c r="J799" s="60" t="str">
        <f>IF(H799="","",IFERROR(INDEX(art_unit,MATCH(H799,art_ref,0))&amp;"",""))</f>
        <v/>
      </c>
      <c r="K799" s="59" t="n"/>
      <c r="L799" s="59" t="n"/>
      <c r="M799" s="61" t="str">
        <f>IF(OR(B799="",NOT(ISNUMBER(K799)),NOT(ISNUMBER(L799))),"",IF(OR(K799&lt;=0,L799&lt;=0),"",ROUND(L799-K799,6)))</f>
        <v/>
      </c>
      <c r="N799" s="58" t="n"/>
      <c r="O799" s="62" t="n"/>
      <c r="P799" s="63" t="str">
        <f>IF(OR(B799="",NOT(ISNUMBER(L799))),"",IF(L799&lt;=0,"",IFERROR(ROUND(L799*N(INDEX(art_w,MATCH(H799,art_ref,0))),3),"")))</f>
        <v/>
      </c>
      <c r="Q799" s="59" t="n"/>
      <c r="R799" s="54" t="n"/>
      <c r="S799" s="59" t="n"/>
      <c r="T799" s="59" t="n"/>
      <c r="U799" s="64" t="str">
        <f>IF(OR(B799="",H799=""),"",IFERROR(IF(A799="BL",IF(N(INDEX(art_price,MATCH(H799,art_ref,0)))=0,"",N(INDEX(art_price,MATCH(H799,art_ref,0)))),IF(N(INDEX(art_cost,MATCH(H799,art_ref,0)))=0,"",N(INDEX(art_cost,MATCH(H799,art_ref,0))))),""))</f>
        <v/>
      </c>
      <c r="V799" s="64" t="str">
        <f>IF(OR(U799="",NOT(ISNUMBER(L799))),"",IF(L799&lt;=0,"",ROUND(L799*U799,2)))</f>
        <v/>
      </c>
      <c r="W799" s="60" t="str">
        <f>IF(AND(B799&lt;&gt;"",A799&lt;&gt;"BS",F799&lt;&gt;"",H799&lt;&gt;"",ISNUMBER(K799),ISNUMBER(L799)),IF(AND(K799&gt;0,L799&gt;0,K799-L799&gt;0,COUNTIFS(A800:A$2005,A799,F800:F$2005,F799,H800:H$2005,H799,AA800:AA$2005,"&gt;0")=0),ROUND(K799-L799,6),""),"")</f>
        <v/>
      </c>
      <c r="X799" s="60" t="str">
        <f>IF(AND(A799="",C799="",D799="",H799="",L799=""),"",IF(A799="","Type manquant",IF(AND(A799&lt;&gt;"BL",A799&lt;&gt;"BR",A799&lt;&gt;"BS"),"Type inconnu (BL, BR ou BS)",IF(AG799=0,"Date manquante ou invalide",IF(D799="",IF(A799="BL","Client manquant",IF(A799="BR","Fournisseur manquant","Service manquant")),IF(IF(A799="BL",ISNA(MATCH(D799,cl_code,0)),IF(A799="BR",ISNA(MATCH(D799,fo_code,0)),ISNA(MATCH(D799,p_services,0)))),IF(A799="BL","Client inconnu",IF(A799="BR","Fournisseur inconnu","Service inconnu")),IF(H799="","Article manquant",IF(ISNA(MATCH(H799,art_ref,0)),"Article inconnu",IF(OR(NOT(ISNUMBER(L799)),N(L799)&lt;=0),"Quantité invalide",IF(AND(K799&lt;&gt;"",OR(NOT(ISNUMBER(K799)),N(K799)&lt;=0)),"Qté commandée invalide",IF(AG799&lt;SUMPRODUCT(MAX((A$6:A798=A799)*AG$6:AG798)),"Date antérieure au bon précédent",IF(AND(A799&lt;&gt;"BR",ISNUMBER(M799),N(M799)&gt;0),IF(A799="BL","Livré plus que commandé","Sorti plus que demandé"),"OK"))))))))))))</f>
        <v/>
      </c>
      <c r="Y799" s="57" t="str">
        <f>IF(AND(OR(A799="BL",A799="BR",A799="BS"),AG799&gt;0,D799&lt;&gt;""),A799&amp;"|"&amp;AG799&amp;"|"&amp;D799&amp;"|"&amp;F799,"")</f>
        <v/>
      </c>
      <c r="Z799" s="57" t="str">
        <f>IF(Y799="","",IF(COUNTIF(Y$6:Y798,Y799)=0,1,0))</f>
        <v/>
      </c>
      <c r="AA799" s="57" t="str">
        <f>IF(Y799="","",IF(Z799=1,COUNTIFS(A$6:A799,A799,Z$6:Z799,1),INDEX(AA$6:AA798,MATCH(Y799,Y$6:Y798,0))))</f>
        <v/>
      </c>
      <c r="AB799" s="57" t="str">
        <f>IF(B799="","",COUNTIF(B$6:B799,B799))</f>
        <v/>
      </c>
      <c r="AC799" s="57" t="str">
        <f>IF(B799="","",B799&amp;"#"&amp;AB799)</f>
        <v/>
      </c>
      <c r="AD799" s="57" t="str">
        <f>IF(Z799=1,A799&amp;AA799,"")</f>
        <v/>
      </c>
      <c r="AE799" s="57" t="str">
        <f>IF(B799="","",YEAR(C799))</f>
        <v/>
      </c>
      <c r="AF799" s="57" t="str">
        <f>IF(B799="","",MONTH(C799))</f>
        <v/>
      </c>
      <c r="AG799" s="57">
        <f>IF(ISNUMBER(C799),C799,0)</f>
        <v>0.0</v>
      </c>
      <c r="AH799" s="57" t="str">
        <f>IF(N(W799)&gt;0,COUNTIF(W$6:W799,"&gt;0"),"")</f>
        <v/>
      </c>
      <c r="AI799" s="57" t="str">
        <f>IF(Z799=1,COUNTIF(Z$6:Z799,1),"")</f>
        <v/>
      </c>
    </row>
    <row r="800">
      <c r="A800" s="54" t="n"/>
      <c r="B800" s="55" t="str">
        <f>IF(AA800="","",A800&amp;"-"&amp;RIGHT("000"&amp;AA800,4))</f>
        <v/>
      </c>
      <c r="C800" s="56" t="n"/>
      <c r="D800" s="54" t="n"/>
      <c r="E800" s="57" t="str">
        <f>IF(D800="","",IF(A800="BL",IFERROR(INDEX(cl_name,MATCH(D800,cl_code,0))&amp;"","Client inconnu"),IF(A800="BR",IFERROR(INDEX(fo_name,MATCH(D800,fo_code,0))&amp;"","Fournisseur inconnu"),IF(A800="BS",IF(ISNA(MATCH(D800,p_services,0)),"Service inconnu",D800&amp;""),""))))</f>
        <v/>
      </c>
      <c r="F800" s="58" t="n"/>
      <c r="G800" s="58" t="n"/>
      <c r="H800" s="59" t="n"/>
      <c r="I800" s="57" t="str">
        <f>IF(H800="","",IFERROR(INDEX(art_des,MATCH(H800,art_ref,0))&amp;"","Article inconnu"))</f>
        <v/>
      </c>
      <c r="J800" s="60" t="str">
        <f>IF(H800="","",IFERROR(INDEX(art_unit,MATCH(H800,art_ref,0))&amp;"",""))</f>
        <v/>
      </c>
      <c r="K800" s="59" t="n"/>
      <c r="L800" s="59" t="n"/>
      <c r="M800" s="61" t="str">
        <f>IF(OR(B800="",NOT(ISNUMBER(K800)),NOT(ISNUMBER(L800))),"",IF(OR(K800&lt;=0,L800&lt;=0),"",ROUND(L800-K800,6)))</f>
        <v/>
      </c>
      <c r="N800" s="58" t="n"/>
      <c r="O800" s="62" t="n"/>
      <c r="P800" s="63" t="str">
        <f>IF(OR(B800="",NOT(ISNUMBER(L800))),"",IF(L800&lt;=0,"",IFERROR(ROUND(L800*N(INDEX(art_w,MATCH(H800,art_ref,0))),3),"")))</f>
        <v/>
      </c>
      <c r="Q800" s="59" t="n"/>
      <c r="R800" s="54" t="n"/>
      <c r="S800" s="59" t="n"/>
      <c r="T800" s="59" t="n"/>
      <c r="U800" s="64" t="str">
        <f>IF(OR(B800="",H800=""),"",IFERROR(IF(A800="BL",IF(N(INDEX(art_price,MATCH(H800,art_ref,0)))=0,"",N(INDEX(art_price,MATCH(H800,art_ref,0)))),IF(N(INDEX(art_cost,MATCH(H800,art_ref,0)))=0,"",N(INDEX(art_cost,MATCH(H800,art_ref,0))))),""))</f>
        <v/>
      </c>
      <c r="V800" s="64" t="str">
        <f>IF(OR(U800="",NOT(ISNUMBER(L800))),"",IF(L800&lt;=0,"",ROUND(L800*U800,2)))</f>
        <v/>
      </c>
      <c r="W800" s="60" t="str">
        <f>IF(AND(B800&lt;&gt;"",A800&lt;&gt;"BS",F800&lt;&gt;"",H800&lt;&gt;"",ISNUMBER(K800),ISNUMBER(L800)),IF(AND(K800&gt;0,L800&gt;0,K800-L800&gt;0,COUNTIFS(A801:A$2005,A800,F801:F$2005,F800,H801:H$2005,H800,AA801:AA$2005,"&gt;0")=0),ROUND(K800-L800,6),""),"")</f>
        <v/>
      </c>
      <c r="X800" s="60" t="str">
        <f>IF(AND(A800="",C800="",D800="",H800="",L800=""),"",IF(A800="","Type manquant",IF(AND(A800&lt;&gt;"BL",A800&lt;&gt;"BR",A800&lt;&gt;"BS"),"Type inconnu (BL, BR ou BS)",IF(AG800=0,"Date manquante ou invalide",IF(D800="",IF(A800="BL","Client manquant",IF(A800="BR","Fournisseur manquant","Service manquant")),IF(IF(A800="BL",ISNA(MATCH(D800,cl_code,0)),IF(A800="BR",ISNA(MATCH(D800,fo_code,0)),ISNA(MATCH(D800,p_services,0)))),IF(A800="BL","Client inconnu",IF(A800="BR","Fournisseur inconnu","Service inconnu")),IF(H800="","Article manquant",IF(ISNA(MATCH(H800,art_ref,0)),"Article inconnu",IF(OR(NOT(ISNUMBER(L800)),N(L800)&lt;=0),"Quantité invalide",IF(AND(K800&lt;&gt;"",OR(NOT(ISNUMBER(K800)),N(K800)&lt;=0)),"Qté commandée invalide",IF(AG800&lt;SUMPRODUCT(MAX((A$6:A799=A800)*AG$6:AG799)),"Date antérieure au bon précédent",IF(AND(A800&lt;&gt;"BR",ISNUMBER(M800),N(M800)&gt;0),IF(A800="BL","Livré plus que commandé","Sorti plus que demandé"),"OK"))))))))))))</f>
        <v/>
      </c>
      <c r="Y800" s="57" t="str">
        <f>IF(AND(OR(A800="BL",A800="BR",A800="BS"),AG800&gt;0,D800&lt;&gt;""),A800&amp;"|"&amp;AG800&amp;"|"&amp;D800&amp;"|"&amp;F800,"")</f>
        <v/>
      </c>
      <c r="Z800" s="57" t="str">
        <f>IF(Y800="","",IF(COUNTIF(Y$6:Y799,Y800)=0,1,0))</f>
        <v/>
      </c>
      <c r="AA800" s="57" t="str">
        <f>IF(Y800="","",IF(Z800=1,COUNTIFS(A$6:A800,A800,Z$6:Z800,1),INDEX(AA$6:AA799,MATCH(Y800,Y$6:Y799,0))))</f>
        <v/>
      </c>
      <c r="AB800" s="57" t="str">
        <f>IF(B800="","",COUNTIF(B$6:B800,B800))</f>
        <v/>
      </c>
      <c r="AC800" s="57" t="str">
        <f>IF(B800="","",B800&amp;"#"&amp;AB800)</f>
        <v/>
      </c>
      <c r="AD800" s="57" t="str">
        <f>IF(Z800=1,A800&amp;AA800,"")</f>
        <v/>
      </c>
      <c r="AE800" s="57" t="str">
        <f>IF(B800="","",YEAR(C800))</f>
        <v/>
      </c>
      <c r="AF800" s="57" t="str">
        <f>IF(B800="","",MONTH(C800))</f>
        <v/>
      </c>
      <c r="AG800" s="57">
        <f>IF(ISNUMBER(C800),C800,0)</f>
        <v>0.0</v>
      </c>
      <c r="AH800" s="57" t="str">
        <f>IF(N(W800)&gt;0,COUNTIF(W$6:W800,"&gt;0"),"")</f>
        <v/>
      </c>
      <c r="AI800" s="57" t="str">
        <f>IF(Z800=1,COUNTIF(Z$6:Z800,1),"")</f>
        <v/>
      </c>
    </row>
    <row r="801">
      <c r="A801" s="54" t="n"/>
      <c r="B801" s="55" t="str">
        <f>IF(AA801="","",A801&amp;"-"&amp;RIGHT("000"&amp;AA801,4))</f>
        <v/>
      </c>
      <c r="C801" s="56" t="n"/>
      <c r="D801" s="54" t="n"/>
      <c r="E801" s="57" t="str">
        <f>IF(D801="","",IF(A801="BL",IFERROR(INDEX(cl_name,MATCH(D801,cl_code,0))&amp;"","Client inconnu"),IF(A801="BR",IFERROR(INDEX(fo_name,MATCH(D801,fo_code,0))&amp;"","Fournisseur inconnu"),IF(A801="BS",IF(ISNA(MATCH(D801,p_services,0)),"Service inconnu",D801&amp;""),""))))</f>
        <v/>
      </c>
      <c r="F801" s="58" t="n"/>
      <c r="G801" s="58" t="n"/>
      <c r="H801" s="59" t="n"/>
      <c r="I801" s="57" t="str">
        <f>IF(H801="","",IFERROR(INDEX(art_des,MATCH(H801,art_ref,0))&amp;"","Article inconnu"))</f>
        <v/>
      </c>
      <c r="J801" s="60" t="str">
        <f>IF(H801="","",IFERROR(INDEX(art_unit,MATCH(H801,art_ref,0))&amp;"",""))</f>
        <v/>
      </c>
      <c r="K801" s="59" t="n"/>
      <c r="L801" s="59" t="n"/>
      <c r="M801" s="61" t="str">
        <f>IF(OR(B801="",NOT(ISNUMBER(K801)),NOT(ISNUMBER(L801))),"",IF(OR(K801&lt;=0,L801&lt;=0),"",ROUND(L801-K801,6)))</f>
        <v/>
      </c>
      <c r="N801" s="58" t="n"/>
      <c r="O801" s="62" t="n"/>
      <c r="P801" s="63" t="str">
        <f>IF(OR(B801="",NOT(ISNUMBER(L801))),"",IF(L801&lt;=0,"",IFERROR(ROUND(L801*N(INDEX(art_w,MATCH(H801,art_ref,0))),3),"")))</f>
        <v/>
      </c>
      <c r="Q801" s="59" t="n"/>
      <c r="R801" s="54" t="n"/>
      <c r="S801" s="59" t="n"/>
      <c r="T801" s="59" t="n"/>
      <c r="U801" s="64" t="str">
        <f>IF(OR(B801="",H801=""),"",IFERROR(IF(A801="BL",IF(N(INDEX(art_price,MATCH(H801,art_ref,0)))=0,"",N(INDEX(art_price,MATCH(H801,art_ref,0)))),IF(N(INDEX(art_cost,MATCH(H801,art_ref,0)))=0,"",N(INDEX(art_cost,MATCH(H801,art_ref,0))))),""))</f>
        <v/>
      </c>
      <c r="V801" s="64" t="str">
        <f>IF(OR(U801="",NOT(ISNUMBER(L801))),"",IF(L801&lt;=0,"",ROUND(L801*U801,2)))</f>
        <v/>
      </c>
      <c r="W801" s="60" t="str">
        <f>IF(AND(B801&lt;&gt;"",A801&lt;&gt;"BS",F801&lt;&gt;"",H801&lt;&gt;"",ISNUMBER(K801),ISNUMBER(L801)),IF(AND(K801&gt;0,L801&gt;0,K801-L801&gt;0,COUNTIFS(A802:A$2005,A801,F802:F$2005,F801,H802:H$2005,H801,AA802:AA$2005,"&gt;0")=0),ROUND(K801-L801,6),""),"")</f>
        <v/>
      </c>
      <c r="X801" s="60" t="str">
        <f>IF(AND(A801="",C801="",D801="",H801="",L801=""),"",IF(A801="","Type manquant",IF(AND(A801&lt;&gt;"BL",A801&lt;&gt;"BR",A801&lt;&gt;"BS"),"Type inconnu (BL, BR ou BS)",IF(AG801=0,"Date manquante ou invalide",IF(D801="",IF(A801="BL","Client manquant",IF(A801="BR","Fournisseur manquant","Service manquant")),IF(IF(A801="BL",ISNA(MATCH(D801,cl_code,0)),IF(A801="BR",ISNA(MATCH(D801,fo_code,0)),ISNA(MATCH(D801,p_services,0)))),IF(A801="BL","Client inconnu",IF(A801="BR","Fournisseur inconnu","Service inconnu")),IF(H801="","Article manquant",IF(ISNA(MATCH(H801,art_ref,0)),"Article inconnu",IF(OR(NOT(ISNUMBER(L801)),N(L801)&lt;=0),"Quantité invalide",IF(AND(K801&lt;&gt;"",OR(NOT(ISNUMBER(K801)),N(K801)&lt;=0)),"Qté commandée invalide",IF(AG801&lt;SUMPRODUCT(MAX((A$6:A800=A801)*AG$6:AG800)),"Date antérieure au bon précédent",IF(AND(A801&lt;&gt;"BR",ISNUMBER(M801),N(M801)&gt;0),IF(A801="BL","Livré plus que commandé","Sorti plus que demandé"),"OK"))))))))))))</f>
        <v/>
      </c>
      <c r="Y801" s="57" t="str">
        <f>IF(AND(OR(A801="BL",A801="BR",A801="BS"),AG801&gt;0,D801&lt;&gt;""),A801&amp;"|"&amp;AG801&amp;"|"&amp;D801&amp;"|"&amp;F801,"")</f>
        <v/>
      </c>
      <c r="Z801" s="57" t="str">
        <f>IF(Y801="","",IF(COUNTIF(Y$6:Y800,Y801)=0,1,0))</f>
        <v/>
      </c>
      <c r="AA801" s="57" t="str">
        <f>IF(Y801="","",IF(Z801=1,COUNTIFS(A$6:A801,A801,Z$6:Z801,1),INDEX(AA$6:AA800,MATCH(Y801,Y$6:Y800,0))))</f>
        <v/>
      </c>
      <c r="AB801" s="57" t="str">
        <f>IF(B801="","",COUNTIF(B$6:B801,B801))</f>
        <v/>
      </c>
      <c r="AC801" s="57" t="str">
        <f>IF(B801="","",B801&amp;"#"&amp;AB801)</f>
        <v/>
      </c>
      <c r="AD801" s="57" t="str">
        <f>IF(Z801=1,A801&amp;AA801,"")</f>
        <v/>
      </c>
      <c r="AE801" s="57" t="str">
        <f>IF(B801="","",YEAR(C801))</f>
        <v/>
      </c>
      <c r="AF801" s="57" t="str">
        <f>IF(B801="","",MONTH(C801))</f>
        <v/>
      </c>
      <c r="AG801" s="57">
        <f>IF(ISNUMBER(C801),C801,0)</f>
        <v>0.0</v>
      </c>
      <c r="AH801" s="57" t="str">
        <f>IF(N(W801)&gt;0,COUNTIF(W$6:W801,"&gt;0"),"")</f>
        <v/>
      </c>
      <c r="AI801" s="57" t="str">
        <f>IF(Z801=1,COUNTIF(Z$6:Z801,1),"")</f>
        <v/>
      </c>
    </row>
    <row r="802">
      <c r="A802" s="54" t="n"/>
      <c r="B802" s="55" t="str">
        <f>IF(AA802="","",A802&amp;"-"&amp;RIGHT("000"&amp;AA802,4))</f>
        <v/>
      </c>
      <c r="C802" s="56" t="n"/>
      <c r="D802" s="54" t="n"/>
      <c r="E802" s="57" t="str">
        <f>IF(D802="","",IF(A802="BL",IFERROR(INDEX(cl_name,MATCH(D802,cl_code,0))&amp;"","Client inconnu"),IF(A802="BR",IFERROR(INDEX(fo_name,MATCH(D802,fo_code,0))&amp;"","Fournisseur inconnu"),IF(A802="BS",IF(ISNA(MATCH(D802,p_services,0)),"Service inconnu",D802&amp;""),""))))</f>
        <v/>
      </c>
      <c r="F802" s="58" t="n"/>
      <c r="G802" s="58" t="n"/>
      <c r="H802" s="59" t="n"/>
      <c r="I802" s="57" t="str">
        <f>IF(H802="","",IFERROR(INDEX(art_des,MATCH(H802,art_ref,0))&amp;"","Article inconnu"))</f>
        <v/>
      </c>
      <c r="J802" s="60" t="str">
        <f>IF(H802="","",IFERROR(INDEX(art_unit,MATCH(H802,art_ref,0))&amp;"",""))</f>
        <v/>
      </c>
      <c r="K802" s="59" t="n"/>
      <c r="L802" s="59" t="n"/>
      <c r="M802" s="61" t="str">
        <f>IF(OR(B802="",NOT(ISNUMBER(K802)),NOT(ISNUMBER(L802))),"",IF(OR(K802&lt;=0,L802&lt;=0),"",ROUND(L802-K802,6)))</f>
        <v/>
      </c>
      <c r="N802" s="58" t="n"/>
      <c r="O802" s="62" t="n"/>
      <c r="P802" s="63" t="str">
        <f>IF(OR(B802="",NOT(ISNUMBER(L802))),"",IF(L802&lt;=0,"",IFERROR(ROUND(L802*N(INDEX(art_w,MATCH(H802,art_ref,0))),3),"")))</f>
        <v/>
      </c>
      <c r="Q802" s="59" t="n"/>
      <c r="R802" s="54" t="n"/>
      <c r="S802" s="59" t="n"/>
      <c r="T802" s="59" t="n"/>
      <c r="U802" s="64" t="str">
        <f>IF(OR(B802="",H802=""),"",IFERROR(IF(A802="BL",IF(N(INDEX(art_price,MATCH(H802,art_ref,0)))=0,"",N(INDEX(art_price,MATCH(H802,art_ref,0)))),IF(N(INDEX(art_cost,MATCH(H802,art_ref,0)))=0,"",N(INDEX(art_cost,MATCH(H802,art_ref,0))))),""))</f>
        <v/>
      </c>
      <c r="V802" s="64" t="str">
        <f>IF(OR(U802="",NOT(ISNUMBER(L802))),"",IF(L802&lt;=0,"",ROUND(L802*U802,2)))</f>
        <v/>
      </c>
      <c r="W802" s="60" t="str">
        <f>IF(AND(B802&lt;&gt;"",A802&lt;&gt;"BS",F802&lt;&gt;"",H802&lt;&gt;"",ISNUMBER(K802),ISNUMBER(L802)),IF(AND(K802&gt;0,L802&gt;0,K802-L802&gt;0,COUNTIFS(A803:A$2005,A802,F803:F$2005,F802,H803:H$2005,H802,AA803:AA$2005,"&gt;0")=0),ROUND(K802-L802,6),""),"")</f>
        <v/>
      </c>
      <c r="X802" s="60" t="str">
        <f>IF(AND(A802="",C802="",D802="",H802="",L802=""),"",IF(A802="","Type manquant",IF(AND(A802&lt;&gt;"BL",A802&lt;&gt;"BR",A802&lt;&gt;"BS"),"Type inconnu (BL, BR ou BS)",IF(AG802=0,"Date manquante ou invalide",IF(D802="",IF(A802="BL","Client manquant",IF(A802="BR","Fournisseur manquant","Service manquant")),IF(IF(A802="BL",ISNA(MATCH(D802,cl_code,0)),IF(A802="BR",ISNA(MATCH(D802,fo_code,0)),ISNA(MATCH(D802,p_services,0)))),IF(A802="BL","Client inconnu",IF(A802="BR","Fournisseur inconnu","Service inconnu")),IF(H802="","Article manquant",IF(ISNA(MATCH(H802,art_ref,0)),"Article inconnu",IF(OR(NOT(ISNUMBER(L802)),N(L802)&lt;=0),"Quantité invalide",IF(AND(K802&lt;&gt;"",OR(NOT(ISNUMBER(K802)),N(K802)&lt;=0)),"Qté commandée invalide",IF(AG802&lt;SUMPRODUCT(MAX((A$6:A801=A802)*AG$6:AG801)),"Date antérieure au bon précédent",IF(AND(A802&lt;&gt;"BR",ISNUMBER(M802),N(M802)&gt;0),IF(A802="BL","Livré plus que commandé","Sorti plus que demandé"),"OK"))))))))))))</f>
        <v/>
      </c>
      <c r="Y802" s="57" t="str">
        <f>IF(AND(OR(A802="BL",A802="BR",A802="BS"),AG802&gt;0,D802&lt;&gt;""),A802&amp;"|"&amp;AG802&amp;"|"&amp;D802&amp;"|"&amp;F802,"")</f>
        <v/>
      </c>
      <c r="Z802" s="57" t="str">
        <f>IF(Y802="","",IF(COUNTIF(Y$6:Y801,Y802)=0,1,0))</f>
        <v/>
      </c>
      <c r="AA802" s="57" t="str">
        <f>IF(Y802="","",IF(Z802=1,COUNTIFS(A$6:A802,A802,Z$6:Z802,1),INDEX(AA$6:AA801,MATCH(Y802,Y$6:Y801,0))))</f>
        <v/>
      </c>
      <c r="AB802" s="57" t="str">
        <f>IF(B802="","",COUNTIF(B$6:B802,B802))</f>
        <v/>
      </c>
      <c r="AC802" s="57" t="str">
        <f>IF(B802="","",B802&amp;"#"&amp;AB802)</f>
        <v/>
      </c>
      <c r="AD802" s="57" t="str">
        <f>IF(Z802=1,A802&amp;AA802,"")</f>
        <v/>
      </c>
      <c r="AE802" s="57" t="str">
        <f>IF(B802="","",YEAR(C802))</f>
        <v/>
      </c>
      <c r="AF802" s="57" t="str">
        <f>IF(B802="","",MONTH(C802))</f>
        <v/>
      </c>
      <c r="AG802" s="57">
        <f>IF(ISNUMBER(C802),C802,0)</f>
        <v>0.0</v>
      </c>
      <c r="AH802" s="57" t="str">
        <f>IF(N(W802)&gt;0,COUNTIF(W$6:W802,"&gt;0"),"")</f>
        <v/>
      </c>
      <c r="AI802" s="57" t="str">
        <f>IF(Z802=1,COUNTIF(Z$6:Z802,1),"")</f>
        <v/>
      </c>
    </row>
    <row r="803">
      <c r="A803" s="54" t="n"/>
      <c r="B803" s="55" t="str">
        <f>IF(AA803="","",A803&amp;"-"&amp;RIGHT("000"&amp;AA803,4))</f>
        <v/>
      </c>
      <c r="C803" s="56" t="n"/>
      <c r="D803" s="54" t="n"/>
      <c r="E803" s="57" t="str">
        <f>IF(D803="","",IF(A803="BL",IFERROR(INDEX(cl_name,MATCH(D803,cl_code,0))&amp;"","Client inconnu"),IF(A803="BR",IFERROR(INDEX(fo_name,MATCH(D803,fo_code,0))&amp;"","Fournisseur inconnu"),IF(A803="BS",IF(ISNA(MATCH(D803,p_services,0)),"Service inconnu",D803&amp;""),""))))</f>
        <v/>
      </c>
      <c r="F803" s="58" t="n"/>
      <c r="G803" s="58" t="n"/>
      <c r="H803" s="59" t="n"/>
      <c r="I803" s="57" t="str">
        <f>IF(H803="","",IFERROR(INDEX(art_des,MATCH(H803,art_ref,0))&amp;"","Article inconnu"))</f>
        <v/>
      </c>
      <c r="J803" s="60" t="str">
        <f>IF(H803="","",IFERROR(INDEX(art_unit,MATCH(H803,art_ref,0))&amp;"",""))</f>
        <v/>
      </c>
      <c r="K803" s="59" t="n"/>
      <c r="L803" s="59" t="n"/>
      <c r="M803" s="61" t="str">
        <f>IF(OR(B803="",NOT(ISNUMBER(K803)),NOT(ISNUMBER(L803))),"",IF(OR(K803&lt;=0,L803&lt;=0),"",ROUND(L803-K803,6)))</f>
        <v/>
      </c>
      <c r="N803" s="58" t="n"/>
      <c r="O803" s="62" t="n"/>
      <c r="P803" s="63" t="str">
        <f>IF(OR(B803="",NOT(ISNUMBER(L803))),"",IF(L803&lt;=0,"",IFERROR(ROUND(L803*N(INDEX(art_w,MATCH(H803,art_ref,0))),3),"")))</f>
        <v/>
      </c>
      <c r="Q803" s="59" t="n"/>
      <c r="R803" s="54" t="n"/>
      <c r="S803" s="59" t="n"/>
      <c r="T803" s="59" t="n"/>
      <c r="U803" s="64" t="str">
        <f>IF(OR(B803="",H803=""),"",IFERROR(IF(A803="BL",IF(N(INDEX(art_price,MATCH(H803,art_ref,0)))=0,"",N(INDEX(art_price,MATCH(H803,art_ref,0)))),IF(N(INDEX(art_cost,MATCH(H803,art_ref,0)))=0,"",N(INDEX(art_cost,MATCH(H803,art_ref,0))))),""))</f>
        <v/>
      </c>
      <c r="V803" s="64" t="str">
        <f>IF(OR(U803="",NOT(ISNUMBER(L803))),"",IF(L803&lt;=0,"",ROUND(L803*U803,2)))</f>
        <v/>
      </c>
      <c r="W803" s="60" t="str">
        <f>IF(AND(B803&lt;&gt;"",A803&lt;&gt;"BS",F803&lt;&gt;"",H803&lt;&gt;"",ISNUMBER(K803),ISNUMBER(L803)),IF(AND(K803&gt;0,L803&gt;0,K803-L803&gt;0,COUNTIFS(A804:A$2005,A803,F804:F$2005,F803,H804:H$2005,H803,AA804:AA$2005,"&gt;0")=0),ROUND(K803-L803,6),""),"")</f>
        <v/>
      </c>
      <c r="X803" s="60" t="str">
        <f>IF(AND(A803="",C803="",D803="",H803="",L803=""),"",IF(A803="","Type manquant",IF(AND(A803&lt;&gt;"BL",A803&lt;&gt;"BR",A803&lt;&gt;"BS"),"Type inconnu (BL, BR ou BS)",IF(AG803=0,"Date manquante ou invalide",IF(D803="",IF(A803="BL","Client manquant",IF(A803="BR","Fournisseur manquant","Service manquant")),IF(IF(A803="BL",ISNA(MATCH(D803,cl_code,0)),IF(A803="BR",ISNA(MATCH(D803,fo_code,0)),ISNA(MATCH(D803,p_services,0)))),IF(A803="BL","Client inconnu",IF(A803="BR","Fournisseur inconnu","Service inconnu")),IF(H803="","Article manquant",IF(ISNA(MATCH(H803,art_ref,0)),"Article inconnu",IF(OR(NOT(ISNUMBER(L803)),N(L803)&lt;=0),"Quantité invalide",IF(AND(K803&lt;&gt;"",OR(NOT(ISNUMBER(K803)),N(K803)&lt;=0)),"Qté commandée invalide",IF(AG803&lt;SUMPRODUCT(MAX((A$6:A802=A803)*AG$6:AG802)),"Date antérieure au bon précédent",IF(AND(A803&lt;&gt;"BR",ISNUMBER(M803),N(M803)&gt;0),IF(A803="BL","Livré plus que commandé","Sorti plus que demandé"),"OK"))))))))))))</f>
        <v/>
      </c>
      <c r="Y803" s="57" t="str">
        <f>IF(AND(OR(A803="BL",A803="BR",A803="BS"),AG803&gt;0,D803&lt;&gt;""),A803&amp;"|"&amp;AG803&amp;"|"&amp;D803&amp;"|"&amp;F803,"")</f>
        <v/>
      </c>
      <c r="Z803" s="57" t="str">
        <f>IF(Y803="","",IF(COUNTIF(Y$6:Y802,Y803)=0,1,0))</f>
        <v/>
      </c>
      <c r="AA803" s="57" t="str">
        <f>IF(Y803="","",IF(Z803=1,COUNTIFS(A$6:A803,A803,Z$6:Z803,1),INDEX(AA$6:AA802,MATCH(Y803,Y$6:Y802,0))))</f>
        <v/>
      </c>
      <c r="AB803" s="57" t="str">
        <f>IF(B803="","",COUNTIF(B$6:B803,B803))</f>
        <v/>
      </c>
      <c r="AC803" s="57" t="str">
        <f>IF(B803="","",B803&amp;"#"&amp;AB803)</f>
        <v/>
      </c>
      <c r="AD803" s="57" t="str">
        <f>IF(Z803=1,A803&amp;AA803,"")</f>
        <v/>
      </c>
      <c r="AE803" s="57" t="str">
        <f>IF(B803="","",YEAR(C803))</f>
        <v/>
      </c>
      <c r="AF803" s="57" t="str">
        <f>IF(B803="","",MONTH(C803))</f>
        <v/>
      </c>
      <c r="AG803" s="57">
        <f>IF(ISNUMBER(C803),C803,0)</f>
        <v>0.0</v>
      </c>
      <c r="AH803" s="57" t="str">
        <f>IF(N(W803)&gt;0,COUNTIF(W$6:W803,"&gt;0"),"")</f>
        <v/>
      </c>
      <c r="AI803" s="57" t="str">
        <f>IF(Z803=1,COUNTIF(Z$6:Z803,1),"")</f>
        <v/>
      </c>
    </row>
    <row r="804">
      <c r="A804" s="54" t="n"/>
      <c r="B804" s="55" t="str">
        <f>IF(AA804="","",A804&amp;"-"&amp;RIGHT("000"&amp;AA804,4))</f>
        <v/>
      </c>
      <c r="C804" s="56" t="n"/>
      <c r="D804" s="54" t="n"/>
      <c r="E804" s="57" t="str">
        <f>IF(D804="","",IF(A804="BL",IFERROR(INDEX(cl_name,MATCH(D804,cl_code,0))&amp;"","Client inconnu"),IF(A804="BR",IFERROR(INDEX(fo_name,MATCH(D804,fo_code,0))&amp;"","Fournisseur inconnu"),IF(A804="BS",IF(ISNA(MATCH(D804,p_services,0)),"Service inconnu",D804&amp;""),""))))</f>
        <v/>
      </c>
      <c r="F804" s="58" t="n"/>
      <c r="G804" s="58" t="n"/>
      <c r="H804" s="59" t="n"/>
      <c r="I804" s="57" t="str">
        <f>IF(H804="","",IFERROR(INDEX(art_des,MATCH(H804,art_ref,0))&amp;"","Article inconnu"))</f>
        <v/>
      </c>
      <c r="J804" s="60" t="str">
        <f>IF(H804="","",IFERROR(INDEX(art_unit,MATCH(H804,art_ref,0))&amp;"",""))</f>
        <v/>
      </c>
      <c r="K804" s="59" t="n"/>
      <c r="L804" s="59" t="n"/>
      <c r="M804" s="61" t="str">
        <f>IF(OR(B804="",NOT(ISNUMBER(K804)),NOT(ISNUMBER(L804))),"",IF(OR(K804&lt;=0,L804&lt;=0),"",ROUND(L804-K804,6)))</f>
        <v/>
      </c>
      <c r="N804" s="58" t="n"/>
      <c r="O804" s="62" t="n"/>
      <c r="P804" s="63" t="str">
        <f>IF(OR(B804="",NOT(ISNUMBER(L804))),"",IF(L804&lt;=0,"",IFERROR(ROUND(L804*N(INDEX(art_w,MATCH(H804,art_ref,0))),3),"")))</f>
        <v/>
      </c>
      <c r="Q804" s="59" t="n"/>
      <c r="R804" s="54" t="n"/>
      <c r="S804" s="59" t="n"/>
      <c r="T804" s="59" t="n"/>
      <c r="U804" s="64" t="str">
        <f>IF(OR(B804="",H804=""),"",IFERROR(IF(A804="BL",IF(N(INDEX(art_price,MATCH(H804,art_ref,0)))=0,"",N(INDEX(art_price,MATCH(H804,art_ref,0)))),IF(N(INDEX(art_cost,MATCH(H804,art_ref,0)))=0,"",N(INDEX(art_cost,MATCH(H804,art_ref,0))))),""))</f>
        <v/>
      </c>
      <c r="V804" s="64" t="str">
        <f>IF(OR(U804="",NOT(ISNUMBER(L804))),"",IF(L804&lt;=0,"",ROUND(L804*U804,2)))</f>
        <v/>
      </c>
      <c r="W804" s="60" t="str">
        <f>IF(AND(B804&lt;&gt;"",A804&lt;&gt;"BS",F804&lt;&gt;"",H804&lt;&gt;"",ISNUMBER(K804),ISNUMBER(L804)),IF(AND(K804&gt;0,L804&gt;0,K804-L804&gt;0,COUNTIFS(A805:A$2005,A804,F805:F$2005,F804,H805:H$2005,H804,AA805:AA$2005,"&gt;0")=0),ROUND(K804-L804,6),""),"")</f>
        <v/>
      </c>
      <c r="X804" s="60" t="str">
        <f>IF(AND(A804="",C804="",D804="",H804="",L804=""),"",IF(A804="","Type manquant",IF(AND(A804&lt;&gt;"BL",A804&lt;&gt;"BR",A804&lt;&gt;"BS"),"Type inconnu (BL, BR ou BS)",IF(AG804=0,"Date manquante ou invalide",IF(D804="",IF(A804="BL","Client manquant",IF(A804="BR","Fournisseur manquant","Service manquant")),IF(IF(A804="BL",ISNA(MATCH(D804,cl_code,0)),IF(A804="BR",ISNA(MATCH(D804,fo_code,0)),ISNA(MATCH(D804,p_services,0)))),IF(A804="BL","Client inconnu",IF(A804="BR","Fournisseur inconnu","Service inconnu")),IF(H804="","Article manquant",IF(ISNA(MATCH(H804,art_ref,0)),"Article inconnu",IF(OR(NOT(ISNUMBER(L804)),N(L804)&lt;=0),"Quantité invalide",IF(AND(K804&lt;&gt;"",OR(NOT(ISNUMBER(K804)),N(K804)&lt;=0)),"Qté commandée invalide",IF(AG804&lt;SUMPRODUCT(MAX((A$6:A803=A804)*AG$6:AG803)),"Date antérieure au bon précédent",IF(AND(A804&lt;&gt;"BR",ISNUMBER(M804),N(M804)&gt;0),IF(A804="BL","Livré plus que commandé","Sorti plus que demandé"),"OK"))))))))))))</f>
        <v/>
      </c>
      <c r="Y804" s="57" t="str">
        <f>IF(AND(OR(A804="BL",A804="BR",A804="BS"),AG804&gt;0,D804&lt;&gt;""),A804&amp;"|"&amp;AG804&amp;"|"&amp;D804&amp;"|"&amp;F804,"")</f>
        <v/>
      </c>
      <c r="Z804" s="57" t="str">
        <f>IF(Y804="","",IF(COUNTIF(Y$6:Y803,Y804)=0,1,0))</f>
        <v/>
      </c>
      <c r="AA804" s="57" t="str">
        <f>IF(Y804="","",IF(Z804=1,COUNTIFS(A$6:A804,A804,Z$6:Z804,1),INDEX(AA$6:AA803,MATCH(Y804,Y$6:Y803,0))))</f>
        <v/>
      </c>
      <c r="AB804" s="57" t="str">
        <f>IF(B804="","",COUNTIF(B$6:B804,B804))</f>
        <v/>
      </c>
      <c r="AC804" s="57" t="str">
        <f>IF(B804="","",B804&amp;"#"&amp;AB804)</f>
        <v/>
      </c>
      <c r="AD804" s="57" t="str">
        <f>IF(Z804=1,A804&amp;AA804,"")</f>
        <v/>
      </c>
      <c r="AE804" s="57" t="str">
        <f>IF(B804="","",YEAR(C804))</f>
        <v/>
      </c>
      <c r="AF804" s="57" t="str">
        <f>IF(B804="","",MONTH(C804))</f>
        <v/>
      </c>
      <c r="AG804" s="57">
        <f>IF(ISNUMBER(C804),C804,0)</f>
        <v>0.0</v>
      </c>
      <c r="AH804" s="57" t="str">
        <f>IF(N(W804)&gt;0,COUNTIF(W$6:W804,"&gt;0"),"")</f>
        <v/>
      </c>
      <c r="AI804" s="57" t="str">
        <f>IF(Z804=1,COUNTIF(Z$6:Z804,1),"")</f>
        <v/>
      </c>
    </row>
    <row r="805">
      <c r="A805" s="54" t="n"/>
      <c r="B805" s="55" t="str">
        <f>IF(AA805="","",A805&amp;"-"&amp;RIGHT("000"&amp;AA805,4))</f>
        <v/>
      </c>
      <c r="C805" s="56" t="n"/>
      <c r="D805" s="54" t="n"/>
      <c r="E805" s="57" t="str">
        <f>IF(D805="","",IF(A805="BL",IFERROR(INDEX(cl_name,MATCH(D805,cl_code,0))&amp;"","Client inconnu"),IF(A805="BR",IFERROR(INDEX(fo_name,MATCH(D805,fo_code,0))&amp;"","Fournisseur inconnu"),IF(A805="BS",IF(ISNA(MATCH(D805,p_services,0)),"Service inconnu",D805&amp;""),""))))</f>
        <v/>
      </c>
      <c r="F805" s="58" t="n"/>
      <c r="G805" s="58" t="n"/>
      <c r="H805" s="59" t="n"/>
      <c r="I805" s="57" t="str">
        <f>IF(H805="","",IFERROR(INDEX(art_des,MATCH(H805,art_ref,0))&amp;"","Article inconnu"))</f>
        <v/>
      </c>
      <c r="J805" s="60" t="str">
        <f>IF(H805="","",IFERROR(INDEX(art_unit,MATCH(H805,art_ref,0))&amp;"",""))</f>
        <v/>
      </c>
      <c r="K805" s="59" t="n"/>
      <c r="L805" s="59" t="n"/>
      <c r="M805" s="61" t="str">
        <f>IF(OR(B805="",NOT(ISNUMBER(K805)),NOT(ISNUMBER(L805))),"",IF(OR(K805&lt;=0,L805&lt;=0),"",ROUND(L805-K805,6)))</f>
        <v/>
      </c>
      <c r="N805" s="58" t="n"/>
      <c r="O805" s="62" t="n"/>
      <c r="P805" s="63" t="str">
        <f>IF(OR(B805="",NOT(ISNUMBER(L805))),"",IF(L805&lt;=0,"",IFERROR(ROUND(L805*N(INDEX(art_w,MATCH(H805,art_ref,0))),3),"")))</f>
        <v/>
      </c>
      <c r="Q805" s="59" t="n"/>
      <c r="R805" s="54" t="n"/>
      <c r="S805" s="59" t="n"/>
      <c r="T805" s="59" t="n"/>
      <c r="U805" s="64" t="str">
        <f>IF(OR(B805="",H805=""),"",IFERROR(IF(A805="BL",IF(N(INDEX(art_price,MATCH(H805,art_ref,0)))=0,"",N(INDEX(art_price,MATCH(H805,art_ref,0)))),IF(N(INDEX(art_cost,MATCH(H805,art_ref,0)))=0,"",N(INDEX(art_cost,MATCH(H805,art_ref,0))))),""))</f>
        <v/>
      </c>
      <c r="V805" s="64" t="str">
        <f>IF(OR(U805="",NOT(ISNUMBER(L805))),"",IF(L805&lt;=0,"",ROUND(L805*U805,2)))</f>
        <v/>
      </c>
      <c r="W805" s="60" t="str">
        <f>IF(AND(B805&lt;&gt;"",A805&lt;&gt;"BS",F805&lt;&gt;"",H805&lt;&gt;"",ISNUMBER(K805),ISNUMBER(L805)),IF(AND(K805&gt;0,L805&gt;0,K805-L805&gt;0,COUNTIFS(A806:A$2005,A805,F806:F$2005,F805,H806:H$2005,H805,AA806:AA$2005,"&gt;0")=0),ROUND(K805-L805,6),""),"")</f>
        <v/>
      </c>
      <c r="X805" s="60" t="str">
        <f>IF(AND(A805="",C805="",D805="",H805="",L805=""),"",IF(A805="","Type manquant",IF(AND(A805&lt;&gt;"BL",A805&lt;&gt;"BR",A805&lt;&gt;"BS"),"Type inconnu (BL, BR ou BS)",IF(AG805=0,"Date manquante ou invalide",IF(D805="",IF(A805="BL","Client manquant",IF(A805="BR","Fournisseur manquant","Service manquant")),IF(IF(A805="BL",ISNA(MATCH(D805,cl_code,0)),IF(A805="BR",ISNA(MATCH(D805,fo_code,0)),ISNA(MATCH(D805,p_services,0)))),IF(A805="BL","Client inconnu",IF(A805="BR","Fournisseur inconnu","Service inconnu")),IF(H805="","Article manquant",IF(ISNA(MATCH(H805,art_ref,0)),"Article inconnu",IF(OR(NOT(ISNUMBER(L805)),N(L805)&lt;=0),"Quantité invalide",IF(AND(K805&lt;&gt;"",OR(NOT(ISNUMBER(K805)),N(K805)&lt;=0)),"Qté commandée invalide",IF(AG805&lt;SUMPRODUCT(MAX((A$6:A804=A805)*AG$6:AG804)),"Date antérieure au bon précédent",IF(AND(A805&lt;&gt;"BR",ISNUMBER(M805),N(M805)&gt;0),IF(A805="BL","Livré plus que commandé","Sorti plus que demandé"),"OK"))))))))))))</f>
        <v/>
      </c>
      <c r="Y805" s="57" t="str">
        <f>IF(AND(OR(A805="BL",A805="BR",A805="BS"),AG805&gt;0,D805&lt;&gt;""),A805&amp;"|"&amp;AG805&amp;"|"&amp;D805&amp;"|"&amp;F805,"")</f>
        <v/>
      </c>
      <c r="Z805" s="57" t="str">
        <f>IF(Y805="","",IF(COUNTIF(Y$6:Y804,Y805)=0,1,0))</f>
        <v/>
      </c>
      <c r="AA805" s="57" t="str">
        <f>IF(Y805="","",IF(Z805=1,COUNTIFS(A$6:A805,A805,Z$6:Z805,1),INDEX(AA$6:AA804,MATCH(Y805,Y$6:Y804,0))))</f>
        <v/>
      </c>
      <c r="AB805" s="57" t="str">
        <f>IF(B805="","",COUNTIF(B$6:B805,B805))</f>
        <v/>
      </c>
      <c r="AC805" s="57" t="str">
        <f>IF(B805="","",B805&amp;"#"&amp;AB805)</f>
        <v/>
      </c>
      <c r="AD805" s="57" t="str">
        <f>IF(Z805=1,A805&amp;AA805,"")</f>
        <v/>
      </c>
      <c r="AE805" s="57" t="str">
        <f>IF(B805="","",YEAR(C805))</f>
        <v/>
      </c>
      <c r="AF805" s="57" t="str">
        <f>IF(B805="","",MONTH(C805))</f>
        <v/>
      </c>
      <c r="AG805" s="57">
        <f>IF(ISNUMBER(C805),C805,0)</f>
        <v>0.0</v>
      </c>
      <c r="AH805" s="57" t="str">
        <f>IF(N(W805)&gt;0,COUNTIF(W$6:W805,"&gt;0"),"")</f>
        <v/>
      </c>
      <c r="AI805" s="57" t="str">
        <f>IF(Z805=1,COUNTIF(Z$6:Z805,1),"")</f>
        <v/>
      </c>
    </row>
    <row r="806">
      <c r="A806" s="54" t="n"/>
      <c r="B806" s="55" t="str">
        <f>IF(AA806="","",A806&amp;"-"&amp;RIGHT("000"&amp;AA806,4))</f>
        <v/>
      </c>
      <c r="C806" s="56" t="n"/>
      <c r="D806" s="54" t="n"/>
      <c r="E806" s="57" t="str">
        <f>IF(D806="","",IF(A806="BL",IFERROR(INDEX(cl_name,MATCH(D806,cl_code,0))&amp;"","Client inconnu"),IF(A806="BR",IFERROR(INDEX(fo_name,MATCH(D806,fo_code,0))&amp;"","Fournisseur inconnu"),IF(A806="BS",IF(ISNA(MATCH(D806,p_services,0)),"Service inconnu",D806&amp;""),""))))</f>
        <v/>
      </c>
      <c r="F806" s="58" t="n"/>
      <c r="G806" s="58" t="n"/>
      <c r="H806" s="59" t="n"/>
      <c r="I806" s="57" t="str">
        <f>IF(H806="","",IFERROR(INDEX(art_des,MATCH(H806,art_ref,0))&amp;"","Article inconnu"))</f>
        <v/>
      </c>
      <c r="J806" s="60" t="str">
        <f>IF(H806="","",IFERROR(INDEX(art_unit,MATCH(H806,art_ref,0))&amp;"",""))</f>
        <v/>
      </c>
      <c r="K806" s="59" t="n"/>
      <c r="L806" s="59" t="n"/>
      <c r="M806" s="61" t="str">
        <f>IF(OR(B806="",NOT(ISNUMBER(K806)),NOT(ISNUMBER(L806))),"",IF(OR(K806&lt;=0,L806&lt;=0),"",ROUND(L806-K806,6)))</f>
        <v/>
      </c>
      <c r="N806" s="58" t="n"/>
      <c r="O806" s="62" t="n"/>
      <c r="P806" s="63" t="str">
        <f>IF(OR(B806="",NOT(ISNUMBER(L806))),"",IF(L806&lt;=0,"",IFERROR(ROUND(L806*N(INDEX(art_w,MATCH(H806,art_ref,0))),3),"")))</f>
        <v/>
      </c>
      <c r="Q806" s="59" t="n"/>
      <c r="R806" s="54" t="n"/>
      <c r="S806" s="59" t="n"/>
      <c r="T806" s="59" t="n"/>
      <c r="U806" s="64" t="str">
        <f>IF(OR(B806="",H806=""),"",IFERROR(IF(A806="BL",IF(N(INDEX(art_price,MATCH(H806,art_ref,0)))=0,"",N(INDEX(art_price,MATCH(H806,art_ref,0)))),IF(N(INDEX(art_cost,MATCH(H806,art_ref,0)))=0,"",N(INDEX(art_cost,MATCH(H806,art_ref,0))))),""))</f>
        <v/>
      </c>
      <c r="V806" s="64" t="str">
        <f>IF(OR(U806="",NOT(ISNUMBER(L806))),"",IF(L806&lt;=0,"",ROUND(L806*U806,2)))</f>
        <v/>
      </c>
      <c r="W806" s="60" t="str">
        <f>IF(AND(B806&lt;&gt;"",A806&lt;&gt;"BS",F806&lt;&gt;"",H806&lt;&gt;"",ISNUMBER(K806),ISNUMBER(L806)),IF(AND(K806&gt;0,L806&gt;0,K806-L806&gt;0,COUNTIFS(A807:A$2005,A806,F807:F$2005,F806,H807:H$2005,H806,AA807:AA$2005,"&gt;0")=0),ROUND(K806-L806,6),""),"")</f>
        <v/>
      </c>
      <c r="X806" s="60" t="str">
        <f>IF(AND(A806="",C806="",D806="",H806="",L806=""),"",IF(A806="","Type manquant",IF(AND(A806&lt;&gt;"BL",A806&lt;&gt;"BR",A806&lt;&gt;"BS"),"Type inconnu (BL, BR ou BS)",IF(AG806=0,"Date manquante ou invalide",IF(D806="",IF(A806="BL","Client manquant",IF(A806="BR","Fournisseur manquant","Service manquant")),IF(IF(A806="BL",ISNA(MATCH(D806,cl_code,0)),IF(A806="BR",ISNA(MATCH(D806,fo_code,0)),ISNA(MATCH(D806,p_services,0)))),IF(A806="BL","Client inconnu",IF(A806="BR","Fournisseur inconnu","Service inconnu")),IF(H806="","Article manquant",IF(ISNA(MATCH(H806,art_ref,0)),"Article inconnu",IF(OR(NOT(ISNUMBER(L806)),N(L806)&lt;=0),"Quantité invalide",IF(AND(K806&lt;&gt;"",OR(NOT(ISNUMBER(K806)),N(K806)&lt;=0)),"Qté commandée invalide",IF(AG806&lt;SUMPRODUCT(MAX((A$6:A805=A806)*AG$6:AG805)),"Date antérieure au bon précédent",IF(AND(A806&lt;&gt;"BR",ISNUMBER(M806),N(M806)&gt;0),IF(A806="BL","Livré plus que commandé","Sorti plus que demandé"),"OK"))))))))))))</f>
        <v/>
      </c>
      <c r="Y806" s="57" t="str">
        <f>IF(AND(OR(A806="BL",A806="BR",A806="BS"),AG806&gt;0,D806&lt;&gt;""),A806&amp;"|"&amp;AG806&amp;"|"&amp;D806&amp;"|"&amp;F806,"")</f>
        <v/>
      </c>
      <c r="Z806" s="57" t="str">
        <f>IF(Y806="","",IF(COUNTIF(Y$6:Y805,Y806)=0,1,0))</f>
        <v/>
      </c>
      <c r="AA806" s="57" t="str">
        <f>IF(Y806="","",IF(Z806=1,COUNTIFS(A$6:A806,A806,Z$6:Z806,1),INDEX(AA$6:AA805,MATCH(Y806,Y$6:Y805,0))))</f>
        <v/>
      </c>
      <c r="AB806" s="57" t="str">
        <f>IF(B806="","",COUNTIF(B$6:B806,B806))</f>
        <v/>
      </c>
      <c r="AC806" s="57" t="str">
        <f>IF(B806="","",B806&amp;"#"&amp;AB806)</f>
        <v/>
      </c>
      <c r="AD806" s="57" t="str">
        <f>IF(Z806=1,A806&amp;AA806,"")</f>
        <v/>
      </c>
      <c r="AE806" s="57" t="str">
        <f>IF(B806="","",YEAR(C806))</f>
        <v/>
      </c>
      <c r="AF806" s="57" t="str">
        <f>IF(B806="","",MONTH(C806))</f>
        <v/>
      </c>
      <c r="AG806" s="57">
        <f>IF(ISNUMBER(C806),C806,0)</f>
        <v>0.0</v>
      </c>
      <c r="AH806" s="57" t="str">
        <f>IF(N(W806)&gt;0,COUNTIF(W$6:W806,"&gt;0"),"")</f>
        <v/>
      </c>
      <c r="AI806" s="57" t="str">
        <f>IF(Z806=1,COUNTIF(Z$6:Z806,1),"")</f>
        <v/>
      </c>
    </row>
    <row r="807">
      <c r="A807" s="54" t="n"/>
      <c r="B807" s="55" t="str">
        <f>IF(AA807="","",A807&amp;"-"&amp;RIGHT("000"&amp;AA807,4))</f>
        <v/>
      </c>
      <c r="C807" s="56" t="n"/>
      <c r="D807" s="54" t="n"/>
      <c r="E807" s="57" t="str">
        <f>IF(D807="","",IF(A807="BL",IFERROR(INDEX(cl_name,MATCH(D807,cl_code,0))&amp;"","Client inconnu"),IF(A807="BR",IFERROR(INDEX(fo_name,MATCH(D807,fo_code,0))&amp;"","Fournisseur inconnu"),IF(A807="BS",IF(ISNA(MATCH(D807,p_services,0)),"Service inconnu",D807&amp;""),""))))</f>
        <v/>
      </c>
      <c r="F807" s="58" t="n"/>
      <c r="G807" s="58" t="n"/>
      <c r="H807" s="59" t="n"/>
      <c r="I807" s="57" t="str">
        <f>IF(H807="","",IFERROR(INDEX(art_des,MATCH(H807,art_ref,0))&amp;"","Article inconnu"))</f>
        <v/>
      </c>
      <c r="J807" s="60" t="str">
        <f>IF(H807="","",IFERROR(INDEX(art_unit,MATCH(H807,art_ref,0))&amp;"",""))</f>
        <v/>
      </c>
      <c r="K807" s="59" t="n"/>
      <c r="L807" s="59" t="n"/>
      <c r="M807" s="61" t="str">
        <f>IF(OR(B807="",NOT(ISNUMBER(K807)),NOT(ISNUMBER(L807))),"",IF(OR(K807&lt;=0,L807&lt;=0),"",ROUND(L807-K807,6)))</f>
        <v/>
      </c>
      <c r="N807" s="58" t="n"/>
      <c r="O807" s="62" t="n"/>
      <c r="P807" s="63" t="str">
        <f>IF(OR(B807="",NOT(ISNUMBER(L807))),"",IF(L807&lt;=0,"",IFERROR(ROUND(L807*N(INDEX(art_w,MATCH(H807,art_ref,0))),3),"")))</f>
        <v/>
      </c>
      <c r="Q807" s="59" t="n"/>
      <c r="R807" s="54" t="n"/>
      <c r="S807" s="59" t="n"/>
      <c r="T807" s="59" t="n"/>
      <c r="U807" s="64" t="str">
        <f>IF(OR(B807="",H807=""),"",IFERROR(IF(A807="BL",IF(N(INDEX(art_price,MATCH(H807,art_ref,0)))=0,"",N(INDEX(art_price,MATCH(H807,art_ref,0)))),IF(N(INDEX(art_cost,MATCH(H807,art_ref,0)))=0,"",N(INDEX(art_cost,MATCH(H807,art_ref,0))))),""))</f>
        <v/>
      </c>
      <c r="V807" s="64" t="str">
        <f>IF(OR(U807="",NOT(ISNUMBER(L807))),"",IF(L807&lt;=0,"",ROUND(L807*U807,2)))</f>
        <v/>
      </c>
      <c r="W807" s="60" t="str">
        <f>IF(AND(B807&lt;&gt;"",A807&lt;&gt;"BS",F807&lt;&gt;"",H807&lt;&gt;"",ISNUMBER(K807),ISNUMBER(L807)),IF(AND(K807&gt;0,L807&gt;0,K807-L807&gt;0,COUNTIFS(A808:A$2005,A807,F808:F$2005,F807,H808:H$2005,H807,AA808:AA$2005,"&gt;0")=0),ROUND(K807-L807,6),""),"")</f>
        <v/>
      </c>
      <c r="X807" s="60" t="str">
        <f>IF(AND(A807="",C807="",D807="",H807="",L807=""),"",IF(A807="","Type manquant",IF(AND(A807&lt;&gt;"BL",A807&lt;&gt;"BR",A807&lt;&gt;"BS"),"Type inconnu (BL, BR ou BS)",IF(AG807=0,"Date manquante ou invalide",IF(D807="",IF(A807="BL","Client manquant",IF(A807="BR","Fournisseur manquant","Service manquant")),IF(IF(A807="BL",ISNA(MATCH(D807,cl_code,0)),IF(A807="BR",ISNA(MATCH(D807,fo_code,0)),ISNA(MATCH(D807,p_services,0)))),IF(A807="BL","Client inconnu",IF(A807="BR","Fournisseur inconnu","Service inconnu")),IF(H807="","Article manquant",IF(ISNA(MATCH(H807,art_ref,0)),"Article inconnu",IF(OR(NOT(ISNUMBER(L807)),N(L807)&lt;=0),"Quantité invalide",IF(AND(K807&lt;&gt;"",OR(NOT(ISNUMBER(K807)),N(K807)&lt;=0)),"Qté commandée invalide",IF(AG807&lt;SUMPRODUCT(MAX((A$6:A806=A807)*AG$6:AG806)),"Date antérieure au bon précédent",IF(AND(A807&lt;&gt;"BR",ISNUMBER(M807),N(M807)&gt;0),IF(A807="BL","Livré plus que commandé","Sorti plus que demandé"),"OK"))))))))))))</f>
        <v/>
      </c>
      <c r="Y807" s="57" t="str">
        <f>IF(AND(OR(A807="BL",A807="BR",A807="BS"),AG807&gt;0,D807&lt;&gt;""),A807&amp;"|"&amp;AG807&amp;"|"&amp;D807&amp;"|"&amp;F807,"")</f>
        <v/>
      </c>
      <c r="Z807" s="57" t="str">
        <f>IF(Y807="","",IF(COUNTIF(Y$6:Y806,Y807)=0,1,0))</f>
        <v/>
      </c>
      <c r="AA807" s="57" t="str">
        <f>IF(Y807="","",IF(Z807=1,COUNTIFS(A$6:A807,A807,Z$6:Z807,1),INDEX(AA$6:AA806,MATCH(Y807,Y$6:Y806,0))))</f>
        <v/>
      </c>
      <c r="AB807" s="57" t="str">
        <f>IF(B807="","",COUNTIF(B$6:B807,B807))</f>
        <v/>
      </c>
      <c r="AC807" s="57" t="str">
        <f>IF(B807="","",B807&amp;"#"&amp;AB807)</f>
        <v/>
      </c>
      <c r="AD807" s="57" t="str">
        <f>IF(Z807=1,A807&amp;AA807,"")</f>
        <v/>
      </c>
      <c r="AE807" s="57" t="str">
        <f>IF(B807="","",YEAR(C807))</f>
        <v/>
      </c>
      <c r="AF807" s="57" t="str">
        <f>IF(B807="","",MONTH(C807))</f>
        <v/>
      </c>
      <c r="AG807" s="57">
        <f>IF(ISNUMBER(C807),C807,0)</f>
        <v>0.0</v>
      </c>
      <c r="AH807" s="57" t="str">
        <f>IF(N(W807)&gt;0,COUNTIF(W$6:W807,"&gt;0"),"")</f>
        <v/>
      </c>
      <c r="AI807" s="57" t="str">
        <f>IF(Z807=1,COUNTIF(Z$6:Z807,1),"")</f>
        <v/>
      </c>
    </row>
    <row r="808">
      <c r="A808" s="54" t="n"/>
      <c r="B808" s="55" t="str">
        <f>IF(AA808="","",A808&amp;"-"&amp;RIGHT("000"&amp;AA808,4))</f>
        <v/>
      </c>
      <c r="C808" s="56" t="n"/>
      <c r="D808" s="54" t="n"/>
      <c r="E808" s="57" t="str">
        <f>IF(D808="","",IF(A808="BL",IFERROR(INDEX(cl_name,MATCH(D808,cl_code,0))&amp;"","Client inconnu"),IF(A808="BR",IFERROR(INDEX(fo_name,MATCH(D808,fo_code,0))&amp;"","Fournisseur inconnu"),IF(A808="BS",IF(ISNA(MATCH(D808,p_services,0)),"Service inconnu",D808&amp;""),""))))</f>
        <v/>
      </c>
      <c r="F808" s="58" t="n"/>
      <c r="G808" s="58" t="n"/>
      <c r="H808" s="59" t="n"/>
      <c r="I808" s="57" t="str">
        <f>IF(H808="","",IFERROR(INDEX(art_des,MATCH(H808,art_ref,0))&amp;"","Article inconnu"))</f>
        <v/>
      </c>
      <c r="J808" s="60" t="str">
        <f>IF(H808="","",IFERROR(INDEX(art_unit,MATCH(H808,art_ref,0))&amp;"",""))</f>
        <v/>
      </c>
      <c r="K808" s="59" t="n"/>
      <c r="L808" s="59" t="n"/>
      <c r="M808" s="61" t="str">
        <f>IF(OR(B808="",NOT(ISNUMBER(K808)),NOT(ISNUMBER(L808))),"",IF(OR(K808&lt;=0,L808&lt;=0),"",ROUND(L808-K808,6)))</f>
        <v/>
      </c>
      <c r="N808" s="58" t="n"/>
      <c r="O808" s="62" t="n"/>
      <c r="P808" s="63" t="str">
        <f>IF(OR(B808="",NOT(ISNUMBER(L808))),"",IF(L808&lt;=0,"",IFERROR(ROUND(L808*N(INDEX(art_w,MATCH(H808,art_ref,0))),3),"")))</f>
        <v/>
      </c>
      <c r="Q808" s="59" t="n"/>
      <c r="R808" s="54" t="n"/>
      <c r="S808" s="59" t="n"/>
      <c r="T808" s="59" t="n"/>
      <c r="U808" s="64" t="str">
        <f>IF(OR(B808="",H808=""),"",IFERROR(IF(A808="BL",IF(N(INDEX(art_price,MATCH(H808,art_ref,0)))=0,"",N(INDEX(art_price,MATCH(H808,art_ref,0)))),IF(N(INDEX(art_cost,MATCH(H808,art_ref,0)))=0,"",N(INDEX(art_cost,MATCH(H808,art_ref,0))))),""))</f>
        <v/>
      </c>
      <c r="V808" s="64" t="str">
        <f>IF(OR(U808="",NOT(ISNUMBER(L808))),"",IF(L808&lt;=0,"",ROUND(L808*U808,2)))</f>
        <v/>
      </c>
      <c r="W808" s="60" t="str">
        <f>IF(AND(B808&lt;&gt;"",A808&lt;&gt;"BS",F808&lt;&gt;"",H808&lt;&gt;"",ISNUMBER(K808),ISNUMBER(L808)),IF(AND(K808&gt;0,L808&gt;0,K808-L808&gt;0,COUNTIFS(A809:A$2005,A808,F809:F$2005,F808,H809:H$2005,H808,AA809:AA$2005,"&gt;0")=0),ROUND(K808-L808,6),""),"")</f>
        <v/>
      </c>
      <c r="X808" s="60" t="str">
        <f>IF(AND(A808="",C808="",D808="",H808="",L808=""),"",IF(A808="","Type manquant",IF(AND(A808&lt;&gt;"BL",A808&lt;&gt;"BR",A808&lt;&gt;"BS"),"Type inconnu (BL, BR ou BS)",IF(AG808=0,"Date manquante ou invalide",IF(D808="",IF(A808="BL","Client manquant",IF(A808="BR","Fournisseur manquant","Service manquant")),IF(IF(A808="BL",ISNA(MATCH(D808,cl_code,0)),IF(A808="BR",ISNA(MATCH(D808,fo_code,0)),ISNA(MATCH(D808,p_services,0)))),IF(A808="BL","Client inconnu",IF(A808="BR","Fournisseur inconnu","Service inconnu")),IF(H808="","Article manquant",IF(ISNA(MATCH(H808,art_ref,0)),"Article inconnu",IF(OR(NOT(ISNUMBER(L808)),N(L808)&lt;=0),"Quantité invalide",IF(AND(K808&lt;&gt;"",OR(NOT(ISNUMBER(K808)),N(K808)&lt;=0)),"Qté commandée invalide",IF(AG808&lt;SUMPRODUCT(MAX((A$6:A807=A808)*AG$6:AG807)),"Date antérieure au bon précédent",IF(AND(A808&lt;&gt;"BR",ISNUMBER(M808),N(M808)&gt;0),IF(A808="BL","Livré plus que commandé","Sorti plus que demandé"),"OK"))))))))))))</f>
        <v/>
      </c>
      <c r="Y808" s="57" t="str">
        <f>IF(AND(OR(A808="BL",A808="BR",A808="BS"),AG808&gt;0,D808&lt;&gt;""),A808&amp;"|"&amp;AG808&amp;"|"&amp;D808&amp;"|"&amp;F808,"")</f>
        <v/>
      </c>
      <c r="Z808" s="57" t="str">
        <f>IF(Y808="","",IF(COUNTIF(Y$6:Y807,Y808)=0,1,0))</f>
        <v/>
      </c>
      <c r="AA808" s="57" t="str">
        <f>IF(Y808="","",IF(Z808=1,COUNTIFS(A$6:A808,A808,Z$6:Z808,1),INDEX(AA$6:AA807,MATCH(Y808,Y$6:Y807,0))))</f>
        <v/>
      </c>
      <c r="AB808" s="57" t="str">
        <f>IF(B808="","",COUNTIF(B$6:B808,B808))</f>
        <v/>
      </c>
      <c r="AC808" s="57" t="str">
        <f>IF(B808="","",B808&amp;"#"&amp;AB808)</f>
        <v/>
      </c>
      <c r="AD808" s="57" t="str">
        <f>IF(Z808=1,A808&amp;AA808,"")</f>
        <v/>
      </c>
      <c r="AE808" s="57" t="str">
        <f>IF(B808="","",YEAR(C808))</f>
        <v/>
      </c>
      <c r="AF808" s="57" t="str">
        <f>IF(B808="","",MONTH(C808))</f>
        <v/>
      </c>
      <c r="AG808" s="57">
        <f>IF(ISNUMBER(C808),C808,0)</f>
        <v>0.0</v>
      </c>
      <c r="AH808" s="57" t="str">
        <f>IF(N(W808)&gt;0,COUNTIF(W$6:W808,"&gt;0"),"")</f>
        <v/>
      </c>
      <c r="AI808" s="57" t="str">
        <f>IF(Z808=1,COUNTIF(Z$6:Z808,1),"")</f>
        <v/>
      </c>
    </row>
    <row r="809">
      <c r="A809" s="54" t="n"/>
      <c r="B809" s="55" t="str">
        <f>IF(AA809="","",A809&amp;"-"&amp;RIGHT("000"&amp;AA809,4))</f>
        <v/>
      </c>
      <c r="C809" s="56" t="n"/>
      <c r="D809" s="54" t="n"/>
      <c r="E809" s="57" t="str">
        <f>IF(D809="","",IF(A809="BL",IFERROR(INDEX(cl_name,MATCH(D809,cl_code,0))&amp;"","Client inconnu"),IF(A809="BR",IFERROR(INDEX(fo_name,MATCH(D809,fo_code,0))&amp;"","Fournisseur inconnu"),IF(A809="BS",IF(ISNA(MATCH(D809,p_services,0)),"Service inconnu",D809&amp;""),""))))</f>
        <v/>
      </c>
      <c r="F809" s="58" t="n"/>
      <c r="G809" s="58" t="n"/>
      <c r="H809" s="59" t="n"/>
      <c r="I809" s="57" t="str">
        <f>IF(H809="","",IFERROR(INDEX(art_des,MATCH(H809,art_ref,0))&amp;"","Article inconnu"))</f>
        <v/>
      </c>
      <c r="J809" s="60" t="str">
        <f>IF(H809="","",IFERROR(INDEX(art_unit,MATCH(H809,art_ref,0))&amp;"",""))</f>
        <v/>
      </c>
      <c r="K809" s="59" t="n"/>
      <c r="L809" s="59" t="n"/>
      <c r="M809" s="61" t="str">
        <f>IF(OR(B809="",NOT(ISNUMBER(K809)),NOT(ISNUMBER(L809))),"",IF(OR(K809&lt;=0,L809&lt;=0),"",ROUND(L809-K809,6)))</f>
        <v/>
      </c>
      <c r="N809" s="58" t="n"/>
      <c r="O809" s="62" t="n"/>
      <c r="P809" s="63" t="str">
        <f>IF(OR(B809="",NOT(ISNUMBER(L809))),"",IF(L809&lt;=0,"",IFERROR(ROUND(L809*N(INDEX(art_w,MATCH(H809,art_ref,0))),3),"")))</f>
        <v/>
      </c>
      <c r="Q809" s="59" t="n"/>
      <c r="R809" s="54" t="n"/>
      <c r="S809" s="59" t="n"/>
      <c r="T809" s="59" t="n"/>
      <c r="U809" s="64" t="str">
        <f>IF(OR(B809="",H809=""),"",IFERROR(IF(A809="BL",IF(N(INDEX(art_price,MATCH(H809,art_ref,0)))=0,"",N(INDEX(art_price,MATCH(H809,art_ref,0)))),IF(N(INDEX(art_cost,MATCH(H809,art_ref,0)))=0,"",N(INDEX(art_cost,MATCH(H809,art_ref,0))))),""))</f>
        <v/>
      </c>
      <c r="V809" s="64" t="str">
        <f>IF(OR(U809="",NOT(ISNUMBER(L809))),"",IF(L809&lt;=0,"",ROUND(L809*U809,2)))</f>
        <v/>
      </c>
      <c r="W809" s="60" t="str">
        <f>IF(AND(B809&lt;&gt;"",A809&lt;&gt;"BS",F809&lt;&gt;"",H809&lt;&gt;"",ISNUMBER(K809),ISNUMBER(L809)),IF(AND(K809&gt;0,L809&gt;0,K809-L809&gt;0,COUNTIFS(A810:A$2005,A809,F810:F$2005,F809,H810:H$2005,H809,AA810:AA$2005,"&gt;0")=0),ROUND(K809-L809,6),""),"")</f>
        <v/>
      </c>
      <c r="X809" s="60" t="str">
        <f>IF(AND(A809="",C809="",D809="",H809="",L809=""),"",IF(A809="","Type manquant",IF(AND(A809&lt;&gt;"BL",A809&lt;&gt;"BR",A809&lt;&gt;"BS"),"Type inconnu (BL, BR ou BS)",IF(AG809=0,"Date manquante ou invalide",IF(D809="",IF(A809="BL","Client manquant",IF(A809="BR","Fournisseur manquant","Service manquant")),IF(IF(A809="BL",ISNA(MATCH(D809,cl_code,0)),IF(A809="BR",ISNA(MATCH(D809,fo_code,0)),ISNA(MATCH(D809,p_services,0)))),IF(A809="BL","Client inconnu",IF(A809="BR","Fournisseur inconnu","Service inconnu")),IF(H809="","Article manquant",IF(ISNA(MATCH(H809,art_ref,0)),"Article inconnu",IF(OR(NOT(ISNUMBER(L809)),N(L809)&lt;=0),"Quantité invalide",IF(AND(K809&lt;&gt;"",OR(NOT(ISNUMBER(K809)),N(K809)&lt;=0)),"Qté commandée invalide",IF(AG809&lt;SUMPRODUCT(MAX((A$6:A808=A809)*AG$6:AG808)),"Date antérieure au bon précédent",IF(AND(A809&lt;&gt;"BR",ISNUMBER(M809),N(M809)&gt;0),IF(A809="BL","Livré plus que commandé","Sorti plus que demandé"),"OK"))))))))))))</f>
        <v/>
      </c>
      <c r="Y809" s="57" t="str">
        <f>IF(AND(OR(A809="BL",A809="BR",A809="BS"),AG809&gt;0,D809&lt;&gt;""),A809&amp;"|"&amp;AG809&amp;"|"&amp;D809&amp;"|"&amp;F809,"")</f>
        <v/>
      </c>
      <c r="Z809" s="57" t="str">
        <f>IF(Y809="","",IF(COUNTIF(Y$6:Y808,Y809)=0,1,0))</f>
        <v/>
      </c>
      <c r="AA809" s="57" t="str">
        <f>IF(Y809="","",IF(Z809=1,COUNTIFS(A$6:A809,A809,Z$6:Z809,1),INDEX(AA$6:AA808,MATCH(Y809,Y$6:Y808,0))))</f>
        <v/>
      </c>
      <c r="AB809" s="57" t="str">
        <f>IF(B809="","",COUNTIF(B$6:B809,B809))</f>
        <v/>
      </c>
      <c r="AC809" s="57" t="str">
        <f>IF(B809="","",B809&amp;"#"&amp;AB809)</f>
        <v/>
      </c>
      <c r="AD809" s="57" t="str">
        <f>IF(Z809=1,A809&amp;AA809,"")</f>
        <v/>
      </c>
      <c r="AE809" s="57" t="str">
        <f>IF(B809="","",YEAR(C809))</f>
        <v/>
      </c>
      <c r="AF809" s="57" t="str">
        <f>IF(B809="","",MONTH(C809))</f>
        <v/>
      </c>
      <c r="AG809" s="57">
        <f>IF(ISNUMBER(C809),C809,0)</f>
        <v>0.0</v>
      </c>
      <c r="AH809" s="57" t="str">
        <f>IF(N(W809)&gt;0,COUNTIF(W$6:W809,"&gt;0"),"")</f>
        <v/>
      </c>
      <c r="AI809" s="57" t="str">
        <f>IF(Z809=1,COUNTIF(Z$6:Z809,1),"")</f>
        <v/>
      </c>
    </row>
    <row r="810">
      <c r="A810" s="54" t="n"/>
      <c r="B810" s="55" t="str">
        <f>IF(AA810="","",A810&amp;"-"&amp;RIGHT("000"&amp;AA810,4))</f>
        <v/>
      </c>
      <c r="C810" s="56" t="n"/>
      <c r="D810" s="54" t="n"/>
      <c r="E810" s="57" t="str">
        <f>IF(D810="","",IF(A810="BL",IFERROR(INDEX(cl_name,MATCH(D810,cl_code,0))&amp;"","Client inconnu"),IF(A810="BR",IFERROR(INDEX(fo_name,MATCH(D810,fo_code,0))&amp;"","Fournisseur inconnu"),IF(A810="BS",IF(ISNA(MATCH(D810,p_services,0)),"Service inconnu",D810&amp;""),""))))</f>
        <v/>
      </c>
      <c r="F810" s="58" t="n"/>
      <c r="G810" s="58" t="n"/>
      <c r="H810" s="59" t="n"/>
      <c r="I810" s="57" t="str">
        <f>IF(H810="","",IFERROR(INDEX(art_des,MATCH(H810,art_ref,0))&amp;"","Article inconnu"))</f>
        <v/>
      </c>
      <c r="J810" s="60" t="str">
        <f>IF(H810="","",IFERROR(INDEX(art_unit,MATCH(H810,art_ref,0))&amp;"",""))</f>
        <v/>
      </c>
      <c r="K810" s="59" t="n"/>
      <c r="L810" s="59" t="n"/>
      <c r="M810" s="61" t="str">
        <f>IF(OR(B810="",NOT(ISNUMBER(K810)),NOT(ISNUMBER(L810))),"",IF(OR(K810&lt;=0,L810&lt;=0),"",ROUND(L810-K810,6)))</f>
        <v/>
      </c>
      <c r="N810" s="58" t="n"/>
      <c r="O810" s="62" t="n"/>
      <c r="P810" s="63" t="str">
        <f>IF(OR(B810="",NOT(ISNUMBER(L810))),"",IF(L810&lt;=0,"",IFERROR(ROUND(L810*N(INDEX(art_w,MATCH(H810,art_ref,0))),3),"")))</f>
        <v/>
      </c>
      <c r="Q810" s="59" t="n"/>
      <c r="R810" s="54" t="n"/>
      <c r="S810" s="59" t="n"/>
      <c r="T810" s="59" t="n"/>
      <c r="U810" s="64" t="str">
        <f>IF(OR(B810="",H810=""),"",IFERROR(IF(A810="BL",IF(N(INDEX(art_price,MATCH(H810,art_ref,0)))=0,"",N(INDEX(art_price,MATCH(H810,art_ref,0)))),IF(N(INDEX(art_cost,MATCH(H810,art_ref,0)))=0,"",N(INDEX(art_cost,MATCH(H810,art_ref,0))))),""))</f>
        <v/>
      </c>
      <c r="V810" s="64" t="str">
        <f>IF(OR(U810="",NOT(ISNUMBER(L810))),"",IF(L810&lt;=0,"",ROUND(L810*U810,2)))</f>
        <v/>
      </c>
      <c r="W810" s="60" t="str">
        <f>IF(AND(B810&lt;&gt;"",A810&lt;&gt;"BS",F810&lt;&gt;"",H810&lt;&gt;"",ISNUMBER(K810),ISNUMBER(L810)),IF(AND(K810&gt;0,L810&gt;0,K810-L810&gt;0,COUNTIFS(A811:A$2005,A810,F811:F$2005,F810,H811:H$2005,H810,AA811:AA$2005,"&gt;0")=0),ROUND(K810-L810,6),""),"")</f>
        <v/>
      </c>
      <c r="X810" s="60" t="str">
        <f>IF(AND(A810="",C810="",D810="",H810="",L810=""),"",IF(A810="","Type manquant",IF(AND(A810&lt;&gt;"BL",A810&lt;&gt;"BR",A810&lt;&gt;"BS"),"Type inconnu (BL, BR ou BS)",IF(AG810=0,"Date manquante ou invalide",IF(D810="",IF(A810="BL","Client manquant",IF(A810="BR","Fournisseur manquant","Service manquant")),IF(IF(A810="BL",ISNA(MATCH(D810,cl_code,0)),IF(A810="BR",ISNA(MATCH(D810,fo_code,0)),ISNA(MATCH(D810,p_services,0)))),IF(A810="BL","Client inconnu",IF(A810="BR","Fournisseur inconnu","Service inconnu")),IF(H810="","Article manquant",IF(ISNA(MATCH(H810,art_ref,0)),"Article inconnu",IF(OR(NOT(ISNUMBER(L810)),N(L810)&lt;=0),"Quantité invalide",IF(AND(K810&lt;&gt;"",OR(NOT(ISNUMBER(K810)),N(K810)&lt;=0)),"Qté commandée invalide",IF(AG810&lt;SUMPRODUCT(MAX((A$6:A809=A810)*AG$6:AG809)),"Date antérieure au bon précédent",IF(AND(A810&lt;&gt;"BR",ISNUMBER(M810),N(M810)&gt;0),IF(A810="BL","Livré plus que commandé","Sorti plus que demandé"),"OK"))))))))))))</f>
        <v/>
      </c>
      <c r="Y810" s="57" t="str">
        <f>IF(AND(OR(A810="BL",A810="BR",A810="BS"),AG810&gt;0,D810&lt;&gt;""),A810&amp;"|"&amp;AG810&amp;"|"&amp;D810&amp;"|"&amp;F810,"")</f>
        <v/>
      </c>
      <c r="Z810" s="57" t="str">
        <f>IF(Y810="","",IF(COUNTIF(Y$6:Y809,Y810)=0,1,0))</f>
        <v/>
      </c>
      <c r="AA810" s="57" t="str">
        <f>IF(Y810="","",IF(Z810=1,COUNTIFS(A$6:A810,A810,Z$6:Z810,1),INDEX(AA$6:AA809,MATCH(Y810,Y$6:Y809,0))))</f>
        <v/>
      </c>
      <c r="AB810" s="57" t="str">
        <f>IF(B810="","",COUNTIF(B$6:B810,B810))</f>
        <v/>
      </c>
      <c r="AC810" s="57" t="str">
        <f>IF(B810="","",B810&amp;"#"&amp;AB810)</f>
        <v/>
      </c>
      <c r="AD810" s="57" t="str">
        <f>IF(Z810=1,A810&amp;AA810,"")</f>
        <v/>
      </c>
      <c r="AE810" s="57" t="str">
        <f>IF(B810="","",YEAR(C810))</f>
        <v/>
      </c>
      <c r="AF810" s="57" t="str">
        <f>IF(B810="","",MONTH(C810))</f>
        <v/>
      </c>
      <c r="AG810" s="57">
        <f>IF(ISNUMBER(C810),C810,0)</f>
        <v>0.0</v>
      </c>
      <c r="AH810" s="57" t="str">
        <f>IF(N(W810)&gt;0,COUNTIF(W$6:W810,"&gt;0"),"")</f>
        <v/>
      </c>
      <c r="AI810" s="57" t="str">
        <f>IF(Z810=1,COUNTIF(Z$6:Z810,1),"")</f>
        <v/>
      </c>
    </row>
    <row r="811">
      <c r="A811" s="54" t="n"/>
      <c r="B811" s="55" t="str">
        <f>IF(AA811="","",A811&amp;"-"&amp;RIGHT("000"&amp;AA811,4))</f>
        <v/>
      </c>
      <c r="C811" s="56" t="n"/>
      <c r="D811" s="54" t="n"/>
      <c r="E811" s="57" t="str">
        <f>IF(D811="","",IF(A811="BL",IFERROR(INDEX(cl_name,MATCH(D811,cl_code,0))&amp;"","Client inconnu"),IF(A811="BR",IFERROR(INDEX(fo_name,MATCH(D811,fo_code,0))&amp;"","Fournisseur inconnu"),IF(A811="BS",IF(ISNA(MATCH(D811,p_services,0)),"Service inconnu",D811&amp;""),""))))</f>
        <v/>
      </c>
      <c r="F811" s="58" t="n"/>
      <c r="G811" s="58" t="n"/>
      <c r="H811" s="59" t="n"/>
      <c r="I811" s="57" t="str">
        <f>IF(H811="","",IFERROR(INDEX(art_des,MATCH(H811,art_ref,0))&amp;"","Article inconnu"))</f>
        <v/>
      </c>
      <c r="J811" s="60" t="str">
        <f>IF(H811="","",IFERROR(INDEX(art_unit,MATCH(H811,art_ref,0))&amp;"",""))</f>
        <v/>
      </c>
      <c r="K811" s="59" t="n"/>
      <c r="L811" s="59" t="n"/>
      <c r="M811" s="61" t="str">
        <f>IF(OR(B811="",NOT(ISNUMBER(K811)),NOT(ISNUMBER(L811))),"",IF(OR(K811&lt;=0,L811&lt;=0),"",ROUND(L811-K811,6)))</f>
        <v/>
      </c>
      <c r="N811" s="58" t="n"/>
      <c r="O811" s="62" t="n"/>
      <c r="P811" s="63" t="str">
        <f>IF(OR(B811="",NOT(ISNUMBER(L811))),"",IF(L811&lt;=0,"",IFERROR(ROUND(L811*N(INDEX(art_w,MATCH(H811,art_ref,0))),3),"")))</f>
        <v/>
      </c>
      <c r="Q811" s="59" t="n"/>
      <c r="R811" s="54" t="n"/>
      <c r="S811" s="59" t="n"/>
      <c r="T811" s="59" t="n"/>
      <c r="U811" s="64" t="str">
        <f>IF(OR(B811="",H811=""),"",IFERROR(IF(A811="BL",IF(N(INDEX(art_price,MATCH(H811,art_ref,0)))=0,"",N(INDEX(art_price,MATCH(H811,art_ref,0)))),IF(N(INDEX(art_cost,MATCH(H811,art_ref,0)))=0,"",N(INDEX(art_cost,MATCH(H811,art_ref,0))))),""))</f>
        <v/>
      </c>
      <c r="V811" s="64" t="str">
        <f>IF(OR(U811="",NOT(ISNUMBER(L811))),"",IF(L811&lt;=0,"",ROUND(L811*U811,2)))</f>
        <v/>
      </c>
      <c r="W811" s="60" t="str">
        <f>IF(AND(B811&lt;&gt;"",A811&lt;&gt;"BS",F811&lt;&gt;"",H811&lt;&gt;"",ISNUMBER(K811),ISNUMBER(L811)),IF(AND(K811&gt;0,L811&gt;0,K811-L811&gt;0,COUNTIFS(A812:A$2005,A811,F812:F$2005,F811,H812:H$2005,H811,AA812:AA$2005,"&gt;0")=0),ROUND(K811-L811,6),""),"")</f>
        <v/>
      </c>
      <c r="X811" s="60" t="str">
        <f>IF(AND(A811="",C811="",D811="",H811="",L811=""),"",IF(A811="","Type manquant",IF(AND(A811&lt;&gt;"BL",A811&lt;&gt;"BR",A811&lt;&gt;"BS"),"Type inconnu (BL, BR ou BS)",IF(AG811=0,"Date manquante ou invalide",IF(D811="",IF(A811="BL","Client manquant",IF(A811="BR","Fournisseur manquant","Service manquant")),IF(IF(A811="BL",ISNA(MATCH(D811,cl_code,0)),IF(A811="BR",ISNA(MATCH(D811,fo_code,0)),ISNA(MATCH(D811,p_services,0)))),IF(A811="BL","Client inconnu",IF(A811="BR","Fournisseur inconnu","Service inconnu")),IF(H811="","Article manquant",IF(ISNA(MATCH(H811,art_ref,0)),"Article inconnu",IF(OR(NOT(ISNUMBER(L811)),N(L811)&lt;=0),"Quantité invalide",IF(AND(K811&lt;&gt;"",OR(NOT(ISNUMBER(K811)),N(K811)&lt;=0)),"Qté commandée invalide",IF(AG811&lt;SUMPRODUCT(MAX((A$6:A810=A811)*AG$6:AG810)),"Date antérieure au bon précédent",IF(AND(A811&lt;&gt;"BR",ISNUMBER(M811),N(M811)&gt;0),IF(A811="BL","Livré plus que commandé","Sorti plus que demandé"),"OK"))))))))))))</f>
        <v/>
      </c>
      <c r="Y811" s="57" t="str">
        <f>IF(AND(OR(A811="BL",A811="BR",A811="BS"),AG811&gt;0,D811&lt;&gt;""),A811&amp;"|"&amp;AG811&amp;"|"&amp;D811&amp;"|"&amp;F811,"")</f>
        <v/>
      </c>
      <c r="Z811" s="57" t="str">
        <f>IF(Y811="","",IF(COUNTIF(Y$6:Y810,Y811)=0,1,0))</f>
        <v/>
      </c>
      <c r="AA811" s="57" t="str">
        <f>IF(Y811="","",IF(Z811=1,COUNTIFS(A$6:A811,A811,Z$6:Z811,1),INDEX(AA$6:AA810,MATCH(Y811,Y$6:Y810,0))))</f>
        <v/>
      </c>
      <c r="AB811" s="57" t="str">
        <f>IF(B811="","",COUNTIF(B$6:B811,B811))</f>
        <v/>
      </c>
      <c r="AC811" s="57" t="str">
        <f>IF(B811="","",B811&amp;"#"&amp;AB811)</f>
        <v/>
      </c>
      <c r="AD811" s="57" t="str">
        <f>IF(Z811=1,A811&amp;AA811,"")</f>
        <v/>
      </c>
      <c r="AE811" s="57" t="str">
        <f>IF(B811="","",YEAR(C811))</f>
        <v/>
      </c>
      <c r="AF811" s="57" t="str">
        <f>IF(B811="","",MONTH(C811))</f>
        <v/>
      </c>
      <c r="AG811" s="57">
        <f>IF(ISNUMBER(C811),C811,0)</f>
        <v>0.0</v>
      </c>
      <c r="AH811" s="57" t="str">
        <f>IF(N(W811)&gt;0,COUNTIF(W$6:W811,"&gt;0"),"")</f>
        <v/>
      </c>
      <c r="AI811" s="57" t="str">
        <f>IF(Z811=1,COUNTIF(Z$6:Z811,1),"")</f>
        <v/>
      </c>
    </row>
    <row r="812">
      <c r="A812" s="54" t="n"/>
      <c r="B812" s="55" t="str">
        <f>IF(AA812="","",A812&amp;"-"&amp;RIGHT("000"&amp;AA812,4))</f>
        <v/>
      </c>
      <c r="C812" s="56" t="n"/>
      <c r="D812" s="54" t="n"/>
      <c r="E812" s="57" t="str">
        <f>IF(D812="","",IF(A812="BL",IFERROR(INDEX(cl_name,MATCH(D812,cl_code,0))&amp;"","Client inconnu"),IF(A812="BR",IFERROR(INDEX(fo_name,MATCH(D812,fo_code,0))&amp;"","Fournisseur inconnu"),IF(A812="BS",IF(ISNA(MATCH(D812,p_services,0)),"Service inconnu",D812&amp;""),""))))</f>
        <v/>
      </c>
      <c r="F812" s="58" t="n"/>
      <c r="G812" s="58" t="n"/>
      <c r="H812" s="59" t="n"/>
      <c r="I812" s="57" t="str">
        <f>IF(H812="","",IFERROR(INDEX(art_des,MATCH(H812,art_ref,0))&amp;"","Article inconnu"))</f>
        <v/>
      </c>
      <c r="J812" s="60" t="str">
        <f>IF(H812="","",IFERROR(INDEX(art_unit,MATCH(H812,art_ref,0))&amp;"",""))</f>
        <v/>
      </c>
      <c r="K812" s="59" t="n"/>
      <c r="L812" s="59" t="n"/>
      <c r="M812" s="61" t="str">
        <f>IF(OR(B812="",NOT(ISNUMBER(K812)),NOT(ISNUMBER(L812))),"",IF(OR(K812&lt;=0,L812&lt;=0),"",ROUND(L812-K812,6)))</f>
        <v/>
      </c>
      <c r="N812" s="58" t="n"/>
      <c r="O812" s="62" t="n"/>
      <c r="P812" s="63" t="str">
        <f>IF(OR(B812="",NOT(ISNUMBER(L812))),"",IF(L812&lt;=0,"",IFERROR(ROUND(L812*N(INDEX(art_w,MATCH(H812,art_ref,0))),3),"")))</f>
        <v/>
      </c>
      <c r="Q812" s="59" t="n"/>
      <c r="R812" s="54" t="n"/>
      <c r="S812" s="59" t="n"/>
      <c r="T812" s="59" t="n"/>
      <c r="U812" s="64" t="str">
        <f>IF(OR(B812="",H812=""),"",IFERROR(IF(A812="BL",IF(N(INDEX(art_price,MATCH(H812,art_ref,0)))=0,"",N(INDEX(art_price,MATCH(H812,art_ref,0)))),IF(N(INDEX(art_cost,MATCH(H812,art_ref,0)))=0,"",N(INDEX(art_cost,MATCH(H812,art_ref,0))))),""))</f>
        <v/>
      </c>
      <c r="V812" s="64" t="str">
        <f>IF(OR(U812="",NOT(ISNUMBER(L812))),"",IF(L812&lt;=0,"",ROUND(L812*U812,2)))</f>
        <v/>
      </c>
      <c r="W812" s="60" t="str">
        <f>IF(AND(B812&lt;&gt;"",A812&lt;&gt;"BS",F812&lt;&gt;"",H812&lt;&gt;"",ISNUMBER(K812),ISNUMBER(L812)),IF(AND(K812&gt;0,L812&gt;0,K812-L812&gt;0,COUNTIFS(A813:A$2005,A812,F813:F$2005,F812,H813:H$2005,H812,AA813:AA$2005,"&gt;0")=0),ROUND(K812-L812,6),""),"")</f>
        <v/>
      </c>
      <c r="X812" s="60" t="str">
        <f>IF(AND(A812="",C812="",D812="",H812="",L812=""),"",IF(A812="","Type manquant",IF(AND(A812&lt;&gt;"BL",A812&lt;&gt;"BR",A812&lt;&gt;"BS"),"Type inconnu (BL, BR ou BS)",IF(AG812=0,"Date manquante ou invalide",IF(D812="",IF(A812="BL","Client manquant",IF(A812="BR","Fournisseur manquant","Service manquant")),IF(IF(A812="BL",ISNA(MATCH(D812,cl_code,0)),IF(A812="BR",ISNA(MATCH(D812,fo_code,0)),ISNA(MATCH(D812,p_services,0)))),IF(A812="BL","Client inconnu",IF(A812="BR","Fournisseur inconnu","Service inconnu")),IF(H812="","Article manquant",IF(ISNA(MATCH(H812,art_ref,0)),"Article inconnu",IF(OR(NOT(ISNUMBER(L812)),N(L812)&lt;=0),"Quantité invalide",IF(AND(K812&lt;&gt;"",OR(NOT(ISNUMBER(K812)),N(K812)&lt;=0)),"Qté commandée invalide",IF(AG812&lt;SUMPRODUCT(MAX((A$6:A811=A812)*AG$6:AG811)),"Date antérieure au bon précédent",IF(AND(A812&lt;&gt;"BR",ISNUMBER(M812),N(M812)&gt;0),IF(A812="BL","Livré plus que commandé","Sorti plus que demandé"),"OK"))))))))))))</f>
        <v/>
      </c>
      <c r="Y812" s="57" t="str">
        <f>IF(AND(OR(A812="BL",A812="BR",A812="BS"),AG812&gt;0,D812&lt;&gt;""),A812&amp;"|"&amp;AG812&amp;"|"&amp;D812&amp;"|"&amp;F812,"")</f>
        <v/>
      </c>
      <c r="Z812" s="57" t="str">
        <f>IF(Y812="","",IF(COUNTIF(Y$6:Y811,Y812)=0,1,0))</f>
        <v/>
      </c>
      <c r="AA812" s="57" t="str">
        <f>IF(Y812="","",IF(Z812=1,COUNTIFS(A$6:A812,A812,Z$6:Z812,1),INDEX(AA$6:AA811,MATCH(Y812,Y$6:Y811,0))))</f>
        <v/>
      </c>
      <c r="AB812" s="57" t="str">
        <f>IF(B812="","",COUNTIF(B$6:B812,B812))</f>
        <v/>
      </c>
      <c r="AC812" s="57" t="str">
        <f>IF(B812="","",B812&amp;"#"&amp;AB812)</f>
        <v/>
      </c>
      <c r="AD812" s="57" t="str">
        <f>IF(Z812=1,A812&amp;AA812,"")</f>
        <v/>
      </c>
      <c r="AE812" s="57" t="str">
        <f>IF(B812="","",YEAR(C812))</f>
        <v/>
      </c>
      <c r="AF812" s="57" t="str">
        <f>IF(B812="","",MONTH(C812))</f>
        <v/>
      </c>
      <c r="AG812" s="57">
        <f>IF(ISNUMBER(C812),C812,0)</f>
        <v>0.0</v>
      </c>
      <c r="AH812" s="57" t="str">
        <f>IF(N(W812)&gt;0,COUNTIF(W$6:W812,"&gt;0"),"")</f>
        <v/>
      </c>
      <c r="AI812" s="57" t="str">
        <f>IF(Z812=1,COUNTIF(Z$6:Z812,1),"")</f>
        <v/>
      </c>
    </row>
    <row r="813">
      <c r="A813" s="54" t="n"/>
      <c r="B813" s="55" t="str">
        <f>IF(AA813="","",A813&amp;"-"&amp;RIGHT("000"&amp;AA813,4))</f>
        <v/>
      </c>
      <c r="C813" s="56" t="n"/>
      <c r="D813" s="54" t="n"/>
      <c r="E813" s="57" t="str">
        <f>IF(D813="","",IF(A813="BL",IFERROR(INDEX(cl_name,MATCH(D813,cl_code,0))&amp;"","Client inconnu"),IF(A813="BR",IFERROR(INDEX(fo_name,MATCH(D813,fo_code,0))&amp;"","Fournisseur inconnu"),IF(A813="BS",IF(ISNA(MATCH(D813,p_services,0)),"Service inconnu",D813&amp;""),""))))</f>
        <v/>
      </c>
      <c r="F813" s="58" t="n"/>
      <c r="G813" s="58" t="n"/>
      <c r="H813" s="59" t="n"/>
      <c r="I813" s="57" t="str">
        <f>IF(H813="","",IFERROR(INDEX(art_des,MATCH(H813,art_ref,0))&amp;"","Article inconnu"))</f>
        <v/>
      </c>
      <c r="J813" s="60" t="str">
        <f>IF(H813="","",IFERROR(INDEX(art_unit,MATCH(H813,art_ref,0))&amp;"",""))</f>
        <v/>
      </c>
      <c r="K813" s="59" t="n"/>
      <c r="L813" s="59" t="n"/>
      <c r="M813" s="61" t="str">
        <f>IF(OR(B813="",NOT(ISNUMBER(K813)),NOT(ISNUMBER(L813))),"",IF(OR(K813&lt;=0,L813&lt;=0),"",ROUND(L813-K813,6)))</f>
        <v/>
      </c>
      <c r="N813" s="58" t="n"/>
      <c r="O813" s="62" t="n"/>
      <c r="P813" s="63" t="str">
        <f>IF(OR(B813="",NOT(ISNUMBER(L813))),"",IF(L813&lt;=0,"",IFERROR(ROUND(L813*N(INDEX(art_w,MATCH(H813,art_ref,0))),3),"")))</f>
        <v/>
      </c>
      <c r="Q813" s="59" t="n"/>
      <c r="R813" s="54" t="n"/>
      <c r="S813" s="59" t="n"/>
      <c r="T813" s="59" t="n"/>
      <c r="U813" s="64" t="str">
        <f>IF(OR(B813="",H813=""),"",IFERROR(IF(A813="BL",IF(N(INDEX(art_price,MATCH(H813,art_ref,0)))=0,"",N(INDEX(art_price,MATCH(H813,art_ref,0)))),IF(N(INDEX(art_cost,MATCH(H813,art_ref,0)))=0,"",N(INDEX(art_cost,MATCH(H813,art_ref,0))))),""))</f>
        <v/>
      </c>
      <c r="V813" s="64" t="str">
        <f>IF(OR(U813="",NOT(ISNUMBER(L813))),"",IF(L813&lt;=0,"",ROUND(L813*U813,2)))</f>
        <v/>
      </c>
      <c r="W813" s="60" t="str">
        <f>IF(AND(B813&lt;&gt;"",A813&lt;&gt;"BS",F813&lt;&gt;"",H813&lt;&gt;"",ISNUMBER(K813),ISNUMBER(L813)),IF(AND(K813&gt;0,L813&gt;0,K813-L813&gt;0,COUNTIFS(A814:A$2005,A813,F814:F$2005,F813,H814:H$2005,H813,AA814:AA$2005,"&gt;0")=0),ROUND(K813-L813,6),""),"")</f>
        <v/>
      </c>
      <c r="X813" s="60" t="str">
        <f>IF(AND(A813="",C813="",D813="",H813="",L813=""),"",IF(A813="","Type manquant",IF(AND(A813&lt;&gt;"BL",A813&lt;&gt;"BR",A813&lt;&gt;"BS"),"Type inconnu (BL, BR ou BS)",IF(AG813=0,"Date manquante ou invalide",IF(D813="",IF(A813="BL","Client manquant",IF(A813="BR","Fournisseur manquant","Service manquant")),IF(IF(A813="BL",ISNA(MATCH(D813,cl_code,0)),IF(A813="BR",ISNA(MATCH(D813,fo_code,0)),ISNA(MATCH(D813,p_services,0)))),IF(A813="BL","Client inconnu",IF(A813="BR","Fournisseur inconnu","Service inconnu")),IF(H813="","Article manquant",IF(ISNA(MATCH(H813,art_ref,0)),"Article inconnu",IF(OR(NOT(ISNUMBER(L813)),N(L813)&lt;=0),"Quantité invalide",IF(AND(K813&lt;&gt;"",OR(NOT(ISNUMBER(K813)),N(K813)&lt;=0)),"Qté commandée invalide",IF(AG813&lt;SUMPRODUCT(MAX((A$6:A812=A813)*AG$6:AG812)),"Date antérieure au bon précédent",IF(AND(A813&lt;&gt;"BR",ISNUMBER(M813),N(M813)&gt;0),IF(A813="BL","Livré plus que commandé","Sorti plus que demandé"),"OK"))))))))))))</f>
        <v/>
      </c>
      <c r="Y813" s="57" t="str">
        <f>IF(AND(OR(A813="BL",A813="BR",A813="BS"),AG813&gt;0,D813&lt;&gt;""),A813&amp;"|"&amp;AG813&amp;"|"&amp;D813&amp;"|"&amp;F813,"")</f>
        <v/>
      </c>
      <c r="Z813" s="57" t="str">
        <f>IF(Y813="","",IF(COUNTIF(Y$6:Y812,Y813)=0,1,0))</f>
        <v/>
      </c>
      <c r="AA813" s="57" t="str">
        <f>IF(Y813="","",IF(Z813=1,COUNTIFS(A$6:A813,A813,Z$6:Z813,1),INDEX(AA$6:AA812,MATCH(Y813,Y$6:Y812,0))))</f>
        <v/>
      </c>
      <c r="AB813" s="57" t="str">
        <f>IF(B813="","",COUNTIF(B$6:B813,B813))</f>
        <v/>
      </c>
      <c r="AC813" s="57" t="str">
        <f>IF(B813="","",B813&amp;"#"&amp;AB813)</f>
        <v/>
      </c>
      <c r="AD813" s="57" t="str">
        <f>IF(Z813=1,A813&amp;AA813,"")</f>
        <v/>
      </c>
      <c r="AE813" s="57" t="str">
        <f>IF(B813="","",YEAR(C813))</f>
        <v/>
      </c>
      <c r="AF813" s="57" t="str">
        <f>IF(B813="","",MONTH(C813))</f>
        <v/>
      </c>
      <c r="AG813" s="57">
        <f>IF(ISNUMBER(C813),C813,0)</f>
        <v>0.0</v>
      </c>
      <c r="AH813" s="57" t="str">
        <f>IF(N(W813)&gt;0,COUNTIF(W$6:W813,"&gt;0"),"")</f>
        <v/>
      </c>
      <c r="AI813" s="57" t="str">
        <f>IF(Z813=1,COUNTIF(Z$6:Z813,1),"")</f>
        <v/>
      </c>
    </row>
    <row r="814">
      <c r="A814" s="54" t="n"/>
      <c r="B814" s="55" t="str">
        <f>IF(AA814="","",A814&amp;"-"&amp;RIGHT("000"&amp;AA814,4))</f>
        <v/>
      </c>
      <c r="C814" s="56" t="n"/>
      <c r="D814" s="54" t="n"/>
      <c r="E814" s="57" t="str">
        <f>IF(D814="","",IF(A814="BL",IFERROR(INDEX(cl_name,MATCH(D814,cl_code,0))&amp;"","Client inconnu"),IF(A814="BR",IFERROR(INDEX(fo_name,MATCH(D814,fo_code,0))&amp;"","Fournisseur inconnu"),IF(A814="BS",IF(ISNA(MATCH(D814,p_services,0)),"Service inconnu",D814&amp;""),""))))</f>
        <v/>
      </c>
      <c r="F814" s="58" t="n"/>
      <c r="G814" s="58" t="n"/>
      <c r="H814" s="59" t="n"/>
      <c r="I814" s="57" t="str">
        <f>IF(H814="","",IFERROR(INDEX(art_des,MATCH(H814,art_ref,0))&amp;"","Article inconnu"))</f>
        <v/>
      </c>
      <c r="J814" s="60" t="str">
        <f>IF(H814="","",IFERROR(INDEX(art_unit,MATCH(H814,art_ref,0))&amp;"",""))</f>
        <v/>
      </c>
      <c r="K814" s="59" t="n"/>
      <c r="L814" s="59" t="n"/>
      <c r="M814" s="61" t="str">
        <f>IF(OR(B814="",NOT(ISNUMBER(K814)),NOT(ISNUMBER(L814))),"",IF(OR(K814&lt;=0,L814&lt;=0),"",ROUND(L814-K814,6)))</f>
        <v/>
      </c>
      <c r="N814" s="58" t="n"/>
      <c r="O814" s="62" t="n"/>
      <c r="P814" s="63" t="str">
        <f>IF(OR(B814="",NOT(ISNUMBER(L814))),"",IF(L814&lt;=0,"",IFERROR(ROUND(L814*N(INDEX(art_w,MATCH(H814,art_ref,0))),3),"")))</f>
        <v/>
      </c>
      <c r="Q814" s="59" t="n"/>
      <c r="R814" s="54" t="n"/>
      <c r="S814" s="59" t="n"/>
      <c r="T814" s="59" t="n"/>
      <c r="U814" s="64" t="str">
        <f>IF(OR(B814="",H814=""),"",IFERROR(IF(A814="BL",IF(N(INDEX(art_price,MATCH(H814,art_ref,0)))=0,"",N(INDEX(art_price,MATCH(H814,art_ref,0)))),IF(N(INDEX(art_cost,MATCH(H814,art_ref,0)))=0,"",N(INDEX(art_cost,MATCH(H814,art_ref,0))))),""))</f>
        <v/>
      </c>
      <c r="V814" s="64" t="str">
        <f>IF(OR(U814="",NOT(ISNUMBER(L814))),"",IF(L814&lt;=0,"",ROUND(L814*U814,2)))</f>
        <v/>
      </c>
      <c r="W814" s="60" t="str">
        <f>IF(AND(B814&lt;&gt;"",A814&lt;&gt;"BS",F814&lt;&gt;"",H814&lt;&gt;"",ISNUMBER(K814),ISNUMBER(L814)),IF(AND(K814&gt;0,L814&gt;0,K814-L814&gt;0,COUNTIFS(A815:A$2005,A814,F815:F$2005,F814,H815:H$2005,H814,AA815:AA$2005,"&gt;0")=0),ROUND(K814-L814,6),""),"")</f>
        <v/>
      </c>
      <c r="X814" s="60" t="str">
        <f>IF(AND(A814="",C814="",D814="",H814="",L814=""),"",IF(A814="","Type manquant",IF(AND(A814&lt;&gt;"BL",A814&lt;&gt;"BR",A814&lt;&gt;"BS"),"Type inconnu (BL, BR ou BS)",IF(AG814=0,"Date manquante ou invalide",IF(D814="",IF(A814="BL","Client manquant",IF(A814="BR","Fournisseur manquant","Service manquant")),IF(IF(A814="BL",ISNA(MATCH(D814,cl_code,0)),IF(A814="BR",ISNA(MATCH(D814,fo_code,0)),ISNA(MATCH(D814,p_services,0)))),IF(A814="BL","Client inconnu",IF(A814="BR","Fournisseur inconnu","Service inconnu")),IF(H814="","Article manquant",IF(ISNA(MATCH(H814,art_ref,0)),"Article inconnu",IF(OR(NOT(ISNUMBER(L814)),N(L814)&lt;=0),"Quantité invalide",IF(AND(K814&lt;&gt;"",OR(NOT(ISNUMBER(K814)),N(K814)&lt;=0)),"Qté commandée invalide",IF(AG814&lt;SUMPRODUCT(MAX((A$6:A813=A814)*AG$6:AG813)),"Date antérieure au bon précédent",IF(AND(A814&lt;&gt;"BR",ISNUMBER(M814),N(M814)&gt;0),IF(A814="BL","Livré plus que commandé","Sorti plus que demandé"),"OK"))))))))))))</f>
        <v/>
      </c>
      <c r="Y814" s="57" t="str">
        <f>IF(AND(OR(A814="BL",A814="BR",A814="BS"),AG814&gt;0,D814&lt;&gt;""),A814&amp;"|"&amp;AG814&amp;"|"&amp;D814&amp;"|"&amp;F814,"")</f>
        <v/>
      </c>
      <c r="Z814" s="57" t="str">
        <f>IF(Y814="","",IF(COUNTIF(Y$6:Y813,Y814)=0,1,0))</f>
        <v/>
      </c>
      <c r="AA814" s="57" t="str">
        <f>IF(Y814="","",IF(Z814=1,COUNTIFS(A$6:A814,A814,Z$6:Z814,1),INDEX(AA$6:AA813,MATCH(Y814,Y$6:Y813,0))))</f>
        <v/>
      </c>
      <c r="AB814" s="57" t="str">
        <f>IF(B814="","",COUNTIF(B$6:B814,B814))</f>
        <v/>
      </c>
      <c r="AC814" s="57" t="str">
        <f>IF(B814="","",B814&amp;"#"&amp;AB814)</f>
        <v/>
      </c>
      <c r="AD814" s="57" t="str">
        <f>IF(Z814=1,A814&amp;AA814,"")</f>
        <v/>
      </c>
      <c r="AE814" s="57" t="str">
        <f>IF(B814="","",YEAR(C814))</f>
        <v/>
      </c>
      <c r="AF814" s="57" t="str">
        <f>IF(B814="","",MONTH(C814))</f>
        <v/>
      </c>
      <c r="AG814" s="57">
        <f>IF(ISNUMBER(C814),C814,0)</f>
        <v>0.0</v>
      </c>
      <c r="AH814" s="57" t="str">
        <f>IF(N(W814)&gt;0,COUNTIF(W$6:W814,"&gt;0"),"")</f>
        <v/>
      </c>
      <c r="AI814" s="57" t="str">
        <f>IF(Z814=1,COUNTIF(Z$6:Z814,1),"")</f>
        <v/>
      </c>
    </row>
    <row r="815">
      <c r="A815" s="54" t="n"/>
      <c r="B815" s="55" t="str">
        <f>IF(AA815="","",A815&amp;"-"&amp;RIGHT("000"&amp;AA815,4))</f>
        <v/>
      </c>
      <c r="C815" s="56" t="n"/>
      <c r="D815" s="54" t="n"/>
      <c r="E815" s="57" t="str">
        <f>IF(D815="","",IF(A815="BL",IFERROR(INDEX(cl_name,MATCH(D815,cl_code,0))&amp;"","Client inconnu"),IF(A815="BR",IFERROR(INDEX(fo_name,MATCH(D815,fo_code,0))&amp;"","Fournisseur inconnu"),IF(A815="BS",IF(ISNA(MATCH(D815,p_services,0)),"Service inconnu",D815&amp;""),""))))</f>
        <v/>
      </c>
      <c r="F815" s="58" t="n"/>
      <c r="G815" s="58" t="n"/>
      <c r="H815" s="59" t="n"/>
      <c r="I815" s="57" t="str">
        <f>IF(H815="","",IFERROR(INDEX(art_des,MATCH(H815,art_ref,0))&amp;"","Article inconnu"))</f>
        <v/>
      </c>
      <c r="J815" s="60" t="str">
        <f>IF(H815="","",IFERROR(INDEX(art_unit,MATCH(H815,art_ref,0))&amp;"",""))</f>
        <v/>
      </c>
      <c r="K815" s="59" t="n"/>
      <c r="L815" s="59" t="n"/>
      <c r="M815" s="61" t="str">
        <f>IF(OR(B815="",NOT(ISNUMBER(K815)),NOT(ISNUMBER(L815))),"",IF(OR(K815&lt;=0,L815&lt;=0),"",ROUND(L815-K815,6)))</f>
        <v/>
      </c>
      <c r="N815" s="58" t="n"/>
      <c r="O815" s="62" t="n"/>
      <c r="P815" s="63" t="str">
        <f>IF(OR(B815="",NOT(ISNUMBER(L815))),"",IF(L815&lt;=0,"",IFERROR(ROUND(L815*N(INDEX(art_w,MATCH(H815,art_ref,0))),3),"")))</f>
        <v/>
      </c>
      <c r="Q815" s="59" t="n"/>
      <c r="R815" s="54" t="n"/>
      <c r="S815" s="59" t="n"/>
      <c r="T815" s="59" t="n"/>
      <c r="U815" s="64" t="str">
        <f>IF(OR(B815="",H815=""),"",IFERROR(IF(A815="BL",IF(N(INDEX(art_price,MATCH(H815,art_ref,0)))=0,"",N(INDEX(art_price,MATCH(H815,art_ref,0)))),IF(N(INDEX(art_cost,MATCH(H815,art_ref,0)))=0,"",N(INDEX(art_cost,MATCH(H815,art_ref,0))))),""))</f>
        <v/>
      </c>
      <c r="V815" s="64" t="str">
        <f>IF(OR(U815="",NOT(ISNUMBER(L815))),"",IF(L815&lt;=0,"",ROUND(L815*U815,2)))</f>
        <v/>
      </c>
      <c r="W815" s="60" t="str">
        <f>IF(AND(B815&lt;&gt;"",A815&lt;&gt;"BS",F815&lt;&gt;"",H815&lt;&gt;"",ISNUMBER(K815),ISNUMBER(L815)),IF(AND(K815&gt;0,L815&gt;0,K815-L815&gt;0,COUNTIFS(A816:A$2005,A815,F816:F$2005,F815,H816:H$2005,H815,AA816:AA$2005,"&gt;0")=0),ROUND(K815-L815,6),""),"")</f>
        <v/>
      </c>
      <c r="X815" s="60" t="str">
        <f>IF(AND(A815="",C815="",D815="",H815="",L815=""),"",IF(A815="","Type manquant",IF(AND(A815&lt;&gt;"BL",A815&lt;&gt;"BR",A815&lt;&gt;"BS"),"Type inconnu (BL, BR ou BS)",IF(AG815=0,"Date manquante ou invalide",IF(D815="",IF(A815="BL","Client manquant",IF(A815="BR","Fournisseur manquant","Service manquant")),IF(IF(A815="BL",ISNA(MATCH(D815,cl_code,0)),IF(A815="BR",ISNA(MATCH(D815,fo_code,0)),ISNA(MATCH(D815,p_services,0)))),IF(A815="BL","Client inconnu",IF(A815="BR","Fournisseur inconnu","Service inconnu")),IF(H815="","Article manquant",IF(ISNA(MATCH(H815,art_ref,0)),"Article inconnu",IF(OR(NOT(ISNUMBER(L815)),N(L815)&lt;=0),"Quantité invalide",IF(AND(K815&lt;&gt;"",OR(NOT(ISNUMBER(K815)),N(K815)&lt;=0)),"Qté commandée invalide",IF(AG815&lt;SUMPRODUCT(MAX((A$6:A814=A815)*AG$6:AG814)),"Date antérieure au bon précédent",IF(AND(A815&lt;&gt;"BR",ISNUMBER(M815),N(M815)&gt;0),IF(A815="BL","Livré plus que commandé","Sorti plus que demandé"),"OK"))))))))))))</f>
        <v/>
      </c>
      <c r="Y815" s="57" t="str">
        <f>IF(AND(OR(A815="BL",A815="BR",A815="BS"),AG815&gt;0,D815&lt;&gt;""),A815&amp;"|"&amp;AG815&amp;"|"&amp;D815&amp;"|"&amp;F815,"")</f>
        <v/>
      </c>
      <c r="Z815" s="57" t="str">
        <f>IF(Y815="","",IF(COUNTIF(Y$6:Y814,Y815)=0,1,0))</f>
        <v/>
      </c>
      <c r="AA815" s="57" t="str">
        <f>IF(Y815="","",IF(Z815=1,COUNTIFS(A$6:A815,A815,Z$6:Z815,1),INDEX(AA$6:AA814,MATCH(Y815,Y$6:Y814,0))))</f>
        <v/>
      </c>
      <c r="AB815" s="57" t="str">
        <f>IF(B815="","",COUNTIF(B$6:B815,B815))</f>
        <v/>
      </c>
      <c r="AC815" s="57" t="str">
        <f>IF(B815="","",B815&amp;"#"&amp;AB815)</f>
        <v/>
      </c>
      <c r="AD815" s="57" t="str">
        <f>IF(Z815=1,A815&amp;AA815,"")</f>
        <v/>
      </c>
      <c r="AE815" s="57" t="str">
        <f>IF(B815="","",YEAR(C815))</f>
        <v/>
      </c>
      <c r="AF815" s="57" t="str">
        <f>IF(B815="","",MONTH(C815))</f>
        <v/>
      </c>
      <c r="AG815" s="57">
        <f>IF(ISNUMBER(C815),C815,0)</f>
        <v>0.0</v>
      </c>
      <c r="AH815" s="57" t="str">
        <f>IF(N(W815)&gt;0,COUNTIF(W$6:W815,"&gt;0"),"")</f>
        <v/>
      </c>
      <c r="AI815" s="57" t="str">
        <f>IF(Z815=1,COUNTIF(Z$6:Z815,1),"")</f>
        <v/>
      </c>
    </row>
    <row r="816">
      <c r="A816" s="54" t="n"/>
      <c r="B816" s="55" t="str">
        <f>IF(AA816="","",A816&amp;"-"&amp;RIGHT("000"&amp;AA816,4))</f>
        <v/>
      </c>
      <c r="C816" s="56" t="n"/>
      <c r="D816" s="54" t="n"/>
      <c r="E816" s="57" t="str">
        <f>IF(D816="","",IF(A816="BL",IFERROR(INDEX(cl_name,MATCH(D816,cl_code,0))&amp;"","Client inconnu"),IF(A816="BR",IFERROR(INDEX(fo_name,MATCH(D816,fo_code,0))&amp;"","Fournisseur inconnu"),IF(A816="BS",IF(ISNA(MATCH(D816,p_services,0)),"Service inconnu",D816&amp;""),""))))</f>
        <v/>
      </c>
      <c r="F816" s="58" t="n"/>
      <c r="G816" s="58" t="n"/>
      <c r="H816" s="59" t="n"/>
      <c r="I816" s="57" t="str">
        <f>IF(H816="","",IFERROR(INDEX(art_des,MATCH(H816,art_ref,0))&amp;"","Article inconnu"))</f>
        <v/>
      </c>
      <c r="J816" s="60" t="str">
        <f>IF(H816="","",IFERROR(INDEX(art_unit,MATCH(H816,art_ref,0))&amp;"",""))</f>
        <v/>
      </c>
      <c r="K816" s="59" t="n"/>
      <c r="L816" s="59" t="n"/>
      <c r="M816" s="61" t="str">
        <f>IF(OR(B816="",NOT(ISNUMBER(K816)),NOT(ISNUMBER(L816))),"",IF(OR(K816&lt;=0,L816&lt;=0),"",ROUND(L816-K816,6)))</f>
        <v/>
      </c>
      <c r="N816" s="58" t="n"/>
      <c r="O816" s="62" t="n"/>
      <c r="P816" s="63" t="str">
        <f>IF(OR(B816="",NOT(ISNUMBER(L816))),"",IF(L816&lt;=0,"",IFERROR(ROUND(L816*N(INDEX(art_w,MATCH(H816,art_ref,0))),3),"")))</f>
        <v/>
      </c>
      <c r="Q816" s="59" t="n"/>
      <c r="R816" s="54" t="n"/>
      <c r="S816" s="59" t="n"/>
      <c r="T816" s="59" t="n"/>
      <c r="U816" s="64" t="str">
        <f>IF(OR(B816="",H816=""),"",IFERROR(IF(A816="BL",IF(N(INDEX(art_price,MATCH(H816,art_ref,0)))=0,"",N(INDEX(art_price,MATCH(H816,art_ref,0)))),IF(N(INDEX(art_cost,MATCH(H816,art_ref,0)))=0,"",N(INDEX(art_cost,MATCH(H816,art_ref,0))))),""))</f>
        <v/>
      </c>
      <c r="V816" s="64" t="str">
        <f>IF(OR(U816="",NOT(ISNUMBER(L816))),"",IF(L816&lt;=0,"",ROUND(L816*U816,2)))</f>
        <v/>
      </c>
      <c r="W816" s="60" t="str">
        <f>IF(AND(B816&lt;&gt;"",A816&lt;&gt;"BS",F816&lt;&gt;"",H816&lt;&gt;"",ISNUMBER(K816),ISNUMBER(L816)),IF(AND(K816&gt;0,L816&gt;0,K816-L816&gt;0,COUNTIFS(A817:A$2005,A816,F817:F$2005,F816,H817:H$2005,H816,AA817:AA$2005,"&gt;0")=0),ROUND(K816-L816,6),""),"")</f>
        <v/>
      </c>
      <c r="X816" s="60" t="str">
        <f>IF(AND(A816="",C816="",D816="",H816="",L816=""),"",IF(A816="","Type manquant",IF(AND(A816&lt;&gt;"BL",A816&lt;&gt;"BR",A816&lt;&gt;"BS"),"Type inconnu (BL, BR ou BS)",IF(AG816=0,"Date manquante ou invalide",IF(D816="",IF(A816="BL","Client manquant",IF(A816="BR","Fournisseur manquant","Service manquant")),IF(IF(A816="BL",ISNA(MATCH(D816,cl_code,0)),IF(A816="BR",ISNA(MATCH(D816,fo_code,0)),ISNA(MATCH(D816,p_services,0)))),IF(A816="BL","Client inconnu",IF(A816="BR","Fournisseur inconnu","Service inconnu")),IF(H816="","Article manquant",IF(ISNA(MATCH(H816,art_ref,0)),"Article inconnu",IF(OR(NOT(ISNUMBER(L816)),N(L816)&lt;=0),"Quantité invalide",IF(AND(K816&lt;&gt;"",OR(NOT(ISNUMBER(K816)),N(K816)&lt;=0)),"Qté commandée invalide",IF(AG816&lt;SUMPRODUCT(MAX((A$6:A815=A816)*AG$6:AG815)),"Date antérieure au bon précédent",IF(AND(A816&lt;&gt;"BR",ISNUMBER(M816),N(M816)&gt;0),IF(A816="BL","Livré plus que commandé","Sorti plus que demandé"),"OK"))))))))))))</f>
        <v/>
      </c>
      <c r="Y816" s="57" t="str">
        <f>IF(AND(OR(A816="BL",A816="BR",A816="BS"),AG816&gt;0,D816&lt;&gt;""),A816&amp;"|"&amp;AG816&amp;"|"&amp;D816&amp;"|"&amp;F816,"")</f>
        <v/>
      </c>
      <c r="Z816" s="57" t="str">
        <f>IF(Y816="","",IF(COUNTIF(Y$6:Y815,Y816)=0,1,0))</f>
        <v/>
      </c>
      <c r="AA816" s="57" t="str">
        <f>IF(Y816="","",IF(Z816=1,COUNTIFS(A$6:A816,A816,Z$6:Z816,1),INDEX(AA$6:AA815,MATCH(Y816,Y$6:Y815,0))))</f>
        <v/>
      </c>
      <c r="AB816" s="57" t="str">
        <f>IF(B816="","",COUNTIF(B$6:B816,B816))</f>
        <v/>
      </c>
      <c r="AC816" s="57" t="str">
        <f>IF(B816="","",B816&amp;"#"&amp;AB816)</f>
        <v/>
      </c>
      <c r="AD816" s="57" t="str">
        <f>IF(Z816=1,A816&amp;AA816,"")</f>
        <v/>
      </c>
      <c r="AE816" s="57" t="str">
        <f>IF(B816="","",YEAR(C816))</f>
        <v/>
      </c>
      <c r="AF816" s="57" t="str">
        <f>IF(B816="","",MONTH(C816))</f>
        <v/>
      </c>
      <c r="AG816" s="57">
        <f>IF(ISNUMBER(C816),C816,0)</f>
        <v>0.0</v>
      </c>
      <c r="AH816" s="57" t="str">
        <f>IF(N(W816)&gt;0,COUNTIF(W$6:W816,"&gt;0"),"")</f>
        <v/>
      </c>
      <c r="AI816" s="57" t="str">
        <f>IF(Z816=1,COUNTIF(Z$6:Z816,1),"")</f>
        <v/>
      </c>
    </row>
    <row r="817">
      <c r="A817" s="54" t="n"/>
      <c r="B817" s="55" t="str">
        <f>IF(AA817="","",A817&amp;"-"&amp;RIGHT("000"&amp;AA817,4))</f>
        <v/>
      </c>
      <c r="C817" s="56" t="n"/>
      <c r="D817" s="54" t="n"/>
      <c r="E817" s="57" t="str">
        <f>IF(D817="","",IF(A817="BL",IFERROR(INDEX(cl_name,MATCH(D817,cl_code,0))&amp;"","Client inconnu"),IF(A817="BR",IFERROR(INDEX(fo_name,MATCH(D817,fo_code,0))&amp;"","Fournisseur inconnu"),IF(A817="BS",IF(ISNA(MATCH(D817,p_services,0)),"Service inconnu",D817&amp;""),""))))</f>
        <v/>
      </c>
      <c r="F817" s="58" t="n"/>
      <c r="G817" s="58" t="n"/>
      <c r="H817" s="59" t="n"/>
      <c r="I817" s="57" t="str">
        <f>IF(H817="","",IFERROR(INDEX(art_des,MATCH(H817,art_ref,0))&amp;"","Article inconnu"))</f>
        <v/>
      </c>
      <c r="J817" s="60" t="str">
        <f>IF(H817="","",IFERROR(INDEX(art_unit,MATCH(H817,art_ref,0))&amp;"",""))</f>
        <v/>
      </c>
      <c r="K817" s="59" t="n"/>
      <c r="L817" s="59" t="n"/>
      <c r="M817" s="61" t="str">
        <f>IF(OR(B817="",NOT(ISNUMBER(K817)),NOT(ISNUMBER(L817))),"",IF(OR(K817&lt;=0,L817&lt;=0),"",ROUND(L817-K817,6)))</f>
        <v/>
      </c>
      <c r="N817" s="58" t="n"/>
      <c r="O817" s="62" t="n"/>
      <c r="P817" s="63" t="str">
        <f>IF(OR(B817="",NOT(ISNUMBER(L817))),"",IF(L817&lt;=0,"",IFERROR(ROUND(L817*N(INDEX(art_w,MATCH(H817,art_ref,0))),3),"")))</f>
        <v/>
      </c>
      <c r="Q817" s="59" t="n"/>
      <c r="R817" s="54" t="n"/>
      <c r="S817" s="59" t="n"/>
      <c r="T817" s="59" t="n"/>
      <c r="U817" s="64" t="str">
        <f>IF(OR(B817="",H817=""),"",IFERROR(IF(A817="BL",IF(N(INDEX(art_price,MATCH(H817,art_ref,0)))=0,"",N(INDEX(art_price,MATCH(H817,art_ref,0)))),IF(N(INDEX(art_cost,MATCH(H817,art_ref,0)))=0,"",N(INDEX(art_cost,MATCH(H817,art_ref,0))))),""))</f>
        <v/>
      </c>
      <c r="V817" s="64" t="str">
        <f>IF(OR(U817="",NOT(ISNUMBER(L817))),"",IF(L817&lt;=0,"",ROUND(L817*U817,2)))</f>
        <v/>
      </c>
      <c r="W817" s="60" t="str">
        <f>IF(AND(B817&lt;&gt;"",A817&lt;&gt;"BS",F817&lt;&gt;"",H817&lt;&gt;"",ISNUMBER(K817),ISNUMBER(L817)),IF(AND(K817&gt;0,L817&gt;0,K817-L817&gt;0,COUNTIFS(A818:A$2005,A817,F818:F$2005,F817,H818:H$2005,H817,AA818:AA$2005,"&gt;0")=0),ROUND(K817-L817,6),""),"")</f>
        <v/>
      </c>
      <c r="X817" s="60" t="str">
        <f>IF(AND(A817="",C817="",D817="",H817="",L817=""),"",IF(A817="","Type manquant",IF(AND(A817&lt;&gt;"BL",A817&lt;&gt;"BR",A817&lt;&gt;"BS"),"Type inconnu (BL, BR ou BS)",IF(AG817=0,"Date manquante ou invalide",IF(D817="",IF(A817="BL","Client manquant",IF(A817="BR","Fournisseur manquant","Service manquant")),IF(IF(A817="BL",ISNA(MATCH(D817,cl_code,0)),IF(A817="BR",ISNA(MATCH(D817,fo_code,0)),ISNA(MATCH(D817,p_services,0)))),IF(A817="BL","Client inconnu",IF(A817="BR","Fournisseur inconnu","Service inconnu")),IF(H817="","Article manquant",IF(ISNA(MATCH(H817,art_ref,0)),"Article inconnu",IF(OR(NOT(ISNUMBER(L817)),N(L817)&lt;=0),"Quantité invalide",IF(AND(K817&lt;&gt;"",OR(NOT(ISNUMBER(K817)),N(K817)&lt;=0)),"Qté commandée invalide",IF(AG817&lt;SUMPRODUCT(MAX((A$6:A816=A817)*AG$6:AG816)),"Date antérieure au bon précédent",IF(AND(A817&lt;&gt;"BR",ISNUMBER(M817),N(M817)&gt;0),IF(A817="BL","Livré plus que commandé","Sorti plus que demandé"),"OK"))))))))))))</f>
        <v/>
      </c>
      <c r="Y817" s="57" t="str">
        <f>IF(AND(OR(A817="BL",A817="BR",A817="BS"),AG817&gt;0,D817&lt;&gt;""),A817&amp;"|"&amp;AG817&amp;"|"&amp;D817&amp;"|"&amp;F817,"")</f>
        <v/>
      </c>
      <c r="Z817" s="57" t="str">
        <f>IF(Y817="","",IF(COUNTIF(Y$6:Y816,Y817)=0,1,0))</f>
        <v/>
      </c>
      <c r="AA817" s="57" t="str">
        <f>IF(Y817="","",IF(Z817=1,COUNTIFS(A$6:A817,A817,Z$6:Z817,1),INDEX(AA$6:AA816,MATCH(Y817,Y$6:Y816,0))))</f>
        <v/>
      </c>
      <c r="AB817" s="57" t="str">
        <f>IF(B817="","",COUNTIF(B$6:B817,B817))</f>
        <v/>
      </c>
      <c r="AC817" s="57" t="str">
        <f>IF(B817="","",B817&amp;"#"&amp;AB817)</f>
        <v/>
      </c>
      <c r="AD817" s="57" t="str">
        <f>IF(Z817=1,A817&amp;AA817,"")</f>
        <v/>
      </c>
      <c r="AE817" s="57" t="str">
        <f>IF(B817="","",YEAR(C817))</f>
        <v/>
      </c>
      <c r="AF817" s="57" t="str">
        <f>IF(B817="","",MONTH(C817))</f>
        <v/>
      </c>
      <c r="AG817" s="57">
        <f>IF(ISNUMBER(C817),C817,0)</f>
        <v>0.0</v>
      </c>
      <c r="AH817" s="57" t="str">
        <f>IF(N(W817)&gt;0,COUNTIF(W$6:W817,"&gt;0"),"")</f>
        <v/>
      </c>
      <c r="AI817" s="57" t="str">
        <f>IF(Z817=1,COUNTIF(Z$6:Z817,1),"")</f>
        <v/>
      </c>
    </row>
    <row r="818">
      <c r="A818" s="54" t="n"/>
      <c r="B818" s="55" t="str">
        <f>IF(AA818="","",A818&amp;"-"&amp;RIGHT("000"&amp;AA818,4))</f>
        <v/>
      </c>
      <c r="C818" s="56" t="n"/>
      <c r="D818" s="54" t="n"/>
      <c r="E818" s="57" t="str">
        <f>IF(D818="","",IF(A818="BL",IFERROR(INDEX(cl_name,MATCH(D818,cl_code,0))&amp;"","Client inconnu"),IF(A818="BR",IFERROR(INDEX(fo_name,MATCH(D818,fo_code,0))&amp;"","Fournisseur inconnu"),IF(A818="BS",IF(ISNA(MATCH(D818,p_services,0)),"Service inconnu",D818&amp;""),""))))</f>
        <v/>
      </c>
      <c r="F818" s="58" t="n"/>
      <c r="G818" s="58" t="n"/>
      <c r="H818" s="59" t="n"/>
      <c r="I818" s="57" t="str">
        <f>IF(H818="","",IFERROR(INDEX(art_des,MATCH(H818,art_ref,0))&amp;"","Article inconnu"))</f>
        <v/>
      </c>
      <c r="J818" s="60" t="str">
        <f>IF(H818="","",IFERROR(INDEX(art_unit,MATCH(H818,art_ref,0))&amp;"",""))</f>
        <v/>
      </c>
      <c r="K818" s="59" t="n"/>
      <c r="L818" s="59" t="n"/>
      <c r="M818" s="61" t="str">
        <f>IF(OR(B818="",NOT(ISNUMBER(K818)),NOT(ISNUMBER(L818))),"",IF(OR(K818&lt;=0,L818&lt;=0),"",ROUND(L818-K818,6)))</f>
        <v/>
      </c>
      <c r="N818" s="58" t="n"/>
      <c r="O818" s="62" t="n"/>
      <c r="P818" s="63" t="str">
        <f>IF(OR(B818="",NOT(ISNUMBER(L818))),"",IF(L818&lt;=0,"",IFERROR(ROUND(L818*N(INDEX(art_w,MATCH(H818,art_ref,0))),3),"")))</f>
        <v/>
      </c>
      <c r="Q818" s="59" t="n"/>
      <c r="R818" s="54" t="n"/>
      <c r="S818" s="59" t="n"/>
      <c r="T818" s="59" t="n"/>
      <c r="U818" s="64" t="str">
        <f>IF(OR(B818="",H818=""),"",IFERROR(IF(A818="BL",IF(N(INDEX(art_price,MATCH(H818,art_ref,0)))=0,"",N(INDEX(art_price,MATCH(H818,art_ref,0)))),IF(N(INDEX(art_cost,MATCH(H818,art_ref,0)))=0,"",N(INDEX(art_cost,MATCH(H818,art_ref,0))))),""))</f>
        <v/>
      </c>
      <c r="V818" s="64" t="str">
        <f>IF(OR(U818="",NOT(ISNUMBER(L818))),"",IF(L818&lt;=0,"",ROUND(L818*U818,2)))</f>
        <v/>
      </c>
      <c r="W818" s="60" t="str">
        <f>IF(AND(B818&lt;&gt;"",A818&lt;&gt;"BS",F818&lt;&gt;"",H818&lt;&gt;"",ISNUMBER(K818),ISNUMBER(L818)),IF(AND(K818&gt;0,L818&gt;0,K818-L818&gt;0,COUNTIFS(A819:A$2005,A818,F819:F$2005,F818,H819:H$2005,H818,AA819:AA$2005,"&gt;0")=0),ROUND(K818-L818,6),""),"")</f>
        <v/>
      </c>
      <c r="X818" s="60" t="str">
        <f>IF(AND(A818="",C818="",D818="",H818="",L818=""),"",IF(A818="","Type manquant",IF(AND(A818&lt;&gt;"BL",A818&lt;&gt;"BR",A818&lt;&gt;"BS"),"Type inconnu (BL, BR ou BS)",IF(AG818=0,"Date manquante ou invalide",IF(D818="",IF(A818="BL","Client manquant",IF(A818="BR","Fournisseur manquant","Service manquant")),IF(IF(A818="BL",ISNA(MATCH(D818,cl_code,0)),IF(A818="BR",ISNA(MATCH(D818,fo_code,0)),ISNA(MATCH(D818,p_services,0)))),IF(A818="BL","Client inconnu",IF(A818="BR","Fournisseur inconnu","Service inconnu")),IF(H818="","Article manquant",IF(ISNA(MATCH(H818,art_ref,0)),"Article inconnu",IF(OR(NOT(ISNUMBER(L818)),N(L818)&lt;=0),"Quantité invalide",IF(AND(K818&lt;&gt;"",OR(NOT(ISNUMBER(K818)),N(K818)&lt;=0)),"Qté commandée invalide",IF(AG818&lt;SUMPRODUCT(MAX((A$6:A817=A818)*AG$6:AG817)),"Date antérieure au bon précédent",IF(AND(A818&lt;&gt;"BR",ISNUMBER(M818),N(M818)&gt;0),IF(A818="BL","Livré plus que commandé","Sorti plus que demandé"),"OK"))))))))))))</f>
        <v/>
      </c>
      <c r="Y818" s="57" t="str">
        <f>IF(AND(OR(A818="BL",A818="BR",A818="BS"),AG818&gt;0,D818&lt;&gt;""),A818&amp;"|"&amp;AG818&amp;"|"&amp;D818&amp;"|"&amp;F818,"")</f>
        <v/>
      </c>
      <c r="Z818" s="57" t="str">
        <f>IF(Y818="","",IF(COUNTIF(Y$6:Y817,Y818)=0,1,0))</f>
        <v/>
      </c>
      <c r="AA818" s="57" t="str">
        <f>IF(Y818="","",IF(Z818=1,COUNTIFS(A$6:A818,A818,Z$6:Z818,1),INDEX(AA$6:AA817,MATCH(Y818,Y$6:Y817,0))))</f>
        <v/>
      </c>
      <c r="AB818" s="57" t="str">
        <f>IF(B818="","",COUNTIF(B$6:B818,B818))</f>
        <v/>
      </c>
      <c r="AC818" s="57" t="str">
        <f>IF(B818="","",B818&amp;"#"&amp;AB818)</f>
        <v/>
      </c>
      <c r="AD818" s="57" t="str">
        <f>IF(Z818=1,A818&amp;AA818,"")</f>
        <v/>
      </c>
      <c r="AE818" s="57" t="str">
        <f>IF(B818="","",YEAR(C818))</f>
        <v/>
      </c>
      <c r="AF818" s="57" t="str">
        <f>IF(B818="","",MONTH(C818))</f>
        <v/>
      </c>
      <c r="AG818" s="57">
        <f>IF(ISNUMBER(C818),C818,0)</f>
        <v>0.0</v>
      </c>
      <c r="AH818" s="57" t="str">
        <f>IF(N(W818)&gt;0,COUNTIF(W$6:W818,"&gt;0"),"")</f>
        <v/>
      </c>
      <c r="AI818" s="57" t="str">
        <f>IF(Z818=1,COUNTIF(Z$6:Z818,1),"")</f>
        <v/>
      </c>
    </row>
    <row r="819">
      <c r="A819" s="54" t="n"/>
      <c r="B819" s="55" t="str">
        <f>IF(AA819="","",A819&amp;"-"&amp;RIGHT("000"&amp;AA819,4))</f>
        <v/>
      </c>
      <c r="C819" s="56" t="n"/>
      <c r="D819" s="54" t="n"/>
      <c r="E819" s="57" t="str">
        <f>IF(D819="","",IF(A819="BL",IFERROR(INDEX(cl_name,MATCH(D819,cl_code,0))&amp;"","Client inconnu"),IF(A819="BR",IFERROR(INDEX(fo_name,MATCH(D819,fo_code,0))&amp;"","Fournisseur inconnu"),IF(A819="BS",IF(ISNA(MATCH(D819,p_services,0)),"Service inconnu",D819&amp;""),""))))</f>
        <v/>
      </c>
      <c r="F819" s="58" t="n"/>
      <c r="G819" s="58" t="n"/>
      <c r="H819" s="59" t="n"/>
      <c r="I819" s="57" t="str">
        <f>IF(H819="","",IFERROR(INDEX(art_des,MATCH(H819,art_ref,0))&amp;"","Article inconnu"))</f>
        <v/>
      </c>
      <c r="J819" s="60" t="str">
        <f>IF(H819="","",IFERROR(INDEX(art_unit,MATCH(H819,art_ref,0))&amp;"",""))</f>
        <v/>
      </c>
      <c r="K819" s="59" t="n"/>
      <c r="L819" s="59" t="n"/>
      <c r="M819" s="61" t="str">
        <f>IF(OR(B819="",NOT(ISNUMBER(K819)),NOT(ISNUMBER(L819))),"",IF(OR(K819&lt;=0,L819&lt;=0),"",ROUND(L819-K819,6)))</f>
        <v/>
      </c>
      <c r="N819" s="58" t="n"/>
      <c r="O819" s="62" t="n"/>
      <c r="P819" s="63" t="str">
        <f>IF(OR(B819="",NOT(ISNUMBER(L819))),"",IF(L819&lt;=0,"",IFERROR(ROUND(L819*N(INDEX(art_w,MATCH(H819,art_ref,0))),3),"")))</f>
        <v/>
      </c>
      <c r="Q819" s="59" t="n"/>
      <c r="R819" s="54" t="n"/>
      <c r="S819" s="59" t="n"/>
      <c r="T819" s="59" t="n"/>
      <c r="U819" s="64" t="str">
        <f>IF(OR(B819="",H819=""),"",IFERROR(IF(A819="BL",IF(N(INDEX(art_price,MATCH(H819,art_ref,0)))=0,"",N(INDEX(art_price,MATCH(H819,art_ref,0)))),IF(N(INDEX(art_cost,MATCH(H819,art_ref,0)))=0,"",N(INDEX(art_cost,MATCH(H819,art_ref,0))))),""))</f>
        <v/>
      </c>
      <c r="V819" s="64" t="str">
        <f>IF(OR(U819="",NOT(ISNUMBER(L819))),"",IF(L819&lt;=0,"",ROUND(L819*U819,2)))</f>
        <v/>
      </c>
      <c r="W819" s="60" t="str">
        <f>IF(AND(B819&lt;&gt;"",A819&lt;&gt;"BS",F819&lt;&gt;"",H819&lt;&gt;"",ISNUMBER(K819),ISNUMBER(L819)),IF(AND(K819&gt;0,L819&gt;0,K819-L819&gt;0,COUNTIFS(A820:A$2005,A819,F820:F$2005,F819,H820:H$2005,H819,AA820:AA$2005,"&gt;0")=0),ROUND(K819-L819,6),""),"")</f>
        <v/>
      </c>
      <c r="X819" s="60" t="str">
        <f>IF(AND(A819="",C819="",D819="",H819="",L819=""),"",IF(A819="","Type manquant",IF(AND(A819&lt;&gt;"BL",A819&lt;&gt;"BR",A819&lt;&gt;"BS"),"Type inconnu (BL, BR ou BS)",IF(AG819=0,"Date manquante ou invalide",IF(D819="",IF(A819="BL","Client manquant",IF(A819="BR","Fournisseur manquant","Service manquant")),IF(IF(A819="BL",ISNA(MATCH(D819,cl_code,0)),IF(A819="BR",ISNA(MATCH(D819,fo_code,0)),ISNA(MATCH(D819,p_services,0)))),IF(A819="BL","Client inconnu",IF(A819="BR","Fournisseur inconnu","Service inconnu")),IF(H819="","Article manquant",IF(ISNA(MATCH(H819,art_ref,0)),"Article inconnu",IF(OR(NOT(ISNUMBER(L819)),N(L819)&lt;=0),"Quantité invalide",IF(AND(K819&lt;&gt;"",OR(NOT(ISNUMBER(K819)),N(K819)&lt;=0)),"Qté commandée invalide",IF(AG819&lt;SUMPRODUCT(MAX((A$6:A818=A819)*AG$6:AG818)),"Date antérieure au bon précédent",IF(AND(A819&lt;&gt;"BR",ISNUMBER(M819),N(M819)&gt;0),IF(A819="BL","Livré plus que commandé","Sorti plus que demandé"),"OK"))))))))))))</f>
        <v/>
      </c>
      <c r="Y819" s="57" t="str">
        <f>IF(AND(OR(A819="BL",A819="BR",A819="BS"),AG819&gt;0,D819&lt;&gt;""),A819&amp;"|"&amp;AG819&amp;"|"&amp;D819&amp;"|"&amp;F819,"")</f>
        <v/>
      </c>
      <c r="Z819" s="57" t="str">
        <f>IF(Y819="","",IF(COUNTIF(Y$6:Y818,Y819)=0,1,0))</f>
        <v/>
      </c>
      <c r="AA819" s="57" t="str">
        <f>IF(Y819="","",IF(Z819=1,COUNTIFS(A$6:A819,A819,Z$6:Z819,1),INDEX(AA$6:AA818,MATCH(Y819,Y$6:Y818,0))))</f>
        <v/>
      </c>
      <c r="AB819" s="57" t="str">
        <f>IF(B819="","",COUNTIF(B$6:B819,B819))</f>
        <v/>
      </c>
      <c r="AC819" s="57" t="str">
        <f>IF(B819="","",B819&amp;"#"&amp;AB819)</f>
        <v/>
      </c>
      <c r="AD819" s="57" t="str">
        <f>IF(Z819=1,A819&amp;AA819,"")</f>
        <v/>
      </c>
      <c r="AE819" s="57" t="str">
        <f>IF(B819="","",YEAR(C819))</f>
        <v/>
      </c>
      <c r="AF819" s="57" t="str">
        <f>IF(B819="","",MONTH(C819))</f>
        <v/>
      </c>
      <c r="AG819" s="57">
        <f>IF(ISNUMBER(C819),C819,0)</f>
        <v>0.0</v>
      </c>
      <c r="AH819" s="57" t="str">
        <f>IF(N(W819)&gt;0,COUNTIF(W$6:W819,"&gt;0"),"")</f>
        <v/>
      </c>
      <c r="AI819" s="57" t="str">
        <f>IF(Z819=1,COUNTIF(Z$6:Z819,1),"")</f>
        <v/>
      </c>
    </row>
    <row r="820">
      <c r="A820" s="54" t="n"/>
      <c r="B820" s="55" t="str">
        <f>IF(AA820="","",A820&amp;"-"&amp;RIGHT("000"&amp;AA820,4))</f>
        <v/>
      </c>
      <c r="C820" s="56" t="n"/>
      <c r="D820" s="54" t="n"/>
      <c r="E820" s="57" t="str">
        <f>IF(D820="","",IF(A820="BL",IFERROR(INDEX(cl_name,MATCH(D820,cl_code,0))&amp;"","Client inconnu"),IF(A820="BR",IFERROR(INDEX(fo_name,MATCH(D820,fo_code,0))&amp;"","Fournisseur inconnu"),IF(A820="BS",IF(ISNA(MATCH(D820,p_services,0)),"Service inconnu",D820&amp;""),""))))</f>
        <v/>
      </c>
      <c r="F820" s="58" t="n"/>
      <c r="G820" s="58" t="n"/>
      <c r="H820" s="59" t="n"/>
      <c r="I820" s="57" t="str">
        <f>IF(H820="","",IFERROR(INDEX(art_des,MATCH(H820,art_ref,0))&amp;"","Article inconnu"))</f>
        <v/>
      </c>
      <c r="J820" s="60" t="str">
        <f>IF(H820="","",IFERROR(INDEX(art_unit,MATCH(H820,art_ref,0))&amp;"",""))</f>
        <v/>
      </c>
      <c r="K820" s="59" t="n"/>
      <c r="L820" s="59" t="n"/>
      <c r="M820" s="61" t="str">
        <f>IF(OR(B820="",NOT(ISNUMBER(K820)),NOT(ISNUMBER(L820))),"",IF(OR(K820&lt;=0,L820&lt;=0),"",ROUND(L820-K820,6)))</f>
        <v/>
      </c>
      <c r="N820" s="58" t="n"/>
      <c r="O820" s="62" t="n"/>
      <c r="P820" s="63" t="str">
        <f>IF(OR(B820="",NOT(ISNUMBER(L820))),"",IF(L820&lt;=0,"",IFERROR(ROUND(L820*N(INDEX(art_w,MATCH(H820,art_ref,0))),3),"")))</f>
        <v/>
      </c>
      <c r="Q820" s="59" t="n"/>
      <c r="R820" s="54" t="n"/>
      <c r="S820" s="59" t="n"/>
      <c r="T820" s="59" t="n"/>
      <c r="U820" s="64" t="str">
        <f>IF(OR(B820="",H820=""),"",IFERROR(IF(A820="BL",IF(N(INDEX(art_price,MATCH(H820,art_ref,0)))=0,"",N(INDEX(art_price,MATCH(H820,art_ref,0)))),IF(N(INDEX(art_cost,MATCH(H820,art_ref,0)))=0,"",N(INDEX(art_cost,MATCH(H820,art_ref,0))))),""))</f>
        <v/>
      </c>
      <c r="V820" s="64" t="str">
        <f>IF(OR(U820="",NOT(ISNUMBER(L820))),"",IF(L820&lt;=0,"",ROUND(L820*U820,2)))</f>
        <v/>
      </c>
      <c r="W820" s="60" t="str">
        <f>IF(AND(B820&lt;&gt;"",A820&lt;&gt;"BS",F820&lt;&gt;"",H820&lt;&gt;"",ISNUMBER(K820),ISNUMBER(L820)),IF(AND(K820&gt;0,L820&gt;0,K820-L820&gt;0,COUNTIFS(A821:A$2005,A820,F821:F$2005,F820,H821:H$2005,H820,AA821:AA$2005,"&gt;0")=0),ROUND(K820-L820,6),""),"")</f>
        <v/>
      </c>
      <c r="X820" s="60" t="str">
        <f>IF(AND(A820="",C820="",D820="",H820="",L820=""),"",IF(A820="","Type manquant",IF(AND(A820&lt;&gt;"BL",A820&lt;&gt;"BR",A820&lt;&gt;"BS"),"Type inconnu (BL, BR ou BS)",IF(AG820=0,"Date manquante ou invalide",IF(D820="",IF(A820="BL","Client manquant",IF(A820="BR","Fournisseur manquant","Service manquant")),IF(IF(A820="BL",ISNA(MATCH(D820,cl_code,0)),IF(A820="BR",ISNA(MATCH(D820,fo_code,0)),ISNA(MATCH(D820,p_services,0)))),IF(A820="BL","Client inconnu",IF(A820="BR","Fournisseur inconnu","Service inconnu")),IF(H820="","Article manquant",IF(ISNA(MATCH(H820,art_ref,0)),"Article inconnu",IF(OR(NOT(ISNUMBER(L820)),N(L820)&lt;=0),"Quantité invalide",IF(AND(K820&lt;&gt;"",OR(NOT(ISNUMBER(K820)),N(K820)&lt;=0)),"Qté commandée invalide",IF(AG820&lt;SUMPRODUCT(MAX((A$6:A819=A820)*AG$6:AG819)),"Date antérieure au bon précédent",IF(AND(A820&lt;&gt;"BR",ISNUMBER(M820),N(M820)&gt;0),IF(A820="BL","Livré plus que commandé","Sorti plus que demandé"),"OK"))))))))))))</f>
        <v/>
      </c>
      <c r="Y820" s="57" t="str">
        <f>IF(AND(OR(A820="BL",A820="BR",A820="BS"),AG820&gt;0,D820&lt;&gt;""),A820&amp;"|"&amp;AG820&amp;"|"&amp;D820&amp;"|"&amp;F820,"")</f>
        <v/>
      </c>
      <c r="Z820" s="57" t="str">
        <f>IF(Y820="","",IF(COUNTIF(Y$6:Y819,Y820)=0,1,0))</f>
        <v/>
      </c>
      <c r="AA820" s="57" t="str">
        <f>IF(Y820="","",IF(Z820=1,COUNTIFS(A$6:A820,A820,Z$6:Z820,1),INDEX(AA$6:AA819,MATCH(Y820,Y$6:Y819,0))))</f>
        <v/>
      </c>
      <c r="AB820" s="57" t="str">
        <f>IF(B820="","",COUNTIF(B$6:B820,B820))</f>
        <v/>
      </c>
      <c r="AC820" s="57" t="str">
        <f>IF(B820="","",B820&amp;"#"&amp;AB820)</f>
        <v/>
      </c>
      <c r="AD820" s="57" t="str">
        <f>IF(Z820=1,A820&amp;AA820,"")</f>
        <v/>
      </c>
      <c r="AE820" s="57" t="str">
        <f>IF(B820="","",YEAR(C820))</f>
        <v/>
      </c>
      <c r="AF820" s="57" t="str">
        <f>IF(B820="","",MONTH(C820))</f>
        <v/>
      </c>
      <c r="AG820" s="57">
        <f>IF(ISNUMBER(C820),C820,0)</f>
        <v>0.0</v>
      </c>
      <c r="AH820" s="57" t="str">
        <f>IF(N(W820)&gt;0,COUNTIF(W$6:W820,"&gt;0"),"")</f>
        <v/>
      </c>
      <c r="AI820" s="57" t="str">
        <f>IF(Z820=1,COUNTIF(Z$6:Z820,1),"")</f>
        <v/>
      </c>
    </row>
    <row r="821">
      <c r="A821" s="54" t="n"/>
      <c r="B821" s="55" t="str">
        <f>IF(AA821="","",A821&amp;"-"&amp;RIGHT("000"&amp;AA821,4))</f>
        <v/>
      </c>
      <c r="C821" s="56" t="n"/>
      <c r="D821" s="54" t="n"/>
      <c r="E821" s="57" t="str">
        <f>IF(D821="","",IF(A821="BL",IFERROR(INDEX(cl_name,MATCH(D821,cl_code,0))&amp;"","Client inconnu"),IF(A821="BR",IFERROR(INDEX(fo_name,MATCH(D821,fo_code,0))&amp;"","Fournisseur inconnu"),IF(A821="BS",IF(ISNA(MATCH(D821,p_services,0)),"Service inconnu",D821&amp;""),""))))</f>
        <v/>
      </c>
      <c r="F821" s="58" t="n"/>
      <c r="G821" s="58" t="n"/>
      <c r="H821" s="59" t="n"/>
      <c r="I821" s="57" t="str">
        <f>IF(H821="","",IFERROR(INDEX(art_des,MATCH(H821,art_ref,0))&amp;"","Article inconnu"))</f>
        <v/>
      </c>
      <c r="J821" s="60" t="str">
        <f>IF(H821="","",IFERROR(INDEX(art_unit,MATCH(H821,art_ref,0))&amp;"",""))</f>
        <v/>
      </c>
      <c r="K821" s="59" t="n"/>
      <c r="L821" s="59" t="n"/>
      <c r="M821" s="61" t="str">
        <f>IF(OR(B821="",NOT(ISNUMBER(K821)),NOT(ISNUMBER(L821))),"",IF(OR(K821&lt;=0,L821&lt;=0),"",ROUND(L821-K821,6)))</f>
        <v/>
      </c>
      <c r="N821" s="58" t="n"/>
      <c r="O821" s="62" t="n"/>
      <c r="P821" s="63" t="str">
        <f>IF(OR(B821="",NOT(ISNUMBER(L821))),"",IF(L821&lt;=0,"",IFERROR(ROUND(L821*N(INDEX(art_w,MATCH(H821,art_ref,0))),3),"")))</f>
        <v/>
      </c>
      <c r="Q821" s="59" t="n"/>
      <c r="R821" s="54" t="n"/>
      <c r="S821" s="59" t="n"/>
      <c r="T821" s="59" t="n"/>
      <c r="U821" s="64" t="str">
        <f>IF(OR(B821="",H821=""),"",IFERROR(IF(A821="BL",IF(N(INDEX(art_price,MATCH(H821,art_ref,0)))=0,"",N(INDEX(art_price,MATCH(H821,art_ref,0)))),IF(N(INDEX(art_cost,MATCH(H821,art_ref,0)))=0,"",N(INDEX(art_cost,MATCH(H821,art_ref,0))))),""))</f>
        <v/>
      </c>
      <c r="V821" s="64" t="str">
        <f>IF(OR(U821="",NOT(ISNUMBER(L821))),"",IF(L821&lt;=0,"",ROUND(L821*U821,2)))</f>
        <v/>
      </c>
      <c r="W821" s="60" t="str">
        <f>IF(AND(B821&lt;&gt;"",A821&lt;&gt;"BS",F821&lt;&gt;"",H821&lt;&gt;"",ISNUMBER(K821),ISNUMBER(L821)),IF(AND(K821&gt;0,L821&gt;0,K821-L821&gt;0,COUNTIFS(A822:A$2005,A821,F822:F$2005,F821,H822:H$2005,H821,AA822:AA$2005,"&gt;0")=0),ROUND(K821-L821,6),""),"")</f>
        <v/>
      </c>
      <c r="X821" s="60" t="str">
        <f>IF(AND(A821="",C821="",D821="",H821="",L821=""),"",IF(A821="","Type manquant",IF(AND(A821&lt;&gt;"BL",A821&lt;&gt;"BR",A821&lt;&gt;"BS"),"Type inconnu (BL, BR ou BS)",IF(AG821=0,"Date manquante ou invalide",IF(D821="",IF(A821="BL","Client manquant",IF(A821="BR","Fournisseur manquant","Service manquant")),IF(IF(A821="BL",ISNA(MATCH(D821,cl_code,0)),IF(A821="BR",ISNA(MATCH(D821,fo_code,0)),ISNA(MATCH(D821,p_services,0)))),IF(A821="BL","Client inconnu",IF(A821="BR","Fournisseur inconnu","Service inconnu")),IF(H821="","Article manquant",IF(ISNA(MATCH(H821,art_ref,0)),"Article inconnu",IF(OR(NOT(ISNUMBER(L821)),N(L821)&lt;=0),"Quantité invalide",IF(AND(K821&lt;&gt;"",OR(NOT(ISNUMBER(K821)),N(K821)&lt;=0)),"Qté commandée invalide",IF(AG821&lt;SUMPRODUCT(MAX((A$6:A820=A821)*AG$6:AG820)),"Date antérieure au bon précédent",IF(AND(A821&lt;&gt;"BR",ISNUMBER(M821),N(M821)&gt;0),IF(A821="BL","Livré plus que commandé","Sorti plus que demandé"),"OK"))))))))))))</f>
        <v/>
      </c>
      <c r="Y821" s="57" t="str">
        <f>IF(AND(OR(A821="BL",A821="BR",A821="BS"),AG821&gt;0,D821&lt;&gt;""),A821&amp;"|"&amp;AG821&amp;"|"&amp;D821&amp;"|"&amp;F821,"")</f>
        <v/>
      </c>
      <c r="Z821" s="57" t="str">
        <f>IF(Y821="","",IF(COUNTIF(Y$6:Y820,Y821)=0,1,0))</f>
        <v/>
      </c>
      <c r="AA821" s="57" t="str">
        <f>IF(Y821="","",IF(Z821=1,COUNTIFS(A$6:A821,A821,Z$6:Z821,1),INDEX(AA$6:AA820,MATCH(Y821,Y$6:Y820,0))))</f>
        <v/>
      </c>
      <c r="AB821" s="57" t="str">
        <f>IF(B821="","",COUNTIF(B$6:B821,B821))</f>
        <v/>
      </c>
      <c r="AC821" s="57" t="str">
        <f>IF(B821="","",B821&amp;"#"&amp;AB821)</f>
        <v/>
      </c>
      <c r="AD821" s="57" t="str">
        <f>IF(Z821=1,A821&amp;AA821,"")</f>
        <v/>
      </c>
      <c r="AE821" s="57" t="str">
        <f>IF(B821="","",YEAR(C821))</f>
        <v/>
      </c>
      <c r="AF821" s="57" t="str">
        <f>IF(B821="","",MONTH(C821))</f>
        <v/>
      </c>
      <c r="AG821" s="57">
        <f>IF(ISNUMBER(C821),C821,0)</f>
        <v>0.0</v>
      </c>
      <c r="AH821" s="57" t="str">
        <f>IF(N(W821)&gt;0,COUNTIF(W$6:W821,"&gt;0"),"")</f>
        <v/>
      </c>
      <c r="AI821" s="57" t="str">
        <f>IF(Z821=1,COUNTIF(Z$6:Z821,1),"")</f>
        <v/>
      </c>
    </row>
    <row r="822">
      <c r="A822" s="54" t="n"/>
      <c r="B822" s="55" t="str">
        <f>IF(AA822="","",A822&amp;"-"&amp;RIGHT("000"&amp;AA822,4))</f>
        <v/>
      </c>
      <c r="C822" s="56" t="n"/>
      <c r="D822" s="54" t="n"/>
      <c r="E822" s="57" t="str">
        <f>IF(D822="","",IF(A822="BL",IFERROR(INDEX(cl_name,MATCH(D822,cl_code,0))&amp;"","Client inconnu"),IF(A822="BR",IFERROR(INDEX(fo_name,MATCH(D822,fo_code,0))&amp;"","Fournisseur inconnu"),IF(A822="BS",IF(ISNA(MATCH(D822,p_services,0)),"Service inconnu",D822&amp;""),""))))</f>
        <v/>
      </c>
      <c r="F822" s="58" t="n"/>
      <c r="G822" s="58" t="n"/>
      <c r="H822" s="59" t="n"/>
      <c r="I822" s="57" t="str">
        <f>IF(H822="","",IFERROR(INDEX(art_des,MATCH(H822,art_ref,0))&amp;"","Article inconnu"))</f>
        <v/>
      </c>
      <c r="J822" s="60" t="str">
        <f>IF(H822="","",IFERROR(INDEX(art_unit,MATCH(H822,art_ref,0))&amp;"",""))</f>
        <v/>
      </c>
      <c r="K822" s="59" t="n"/>
      <c r="L822" s="59" t="n"/>
      <c r="M822" s="61" t="str">
        <f>IF(OR(B822="",NOT(ISNUMBER(K822)),NOT(ISNUMBER(L822))),"",IF(OR(K822&lt;=0,L822&lt;=0),"",ROUND(L822-K822,6)))</f>
        <v/>
      </c>
      <c r="N822" s="58" t="n"/>
      <c r="O822" s="62" t="n"/>
      <c r="P822" s="63" t="str">
        <f>IF(OR(B822="",NOT(ISNUMBER(L822))),"",IF(L822&lt;=0,"",IFERROR(ROUND(L822*N(INDEX(art_w,MATCH(H822,art_ref,0))),3),"")))</f>
        <v/>
      </c>
      <c r="Q822" s="59" t="n"/>
      <c r="R822" s="54" t="n"/>
      <c r="S822" s="59" t="n"/>
      <c r="T822" s="59" t="n"/>
      <c r="U822" s="64" t="str">
        <f>IF(OR(B822="",H822=""),"",IFERROR(IF(A822="BL",IF(N(INDEX(art_price,MATCH(H822,art_ref,0)))=0,"",N(INDEX(art_price,MATCH(H822,art_ref,0)))),IF(N(INDEX(art_cost,MATCH(H822,art_ref,0)))=0,"",N(INDEX(art_cost,MATCH(H822,art_ref,0))))),""))</f>
        <v/>
      </c>
      <c r="V822" s="64" t="str">
        <f>IF(OR(U822="",NOT(ISNUMBER(L822))),"",IF(L822&lt;=0,"",ROUND(L822*U822,2)))</f>
        <v/>
      </c>
      <c r="W822" s="60" t="str">
        <f>IF(AND(B822&lt;&gt;"",A822&lt;&gt;"BS",F822&lt;&gt;"",H822&lt;&gt;"",ISNUMBER(K822),ISNUMBER(L822)),IF(AND(K822&gt;0,L822&gt;0,K822-L822&gt;0,COUNTIFS(A823:A$2005,A822,F823:F$2005,F822,H823:H$2005,H822,AA823:AA$2005,"&gt;0")=0),ROUND(K822-L822,6),""),"")</f>
        <v/>
      </c>
      <c r="X822" s="60" t="str">
        <f>IF(AND(A822="",C822="",D822="",H822="",L822=""),"",IF(A822="","Type manquant",IF(AND(A822&lt;&gt;"BL",A822&lt;&gt;"BR",A822&lt;&gt;"BS"),"Type inconnu (BL, BR ou BS)",IF(AG822=0,"Date manquante ou invalide",IF(D822="",IF(A822="BL","Client manquant",IF(A822="BR","Fournisseur manquant","Service manquant")),IF(IF(A822="BL",ISNA(MATCH(D822,cl_code,0)),IF(A822="BR",ISNA(MATCH(D822,fo_code,0)),ISNA(MATCH(D822,p_services,0)))),IF(A822="BL","Client inconnu",IF(A822="BR","Fournisseur inconnu","Service inconnu")),IF(H822="","Article manquant",IF(ISNA(MATCH(H822,art_ref,0)),"Article inconnu",IF(OR(NOT(ISNUMBER(L822)),N(L822)&lt;=0),"Quantité invalide",IF(AND(K822&lt;&gt;"",OR(NOT(ISNUMBER(K822)),N(K822)&lt;=0)),"Qté commandée invalide",IF(AG822&lt;SUMPRODUCT(MAX((A$6:A821=A822)*AG$6:AG821)),"Date antérieure au bon précédent",IF(AND(A822&lt;&gt;"BR",ISNUMBER(M822),N(M822)&gt;0),IF(A822="BL","Livré plus que commandé","Sorti plus que demandé"),"OK"))))))))))))</f>
        <v/>
      </c>
      <c r="Y822" s="57" t="str">
        <f>IF(AND(OR(A822="BL",A822="BR",A822="BS"),AG822&gt;0,D822&lt;&gt;""),A822&amp;"|"&amp;AG822&amp;"|"&amp;D822&amp;"|"&amp;F822,"")</f>
        <v/>
      </c>
      <c r="Z822" s="57" t="str">
        <f>IF(Y822="","",IF(COUNTIF(Y$6:Y821,Y822)=0,1,0))</f>
        <v/>
      </c>
      <c r="AA822" s="57" t="str">
        <f>IF(Y822="","",IF(Z822=1,COUNTIFS(A$6:A822,A822,Z$6:Z822,1),INDEX(AA$6:AA821,MATCH(Y822,Y$6:Y821,0))))</f>
        <v/>
      </c>
      <c r="AB822" s="57" t="str">
        <f>IF(B822="","",COUNTIF(B$6:B822,B822))</f>
        <v/>
      </c>
      <c r="AC822" s="57" t="str">
        <f>IF(B822="","",B822&amp;"#"&amp;AB822)</f>
        <v/>
      </c>
      <c r="AD822" s="57" t="str">
        <f>IF(Z822=1,A822&amp;AA822,"")</f>
        <v/>
      </c>
      <c r="AE822" s="57" t="str">
        <f>IF(B822="","",YEAR(C822))</f>
        <v/>
      </c>
      <c r="AF822" s="57" t="str">
        <f>IF(B822="","",MONTH(C822))</f>
        <v/>
      </c>
      <c r="AG822" s="57">
        <f>IF(ISNUMBER(C822),C822,0)</f>
        <v>0.0</v>
      </c>
      <c r="AH822" s="57" t="str">
        <f>IF(N(W822)&gt;0,COUNTIF(W$6:W822,"&gt;0"),"")</f>
        <v/>
      </c>
      <c r="AI822" s="57" t="str">
        <f>IF(Z822=1,COUNTIF(Z$6:Z822,1),"")</f>
        <v/>
      </c>
    </row>
    <row r="823">
      <c r="A823" s="54" t="n"/>
      <c r="B823" s="55" t="str">
        <f>IF(AA823="","",A823&amp;"-"&amp;RIGHT("000"&amp;AA823,4))</f>
        <v/>
      </c>
      <c r="C823" s="56" t="n"/>
      <c r="D823" s="54" t="n"/>
      <c r="E823" s="57" t="str">
        <f>IF(D823="","",IF(A823="BL",IFERROR(INDEX(cl_name,MATCH(D823,cl_code,0))&amp;"","Client inconnu"),IF(A823="BR",IFERROR(INDEX(fo_name,MATCH(D823,fo_code,0))&amp;"","Fournisseur inconnu"),IF(A823="BS",IF(ISNA(MATCH(D823,p_services,0)),"Service inconnu",D823&amp;""),""))))</f>
        <v/>
      </c>
      <c r="F823" s="58" t="n"/>
      <c r="G823" s="58" t="n"/>
      <c r="H823" s="59" t="n"/>
      <c r="I823" s="57" t="str">
        <f>IF(H823="","",IFERROR(INDEX(art_des,MATCH(H823,art_ref,0))&amp;"","Article inconnu"))</f>
        <v/>
      </c>
      <c r="J823" s="60" t="str">
        <f>IF(H823="","",IFERROR(INDEX(art_unit,MATCH(H823,art_ref,0))&amp;"",""))</f>
        <v/>
      </c>
      <c r="K823" s="59" t="n"/>
      <c r="L823" s="59" t="n"/>
      <c r="M823" s="61" t="str">
        <f>IF(OR(B823="",NOT(ISNUMBER(K823)),NOT(ISNUMBER(L823))),"",IF(OR(K823&lt;=0,L823&lt;=0),"",ROUND(L823-K823,6)))</f>
        <v/>
      </c>
      <c r="N823" s="58" t="n"/>
      <c r="O823" s="62" t="n"/>
      <c r="P823" s="63" t="str">
        <f>IF(OR(B823="",NOT(ISNUMBER(L823))),"",IF(L823&lt;=0,"",IFERROR(ROUND(L823*N(INDEX(art_w,MATCH(H823,art_ref,0))),3),"")))</f>
        <v/>
      </c>
      <c r="Q823" s="59" t="n"/>
      <c r="R823" s="54" t="n"/>
      <c r="S823" s="59" t="n"/>
      <c r="T823" s="59" t="n"/>
      <c r="U823" s="64" t="str">
        <f>IF(OR(B823="",H823=""),"",IFERROR(IF(A823="BL",IF(N(INDEX(art_price,MATCH(H823,art_ref,0)))=0,"",N(INDEX(art_price,MATCH(H823,art_ref,0)))),IF(N(INDEX(art_cost,MATCH(H823,art_ref,0)))=0,"",N(INDEX(art_cost,MATCH(H823,art_ref,0))))),""))</f>
        <v/>
      </c>
      <c r="V823" s="64" t="str">
        <f>IF(OR(U823="",NOT(ISNUMBER(L823))),"",IF(L823&lt;=0,"",ROUND(L823*U823,2)))</f>
        <v/>
      </c>
      <c r="W823" s="60" t="str">
        <f>IF(AND(B823&lt;&gt;"",A823&lt;&gt;"BS",F823&lt;&gt;"",H823&lt;&gt;"",ISNUMBER(K823),ISNUMBER(L823)),IF(AND(K823&gt;0,L823&gt;0,K823-L823&gt;0,COUNTIFS(A824:A$2005,A823,F824:F$2005,F823,H824:H$2005,H823,AA824:AA$2005,"&gt;0")=0),ROUND(K823-L823,6),""),"")</f>
        <v/>
      </c>
      <c r="X823" s="60" t="str">
        <f>IF(AND(A823="",C823="",D823="",H823="",L823=""),"",IF(A823="","Type manquant",IF(AND(A823&lt;&gt;"BL",A823&lt;&gt;"BR",A823&lt;&gt;"BS"),"Type inconnu (BL, BR ou BS)",IF(AG823=0,"Date manquante ou invalide",IF(D823="",IF(A823="BL","Client manquant",IF(A823="BR","Fournisseur manquant","Service manquant")),IF(IF(A823="BL",ISNA(MATCH(D823,cl_code,0)),IF(A823="BR",ISNA(MATCH(D823,fo_code,0)),ISNA(MATCH(D823,p_services,0)))),IF(A823="BL","Client inconnu",IF(A823="BR","Fournisseur inconnu","Service inconnu")),IF(H823="","Article manquant",IF(ISNA(MATCH(H823,art_ref,0)),"Article inconnu",IF(OR(NOT(ISNUMBER(L823)),N(L823)&lt;=0),"Quantité invalide",IF(AND(K823&lt;&gt;"",OR(NOT(ISNUMBER(K823)),N(K823)&lt;=0)),"Qté commandée invalide",IF(AG823&lt;SUMPRODUCT(MAX((A$6:A822=A823)*AG$6:AG822)),"Date antérieure au bon précédent",IF(AND(A823&lt;&gt;"BR",ISNUMBER(M823),N(M823)&gt;0),IF(A823="BL","Livré plus que commandé","Sorti plus que demandé"),"OK"))))))))))))</f>
        <v/>
      </c>
      <c r="Y823" s="57" t="str">
        <f>IF(AND(OR(A823="BL",A823="BR",A823="BS"),AG823&gt;0,D823&lt;&gt;""),A823&amp;"|"&amp;AG823&amp;"|"&amp;D823&amp;"|"&amp;F823,"")</f>
        <v/>
      </c>
      <c r="Z823" s="57" t="str">
        <f>IF(Y823="","",IF(COUNTIF(Y$6:Y822,Y823)=0,1,0))</f>
        <v/>
      </c>
      <c r="AA823" s="57" t="str">
        <f>IF(Y823="","",IF(Z823=1,COUNTIFS(A$6:A823,A823,Z$6:Z823,1),INDEX(AA$6:AA822,MATCH(Y823,Y$6:Y822,0))))</f>
        <v/>
      </c>
      <c r="AB823" s="57" t="str">
        <f>IF(B823="","",COUNTIF(B$6:B823,B823))</f>
        <v/>
      </c>
      <c r="AC823" s="57" t="str">
        <f>IF(B823="","",B823&amp;"#"&amp;AB823)</f>
        <v/>
      </c>
      <c r="AD823" s="57" t="str">
        <f>IF(Z823=1,A823&amp;AA823,"")</f>
        <v/>
      </c>
      <c r="AE823" s="57" t="str">
        <f>IF(B823="","",YEAR(C823))</f>
        <v/>
      </c>
      <c r="AF823" s="57" t="str">
        <f>IF(B823="","",MONTH(C823))</f>
        <v/>
      </c>
      <c r="AG823" s="57">
        <f>IF(ISNUMBER(C823),C823,0)</f>
        <v>0.0</v>
      </c>
      <c r="AH823" s="57" t="str">
        <f>IF(N(W823)&gt;0,COUNTIF(W$6:W823,"&gt;0"),"")</f>
        <v/>
      </c>
      <c r="AI823" s="57" t="str">
        <f>IF(Z823=1,COUNTIF(Z$6:Z823,1),"")</f>
        <v/>
      </c>
    </row>
    <row r="824">
      <c r="A824" s="54" t="n"/>
      <c r="B824" s="55" t="str">
        <f>IF(AA824="","",A824&amp;"-"&amp;RIGHT("000"&amp;AA824,4))</f>
        <v/>
      </c>
      <c r="C824" s="56" t="n"/>
      <c r="D824" s="54" t="n"/>
      <c r="E824" s="57" t="str">
        <f>IF(D824="","",IF(A824="BL",IFERROR(INDEX(cl_name,MATCH(D824,cl_code,0))&amp;"","Client inconnu"),IF(A824="BR",IFERROR(INDEX(fo_name,MATCH(D824,fo_code,0))&amp;"","Fournisseur inconnu"),IF(A824="BS",IF(ISNA(MATCH(D824,p_services,0)),"Service inconnu",D824&amp;""),""))))</f>
        <v/>
      </c>
      <c r="F824" s="58" t="n"/>
      <c r="G824" s="58" t="n"/>
      <c r="H824" s="59" t="n"/>
      <c r="I824" s="57" t="str">
        <f>IF(H824="","",IFERROR(INDEX(art_des,MATCH(H824,art_ref,0))&amp;"","Article inconnu"))</f>
        <v/>
      </c>
      <c r="J824" s="60" t="str">
        <f>IF(H824="","",IFERROR(INDEX(art_unit,MATCH(H824,art_ref,0))&amp;"",""))</f>
        <v/>
      </c>
      <c r="K824" s="59" t="n"/>
      <c r="L824" s="59" t="n"/>
      <c r="M824" s="61" t="str">
        <f>IF(OR(B824="",NOT(ISNUMBER(K824)),NOT(ISNUMBER(L824))),"",IF(OR(K824&lt;=0,L824&lt;=0),"",ROUND(L824-K824,6)))</f>
        <v/>
      </c>
      <c r="N824" s="58" t="n"/>
      <c r="O824" s="62" t="n"/>
      <c r="P824" s="63" t="str">
        <f>IF(OR(B824="",NOT(ISNUMBER(L824))),"",IF(L824&lt;=0,"",IFERROR(ROUND(L824*N(INDEX(art_w,MATCH(H824,art_ref,0))),3),"")))</f>
        <v/>
      </c>
      <c r="Q824" s="59" t="n"/>
      <c r="R824" s="54" t="n"/>
      <c r="S824" s="59" t="n"/>
      <c r="T824" s="59" t="n"/>
      <c r="U824" s="64" t="str">
        <f>IF(OR(B824="",H824=""),"",IFERROR(IF(A824="BL",IF(N(INDEX(art_price,MATCH(H824,art_ref,0)))=0,"",N(INDEX(art_price,MATCH(H824,art_ref,0)))),IF(N(INDEX(art_cost,MATCH(H824,art_ref,0)))=0,"",N(INDEX(art_cost,MATCH(H824,art_ref,0))))),""))</f>
        <v/>
      </c>
      <c r="V824" s="64" t="str">
        <f>IF(OR(U824="",NOT(ISNUMBER(L824))),"",IF(L824&lt;=0,"",ROUND(L824*U824,2)))</f>
        <v/>
      </c>
      <c r="W824" s="60" t="str">
        <f>IF(AND(B824&lt;&gt;"",A824&lt;&gt;"BS",F824&lt;&gt;"",H824&lt;&gt;"",ISNUMBER(K824),ISNUMBER(L824)),IF(AND(K824&gt;0,L824&gt;0,K824-L824&gt;0,COUNTIFS(A825:A$2005,A824,F825:F$2005,F824,H825:H$2005,H824,AA825:AA$2005,"&gt;0")=0),ROUND(K824-L824,6),""),"")</f>
        <v/>
      </c>
      <c r="X824" s="60" t="str">
        <f>IF(AND(A824="",C824="",D824="",H824="",L824=""),"",IF(A824="","Type manquant",IF(AND(A824&lt;&gt;"BL",A824&lt;&gt;"BR",A824&lt;&gt;"BS"),"Type inconnu (BL, BR ou BS)",IF(AG824=0,"Date manquante ou invalide",IF(D824="",IF(A824="BL","Client manquant",IF(A824="BR","Fournisseur manquant","Service manquant")),IF(IF(A824="BL",ISNA(MATCH(D824,cl_code,0)),IF(A824="BR",ISNA(MATCH(D824,fo_code,0)),ISNA(MATCH(D824,p_services,0)))),IF(A824="BL","Client inconnu",IF(A824="BR","Fournisseur inconnu","Service inconnu")),IF(H824="","Article manquant",IF(ISNA(MATCH(H824,art_ref,0)),"Article inconnu",IF(OR(NOT(ISNUMBER(L824)),N(L824)&lt;=0),"Quantité invalide",IF(AND(K824&lt;&gt;"",OR(NOT(ISNUMBER(K824)),N(K824)&lt;=0)),"Qté commandée invalide",IF(AG824&lt;SUMPRODUCT(MAX((A$6:A823=A824)*AG$6:AG823)),"Date antérieure au bon précédent",IF(AND(A824&lt;&gt;"BR",ISNUMBER(M824),N(M824)&gt;0),IF(A824="BL","Livré plus que commandé","Sorti plus que demandé"),"OK"))))))))))))</f>
        <v/>
      </c>
      <c r="Y824" s="57" t="str">
        <f>IF(AND(OR(A824="BL",A824="BR",A824="BS"),AG824&gt;0,D824&lt;&gt;""),A824&amp;"|"&amp;AG824&amp;"|"&amp;D824&amp;"|"&amp;F824,"")</f>
        <v/>
      </c>
      <c r="Z824" s="57" t="str">
        <f>IF(Y824="","",IF(COUNTIF(Y$6:Y823,Y824)=0,1,0))</f>
        <v/>
      </c>
      <c r="AA824" s="57" t="str">
        <f>IF(Y824="","",IF(Z824=1,COUNTIFS(A$6:A824,A824,Z$6:Z824,1),INDEX(AA$6:AA823,MATCH(Y824,Y$6:Y823,0))))</f>
        <v/>
      </c>
      <c r="AB824" s="57" t="str">
        <f>IF(B824="","",COUNTIF(B$6:B824,B824))</f>
        <v/>
      </c>
      <c r="AC824" s="57" t="str">
        <f>IF(B824="","",B824&amp;"#"&amp;AB824)</f>
        <v/>
      </c>
      <c r="AD824" s="57" t="str">
        <f>IF(Z824=1,A824&amp;AA824,"")</f>
        <v/>
      </c>
      <c r="AE824" s="57" t="str">
        <f>IF(B824="","",YEAR(C824))</f>
        <v/>
      </c>
      <c r="AF824" s="57" t="str">
        <f>IF(B824="","",MONTH(C824))</f>
        <v/>
      </c>
      <c r="AG824" s="57">
        <f>IF(ISNUMBER(C824),C824,0)</f>
        <v>0.0</v>
      </c>
      <c r="AH824" s="57" t="str">
        <f>IF(N(W824)&gt;0,COUNTIF(W$6:W824,"&gt;0"),"")</f>
        <v/>
      </c>
      <c r="AI824" s="57" t="str">
        <f>IF(Z824=1,COUNTIF(Z$6:Z824,1),"")</f>
        <v/>
      </c>
    </row>
    <row r="825">
      <c r="A825" s="54" t="n"/>
      <c r="B825" s="55" t="str">
        <f>IF(AA825="","",A825&amp;"-"&amp;RIGHT("000"&amp;AA825,4))</f>
        <v/>
      </c>
      <c r="C825" s="56" t="n"/>
      <c r="D825" s="54" t="n"/>
      <c r="E825" s="57" t="str">
        <f>IF(D825="","",IF(A825="BL",IFERROR(INDEX(cl_name,MATCH(D825,cl_code,0))&amp;"","Client inconnu"),IF(A825="BR",IFERROR(INDEX(fo_name,MATCH(D825,fo_code,0))&amp;"","Fournisseur inconnu"),IF(A825="BS",IF(ISNA(MATCH(D825,p_services,0)),"Service inconnu",D825&amp;""),""))))</f>
        <v/>
      </c>
      <c r="F825" s="58" t="n"/>
      <c r="G825" s="58" t="n"/>
      <c r="H825" s="59" t="n"/>
      <c r="I825" s="57" t="str">
        <f>IF(H825="","",IFERROR(INDEX(art_des,MATCH(H825,art_ref,0))&amp;"","Article inconnu"))</f>
        <v/>
      </c>
      <c r="J825" s="60" t="str">
        <f>IF(H825="","",IFERROR(INDEX(art_unit,MATCH(H825,art_ref,0))&amp;"",""))</f>
        <v/>
      </c>
      <c r="K825" s="59" t="n"/>
      <c r="L825" s="59" t="n"/>
      <c r="M825" s="61" t="str">
        <f>IF(OR(B825="",NOT(ISNUMBER(K825)),NOT(ISNUMBER(L825))),"",IF(OR(K825&lt;=0,L825&lt;=0),"",ROUND(L825-K825,6)))</f>
        <v/>
      </c>
      <c r="N825" s="58" t="n"/>
      <c r="O825" s="62" t="n"/>
      <c r="P825" s="63" t="str">
        <f>IF(OR(B825="",NOT(ISNUMBER(L825))),"",IF(L825&lt;=0,"",IFERROR(ROUND(L825*N(INDEX(art_w,MATCH(H825,art_ref,0))),3),"")))</f>
        <v/>
      </c>
      <c r="Q825" s="59" t="n"/>
      <c r="R825" s="54" t="n"/>
      <c r="S825" s="59" t="n"/>
      <c r="T825" s="59" t="n"/>
      <c r="U825" s="64" t="str">
        <f>IF(OR(B825="",H825=""),"",IFERROR(IF(A825="BL",IF(N(INDEX(art_price,MATCH(H825,art_ref,0)))=0,"",N(INDEX(art_price,MATCH(H825,art_ref,0)))),IF(N(INDEX(art_cost,MATCH(H825,art_ref,0)))=0,"",N(INDEX(art_cost,MATCH(H825,art_ref,0))))),""))</f>
        <v/>
      </c>
      <c r="V825" s="64" t="str">
        <f>IF(OR(U825="",NOT(ISNUMBER(L825))),"",IF(L825&lt;=0,"",ROUND(L825*U825,2)))</f>
        <v/>
      </c>
      <c r="W825" s="60" t="str">
        <f>IF(AND(B825&lt;&gt;"",A825&lt;&gt;"BS",F825&lt;&gt;"",H825&lt;&gt;"",ISNUMBER(K825),ISNUMBER(L825)),IF(AND(K825&gt;0,L825&gt;0,K825-L825&gt;0,COUNTIFS(A826:A$2005,A825,F826:F$2005,F825,H826:H$2005,H825,AA826:AA$2005,"&gt;0")=0),ROUND(K825-L825,6),""),"")</f>
        <v/>
      </c>
      <c r="X825" s="60" t="str">
        <f>IF(AND(A825="",C825="",D825="",H825="",L825=""),"",IF(A825="","Type manquant",IF(AND(A825&lt;&gt;"BL",A825&lt;&gt;"BR",A825&lt;&gt;"BS"),"Type inconnu (BL, BR ou BS)",IF(AG825=0,"Date manquante ou invalide",IF(D825="",IF(A825="BL","Client manquant",IF(A825="BR","Fournisseur manquant","Service manquant")),IF(IF(A825="BL",ISNA(MATCH(D825,cl_code,0)),IF(A825="BR",ISNA(MATCH(D825,fo_code,0)),ISNA(MATCH(D825,p_services,0)))),IF(A825="BL","Client inconnu",IF(A825="BR","Fournisseur inconnu","Service inconnu")),IF(H825="","Article manquant",IF(ISNA(MATCH(H825,art_ref,0)),"Article inconnu",IF(OR(NOT(ISNUMBER(L825)),N(L825)&lt;=0),"Quantité invalide",IF(AND(K825&lt;&gt;"",OR(NOT(ISNUMBER(K825)),N(K825)&lt;=0)),"Qté commandée invalide",IF(AG825&lt;SUMPRODUCT(MAX((A$6:A824=A825)*AG$6:AG824)),"Date antérieure au bon précédent",IF(AND(A825&lt;&gt;"BR",ISNUMBER(M825),N(M825)&gt;0),IF(A825="BL","Livré plus que commandé","Sorti plus que demandé"),"OK"))))))))))))</f>
        <v/>
      </c>
      <c r="Y825" s="57" t="str">
        <f>IF(AND(OR(A825="BL",A825="BR",A825="BS"),AG825&gt;0,D825&lt;&gt;""),A825&amp;"|"&amp;AG825&amp;"|"&amp;D825&amp;"|"&amp;F825,"")</f>
        <v/>
      </c>
      <c r="Z825" s="57" t="str">
        <f>IF(Y825="","",IF(COUNTIF(Y$6:Y824,Y825)=0,1,0))</f>
        <v/>
      </c>
      <c r="AA825" s="57" t="str">
        <f>IF(Y825="","",IF(Z825=1,COUNTIFS(A$6:A825,A825,Z$6:Z825,1),INDEX(AA$6:AA824,MATCH(Y825,Y$6:Y824,0))))</f>
        <v/>
      </c>
      <c r="AB825" s="57" t="str">
        <f>IF(B825="","",COUNTIF(B$6:B825,B825))</f>
        <v/>
      </c>
      <c r="AC825" s="57" t="str">
        <f>IF(B825="","",B825&amp;"#"&amp;AB825)</f>
        <v/>
      </c>
      <c r="AD825" s="57" t="str">
        <f>IF(Z825=1,A825&amp;AA825,"")</f>
        <v/>
      </c>
      <c r="AE825" s="57" t="str">
        <f>IF(B825="","",YEAR(C825))</f>
        <v/>
      </c>
      <c r="AF825" s="57" t="str">
        <f>IF(B825="","",MONTH(C825))</f>
        <v/>
      </c>
      <c r="AG825" s="57">
        <f>IF(ISNUMBER(C825),C825,0)</f>
        <v>0.0</v>
      </c>
      <c r="AH825" s="57" t="str">
        <f>IF(N(W825)&gt;0,COUNTIF(W$6:W825,"&gt;0"),"")</f>
        <v/>
      </c>
      <c r="AI825" s="57" t="str">
        <f>IF(Z825=1,COUNTIF(Z$6:Z825,1),"")</f>
        <v/>
      </c>
    </row>
    <row r="826">
      <c r="A826" s="54" t="n"/>
      <c r="B826" s="55" t="str">
        <f>IF(AA826="","",A826&amp;"-"&amp;RIGHT("000"&amp;AA826,4))</f>
        <v/>
      </c>
      <c r="C826" s="56" t="n"/>
      <c r="D826" s="54" t="n"/>
      <c r="E826" s="57" t="str">
        <f>IF(D826="","",IF(A826="BL",IFERROR(INDEX(cl_name,MATCH(D826,cl_code,0))&amp;"","Client inconnu"),IF(A826="BR",IFERROR(INDEX(fo_name,MATCH(D826,fo_code,0))&amp;"","Fournisseur inconnu"),IF(A826="BS",IF(ISNA(MATCH(D826,p_services,0)),"Service inconnu",D826&amp;""),""))))</f>
        <v/>
      </c>
      <c r="F826" s="58" t="n"/>
      <c r="G826" s="58" t="n"/>
      <c r="H826" s="59" t="n"/>
      <c r="I826" s="57" t="str">
        <f>IF(H826="","",IFERROR(INDEX(art_des,MATCH(H826,art_ref,0))&amp;"","Article inconnu"))</f>
        <v/>
      </c>
      <c r="J826" s="60" t="str">
        <f>IF(H826="","",IFERROR(INDEX(art_unit,MATCH(H826,art_ref,0))&amp;"",""))</f>
        <v/>
      </c>
      <c r="K826" s="59" t="n"/>
      <c r="L826" s="59" t="n"/>
      <c r="M826" s="61" t="str">
        <f>IF(OR(B826="",NOT(ISNUMBER(K826)),NOT(ISNUMBER(L826))),"",IF(OR(K826&lt;=0,L826&lt;=0),"",ROUND(L826-K826,6)))</f>
        <v/>
      </c>
      <c r="N826" s="58" t="n"/>
      <c r="O826" s="62" t="n"/>
      <c r="P826" s="63" t="str">
        <f>IF(OR(B826="",NOT(ISNUMBER(L826))),"",IF(L826&lt;=0,"",IFERROR(ROUND(L826*N(INDEX(art_w,MATCH(H826,art_ref,0))),3),"")))</f>
        <v/>
      </c>
      <c r="Q826" s="59" t="n"/>
      <c r="R826" s="54" t="n"/>
      <c r="S826" s="59" t="n"/>
      <c r="T826" s="59" t="n"/>
      <c r="U826" s="64" t="str">
        <f>IF(OR(B826="",H826=""),"",IFERROR(IF(A826="BL",IF(N(INDEX(art_price,MATCH(H826,art_ref,0)))=0,"",N(INDEX(art_price,MATCH(H826,art_ref,0)))),IF(N(INDEX(art_cost,MATCH(H826,art_ref,0)))=0,"",N(INDEX(art_cost,MATCH(H826,art_ref,0))))),""))</f>
        <v/>
      </c>
      <c r="V826" s="64" t="str">
        <f>IF(OR(U826="",NOT(ISNUMBER(L826))),"",IF(L826&lt;=0,"",ROUND(L826*U826,2)))</f>
        <v/>
      </c>
      <c r="W826" s="60" t="str">
        <f>IF(AND(B826&lt;&gt;"",A826&lt;&gt;"BS",F826&lt;&gt;"",H826&lt;&gt;"",ISNUMBER(K826),ISNUMBER(L826)),IF(AND(K826&gt;0,L826&gt;0,K826-L826&gt;0,COUNTIFS(A827:A$2005,A826,F827:F$2005,F826,H827:H$2005,H826,AA827:AA$2005,"&gt;0")=0),ROUND(K826-L826,6),""),"")</f>
        <v/>
      </c>
      <c r="X826" s="60" t="str">
        <f>IF(AND(A826="",C826="",D826="",H826="",L826=""),"",IF(A826="","Type manquant",IF(AND(A826&lt;&gt;"BL",A826&lt;&gt;"BR",A826&lt;&gt;"BS"),"Type inconnu (BL, BR ou BS)",IF(AG826=0,"Date manquante ou invalide",IF(D826="",IF(A826="BL","Client manquant",IF(A826="BR","Fournisseur manquant","Service manquant")),IF(IF(A826="BL",ISNA(MATCH(D826,cl_code,0)),IF(A826="BR",ISNA(MATCH(D826,fo_code,0)),ISNA(MATCH(D826,p_services,0)))),IF(A826="BL","Client inconnu",IF(A826="BR","Fournisseur inconnu","Service inconnu")),IF(H826="","Article manquant",IF(ISNA(MATCH(H826,art_ref,0)),"Article inconnu",IF(OR(NOT(ISNUMBER(L826)),N(L826)&lt;=0),"Quantité invalide",IF(AND(K826&lt;&gt;"",OR(NOT(ISNUMBER(K826)),N(K826)&lt;=0)),"Qté commandée invalide",IF(AG826&lt;SUMPRODUCT(MAX((A$6:A825=A826)*AG$6:AG825)),"Date antérieure au bon précédent",IF(AND(A826&lt;&gt;"BR",ISNUMBER(M826),N(M826)&gt;0),IF(A826="BL","Livré plus que commandé","Sorti plus que demandé"),"OK"))))))))))))</f>
        <v/>
      </c>
      <c r="Y826" s="57" t="str">
        <f>IF(AND(OR(A826="BL",A826="BR",A826="BS"),AG826&gt;0,D826&lt;&gt;""),A826&amp;"|"&amp;AG826&amp;"|"&amp;D826&amp;"|"&amp;F826,"")</f>
        <v/>
      </c>
      <c r="Z826" s="57" t="str">
        <f>IF(Y826="","",IF(COUNTIF(Y$6:Y825,Y826)=0,1,0))</f>
        <v/>
      </c>
      <c r="AA826" s="57" t="str">
        <f>IF(Y826="","",IF(Z826=1,COUNTIFS(A$6:A826,A826,Z$6:Z826,1),INDEX(AA$6:AA825,MATCH(Y826,Y$6:Y825,0))))</f>
        <v/>
      </c>
      <c r="AB826" s="57" t="str">
        <f>IF(B826="","",COUNTIF(B$6:B826,B826))</f>
        <v/>
      </c>
      <c r="AC826" s="57" t="str">
        <f>IF(B826="","",B826&amp;"#"&amp;AB826)</f>
        <v/>
      </c>
      <c r="AD826" s="57" t="str">
        <f>IF(Z826=1,A826&amp;AA826,"")</f>
        <v/>
      </c>
      <c r="AE826" s="57" t="str">
        <f>IF(B826="","",YEAR(C826))</f>
        <v/>
      </c>
      <c r="AF826" s="57" t="str">
        <f>IF(B826="","",MONTH(C826))</f>
        <v/>
      </c>
      <c r="AG826" s="57">
        <f>IF(ISNUMBER(C826),C826,0)</f>
        <v>0.0</v>
      </c>
      <c r="AH826" s="57" t="str">
        <f>IF(N(W826)&gt;0,COUNTIF(W$6:W826,"&gt;0"),"")</f>
        <v/>
      </c>
      <c r="AI826" s="57" t="str">
        <f>IF(Z826=1,COUNTIF(Z$6:Z826,1),"")</f>
        <v/>
      </c>
    </row>
    <row r="827">
      <c r="A827" s="54" t="n"/>
      <c r="B827" s="55" t="str">
        <f>IF(AA827="","",A827&amp;"-"&amp;RIGHT("000"&amp;AA827,4))</f>
        <v/>
      </c>
      <c r="C827" s="56" t="n"/>
      <c r="D827" s="54" t="n"/>
      <c r="E827" s="57" t="str">
        <f>IF(D827="","",IF(A827="BL",IFERROR(INDEX(cl_name,MATCH(D827,cl_code,0))&amp;"","Client inconnu"),IF(A827="BR",IFERROR(INDEX(fo_name,MATCH(D827,fo_code,0))&amp;"","Fournisseur inconnu"),IF(A827="BS",IF(ISNA(MATCH(D827,p_services,0)),"Service inconnu",D827&amp;""),""))))</f>
        <v/>
      </c>
      <c r="F827" s="58" t="n"/>
      <c r="G827" s="58" t="n"/>
      <c r="H827" s="59" t="n"/>
      <c r="I827" s="57" t="str">
        <f>IF(H827="","",IFERROR(INDEX(art_des,MATCH(H827,art_ref,0))&amp;"","Article inconnu"))</f>
        <v/>
      </c>
      <c r="J827" s="60" t="str">
        <f>IF(H827="","",IFERROR(INDEX(art_unit,MATCH(H827,art_ref,0))&amp;"",""))</f>
        <v/>
      </c>
      <c r="K827" s="59" t="n"/>
      <c r="L827" s="59" t="n"/>
      <c r="M827" s="61" t="str">
        <f>IF(OR(B827="",NOT(ISNUMBER(K827)),NOT(ISNUMBER(L827))),"",IF(OR(K827&lt;=0,L827&lt;=0),"",ROUND(L827-K827,6)))</f>
        <v/>
      </c>
      <c r="N827" s="58" t="n"/>
      <c r="O827" s="62" t="n"/>
      <c r="P827" s="63" t="str">
        <f>IF(OR(B827="",NOT(ISNUMBER(L827))),"",IF(L827&lt;=0,"",IFERROR(ROUND(L827*N(INDEX(art_w,MATCH(H827,art_ref,0))),3),"")))</f>
        <v/>
      </c>
      <c r="Q827" s="59" t="n"/>
      <c r="R827" s="54" t="n"/>
      <c r="S827" s="59" t="n"/>
      <c r="T827" s="59" t="n"/>
      <c r="U827" s="64" t="str">
        <f>IF(OR(B827="",H827=""),"",IFERROR(IF(A827="BL",IF(N(INDEX(art_price,MATCH(H827,art_ref,0)))=0,"",N(INDEX(art_price,MATCH(H827,art_ref,0)))),IF(N(INDEX(art_cost,MATCH(H827,art_ref,0)))=0,"",N(INDEX(art_cost,MATCH(H827,art_ref,0))))),""))</f>
        <v/>
      </c>
      <c r="V827" s="64" t="str">
        <f>IF(OR(U827="",NOT(ISNUMBER(L827))),"",IF(L827&lt;=0,"",ROUND(L827*U827,2)))</f>
        <v/>
      </c>
      <c r="W827" s="60" t="str">
        <f>IF(AND(B827&lt;&gt;"",A827&lt;&gt;"BS",F827&lt;&gt;"",H827&lt;&gt;"",ISNUMBER(K827),ISNUMBER(L827)),IF(AND(K827&gt;0,L827&gt;0,K827-L827&gt;0,COUNTIFS(A828:A$2005,A827,F828:F$2005,F827,H828:H$2005,H827,AA828:AA$2005,"&gt;0")=0),ROUND(K827-L827,6),""),"")</f>
        <v/>
      </c>
      <c r="X827" s="60" t="str">
        <f>IF(AND(A827="",C827="",D827="",H827="",L827=""),"",IF(A827="","Type manquant",IF(AND(A827&lt;&gt;"BL",A827&lt;&gt;"BR",A827&lt;&gt;"BS"),"Type inconnu (BL, BR ou BS)",IF(AG827=0,"Date manquante ou invalide",IF(D827="",IF(A827="BL","Client manquant",IF(A827="BR","Fournisseur manquant","Service manquant")),IF(IF(A827="BL",ISNA(MATCH(D827,cl_code,0)),IF(A827="BR",ISNA(MATCH(D827,fo_code,0)),ISNA(MATCH(D827,p_services,0)))),IF(A827="BL","Client inconnu",IF(A827="BR","Fournisseur inconnu","Service inconnu")),IF(H827="","Article manquant",IF(ISNA(MATCH(H827,art_ref,0)),"Article inconnu",IF(OR(NOT(ISNUMBER(L827)),N(L827)&lt;=0),"Quantité invalide",IF(AND(K827&lt;&gt;"",OR(NOT(ISNUMBER(K827)),N(K827)&lt;=0)),"Qté commandée invalide",IF(AG827&lt;SUMPRODUCT(MAX((A$6:A826=A827)*AG$6:AG826)),"Date antérieure au bon précédent",IF(AND(A827&lt;&gt;"BR",ISNUMBER(M827),N(M827)&gt;0),IF(A827="BL","Livré plus que commandé","Sorti plus que demandé"),"OK"))))))))))))</f>
        <v/>
      </c>
      <c r="Y827" s="57" t="str">
        <f>IF(AND(OR(A827="BL",A827="BR",A827="BS"),AG827&gt;0,D827&lt;&gt;""),A827&amp;"|"&amp;AG827&amp;"|"&amp;D827&amp;"|"&amp;F827,"")</f>
        <v/>
      </c>
      <c r="Z827" s="57" t="str">
        <f>IF(Y827="","",IF(COUNTIF(Y$6:Y826,Y827)=0,1,0))</f>
        <v/>
      </c>
      <c r="AA827" s="57" t="str">
        <f>IF(Y827="","",IF(Z827=1,COUNTIFS(A$6:A827,A827,Z$6:Z827,1),INDEX(AA$6:AA826,MATCH(Y827,Y$6:Y826,0))))</f>
        <v/>
      </c>
      <c r="AB827" s="57" t="str">
        <f>IF(B827="","",COUNTIF(B$6:B827,B827))</f>
        <v/>
      </c>
      <c r="AC827" s="57" t="str">
        <f>IF(B827="","",B827&amp;"#"&amp;AB827)</f>
        <v/>
      </c>
      <c r="AD827" s="57" t="str">
        <f>IF(Z827=1,A827&amp;AA827,"")</f>
        <v/>
      </c>
      <c r="AE827" s="57" t="str">
        <f>IF(B827="","",YEAR(C827))</f>
        <v/>
      </c>
      <c r="AF827" s="57" t="str">
        <f>IF(B827="","",MONTH(C827))</f>
        <v/>
      </c>
      <c r="AG827" s="57">
        <f>IF(ISNUMBER(C827),C827,0)</f>
        <v>0.0</v>
      </c>
      <c r="AH827" s="57" t="str">
        <f>IF(N(W827)&gt;0,COUNTIF(W$6:W827,"&gt;0"),"")</f>
        <v/>
      </c>
      <c r="AI827" s="57" t="str">
        <f>IF(Z827=1,COUNTIF(Z$6:Z827,1),"")</f>
        <v/>
      </c>
    </row>
    <row r="828">
      <c r="A828" s="54" t="n"/>
      <c r="B828" s="55" t="str">
        <f>IF(AA828="","",A828&amp;"-"&amp;RIGHT("000"&amp;AA828,4))</f>
        <v/>
      </c>
      <c r="C828" s="56" t="n"/>
      <c r="D828" s="54" t="n"/>
      <c r="E828" s="57" t="str">
        <f>IF(D828="","",IF(A828="BL",IFERROR(INDEX(cl_name,MATCH(D828,cl_code,0))&amp;"","Client inconnu"),IF(A828="BR",IFERROR(INDEX(fo_name,MATCH(D828,fo_code,0))&amp;"","Fournisseur inconnu"),IF(A828="BS",IF(ISNA(MATCH(D828,p_services,0)),"Service inconnu",D828&amp;""),""))))</f>
        <v/>
      </c>
      <c r="F828" s="58" t="n"/>
      <c r="G828" s="58" t="n"/>
      <c r="H828" s="59" t="n"/>
      <c r="I828" s="57" t="str">
        <f>IF(H828="","",IFERROR(INDEX(art_des,MATCH(H828,art_ref,0))&amp;"","Article inconnu"))</f>
        <v/>
      </c>
      <c r="J828" s="60" t="str">
        <f>IF(H828="","",IFERROR(INDEX(art_unit,MATCH(H828,art_ref,0))&amp;"",""))</f>
        <v/>
      </c>
      <c r="K828" s="59" t="n"/>
      <c r="L828" s="59" t="n"/>
      <c r="M828" s="61" t="str">
        <f>IF(OR(B828="",NOT(ISNUMBER(K828)),NOT(ISNUMBER(L828))),"",IF(OR(K828&lt;=0,L828&lt;=0),"",ROUND(L828-K828,6)))</f>
        <v/>
      </c>
      <c r="N828" s="58" t="n"/>
      <c r="O828" s="62" t="n"/>
      <c r="P828" s="63" t="str">
        <f>IF(OR(B828="",NOT(ISNUMBER(L828))),"",IF(L828&lt;=0,"",IFERROR(ROUND(L828*N(INDEX(art_w,MATCH(H828,art_ref,0))),3),"")))</f>
        <v/>
      </c>
      <c r="Q828" s="59" t="n"/>
      <c r="R828" s="54" t="n"/>
      <c r="S828" s="59" t="n"/>
      <c r="T828" s="59" t="n"/>
      <c r="U828" s="64" t="str">
        <f>IF(OR(B828="",H828=""),"",IFERROR(IF(A828="BL",IF(N(INDEX(art_price,MATCH(H828,art_ref,0)))=0,"",N(INDEX(art_price,MATCH(H828,art_ref,0)))),IF(N(INDEX(art_cost,MATCH(H828,art_ref,0)))=0,"",N(INDEX(art_cost,MATCH(H828,art_ref,0))))),""))</f>
        <v/>
      </c>
      <c r="V828" s="64" t="str">
        <f>IF(OR(U828="",NOT(ISNUMBER(L828))),"",IF(L828&lt;=0,"",ROUND(L828*U828,2)))</f>
        <v/>
      </c>
      <c r="W828" s="60" t="str">
        <f>IF(AND(B828&lt;&gt;"",A828&lt;&gt;"BS",F828&lt;&gt;"",H828&lt;&gt;"",ISNUMBER(K828),ISNUMBER(L828)),IF(AND(K828&gt;0,L828&gt;0,K828-L828&gt;0,COUNTIFS(A829:A$2005,A828,F829:F$2005,F828,H829:H$2005,H828,AA829:AA$2005,"&gt;0")=0),ROUND(K828-L828,6),""),"")</f>
        <v/>
      </c>
      <c r="X828" s="60" t="str">
        <f>IF(AND(A828="",C828="",D828="",H828="",L828=""),"",IF(A828="","Type manquant",IF(AND(A828&lt;&gt;"BL",A828&lt;&gt;"BR",A828&lt;&gt;"BS"),"Type inconnu (BL, BR ou BS)",IF(AG828=0,"Date manquante ou invalide",IF(D828="",IF(A828="BL","Client manquant",IF(A828="BR","Fournisseur manquant","Service manquant")),IF(IF(A828="BL",ISNA(MATCH(D828,cl_code,0)),IF(A828="BR",ISNA(MATCH(D828,fo_code,0)),ISNA(MATCH(D828,p_services,0)))),IF(A828="BL","Client inconnu",IF(A828="BR","Fournisseur inconnu","Service inconnu")),IF(H828="","Article manquant",IF(ISNA(MATCH(H828,art_ref,0)),"Article inconnu",IF(OR(NOT(ISNUMBER(L828)),N(L828)&lt;=0),"Quantité invalide",IF(AND(K828&lt;&gt;"",OR(NOT(ISNUMBER(K828)),N(K828)&lt;=0)),"Qté commandée invalide",IF(AG828&lt;SUMPRODUCT(MAX((A$6:A827=A828)*AG$6:AG827)),"Date antérieure au bon précédent",IF(AND(A828&lt;&gt;"BR",ISNUMBER(M828),N(M828)&gt;0),IF(A828="BL","Livré plus que commandé","Sorti plus que demandé"),"OK"))))))))))))</f>
        <v/>
      </c>
      <c r="Y828" s="57" t="str">
        <f>IF(AND(OR(A828="BL",A828="BR",A828="BS"),AG828&gt;0,D828&lt;&gt;""),A828&amp;"|"&amp;AG828&amp;"|"&amp;D828&amp;"|"&amp;F828,"")</f>
        <v/>
      </c>
      <c r="Z828" s="57" t="str">
        <f>IF(Y828="","",IF(COUNTIF(Y$6:Y827,Y828)=0,1,0))</f>
        <v/>
      </c>
      <c r="AA828" s="57" t="str">
        <f>IF(Y828="","",IF(Z828=1,COUNTIFS(A$6:A828,A828,Z$6:Z828,1),INDEX(AA$6:AA827,MATCH(Y828,Y$6:Y827,0))))</f>
        <v/>
      </c>
      <c r="AB828" s="57" t="str">
        <f>IF(B828="","",COUNTIF(B$6:B828,B828))</f>
        <v/>
      </c>
      <c r="AC828" s="57" t="str">
        <f>IF(B828="","",B828&amp;"#"&amp;AB828)</f>
        <v/>
      </c>
      <c r="AD828" s="57" t="str">
        <f>IF(Z828=1,A828&amp;AA828,"")</f>
        <v/>
      </c>
      <c r="AE828" s="57" t="str">
        <f>IF(B828="","",YEAR(C828))</f>
        <v/>
      </c>
      <c r="AF828" s="57" t="str">
        <f>IF(B828="","",MONTH(C828))</f>
        <v/>
      </c>
      <c r="AG828" s="57">
        <f>IF(ISNUMBER(C828),C828,0)</f>
        <v>0.0</v>
      </c>
      <c r="AH828" s="57" t="str">
        <f>IF(N(W828)&gt;0,COUNTIF(W$6:W828,"&gt;0"),"")</f>
        <v/>
      </c>
      <c r="AI828" s="57" t="str">
        <f>IF(Z828=1,COUNTIF(Z$6:Z828,1),"")</f>
        <v/>
      </c>
    </row>
    <row r="829">
      <c r="A829" s="54" t="n"/>
      <c r="B829" s="55" t="str">
        <f>IF(AA829="","",A829&amp;"-"&amp;RIGHT("000"&amp;AA829,4))</f>
        <v/>
      </c>
      <c r="C829" s="56" t="n"/>
      <c r="D829" s="54" t="n"/>
      <c r="E829" s="57" t="str">
        <f>IF(D829="","",IF(A829="BL",IFERROR(INDEX(cl_name,MATCH(D829,cl_code,0))&amp;"","Client inconnu"),IF(A829="BR",IFERROR(INDEX(fo_name,MATCH(D829,fo_code,0))&amp;"","Fournisseur inconnu"),IF(A829="BS",IF(ISNA(MATCH(D829,p_services,0)),"Service inconnu",D829&amp;""),""))))</f>
        <v/>
      </c>
      <c r="F829" s="58" t="n"/>
      <c r="G829" s="58" t="n"/>
      <c r="H829" s="59" t="n"/>
      <c r="I829" s="57" t="str">
        <f>IF(H829="","",IFERROR(INDEX(art_des,MATCH(H829,art_ref,0))&amp;"","Article inconnu"))</f>
        <v/>
      </c>
      <c r="J829" s="60" t="str">
        <f>IF(H829="","",IFERROR(INDEX(art_unit,MATCH(H829,art_ref,0))&amp;"",""))</f>
        <v/>
      </c>
      <c r="K829" s="59" t="n"/>
      <c r="L829" s="59" t="n"/>
      <c r="M829" s="61" t="str">
        <f>IF(OR(B829="",NOT(ISNUMBER(K829)),NOT(ISNUMBER(L829))),"",IF(OR(K829&lt;=0,L829&lt;=0),"",ROUND(L829-K829,6)))</f>
        <v/>
      </c>
      <c r="N829" s="58" t="n"/>
      <c r="O829" s="62" t="n"/>
      <c r="P829" s="63" t="str">
        <f>IF(OR(B829="",NOT(ISNUMBER(L829))),"",IF(L829&lt;=0,"",IFERROR(ROUND(L829*N(INDEX(art_w,MATCH(H829,art_ref,0))),3),"")))</f>
        <v/>
      </c>
      <c r="Q829" s="59" t="n"/>
      <c r="R829" s="54" t="n"/>
      <c r="S829" s="59" t="n"/>
      <c r="T829" s="59" t="n"/>
      <c r="U829" s="64" t="str">
        <f>IF(OR(B829="",H829=""),"",IFERROR(IF(A829="BL",IF(N(INDEX(art_price,MATCH(H829,art_ref,0)))=0,"",N(INDEX(art_price,MATCH(H829,art_ref,0)))),IF(N(INDEX(art_cost,MATCH(H829,art_ref,0)))=0,"",N(INDEX(art_cost,MATCH(H829,art_ref,0))))),""))</f>
        <v/>
      </c>
      <c r="V829" s="64" t="str">
        <f>IF(OR(U829="",NOT(ISNUMBER(L829))),"",IF(L829&lt;=0,"",ROUND(L829*U829,2)))</f>
        <v/>
      </c>
      <c r="W829" s="60" t="str">
        <f>IF(AND(B829&lt;&gt;"",A829&lt;&gt;"BS",F829&lt;&gt;"",H829&lt;&gt;"",ISNUMBER(K829),ISNUMBER(L829)),IF(AND(K829&gt;0,L829&gt;0,K829-L829&gt;0,COUNTIFS(A830:A$2005,A829,F830:F$2005,F829,H830:H$2005,H829,AA830:AA$2005,"&gt;0")=0),ROUND(K829-L829,6),""),"")</f>
        <v/>
      </c>
      <c r="X829" s="60" t="str">
        <f>IF(AND(A829="",C829="",D829="",H829="",L829=""),"",IF(A829="","Type manquant",IF(AND(A829&lt;&gt;"BL",A829&lt;&gt;"BR",A829&lt;&gt;"BS"),"Type inconnu (BL, BR ou BS)",IF(AG829=0,"Date manquante ou invalide",IF(D829="",IF(A829="BL","Client manquant",IF(A829="BR","Fournisseur manquant","Service manquant")),IF(IF(A829="BL",ISNA(MATCH(D829,cl_code,0)),IF(A829="BR",ISNA(MATCH(D829,fo_code,0)),ISNA(MATCH(D829,p_services,0)))),IF(A829="BL","Client inconnu",IF(A829="BR","Fournisseur inconnu","Service inconnu")),IF(H829="","Article manquant",IF(ISNA(MATCH(H829,art_ref,0)),"Article inconnu",IF(OR(NOT(ISNUMBER(L829)),N(L829)&lt;=0),"Quantité invalide",IF(AND(K829&lt;&gt;"",OR(NOT(ISNUMBER(K829)),N(K829)&lt;=0)),"Qté commandée invalide",IF(AG829&lt;SUMPRODUCT(MAX((A$6:A828=A829)*AG$6:AG828)),"Date antérieure au bon précédent",IF(AND(A829&lt;&gt;"BR",ISNUMBER(M829),N(M829)&gt;0),IF(A829="BL","Livré plus que commandé","Sorti plus que demandé"),"OK"))))))))))))</f>
        <v/>
      </c>
      <c r="Y829" s="57" t="str">
        <f>IF(AND(OR(A829="BL",A829="BR",A829="BS"),AG829&gt;0,D829&lt;&gt;""),A829&amp;"|"&amp;AG829&amp;"|"&amp;D829&amp;"|"&amp;F829,"")</f>
        <v/>
      </c>
      <c r="Z829" s="57" t="str">
        <f>IF(Y829="","",IF(COUNTIF(Y$6:Y828,Y829)=0,1,0))</f>
        <v/>
      </c>
      <c r="AA829" s="57" t="str">
        <f>IF(Y829="","",IF(Z829=1,COUNTIFS(A$6:A829,A829,Z$6:Z829,1),INDEX(AA$6:AA828,MATCH(Y829,Y$6:Y828,0))))</f>
        <v/>
      </c>
      <c r="AB829" s="57" t="str">
        <f>IF(B829="","",COUNTIF(B$6:B829,B829))</f>
        <v/>
      </c>
      <c r="AC829" s="57" t="str">
        <f>IF(B829="","",B829&amp;"#"&amp;AB829)</f>
        <v/>
      </c>
      <c r="AD829" s="57" t="str">
        <f>IF(Z829=1,A829&amp;AA829,"")</f>
        <v/>
      </c>
      <c r="AE829" s="57" t="str">
        <f>IF(B829="","",YEAR(C829))</f>
        <v/>
      </c>
      <c r="AF829" s="57" t="str">
        <f>IF(B829="","",MONTH(C829))</f>
        <v/>
      </c>
      <c r="AG829" s="57">
        <f>IF(ISNUMBER(C829),C829,0)</f>
        <v>0.0</v>
      </c>
      <c r="AH829" s="57" t="str">
        <f>IF(N(W829)&gt;0,COUNTIF(W$6:W829,"&gt;0"),"")</f>
        <v/>
      </c>
      <c r="AI829" s="57" t="str">
        <f>IF(Z829=1,COUNTIF(Z$6:Z829,1),"")</f>
        <v/>
      </c>
    </row>
    <row r="830">
      <c r="A830" s="54" t="n"/>
      <c r="B830" s="55" t="str">
        <f>IF(AA830="","",A830&amp;"-"&amp;RIGHT("000"&amp;AA830,4))</f>
        <v/>
      </c>
      <c r="C830" s="56" t="n"/>
      <c r="D830" s="54" t="n"/>
      <c r="E830" s="57" t="str">
        <f>IF(D830="","",IF(A830="BL",IFERROR(INDEX(cl_name,MATCH(D830,cl_code,0))&amp;"","Client inconnu"),IF(A830="BR",IFERROR(INDEX(fo_name,MATCH(D830,fo_code,0))&amp;"","Fournisseur inconnu"),IF(A830="BS",IF(ISNA(MATCH(D830,p_services,0)),"Service inconnu",D830&amp;""),""))))</f>
        <v/>
      </c>
      <c r="F830" s="58" t="n"/>
      <c r="G830" s="58" t="n"/>
      <c r="H830" s="59" t="n"/>
      <c r="I830" s="57" t="str">
        <f>IF(H830="","",IFERROR(INDEX(art_des,MATCH(H830,art_ref,0))&amp;"","Article inconnu"))</f>
        <v/>
      </c>
      <c r="J830" s="60" t="str">
        <f>IF(H830="","",IFERROR(INDEX(art_unit,MATCH(H830,art_ref,0))&amp;"",""))</f>
        <v/>
      </c>
      <c r="K830" s="59" t="n"/>
      <c r="L830" s="59" t="n"/>
      <c r="M830" s="61" t="str">
        <f>IF(OR(B830="",NOT(ISNUMBER(K830)),NOT(ISNUMBER(L830))),"",IF(OR(K830&lt;=0,L830&lt;=0),"",ROUND(L830-K830,6)))</f>
        <v/>
      </c>
      <c r="N830" s="58" t="n"/>
      <c r="O830" s="62" t="n"/>
      <c r="P830" s="63" t="str">
        <f>IF(OR(B830="",NOT(ISNUMBER(L830))),"",IF(L830&lt;=0,"",IFERROR(ROUND(L830*N(INDEX(art_w,MATCH(H830,art_ref,0))),3),"")))</f>
        <v/>
      </c>
      <c r="Q830" s="59" t="n"/>
      <c r="R830" s="54" t="n"/>
      <c r="S830" s="59" t="n"/>
      <c r="T830" s="59" t="n"/>
      <c r="U830" s="64" t="str">
        <f>IF(OR(B830="",H830=""),"",IFERROR(IF(A830="BL",IF(N(INDEX(art_price,MATCH(H830,art_ref,0)))=0,"",N(INDEX(art_price,MATCH(H830,art_ref,0)))),IF(N(INDEX(art_cost,MATCH(H830,art_ref,0)))=0,"",N(INDEX(art_cost,MATCH(H830,art_ref,0))))),""))</f>
        <v/>
      </c>
      <c r="V830" s="64" t="str">
        <f>IF(OR(U830="",NOT(ISNUMBER(L830))),"",IF(L830&lt;=0,"",ROUND(L830*U830,2)))</f>
        <v/>
      </c>
      <c r="W830" s="60" t="str">
        <f>IF(AND(B830&lt;&gt;"",A830&lt;&gt;"BS",F830&lt;&gt;"",H830&lt;&gt;"",ISNUMBER(K830),ISNUMBER(L830)),IF(AND(K830&gt;0,L830&gt;0,K830-L830&gt;0,COUNTIFS(A831:A$2005,A830,F831:F$2005,F830,H831:H$2005,H830,AA831:AA$2005,"&gt;0")=0),ROUND(K830-L830,6),""),"")</f>
        <v/>
      </c>
      <c r="X830" s="60" t="str">
        <f>IF(AND(A830="",C830="",D830="",H830="",L830=""),"",IF(A830="","Type manquant",IF(AND(A830&lt;&gt;"BL",A830&lt;&gt;"BR",A830&lt;&gt;"BS"),"Type inconnu (BL, BR ou BS)",IF(AG830=0,"Date manquante ou invalide",IF(D830="",IF(A830="BL","Client manquant",IF(A830="BR","Fournisseur manquant","Service manquant")),IF(IF(A830="BL",ISNA(MATCH(D830,cl_code,0)),IF(A830="BR",ISNA(MATCH(D830,fo_code,0)),ISNA(MATCH(D830,p_services,0)))),IF(A830="BL","Client inconnu",IF(A830="BR","Fournisseur inconnu","Service inconnu")),IF(H830="","Article manquant",IF(ISNA(MATCH(H830,art_ref,0)),"Article inconnu",IF(OR(NOT(ISNUMBER(L830)),N(L830)&lt;=0),"Quantité invalide",IF(AND(K830&lt;&gt;"",OR(NOT(ISNUMBER(K830)),N(K830)&lt;=0)),"Qté commandée invalide",IF(AG830&lt;SUMPRODUCT(MAX((A$6:A829=A830)*AG$6:AG829)),"Date antérieure au bon précédent",IF(AND(A830&lt;&gt;"BR",ISNUMBER(M830),N(M830)&gt;0),IF(A830="BL","Livré plus que commandé","Sorti plus que demandé"),"OK"))))))))))))</f>
        <v/>
      </c>
      <c r="Y830" s="57" t="str">
        <f>IF(AND(OR(A830="BL",A830="BR",A830="BS"),AG830&gt;0,D830&lt;&gt;""),A830&amp;"|"&amp;AG830&amp;"|"&amp;D830&amp;"|"&amp;F830,"")</f>
        <v/>
      </c>
      <c r="Z830" s="57" t="str">
        <f>IF(Y830="","",IF(COUNTIF(Y$6:Y829,Y830)=0,1,0))</f>
        <v/>
      </c>
      <c r="AA830" s="57" t="str">
        <f>IF(Y830="","",IF(Z830=1,COUNTIFS(A$6:A830,A830,Z$6:Z830,1),INDEX(AA$6:AA829,MATCH(Y830,Y$6:Y829,0))))</f>
        <v/>
      </c>
      <c r="AB830" s="57" t="str">
        <f>IF(B830="","",COUNTIF(B$6:B830,B830))</f>
        <v/>
      </c>
      <c r="AC830" s="57" t="str">
        <f>IF(B830="","",B830&amp;"#"&amp;AB830)</f>
        <v/>
      </c>
      <c r="AD830" s="57" t="str">
        <f>IF(Z830=1,A830&amp;AA830,"")</f>
        <v/>
      </c>
      <c r="AE830" s="57" t="str">
        <f>IF(B830="","",YEAR(C830))</f>
        <v/>
      </c>
      <c r="AF830" s="57" t="str">
        <f>IF(B830="","",MONTH(C830))</f>
        <v/>
      </c>
      <c r="AG830" s="57">
        <f>IF(ISNUMBER(C830),C830,0)</f>
        <v>0.0</v>
      </c>
      <c r="AH830" s="57" t="str">
        <f>IF(N(W830)&gt;0,COUNTIF(W$6:W830,"&gt;0"),"")</f>
        <v/>
      </c>
      <c r="AI830" s="57" t="str">
        <f>IF(Z830=1,COUNTIF(Z$6:Z830,1),"")</f>
        <v/>
      </c>
    </row>
    <row r="831">
      <c r="A831" s="54" t="n"/>
      <c r="B831" s="55" t="str">
        <f>IF(AA831="","",A831&amp;"-"&amp;RIGHT("000"&amp;AA831,4))</f>
        <v/>
      </c>
      <c r="C831" s="56" t="n"/>
      <c r="D831" s="54" t="n"/>
      <c r="E831" s="57" t="str">
        <f>IF(D831="","",IF(A831="BL",IFERROR(INDEX(cl_name,MATCH(D831,cl_code,0))&amp;"","Client inconnu"),IF(A831="BR",IFERROR(INDEX(fo_name,MATCH(D831,fo_code,0))&amp;"","Fournisseur inconnu"),IF(A831="BS",IF(ISNA(MATCH(D831,p_services,0)),"Service inconnu",D831&amp;""),""))))</f>
        <v/>
      </c>
      <c r="F831" s="58" t="n"/>
      <c r="G831" s="58" t="n"/>
      <c r="H831" s="59" t="n"/>
      <c r="I831" s="57" t="str">
        <f>IF(H831="","",IFERROR(INDEX(art_des,MATCH(H831,art_ref,0))&amp;"","Article inconnu"))</f>
        <v/>
      </c>
      <c r="J831" s="60" t="str">
        <f>IF(H831="","",IFERROR(INDEX(art_unit,MATCH(H831,art_ref,0))&amp;"",""))</f>
        <v/>
      </c>
      <c r="K831" s="59" t="n"/>
      <c r="L831" s="59" t="n"/>
      <c r="M831" s="61" t="str">
        <f>IF(OR(B831="",NOT(ISNUMBER(K831)),NOT(ISNUMBER(L831))),"",IF(OR(K831&lt;=0,L831&lt;=0),"",ROUND(L831-K831,6)))</f>
        <v/>
      </c>
      <c r="N831" s="58" t="n"/>
      <c r="O831" s="62" t="n"/>
      <c r="P831" s="63" t="str">
        <f>IF(OR(B831="",NOT(ISNUMBER(L831))),"",IF(L831&lt;=0,"",IFERROR(ROUND(L831*N(INDEX(art_w,MATCH(H831,art_ref,0))),3),"")))</f>
        <v/>
      </c>
      <c r="Q831" s="59" t="n"/>
      <c r="R831" s="54" t="n"/>
      <c r="S831" s="59" t="n"/>
      <c r="T831" s="59" t="n"/>
      <c r="U831" s="64" t="str">
        <f>IF(OR(B831="",H831=""),"",IFERROR(IF(A831="BL",IF(N(INDEX(art_price,MATCH(H831,art_ref,0)))=0,"",N(INDEX(art_price,MATCH(H831,art_ref,0)))),IF(N(INDEX(art_cost,MATCH(H831,art_ref,0)))=0,"",N(INDEX(art_cost,MATCH(H831,art_ref,0))))),""))</f>
        <v/>
      </c>
      <c r="V831" s="64" t="str">
        <f>IF(OR(U831="",NOT(ISNUMBER(L831))),"",IF(L831&lt;=0,"",ROUND(L831*U831,2)))</f>
        <v/>
      </c>
      <c r="W831" s="60" t="str">
        <f>IF(AND(B831&lt;&gt;"",A831&lt;&gt;"BS",F831&lt;&gt;"",H831&lt;&gt;"",ISNUMBER(K831),ISNUMBER(L831)),IF(AND(K831&gt;0,L831&gt;0,K831-L831&gt;0,COUNTIFS(A832:A$2005,A831,F832:F$2005,F831,H832:H$2005,H831,AA832:AA$2005,"&gt;0")=0),ROUND(K831-L831,6),""),"")</f>
        <v/>
      </c>
      <c r="X831" s="60" t="str">
        <f>IF(AND(A831="",C831="",D831="",H831="",L831=""),"",IF(A831="","Type manquant",IF(AND(A831&lt;&gt;"BL",A831&lt;&gt;"BR",A831&lt;&gt;"BS"),"Type inconnu (BL, BR ou BS)",IF(AG831=0,"Date manquante ou invalide",IF(D831="",IF(A831="BL","Client manquant",IF(A831="BR","Fournisseur manquant","Service manquant")),IF(IF(A831="BL",ISNA(MATCH(D831,cl_code,0)),IF(A831="BR",ISNA(MATCH(D831,fo_code,0)),ISNA(MATCH(D831,p_services,0)))),IF(A831="BL","Client inconnu",IF(A831="BR","Fournisseur inconnu","Service inconnu")),IF(H831="","Article manquant",IF(ISNA(MATCH(H831,art_ref,0)),"Article inconnu",IF(OR(NOT(ISNUMBER(L831)),N(L831)&lt;=0),"Quantité invalide",IF(AND(K831&lt;&gt;"",OR(NOT(ISNUMBER(K831)),N(K831)&lt;=0)),"Qté commandée invalide",IF(AG831&lt;SUMPRODUCT(MAX((A$6:A830=A831)*AG$6:AG830)),"Date antérieure au bon précédent",IF(AND(A831&lt;&gt;"BR",ISNUMBER(M831),N(M831)&gt;0),IF(A831="BL","Livré plus que commandé","Sorti plus que demandé"),"OK"))))))))))))</f>
        <v/>
      </c>
      <c r="Y831" s="57" t="str">
        <f>IF(AND(OR(A831="BL",A831="BR",A831="BS"),AG831&gt;0,D831&lt;&gt;""),A831&amp;"|"&amp;AG831&amp;"|"&amp;D831&amp;"|"&amp;F831,"")</f>
        <v/>
      </c>
      <c r="Z831" s="57" t="str">
        <f>IF(Y831="","",IF(COUNTIF(Y$6:Y830,Y831)=0,1,0))</f>
        <v/>
      </c>
      <c r="AA831" s="57" t="str">
        <f>IF(Y831="","",IF(Z831=1,COUNTIFS(A$6:A831,A831,Z$6:Z831,1),INDEX(AA$6:AA830,MATCH(Y831,Y$6:Y830,0))))</f>
        <v/>
      </c>
      <c r="AB831" s="57" t="str">
        <f>IF(B831="","",COUNTIF(B$6:B831,B831))</f>
        <v/>
      </c>
      <c r="AC831" s="57" t="str">
        <f>IF(B831="","",B831&amp;"#"&amp;AB831)</f>
        <v/>
      </c>
      <c r="AD831" s="57" t="str">
        <f>IF(Z831=1,A831&amp;AA831,"")</f>
        <v/>
      </c>
      <c r="AE831" s="57" t="str">
        <f>IF(B831="","",YEAR(C831))</f>
        <v/>
      </c>
      <c r="AF831" s="57" t="str">
        <f>IF(B831="","",MONTH(C831))</f>
        <v/>
      </c>
      <c r="AG831" s="57">
        <f>IF(ISNUMBER(C831),C831,0)</f>
        <v>0.0</v>
      </c>
      <c r="AH831" s="57" t="str">
        <f>IF(N(W831)&gt;0,COUNTIF(W$6:W831,"&gt;0"),"")</f>
        <v/>
      </c>
      <c r="AI831" s="57" t="str">
        <f>IF(Z831=1,COUNTIF(Z$6:Z831,1),"")</f>
        <v/>
      </c>
    </row>
    <row r="832">
      <c r="A832" s="54" t="n"/>
      <c r="B832" s="55" t="str">
        <f>IF(AA832="","",A832&amp;"-"&amp;RIGHT("000"&amp;AA832,4))</f>
        <v/>
      </c>
      <c r="C832" s="56" t="n"/>
      <c r="D832" s="54" t="n"/>
      <c r="E832" s="57" t="str">
        <f>IF(D832="","",IF(A832="BL",IFERROR(INDEX(cl_name,MATCH(D832,cl_code,0))&amp;"","Client inconnu"),IF(A832="BR",IFERROR(INDEX(fo_name,MATCH(D832,fo_code,0))&amp;"","Fournisseur inconnu"),IF(A832="BS",IF(ISNA(MATCH(D832,p_services,0)),"Service inconnu",D832&amp;""),""))))</f>
        <v/>
      </c>
      <c r="F832" s="58" t="n"/>
      <c r="G832" s="58" t="n"/>
      <c r="H832" s="59" t="n"/>
      <c r="I832" s="57" t="str">
        <f>IF(H832="","",IFERROR(INDEX(art_des,MATCH(H832,art_ref,0))&amp;"","Article inconnu"))</f>
        <v/>
      </c>
      <c r="J832" s="60" t="str">
        <f>IF(H832="","",IFERROR(INDEX(art_unit,MATCH(H832,art_ref,0))&amp;"",""))</f>
        <v/>
      </c>
      <c r="K832" s="59" t="n"/>
      <c r="L832" s="59" t="n"/>
      <c r="M832" s="61" t="str">
        <f>IF(OR(B832="",NOT(ISNUMBER(K832)),NOT(ISNUMBER(L832))),"",IF(OR(K832&lt;=0,L832&lt;=0),"",ROUND(L832-K832,6)))</f>
        <v/>
      </c>
      <c r="N832" s="58" t="n"/>
      <c r="O832" s="62" t="n"/>
      <c r="P832" s="63" t="str">
        <f>IF(OR(B832="",NOT(ISNUMBER(L832))),"",IF(L832&lt;=0,"",IFERROR(ROUND(L832*N(INDEX(art_w,MATCH(H832,art_ref,0))),3),"")))</f>
        <v/>
      </c>
      <c r="Q832" s="59" t="n"/>
      <c r="R832" s="54" t="n"/>
      <c r="S832" s="59" t="n"/>
      <c r="T832" s="59" t="n"/>
      <c r="U832" s="64" t="str">
        <f>IF(OR(B832="",H832=""),"",IFERROR(IF(A832="BL",IF(N(INDEX(art_price,MATCH(H832,art_ref,0)))=0,"",N(INDEX(art_price,MATCH(H832,art_ref,0)))),IF(N(INDEX(art_cost,MATCH(H832,art_ref,0)))=0,"",N(INDEX(art_cost,MATCH(H832,art_ref,0))))),""))</f>
        <v/>
      </c>
      <c r="V832" s="64" t="str">
        <f>IF(OR(U832="",NOT(ISNUMBER(L832))),"",IF(L832&lt;=0,"",ROUND(L832*U832,2)))</f>
        <v/>
      </c>
      <c r="W832" s="60" t="str">
        <f>IF(AND(B832&lt;&gt;"",A832&lt;&gt;"BS",F832&lt;&gt;"",H832&lt;&gt;"",ISNUMBER(K832),ISNUMBER(L832)),IF(AND(K832&gt;0,L832&gt;0,K832-L832&gt;0,COUNTIFS(A833:A$2005,A832,F833:F$2005,F832,H833:H$2005,H832,AA833:AA$2005,"&gt;0")=0),ROUND(K832-L832,6),""),"")</f>
        <v/>
      </c>
      <c r="X832" s="60" t="str">
        <f>IF(AND(A832="",C832="",D832="",H832="",L832=""),"",IF(A832="","Type manquant",IF(AND(A832&lt;&gt;"BL",A832&lt;&gt;"BR",A832&lt;&gt;"BS"),"Type inconnu (BL, BR ou BS)",IF(AG832=0,"Date manquante ou invalide",IF(D832="",IF(A832="BL","Client manquant",IF(A832="BR","Fournisseur manquant","Service manquant")),IF(IF(A832="BL",ISNA(MATCH(D832,cl_code,0)),IF(A832="BR",ISNA(MATCH(D832,fo_code,0)),ISNA(MATCH(D832,p_services,0)))),IF(A832="BL","Client inconnu",IF(A832="BR","Fournisseur inconnu","Service inconnu")),IF(H832="","Article manquant",IF(ISNA(MATCH(H832,art_ref,0)),"Article inconnu",IF(OR(NOT(ISNUMBER(L832)),N(L832)&lt;=0),"Quantité invalide",IF(AND(K832&lt;&gt;"",OR(NOT(ISNUMBER(K832)),N(K832)&lt;=0)),"Qté commandée invalide",IF(AG832&lt;SUMPRODUCT(MAX((A$6:A831=A832)*AG$6:AG831)),"Date antérieure au bon précédent",IF(AND(A832&lt;&gt;"BR",ISNUMBER(M832),N(M832)&gt;0),IF(A832="BL","Livré plus que commandé","Sorti plus que demandé"),"OK"))))))))))))</f>
        <v/>
      </c>
      <c r="Y832" s="57" t="str">
        <f>IF(AND(OR(A832="BL",A832="BR",A832="BS"),AG832&gt;0,D832&lt;&gt;""),A832&amp;"|"&amp;AG832&amp;"|"&amp;D832&amp;"|"&amp;F832,"")</f>
        <v/>
      </c>
      <c r="Z832" s="57" t="str">
        <f>IF(Y832="","",IF(COUNTIF(Y$6:Y831,Y832)=0,1,0))</f>
        <v/>
      </c>
      <c r="AA832" s="57" t="str">
        <f>IF(Y832="","",IF(Z832=1,COUNTIFS(A$6:A832,A832,Z$6:Z832,1),INDEX(AA$6:AA831,MATCH(Y832,Y$6:Y831,0))))</f>
        <v/>
      </c>
      <c r="AB832" s="57" t="str">
        <f>IF(B832="","",COUNTIF(B$6:B832,B832))</f>
        <v/>
      </c>
      <c r="AC832" s="57" t="str">
        <f>IF(B832="","",B832&amp;"#"&amp;AB832)</f>
        <v/>
      </c>
      <c r="AD832" s="57" t="str">
        <f>IF(Z832=1,A832&amp;AA832,"")</f>
        <v/>
      </c>
      <c r="AE832" s="57" t="str">
        <f>IF(B832="","",YEAR(C832))</f>
        <v/>
      </c>
      <c r="AF832" s="57" t="str">
        <f>IF(B832="","",MONTH(C832))</f>
        <v/>
      </c>
      <c r="AG832" s="57">
        <f>IF(ISNUMBER(C832),C832,0)</f>
        <v>0.0</v>
      </c>
      <c r="AH832" s="57" t="str">
        <f>IF(N(W832)&gt;0,COUNTIF(W$6:W832,"&gt;0"),"")</f>
        <v/>
      </c>
      <c r="AI832" s="57" t="str">
        <f>IF(Z832=1,COUNTIF(Z$6:Z832,1),"")</f>
        <v/>
      </c>
    </row>
    <row r="833">
      <c r="A833" s="54" t="n"/>
      <c r="B833" s="55" t="str">
        <f>IF(AA833="","",A833&amp;"-"&amp;RIGHT("000"&amp;AA833,4))</f>
        <v/>
      </c>
      <c r="C833" s="56" t="n"/>
      <c r="D833" s="54" t="n"/>
      <c r="E833" s="57" t="str">
        <f>IF(D833="","",IF(A833="BL",IFERROR(INDEX(cl_name,MATCH(D833,cl_code,0))&amp;"","Client inconnu"),IF(A833="BR",IFERROR(INDEX(fo_name,MATCH(D833,fo_code,0))&amp;"","Fournisseur inconnu"),IF(A833="BS",IF(ISNA(MATCH(D833,p_services,0)),"Service inconnu",D833&amp;""),""))))</f>
        <v/>
      </c>
      <c r="F833" s="58" t="n"/>
      <c r="G833" s="58" t="n"/>
      <c r="H833" s="59" t="n"/>
      <c r="I833" s="57" t="str">
        <f>IF(H833="","",IFERROR(INDEX(art_des,MATCH(H833,art_ref,0))&amp;"","Article inconnu"))</f>
        <v/>
      </c>
      <c r="J833" s="60" t="str">
        <f>IF(H833="","",IFERROR(INDEX(art_unit,MATCH(H833,art_ref,0))&amp;"",""))</f>
        <v/>
      </c>
      <c r="K833" s="59" t="n"/>
      <c r="L833" s="59" t="n"/>
      <c r="M833" s="61" t="str">
        <f>IF(OR(B833="",NOT(ISNUMBER(K833)),NOT(ISNUMBER(L833))),"",IF(OR(K833&lt;=0,L833&lt;=0),"",ROUND(L833-K833,6)))</f>
        <v/>
      </c>
      <c r="N833" s="58" t="n"/>
      <c r="O833" s="62" t="n"/>
      <c r="P833" s="63" t="str">
        <f>IF(OR(B833="",NOT(ISNUMBER(L833))),"",IF(L833&lt;=0,"",IFERROR(ROUND(L833*N(INDEX(art_w,MATCH(H833,art_ref,0))),3),"")))</f>
        <v/>
      </c>
      <c r="Q833" s="59" t="n"/>
      <c r="R833" s="54" t="n"/>
      <c r="S833" s="59" t="n"/>
      <c r="T833" s="59" t="n"/>
      <c r="U833" s="64" t="str">
        <f>IF(OR(B833="",H833=""),"",IFERROR(IF(A833="BL",IF(N(INDEX(art_price,MATCH(H833,art_ref,0)))=0,"",N(INDEX(art_price,MATCH(H833,art_ref,0)))),IF(N(INDEX(art_cost,MATCH(H833,art_ref,0)))=0,"",N(INDEX(art_cost,MATCH(H833,art_ref,0))))),""))</f>
        <v/>
      </c>
      <c r="V833" s="64" t="str">
        <f>IF(OR(U833="",NOT(ISNUMBER(L833))),"",IF(L833&lt;=0,"",ROUND(L833*U833,2)))</f>
        <v/>
      </c>
      <c r="W833" s="60" t="str">
        <f>IF(AND(B833&lt;&gt;"",A833&lt;&gt;"BS",F833&lt;&gt;"",H833&lt;&gt;"",ISNUMBER(K833),ISNUMBER(L833)),IF(AND(K833&gt;0,L833&gt;0,K833-L833&gt;0,COUNTIFS(A834:A$2005,A833,F834:F$2005,F833,H834:H$2005,H833,AA834:AA$2005,"&gt;0")=0),ROUND(K833-L833,6),""),"")</f>
        <v/>
      </c>
      <c r="X833" s="60" t="str">
        <f>IF(AND(A833="",C833="",D833="",H833="",L833=""),"",IF(A833="","Type manquant",IF(AND(A833&lt;&gt;"BL",A833&lt;&gt;"BR",A833&lt;&gt;"BS"),"Type inconnu (BL, BR ou BS)",IF(AG833=0,"Date manquante ou invalide",IF(D833="",IF(A833="BL","Client manquant",IF(A833="BR","Fournisseur manquant","Service manquant")),IF(IF(A833="BL",ISNA(MATCH(D833,cl_code,0)),IF(A833="BR",ISNA(MATCH(D833,fo_code,0)),ISNA(MATCH(D833,p_services,0)))),IF(A833="BL","Client inconnu",IF(A833="BR","Fournisseur inconnu","Service inconnu")),IF(H833="","Article manquant",IF(ISNA(MATCH(H833,art_ref,0)),"Article inconnu",IF(OR(NOT(ISNUMBER(L833)),N(L833)&lt;=0),"Quantité invalide",IF(AND(K833&lt;&gt;"",OR(NOT(ISNUMBER(K833)),N(K833)&lt;=0)),"Qté commandée invalide",IF(AG833&lt;SUMPRODUCT(MAX((A$6:A832=A833)*AG$6:AG832)),"Date antérieure au bon précédent",IF(AND(A833&lt;&gt;"BR",ISNUMBER(M833),N(M833)&gt;0),IF(A833="BL","Livré plus que commandé","Sorti plus que demandé"),"OK"))))))))))))</f>
        <v/>
      </c>
      <c r="Y833" s="57" t="str">
        <f>IF(AND(OR(A833="BL",A833="BR",A833="BS"),AG833&gt;0,D833&lt;&gt;""),A833&amp;"|"&amp;AG833&amp;"|"&amp;D833&amp;"|"&amp;F833,"")</f>
        <v/>
      </c>
      <c r="Z833" s="57" t="str">
        <f>IF(Y833="","",IF(COUNTIF(Y$6:Y832,Y833)=0,1,0))</f>
        <v/>
      </c>
      <c r="AA833" s="57" t="str">
        <f>IF(Y833="","",IF(Z833=1,COUNTIFS(A$6:A833,A833,Z$6:Z833,1),INDEX(AA$6:AA832,MATCH(Y833,Y$6:Y832,0))))</f>
        <v/>
      </c>
      <c r="AB833" s="57" t="str">
        <f>IF(B833="","",COUNTIF(B$6:B833,B833))</f>
        <v/>
      </c>
      <c r="AC833" s="57" t="str">
        <f>IF(B833="","",B833&amp;"#"&amp;AB833)</f>
        <v/>
      </c>
      <c r="AD833" s="57" t="str">
        <f>IF(Z833=1,A833&amp;AA833,"")</f>
        <v/>
      </c>
      <c r="AE833" s="57" t="str">
        <f>IF(B833="","",YEAR(C833))</f>
        <v/>
      </c>
      <c r="AF833" s="57" t="str">
        <f>IF(B833="","",MONTH(C833))</f>
        <v/>
      </c>
      <c r="AG833" s="57">
        <f>IF(ISNUMBER(C833),C833,0)</f>
        <v>0.0</v>
      </c>
      <c r="AH833" s="57" t="str">
        <f>IF(N(W833)&gt;0,COUNTIF(W$6:W833,"&gt;0"),"")</f>
        <v/>
      </c>
      <c r="AI833" s="57" t="str">
        <f>IF(Z833=1,COUNTIF(Z$6:Z833,1),"")</f>
        <v/>
      </c>
    </row>
    <row r="834">
      <c r="A834" s="54" t="n"/>
      <c r="B834" s="55" t="str">
        <f>IF(AA834="","",A834&amp;"-"&amp;RIGHT("000"&amp;AA834,4))</f>
        <v/>
      </c>
      <c r="C834" s="56" t="n"/>
      <c r="D834" s="54" t="n"/>
      <c r="E834" s="57" t="str">
        <f>IF(D834="","",IF(A834="BL",IFERROR(INDEX(cl_name,MATCH(D834,cl_code,0))&amp;"","Client inconnu"),IF(A834="BR",IFERROR(INDEX(fo_name,MATCH(D834,fo_code,0))&amp;"","Fournisseur inconnu"),IF(A834="BS",IF(ISNA(MATCH(D834,p_services,0)),"Service inconnu",D834&amp;""),""))))</f>
        <v/>
      </c>
      <c r="F834" s="58" t="n"/>
      <c r="G834" s="58" t="n"/>
      <c r="H834" s="59" t="n"/>
      <c r="I834" s="57" t="str">
        <f>IF(H834="","",IFERROR(INDEX(art_des,MATCH(H834,art_ref,0))&amp;"","Article inconnu"))</f>
        <v/>
      </c>
      <c r="J834" s="60" t="str">
        <f>IF(H834="","",IFERROR(INDEX(art_unit,MATCH(H834,art_ref,0))&amp;"",""))</f>
        <v/>
      </c>
      <c r="K834" s="59" t="n"/>
      <c r="L834" s="59" t="n"/>
      <c r="M834" s="61" t="str">
        <f>IF(OR(B834="",NOT(ISNUMBER(K834)),NOT(ISNUMBER(L834))),"",IF(OR(K834&lt;=0,L834&lt;=0),"",ROUND(L834-K834,6)))</f>
        <v/>
      </c>
      <c r="N834" s="58" t="n"/>
      <c r="O834" s="62" t="n"/>
      <c r="P834" s="63" t="str">
        <f>IF(OR(B834="",NOT(ISNUMBER(L834))),"",IF(L834&lt;=0,"",IFERROR(ROUND(L834*N(INDEX(art_w,MATCH(H834,art_ref,0))),3),"")))</f>
        <v/>
      </c>
      <c r="Q834" s="59" t="n"/>
      <c r="R834" s="54" t="n"/>
      <c r="S834" s="59" t="n"/>
      <c r="T834" s="59" t="n"/>
      <c r="U834" s="64" t="str">
        <f>IF(OR(B834="",H834=""),"",IFERROR(IF(A834="BL",IF(N(INDEX(art_price,MATCH(H834,art_ref,0)))=0,"",N(INDEX(art_price,MATCH(H834,art_ref,0)))),IF(N(INDEX(art_cost,MATCH(H834,art_ref,0)))=0,"",N(INDEX(art_cost,MATCH(H834,art_ref,0))))),""))</f>
        <v/>
      </c>
      <c r="V834" s="64" t="str">
        <f>IF(OR(U834="",NOT(ISNUMBER(L834))),"",IF(L834&lt;=0,"",ROUND(L834*U834,2)))</f>
        <v/>
      </c>
      <c r="W834" s="60" t="str">
        <f>IF(AND(B834&lt;&gt;"",A834&lt;&gt;"BS",F834&lt;&gt;"",H834&lt;&gt;"",ISNUMBER(K834),ISNUMBER(L834)),IF(AND(K834&gt;0,L834&gt;0,K834-L834&gt;0,COUNTIFS(A835:A$2005,A834,F835:F$2005,F834,H835:H$2005,H834,AA835:AA$2005,"&gt;0")=0),ROUND(K834-L834,6),""),"")</f>
        <v/>
      </c>
      <c r="X834" s="60" t="str">
        <f>IF(AND(A834="",C834="",D834="",H834="",L834=""),"",IF(A834="","Type manquant",IF(AND(A834&lt;&gt;"BL",A834&lt;&gt;"BR",A834&lt;&gt;"BS"),"Type inconnu (BL, BR ou BS)",IF(AG834=0,"Date manquante ou invalide",IF(D834="",IF(A834="BL","Client manquant",IF(A834="BR","Fournisseur manquant","Service manquant")),IF(IF(A834="BL",ISNA(MATCH(D834,cl_code,0)),IF(A834="BR",ISNA(MATCH(D834,fo_code,0)),ISNA(MATCH(D834,p_services,0)))),IF(A834="BL","Client inconnu",IF(A834="BR","Fournisseur inconnu","Service inconnu")),IF(H834="","Article manquant",IF(ISNA(MATCH(H834,art_ref,0)),"Article inconnu",IF(OR(NOT(ISNUMBER(L834)),N(L834)&lt;=0),"Quantité invalide",IF(AND(K834&lt;&gt;"",OR(NOT(ISNUMBER(K834)),N(K834)&lt;=0)),"Qté commandée invalide",IF(AG834&lt;SUMPRODUCT(MAX((A$6:A833=A834)*AG$6:AG833)),"Date antérieure au bon précédent",IF(AND(A834&lt;&gt;"BR",ISNUMBER(M834),N(M834)&gt;0),IF(A834="BL","Livré plus que commandé","Sorti plus que demandé"),"OK"))))))))))))</f>
        <v/>
      </c>
      <c r="Y834" s="57" t="str">
        <f>IF(AND(OR(A834="BL",A834="BR",A834="BS"),AG834&gt;0,D834&lt;&gt;""),A834&amp;"|"&amp;AG834&amp;"|"&amp;D834&amp;"|"&amp;F834,"")</f>
        <v/>
      </c>
      <c r="Z834" s="57" t="str">
        <f>IF(Y834="","",IF(COUNTIF(Y$6:Y833,Y834)=0,1,0))</f>
        <v/>
      </c>
      <c r="AA834" s="57" t="str">
        <f>IF(Y834="","",IF(Z834=1,COUNTIFS(A$6:A834,A834,Z$6:Z834,1),INDEX(AA$6:AA833,MATCH(Y834,Y$6:Y833,0))))</f>
        <v/>
      </c>
      <c r="AB834" s="57" t="str">
        <f>IF(B834="","",COUNTIF(B$6:B834,B834))</f>
        <v/>
      </c>
      <c r="AC834" s="57" t="str">
        <f>IF(B834="","",B834&amp;"#"&amp;AB834)</f>
        <v/>
      </c>
      <c r="AD834" s="57" t="str">
        <f>IF(Z834=1,A834&amp;AA834,"")</f>
        <v/>
      </c>
      <c r="AE834" s="57" t="str">
        <f>IF(B834="","",YEAR(C834))</f>
        <v/>
      </c>
      <c r="AF834" s="57" t="str">
        <f>IF(B834="","",MONTH(C834))</f>
        <v/>
      </c>
      <c r="AG834" s="57">
        <f>IF(ISNUMBER(C834),C834,0)</f>
        <v>0.0</v>
      </c>
      <c r="AH834" s="57" t="str">
        <f>IF(N(W834)&gt;0,COUNTIF(W$6:W834,"&gt;0"),"")</f>
        <v/>
      </c>
      <c r="AI834" s="57" t="str">
        <f>IF(Z834=1,COUNTIF(Z$6:Z834,1),"")</f>
        <v/>
      </c>
    </row>
    <row r="835">
      <c r="A835" s="54" t="n"/>
      <c r="B835" s="55" t="str">
        <f>IF(AA835="","",A835&amp;"-"&amp;RIGHT("000"&amp;AA835,4))</f>
        <v/>
      </c>
      <c r="C835" s="56" t="n"/>
      <c r="D835" s="54" t="n"/>
      <c r="E835" s="57" t="str">
        <f>IF(D835="","",IF(A835="BL",IFERROR(INDEX(cl_name,MATCH(D835,cl_code,0))&amp;"","Client inconnu"),IF(A835="BR",IFERROR(INDEX(fo_name,MATCH(D835,fo_code,0))&amp;"","Fournisseur inconnu"),IF(A835="BS",IF(ISNA(MATCH(D835,p_services,0)),"Service inconnu",D835&amp;""),""))))</f>
        <v/>
      </c>
      <c r="F835" s="58" t="n"/>
      <c r="G835" s="58" t="n"/>
      <c r="H835" s="59" t="n"/>
      <c r="I835" s="57" t="str">
        <f>IF(H835="","",IFERROR(INDEX(art_des,MATCH(H835,art_ref,0))&amp;"","Article inconnu"))</f>
        <v/>
      </c>
      <c r="J835" s="60" t="str">
        <f>IF(H835="","",IFERROR(INDEX(art_unit,MATCH(H835,art_ref,0))&amp;"",""))</f>
        <v/>
      </c>
      <c r="K835" s="59" t="n"/>
      <c r="L835" s="59" t="n"/>
      <c r="M835" s="61" t="str">
        <f>IF(OR(B835="",NOT(ISNUMBER(K835)),NOT(ISNUMBER(L835))),"",IF(OR(K835&lt;=0,L835&lt;=0),"",ROUND(L835-K835,6)))</f>
        <v/>
      </c>
      <c r="N835" s="58" t="n"/>
      <c r="O835" s="62" t="n"/>
      <c r="P835" s="63" t="str">
        <f>IF(OR(B835="",NOT(ISNUMBER(L835))),"",IF(L835&lt;=0,"",IFERROR(ROUND(L835*N(INDEX(art_w,MATCH(H835,art_ref,0))),3),"")))</f>
        <v/>
      </c>
      <c r="Q835" s="59" t="n"/>
      <c r="R835" s="54" t="n"/>
      <c r="S835" s="59" t="n"/>
      <c r="T835" s="59" t="n"/>
      <c r="U835" s="64" t="str">
        <f>IF(OR(B835="",H835=""),"",IFERROR(IF(A835="BL",IF(N(INDEX(art_price,MATCH(H835,art_ref,0)))=0,"",N(INDEX(art_price,MATCH(H835,art_ref,0)))),IF(N(INDEX(art_cost,MATCH(H835,art_ref,0)))=0,"",N(INDEX(art_cost,MATCH(H835,art_ref,0))))),""))</f>
        <v/>
      </c>
      <c r="V835" s="64" t="str">
        <f>IF(OR(U835="",NOT(ISNUMBER(L835))),"",IF(L835&lt;=0,"",ROUND(L835*U835,2)))</f>
        <v/>
      </c>
      <c r="W835" s="60" t="str">
        <f>IF(AND(B835&lt;&gt;"",A835&lt;&gt;"BS",F835&lt;&gt;"",H835&lt;&gt;"",ISNUMBER(K835),ISNUMBER(L835)),IF(AND(K835&gt;0,L835&gt;0,K835-L835&gt;0,COUNTIFS(A836:A$2005,A835,F836:F$2005,F835,H836:H$2005,H835,AA836:AA$2005,"&gt;0")=0),ROUND(K835-L835,6),""),"")</f>
        <v/>
      </c>
      <c r="X835" s="60" t="str">
        <f>IF(AND(A835="",C835="",D835="",H835="",L835=""),"",IF(A835="","Type manquant",IF(AND(A835&lt;&gt;"BL",A835&lt;&gt;"BR",A835&lt;&gt;"BS"),"Type inconnu (BL, BR ou BS)",IF(AG835=0,"Date manquante ou invalide",IF(D835="",IF(A835="BL","Client manquant",IF(A835="BR","Fournisseur manquant","Service manquant")),IF(IF(A835="BL",ISNA(MATCH(D835,cl_code,0)),IF(A835="BR",ISNA(MATCH(D835,fo_code,0)),ISNA(MATCH(D835,p_services,0)))),IF(A835="BL","Client inconnu",IF(A835="BR","Fournisseur inconnu","Service inconnu")),IF(H835="","Article manquant",IF(ISNA(MATCH(H835,art_ref,0)),"Article inconnu",IF(OR(NOT(ISNUMBER(L835)),N(L835)&lt;=0),"Quantité invalide",IF(AND(K835&lt;&gt;"",OR(NOT(ISNUMBER(K835)),N(K835)&lt;=0)),"Qté commandée invalide",IF(AG835&lt;SUMPRODUCT(MAX((A$6:A834=A835)*AG$6:AG834)),"Date antérieure au bon précédent",IF(AND(A835&lt;&gt;"BR",ISNUMBER(M835),N(M835)&gt;0),IF(A835="BL","Livré plus que commandé","Sorti plus que demandé"),"OK"))))))))))))</f>
        <v/>
      </c>
      <c r="Y835" s="57" t="str">
        <f>IF(AND(OR(A835="BL",A835="BR",A835="BS"),AG835&gt;0,D835&lt;&gt;""),A835&amp;"|"&amp;AG835&amp;"|"&amp;D835&amp;"|"&amp;F835,"")</f>
        <v/>
      </c>
      <c r="Z835" s="57" t="str">
        <f>IF(Y835="","",IF(COUNTIF(Y$6:Y834,Y835)=0,1,0))</f>
        <v/>
      </c>
      <c r="AA835" s="57" t="str">
        <f>IF(Y835="","",IF(Z835=1,COUNTIFS(A$6:A835,A835,Z$6:Z835,1),INDEX(AA$6:AA834,MATCH(Y835,Y$6:Y834,0))))</f>
        <v/>
      </c>
      <c r="AB835" s="57" t="str">
        <f>IF(B835="","",COUNTIF(B$6:B835,B835))</f>
        <v/>
      </c>
      <c r="AC835" s="57" t="str">
        <f>IF(B835="","",B835&amp;"#"&amp;AB835)</f>
        <v/>
      </c>
      <c r="AD835" s="57" t="str">
        <f>IF(Z835=1,A835&amp;AA835,"")</f>
        <v/>
      </c>
      <c r="AE835" s="57" t="str">
        <f>IF(B835="","",YEAR(C835))</f>
        <v/>
      </c>
      <c r="AF835" s="57" t="str">
        <f>IF(B835="","",MONTH(C835))</f>
        <v/>
      </c>
      <c r="AG835" s="57">
        <f>IF(ISNUMBER(C835),C835,0)</f>
        <v>0.0</v>
      </c>
      <c r="AH835" s="57" t="str">
        <f>IF(N(W835)&gt;0,COUNTIF(W$6:W835,"&gt;0"),"")</f>
        <v/>
      </c>
      <c r="AI835" s="57" t="str">
        <f>IF(Z835=1,COUNTIF(Z$6:Z835,1),"")</f>
        <v/>
      </c>
    </row>
    <row r="836">
      <c r="A836" s="54" t="n"/>
      <c r="B836" s="55" t="str">
        <f>IF(AA836="","",A836&amp;"-"&amp;RIGHT("000"&amp;AA836,4))</f>
        <v/>
      </c>
      <c r="C836" s="56" t="n"/>
      <c r="D836" s="54" t="n"/>
      <c r="E836" s="57" t="str">
        <f>IF(D836="","",IF(A836="BL",IFERROR(INDEX(cl_name,MATCH(D836,cl_code,0))&amp;"","Client inconnu"),IF(A836="BR",IFERROR(INDEX(fo_name,MATCH(D836,fo_code,0))&amp;"","Fournisseur inconnu"),IF(A836="BS",IF(ISNA(MATCH(D836,p_services,0)),"Service inconnu",D836&amp;""),""))))</f>
        <v/>
      </c>
      <c r="F836" s="58" t="n"/>
      <c r="G836" s="58" t="n"/>
      <c r="H836" s="59" t="n"/>
      <c r="I836" s="57" t="str">
        <f>IF(H836="","",IFERROR(INDEX(art_des,MATCH(H836,art_ref,0))&amp;"","Article inconnu"))</f>
        <v/>
      </c>
      <c r="J836" s="60" t="str">
        <f>IF(H836="","",IFERROR(INDEX(art_unit,MATCH(H836,art_ref,0))&amp;"",""))</f>
        <v/>
      </c>
      <c r="K836" s="59" t="n"/>
      <c r="L836" s="59" t="n"/>
      <c r="M836" s="61" t="str">
        <f>IF(OR(B836="",NOT(ISNUMBER(K836)),NOT(ISNUMBER(L836))),"",IF(OR(K836&lt;=0,L836&lt;=0),"",ROUND(L836-K836,6)))</f>
        <v/>
      </c>
      <c r="N836" s="58" t="n"/>
      <c r="O836" s="62" t="n"/>
      <c r="P836" s="63" t="str">
        <f>IF(OR(B836="",NOT(ISNUMBER(L836))),"",IF(L836&lt;=0,"",IFERROR(ROUND(L836*N(INDEX(art_w,MATCH(H836,art_ref,0))),3),"")))</f>
        <v/>
      </c>
      <c r="Q836" s="59" t="n"/>
      <c r="R836" s="54" t="n"/>
      <c r="S836" s="59" t="n"/>
      <c r="T836" s="59" t="n"/>
      <c r="U836" s="64" t="str">
        <f>IF(OR(B836="",H836=""),"",IFERROR(IF(A836="BL",IF(N(INDEX(art_price,MATCH(H836,art_ref,0)))=0,"",N(INDEX(art_price,MATCH(H836,art_ref,0)))),IF(N(INDEX(art_cost,MATCH(H836,art_ref,0)))=0,"",N(INDEX(art_cost,MATCH(H836,art_ref,0))))),""))</f>
        <v/>
      </c>
      <c r="V836" s="64" t="str">
        <f>IF(OR(U836="",NOT(ISNUMBER(L836))),"",IF(L836&lt;=0,"",ROUND(L836*U836,2)))</f>
        <v/>
      </c>
      <c r="W836" s="60" t="str">
        <f>IF(AND(B836&lt;&gt;"",A836&lt;&gt;"BS",F836&lt;&gt;"",H836&lt;&gt;"",ISNUMBER(K836),ISNUMBER(L836)),IF(AND(K836&gt;0,L836&gt;0,K836-L836&gt;0,COUNTIFS(A837:A$2005,A836,F837:F$2005,F836,H837:H$2005,H836,AA837:AA$2005,"&gt;0")=0),ROUND(K836-L836,6),""),"")</f>
        <v/>
      </c>
      <c r="X836" s="60" t="str">
        <f>IF(AND(A836="",C836="",D836="",H836="",L836=""),"",IF(A836="","Type manquant",IF(AND(A836&lt;&gt;"BL",A836&lt;&gt;"BR",A836&lt;&gt;"BS"),"Type inconnu (BL, BR ou BS)",IF(AG836=0,"Date manquante ou invalide",IF(D836="",IF(A836="BL","Client manquant",IF(A836="BR","Fournisseur manquant","Service manquant")),IF(IF(A836="BL",ISNA(MATCH(D836,cl_code,0)),IF(A836="BR",ISNA(MATCH(D836,fo_code,0)),ISNA(MATCH(D836,p_services,0)))),IF(A836="BL","Client inconnu",IF(A836="BR","Fournisseur inconnu","Service inconnu")),IF(H836="","Article manquant",IF(ISNA(MATCH(H836,art_ref,0)),"Article inconnu",IF(OR(NOT(ISNUMBER(L836)),N(L836)&lt;=0),"Quantité invalide",IF(AND(K836&lt;&gt;"",OR(NOT(ISNUMBER(K836)),N(K836)&lt;=0)),"Qté commandée invalide",IF(AG836&lt;SUMPRODUCT(MAX((A$6:A835=A836)*AG$6:AG835)),"Date antérieure au bon précédent",IF(AND(A836&lt;&gt;"BR",ISNUMBER(M836),N(M836)&gt;0),IF(A836="BL","Livré plus que commandé","Sorti plus que demandé"),"OK"))))))))))))</f>
        <v/>
      </c>
      <c r="Y836" s="57" t="str">
        <f>IF(AND(OR(A836="BL",A836="BR",A836="BS"),AG836&gt;0,D836&lt;&gt;""),A836&amp;"|"&amp;AG836&amp;"|"&amp;D836&amp;"|"&amp;F836,"")</f>
        <v/>
      </c>
      <c r="Z836" s="57" t="str">
        <f>IF(Y836="","",IF(COUNTIF(Y$6:Y835,Y836)=0,1,0))</f>
        <v/>
      </c>
      <c r="AA836" s="57" t="str">
        <f>IF(Y836="","",IF(Z836=1,COUNTIFS(A$6:A836,A836,Z$6:Z836,1),INDEX(AA$6:AA835,MATCH(Y836,Y$6:Y835,0))))</f>
        <v/>
      </c>
      <c r="AB836" s="57" t="str">
        <f>IF(B836="","",COUNTIF(B$6:B836,B836))</f>
        <v/>
      </c>
      <c r="AC836" s="57" t="str">
        <f>IF(B836="","",B836&amp;"#"&amp;AB836)</f>
        <v/>
      </c>
      <c r="AD836" s="57" t="str">
        <f>IF(Z836=1,A836&amp;AA836,"")</f>
        <v/>
      </c>
      <c r="AE836" s="57" t="str">
        <f>IF(B836="","",YEAR(C836))</f>
        <v/>
      </c>
      <c r="AF836" s="57" t="str">
        <f>IF(B836="","",MONTH(C836))</f>
        <v/>
      </c>
      <c r="AG836" s="57">
        <f>IF(ISNUMBER(C836),C836,0)</f>
        <v>0.0</v>
      </c>
      <c r="AH836" s="57" t="str">
        <f>IF(N(W836)&gt;0,COUNTIF(W$6:W836,"&gt;0"),"")</f>
        <v/>
      </c>
      <c r="AI836" s="57" t="str">
        <f>IF(Z836=1,COUNTIF(Z$6:Z836,1),"")</f>
        <v/>
      </c>
    </row>
    <row r="837">
      <c r="A837" s="54" t="n"/>
      <c r="B837" s="55" t="str">
        <f>IF(AA837="","",A837&amp;"-"&amp;RIGHT("000"&amp;AA837,4))</f>
        <v/>
      </c>
      <c r="C837" s="56" t="n"/>
      <c r="D837" s="54" t="n"/>
      <c r="E837" s="57" t="str">
        <f>IF(D837="","",IF(A837="BL",IFERROR(INDEX(cl_name,MATCH(D837,cl_code,0))&amp;"","Client inconnu"),IF(A837="BR",IFERROR(INDEX(fo_name,MATCH(D837,fo_code,0))&amp;"","Fournisseur inconnu"),IF(A837="BS",IF(ISNA(MATCH(D837,p_services,0)),"Service inconnu",D837&amp;""),""))))</f>
        <v/>
      </c>
      <c r="F837" s="58" t="n"/>
      <c r="G837" s="58" t="n"/>
      <c r="H837" s="59" t="n"/>
      <c r="I837" s="57" t="str">
        <f>IF(H837="","",IFERROR(INDEX(art_des,MATCH(H837,art_ref,0))&amp;"","Article inconnu"))</f>
        <v/>
      </c>
      <c r="J837" s="60" t="str">
        <f>IF(H837="","",IFERROR(INDEX(art_unit,MATCH(H837,art_ref,0))&amp;"",""))</f>
        <v/>
      </c>
      <c r="K837" s="59" t="n"/>
      <c r="L837" s="59" t="n"/>
      <c r="M837" s="61" t="str">
        <f>IF(OR(B837="",NOT(ISNUMBER(K837)),NOT(ISNUMBER(L837))),"",IF(OR(K837&lt;=0,L837&lt;=0),"",ROUND(L837-K837,6)))</f>
        <v/>
      </c>
      <c r="N837" s="58" t="n"/>
      <c r="O837" s="62" t="n"/>
      <c r="P837" s="63" t="str">
        <f>IF(OR(B837="",NOT(ISNUMBER(L837))),"",IF(L837&lt;=0,"",IFERROR(ROUND(L837*N(INDEX(art_w,MATCH(H837,art_ref,0))),3),"")))</f>
        <v/>
      </c>
      <c r="Q837" s="59" t="n"/>
      <c r="R837" s="54" t="n"/>
      <c r="S837" s="59" t="n"/>
      <c r="T837" s="59" t="n"/>
      <c r="U837" s="64" t="str">
        <f>IF(OR(B837="",H837=""),"",IFERROR(IF(A837="BL",IF(N(INDEX(art_price,MATCH(H837,art_ref,0)))=0,"",N(INDEX(art_price,MATCH(H837,art_ref,0)))),IF(N(INDEX(art_cost,MATCH(H837,art_ref,0)))=0,"",N(INDEX(art_cost,MATCH(H837,art_ref,0))))),""))</f>
        <v/>
      </c>
      <c r="V837" s="64" t="str">
        <f>IF(OR(U837="",NOT(ISNUMBER(L837))),"",IF(L837&lt;=0,"",ROUND(L837*U837,2)))</f>
        <v/>
      </c>
      <c r="W837" s="60" t="str">
        <f>IF(AND(B837&lt;&gt;"",A837&lt;&gt;"BS",F837&lt;&gt;"",H837&lt;&gt;"",ISNUMBER(K837),ISNUMBER(L837)),IF(AND(K837&gt;0,L837&gt;0,K837-L837&gt;0,COUNTIFS(A838:A$2005,A837,F838:F$2005,F837,H838:H$2005,H837,AA838:AA$2005,"&gt;0")=0),ROUND(K837-L837,6),""),"")</f>
        <v/>
      </c>
      <c r="X837" s="60" t="str">
        <f>IF(AND(A837="",C837="",D837="",H837="",L837=""),"",IF(A837="","Type manquant",IF(AND(A837&lt;&gt;"BL",A837&lt;&gt;"BR",A837&lt;&gt;"BS"),"Type inconnu (BL, BR ou BS)",IF(AG837=0,"Date manquante ou invalide",IF(D837="",IF(A837="BL","Client manquant",IF(A837="BR","Fournisseur manquant","Service manquant")),IF(IF(A837="BL",ISNA(MATCH(D837,cl_code,0)),IF(A837="BR",ISNA(MATCH(D837,fo_code,0)),ISNA(MATCH(D837,p_services,0)))),IF(A837="BL","Client inconnu",IF(A837="BR","Fournisseur inconnu","Service inconnu")),IF(H837="","Article manquant",IF(ISNA(MATCH(H837,art_ref,0)),"Article inconnu",IF(OR(NOT(ISNUMBER(L837)),N(L837)&lt;=0),"Quantité invalide",IF(AND(K837&lt;&gt;"",OR(NOT(ISNUMBER(K837)),N(K837)&lt;=0)),"Qté commandée invalide",IF(AG837&lt;SUMPRODUCT(MAX((A$6:A836=A837)*AG$6:AG836)),"Date antérieure au bon précédent",IF(AND(A837&lt;&gt;"BR",ISNUMBER(M837),N(M837)&gt;0),IF(A837="BL","Livré plus que commandé","Sorti plus que demandé"),"OK"))))))))))))</f>
        <v/>
      </c>
      <c r="Y837" s="57" t="str">
        <f>IF(AND(OR(A837="BL",A837="BR",A837="BS"),AG837&gt;0,D837&lt;&gt;""),A837&amp;"|"&amp;AG837&amp;"|"&amp;D837&amp;"|"&amp;F837,"")</f>
        <v/>
      </c>
      <c r="Z837" s="57" t="str">
        <f>IF(Y837="","",IF(COUNTIF(Y$6:Y836,Y837)=0,1,0))</f>
        <v/>
      </c>
      <c r="AA837" s="57" t="str">
        <f>IF(Y837="","",IF(Z837=1,COUNTIFS(A$6:A837,A837,Z$6:Z837,1),INDEX(AA$6:AA836,MATCH(Y837,Y$6:Y836,0))))</f>
        <v/>
      </c>
      <c r="AB837" s="57" t="str">
        <f>IF(B837="","",COUNTIF(B$6:B837,B837))</f>
        <v/>
      </c>
      <c r="AC837" s="57" t="str">
        <f>IF(B837="","",B837&amp;"#"&amp;AB837)</f>
        <v/>
      </c>
      <c r="AD837" s="57" t="str">
        <f>IF(Z837=1,A837&amp;AA837,"")</f>
        <v/>
      </c>
      <c r="AE837" s="57" t="str">
        <f>IF(B837="","",YEAR(C837))</f>
        <v/>
      </c>
      <c r="AF837" s="57" t="str">
        <f>IF(B837="","",MONTH(C837))</f>
        <v/>
      </c>
      <c r="AG837" s="57">
        <f>IF(ISNUMBER(C837),C837,0)</f>
        <v>0.0</v>
      </c>
      <c r="AH837" s="57" t="str">
        <f>IF(N(W837)&gt;0,COUNTIF(W$6:W837,"&gt;0"),"")</f>
        <v/>
      </c>
      <c r="AI837" s="57" t="str">
        <f>IF(Z837=1,COUNTIF(Z$6:Z837,1),"")</f>
        <v/>
      </c>
    </row>
    <row r="838">
      <c r="A838" s="54" t="n"/>
      <c r="B838" s="55" t="str">
        <f>IF(AA838="","",A838&amp;"-"&amp;RIGHT("000"&amp;AA838,4))</f>
        <v/>
      </c>
      <c r="C838" s="56" t="n"/>
      <c r="D838" s="54" t="n"/>
      <c r="E838" s="57" t="str">
        <f>IF(D838="","",IF(A838="BL",IFERROR(INDEX(cl_name,MATCH(D838,cl_code,0))&amp;"","Client inconnu"),IF(A838="BR",IFERROR(INDEX(fo_name,MATCH(D838,fo_code,0))&amp;"","Fournisseur inconnu"),IF(A838="BS",IF(ISNA(MATCH(D838,p_services,0)),"Service inconnu",D838&amp;""),""))))</f>
        <v/>
      </c>
      <c r="F838" s="58" t="n"/>
      <c r="G838" s="58" t="n"/>
      <c r="H838" s="59" t="n"/>
      <c r="I838" s="57" t="str">
        <f>IF(H838="","",IFERROR(INDEX(art_des,MATCH(H838,art_ref,0))&amp;"","Article inconnu"))</f>
        <v/>
      </c>
      <c r="J838" s="60" t="str">
        <f>IF(H838="","",IFERROR(INDEX(art_unit,MATCH(H838,art_ref,0))&amp;"",""))</f>
        <v/>
      </c>
      <c r="K838" s="59" t="n"/>
      <c r="L838" s="59" t="n"/>
      <c r="M838" s="61" t="str">
        <f>IF(OR(B838="",NOT(ISNUMBER(K838)),NOT(ISNUMBER(L838))),"",IF(OR(K838&lt;=0,L838&lt;=0),"",ROUND(L838-K838,6)))</f>
        <v/>
      </c>
      <c r="N838" s="58" t="n"/>
      <c r="O838" s="62" t="n"/>
      <c r="P838" s="63" t="str">
        <f>IF(OR(B838="",NOT(ISNUMBER(L838))),"",IF(L838&lt;=0,"",IFERROR(ROUND(L838*N(INDEX(art_w,MATCH(H838,art_ref,0))),3),"")))</f>
        <v/>
      </c>
      <c r="Q838" s="59" t="n"/>
      <c r="R838" s="54" t="n"/>
      <c r="S838" s="59" t="n"/>
      <c r="T838" s="59" t="n"/>
      <c r="U838" s="64" t="str">
        <f>IF(OR(B838="",H838=""),"",IFERROR(IF(A838="BL",IF(N(INDEX(art_price,MATCH(H838,art_ref,0)))=0,"",N(INDEX(art_price,MATCH(H838,art_ref,0)))),IF(N(INDEX(art_cost,MATCH(H838,art_ref,0)))=0,"",N(INDEX(art_cost,MATCH(H838,art_ref,0))))),""))</f>
        <v/>
      </c>
      <c r="V838" s="64" t="str">
        <f>IF(OR(U838="",NOT(ISNUMBER(L838))),"",IF(L838&lt;=0,"",ROUND(L838*U838,2)))</f>
        <v/>
      </c>
      <c r="W838" s="60" t="str">
        <f>IF(AND(B838&lt;&gt;"",A838&lt;&gt;"BS",F838&lt;&gt;"",H838&lt;&gt;"",ISNUMBER(K838),ISNUMBER(L838)),IF(AND(K838&gt;0,L838&gt;0,K838-L838&gt;0,COUNTIFS(A839:A$2005,A838,F839:F$2005,F838,H839:H$2005,H838,AA839:AA$2005,"&gt;0")=0),ROUND(K838-L838,6),""),"")</f>
        <v/>
      </c>
      <c r="X838" s="60" t="str">
        <f>IF(AND(A838="",C838="",D838="",H838="",L838=""),"",IF(A838="","Type manquant",IF(AND(A838&lt;&gt;"BL",A838&lt;&gt;"BR",A838&lt;&gt;"BS"),"Type inconnu (BL, BR ou BS)",IF(AG838=0,"Date manquante ou invalide",IF(D838="",IF(A838="BL","Client manquant",IF(A838="BR","Fournisseur manquant","Service manquant")),IF(IF(A838="BL",ISNA(MATCH(D838,cl_code,0)),IF(A838="BR",ISNA(MATCH(D838,fo_code,0)),ISNA(MATCH(D838,p_services,0)))),IF(A838="BL","Client inconnu",IF(A838="BR","Fournisseur inconnu","Service inconnu")),IF(H838="","Article manquant",IF(ISNA(MATCH(H838,art_ref,0)),"Article inconnu",IF(OR(NOT(ISNUMBER(L838)),N(L838)&lt;=0),"Quantité invalide",IF(AND(K838&lt;&gt;"",OR(NOT(ISNUMBER(K838)),N(K838)&lt;=0)),"Qté commandée invalide",IF(AG838&lt;SUMPRODUCT(MAX((A$6:A837=A838)*AG$6:AG837)),"Date antérieure au bon précédent",IF(AND(A838&lt;&gt;"BR",ISNUMBER(M838),N(M838)&gt;0),IF(A838="BL","Livré plus que commandé","Sorti plus que demandé"),"OK"))))))))))))</f>
        <v/>
      </c>
      <c r="Y838" s="57" t="str">
        <f>IF(AND(OR(A838="BL",A838="BR",A838="BS"),AG838&gt;0,D838&lt;&gt;""),A838&amp;"|"&amp;AG838&amp;"|"&amp;D838&amp;"|"&amp;F838,"")</f>
        <v/>
      </c>
      <c r="Z838" s="57" t="str">
        <f>IF(Y838="","",IF(COUNTIF(Y$6:Y837,Y838)=0,1,0))</f>
        <v/>
      </c>
      <c r="AA838" s="57" t="str">
        <f>IF(Y838="","",IF(Z838=1,COUNTIFS(A$6:A838,A838,Z$6:Z838,1),INDEX(AA$6:AA837,MATCH(Y838,Y$6:Y837,0))))</f>
        <v/>
      </c>
      <c r="AB838" s="57" t="str">
        <f>IF(B838="","",COUNTIF(B$6:B838,B838))</f>
        <v/>
      </c>
      <c r="AC838" s="57" t="str">
        <f>IF(B838="","",B838&amp;"#"&amp;AB838)</f>
        <v/>
      </c>
      <c r="AD838" s="57" t="str">
        <f>IF(Z838=1,A838&amp;AA838,"")</f>
        <v/>
      </c>
      <c r="AE838" s="57" t="str">
        <f>IF(B838="","",YEAR(C838))</f>
        <v/>
      </c>
      <c r="AF838" s="57" t="str">
        <f>IF(B838="","",MONTH(C838))</f>
        <v/>
      </c>
      <c r="AG838" s="57">
        <f>IF(ISNUMBER(C838),C838,0)</f>
        <v>0.0</v>
      </c>
      <c r="AH838" s="57" t="str">
        <f>IF(N(W838)&gt;0,COUNTIF(W$6:W838,"&gt;0"),"")</f>
        <v/>
      </c>
      <c r="AI838" s="57" t="str">
        <f>IF(Z838=1,COUNTIF(Z$6:Z838,1),"")</f>
        <v/>
      </c>
    </row>
    <row r="839">
      <c r="A839" s="54" t="n"/>
      <c r="B839" s="55" t="str">
        <f>IF(AA839="","",A839&amp;"-"&amp;RIGHT("000"&amp;AA839,4))</f>
        <v/>
      </c>
      <c r="C839" s="56" t="n"/>
      <c r="D839" s="54" t="n"/>
      <c r="E839" s="57" t="str">
        <f>IF(D839="","",IF(A839="BL",IFERROR(INDEX(cl_name,MATCH(D839,cl_code,0))&amp;"","Client inconnu"),IF(A839="BR",IFERROR(INDEX(fo_name,MATCH(D839,fo_code,0))&amp;"","Fournisseur inconnu"),IF(A839="BS",IF(ISNA(MATCH(D839,p_services,0)),"Service inconnu",D839&amp;""),""))))</f>
        <v/>
      </c>
      <c r="F839" s="58" t="n"/>
      <c r="G839" s="58" t="n"/>
      <c r="H839" s="59" t="n"/>
      <c r="I839" s="57" t="str">
        <f>IF(H839="","",IFERROR(INDEX(art_des,MATCH(H839,art_ref,0))&amp;"","Article inconnu"))</f>
        <v/>
      </c>
      <c r="J839" s="60" t="str">
        <f>IF(H839="","",IFERROR(INDEX(art_unit,MATCH(H839,art_ref,0))&amp;"",""))</f>
        <v/>
      </c>
      <c r="K839" s="59" t="n"/>
      <c r="L839" s="59" t="n"/>
      <c r="M839" s="61" t="str">
        <f>IF(OR(B839="",NOT(ISNUMBER(K839)),NOT(ISNUMBER(L839))),"",IF(OR(K839&lt;=0,L839&lt;=0),"",ROUND(L839-K839,6)))</f>
        <v/>
      </c>
      <c r="N839" s="58" t="n"/>
      <c r="O839" s="62" t="n"/>
      <c r="P839" s="63" t="str">
        <f>IF(OR(B839="",NOT(ISNUMBER(L839))),"",IF(L839&lt;=0,"",IFERROR(ROUND(L839*N(INDEX(art_w,MATCH(H839,art_ref,0))),3),"")))</f>
        <v/>
      </c>
      <c r="Q839" s="59" t="n"/>
      <c r="R839" s="54" t="n"/>
      <c r="S839" s="59" t="n"/>
      <c r="T839" s="59" t="n"/>
      <c r="U839" s="64" t="str">
        <f>IF(OR(B839="",H839=""),"",IFERROR(IF(A839="BL",IF(N(INDEX(art_price,MATCH(H839,art_ref,0)))=0,"",N(INDEX(art_price,MATCH(H839,art_ref,0)))),IF(N(INDEX(art_cost,MATCH(H839,art_ref,0)))=0,"",N(INDEX(art_cost,MATCH(H839,art_ref,0))))),""))</f>
        <v/>
      </c>
      <c r="V839" s="64" t="str">
        <f>IF(OR(U839="",NOT(ISNUMBER(L839))),"",IF(L839&lt;=0,"",ROUND(L839*U839,2)))</f>
        <v/>
      </c>
      <c r="W839" s="60" t="str">
        <f>IF(AND(B839&lt;&gt;"",A839&lt;&gt;"BS",F839&lt;&gt;"",H839&lt;&gt;"",ISNUMBER(K839),ISNUMBER(L839)),IF(AND(K839&gt;0,L839&gt;0,K839-L839&gt;0,COUNTIFS(A840:A$2005,A839,F840:F$2005,F839,H840:H$2005,H839,AA840:AA$2005,"&gt;0")=0),ROUND(K839-L839,6),""),"")</f>
        <v/>
      </c>
      <c r="X839" s="60" t="str">
        <f>IF(AND(A839="",C839="",D839="",H839="",L839=""),"",IF(A839="","Type manquant",IF(AND(A839&lt;&gt;"BL",A839&lt;&gt;"BR",A839&lt;&gt;"BS"),"Type inconnu (BL, BR ou BS)",IF(AG839=0,"Date manquante ou invalide",IF(D839="",IF(A839="BL","Client manquant",IF(A839="BR","Fournisseur manquant","Service manquant")),IF(IF(A839="BL",ISNA(MATCH(D839,cl_code,0)),IF(A839="BR",ISNA(MATCH(D839,fo_code,0)),ISNA(MATCH(D839,p_services,0)))),IF(A839="BL","Client inconnu",IF(A839="BR","Fournisseur inconnu","Service inconnu")),IF(H839="","Article manquant",IF(ISNA(MATCH(H839,art_ref,0)),"Article inconnu",IF(OR(NOT(ISNUMBER(L839)),N(L839)&lt;=0),"Quantité invalide",IF(AND(K839&lt;&gt;"",OR(NOT(ISNUMBER(K839)),N(K839)&lt;=0)),"Qté commandée invalide",IF(AG839&lt;SUMPRODUCT(MAX((A$6:A838=A839)*AG$6:AG838)),"Date antérieure au bon précédent",IF(AND(A839&lt;&gt;"BR",ISNUMBER(M839),N(M839)&gt;0),IF(A839="BL","Livré plus que commandé","Sorti plus que demandé"),"OK"))))))))))))</f>
        <v/>
      </c>
      <c r="Y839" s="57" t="str">
        <f>IF(AND(OR(A839="BL",A839="BR",A839="BS"),AG839&gt;0,D839&lt;&gt;""),A839&amp;"|"&amp;AG839&amp;"|"&amp;D839&amp;"|"&amp;F839,"")</f>
        <v/>
      </c>
      <c r="Z839" s="57" t="str">
        <f>IF(Y839="","",IF(COUNTIF(Y$6:Y838,Y839)=0,1,0))</f>
        <v/>
      </c>
      <c r="AA839" s="57" t="str">
        <f>IF(Y839="","",IF(Z839=1,COUNTIFS(A$6:A839,A839,Z$6:Z839,1),INDEX(AA$6:AA838,MATCH(Y839,Y$6:Y838,0))))</f>
        <v/>
      </c>
      <c r="AB839" s="57" t="str">
        <f>IF(B839="","",COUNTIF(B$6:B839,B839))</f>
        <v/>
      </c>
      <c r="AC839" s="57" t="str">
        <f>IF(B839="","",B839&amp;"#"&amp;AB839)</f>
        <v/>
      </c>
      <c r="AD839" s="57" t="str">
        <f>IF(Z839=1,A839&amp;AA839,"")</f>
        <v/>
      </c>
      <c r="AE839" s="57" t="str">
        <f>IF(B839="","",YEAR(C839))</f>
        <v/>
      </c>
      <c r="AF839" s="57" t="str">
        <f>IF(B839="","",MONTH(C839))</f>
        <v/>
      </c>
      <c r="AG839" s="57">
        <f>IF(ISNUMBER(C839),C839,0)</f>
        <v>0.0</v>
      </c>
      <c r="AH839" s="57" t="str">
        <f>IF(N(W839)&gt;0,COUNTIF(W$6:W839,"&gt;0"),"")</f>
        <v/>
      </c>
      <c r="AI839" s="57" t="str">
        <f>IF(Z839=1,COUNTIF(Z$6:Z839,1),"")</f>
        <v/>
      </c>
    </row>
    <row r="840">
      <c r="A840" s="54" t="n"/>
      <c r="B840" s="55" t="str">
        <f>IF(AA840="","",A840&amp;"-"&amp;RIGHT("000"&amp;AA840,4))</f>
        <v/>
      </c>
      <c r="C840" s="56" t="n"/>
      <c r="D840" s="54" t="n"/>
      <c r="E840" s="57" t="str">
        <f>IF(D840="","",IF(A840="BL",IFERROR(INDEX(cl_name,MATCH(D840,cl_code,0))&amp;"","Client inconnu"),IF(A840="BR",IFERROR(INDEX(fo_name,MATCH(D840,fo_code,0))&amp;"","Fournisseur inconnu"),IF(A840="BS",IF(ISNA(MATCH(D840,p_services,0)),"Service inconnu",D840&amp;""),""))))</f>
        <v/>
      </c>
      <c r="F840" s="58" t="n"/>
      <c r="G840" s="58" t="n"/>
      <c r="H840" s="59" t="n"/>
      <c r="I840" s="57" t="str">
        <f>IF(H840="","",IFERROR(INDEX(art_des,MATCH(H840,art_ref,0))&amp;"","Article inconnu"))</f>
        <v/>
      </c>
      <c r="J840" s="60" t="str">
        <f>IF(H840="","",IFERROR(INDEX(art_unit,MATCH(H840,art_ref,0))&amp;"",""))</f>
        <v/>
      </c>
      <c r="K840" s="59" t="n"/>
      <c r="L840" s="59" t="n"/>
      <c r="M840" s="61" t="str">
        <f>IF(OR(B840="",NOT(ISNUMBER(K840)),NOT(ISNUMBER(L840))),"",IF(OR(K840&lt;=0,L840&lt;=0),"",ROUND(L840-K840,6)))</f>
        <v/>
      </c>
      <c r="N840" s="58" t="n"/>
      <c r="O840" s="62" t="n"/>
      <c r="P840" s="63" t="str">
        <f>IF(OR(B840="",NOT(ISNUMBER(L840))),"",IF(L840&lt;=0,"",IFERROR(ROUND(L840*N(INDEX(art_w,MATCH(H840,art_ref,0))),3),"")))</f>
        <v/>
      </c>
      <c r="Q840" s="59" t="n"/>
      <c r="R840" s="54" t="n"/>
      <c r="S840" s="59" t="n"/>
      <c r="T840" s="59" t="n"/>
      <c r="U840" s="64" t="str">
        <f>IF(OR(B840="",H840=""),"",IFERROR(IF(A840="BL",IF(N(INDEX(art_price,MATCH(H840,art_ref,0)))=0,"",N(INDEX(art_price,MATCH(H840,art_ref,0)))),IF(N(INDEX(art_cost,MATCH(H840,art_ref,0)))=0,"",N(INDEX(art_cost,MATCH(H840,art_ref,0))))),""))</f>
        <v/>
      </c>
      <c r="V840" s="64" t="str">
        <f>IF(OR(U840="",NOT(ISNUMBER(L840))),"",IF(L840&lt;=0,"",ROUND(L840*U840,2)))</f>
        <v/>
      </c>
      <c r="W840" s="60" t="str">
        <f>IF(AND(B840&lt;&gt;"",A840&lt;&gt;"BS",F840&lt;&gt;"",H840&lt;&gt;"",ISNUMBER(K840),ISNUMBER(L840)),IF(AND(K840&gt;0,L840&gt;0,K840-L840&gt;0,COUNTIFS(A841:A$2005,A840,F841:F$2005,F840,H841:H$2005,H840,AA841:AA$2005,"&gt;0")=0),ROUND(K840-L840,6),""),"")</f>
        <v/>
      </c>
      <c r="X840" s="60" t="str">
        <f>IF(AND(A840="",C840="",D840="",H840="",L840=""),"",IF(A840="","Type manquant",IF(AND(A840&lt;&gt;"BL",A840&lt;&gt;"BR",A840&lt;&gt;"BS"),"Type inconnu (BL, BR ou BS)",IF(AG840=0,"Date manquante ou invalide",IF(D840="",IF(A840="BL","Client manquant",IF(A840="BR","Fournisseur manquant","Service manquant")),IF(IF(A840="BL",ISNA(MATCH(D840,cl_code,0)),IF(A840="BR",ISNA(MATCH(D840,fo_code,0)),ISNA(MATCH(D840,p_services,0)))),IF(A840="BL","Client inconnu",IF(A840="BR","Fournisseur inconnu","Service inconnu")),IF(H840="","Article manquant",IF(ISNA(MATCH(H840,art_ref,0)),"Article inconnu",IF(OR(NOT(ISNUMBER(L840)),N(L840)&lt;=0),"Quantité invalide",IF(AND(K840&lt;&gt;"",OR(NOT(ISNUMBER(K840)),N(K840)&lt;=0)),"Qté commandée invalide",IF(AG840&lt;SUMPRODUCT(MAX((A$6:A839=A840)*AG$6:AG839)),"Date antérieure au bon précédent",IF(AND(A840&lt;&gt;"BR",ISNUMBER(M840),N(M840)&gt;0),IF(A840="BL","Livré plus que commandé","Sorti plus que demandé"),"OK"))))))))))))</f>
        <v/>
      </c>
      <c r="Y840" s="57" t="str">
        <f>IF(AND(OR(A840="BL",A840="BR",A840="BS"),AG840&gt;0,D840&lt;&gt;""),A840&amp;"|"&amp;AG840&amp;"|"&amp;D840&amp;"|"&amp;F840,"")</f>
        <v/>
      </c>
      <c r="Z840" s="57" t="str">
        <f>IF(Y840="","",IF(COUNTIF(Y$6:Y839,Y840)=0,1,0))</f>
        <v/>
      </c>
      <c r="AA840" s="57" t="str">
        <f>IF(Y840="","",IF(Z840=1,COUNTIFS(A$6:A840,A840,Z$6:Z840,1),INDEX(AA$6:AA839,MATCH(Y840,Y$6:Y839,0))))</f>
        <v/>
      </c>
      <c r="AB840" s="57" t="str">
        <f>IF(B840="","",COUNTIF(B$6:B840,B840))</f>
        <v/>
      </c>
      <c r="AC840" s="57" t="str">
        <f>IF(B840="","",B840&amp;"#"&amp;AB840)</f>
        <v/>
      </c>
      <c r="AD840" s="57" t="str">
        <f>IF(Z840=1,A840&amp;AA840,"")</f>
        <v/>
      </c>
      <c r="AE840" s="57" t="str">
        <f>IF(B840="","",YEAR(C840))</f>
        <v/>
      </c>
      <c r="AF840" s="57" t="str">
        <f>IF(B840="","",MONTH(C840))</f>
        <v/>
      </c>
      <c r="AG840" s="57">
        <f>IF(ISNUMBER(C840),C840,0)</f>
        <v>0.0</v>
      </c>
      <c r="AH840" s="57" t="str">
        <f>IF(N(W840)&gt;0,COUNTIF(W$6:W840,"&gt;0"),"")</f>
        <v/>
      </c>
      <c r="AI840" s="57" t="str">
        <f>IF(Z840=1,COUNTIF(Z$6:Z840,1),"")</f>
        <v/>
      </c>
    </row>
    <row r="841">
      <c r="A841" s="54" t="n"/>
      <c r="B841" s="55" t="str">
        <f>IF(AA841="","",A841&amp;"-"&amp;RIGHT("000"&amp;AA841,4))</f>
        <v/>
      </c>
      <c r="C841" s="56" t="n"/>
      <c r="D841" s="54" t="n"/>
      <c r="E841" s="57" t="str">
        <f>IF(D841="","",IF(A841="BL",IFERROR(INDEX(cl_name,MATCH(D841,cl_code,0))&amp;"","Client inconnu"),IF(A841="BR",IFERROR(INDEX(fo_name,MATCH(D841,fo_code,0))&amp;"","Fournisseur inconnu"),IF(A841="BS",IF(ISNA(MATCH(D841,p_services,0)),"Service inconnu",D841&amp;""),""))))</f>
        <v/>
      </c>
      <c r="F841" s="58" t="n"/>
      <c r="G841" s="58" t="n"/>
      <c r="H841" s="59" t="n"/>
      <c r="I841" s="57" t="str">
        <f>IF(H841="","",IFERROR(INDEX(art_des,MATCH(H841,art_ref,0))&amp;"","Article inconnu"))</f>
        <v/>
      </c>
      <c r="J841" s="60" t="str">
        <f>IF(H841="","",IFERROR(INDEX(art_unit,MATCH(H841,art_ref,0))&amp;"",""))</f>
        <v/>
      </c>
      <c r="K841" s="59" t="n"/>
      <c r="L841" s="59" t="n"/>
      <c r="M841" s="61" t="str">
        <f>IF(OR(B841="",NOT(ISNUMBER(K841)),NOT(ISNUMBER(L841))),"",IF(OR(K841&lt;=0,L841&lt;=0),"",ROUND(L841-K841,6)))</f>
        <v/>
      </c>
      <c r="N841" s="58" t="n"/>
      <c r="O841" s="62" t="n"/>
      <c r="P841" s="63" t="str">
        <f>IF(OR(B841="",NOT(ISNUMBER(L841))),"",IF(L841&lt;=0,"",IFERROR(ROUND(L841*N(INDEX(art_w,MATCH(H841,art_ref,0))),3),"")))</f>
        <v/>
      </c>
      <c r="Q841" s="59" t="n"/>
      <c r="R841" s="54" t="n"/>
      <c r="S841" s="59" t="n"/>
      <c r="T841" s="59" t="n"/>
      <c r="U841" s="64" t="str">
        <f>IF(OR(B841="",H841=""),"",IFERROR(IF(A841="BL",IF(N(INDEX(art_price,MATCH(H841,art_ref,0)))=0,"",N(INDEX(art_price,MATCH(H841,art_ref,0)))),IF(N(INDEX(art_cost,MATCH(H841,art_ref,0)))=0,"",N(INDEX(art_cost,MATCH(H841,art_ref,0))))),""))</f>
        <v/>
      </c>
      <c r="V841" s="64" t="str">
        <f>IF(OR(U841="",NOT(ISNUMBER(L841))),"",IF(L841&lt;=0,"",ROUND(L841*U841,2)))</f>
        <v/>
      </c>
      <c r="W841" s="60" t="str">
        <f>IF(AND(B841&lt;&gt;"",A841&lt;&gt;"BS",F841&lt;&gt;"",H841&lt;&gt;"",ISNUMBER(K841),ISNUMBER(L841)),IF(AND(K841&gt;0,L841&gt;0,K841-L841&gt;0,COUNTIFS(A842:A$2005,A841,F842:F$2005,F841,H842:H$2005,H841,AA842:AA$2005,"&gt;0")=0),ROUND(K841-L841,6),""),"")</f>
        <v/>
      </c>
      <c r="X841" s="60" t="str">
        <f>IF(AND(A841="",C841="",D841="",H841="",L841=""),"",IF(A841="","Type manquant",IF(AND(A841&lt;&gt;"BL",A841&lt;&gt;"BR",A841&lt;&gt;"BS"),"Type inconnu (BL, BR ou BS)",IF(AG841=0,"Date manquante ou invalide",IF(D841="",IF(A841="BL","Client manquant",IF(A841="BR","Fournisseur manquant","Service manquant")),IF(IF(A841="BL",ISNA(MATCH(D841,cl_code,0)),IF(A841="BR",ISNA(MATCH(D841,fo_code,0)),ISNA(MATCH(D841,p_services,0)))),IF(A841="BL","Client inconnu",IF(A841="BR","Fournisseur inconnu","Service inconnu")),IF(H841="","Article manquant",IF(ISNA(MATCH(H841,art_ref,0)),"Article inconnu",IF(OR(NOT(ISNUMBER(L841)),N(L841)&lt;=0),"Quantité invalide",IF(AND(K841&lt;&gt;"",OR(NOT(ISNUMBER(K841)),N(K841)&lt;=0)),"Qté commandée invalide",IF(AG841&lt;SUMPRODUCT(MAX((A$6:A840=A841)*AG$6:AG840)),"Date antérieure au bon précédent",IF(AND(A841&lt;&gt;"BR",ISNUMBER(M841),N(M841)&gt;0),IF(A841="BL","Livré plus que commandé","Sorti plus que demandé"),"OK"))))))))))))</f>
        <v/>
      </c>
      <c r="Y841" s="57" t="str">
        <f>IF(AND(OR(A841="BL",A841="BR",A841="BS"),AG841&gt;0,D841&lt;&gt;""),A841&amp;"|"&amp;AG841&amp;"|"&amp;D841&amp;"|"&amp;F841,"")</f>
        <v/>
      </c>
      <c r="Z841" s="57" t="str">
        <f>IF(Y841="","",IF(COUNTIF(Y$6:Y840,Y841)=0,1,0))</f>
        <v/>
      </c>
      <c r="AA841" s="57" t="str">
        <f>IF(Y841="","",IF(Z841=1,COUNTIFS(A$6:A841,A841,Z$6:Z841,1),INDEX(AA$6:AA840,MATCH(Y841,Y$6:Y840,0))))</f>
        <v/>
      </c>
      <c r="AB841" s="57" t="str">
        <f>IF(B841="","",COUNTIF(B$6:B841,B841))</f>
        <v/>
      </c>
      <c r="AC841" s="57" t="str">
        <f>IF(B841="","",B841&amp;"#"&amp;AB841)</f>
        <v/>
      </c>
      <c r="AD841" s="57" t="str">
        <f>IF(Z841=1,A841&amp;AA841,"")</f>
        <v/>
      </c>
      <c r="AE841" s="57" t="str">
        <f>IF(B841="","",YEAR(C841))</f>
        <v/>
      </c>
      <c r="AF841" s="57" t="str">
        <f>IF(B841="","",MONTH(C841))</f>
        <v/>
      </c>
      <c r="AG841" s="57">
        <f>IF(ISNUMBER(C841),C841,0)</f>
        <v>0.0</v>
      </c>
      <c r="AH841" s="57" t="str">
        <f>IF(N(W841)&gt;0,COUNTIF(W$6:W841,"&gt;0"),"")</f>
        <v/>
      </c>
      <c r="AI841" s="57" t="str">
        <f>IF(Z841=1,COUNTIF(Z$6:Z841,1),"")</f>
        <v/>
      </c>
    </row>
    <row r="842">
      <c r="A842" s="54" t="n"/>
      <c r="B842" s="55" t="str">
        <f>IF(AA842="","",A842&amp;"-"&amp;RIGHT("000"&amp;AA842,4))</f>
        <v/>
      </c>
      <c r="C842" s="56" t="n"/>
      <c r="D842" s="54" t="n"/>
      <c r="E842" s="57" t="str">
        <f>IF(D842="","",IF(A842="BL",IFERROR(INDEX(cl_name,MATCH(D842,cl_code,0))&amp;"","Client inconnu"),IF(A842="BR",IFERROR(INDEX(fo_name,MATCH(D842,fo_code,0))&amp;"","Fournisseur inconnu"),IF(A842="BS",IF(ISNA(MATCH(D842,p_services,0)),"Service inconnu",D842&amp;""),""))))</f>
        <v/>
      </c>
      <c r="F842" s="58" t="n"/>
      <c r="G842" s="58" t="n"/>
      <c r="H842" s="59" t="n"/>
      <c r="I842" s="57" t="str">
        <f>IF(H842="","",IFERROR(INDEX(art_des,MATCH(H842,art_ref,0))&amp;"","Article inconnu"))</f>
        <v/>
      </c>
      <c r="J842" s="60" t="str">
        <f>IF(H842="","",IFERROR(INDEX(art_unit,MATCH(H842,art_ref,0))&amp;"",""))</f>
        <v/>
      </c>
      <c r="K842" s="59" t="n"/>
      <c r="L842" s="59" t="n"/>
      <c r="M842" s="61" t="str">
        <f>IF(OR(B842="",NOT(ISNUMBER(K842)),NOT(ISNUMBER(L842))),"",IF(OR(K842&lt;=0,L842&lt;=0),"",ROUND(L842-K842,6)))</f>
        <v/>
      </c>
      <c r="N842" s="58" t="n"/>
      <c r="O842" s="62" t="n"/>
      <c r="P842" s="63" t="str">
        <f>IF(OR(B842="",NOT(ISNUMBER(L842))),"",IF(L842&lt;=0,"",IFERROR(ROUND(L842*N(INDEX(art_w,MATCH(H842,art_ref,0))),3),"")))</f>
        <v/>
      </c>
      <c r="Q842" s="59" t="n"/>
      <c r="R842" s="54" t="n"/>
      <c r="S842" s="59" t="n"/>
      <c r="T842" s="59" t="n"/>
      <c r="U842" s="64" t="str">
        <f>IF(OR(B842="",H842=""),"",IFERROR(IF(A842="BL",IF(N(INDEX(art_price,MATCH(H842,art_ref,0)))=0,"",N(INDEX(art_price,MATCH(H842,art_ref,0)))),IF(N(INDEX(art_cost,MATCH(H842,art_ref,0)))=0,"",N(INDEX(art_cost,MATCH(H842,art_ref,0))))),""))</f>
        <v/>
      </c>
      <c r="V842" s="64" t="str">
        <f>IF(OR(U842="",NOT(ISNUMBER(L842))),"",IF(L842&lt;=0,"",ROUND(L842*U842,2)))</f>
        <v/>
      </c>
      <c r="W842" s="60" t="str">
        <f>IF(AND(B842&lt;&gt;"",A842&lt;&gt;"BS",F842&lt;&gt;"",H842&lt;&gt;"",ISNUMBER(K842),ISNUMBER(L842)),IF(AND(K842&gt;0,L842&gt;0,K842-L842&gt;0,COUNTIFS(A843:A$2005,A842,F843:F$2005,F842,H843:H$2005,H842,AA843:AA$2005,"&gt;0")=0),ROUND(K842-L842,6),""),"")</f>
        <v/>
      </c>
      <c r="X842" s="60" t="str">
        <f>IF(AND(A842="",C842="",D842="",H842="",L842=""),"",IF(A842="","Type manquant",IF(AND(A842&lt;&gt;"BL",A842&lt;&gt;"BR",A842&lt;&gt;"BS"),"Type inconnu (BL, BR ou BS)",IF(AG842=0,"Date manquante ou invalide",IF(D842="",IF(A842="BL","Client manquant",IF(A842="BR","Fournisseur manquant","Service manquant")),IF(IF(A842="BL",ISNA(MATCH(D842,cl_code,0)),IF(A842="BR",ISNA(MATCH(D842,fo_code,0)),ISNA(MATCH(D842,p_services,0)))),IF(A842="BL","Client inconnu",IF(A842="BR","Fournisseur inconnu","Service inconnu")),IF(H842="","Article manquant",IF(ISNA(MATCH(H842,art_ref,0)),"Article inconnu",IF(OR(NOT(ISNUMBER(L842)),N(L842)&lt;=0),"Quantité invalide",IF(AND(K842&lt;&gt;"",OR(NOT(ISNUMBER(K842)),N(K842)&lt;=0)),"Qté commandée invalide",IF(AG842&lt;SUMPRODUCT(MAX((A$6:A841=A842)*AG$6:AG841)),"Date antérieure au bon précédent",IF(AND(A842&lt;&gt;"BR",ISNUMBER(M842),N(M842)&gt;0),IF(A842="BL","Livré plus que commandé","Sorti plus que demandé"),"OK"))))))))))))</f>
        <v/>
      </c>
      <c r="Y842" s="57" t="str">
        <f>IF(AND(OR(A842="BL",A842="BR",A842="BS"),AG842&gt;0,D842&lt;&gt;""),A842&amp;"|"&amp;AG842&amp;"|"&amp;D842&amp;"|"&amp;F842,"")</f>
        <v/>
      </c>
      <c r="Z842" s="57" t="str">
        <f>IF(Y842="","",IF(COUNTIF(Y$6:Y841,Y842)=0,1,0))</f>
        <v/>
      </c>
      <c r="AA842" s="57" t="str">
        <f>IF(Y842="","",IF(Z842=1,COUNTIFS(A$6:A842,A842,Z$6:Z842,1),INDEX(AA$6:AA841,MATCH(Y842,Y$6:Y841,0))))</f>
        <v/>
      </c>
      <c r="AB842" s="57" t="str">
        <f>IF(B842="","",COUNTIF(B$6:B842,B842))</f>
        <v/>
      </c>
      <c r="AC842" s="57" t="str">
        <f>IF(B842="","",B842&amp;"#"&amp;AB842)</f>
        <v/>
      </c>
      <c r="AD842" s="57" t="str">
        <f>IF(Z842=1,A842&amp;AA842,"")</f>
        <v/>
      </c>
      <c r="AE842" s="57" t="str">
        <f>IF(B842="","",YEAR(C842))</f>
        <v/>
      </c>
      <c r="AF842" s="57" t="str">
        <f>IF(B842="","",MONTH(C842))</f>
        <v/>
      </c>
      <c r="AG842" s="57">
        <f>IF(ISNUMBER(C842),C842,0)</f>
        <v>0.0</v>
      </c>
      <c r="AH842" s="57" t="str">
        <f>IF(N(W842)&gt;0,COUNTIF(W$6:W842,"&gt;0"),"")</f>
        <v/>
      </c>
      <c r="AI842" s="57" t="str">
        <f>IF(Z842=1,COUNTIF(Z$6:Z842,1),"")</f>
        <v/>
      </c>
    </row>
    <row r="843">
      <c r="A843" s="54" t="n"/>
      <c r="B843" s="55" t="str">
        <f>IF(AA843="","",A843&amp;"-"&amp;RIGHT("000"&amp;AA843,4))</f>
        <v/>
      </c>
      <c r="C843" s="56" t="n"/>
      <c r="D843" s="54" t="n"/>
      <c r="E843" s="57" t="str">
        <f>IF(D843="","",IF(A843="BL",IFERROR(INDEX(cl_name,MATCH(D843,cl_code,0))&amp;"","Client inconnu"),IF(A843="BR",IFERROR(INDEX(fo_name,MATCH(D843,fo_code,0))&amp;"","Fournisseur inconnu"),IF(A843="BS",IF(ISNA(MATCH(D843,p_services,0)),"Service inconnu",D843&amp;""),""))))</f>
        <v/>
      </c>
      <c r="F843" s="58" t="n"/>
      <c r="G843" s="58" t="n"/>
      <c r="H843" s="59" t="n"/>
      <c r="I843" s="57" t="str">
        <f>IF(H843="","",IFERROR(INDEX(art_des,MATCH(H843,art_ref,0))&amp;"","Article inconnu"))</f>
        <v/>
      </c>
      <c r="J843" s="60" t="str">
        <f>IF(H843="","",IFERROR(INDEX(art_unit,MATCH(H843,art_ref,0))&amp;"",""))</f>
        <v/>
      </c>
      <c r="K843" s="59" t="n"/>
      <c r="L843" s="59" t="n"/>
      <c r="M843" s="61" t="str">
        <f>IF(OR(B843="",NOT(ISNUMBER(K843)),NOT(ISNUMBER(L843))),"",IF(OR(K843&lt;=0,L843&lt;=0),"",ROUND(L843-K843,6)))</f>
        <v/>
      </c>
      <c r="N843" s="58" t="n"/>
      <c r="O843" s="62" t="n"/>
      <c r="P843" s="63" t="str">
        <f>IF(OR(B843="",NOT(ISNUMBER(L843))),"",IF(L843&lt;=0,"",IFERROR(ROUND(L843*N(INDEX(art_w,MATCH(H843,art_ref,0))),3),"")))</f>
        <v/>
      </c>
      <c r="Q843" s="59" t="n"/>
      <c r="R843" s="54" t="n"/>
      <c r="S843" s="59" t="n"/>
      <c r="T843" s="59" t="n"/>
      <c r="U843" s="64" t="str">
        <f>IF(OR(B843="",H843=""),"",IFERROR(IF(A843="BL",IF(N(INDEX(art_price,MATCH(H843,art_ref,0)))=0,"",N(INDEX(art_price,MATCH(H843,art_ref,0)))),IF(N(INDEX(art_cost,MATCH(H843,art_ref,0)))=0,"",N(INDEX(art_cost,MATCH(H843,art_ref,0))))),""))</f>
        <v/>
      </c>
      <c r="V843" s="64" t="str">
        <f>IF(OR(U843="",NOT(ISNUMBER(L843))),"",IF(L843&lt;=0,"",ROUND(L843*U843,2)))</f>
        <v/>
      </c>
      <c r="W843" s="60" t="str">
        <f>IF(AND(B843&lt;&gt;"",A843&lt;&gt;"BS",F843&lt;&gt;"",H843&lt;&gt;"",ISNUMBER(K843),ISNUMBER(L843)),IF(AND(K843&gt;0,L843&gt;0,K843-L843&gt;0,COUNTIFS(A844:A$2005,A843,F844:F$2005,F843,H844:H$2005,H843,AA844:AA$2005,"&gt;0")=0),ROUND(K843-L843,6),""),"")</f>
        <v/>
      </c>
      <c r="X843" s="60" t="str">
        <f>IF(AND(A843="",C843="",D843="",H843="",L843=""),"",IF(A843="","Type manquant",IF(AND(A843&lt;&gt;"BL",A843&lt;&gt;"BR",A843&lt;&gt;"BS"),"Type inconnu (BL, BR ou BS)",IF(AG843=0,"Date manquante ou invalide",IF(D843="",IF(A843="BL","Client manquant",IF(A843="BR","Fournisseur manquant","Service manquant")),IF(IF(A843="BL",ISNA(MATCH(D843,cl_code,0)),IF(A843="BR",ISNA(MATCH(D843,fo_code,0)),ISNA(MATCH(D843,p_services,0)))),IF(A843="BL","Client inconnu",IF(A843="BR","Fournisseur inconnu","Service inconnu")),IF(H843="","Article manquant",IF(ISNA(MATCH(H843,art_ref,0)),"Article inconnu",IF(OR(NOT(ISNUMBER(L843)),N(L843)&lt;=0),"Quantité invalide",IF(AND(K843&lt;&gt;"",OR(NOT(ISNUMBER(K843)),N(K843)&lt;=0)),"Qté commandée invalide",IF(AG843&lt;SUMPRODUCT(MAX((A$6:A842=A843)*AG$6:AG842)),"Date antérieure au bon précédent",IF(AND(A843&lt;&gt;"BR",ISNUMBER(M843),N(M843)&gt;0),IF(A843="BL","Livré plus que commandé","Sorti plus que demandé"),"OK"))))))))))))</f>
        <v/>
      </c>
      <c r="Y843" s="57" t="str">
        <f>IF(AND(OR(A843="BL",A843="BR",A843="BS"),AG843&gt;0,D843&lt;&gt;""),A843&amp;"|"&amp;AG843&amp;"|"&amp;D843&amp;"|"&amp;F843,"")</f>
        <v/>
      </c>
      <c r="Z843" s="57" t="str">
        <f>IF(Y843="","",IF(COUNTIF(Y$6:Y842,Y843)=0,1,0))</f>
        <v/>
      </c>
      <c r="AA843" s="57" t="str">
        <f>IF(Y843="","",IF(Z843=1,COUNTIFS(A$6:A843,A843,Z$6:Z843,1),INDEX(AA$6:AA842,MATCH(Y843,Y$6:Y842,0))))</f>
        <v/>
      </c>
      <c r="AB843" s="57" t="str">
        <f>IF(B843="","",COUNTIF(B$6:B843,B843))</f>
        <v/>
      </c>
      <c r="AC843" s="57" t="str">
        <f>IF(B843="","",B843&amp;"#"&amp;AB843)</f>
        <v/>
      </c>
      <c r="AD843" s="57" t="str">
        <f>IF(Z843=1,A843&amp;AA843,"")</f>
        <v/>
      </c>
      <c r="AE843" s="57" t="str">
        <f>IF(B843="","",YEAR(C843))</f>
        <v/>
      </c>
      <c r="AF843" s="57" t="str">
        <f>IF(B843="","",MONTH(C843))</f>
        <v/>
      </c>
      <c r="AG843" s="57">
        <f>IF(ISNUMBER(C843),C843,0)</f>
        <v>0.0</v>
      </c>
      <c r="AH843" s="57" t="str">
        <f>IF(N(W843)&gt;0,COUNTIF(W$6:W843,"&gt;0"),"")</f>
        <v/>
      </c>
      <c r="AI843" s="57" t="str">
        <f>IF(Z843=1,COUNTIF(Z$6:Z843,1),"")</f>
        <v/>
      </c>
    </row>
    <row r="844">
      <c r="A844" s="54" t="n"/>
      <c r="B844" s="55" t="str">
        <f>IF(AA844="","",A844&amp;"-"&amp;RIGHT("000"&amp;AA844,4))</f>
        <v/>
      </c>
      <c r="C844" s="56" t="n"/>
      <c r="D844" s="54" t="n"/>
      <c r="E844" s="57" t="str">
        <f>IF(D844="","",IF(A844="BL",IFERROR(INDEX(cl_name,MATCH(D844,cl_code,0))&amp;"","Client inconnu"),IF(A844="BR",IFERROR(INDEX(fo_name,MATCH(D844,fo_code,0))&amp;"","Fournisseur inconnu"),IF(A844="BS",IF(ISNA(MATCH(D844,p_services,0)),"Service inconnu",D844&amp;""),""))))</f>
        <v/>
      </c>
      <c r="F844" s="58" t="n"/>
      <c r="G844" s="58" t="n"/>
      <c r="H844" s="59" t="n"/>
      <c r="I844" s="57" t="str">
        <f>IF(H844="","",IFERROR(INDEX(art_des,MATCH(H844,art_ref,0))&amp;"","Article inconnu"))</f>
        <v/>
      </c>
      <c r="J844" s="60" t="str">
        <f>IF(H844="","",IFERROR(INDEX(art_unit,MATCH(H844,art_ref,0))&amp;"",""))</f>
        <v/>
      </c>
      <c r="K844" s="59" t="n"/>
      <c r="L844" s="59" t="n"/>
      <c r="M844" s="61" t="str">
        <f>IF(OR(B844="",NOT(ISNUMBER(K844)),NOT(ISNUMBER(L844))),"",IF(OR(K844&lt;=0,L844&lt;=0),"",ROUND(L844-K844,6)))</f>
        <v/>
      </c>
      <c r="N844" s="58" t="n"/>
      <c r="O844" s="62" t="n"/>
      <c r="P844" s="63" t="str">
        <f>IF(OR(B844="",NOT(ISNUMBER(L844))),"",IF(L844&lt;=0,"",IFERROR(ROUND(L844*N(INDEX(art_w,MATCH(H844,art_ref,0))),3),"")))</f>
        <v/>
      </c>
      <c r="Q844" s="59" t="n"/>
      <c r="R844" s="54" t="n"/>
      <c r="S844" s="59" t="n"/>
      <c r="T844" s="59" t="n"/>
      <c r="U844" s="64" t="str">
        <f>IF(OR(B844="",H844=""),"",IFERROR(IF(A844="BL",IF(N(INDEX(art_price,MATCH(H844,art_ref,0)))=0,"",N(INDEX(art_price,MATCH(H844,art_ref,0)))),IF(N(INDEX(art_cost,MATCH(H844,art_ref,0)))=0,"",N(INDEX(art_cost,MATCH(H844,art_ref,0))))),""))</f>
        <v/>
      </c>
      <c r="V844" s="64" t="str">
        <f>IF(OR(U844="",NOT(ISNUMBER(L844))),"",IF(L844&lt;=0,"",ROUND(L844*U844,2)))</f>
        <v/>
      </c>
      <c r="W844" s="60" t="str">
        <f>IF(AND(B844&lt;&gt;"",A844&lt;&gt;"BS",F844&lt;&gt;"",H844&lt;&gt;"",ISNUMBER(K844),ISNUMBER(L844)),IF(AND(K844&gt;0,L844&gt;0,K844-L844&gt;0,COUNTIFS(A845:A$2005,A844,F845:F$2005,F844,H845:H$2005,H844,AA845:AA$2005,"&gt;0")=0),ROUND(K844-L844,6),""),"")</f>
        <v/>
      </c>
      <c r="X844" s="60" t="str">
        <f>IF(AND(A844="",C844="",D844="",H844="",L844=""),"",IF(A844="","Type manquant",IF(AND(A844&lt;&gt;"BL",A844&lt;&gt;"BR",A844&lt;&gt;"BS"),"Type inconnu (BL, BR ou BS)",IF(AG844=0,"Date manquante ou invalide",IF(D844="",IF(A844="BL","Client manquant",IF(A844="BR","Fournisseur manquant","Service manquant")),IF(IF(A844="BL",ISNA(MATCH(D844,cl_code,0)),IF(A844="BR",ISNA(MATCH(D844,fo_code,0)),ISNA(MATCH(D844,p_services,0)))),IF(A844="BL","Client inconnu",IF(A844="BR","Fournisseur inconnu","Service inconnu")),IF(H844="","Article manquant",IF(ISNA(MATCH(H844,art_ref,0)),"Article inconnu",IF(OR(NOT(ISNUMBER(L844)),N(L844)&lt;=0),"Quantité invalide",IF(AND(K844&lt;&gt;"",OR(NOT(ISNUMBER(K844)),N(K844)&lt;=0)),"Qté commandée invalide",IF(AG844&lt;SUMPRODUCT(MAX((A$6:A843=A844)*AG$6:AG843)),"Date antérieure au bon précédent",IF(AND(A844&lt;&gt;"BR",ISNUMBER(M844),N(M844)&gt;0),IF(A844="BL","Livré plus que commandé","Sorti plus que demandé"),"OK"))))))))))))</f>
        <v/>
      </c>
      <c r="Y844" s="57" t="str">
        <f>IF(AND(OR(A844="BL",A844="BR",A844="BS"),AG844&gt;0,D844&lt;&gt;""),A844&amp;"|"&amp;AG844&amp;"|"&amp;D844&amp;"|"&amp;F844,"")</f>
        <v/>
      </c>
      <c r="Z844" s="57" t="str">
        <f>IF(Y844="","",IF(COUNTIF(Y$6:Y843,Y844)=0,1,0))</f>
        <v/>
      </c>
      <c r="AA844" s="57" t="str">
        <f>IF(Y844="","",IF(Z844=1,COUNTIFS(A$6:A844,A844,Z$6:Z844,1),INDEX(AA$6:AA843,MATCH(Y844,Y$6:Y843,0))))</f>
        <v/>
      </c>
      <c r="AB844" s="57" t="str">
        <f>IF(B844="","",COUNTIF(B$6:B844,B844))</f>
        <v/>
      </c>
      <c r="AC844" s="57" t="str">
        <f>IF(B844="","",B844&amp;"#"&amp;AB844)</f>
        <v/>
      </c>
      <c r="AD844" s="57" t="str">
        <f>IF(Z844=1,A844&amp;AA844,"")</f>
        <v/>
      </c>
      <c r="AE844" s="57" t="str">
        <f>IF(B844="","",YEAR(C844))</f>
        <v/>
      </c>
      <c r="AF844" s="57" t="str">
        <f>IF(B844="","",MONTH(C844))</f>
        <v/>
      </c>
      <c r="AG844" s="57">
        <f>IF(ISNUMBER(C844),C844,0)</f>
        <v>0.0</v>
      </c>
      <c r="AH844" s="57" t="str">
        <f>IF(N(W844)&gt;0,COUNTIF(W$6:W844,"&gt;0"),"")</f>
        <v/>
      </c>
      <c r="AI844" s="57" t="str">
        <f>IF(Z844=1,COUNTIF(Z$6:Z844,1),"")</f>
        <v/>
      </c>
    </row>
    <row r="845">
      <c r="A845" s="54" t="n"/>
      <c r="B845" s="55" t="str">
        <f>IF(AA845="","",A845&amp;"-"&amp;RIGHT("000"&amp;AA845,4))</f>
        <v/>
      </c>
      <c r="C845" s="56" t="n"/>
      <c r="D845" s="54" t="n"/>
      <c r="E845" s="57" t="str">
        <f>IF(D845="","",IF(A845="BL",IFERROR(INDEX(cl_name,MATCH(D845,cl_code,0))&amp;"","Client inconnu"),IF(A845="BR",IFERROR(INDEX(fo_name,MATCH(D845,fo_code,0))&amp;"","Fournisseur inconnu"),IF(A845="BS",IF(ISNA(MATCH(D845,p_services,0)),"Service inconnu",D845&amp;""),""))))</f>
        <v/>
      </c>
      <c r="F845" s="58" t="n"/>
      <c r="G845" s="58" t="n"/>
      <c r="H845" s="59" t="n"/>
      <c r="I845" s="57" t="str">
        <f>IF(H845="","",IFERROR(INDEX(art_des,MATCH(H845,art_ref,0))&amp;"","Article inconnu"))</f>
        <v/>
      </c>
      <c r="J845" s="60" t="str">
        <f>IF(H845="","",IFERROR(INDEX(art_unit,MATCH(H845,art_ref,0))&amp;"",""))</f>
        <v/>
      </c>
      <c r="K845" s="59" t="n"/>
      <c r="L845" s="59" t="n"/>
      <c r="M845" s="61" t="str">
        <f>IF(OR(B845="",NOT(ISNUMBER(K845)),NOT(ISNUMBER(L845))),"",IF(OR(K845&lt;=0,L845&lt;=0),"",ROUND(L845-K845,6)))</f>
        <v/>
      </c>
      <c r="N845" s="58" t="n"/>
      <c r="O845" s="62" t="n"/>
      <c r="P845" s="63" t="str">
        <f>IF(OR(B845="",NOT(ISNUMBER(L845))),"",IF(L845&lt;=0,"",IFERROR(ROUND(L845*N(INDEX(art_w,MATCH(H845,art_ref,0))),3),"")))</f>
        <v/>
      </c>
      <c r="Q845" s="59" t="n"/>
      <c r="R845" s="54" t="n"/>
      <c r="S845" s="59" t="n"/>
      <c r="T845" s="59" t="n"/>
      <c r="U845" s="64" t="str">
        <f>IF(OR(B845="",H845=""),"",IFERROR(IF(A845="BL",IF(N(INDEX(art_price,MATCH(H845,art_ref,0)))=0,"",N(INDEX(art_price,MATCH(H845,art_ref,0)))),IF(N(INDEX(art_cost,MATCH(H845,art_ref,0)))=0,"",N(INDEX(art_cost,MATCH(H845,art_ref,0))))),""))</f>
        <v/>
      </c>
      <c r="V845" s="64" t="str">
        <f>IF(OR(U845="",NOT(ISNUMBER(L845))),"",IF(L845&lt;=0,"",ROUND(L845*U845,2)))</f>
        <v/>
      </c>
      <c r="W845" s="60" t="str">
        <f>IF(AND(B845&lt;&gt;"",A845&lt;&gt;"BS",F845&lt;&gt;"",H845&lt;&gt;"",ISNUMBER(K845),ISNUMBER(L845)),IF(AND(K845&gt;0,L845&gt;0,K845-L845&gt;0,COUNTIFS(A846:A$2005,A845,F846:F$2005,F845,H846:H$2005,H845,AA846:AA$2005,"&gt;0")=0),ROUND(K845-L845,6),""),"")</f>
        <v/>
      </c>
      <c r="X845" s="60" t="str">
        <f>IF(AND(A845="",C845="",D845="",H845="",L845=""),"",IF(A845="","Type manquant",IF(AND(A845&lt;&gt;"BL",A845&lt;&gt;"BR",A845&lt;&gt;"BS"),"Type inconnu (BL, BR ou BS)",IF(AG845=0,"Date manquante ou invalide",IF(D845="",IF(A845="BL","Client manquant",IF(A845="BR","Fournisseur manquant","Service manquant")),IF(IF(A845="BL",ISNA(MATCH(D845,cl_code,0)),IF(A845="BR",ISNA(MATCH(D845,fo_code,0)),ISNA(MATCH(D845,p_services,0)))),IF(A845="BL","Client inconnu",IF(A845="BR","Fournisseur inconnu","Service inconnu")),IF(H845="","Article manquant",IF(ISNA(MATCH(H845,art_ref,0)),"Article inconnu",IF(OR(NOT(ISNUMBER(L845)),N(L845)&lt;=0),"Quantité invalide",IF(AND(K845&lt;&gt;"",OR(NOT(ISNUMBER(K845)),N(K845)&lt;=0)),"Qté commandée invalide",IF(AG845&lt;SUMPRODUCT(MAX((A$6:A844=A845)*AG$6:AG844)),"Date antérieure au bon précédent",IF(AND(A845&lt;&gt;"BR",ISNUMBER(M845),N(M845)&gt;0),IF(A845="BL","Livré plus que commandé","Sorti plus que demandé"),"OK"))))))))))))</f>
        <v/>
      </c>
      <c r="Y845" s="57" t="str">
        <f>IF(AND(OR(A845="BL",A845="BR",A845="BS"),AG845&gt;0,D845&lt;&gt;""),A845&amp;"|"&amp;AG845&amp;"|"&amp;D845&amp;"|"&amp;F845,"")</f>
        <v/>
      </c>
      <c r="Z845" s="57" t="str">
        <f>IF(Y845="","",IF(COUNTIF(Y$6:Y844,Y845)=0,1,0))</f>
        <v/>
      </c>
      <c r="AA845" s="57" t="str">
        <f>IF(Y845="","",IF(Z845=1,COUNTIFS(A$6:A845,A845,Z$6:Z845,1),INDEX(AA$6:AA844,MATCH(Y845,Y$6:Y844,0))))</f>
        <v/>
      </c>
      <c r="AB845" s="57" t="str">
        <f>IF(B845="","",COUNTIF(B$6:B845,B845))</f>
        <v/>
      </c>
      <c r="AC845" s="57" t="str">
        <f>IF(B845="","",B845&amp;"#"&amp;AB845)</f>
        <v/>
      </c>
      <c r="AD845" s="57" t="str">
        <f>IF(Z845=1,A845&amp;AA845,"")</f>
        <v/>
      </c>
      <c r="AE845" s="57" t="str">
        <f>IF(B845="","",YEAR(C845))</f>
        <v/>
      </c>
      <c r="AF845" s="57" t="str">
        <f>IF(B845="","",MONTH(C845))</f>
        <v/>
      </c>
      <c r="AG845" s="57">
        <f>IF(ISNUMBER(C845),C845,0)</f>
        <v>0.0</v>
      </c>
      <c r="AH845" s="57" t="str">
        <f>IF(N(W845)&gt;0,COUNTIF(W$6:W845,"&gt;0"),"")</f>
        <v/>
      </c>
      <c r="AI845" s="57" t="str">
        <f>IF(Z845=1,COUNTIF(Z$6:Z845,1),"")</f>
        <v/>
      </c>
    </row>
    <row r="846">
      <c r="A846" s="54" t="n"/>
      <c r="B846" s="55" t="str">
        <f>IF(AA846="","",A846&amp;"-"&amp;RIGHT("000"&amp;AA846,4))</f>
        <v/>
      </c>
      <c r="C846" s="56" t="n"/>
      <c r="D846" s="54" t="n"/>
      <c r="E846" s="57" t="str">
        <f>IF(D846="","",IF(A846="BL",IFERROR(INDEX(cl_name,MATCH(D846,cl_code,0))&amp;"","Client inconnu"),IF(A846="BR",IFERROR(INDEX(fo_name,MATCH(D846,fo_code,0))&amp;"","Fournisseur inconnu"),IF(A846="BS",IF(ISNA(MATCH(D846,p_services,0)),"Service inconnu",D846&amp;""),""))))</f>
        <v/>
      </c>
      <c r="F846" s="58" t="n"/>
      <c r="G846" s="58" t="n"/>
      <c r="H846" s="59" t="n"/>
      <c r="I846" s="57" t="str">
        <f>IF(H846="","",IFERROR(INDEX(art_des,MATCH(H846,art_ref,0))&amp;"","Article inconnu"))</f>
        <v/>
      </c>
      <c r="J846" s="60" t="str">
        <f>IF(H846="","",IFERROR(INDEX(art_unit,MATCH(H846,art_ref,0))&amp;"",""))</f>
        <v/>
      </c>
      <c r="K846" s="59" t="n"/>
      <c r="L846" s="59" t="n"/>
      <c r="M846" s="61" t="str">
        <f>IF(OR(B846="",NOT(ISNUMBER(K846)),NOT(ISNUMBER(L846))),"",IF(OR(K846&lt;=0,L846&lt;=0),"",ROUND(L846-K846,6)))</f>
        <v/>
      </c>
      <c r="N846" s="58" t="n"/>
      <c r="O846" s="62" t="n"/>
      <c r="P846" s="63" t="str">
        <f>IF(OR(B846="",NOT(ISNUMBER(L846))),"",IF(L846&lt;=0,"",IFERROR(ROUND(L846*N(INDEX(art_w,MATCH(H846,art_ref,0))),3),"")))</f>
        <v/>
      </c>
      <c r="Q846" s="59" t="n"/>
      <c r="R846" s="54" t="n"/>
      <c r="S846" s="59" t="n"/>
      <c r="T846" s="59" t="n"/>
      <c r="U846" s="64" t="str">
        <f>IF(OR(B846="",H846=""),"",IFERROR(IF(A846="BL",IF(N(INDEX(art_price,MATCH(H846,art_ref,0)))=0,"",N(INDEX(art_price,MATCH(H846,art_ref,0)))),IF(N(INDEX(art_cost,MATCH(H846,art_ref,0)))=0,"",N(INDEX(art_cost,MATCH(H846,art_ref,0))))),""))</f>
        <v/>
      </c>
      <c r="V846" s="64" t="str">
        <f>IF(OR(U846="",NOT(ISNUMBER(L846))),"",IF(L846&lt;=0,"",ROUND(L846*U846,2)))</f>
        <v/>
      </c>
      <c r="W846" s="60" t="str">
        <f>IF(AND(B846&lt;&gt;"",A846&lt;&gt;"BS",F846&lt;&gt;"",H846&lt;&gt;"",ISNUMBER(K846),ISNUMBER(L846)),IF(AND(K846&gt;0,L846&gt;0,K846-L846&gt;0,COUNTIFS(A847:A$2005,A846,F847:F$2005,F846,H847:H$2005,H846,AA847:AA$2005,"&gt;0")=0),ROUND(K846-L846,6),""),"")</f>
        <v/>
      </c>
      <c r="X846" s="60" t="str">
        <f>IF(AND(A846="",C846="",D846="",H846="",L846=""),"",IF(A846="","Type manquant",IF(AND(A846&lt;&gt;"BL",A846&lt;&gt;"BR",A846&lt;&gt;"BS"),"Type inconnu (BL, BR ou BS)",IF(AG846=0,"Date manquante ou invalide",IF(D846="",IF(A846="BL","Client manquant",IF(A846="BR","Fournisseur manquant","Service manquant")),IF(IF(A846="BL",ISNA(MATCH(D846,cl_code,0)),IF(A846="BR",ISNA(MATCH(D846,fo_code,0)),ISNA(MATCH(D846,p_services,0)))),IF(A846="BL","Client inconnu",IF(A846="BR","Fournisseur inconnu","Service inconnu")),IF(H846="","Article manquant",IF(ISNA(MATCH(H846,art_ref,0)),"Article inconnu",IF(OR(NOT(ISNUMBER(L846)),N(L846)&lt;=0),"Quantité invalide",IF(AND(K846&lt;&gt;"",OR(NOT(ISNUMBER(K846)),N(K846)&lt;=0)),"Qté commandée invalide",IF(AG846&lt;SUMPRODUCT(MAX((A$6:A845=A846)*AG$6:AG845)),"Date antérieure au bon précédent",IF(AND(A846&lt;&gt;"BR",ISNUMBER(M846),N(M846)&gt;0),IF(A846="BL","Livré plus que commandé","Sorti plus que demandé"),"OK"))))))))))))</f>
        <v/>
      </c>
      <c r="Y846" s="57" t="str">
        <f>IF(AND(OR(A846="BL",A846="BR",A846="BS"),AG846&gt;0,D846&lt;&gt;""),A846&amp;"|"&amp;AG846&amp;"|"&amp;D846&amp;"|"&amp;F846,"")</f>
        <v/>
      </c>
      <c r="Z846" s="57" t="str">
        <f>IF(Y846="","",IF(COUNTIF(Y$6:Y845,Y846)=0,1,0))</f>
        <v/>
      </c>
      <c r="AA846" s="57" t="str">
        <f>IF(Y846="","",IF(Z846=1,COUNTIFS(A$6:A846,A846,Z$6:Z846,1),INDEX(AA$6:AA845,MATCH(Y846,Y$6:Y845,0))))</f>
        <v/>
      </c>
      <c r="AB846" s="57" t="str">
        <f>IF(B846="","",COUNTIF(B$6:B846,B846))</f>
        <v/>
      </c>
      <c r="AC846" s="57" t="str">
        <f>IF(B846="","",B846&amp;"#"&amp;AB846)</f>
        <v/>
      </c>
      <c r="AD846" s="57" t="str">
        <f>IF(Z846=1,A846&amp;AA846,"")</f>
        <v/>
      </c>
      <c r="AE846" s="57" t="str">
        <f>IF(B846="","",YEAR(C846))</f>
        <v/>
      </c>
      <c r="AF846" s="57" t="str">
        <f>IF(B846="","",MONTH(C846))</f>
        <v/>
      </c>
      <c r="AG846" s="57">
        <f>IF(ISNUMBER(C846),C846,0)</f>
        <v>0.0</v>
      </c>
      <c r="AH846" s="57" t="str">
        <f>IF(N(W846)&gt;0,COUNTIF(W$6:W846,"&gt;0"),"")</f>
        <v/>
      </c>
      <c r="AI846" s="57" t="str">
        <f>IF(Z846=1,COUNTIF(Z$6:Z846,1),"")</f>
        <v/>
      </c>
    </row>
    <row r="847">
      <c r="A847" s="54" t="n"/>
      <c r="B847" s="55" t="str">
        <f>IF(AA847="","",A847&amp;"-"&amp;RIGHT("000"&amp;AA847,4))</f>
        <v/>
      </c>
      <c r="C847" s="56" t="n"/>
      <c r="D847" s="54" t="n"/>
      <c r="E847" s="57" t="str">
        <f>IF(D847="","",IF(A847="BL",IFERROR(INDEX(cl_name,MATCH(D847,cl_code,0))&amp;"","Client inconnu"),IF(A847="BR",IFERROR(INDEX(fo_name,MATCH(D847,fo_code,0))&amp;"","Fournisseur inconnu"),IF(A847="BS",IF(ISNA(MATCH(D847,p_services,0)),"Service inconnu",D847&amp;""),""))))</f>
        <v/>
      </c>
      <c r="F847" s="58" t="n"/>
      <c r="G847" s="58" t="n"/>
      <c r="H847" s="59" t="n"/>
      <c r="I847" s="57" t="str">
        <f>IF(H847="","",IFERROR(INDEX(art_des,MATCH(H847,art_ref,0))&amp;"","Article inconnu"))</f>
        <v/>
      </c>
      <c r="J847" s="60" t="str">
        <f>IF(H847="","",IFERROR(INDEX(art_unit,MATCH(H847,art_ref,0))&amp;"",""))</f>
        <v/>
      </c>
      <c r="K847" s="59" t="n"/>
      <c r="L847" s="59" t="n"/>
      <c r="M847" s="61" t="str">
        <f>IF(OR(B847="",NOT(ISNUMBER(K847)),NOT(ISNUMBER(L847))),"",IF(OR(K847&lt;=0,L847&lt;=0),"",ROUND(L847-K847,6)))</f>
        <v/>
      </c>
      <c r="N847" s="58" t="n"/>
      <c r="O847" s="62" t="n"/>
      <c r="P847" s="63" t="str">
        <f>IF(OR(B847="",NOT(ISNUMBER(L847))),"",IF(L847&lt;=0,"",IFERROR(ROUND(L847*N(INDEX(art_w,MATCH(H847,art_ref,0))),3),"")))</f>
        <v/>
      </c>
      <c r="Q847" s="59" t="n"/>
      <c r="R847" s="54" t="n"/>
      <c r="S847" s="59" t="n"/>
      <c r="T847" s="59" t="n"/>
      <c r="U847" s="64" t="str">
        <f>IF(OR(B847="",H847=""),"",IFERROR(IF(A847="BL",IF(N(INDEX(art_price,MATCH(H847,art_ref,0)))=0,"",N(INDEX(art_price,MATCH(H847,art_ref,0)))),IF(N(INDEX(art_cost,MATCH(H847,art_ref,0)))=0,"",N(INDEX(art_cost,MATCH(H847,art_ref,0))))),""))</f>
        <v/>
      </c>
      <c r="V847" s="64" t="str">
        <f>IF(OR(U847="",NOT(ISNUMBER(L847))),"",IF(L847&lt;=0,"",ROUND(L847*U847,2)))</f>
        <v/>
      </c>
      <c r="W847" s="60" t="str">
        <f>IF(AND(B847&lt;&gt;"",A847&lt;&gt;"BS",F847&lt;&gt;"",H847&lt;&gt;"",ISNUMBER(K847),ISNUMBER(L847)),IF(AND(K847&gt;0,L847&gt;0,K847-L847&gt;0,COUNTIFS(A848:A$2005,A847,F848:F$2005,F847,H848:H$2005,H847,AA848:AA$2005,"&gt;0")=0),ROUND(K847-L847,6),""),"")</f>
        <v/>
      </c>
      <c r="X847" s="60" t="str">
        <f>IF(AND(A847="",C847="",D847="",H847="",L847=""),"",IF(A847="","Type manquant",IF(AND(A847&lt;&gt;"BL",A847&lt;&gt;"BR",A847&lt;&gt;"BS"),"Type inconnu (BL, BR ou BS)",IF(AG847=0,"Date manquante ou invalide",IF(D847="",IF(A847="BL","Client manquant",IF(A847="BR","Fournisseur manquant","Service manquant")),IF(IF(A847="BL",ISNA(MATCH(D847,cl_code,0)),IF(A847="BR",ISNA(MATCH(D847,fo_code,0)),ISNA(MATCH(D847,p_services,0)))),IF(A847="BL","Client inconnu",IF(A847="BR","Fournisseur inconnu","Service inconnu")),IF(H847="","Article manquant",IF(ISNA(MATCH(H847,art_ref,0)),"Article inconnu",IF(OR(NOT(ISNUMBER(L847)),N(L847)&lt;=0),"Quantité invalide",IF(AND(K847&lt;&gt;"",OR(NOT(ISNUMBER(K847)),N(K847)&lt;=0)),"Qté commandée invalide",IF(AG847&lt;SUMPRODUCT(MAX((A$6:A846=A847)*AG$6:AG846)),"Date antérieure au bon précédent",IF(AND(A847&lt;&gt;"BR",ISNUMBER(M847),N(M847)&gt;0),IF(A847="BL","Livré plus que commandé","Sorti plus que demandé"),"OK"))))))))))))</f>
        <v/>
      </c>
      <c r="Y847" s="57" t="str">
        <f>IF(AND(OR(A847="BL",A847="BR",A847="BS"),AG847&gt;0,D847&lt;&gt;""),A847&amp;"|"&amp;AG847&amp;"|"&amp;D847&amp;"|"&amp;F847,"")</f>
        <v/>
      </c>
      <c r="Z847" s="57" t="str">
        <f>IF(Y847="","",IF(COUNTIF(Y$6:Y846,Y847)=0,1,0))</f>
        <v/>
      </c>
      <c r="AA847" s="57" t="str">
        <f>IF(Y847="","",IF(Z847=1,COUNTIFS(A$6:A847,A847,Z$6:Z847,1),INDEX(AA$6:AA846,MATCH(Y847,Y$6:Y846,0))))</f>
        <v/>
      </c>
      <c r="AB847" s="57" t="str">
        <f>IF(B847="","",COUNTIF(B$6:B847,B847))</f>
        <v/>
      </c>
      <c r="AC847" s="57" t="str">
        <f>IF(B847="","",B847&amp;"#"&amp;AB847)</f>
        <v/>
      </c>
      <c r="AD847" s="57" t="str">
        <f>IF(Z847=1,A847&amp;AA847,"")</f>
        <v/>
      </c>
      <c r="AE847" s="57" t="str">
        <f>IF(B847="","",YEAR(C847))</f>
        <v/>
      </c>
      <c r="AF847" s="57" t="str">
        <f>IF(B847="","",MONTH(C847))</f>
        <v/>
      </c>
      <c r="AG847" s="57">
        <f>IF(ISNUMBER(C847),C847,0)</f>
        <v>0.0</v>
      </c>
      <c r="AH847" s="57" t="str">
        <f>IF(N(W847)&gt;0,COUNTIF(W$6:W847,"&gt;0"),"")</f>
        <v/>
      </c>
      <c r="AI847" s="57" t="str">
        <f>IF(Z847=1,COUNTIF(Z$6:Z847,1),"")</f>
        <v/>
      </c>
    </row>
    <row r="848">
      <c r="A848" s="54" t="n"/>
      <c r="B848" s="55" t="str">
        <f>IF(AA848="","",A848&amp;"-"&amp;RIGHT("000"&amp;AA848,4))</f>
        <v/>
      </c>
      <c r="C848" s="56" t="n"/>
      <c r="D848" s="54" t="n"/>
      <c r="E848" s="57" t="str">
        <f>IF(D848="","",IF(A848="BL",IFERROR(INDEX(cl_name,MATCH(D848,cl_code,0))&amp;"","Client inconnu"),IF(A848="BR",IFERROR(INDEX(fo_name,MATCH(D848,fo_code,0))&amp;"","Fournisseur inconnu"),IF(A848="BS",IF(ISNA(MATCH(D848,p_services,0)),"Service inconnu",D848&amp;""),""))))</f>
        <v/>
      </c>
      <c r="F848" s="58" t="n"/>
      <c r="G848" s="58" t="n"/>
      <c r="H848" s="59" t="n"/>
      <c r="I848" s="57" t="str">
        <f>IF(H848="","",IFERROR(INDEX(art_des,MATCH(H848,art_ref,0))&amp;"","Article inconnu"))</f>
        <v/>
      </c>
      <c r="J848" s="60" t="str">
        <f>IF(H848="","",IFERROR(INDEX(art_unit,MATCH(H848,art_ref,0))&amp;"",""))</f>
        <v/>
      </c>
      <c r="K848" s="59" t="n"/>
      <c r="L848" s="59" t="n"/>
      <c r="M848" s="61" t="str">
        <f>IF(OR(B848="",NOT(ISNUMBER(K848)),NOT(ISNUMBER(L848))),"",IF(OR(K848&lt;=0,L848&lt;=0),"",ROUND(L848-K848,6)))</f>
        <v/>
      </c>
      <c r="N848" s="58" t="n"/>
      <c r="O848" s="62" t="n"/>
      <c r="P848" s="63" t="str">
        <f>IF(OR(B848="",NOT(ISNUMBER(L848))),"",IF(L848&lt;=0,"",IFERROR(ROUND(L848*N(INDEX(art_w,MATCH(H848,art_ref,0))),3),"")))</f>
        <v/>
      </c>
      <c r="Q848" s="59" t="n"/>
      <c r="R848" s="54" t="n"/>
      <c r="S848" s="59" t="n"/>
      <c r="T848" s="59" t="n"/>
      <c r="U848" s="64" t="str">
        <f>IF(OR(B848="",H848=""),"",IFERROR(IF(A848="BL",IF(N(INDEX(art_price,MATCH(H848,art_ref,0)))=0,"",N(INDEX(art_price,MATCH(H848,art_ref,0)))),IF(N(INDEX(art_cost,MATCH(H848,art_ref,0)))=0,"",N(INDEX(art_cost,MATCH(H848,art_ref,0))))),""))</f>
        <v/>
      </c>
      <c r="V848" s="64" t="str">
        <f>IF(OR(U848="",NOT(ISNUMBER(L848))),"",IF(L848&lt;=0,"",ROUND(L848*U848,2)))</f>
        <v/>
      </c>
      <c r="W848" s="60" t="str">
        <f>IF(AND(B848&lt;&gt;"",A848&lt;&gt;"BS",F848&lt;&gt;"",H848&lt;&gt;"",ISNUMBER(K848),ISNUMBER(L848)),IF(AND(K848&gt;0,L848&gt;0,K848-L848&gt;0,COUNTIFS(A849:A$2005,A848,F849:F$2005,F848,H849:H$2005,H848,AA849:AA$2005,"&gt;0")=0),ROUND(K848-L848,6),""),"")</f>
        <v/>
      </c>
      <c r="X848" s="60" t="str">
        <f>IF(AND(A848="",C848="",D848="",H848="",L848=""),"",IF(A848="","Type manquant",IF(AND(A848&lt;&gt;"BL",A848&lt;&gt;"BR",A848&lt;&gt;"BS"),"Type inconnu (BL, BR ou BS)",IF(AG848=0,"Date manquante ou invalide",IF(D848="",IF(A848="BL","Client manquant",IF(A848="BR","Fournisseur manquant","Service manquant")),IF(IF(A848="BL",ISNA(MATCH(D848,cl_code,0)),IF(A848="BR",ISNA(MATCH(D848,fo_code,0)),ISNA(MATCH(D848,p_services,0)))),IF(A848="BL","Client inconnu",IF(A848="BR","Fournisseur inconnu","Service inconnu")),IF(H848="","Article manquant",IF(ISNA(MATCH(H848,art_ref,0)),"Article inconnu",IF(OR(NOT(ISNUMBER(L848)),N(L848)&lt;=0),"Quantité invalide",IF(AND(K848&lt;&gt;"",OR(NOT(ISNUMBER(K848)),N(K848)&lt;=0)),"Qté commandée invalide",IF(AG848&lt;SUMPRODUCT(MAX((A$6:A847=A848)*AG$6:AG847)),"Date antérieure au bon précédent",IF(AND(A848&lt;&gt;"BR",ISNUMBER(M848),N(M848)&gt;0),IF(A848="BL","Livré plus que commandé","Sorti plus que demandé"),"OK"))))))))))))</f>
        <v/>
      </c>
      <c r="Y848" s="57" t="str">
        <f>IF(AND(OR(A848="BL",A848="BR",A848="BS"),AG848&gt;0,D848&lt;&gt;""),A848&amp;"|"&amp;AG848&amp;"|"&amp;D848&amp;"|"&amp;F848,"")</f>
        <v/>
      </c>
      <c r="Z848" s="57" t="str">
        <f>IF(Y848="","",IF(COUNTIF(Y$6:Y847,Y848)=0,1,0))</f>
        <v/>
      </c>
      <c r="AA848" s="57" t="str">
        <f>IF(Y848="","",IF(Z848=1,COUNTIFS(A$6:A848,A848,Z$6:Z848,1),INDEX(AA$6:AA847,MATCH(Y848,Y$6:Y847,0))))</f>
        <v/>
      </c>
      <c r="AB848" s="57" t="str">
        <f>IF(B848="","",COUNTIF(B$6:B848,B848))</f>
        <v/>
      </c>
      <c r="AC848" s="57" t="str">
        <f>IF(B848="","",B848&amp;"#"&amp;AB848)</f>
        <v/>
      </c>
      <c r="AD848" s="57" t="str">
        <f>IF(Z848=1,A848&amp;AA848,"")</f>
        <v/>
      </c>
      <c r="AE848" s="57" t="str">
        <f>IF(B848="","",YEAR(C848))</f>
        <v/>
      </c>
      <c r="AF848" s="57" t="str">
        <f>IF(B848="","",MONTH(C848))</f>
        <v/>
      </c>
      <c r="AG848" s="57">
        <f>IF(ISNUMBER(C848),C848,0)</f>
        <v>0.0</v>
      </c>
      <c r="AH848" s="57" t="str">
        <f>IF(N(W848)&gt;0,COUNTIF(W$6:W848,"&gt;0"),"")</f>
        <v/>
      </c>
      <c r="AI848" s="57" t="str">
        <f>IF(Z848=1,COUNTIF(Z$6:Z848,1),"")</f>
        <v/>
      </c>
    </row>
    <row r="849">
      <c r="A849" s="54" t="n"/>
      <c r="B849" s="55" t="str">
        <f>IF(AA849="","",A849&amp;"-"&amp;RIGHT("000"&amp;AA849,4))</f>
        <v/>
      </c>
      <c r="C849" s="56" t="n"/>
      <c r="D849" s="54" t="n"/>
      <c r="E849" s="57" t="str">
        <f>IF(D849="","",IF(A849="BL",IFERROR(INDEX(cl_name,MATCH(D849,cl_code,0))&amp;"","Client inconnu"),IF(A849="BR",IFERROR(INDEX(fo_name,MATCH(D849,fo_code,0))&amp;"","Fournisseur inconnu"),IF(A849="BS",IF(ISNA(MATCH(D849,p_services,0)),"Service inconnu",D849&amp;""),""))))</f>
        <v/>
      </c>
      <c r="F849" s="58" t="n"/>
      <c r="G849" s="58" t="n"/>
      <c r="H849" s="59" t="n"/>
      <c r="I849" s="57" t="str">
        <f>IF(H849="","",IFERROR(INDEX(art_des,MATCH(H849,art_ref,0))&amp;"","Article inconnu"))</f>
        <v/>
      </c>
      <c r="J849" s="60" t="str">
        <f>IF(H849="","",IFERROR(INDEX(art_unit,MATCH(H849,art_ref,0))&amp;"",""))</f>
        <v/>
      </c>
      <c r="K849" s="59" t="n"/>
      <c r="L849" s="59" t="n"/>
      <c r="M849" s="61" t="str">
        <f>IF(OR(B849="",NOT(ISNUMBER(K849)),NOT(ISNUMBER(L849))),"",IF(OR(K849&lt;=0,L849&lt;=0),"",ROUND(L849-K849,6)))</f>
        <v/>
      </c>
      <c r="N849" s="58" t="n"/>
      <c r="O849" s="62" t="n"/>
      <c r="P849" s="63" t="str">
        <f>IF(OR(B849="",NOT(ISNUMBER(L849))),"",IF(L849&lt;=0,"",IFERROR(ROUND(L849*N(INDEX(art_w,MATCH(H849,art_ref,0))),3),"")))</f>
        <v/>
      </c>
      <c r="Q849" s="59" t="n"/>
      <c r="R849" s="54" t="n"/>
      <c r="S849" s="59" t="n"/>
      <c r="T849" s="59" t="n"/>
      <c r="U849" s="64" t="str">
        <f>IF(OR(B849="",H849=""),"",IFERROR(IF(A849="BL",IF(N(INDEX(art_price,MATCH(H849,art_ref,0)))=0,"",N(INDEX(art_price,MATCH(H849,art_ref,0)))),IF(N(INDEX(art_cost,MATCH(H849,art_ref,0)))=0,"",N(INDEX(art_cost,MATCH(H849,art_ref,0))))),""))</f>
        <v/>
      </c>
      <c r="V849" s="64" t="str">
        <f>IF(OR(U849="",NOT(ISNUMBER(L849))),"",IF(L849&lt;=0,"",ROUND(L849*U849,2)))</f>
        <v/>
      </c>
      <c r="W849" s="60" t="str">
        <f>IF(AND(B849&lt;&gt;"",A849&lt;&gt;"BS",F849&lt;&gt;"",H849&lt;&gt;"",ISNUMBER(K849),ISNUMBER(L849)),IF(AND(K849&gt;0,L849&gt;0,K849-L849&gt;0,COUNTIFS(A850:A$2005,A849,F850:F$2005,F849,H850:H$2005,H849,AA850:AA$2005,"&gt;0")=0),ROUND(K849-L849,6),""),"")</f>
        <v/>
      </c>
      <c r="X849" s="60" t="str">
        <f>IF(AND(A849="",C849="",D849="",H849="",L849=""),"",IF(A849="","Type manquant",IF(AND(A849&lt;&gt;"BL",A849&lt;&gt;"BR",A849&lt;&gt;"BS"),"Type inconnu (BL, BR ou BS)",IF(AG849=0,"Date manquante ou invalide",IF(D849="",IF(A849="BL","Client manquant",IF(A849="BR","Fournisseur manquant","Service manquant")),IF(IF(A849="BL",ISNA(MATCH(D849,cl_code,0)),IF(A849="BR",ISNA(MATCH(D849,fo_code,0)),ISNA(MATCH(D849,p_services,0)))),IF(A849="BL","Client inconnu",IF(A849="BR","Fournisseur inconnu","Service inconnu")),IF(H849="","Article manquant",IF(ISNA(MATCH(H849,art_ref,0)),"Article inconnu",IF(OR(NOT(ISNUMBER(L849)),N(L849)&lt;=0),"Quantité invalide",IF(AND(K849&lt;&gt;"",OR(NOT(ISNUMBER(K849)),N(K849)&lt;=0)),"Qté commandée invalide",IF(AG849&lt;SUMPRODUCT(MAX((A$6:A848=A849)*AG$6:AG848)),"Date antérieure au bon précédent",IF(AND(A849&lt;&gt;"BR",ISNUMBER(M849),N(M849)&gt;0),IF(A849="BL","Livré plus que commandé","Sorti plus que demandé"),"OK"))))))))))))</f>
        <v/>
      </c>
      <c r="Y849" s="57" t="str">
        <f>IF(AND(OR(A849="BL",A849="BR",A849="BS"),AG849&gt;0,D849&lt;&gt;""),A849&amp;"|"&amp;AG849&amp;"|"&amp;D849&amp;"|"&amp;F849,"")</f>
        <v/>
      </c>
      <c r="Z849" s="57" t="str">
        <f>IF(Y849="","",IF(COUNTIF(Y$6:Y848,Y849)=0,1,0))</f>
        <v/>
      </c>
      <c r="AA849" s="57" t="str">
        <f>IF(Y849="","",IF(Z849=1,COUNTIFS(A$6:A849,A849,Z$6:Z849,1),INDEX(AA$6:AA848,MATCH(Y849,Y$6:Y848,0))))</f>
        <v/>
      </c>
      <c r="AB849" s="57" t="str">
        <f>IF(B849="","",COUNTIF(B$6:B849,B849))</f>
        <v/>
      </c>
      <c r="AC849" s="57" t="str">
        <f>IF(B849="","",B849&amp;"#"&amp;AB849)</f>
        <v/>
      </c>
      <c r="AD849" s="57" t="str">
        <f>IF(Z849=1,A849&amp;AA849,"")</f>
        <v/>
      </c>
      <c r="AE849" s="57" t="str">
        <f>IF(B849="","",YEAR(C849))</f>
        <v/>
      </c>
      <c r="AF849" s="57" t="str">
        <f>IF(B849="","",MONTH(C849))</f>
        <v/>
      </c>
      <c r="AG849" s="57">
        <f>IF(ISNUMBER(C849),C849,0)</f>
        <v>0.0</v>
      </c>
      <c r="AH849" s="57" t="str">
        <f>IF(N(W849)&gt;0,COUNTIF(W$6:W849,"&gt;0"),"")</f>
        <v/>
      </c>
      <c r="AI849" s="57" t="str">
        <f>IF(Z849=1,COUNTIF(Z$6:Z849,1),"")</f>
        <v/>
      </c>
    </row>
    <row r="850">
      <c r="A850" s="54" t="n"/>
      <c r="B850" s="55" t="str">
        <f>IF(AA850="","",A850&amp;"-"&amp;RIGHT("000"&amp;AA850,4))</f>
        <v/>
      </c>
      <c r="C850" s="56" t="n"/>
      <c r="D850" s="54" t="n"/>
      <c r="E850" s="57" t="str">
        <f>IF(D850="","",IF(A850="BL",IFERROR(INDEX(cl_name,MATCH(D850,cl_code,0))&amp;"","Client inconnu"),IF(A850="BR",IFERROR(INDEX(fo_name,MATCH(D850,fo_code,0))&amp;"","Fournisseur inconnu"),IF(A850="BS",IF(ISNA(MATCH(D850,p_services,0)),"Service inconnu",D850&amp;""),""))))</f>
        <v/>
      </c>
      <c r="F850" s="58" t="n"/>
      <c r="G850" s="58" t="n"/>
      <c r="H850" s="59" t="n"/>
      <c r="I850" s="57" t="str">
        <f>IF(H850="","",IFERROR(INDEX(art_des,MATCH(H850,art_ref,0))&amp;"","Article inconnu"))</f>
        <v/>
      </c>
      <c r="J850" s="60" t="str">
        <f>IF(H850="","",IFERROR(INDEX(art_unit,MATCH(H850,art_ref,0))&amp;"",""))</f>
        <v/>
      </c>
      <c r="K850" s="59" t="n"/>
      <c r="L850" s="59" t="n"/>
      <c r="M850" s="61" t="str">
        <f>IF(OR(B850="",NOT(ISNUMBER(K850)),NOT(ISNUMBER(L850))),"",IF(OR(K850&lt;=0,L850&lt;=0),"",ROUND(L850-K850,6)))</f>
        <v/>
      </c>
      <c r="N850" s="58" t="n"/>
      <c r="O850" s="62" t="n"/>
      <c r="P850" s="63" t="str">
        <f>IF(OR(B850="",NOT(ISNUMBER(L850))),"",IF(L850&lt;=0,"",IFERROR(ROUND(L850*N(INDEX(art_w,MATCH(H850,art_ref,0))),3),"")))</f>
        <v/>
      </c>
      <c r="Q850" s="59" t="n"/>
      <c r="R850" s="54" t="n"/>
      <c r="S850" s="59" t="n"/>
      <c r="T850" s="59" t="n"/>
      <c r="U850" s="64" t="str">
        <f>IF(OR(B850="",H850=""),"",IFERROR(IF(A850="BL",IF(N(INDEX(art_price,MATCH(H850,art_ref,0)))=0,"",N(INDEX(art_price,MATCH(H850,art_ref,0)))),IF(N(INDEX(art_cost,MATCH(H850,art_ref,0)))=0,"",N(INDEX(art_cost,MATCH(H850,art_ref,0))))),""))</f>
        <v/>
      </c>
      <c r="V850" s="64" t="str">
        <f>IF(OR(U850="",NOT(ISNUMBER(L850))),"",IF(L850&lt;=0,"",ROUND(L850*U850,2)))</f>
        <v/>
      </c>
      <c r="W850" s="60" t="str">
        <f>IF(AND(B850&lt;&gt;"",A850&lt;&gt;"BS",F850&lt;&gt;"",H850&lt;&gt;"",ISNUMBER(K850),ISNUMBER(L850)),IF(AND(K850&gt;0,L850&gt;0,K850-L850&gt;0,COUNTIFS(A851:A$2005,A850,F851:F$2005,F850,H851:H$2005,H850,AA851:AA$2005,"&gt;0")=0),ROUND(K850-L850,6),""),"")</f>
        <v/>
      </c>
      <c r="X850" s="60" t="str">
        <f>IF(AND(A850="",C850="",D850="",H850="",L850=""),"",IF(A850="","Type manquant",IF(AND(A850&lt;&gt;"BL",A850&lt;&gt;"BR",A850&lt;&gt;"BS"),"Type inconnu (BL, BR ou BS)",IF(AG850=0,"Date manquante ou invalide",IF(D850="",IF(A850="BL","Client manquant",IF(A850="BR","Fournisseur manquant","Service manquant")),IF(IF(A850="BL",ISNA(MATCH(D850,cl_code,0)),IF(A850="BR",ISNA(MATCH(D850,fo_code,0)),ISNA(MATCH(D850,p_services,0)))),IF(A850="BL","Client inconnu",IF(A850="BR","Fournisseur inconnu","Service inconnu")),IF(H850="","Article manquant",IF(ISNA(MATCH(H850,art_ref,0)),"Article inconnu",IF(OR(NOT(ISNUMBER(L850)),N(L850)&lt;=0),"Quantité invalide",IF(AND(K850&lt;&gt;"",OR(NOT(ISNUMBER(K850)),N(K850)&lt;=0)),"Qté commandée invalide",IF(AG850&lt;SUMPRODUCT(MAX((A$6:A849=A850)*AG$6:AG849)),"Date antérieure au bon précédent",IF(AND(A850&lt;&gt;"BR",ISNUMBER(M850),N(M850)&gt;0),IF(A850="BL","Livré plus que commandé","Sorti plus que demandé"),"OK"))))))))))))</f>
        <v/>
      </c>
      <c r="Y850" s="57" t="str">
        <f>IF(AND(OR(A850="BL",A850="BR",A850="BS"),AG850&gt;0,D850&lt;&gt;""),A850&amp;"|"&amp;AG850&amp;"|"&amp;D850&amp;"|"&amp;F850,"")</f>
        <v/>
      </c>
      <c r="Z850" s="57" t="str">
        <f>IF(Y850="","",IF(COUNTIF(Y$6:Y849,Y850)=0,1,0))</f>
        <v/>
      </c>
      <c r="AA850" s="57" t="str">
        <f>IF(Y850="","",IF(Z850=1,COUNTIFS(A$6:A850,A850,Z$6:Z850,1),INDEX(AA$6:AA849,MATCH(Y850,Y$6:Y849,0))))</f>
        <v/>
      </c>
      <c r="AB850" s="57" t="str">
        <f>IF(B850="","",COUNTIF(B$6:B850,B850))</f>
        <v/>
      </c>
      <c r="AC850" s="57" t="str">
        <f>IF(B850="","",B850&amp;"#"&amp;AB850)</f>
        <v/>
      </c>
      <c r="AD850" s="57" t="str">
        <f>IF(Z850=1,A850&amp;AA850,"")</f>
        <v/>
      </c>
      <c r="AE850" s="57" t="str">
        <f>IF(B850="","",YEAR(C850))</f>
        <v/>
      </c>
      <c r="AF850" s="57" t="str">
        <f>IF(B850="","",MONTH(C850))</f>
        <v/>
      </c>
      <c r="AG850" s="57">
        <f>IF(ISNUMBER(C850),C850,0)</f>
        <v>0.0</v>
      </c>
      <c r="AH850" s="57" t="str">
        <f>IF(N(W850)&gt;0,COUNTIF(W$6:W850,"&gt;0"),"")</f>
        <v/>
      </c>
      <c r="AI850" s="57" t="str">
        <f>IF(Z850=1,COUNTIF(Z$6:Z850,1),"")</f>
        <v/>
      </c>
    </row>
    <row r="851">
      <c r="A851" s="54" t="n"/>
      <c r="B851" s="55" t="str">
        <f>IF(AA851="","",A851&amp;"-"&amp;RIGHT("000"&amp;AA851,4))</f>
        <v/>
      </c>
      <c r="C851" s="56" t="n"/>
      <c r="D851" s="54" t="n"/>
      <c r="E851" s="57" t="str">
        <f>IF(D851="","",IF(A851="BL",IFERROR(INDEX(cl_name,MATCH(D851,cl_code,0))&amp;"","Client inconnu"),IF(A851="BR",IFERROR(INDEX(fo_name,MATCH(D851,fo_code,0))&amp;"","Fournisseur inconnu"),IF(A851="BS",IF(ISNA(MATCH(D851,p_services,0)),"Service inconnu",D851&amp;""),""))))</f>
        <v/>
      </c>
      <c r="F851" s="58" t="n"/>
      <c r="G851" s="58" t="n"/>
      <c r="H851" s="59" t="n"/>
      <c r="I851" s="57" t="str">
        <f>IF(H851="","",IFERROR(INDEX(art_des,MATCH(H851,art_ref,0))&amp;"","Article inconnu"))</f>
        <v/>
      </c>
      <c r="J851" s="60" t="str">
        <f>IF(H851="","",IFERROR(INDEX(art_unit,MATCH(H851,art_ref,0))&amp;"",""))</f>
        <v/>
      </c>
      <c r="K851" s="59" t="n"/>
      <c r="L851" s="59" t="n"/>
      <c r="M851" s="61" t="str">
        <f>IF(OR(B851="",NOT(ISNUMBER(K851)),NOT(ISNUMBER(L851))),"",IF(OR(K851&lt;=0,L851&lt;=0),"",ROUND(L851-K851,6)))</f>
        <v/>
      </c>
      <c r="N851" s="58" t="n"/>
      <c r="O851" s="62" t="n"/>
      <c r="P851" s="63" t="str">
        <f>IF(OR(B851="",NOT(ISNUMBER(L851))),"",IF(L851&lt;=0,"",IFERROR(ROUND(L851*N(INDEX(art_w,MATCH(H851,art_ref,0))),3),"")))</f>
        <v/>
      </c>
      <c r="Q851" s="59" t="n"/>
      <c r="R851" s="54" t="n"/>
      <c r="S851" s="59" t="n"/>
      <c r="T851" s="59" t="n"/>
      <c r="U851" s="64" t="str">
        <f>IF(OR(B851="",H851=""),"",IFERROR(IF(A851="BL",IF(N(INDEX(art_price,MATCH(H851,art_ref,0)))=0,"",N(INDEX(art_price,MATCH(H851,art_ref,0)))),IF(N(INDEX(art_cost,MATCH(H851,art_ref,0)))=0,"",N(INDEX(art_cost,MATCH(H851,art_ref,0))))),""))</f>
        <v/>
      </c>
      <c r="V851" s="64" t="str">
        <f>IF(OR(U851="",NOT(ISNUMBER(L851))),"",IF(L851&lt;=0,"",ROUND(L851*U851,2)))</f>
        <v/>
      </c>
      <c r="W851" s="60" t="str">
        <f>IF(AND(B851&lt;&gt;"",A851&lt;&gt;"BS",F851&lt;&gt;"",H851&lt;&gt;"",ISNUMBER(K851),ISNUMBER(L851)),IF(AND(K851&gt;0,L851&gt;0,K851-L851&gt;0,COUNTIFS(A852:A$2005,A851,F852:F$2005,F851,H852:H$2005,H851,AA852:AA$2005,"&gt;0")=0),ROUND(K851-L851,6),""),"")</f>
        <v/>
      </c>
      <c r="X851" s="60" t="str">
        <f>IF(AND(A851="",C851="",D851="",H851="",L851=""),"",IF(A851="","Type manquant",IF(AND(A851&lt;&gt;"BL",A851&lt;&gt;"BR",A851&lt;&gt;"BS"),"Type inconnu (BL, BR ou BS)",IF(AG851=0,"Date manquante ou invalide",IF(D851="",IF(A851="BL","Client manquant",IF(A851="BR","Fournisseur manquant","Service manquant")),IF(IF(A851="BL",ISNA(MATCH(D851,cl_code,0)),IF(A851="BR",ISNA(MATCH(D851,fo_code,0)),ISNA(MATCH(D851,p_services,0)))),IF(A851="BL","Client inconnu",IF(A851="BR","Fournisseur inconnu","Service inconnu")),IF(H851="","Article manquant",IF(ISNA(MATCH(H851,art_ref,0)),"Article inconnu",IF(OR(NOT(ISNUMBER(L851)),N(L851)&lt;=0),"Quantité invalide",IF(AND(K851&lt;&gt;"",OR(NOT(ISNUMBER(K851)),N(K851)&lt;=0)),"Qté commandée invalide",IF(AG851&lt;SUMPRODUCT(MAX((A$6:A850=A851)*AG$6:AG850)),"Date antérieure au bon précédent",IF(AND(A851&lt;&gt;"BR",ISNUMBER(M851),N(M851)&gt;0),IF(A851="BL","Livré plus que commandé","Sorti plus que demandé"),"OK"))))))))))))</f>
        <v/>
      </c>
      <c r="Y851" s="57" t="str">
        <f>IF(AND(OR(A851="BL",A851="BR",A851="BS"),AG851&gt;0,D851&lt;&gt;""),A851&amp;"|"&amp;AG851&amp;"|"&amp;D851&amp;"|"&amp;F851,"")</f>
        <v/>
      </c>
      <c r="Z851" s="57" t="str">
        <f>IF(Y851="","",IF(COUNTIF(Y$6:Y850,Y851)=0,1,0))</f>
        <v/>
      </c>
      <c r="AA851" s="57" t="str">
        <f>IF(Y851="","",IF(Z851=1,COUNTIFS(A$6:A851,A851,Z$6:Z851,1),INDEX(AA$6:AA850,MATCH(Y851,Y$6:Y850,0))))</f>
        <v/>
      </c>
      <c r="AB851" s="57" t="str">
        <f>IF(B851="","",COUNTIF(B$6:B851,B851))</f>
        <v/>
      </c>
      <c r="AC851" s="57" t="str">
        <f>IF(B851="","",B851&amp;"#"&amp;AB851)</f>
        <v/>
      </c>
      <c r="AD851" s="57" t="str">
        <f>IF(Z851=1,A851&amp;AA851,"")</f>
        <v/>
      </c>
      <c r="AE851" s="57" t="str">
        <f>IF(B851="","",YEAR(C851))</f>
        <v/>
      </c>
      <c r="AF851" s="57" t="str">
        <f>IF(B851="","",MONTH(C851))</f>
        <v/>
      </c>
      <c r="AG851" s="57">
        <f>IF(ISNUMBER(C851),C851,0)</f>
        <v>0.0</v>
      </c>
      <c r="AH851" s="57" t="str">
        <f>IF(N(W851)&gt;0,COUNTIF(W$6:W851,"&gt;0"),"")</f>
        <v/>
      </c>
      <c r="AI851" s="57" t="str">
        <f>IF(Z851=1,COUNTIF(Z$6:Z851,1),"")</f>
        <v/>
      </c>
    </row>
    <row r="852">
      <c r="A852" s="54" t="n"/>
      <c r="B852" s="55" t="str">
        <f>IF(AA852="","",A852&amp;"-"&amp;RIGHT("000"&amp;AA852,4))</f>
        <v/>
      </c>
      <c r="C852" s="56" t="n"/>
      <c r="D852" s="54" t="n"/>
      <c r="E852" s="57" t="str">
        <f>IF(D852="","",IF(A852="BL",IFERROR(INDEX(cl_name,MATCH(D852,cl_code,0))&amp;"","Client inconnu"),IF(A852="BR",IFERROR(INDEX(fo_name,MATCH(D852,fo_code,0))&amp;"","Fournisseur inconnu"),IF(A852="BS",IF(ISNA(MATCH(D852,p_services,0)),"Service inconnu",D852&amp;""),""))))</f>
        <v/>
      </c>
      <c r="F852" s="58" t="n"/>
      <c r="G852" s="58" t="n"/>
      <c r="H852" s="59" t="n"/>
      <c r="I852" s="57" t="str">
        <f>IF(H852="","",IFERROR(INDEX(art_des,MATCH(H852,art_ref,0))&amp;"","Article inconnu"))</f>
        <v/>
      </c>
      <c r="J852" s="60" t="str">
        <f>IF(H852="","",IFERROR(INDEX(art_unit,MATCH(H852,art_ref,0))&amp;"",""))</f>
        <v/>
      </c>
      <c r="K852" s="59" t="n"/>
      <c r="L852" s="59" t="n"/>
      <c r="M852" s="61" t="str">
        <f>IF(OR(B852="",NOT(ISNUMBER(K852)),NOT(ISNUMBER(L852))),"",IF(OR(K852&lt;=0,L852&lt;=0),"",ROUND(L852-K852,6)))</f>
        <v/>
      </c>
      <c r="N852" s="58" t="n"/>
      <c r="O852" s="62" t="n"/>
      <c r="P852" s="63" t="str">
        <f>IF(OR(B852="",NOT(ISNUMBER(L852))),"",IF(L852&lt;=0,"",IFERROR(ROUND(L852*N(INDEX(art_w,MATCH(H852,art_ref,0))),3),"")))</f>
        <v/>
      </c>
      <c r="Q852" s="59" t="n"/>
      <c r="R852" s="54" t="n"/>
      <c r="S852" s="59" t="n"/>
      <c r="T852" s="59" t="n"/>
      <c r="U852" s="64" t="str">
        <f>IF(OR(B852="",H852=""),"",IFERROR(IF(A852="BL",IF(N(INDEX(art_price,MATCH(H852,art_ref,0)))=0,"",N(INDEX(art_price,MATCH(H852,art_ref,0)))),IF(N(INDEX(art_cost,MATCH(H852,art_ref,0)))=0,"",N(INDEX(art_cost,MATCH(H852,art_ref,0))))),""))</f>
        <v/>
      </c>
      <c r="V852" s="64" t="str">
        <f>IF(OR(U852="",NOT(ISNUMBER(L852))),"",IF(L852&lt;=0,"",ROUND(L852*U852,2)))</f>
        <v/>
      </c>
      <c r="W852" s="60" t="str">
        <f>IF(AND(B852&lt;&gt;"",A852&lt;&gt;"BS",F852&lt;&gt;"",H852&lt;&gt;"",ISNUMBER(K852),ISNUMBER(L852)),IF(AND(K852&gt;0,L852&gt;0,K852-L852&gt;0,COUNTIFS(A853:A$2005,A852,F853:F$2005,F852,H853:H$2005,H852,AA853:AA$2005,"&gt;0")=0),ROUND(K852-L852,6),""),"")</f>
        <v/>
      </c>
      <c r="X852" s="60" t="str">
        <f>IF(AND(A852="",C852="",D852="",H852="",L852=""),"",IF(A852="","Type manquant",IF(AND(A852&lt;&gt;"BL",A852&lt;&gt;"BR",A852&lt;&gt;"BS"),"Type inconnu (BL, BR ou BS)",IF(AG852=0,"Date manquante ou invalide",IF(D852="",IF(A852="BL","Client manquant",IF(A852="BR","Fournisseur manquant","Service manquant")),IF(IF(A852="BL",ISNA(MATCH(D852,cl_code,0)),IF(A852="BR",ISNA(MATCH(D852,fo_code,0)),ISNA(MATCH(D852,p_services,0)))),IF(A852="BL","Client inconnu",IF(A852="BR","Fournisseur inconnu","Service inconnu")),IF(H852="","Article manquant",IF(ISNA(MATCH(H852,art_ref,0)),"Article inconnu",IF(OR(NOT(ISNUMBER(L852)),N(L852)&lt;=0),"Quantité invalide",IF(AND(K852&lt;&gt;"",OR(NOT(ISNUMBER(K852)),N(K852)&lt;=0)),"Qté commandée invalide",IF(AG852&lt;SUMPRODUCT(MAX((A$6:A851=A852)*AG$6:AG851)),"Date antérieure au bon précédent",IF(AND(A852&lt;&gt;"BR",ISNUMBER(M852),N(M852)&gt;0),IF(A852="BL","Livré plus que commandé","Sorti plus que demandé"),"OK"))))))))))))</f>
        <v/>
      </c>
      <c r="Y852" s="57" t="str">
        <f>IF(AND(OR(A852="BL",A852="BR",A852="BS"),AG852&gt;0,D852&lt;&gt;""),A852&amp;"|"&amp;AG852&amp;"|"&amp;D852&amp;"|"&amp;F852,"")</f>
        <v/>
      </c>
      <c r="Z852" s="57" t="str">
        <f>IF(Y852="","",IF(COUNTIF(Y$6:Y851,Y852)=0,1,0))</f>
        <v/>
      </c>
      <c r="AA852" s="57" t="str">
        <f>IF(Y852="","",IF(Z852=1,COUNTIFS(A$6:A852,A852,Z$6:Z852,1),INDEX(AA$6:AA851,MATCH(Y852,Y$6:Y851,0))))</f>
        <v/>
      </c>
      <c r="AB852" s="57" t="str">
        <f>IF(B852="","",COUNTIF(B$6:B852,B852))</f>
        <v/>
      </c>
      <c r="AC852" s="57" t="str">
        <f>IF(B852="","",B852&amp;"#"&amp;AB852)</f>
        <v/>
      </c>
      <c r="AD852" s="57" t="str">
        <f>IF(Z852=1,A852&amp;AA852,"")</f>
        <v/>
      </c>
      <c r="AE852" s="57" t="str">
        <f>IF(B852="","",YEAR(C852))</f>
        <v/>
      </c>
      <c r="AF852" s="57" t="str">
        <f>IF(B852="","",MONTH(C852))</f>
        <v/>
      </c>
      <c r="AG852" s="57">
        <f>IF(ISNUMBER(C852),C852,0)</f>
        <v>0.0</v>
      </c>
      <c r="AH852" s="57" t="str">
        <f>IF(N(W852)&gt;0,COUNTIF(W$6:W852,"&gt;0"),"")</f>
        <v/>
      </c>
      <c r="AI852" s="57" t="str">
        <f>IF(Z852=1,COUNTIF(Z$6:Z852,1),"")</f>
        <v/>
      </c>
    </row>
    <row r="853">
      <c r="A853" s="54" t="n"/>
      <c r="B853" s="55" t="str">
        <f>IF(AA853="","",A853&amp;"-"&amp;RIGHT("000"&amp;AA853,4))</f>
        <v/>
      </c>
      <c r="C853" s="56" t="n"/>
      <c r="D853" s="54" t="n"/>
      <c r="E853" s="57" t="str">
        <f>IF(D853="","",IF(A853="BL",IFERROR(INDEX(cl_name,MATCH(D853,cl_code,0))&amp;"","Client inconnu"),IF(A853="BR",IFERROR(INDEX(fo_name,MATCH(D853,fo_code,0))&amp;"","Fournisseur inconnu"),IF(A853="BS",IF(ISNA(MATCH(D853,p_services,0)),"Service inconnu",D853&amp;""),""))))</f>
        <v/>
      </c>
      <c r="F853" s="58" t="n"/>
      <c r="G853" s="58" t="n"/>
      <c r="H853" s="59" t="n"/>
      <c r="I853" s="57" t="str">
        <f>IF(H853="","",IFERROR(INDEX(art_des,MATCH(H853,art_ref,0))&amp;"","Article inconnu"))</f>
        <v/>
      </c>
      <c r="J853" s="60" t="str">
        <f>IF(H853="","",IFERROR(INDEX(art_unit,MATCH(H853,art_ref,0))&amp;"",""))</f>
        <v/>
      </c>
      <c r="K853" s="59" t="n"/>
      <c r="L853" s="59" t="n"/>
      <c r="M853" s="61" t="str">
        <f>IF(OR(B853="",NOT(ISNUMBER(K853)),NOT(ISNUMBER(L853))),"",IF(OR(K853&lt;=0,L853&lt;=0),"",ROUND(L853-K853,6)))</f>
        <v/>
      </c>
      <c r="N853" s="58" t="n"/>
      <c r="O853" s="62" t="n"/>
      <c r="P853" s="63" t="str">
        <f>IF(OR(B853="",NOT(ISNUMBER(L853))),"",IF(L853&lt;=0,"",IFERROR(ROUND(L853*N(INDEX(art_w,MATCH(H853,art_ref,0))),3),"")))</f>
        <v/>
      </c>
      <c r="Q853" s="59" t="n"/>
      <c r="R853" s="54" t="n"/>
      <c r="S853" s="59" t="n"/>
      <c r="T853" s="59" t="n"/>
      <c r="U853" s="64" t="str">
        <f>IF(OR(B853="",H853=""),"",IFERROR(IF(A853="BL",IF(N(INDEX(art_price,MATCH(H853,art_ref,0)))=0,"",N(INDEX(art_price,MATCH(H853,art_ref,0)))),IF(N(INDEX(art_cost,MATCH(H853,art_ref,0)))=0,"",N(INDEX(art_cost,MATCH(H853,art_ref,0))))),""))</f>
        <v/>
      </c>
      <c r="V853" s="64" t="str">
        <f>IF(OR(U853="",NOT(ISNUMBER(L853))),"",IF(L853&lt;=0,"",ROUND(L853*U853,2)))</f>
        <v/>
      </c>
      <c r="W853" s="60" t="str">
        <f>IF(AND(B853&lt;&gt;"",A853&lt;&gt;"BS",F853&lt;&gt;"",H853&lt;&gt;"",ISNUMBER(K853),ISNUMBER(L853)),IF(AND(K853&gt;0,L853&gt;0,K853-L853&gt;0,COUNTIFS(A854:A$2005,A853,F854:F$2005,F853,H854:H$2005,H853,AA854:AA$2005,"&gt;0")=0),ROUND(K853-L853,6),""),"")</f>
        <v/>
      </c>
      <c r="X853" s="60" t="str">
        <f>IF(AND(A853="",C853="",D853="",H853="",L853=""),"",IF(A853="","Type manquant",IF(AND(A853&lt;&gt;"BL",A853&lt;&gt;"BR",A853&lt;&gt;"BS"),"Type inconnu (BL, BR ou BS)",IF(AG853=0,"Date manquante ou invalide",IF(D853="",IF(A853="BL","Client manquant",IF(A853="BR","Fournisseur manquant","Service manquant")),IF(IF(A853="BL",ISNA(MATCH(D853,cl_code,0)),IF(A853="BR",ISNA(MATCH(D853,fo_code,0)),ISNA(MATCH(D853,p_services,0)))),IF(A853="BL","Client inconnu",IF(A853="BR","Fournisseur inconnu","Service inconnu")),IF(H853="","Article manquant",IF(ISNA(MATCH(H853,art_ref,0)),"Article inconnu",IF(OR(NOT(ISNUMBER(L853)),N(L853)&lt;=0),"Quantité invalide",IF(AND(K853&lt;&gt;"",OR(NOT(ISNUMBER(K853)),N(K853)&lt;=0)),"Qté commandée invalide",IF(AG853&lt;SUMPRODUCT(MAX((A$6:A852=A853)*AG$6:AG852)),"Date antérieure au bon précédent",IF(AND(A853&lt;&gt;"BR",ISNUMBER(M853),N(M853)&gt;0),IF(A853="BL","Livré plus que commandé","Sorti plus que demandé"),"OK"))))))))))))</f>
        <v/>
      </c>
      <c r="Y853" s="57" t="str">
        <f>IF(AND(OR(A853="BL",A853="BR",A853="BS"),AG853&gt;0,D853&lt;&gt;""),A853&amp;"|"&amp;AG853&amp;"|"&amp;D853&amp;"|"&amp;F853,"")</f>
        <v/>
      </c>
      <c r="Z853" s="57" t="str">
        <f>IF(Y853="","",IF(COUNTIF(Y$6:Y852,Y853)=0,1,0))</f>
        <v/>
      </c>
      <c r="AA853" s="57" t="str">
        <f>IF(Y853="","",IF(Z853=1,COUNTIFS(A$6:A853,A853,Z$6:Z853,1),INDEX(AA$6:AA852,MATCH(Y853,Y$6:Y852,0))))</f>
        <v/>
      </c>
      <c r="AB853" s="57" t="str">
        <f>IF(B853="","",COUNTIF(B$6:B853,B853))</f>
        <v/>
      </c>
      <c r="AC853" s="57" t="str">
        <f>IF(B853="","",B853&amp;"#"&amp;AB853)</f>
        <v/>
      </c>
      <c r="AD853" s="57" t="str">
        <f>IF(Z853=1,A853&amp;AA853,"")</f>
        <v/>
      </c>
      <c r="AE853" s="57" t="str">
        <f>IF(B853="","",YEAR(C853))</f>
        <v/>
      </c>
      <c r="AF853" s="57" t="str">
        <f>IF(B853="","",MONTH(C853))</f>
        <v/>
      </c>
      <c r="AG853" s="57">
        <f>IF(ISNUMBER(C853),C853,0)</f>
        <v>0.0</v>
      </c>
      <c r="AH853" s="57" t="str">
        <f>IF(N(W853)&gt;0,COUNTIF(W$6:W853,"&gt;0"),"")</f>
        <v/>
      </c>
      <c r="AI853" s="57" t="str">
        <f>IF(Z853=1,COUNTIF(Z$6:Z853,1),"")</f>
        <v/>
      </c>
    </row>
    <row r="854">
      <c r="A854" s="54" t="n"/>
      <c r="B854" s="55" t="str">
        <f>IF(AA854="","",A854&amp;"-"&amp;RIGHT("000"&amp;AA854,4))</f>
        <v/>
      </c>
      <c r="C854" s="56" t="n"/>
      <c r="D854" s="54" t="n"/>
      <c r="E854" s="57" t="str">
        <f>IF(D854="","",IF(A854="BL",IFERROR(INDEX(cl_name,MATCH(D854,cl_code,0))&amp;"","Client inconnu"),IF(A854="BR",IFERROR(INDEX(fo_name,MATCH(D854,fo_code,0))&amp;"","Fournisseur inconnu"),IF(A854="BS",IF(ISNA(MATCH(D854,p_services,0)),"Service inconnu",D854&amp;""),""))))</f>
        <v/>
      </c>
      <c r="F854" s="58" t="n"/>
      <c r="G854" s="58" t="n"/>
      <c r="H854" s="59" t="n"/>
      <c r="I854" s="57" t="str">
        <f>IF(H854="","",IFERROR(INDEX(art_des,MATCH(H854,art_ref,0))&amp;"","Article inconnu"))</f>
        <v/>
      </c>
      <c r="J854" s="60" t="str">
        <f>IF(H854="","",IFERROR(INDEX(art_unit,MATCH(H854,art_ref,0))&amp;"",""))</f>
        <v/>
      </c>
      <c r="K854" s="59" t="n"/>
      <c r="L854" s="59" t="n"/>
      <c r="M854" s="61" t="str">
        <f>IF(OR(B854="",NOT(ISNUMBER(K854)),NOT(ISNUMBER(L854))),"",IF(OR(K854&lt;=0,L854&lt;=0),"",ROUND(L854-K854,6)))</f>
        <v/>
      </c>
      <c r="N854" s="58" t="n"/>
      <c r="O854" s="62" t="n"/>
      <c r="P854" s="63" t="str">
        <f>IF(OR(B854="",NOT(ISNUMBER(L854))),"",IF(L854&lt;=0,"",IFERROR(ROUND(L854*N(INDEX(art_w,MATCH(H854,art_ref,0))),3),"")))</f>
        <v/>
      </c>
      <c r="Q854" s="59" t="n"/>
      <c r="R854" s="54" t="n"/>
      <c r="S854" s="59" t="n"/>
      <c r="T854" s="59" t="n"/>
      <c r="U854" s="64" t="str">
        <f>IF(OR(B854="",H854=""),"",IFERROR(IF(A854="BL",IF(N(INDEX(art_price,MATCH(H854,art_ref,0)))=0,"",N(INDEX(art_price,MATCH(H854,art_ref,0)))),IF(N(INDEX(art_cost,MATCH(H854,art_ref,0)))=0,"",N(INDEX(art_cost,MATCH(H854,art_ref,0))))),""))</f>
        <v/>
      </c>
      <c r="V854" s="64" t="str">
        <f>IF(OR(U854="",NOT(ISNUMBER(L854))),"",IF(L854&lt;=0,"",ROUND(L854*U854,2)))</f>
        <v/>
      </c>
      <c r="W854" s="60" t="str">
        <f>IF(AND(B854&lt;&gt;"",A854&lt;&gt;"BS",F854&lt;&gt;"",H854&lt;&gt;"",ISNUMBER(K854),ISNUMBER(L854)),IF(AND(K854&gt;0,L854&gt;0,K854-L854&gt;0,COUNTIFS(A855:A$2005,A854,F855:F$2005,F854,H855:H$2005,H854,AA855:AA$2005,"&gt;0")=0),ROUND(K854-L854,6),""),"")</f>
        <v/>
      </c>
      <c r="X854" s="60" t="str">
        <f>IF(AND(A854="",C854="",D854="",H854="",L854=""),"",IF(A854="","Type manquant",IF(AND(A854&lt;&gt;"BL",A854&lt;&gt;"BR",A854&lt;&gt;"BS"),"Type inconnu (BL, BR ou BS)",IF(AG854=0,"Date manquante ou invalide",IF(D854="",IF(A854="BL","Client manquant",IF(A854="BR","Fournisseur manquant","Service manquant")),IF(IF(A854="BL",ISNA(MATCH(D854,cl_code,0)),IF(A854="BR",ISNA(MATCH(D854,fo_code,0)),ISNA(MATCH(D854,p_services,0)))),IF(A854="BL","Client inconnu",IF(A854="BR","Fournisseur inconnu","Service inconnu")),IF(H854="","Article manquant",IF(ISNA(MATCH(H854,art_ref,0)),"Article inconnu",IF(OR(NOT(ISNUMBER(L854)),N(L854)&lt;=0),"Quantité invalide",IF(AND(K854&lt;&gt;"",OR(NOT(ISNUMBER(K854)),N(K854)&lt;=0)),"Qté commandée invalide",IF(AG854&lt;SUMPRODUCT(MAX((A$6:A853=A854)*AG$6:AG853)),"Date antérieure au bon précédent",IF(AND(A854&lt;&gt;"BR",ISNUMBER(M854),N(M854)&gt;0),IF(A854="BL","Livré plus que commandé","Sorti plus que demandé"),"OK"))))))))))))</f>
        <v/>
      </c>
      <c r="Y854" s="57" t="str">
        <f>IF(AND(OR(A854="BL",A854="BR",A854="BS"),AG854&gt;0,D854&lt;&gt;""),A854&amp;"|"&amp;AG854&amp;"|"&amp;D854&amp;"|"&amp;F854,"")</f>
        <v/>
      </c>
      <c r="Z854" s="57" t="str">
        <f>IF(Y854="","",IF(COUNTIF(Y$6:Y853,Y854)=0,1,0))</f>
        <v/>
      </c>
      <c r="AA854" s="57" t="str">
        <f>IF(Y854="","",IF(Z854=1,COUNTIFS(A$6:A854,A854,Z$6:Z854,1),INDEX(AA$6:AA853,MATCH(Y854,Y$6:Y853,0))))</f>
        <v/>
      </c>
      <c r="AB854" s="57" t="str">
        <f>IF(B854="","",COUNTIF(B$6:B854,B854))</f>
        <v/>
      </c>
      <c r="AC854" s="57" t="str">
        <f>IF(B854="","",B854&amp;"#"&amp;AB854)</f>
        <v/>
      </c>
      <c r="AD854" s="57" t="str">
        <f>IF(Z854=1,A854&amp;AA854,"")</f>
        <v/>
      </c>
      <c r="AE854" s="57" t="str">
        <f>IF(B854="","",YEAR(C854))</f>
        <v/>
      </c>
      <c r="AF854" s="57" t="str">
        <f>IF(B854="","",MONTH(C854))</f>
        <v/>
      </c>
      <c r="AG854" s="57">
        <f>IF(ISNUMBER(C854),C854,0)</f>
        <v>0.0</v>
      </c>
      <c r="AH854" s="57" t="str">
        <f>IF(N(W854)&gt;0,COUNTIF(W$6:W854,"&gt;0"),"")</f>
        <v/>
      </c>
      <c r="AI854" s="57" t="str">
        <f>IF(Z854=1,COUNTIF(Z$6:Z854,1),"")</f>
        <v/>
      </c>
    </row>
    <row r="855">
      <c r="A855" s="54" t="n"/>
      <c r="B855" s="55" t="str">
        <f>IF(AA855="","",A855&amp;"-"&amp;RIGHT("000"&amp;AA855,4))</f>
        <v/>
      </c>
      <c r="C855" s="56" t="n"/>
      <c r="D855" s="54" t="n"/>
      <c r="E855" s="57" t="str">
        <f>IF(D855="","",IF(A855="BL",IFERROR(INDEX(cl_name,MATCH(D855,cl_code,0))&amp;"","Client inconnu"),IF(A855="BR",IFERROR(INDEX(fo_name,MATCH(D855,fo_code,0))&amp;"","Fournisseur inconnu"),IF(A855="BS",IF(ISNA(MATCH(D855,p_services,0)),"Service inconnu",D855&amp;""),""))))</f>
        <v/>
      </c>
      <c r="F855" s="58" t="n"/>
      <c r="G855" s="58" t="n"/>
      <c r="H855" s="59" t="n"/>
      <c r="I855" s="57" t="str">
        <f>IF(H855="","",IFERROR(INDEX(art_des,MATCH(H855,art_ref,0))&amp;"","Article inconnu"))</f>
        <v/>
      </c>
      <c r="J855" s="60" t="str">
        <f>IF(H855="","",IFERROR(INDEX(art_unit,MATCH(H855,art_ref,0))&amp;"",""))</f>
        <v/>
      </c>
      <c r="K855" s="59" t="n"/>
      <c r="L855" s="59" t="n"/>
      <c r="M855" s="61" t="str">
        <f>IF(OR(B855="",NOT(ISNUMBER(K855)),NOT(ISNUMBER(L855))),"",IF(OR(K855&lt;=0,L855&lt;=0),"",ROUND(L855-K855,6)))</f>
        <v/>
      </c>
      <c r="N855" s="58" t="n"/>
      <c r="O855" s="62" t="n"/>
      <c r="P855" s="63" t="str">
        <f>IF(OR(B855="",NOT(ISNUMBER(L855))),"",IF(L855&lt;=0,"",IFERROR(ROUND(L855*N(INDEX(art_w,MATCH(H855,art_ref,0))),3),"")))</f>
        <v/>
      </c>
      <c r="Q855" s="59" t="n"/>
      <c r="R855" s="54" t="n"/>
      <c r="S855" s="59" t="n"/>
      <c r="T855" s="59" t="n"/>
      <c r="U855" s="64" t="str">
        <f>IF(OR(B855="",H855=""),"",IFERROR(IF(A855="BL",IF(N(INDEX(art_price,MATCH(H855,art_ref,0)))=0,"",N(INDEX(art_price,MATCH(H855,art_ref,0)))),IF(N(INDEX(art_cost,MATCH(H855,art_ref,0)))=0,"",N(INDEX(art_cost,MATCH(H855,art_ref,0))))),""))</f>
        <v/>
      </c>
      <c r="V855" s="64" t="str">
        <f>IF(OR(U855="",NOT(ISNUMBER(L855))),"",IF(L855&lt;=0,"",ROUND(L855*U855,2)))</f>
        <v/>
      </c>
      <c r="W855" s="60" t="str">
        <f>IF(AND(B855&lt;&gt;"",A855&lt;&gt;"BS",F855&lt;&gt;"",H855&lt;&gt;"",ISNUMBER(K855),ISNUMBER(L855)),IF(AND(K855&gt;0,L855&gt;0,K855-L855&gt;0,COUNTIFS(A856:A$2005,A855,F856:F$2005,F855,H856:H$2005,H855,AA856:AA$2005,"&gt;0")=0),ROUND(K855-L855,6),""),"")</f>
        <v/>
      </c>
      <c r="X855" s="60" t="str">
        <f>IF(AND(A855="",C855="",D855="",H855="",L855=""),"",IF(A855="","Type manquant",IF(AND(A855&lt;&gt;"BL",A855&lt;&gt;"BR",A855&lt;&gt;"BS"),"Type inconnu (BL, BR ou BS)",IF(AG855=0,"Date manquante ou invalide",IF(D855="",IF(A855="BL","Client manquant",IF(A855="BR","Fournisseur manquant","Service manquant")),IF(IF(A855="BL",ISNA(MATCH(D855,cl_code,0)),IF(A855="BR",ISNA(MATCH(D855,fo_code,0)),ISNA(MATCH(D855,p_services,0)))),IF(A855="BL","Client inconnu",IF(A855="BR","Fournisseur inconnu","Service inconnu")),IF(H855="","Article manquant",IF(ISNA(MATCH(H855,art_ref,0)),"Article inconnu",IF(OR(NOT(ISNUMBER(L855)),N(L855)&lt;=0),"Quantité invalide",IF(AND(K855&lt;&gt;"",OR(NOT(ISNUMBER(K855)),N(K855)&lt;=0)),"Qté commandée invalide",IF(AG855&lt;SUMPRODUCT(MAX((A$6:A854=A855)*AG$6:AG854)),"Date antérieure au bon précédent",IF(AND(A855&lt;&gt;"BR",ISNUMBER(M855),N(M855)&gt;0),IF(A855="BL","Livré plus que commandé","Sorti plus que demandé"),"OK"))))))))))))</f>
        <v/>
      </c>
      <c r="Y855" s="57" t="str">
        <f>IF(AND(OR(A855="BL",A855="BR",A855="BS"),AG855&gt;0,D855&lt;&gt;""),A855&amp;"|"&amp;AG855&amp;"|"&amp;D855&amp;"|"&amp;F855,"")</f>
        <v/>
      </c>
      <c r="Z855" s="57" t="str">
        <f>IF(Y855="","",IF(COUNTIF(Y$6:Y854,Y855)=0,1,0))</f>
        <v/>
      </c>
      <c r="AA855" s="57" t="str">
        <f>IF(Y855="","",IF(Z855=1,COUNTIFS(A$6:A855,A855,Z$6:Z855,1),INDEX(AA$6:AA854,MATCH(Y855,Y$6:Y854,0))))</f>
        <v/>
      </c>
      <c r="AB855" s="57" t="str">
        <f>IF(B855="","",COUNTIF(B$6:B855,B855))</f>
        <v/>
      </c>
      <c r="AC855" s="57" t="str">
        <f>IF(B855="","",B855&amp;"#"&amp;AB855)</f>
        <v/>
      </c>
      <c r="AD855" s="57" t="str">
        <f>IF(Z855=1,A855&amp;AA855,"")</f>
        <v/>
      </c>
      <c r="AE855" s="57" t="str">
        <f>IF(B855="","",YEAR(C855))</f>
        <v/>
      </c>
      <c r="AF855" s="57" t="str">
        <f>IF(B855="","",MONTH(C855))</f>
        <v/>
      </c>
      <c r="AG855" s="57">
        <f>IF(ISNUMBER(C855),C855,0)</f>
        <v>0.0</v>
      </c>
      <c r="AH855" s="57" t="str">
        <f>IF(N(W855)&gt;0,COUNTIF(W$6:W855,"&gt;0"),"")</f>
        <v/>
      </c>
      <c r="AI855" s="57" t="str">
        <f>IF(Z855=1,COUNTIF(Z$6:Z855,1),"")</f>
        <v/>
      </c>
    </row>
    <row r="856">
      <c r="A856" s="54" t="n"/>
      <c r="B856" s="55" t="str">
        <f>IF(AA856="","",A856&amp;"-"&amp;RIGHT("000"&amp;AA856,4))</f>
        <v/>
      </c>
      <c r="C856" s="56" t="n"/>
      <c r="D856" s="54" t="n"/>
      <c r="E856" s="57" t="str">
        <f>IF(D856="","",IF(A856="BL",IFERROR(INDEX(cl_name,MATCH(D856,cl_code,0))&amp;"","Client inconnu"),IF(A856="BR",IFERROR(INDEX(fo_name,MATCH(D856,fo_code,0))&amp;"","Fournisseur inconnu"),IF(A856="BS",IF(ISNA(MATCH(D856,p_services,0)),"Service inconnu",D856&amp;""),""))))</f>
        <v/>
      </c>
      <c r="F856" s="58" t="n"/>
      <c r="G856" s="58" t="n"/>
      <c r="H856" s="59" t="n"/>
      <c r="I856" s="57" t="str">
        <f>IF(H856="","",IFERROR(INDEX(art_des,MATCH(H856,art_ref,0))&amp;"","Article inconnu"))</f>
        <v/>
      </c>
      <c r="J856" s="60" t="str">
        <f>IF(H856="","",IFERROR(INDEX(art_unit,MATCH(H856,art_ref,0))&amp;"",""))</f>
        <v/>
      </c>
      <c r="K856" s="59" t="n"/>
      <c r="L856" s="59" t="n"/>
      <c r="M856" s="61" t="str">
        <f>IF(OR(B856="",NOT(ISNUMBER(K856)),NOT(ISNUMBER(L856))),"",IF(OR(K856&lt;=0,L856&lt;=0),"",ROUND(L856-K856,6)))</f>
        <v/>
      </c>
      <c r="N856" s="58" t="n"/>
      <c r="O856" s="62" t="n"/>
      <c r="P856" s="63" t="str">
        <f>IF(OR(B856="",NOT(ISNUMBER(L856))),"",IF(L856&lt;=0,"",IFERROR(ROUND(L856*N(INDEX(art_w,MATCH(H856,art_ref,0))),3),"")))</f>
        <v/>
      </c>
      <c r="Q856" s="59" t="n"/>
      <c r="R856" s="54" t="n"/>
      <c r="S856" s="59" t="n"/>
      <c r="T856" s="59" t="n"/>
      <c r="U856" s="64" t="str">
        <f>IF(OR(B856="",H856=""),"",IFERROR(IF(A856="BL",IF(N(INDEX(art_price,MATCH(H856,art_ref,0)))=0,"",N(INDEX(art_price,MATCH(H856,art_ref,0)))),IF(N(INDEX(art_cost,MATCH(H856,art_ref,0)))=0,"",N(INDEX(art_cost,MATCH(H856,art_ref,0))))),""))</f>
        <v/>
      </c>
      <c r="V856" s="64" t="str">
        <f>IF(OR(U856="",NOT(ISNUMBER(L856))),"",IF(L856&lt;=0,"",ROUND(L856*U856,2)))</f>
        <v/>
      </c>
      <c r="W856" s="60" t="str">
        <f>IF(AND(B856&lt;&gt;"",A856&lt;&gt;"BS",F856&lt;&gt;"",H856&lt;&gt;"",ISNUMBER(K856),ISNUMBER(L856)),IF(AND(K856&gt;0,L856&gt;0,K856-L856&gt;0,COUNTIFS(A857:A$2005,A856,F857:F$2005,F856,H857:H$2005,H856,AA857:AA$2005,"&gt;0")=0),ROUND(K856-L856,6),""),"")</f>
        <v/>
      </c>
      <c r="X856" s="60" t="str">
        <f>IF(AND(A856="",C856="",D856="",H856="",L856=""),"",IF(A856="","Type manquant",IF(AND(A856&lt;&gt;"BL",A856&lt;&gt;"BR",A856&lt;&gt;"BS"),"Type inconnu (BL, BR ou BS)",IF(AG856=0,"Date manquante ou invalide",IF(D856="",IF(A856="BL","Client manquant",IF(A856="BR","Fournisseur manquant","Service manquant")),IF(IF(A856="BL",ISNA(MATCH(D856,cl_code,0)),IF(A856="BR",ISNA(MATCH(D856,fo_code,0)),ISNA(MATCH(D856,p_services,0)))),IF(A856="BL","Client inconnu",IF(A856="BR","Fournisseur inconnu","Service inconnu")),IF(H856="","Article manquant",IF(ISNA(MATCH(H856,art_ref,0)),"Article inconnu",IF(OR(NOT(ISNUMBER(L856)),N(L856)&lt;=0),"Quantité invalide",IF(AND(K856&lt;&gt;"",OR(NOT(ISNUMBER(K856)),N(K856)&lt;=0)),"Qté commandée invalide",IF(AG856&lt;SUMPRODUCT(MAX((A$6:A855=A856)*AG$6:AG855)),"Date antérieure au bon précédent",IF(AND(A856&lt;&gt;"BR",ISNUMBER(M856),N(M856)&gt;0),IF(A856="BL","Livré plus que commandé","Sorti plus que demandé"),"OK"))))))))))))</f>
        <v/>
      </c>
      <c r="Y856" s="57" t="str">
        <f>IF(AND(OR(A856="BL",A856="BR",A856="BS"),AG856&gt;0,D856&lt;&gt;""),A856&amp;"|"&amp;AG856&amp;"|"&amp;D856&amp;"|"&amp;F856,"")</f>
        <v/>
      </c>
      <c r="Z856" s="57" t="str">
        <f>IF(Y856="","",IF(COUNTIF(Y$6:Y855,Y856)=0,1,0))</f>
        <v/>
      </c>
      <c r="AA856" s="57" t="str">
        <f>IF(Y856="","",IF(Z856=1,COUNTIFS(A$6:A856,A856,Z$6:Z856,1),INDEX(AA$6:AA855,MATCH(Y856,Y$6:Y855,0))))</f>
        <v/>
      </c>
      <c r="AB856" s="57" t="str">
        <f>IF(B856="","",COUNTIF(B$6:B856,B856))</f>
        <v/>
      </c>
      <c r="AC856" s="57" t="str">
        <f>IF(B856="","",B856&amp;"#"&amp;AB856)</f>
        <v/>
      </c>
      <c r="AD856" s="57" t="str">
        <f>IF(Z856=1,A856&amp;AA856,"")</f>
        <v/>
      </c>
      <c r="AE856" s="57" t="str">
        <f>IF(B856="","",YEAR(C856))</f>
        <v/>
      </c>
      <c r="AF856" s="57" t="str">
        <f>IF(B856="","",MONTH(C856))</f>
        <v/>
      </c>
      <c r="AG856" s="57">
        <f>IF(ISNUMBER(C856),C856,0)</f>
        <v>0.0</v>
      </c>
      <c r="AH856" s="57" t="str">
        <f>IF(N(W856)&gt;0,COUNTIF(W$6:W856,"&gt;0"),"")</f>
        <v/>
      </c>
      <c r="AI856" s="57" t="str">
        <f>IF(Z856=1,COUNTIF(Z$6:Z856,1),"")</f>
        <v/>
      </c>
    </row>
    <row r="857">
      <c r="A857" s="54" t="n"/>
      <c r="B857" s="55" t="str">
        <f>IF(AA857="","",A857&amp;"-"&amp;RIGHT("000"&amp;AA857,4))</f>
        <v/>
      </c>
      <c r="C857" s="56" t="n"/>
      <c r="D857" s="54" t="n"/>
      <c r="E857" s="57" t="str">
        <f>IF(D857="","",IF(A857="BL",IFERROR(INDEX(cl_name,MATCH(D857,cl_code,0))&amp;"","Client inconnu"),IF(A857="BR",IFERROR(INDEX(fo_name,MATCH(D857,fo_code,0))&amp;"","Fournisseur inconnu"),IF(A857="BS",IF(ISNA(MATCH(D857,p_services,0)),"Service inconnu",D857&amp;""),""))))</f>
        <v/>
      </c>
      <c r="F857" s="58" t="n"/>
      <c r="G857" s="58" t="n"/>
      <c r="H857" s="59" t="n"/>
      <c r="I857" s="57" t="str">
        <f>IF(H857="","",IFERROR(INDEX(art_des,MATCH(H857,art_ref,0))&amp;"","Article inconnu"))</f>
        <v/>
      </c>
      <c r="J857" s="60" t="str">
        <f>IF(H857="","",IFERROR(INDEX(art_unit,MATCH(H857,art_ref,0))&amp;"",""))</f>
        <v/>
      </c>
      <c r="K857" s="59" t="n"/>
      <c r="L857" s="59" t="n"/>
      <c r="M857" s="61" t="str">
        <f>IF(OR(B857="",NOT(ISNUMBER(K857)),NOT(ISNUMBER(L857))),"",IF(OR(K857&lt;=0,L857&lt;=0),"",ROUND(L857-K857,6)))</f>
        <v/>
      </c>
      <c r="N857" s="58" t="n"/>
      <c r="O857" s="62" t="n"/>
      <c r="P857" s="63" t="str">
        <f>IF(OR(B857="",NOT(ISNUMBER(L857))),"",IF(L857&lt;=0,"",IFERROR(ROUND(L857*N(INDEX(art_w,MATCH(H857,art_ref,0))),3),"")))</f>
        <v/>
      </c>
      <c r="Q857" s="59" t="n"/>
      <c r="R857" s="54" t="n"/>
      <c r="S857" s="59" t="n"/>
      <c r="T857" s="59" t="n"/>
      <c r="U857" s="64" t="str">
        <f>IF(OR(B857="",H857=""),"",IFERROR(IF(A857="BL",IF(N(INDEX(art_price,MATCH(H857,art_ref,0)))=0,"",N(INDEX(art_price,MATCH(H857,art_ref,0)))),IF(N(INDEX(art_cost,MATCH(H857,art_ref,0)))=0,"",N(INDEX(art_cost,MATCH(H857,art_ref,0))))),""))</f>
        <v/>
      </c>
      <c r="V857" s="64" t="str">
        <f>IF(OR(U857="",NOT(ISNUMBER(L857))),"",IF(L857&lt;=0,"",ROUND(L857*U857,2)))</f>
        <v/>
      </c>
      <c r="W857" s="60" t="str">
        <f>IF(AND(B857&lt;&gt;"",A857&lt;&gt;"BS",F857&lt;&gt;"",H857&lt;&gt;"",ISNUMBER(K857),ISNUMBER(L857)),IF(AND(K857&gt;0,L857&gt;0,K857-L857&gt;0,COUNTIFS(A858:A$2005,A857,F858:F$2005,F857,H858:H$2005,H857,AA858:AA$2005,"&gt;0")=0),ROUND(K857-L857,6),""),"")</f>
        <v/>
      </c>
      <c r="X857" s="60" t="str">
        <f>IF(AND(A857="",C857="",D857="",H857="",L857=""),"",IF(A857="","Type manquant",IF(AND(A857&lt;&gt;"BL",A857&lt;&gt;"BR",A857&lt;&gt;"BS"),"Type inconnu (BL, BR ou BS)",IF(AG857=0,"Date manquante ou invalide",IF(D857="",IF(A857="BL","Client manquant",IF(A857="BR","Fournisseur manquant","Service manquant")),IF(IF(A857="BL",ISNA(MATCH(D857,cl_code,0)),IF(A857="BR",ISNA(MATCH(D857,fo_code,0)),ISNA(MATCH(D857,p_services,0)))),IF(A857="BL","Client inconnu",IF(A857="BR","Fournisseur inconnu","Service inconnu")),IF(H857="","Article manquant",IF(ISNA(MATCH(H857,art_ref,0)),"Article inconnu",IF(OR(NOT(ISNUMBER(L857)),N(L857)&lt;=0),"Quantité invalide",IF(AND(K857&lt;&gt;"",OR(NOT(ISNUMBER(K857)),N(K857)&lt;=0)),"Qté commandée invalide",IF(AG857&lt;SUMPRODUCT(MAX((A$6:A856=A857)*AG$6:AG856)),"Date antérieure au bon précédent",IF(AND(A857&lt;&gt;"BR",ISNUMBER(M857),N(M857)&gt;0),IF(A857="BL","Livré plus que commandé","Sorti plus que demandé"),"OK"))))))))))))</f>
        <v/>
      </c>
      <c r="Y857" s="57" t="str">
        <f>IF(AND(OR(A857="BL",A857="BR",A857="BS"),AG857&gt;0,D857&lt;&gt;""),A857&amp;"|"&amp;AG857&amp;"|"&amp;D857&amp;"|"&amp;F857,"")</f>
        <v/>
      </c>
      <c r="Z857" s="57" t="str">
        <f>IF(Y857="","",IF(COUNTIF(Y$6:Y856,Y857)=0,1,0))</f>
        <v/>
      </c>
      <c r="AA857" s="57" t="str">
        <f>IF(Y857="","",IF(Z857=1,COUNTIFS(A$6:A857,A857,Z$6:Z857,1),INDEX(AA$6:AA856,MATCH(Y857,Y$6:Y856,0))))</f>
        <v/>
      </c>
      <c r="AB857" s="57" t="str">
        <f>IF(B857="","",COUNTIF(B$6:B857,B857))</f>
        <v/>
      </c>
      <c r="AC857" s="57" t="str">
        <f>IF(B857="","",B857&amp;"#"&amp;AB857)</f>
        <v/>
      </c>
      <c r="AD857" s="57" t="str">
        <f>IF(Z857=1,A857&amp;AA857,"")</f>
        <v/>
      </c>
      <c r="AE857" s="57" t="str">
        <f>IF(B857="","",YEAR(C857))</f>
        <v/>
      </c>
      <c r="AF857" s="57" t="str">
        <f>IF(B857="","",MONTH(C857))</f>
        <v/>
      </c>
      <c r="AG857" s="57">
        <f>IF(ISNUMBER(C857),C857,0)</f>
        <v>0.0</v>
      </c>
      <c r="AH857" s="57" t="str">
        <f>IF(N(W857)&gt;0,COUNTIF(W$6:W857,"&gt;0"),"")</f>
        <v/>
      </c>
      <c r="AI857" s="57" t="str">
        <f>IF(Z857=1,COUNTIF(Z$6:Z857,1),"")</f>
        <v/>
      </c>
    </row>
    <row r="858">
      <c r="A858" s="54" t="n"/>
      <c r="B858" s="55" t="str">
        <f>IF(AA858="","",A858&amp;"-"&amp;RIGHT("000"&amp;AA858,4))</f>
        <v/>
      </c>
      <c r="C858" s="56" t="n"/>
      <c r="D858" s="54" t="n"/>
      <c r="E858" s="57" t="str">
        <f>IF(D858="","",IF(A858="BL",IFERROR(INDEX(cl_name,MATCH(D858,cl_code,0))&amp;"","Client inconnu"),IF(A858="BR",IFERROR(INDEX(fo_name,MATCH(D858,fo_code,0))&amp;"","Fournisseur inconnu"),IF(A858="BS",IF(ISNA(MATCH(D858,p_services,0)),"Service inconnu",D858&amp;""),""))))</f>
        <v/>
      </c>
      <c r="F858" s="58" t="n"/>
      <c r="G858" s="58" t="n"/>
      <c r="H858" s="59" t="n"/>
      <c r="I858" s="57" t="str">
        <f>IF(H858="","",IFERROR(INDEX(art_des,MATCH(H858,art_ref,0))&amp;"","Article inconnu"))</f>
        <v/>
      </c>
      <c r="J858" s="60" t="str">
        <f>IF(H858="","",IFERROR(INDEX(art_unit,MATCH(H858,art_ref,0))&amp;"",""))</f>
        <v/>
      </c>
      <c r="K858" s="59" t="n"/>
      <c r="L858" s="59" t="n"/>
      <c r="M858" s="61" t="str">
        <f>IF(OR(B858="",NOT(ISNUMBER(K858)),NOT(ISNUMBER(L858))),"",IF(OR(K858&lt;=0,L858&lt;=0),"",ROUND(L858-K858,6)))</f>
        <v/>
      </c>
      <c r="N858" s="58" t="n"/>
      <c r="O858" s="62" t="n"/>
      <c r="P858" s="63" t="str">
        <f>IF(OR(B858="",NOT(ISNUMBER(L858))),"",IF(L858&lt;=0,"",IFERROR(ROUND(L858*N(INDEX(art_w,MATCH(H858,art_ref,0))),3),"")))</f>
        <v/>
      </c>
      <c r="Q858" s="59" t="n"/>
      <c r="R858" s="54" t="n"/>
      <c r="S858" s="59" t="n"/>
      <c r="T858" s="59" t="n"/>
      <c r="U858" s="64" t="str">
        <f>IF(OR(B858="",H858=""),"",IFERROR(IF(A858="BL",IF(N(INDEX(art_price,MATCH(H858,art_ref,0)))=0,"",N(INDEX(art_price,MATCH(H858,art_ref,0)))),IF(N(INDEX(art_cost,MATCH(H858,art_ref,0)))=0,"",N(INDEX(art_cost,MATCH(H858,art_ref,0))))),""))</f>
        <v/>
      </c>
      <c r="V858" s="64" t="str">
        <f>IF(OR(U858="",NOT(ISNUMBER(L858))),"",IF(L858&lt;=0,"",ROUND(L858*U858,2)))</f>
        <v/>
      </c>
      <c r="W858" s="60" t="str">
        <f>IF(AND(B858&lt;&gt;"",A858&lt;&gt;"BS",F858&lt;&gt;"",H858&lt;&gt;"",ISNUMBER(K858),ISNUMBER(L858)),IF(AND(K858&gt;0,L858&gt;0,K858-L858&gt;0,COUNTIFS(A859:A$2005,A858,F859:F$2005,F858,H859:H$2005,H858,AA859:AA$2005,"&gt;0")=0),ROUND(K858-L858,6),""),"")</f>
        <v/>
      </c>
      <c r="X858" s="60" t="str">
        <f>IF(AND(A858="",C858="",D858="",H858="",L858=""),"",IF(A858="","Type manquant",IF(AND(A858&lt;&gt;"BL",A858&lt;&gt;"BR",A858&lt;&gt;"BS"),"Type inconnu (BL, BR ou BS)",IF(AG858=0,"Date manquante ou invalide",IF(D858="",IF(A858="BL","Client manquant",IF(A858="BR","Fournisseur manquant","Service manquant")),IF(IF(A858="BL",ISNA(MATCH(D858,cl_code,0)),IF(A858="BR",ISNA(MATCH(D858,fo_code,0)),ISNA(MATCH(D858,p_services,0)))),IF(A858="BL","Client inconnu",IF(A858="BR","Fournisseur inconnu","Service inconnu")),IF(H858="","Article manquant",IF(ISNA(MATCH(H858,art_ref,0)),"Article inconnu",IF(OR(NOT(ISNUMBER(L858)),N(L858)&lt;=0),"Quantité invalide",IF(AND(K858&lt;&gt;"",OR(NOT(ISNUMBER(K858)),N(K858)&lt;=0)),"Qté commandée invalide",IF(AG858&lt;SUMPRODUCT(MAX((A$6:A857=A858)*AG$6:AG857)),"Date antérieure au bon précédent",IF(AND(A858&lt;&gt;"BR",ISNUMBER(M858),N(M858)&gt;0),IF(A858="BL","Livré plus que commandé","Sorti plus que demandé"),"OK"))))))))))))</f>
        <v/>
      </c>
      <c r="Y858" s="57" t="str">
        <f>IF(AND(OR(A858="BL",A858="BR",A858="BS"),AG858&gt;0,D858&lt;&gt;""),A858&amp;"|"&amp;AG858&amp;"|"&amp;D858&amp;"|"&amp;F858,"")</f>
        <v/>
      </c>
      <c r="Z858" s="57" t="str">
        <f>IF(Y858="","",IF(COUNTIF(Y$6:Y857,Y858)=0,1,0))</f>
        <v/>
      </c>
      <c r="AA858" s="57" t="str">
        <f>IF(Y858="","",IF(Z858=1,COUNTIFS(A$6:A858,A858,Z$6:Z858,1),INDEX(AA$6:AA857,MATCH(Y858,Y$6:Y857,0))))</f>
        <v/>
      </c>
      <c r="AB858" s="57" t="str">
        <f>IF(B858="","",COUNTIF(B$6:B858,B858))</f>
        <v/>
      </c>
      <c r="AC858" s="57" t="str">
        <f>IF(B858="","",B858&amp;"#"&amp;AB858)</f>
        <v/>
      </c>
      <c r="AD858" s="57" t="str">
        <f>IF(Z858=1,A858&amp;AA858,"")</f>
        <v/>
      </c>
      <c r="AE858" s="57" t="str">
        <f>IF(B858="","",YEAR(C858))</f>
        <v/>
      </c>
      <c r="AF858" s="57" t="str">
        <f>IF(B858="","",MONTH(C858))</f>
        <v/>
      </c>
      <c r="AG858" s="57">
        <f>IF(ISNUMBER(C858),C858,0)</f>
        <v>0.0</v>
      </c>
      <c r="AH858" s="57" t="str">
        <f>IF(N(W858)&gt;0,COUNTIF(W$6:W858,"&gt;0"),"")</f>
        <v/>
      </c>
      <c r="AI858" s="57" t="str">
        <f>IF(Z858=1,COUNTIF(Z$6:Z858,1),"")</f>
        <v/>
      </c>
    </row>
    <row r="859">
      <c r="A859" s="54" t="n"/>
      <c r="B859" s="55" t="str">
        <f>IF(AA859="","",A859&amp;"-"&amp;RIGHT("000"&amp;AA859,4))</f>
        <v/>
      </c>
      <c r="C859" s="56" t="n"/>
      <c r="D859" s="54" t="n"/>
      <c r="E859" s="57" t="str">
        <f>IF(D859="","",IF(A859="BL",IFERROR(INDEX(cl_name,MATCH(D859,cl_code,0))&amp;"","Client inconnu"),IF(A859="BR",IFERROR(INDEX(fo_name,MATCH(D859,fo_code,0))&amp;"","Fournisseur inconnu"),IF(A859="BS",IF(ISNA(MATCH(D859,p_services,0)),"Service inconnu",D859&amp;""),""))))</f>
        <v/>
      </c>
      <c r="F859" s="58" t="n"/>
      <c r="G859" s="58" t="n"/>
      <c r="H859" s="59" t="n"/>
      <c r="I859" s="57" t="str">
        <f>IF(H859="","",IFERROR(INDEX(art_des,MATCH(H859,art_ref,0))&amp;"","Article inconnu"))</f>
        <v/>
      </c>
      <c r="J859" s="60" t="str">
        <f>IF(H859="","",IFERROR(INDEX(art_unit,MATCH(H859,art_ref,0))&amp;"",""))</f>
        <v/>
      </c>
      <c r="K859" s="59" t="n"/>
      <c r="L859" s="59" t="n"/>
      <c r="M859" s="61" t="str">
        <f>IF(OR(B859="",NOT(ISNUMBER(K859)),NOT(ISNUMBER(L859))),"",IF(OR(K859&lt;=0,L859&lt;=0),"",ROUND(L859-K859,6)))</f>
        <v/>
      </c>
      <c r="N859" s="58" t="n"/>
      <c r="O859" s="62" t="n"/>
      <c r="P859" s="63" t="str">
        <f>IF(OR(B859="",NOT(ISNUMBER(L859))),"",IF(L859&lt;=0,"",IFERROR(ROUND(L859*N(INDEX(art_w,MATCH(H859,art_ref,0))),3),"")))</f>
        <v/>
      </c>
      <c r="Q859" s="59" t="n"/>
      <c r="R859" s="54" t="n"/>
      <c r="S859" s="59" t="n"/>
      <c r="T859" s="59" t="n"/>
      <c r="U859" s="64" t="str">
        <f>IF(OR(B859="",H859=""),"",IFERROR(IF(A859="BL",IF(N(INDEX(art_price,MATCH(H859,art_ref,0)))=0,"",N(INDEX(art_price,MATCH(H859,art_ref,0)))),IF(N(INDEX(art_cost,MATCH(H859,art_ref,0)))=0,"",N(INDEX(art_cost,MATCH(H859,art_ref,0))))),""))</f>
        <v/>
      </c>
      <c r="V859" s="64" t="str">
        <f>IF(OR(U859="",NOT(ISNUMBER(L859))),"",IF(L859&lt;=0,"",ROUND(L859*U859,2)))</f>
        <v/>
      </c>
      <c r="W859" s="60" t="str">
        <f>IF(AND(B859&lt;&gt;"",A859&lt;&gt;"BS",F859&lt;&gt;"",H859&lt;&gt;"",ISNUMBER(K859),ISNUMBER(L859)),IF(AND(K859&gt;0,L859&gt;0,K859-L859&gt;0,COUNTIFS(A860:A$2005,A859,F860:F$2005,F859,H860:H$2005,H859,AA860:AA$2005,"&gt;0")=0),ROUND(K859-L859,6),""),"")</f>
        <v/>
      </c>
      <c r="X859" s="60" t="str">
        <f>IF(AND(A859="",C859="",D859="",H859="",L859=""),"",IF(A859="","Type manquant",IF(AND(A859&lt;&gt;"BL",A859&lt;&gt;"BR",A859&lt;&gt;"BS"),"Type inconnu (BL, BR ou BS)",IF(AG859=0,"Date manquante ou invalide",IF(D859="",IF(A859="BL","Client manquant",IF(A859="BR","Fournisseur manquant","Service manquant")),IF(IF(A859="BL",ISNA(MATCH(D859,cl_code,0)),IF(A859="BR",ISNA(MATCH(D859,fo_code,0)),ISNA(MATCH(D859,p_services,0)))),IF(A859="BL","Client inconnu",IF(A859="BR","Fournisseur inconnu","Service inconnu")),IF(H859="","Article manquant",IF(ISNA(MATCH(H859,art_ref,0)),"Article inconnu",IF(OR(NOT(ISNUMBER(L859)),N(L859)&lt;=0),"Quantité invalide",IF(AND(K859&lt;&gt;"",OR(NOT(ISNUMBER(K859)),N(K859)&lt;=0)),"Qté commandée invalide",IF(AG859&lt;SUMPRODUCT(MAX((A$6:A858=A859)*AG$6:AG858)),"Date antérieure au bon précédent",IF(AND(A859&lt;&gt;"BR",ISNUMBER(M859),N(M859)&gt;0),IF(A859="BL","Livré plus que commandé","Sorti plus que demandé"),"OK"))))))))))))</f>
        <v/>
      </c>
      <c r="Y859" s="57" t="str">
        <f>IF(AND(OR(A859="BL",A859="BR",A859="BS"),AG859&gt;0,D859&lt;&gt;""),A859&amp;"|"&amp;AG859&amp;"|"&amp;D859&amp;"|"&amp;F859,"")</f>
        <v/>
      </c>
      <c r="Z859" s="57" t="str">
        <f>IF(Y859="","",IF(COUNTIF(Y$6:Y858,Y859)=0,1,0))</f>
        <v/>
      </c>
      <c r="AA859" s="57" t="str">
        <f>IF(Y859="","",IF(Z859=1,COUNTIFS(A$6:A859,A859,Z$6:Z859,1),INDEX(AA$6:AA858,MATCH(Y859,Y$6:Y858,0))))</f>
        <v/>
      </c>
      <c r="AB859" s="57" t="str">
        <f>IF(B859="","",COUNTIF(B$6:B859,B859))</f>
        <v/>
      </c>
      <c r="AC859" s="57" t="str">
        <f>IF(B859="","",B859&amp;"#"&amp;AB859)</f>
        <v/>
      </c>
      <c r="AD859" s="57" t="str">
        <f>IF(Z859=1,A859&amp;AA859,"")</f>
        <v/>
      </c>
      <c r="AE859" s="57" t="str">
        <f>IF(B859="","",YEAR(C859))</f>
        <v/>
      </c>
      <c r="AF859" s="57" t="str">
        <f>IF(B859="","",MONTH(C859))</f>
        <v/>
      </c>
      <c r="AG859" s="57">
        <f>IF(ISNUMBER(C859),C859,0)</f>
        <v>0.0</v>
      </c>
      <c r="AH859" s="57" t="str">
        <f>IF(N(W859)&gt;0,COUNTIF(W$6:W859,"&gt;0"),"")</f>
        <v/>
      </c>
      <c r="AI859" s="57" t="str">
        <f>IF(Z859=1,COUNTIF(Z$6:Z859,1),"")</f>
        <v/>
      </c>
    </row>
    <row r="860">
      <c r="A860" s="54" t="n"/>
      <c r="B860" s="55" t="str">
        <f>IF(AA860="","",A860&amp;"-"&amp;RIGHT("000"&amp;AA860,4))</f>
        <v/>
      </c>
      <c r="C860" s="56" t="n"/>
      <c r="D860" s="54" t="n"/>
      <c r="E860" s="57" t="str">
        <f>IF(D860="","",IF(A860="BL",IFERROR(INDEX(cl_name,MATCH(D860,cl_code,0))&amp;"","Client inconnu"),IF(A860="BR",IFERROR(INDEX(fo_name,MATCH(D860,fo_code,0))&amp;"","Fournisseur inconnu"),IF(A860="BS",IF(ISNA(MATCH(D860,p_services,0)),"Service inconnu",D860&amp;""),""))))</f>
        <v/>
      </c>
      <c r="F860" s="58" t="n"/>
      <c r="G860" s="58" t="n"/>
      <c r="H860" s="59" t="n"/>
      <c r="I860" s="57" t="str">
        <f>IF(H860="","",IFERROR(INDEX(art_des,MATCH(H860,art_ref,0))&amp;"","Article inconnu"))</f>
        <v/>
      </c>
      <c r="J860" s="60" t="str">
        <f>IF(H860="","",IFERROR(INDEX(art_unit,MATCH(H860,art_ref,0))&amp;"",""))</f>
        <v/>
      </c>
      <c r="K860" s="59" t="n"/>
      <c r="L860" s="59" t="n"/>
      <c r="M860" s="61" t="str">
        <f>IF(OR(B860="",NOT(ISNUMBER(K860)),NOT(ISNUMBER(L860))),"",IF(OR(K860&lt;=0,L860&lt;=0),"",ROUND(L860-K860,6)))</f>
        <v/>
      </c>
      <c r="N860" s="58" t="n"/>
      <c r="O860" s="62" t="n"/>
      <c r="P860" s="63" t="str">
        <f>IF(OR(B860="",NOT(ISNUMBER(L860))),"",IF(L860&lt;=0,"",IFERROR(ROUND(L860*N(INDEX(art_w,MATCH(H860,art_ref,0))),3),"")))</f>
        <v/>
      </c>
      <c r="Q860" s="59" t="n"/>
      <c r="R860" s="54" t="n"/>
      <c r="S860" s="59" t="n"/>
      <c r="T860" s="59" t="n"/>
      <c r="U860" s="64" t="str">
        <f>IF(OR(B860="",H860=""),"",IFERROR(IF(A860="BL",IF(N(INDEX(art_price,MATCH(H860,art_ref,0)))=0,"",N(INDEX(art_price,MATCH(H860,art_ref,0)))),IF(N(INDEX(art_cost,MATCH(H860,art_ref,0)))=0,"",N(INDEX(art_cost,MATCH(H860,art_ref,0))))),""))</f>
        <v/>
      </c>
      <c r="V860" s="64" t="str">
        <f>IF(OR(U860="",NOT(ISNUMBER(L860))),"",IF(L860&lt;=0,"",ROUND(L860*U860,2)))</f>
        <v/>
      </c>
      <c r="W860" s="60" t="str">
        <f>IF(AND(B860&lt;&gt;"",A860&lt;&gt;"BS",F860&lt;&gt;"",H860&lt;&gt;"",ISNUMBER(K860),ISNUMBER(L860)),IF(AND(K860&gt;0,L860&gt;0,K860-L860&gt;0,COUNTIFS(A861:A$2005,A860,F861:F$2005,F860,H861:H$2005,H860,AA861:AA$2005,"&gt;0")=0),ROUND(K860-L860,6),""),"")</f>
        <v/>
      </c>
      <c r="X860" s="60" t="str">
        <f>IF(AND(A860="",C860="",D860="",H860="",L860=""),"",IF(A860="","Type manquant",IF(AND(A860&lt;&gt;"BL",A860&lt;&gt;"BR",A860&lt;&gt;"BS"),"Type inconnu (BL, BR ou BS)",IF(AG860=0,"Date manquante ou invalide",IF(D860="",IF(A860="BL","Client manquant",IF(A860="BR","Fournisseur manquant","Service manquant")),IF(IF(A860="BL",ISNA(MATCH(D860,cl_code,0)),IF(A860="BR",ISNA(MATCH(D860,fo_code,0)),ISNA(MATCH(D860,p_services,0)))),IF(A860="BL","Client inconnu",IF(A860="BR","Fournisseur inconnu","Service inconnu")),IF(H860="","Article manquant",IF(ISNA(MATCH(H860,art_ref,0)),"Article inconnu",IF(OR(NOT(ISNUMBER(L860)),N(L860)&lt;=0),"Quantité invalide",IF(AND(K860&lt;&gt;"",OR(NOT(ISNUMBER(K860)),N(K860)&lt;=0)),"Qté commandée invalide",IF(AG860&lt;SUMPRODUCT(MAX((A$6:A859=A860)*AG$6:AG859)),"Date antérieure au bon précédent",IF(AND(A860&lt;&gt;"BR",ISNUMBER(M860),N(M860)&gt;0),IF(A860="BL","Livré plus que commandé","Sorti plus que demandé"),"OK"))))))))))))</f>
        <v/>
      </c>
      <c r="Y860" s="57" t="str">
        <f>IF(AND(OR(A860="BL",A860="BR",A860="BS"),AG860&gt;0,D860&lt;&gt;""),A860&amp;"|"&amp;AG860&amp;"|"&amp;D860&amp;"|"&amp;F860,"")</f>
        <v/>
      </c>
      <c r="Z860" s="57" t="str">
        <f>IF(Y860="","",IF(COUNTIF(Y$6:Y859,Y860)=0,1,0))</f>
        <v/>
      </c>
      <c r="AA860" s="57" t="str">
        <f>IF(Y860="","",IF(Z860=1,COUNTIFS(A$6:A860,A860,Z$6:Z860,1),INDEX(AA$6:AA859,MATCH(Y860,Y$6:Y859,0))))</f>
        <v/>
      </c>
      <c r="AB860" s="57" t="str">
        <f>IF(B860="","",COUNTIF(B$6:B860,B860))</f>
        <v/>
      </c>
      <c r="AC860" s="57" t="str">
        <f>IF(B860="","",B860&amp;"#"&amp;AB860)</f>
        <v/>
      </c>
      <c r="AD860" s="57" t="str">
        <f>IF(Z860=1,A860&amp;AA860,"")</f>
        <v/>
      </c>
      <c r="AE860" s="57" t="str">
        <f>IF(B860="","",YEAR(C860))</f>
        <v/>
      </c>
      <c r="AF860" s="57" t="str">
        <f>IF(B860="","",MONTH(C860))</f>
        <v/>
      </c>
      <c r="AG860" s="57">
        <f>IF(ISNUMBER(C860),C860,0)</f>
        <v>0.0</v>
      </c>
      <c r="AH860" s="57" t="str">
        <f>IF(N(W860)&gt;0,COUNTIF(W$6:W860,"&gt;0"),"")</f>
        <v/>
      </c>
      <c r="AI860" s="57" t="str">
        <f>IF(Z860=1,COUNTIF(Z$6:Z860,1),"")</f>
        <v/>
      </c>
    </row>
    <row r="861">
      <c r="A861" s="54" t="n"/>
      <c r="B861" s="55" t="str">
        <f>IF(AA861="","",A861&amp;"-"&amp;RIGHT("000"&amp;AA861,4))</f>
        <v/>
      </c>
      <c r="C861" s="56" t="n"/>
      <c r="D861" s="54" t="n"/>
      <c r="E861" s="57" t="str">
        <f>IF(D861="","",IF(A861="BL",IFERROR(INDEX(cl_name,MATCH(D861,cl_code,0))&amp;"","Client inconnu"),IF(A861="BR",IFERROR(INDEX(fo_name,MATCH(D861,fo_code,0))&amp;"","Fournisseur inconnu"),IF(A861="BS",IF(ISNA(MATCH(D861,p_services,0)),"Service inconnu",D861&amp;""),""))))</f>
        <v/>
      </c>
      <c r="F861" s="58" t="n"/>
      <c r="G861" s="58" t="n"/>
      <c r="H861" s="59" t="n"/>
      <c r="I861" s="57" t="str">
        <f>IF(H861="","",IFERROR(INDEX(art_des,MATCH(H861,art_ref,0))&amp;"","Article inconnu"))</f>
        <v/>
      </c>
      <c r="J861" s="60" t="str">
        <f>IF(H861="","",IFERROR(INDEX(art_unit,MATCH(H861,art_ref,0))&amp;"",""))</f>
        <v/>
      </c>
      <c r="K861" s="59" t="n"/>
      <c r="L861" s="59" t="n"/>
      <c r="M861" s="61" t="str">
        <f>IF(OR(B861="",NOT(ISNUMBER(K861)),NOT(ISNUMBER(L861))),"",IF(OR(K861&lt;=0,L861&lt;=0),"",ROUND(L861-K861,6)))</f>
        <v/>
      </c>
      <c r="N861" s="58" t="n"/>
      <c r="O861" s="62" t="n"/>
      <c r="P861" s="63" t="str">
        <f>IF(OR(B861="",NOT(ISNUMBER(L861))),"",IF(L861&lt;=0,"",IFERROR(ROUND(L861*N(INDEX(art_w,MATCH(H861,art_ref,0))),3),"")))</f>
        <v/>
      </c>
      <c r="Q861" s="59" t="n"/>
      <c r="R861" s="54" t="n"/>
      <c r="S861" s="59" t="n"/>
      <c r="T861" s="59" t="n"/>
      <c r="U861" s="64" t="str">
        <f>IF(OR(B861="",H861=""),"",IFERROR(IF(A861="BL",IF(N(INDEX(art_price,MATCH(H861,art_ref,0)))=0,"",N(INDEX(art_price,MATCH(H861,art_ref,0)))),IF(N(INDEX(art_cost,MATCH(H861,art_ref,0)))=0,"",N(INDEX(art_cost,MATCH(H861,art_ref,0))))),""))</f>
        <v/>
      </c>
      <c r="V861" s="64" t="str">
        <f>IF(OR(U861="",NOT(ISNUMBER(L861))),"",IF(L861&lt;=0,"",ROUND(L861*U861,2)))</f>
        <v/>
      </c>
      <c r="W861" s="60" t="str">
        <f>IF(AND(B861&lt;&gt;"",A861&lt;&gt;"BS",F861&lt;&gt;"",H861&lt;&gt;"",ISNUMBER(K861),ISNUMBER(L861)),IF(AND(K861&gt;0,L861&gt;0,K861-L861&gt;0,COUNTIFS(A862:A$2005,A861,F862:F$2005,F861,H862:H$2005,H861,AA862:AA$2005,"&gt;0")=0),ROUND(K861-L861,6),""),"")</f>
        <v/>
      </c>
      <c r="X861" s="60" t="str">
        <f>IF(AND(A861="",C861="",D861="",H861="",L861=""),"",IF(A861="","Type manquant",IF(AND(A861&lt;&gt;"BL",A861&lt;&gt;"BR",A861&lt;&gt;"BS"),"Type inconnu (BL, BR ou BS)",IF(AG861=0,"Date manquante ou invalide",IF(D861="",IF(A861="BL","Client manquant",IF(A861="BR","Fournisseur manquant","Service manquant")),IF(IF(A861="BL",ISNA(MATCH(D861,cl_code,0)),IF(A861="BR",ISNA(MATCH(D861,fo_code,0)),ISNA(MATCH(D861,p_services,0)))),IF(A861="BL","Client inconnu",IF(A861="BR","Fournisseur inconnu","Service inconnu")),IF(H861="","Article manquant",IF(ISNA(MATCH(H861,art_ref,0)),"Article inconnu",IF(OR(NOT(ISNUMBER(L861)),N(L861)&lt;=0),"Quantité invalide",IF(AND(K861&lt;&gt;"",OR(NOT(ISNUMBER(K861)),N(K861)&lt;=0)),"Qté commandée invalide",IF(AG861&lt;SUMPRODUCT(MAX((A$6:A860=A861)*AG$6:AG860)),"Date antérieure au bon précédent",IF(AND(A861&lt;&gt;"BR",ISNUMBER(M861),N(M861)&gt;0),IF(A861="BL","Livré plus que commandé","Sorti plus que demandé"),"OK"))))))))))))</f>
        <v/>
      </c>
      <c r="Y861" s="57" t="str">
        <f>IF(AND(OR(A861="BL",A861="BR",A861="BS"),AG861&gt;0,D861&lt;&gt;""),A861&amp;"|"&amp;AG861&amp;"|"&amp;D861&amp;"|"&amp;F861,"")</f>
        <v/>
      </c>
      <c r="Z861" s="57" t="str">
        <f>IF(Y861="","",IF(COUNTIF(Y$6:Y860,Y861)=0,1,0))</f>
        <v/>
      </c>
      <c r="AA861" s="57" t="str">
        <f>IF(Y861="","",IF(Z861=1,COUNTIFS(A$6:A861,A861,Z$6:Z861,1),INDEX(AA$6:AA860,MATCH(Y861,Y$6:Y860,0))))</f>
        <v/>
      </c>
      <c r="AB861" s="57" t="str">
        <f>IF(B861="","",COUNTIF(B$6:B861,B861))</f>
        <v/>
      </c>
      <c r="AC861" s="57" t="str">
        <f>IF(B861="","",B861&amp;"#"&amp;AB861)</f>
        <v/>
      </c>
      <c r="AD861" s="57" t="str">
        <f>IF(Z861=1,A861&amp;AA861,"")</f>
        <v/>
      </c>
      <c r="AE861" s="57" t="str">
        <f>IF(B861="","",YEAR(C861))</f>
        <v/>
      </c>
      <c r="AF861" s="57" t="str">
        <f>IF(B861="","",MONTH(C861))</f>
        <v/>
      </c>
      <c r="AG861" s="57">
        <f>IF(ISNUMBER(C861),C861,0)</f>
        <v>0.0</v>
      </c>
      <c r="AH861" s="57" t="str">
        <f>IF(N(W861)&gt;0,COUNTIF(W$6:W861,"&gt;0"),"")</f>
        <v/>
      </c>
      <c r="AI861" s="57" t="str">
        <f>IF(Z861=1,COUNTIF(Z$6:Z861,1),"")</f>
        <v/>
      </c>
    </row>
    <row r="862">
      <c r="A862" s="54" t="n"/>
      <c r="B862" s="55" t="str">
        <f>IF(AA862="","",A862&amp;"-"&amp;RIGHT("000"&amp;AA862,4))</f>
        <v/>
      </c>
      <c r="C862" s="56" t="n"/>
      <c r="D862" s="54" t="n"/>
      <c r="E862" s="57" t="str">
        <f>IF(D862="","",IF(A862="BL",IFERROR(INDEX(cl_name,MATCH(D862,cl_code,0))&amp;"","Client inconnu"),IF(A862="BR",IFERROR(INDEX(fo_name,MATCH(D862,fo_code,0))&amp;"","Fournisseur inconnu"),IF(A862="BS",IF(ISNA(MATCH(D862,p_services,0)),"Service inconnu",D862&amp;""),""))))</f>
        <v/>
      </c>
      <c r="F862" s="58" t="n"/>
      <c r="G862" s="58" t="n"/>
      <c r="H862" s="59" t="n"/>
      <c r="I862" s="57" t="str">
        <f>IF(H862="","",IFERROR(INDEX(art_des,MATCH(H862,art_ref,0))&amp;"","Article inconnu"))</f>
        <v/>
      </c>
      <c r="J862" s="60" t="str">
        <f>IF(H862="","",IFERROR(INDEX(art_unit,MATCH(H862,art_ref,0))&amp;"",""))</f>
        <v/>
      </c>
      <c r="K862" s="59" t="n"/>
      <c r="L862" s="59" t="n"/>
      <c r="M862" s="61" t="str">
        <f>IF(OR(B862="",NOT(ISNUMBER(K862)),NOT(ISNUMBER(L862))),"",IF(OR(K862&lt;=0,L862&lt;=0),"",ROUND(L862-K862,6)))</f>
        <v/>
      </c>
      <c r="N862" s="58" t="n"/>
      <c r="O862" s="62" t="n"/>
      <c r="P862" s="63" t="str">
        <f>IF(OR(B862="",NOT(ISNUMBER(L862))),"",IF(L862&lt;=0,"",IFERROR(ROUND(L862*N(INDEX(art_w,MATCH(H862,art_ref,0))),3),"")))</f>
        <v/>
      </c>
      <c r="Q862" s="59" t="n"/>
      <c r="R862" s="54" t="n"/>
      <c r="S862" s="59" t="n"/>
      <c r="T862" s="59" t="n"/>
      <c r="U862" s="64" t="str">
        <f>IF(OR(B862="",H862=""),"",IFERROR(IF(A862="BL",IF(N(INDEX(art_price,MATCH(H862,art_ref,0)))=0,"",N(INDEX(art_price,MATCH(H862,art_ref,0)))),IF(N(INDEX(art_cost,MATCH(H862,art_ref,0)))=0,"",N(INDEX(art_cost,MATCH(H862,art_ref,0))))),""))</f>
        <v/>
      </c>
      <c r="V862" s="64" t="str">
        <f>IF(OR(U862="",NOT(ISNUMBER(L862))),"",IF(L862&lt;=0,"",ROUND(L862*U862,2)))</f>
        <v/>
      </c>
      <c r="W862" s="60" t="str">
        <f>IF(AND(B862&lt;&gt;"",A862&lt;&gt;"BS",F862&lt;&gt;"",H862&lt;&gt;"",ISNUMBER(K862),ISNUMBER(L862)),IF(AND(K862&gt;0,L862&gt;0,K862-L862&gt;0,COUNTIFS(A863:A$2005,A862,F863:F$2005,F862,H863:H$2005,H862,AA863:AA$2005,"&gt;0")=0),ROUND(K862-L862,6),""),"")</f>
        <v/>
      </c>
      <c r="X862" s="60" t="str">
        <f>IF(AND(A862="",C862="",D862="",H862="",L862=""),"",IF(A862="","Type manquant",IF(AND(A862&lt;&gt;"BL",A862&lt;&gt;"BR",A862&lt;&gt;"BS"),"Type inconnu (BL, BR ou BS)",IF(AG862=0,"Date manquante ou invalide",IF(D862="",IF(A862="BL","Client manquant",IF(A862="BR","Fournisseur manquant","Service manquant")),IF(IF(A862="BL",ISNA(MATCH(D862,cl_code,0)),IF(A862="BR",ISNA(MATCH(D862,fo_code,0)),ISNA(MATCH(D862,p_services,0)))),IF(A862="BL","Client inconnu",IF(A862="BR","Fournisseur inconnu","Service inconnu")),IF(H862="","Article manquant",IF(ISNA(MATCH(H862,art_ref,0)),"Article inconnu",IF(OR(NOT(ISNUMBER(L862)),N(L862)&lt;=0),"Quantité invalide",IF(AND(K862&lt;&gt;"",OR(NOT(ISNUMBER(K862)),N(K862)&lt;=0)),"Qté commandée invalide",IF(AG862&lt;SUMPRODUCT(MAX((A$6:A861=A862)*AG$6:AG861)),"Date antérieure au bon précédent",IF(AND(A862&lt;&gt;"BR",ISNUMBER(M862),N(M862)&gt;0),IF(A862="BL","Livré plus que commandé","Sorti plus que demandé"),"OK"))))))))))))</f>
        <v/>
      </c>
      <c r="Y862" s="57" t="str">
        <f>IF(AND(OR(A862="BL",A862="BR",A862="BS"),AG862&gt;0,D862&lt;&gt;""),A862&amp;"|"&amp;AG862&amp;"|"&amp;D862&amp;"|"&amp;F862,"")</f>
        <v/>
      </c>
      <c r="Z862" s="57" t="str">
        <f>IF(Y862="","",IF(COUNTIF(Y$6:Y861,Y862)=0,1,0))</f>
        <v/>
      </c>
      <c r="AA862" s="57" t="str">
        <f>IF(Y862="","",IF(Z862=1,COUNTIFS(A$6:A862,A862,Z$6:Z862,1),INDEX(AA$6:AA861,MATCH(Y862,Y$6:Y861,0))))</f>
        <v/>
      </c>
      <c r="AB862" s="57" t="str">
        <f>IF(B862="","",COUNTIF(B$6:B862,B862))</f>
        <v/>
      </c>
      <c r="AC862" s="57" t="str">
        <f>IF(B862="","",B862&amp;"#"&amp;AB862)</f>
        <v/>
      </c>
      <c r="AD862" s="57" t="str">
        <f>IF(Z862=1,A862&amp;AA862,"")</f>
        <v/>
      </c>
      <c r="AE862" s="57" t="str">
        <f>IF(B862="","",YEAR(C862))</f>
        <v/>
      </c>
      <c r="AF862" s="57" t="str">
        <f>IF(B862="","",MONTH(C862))</f>
        <v/>
      </c>
      <c r="AG862" s="57">
        <f>IF(ISNUMBER(C862),C862,0)</f>
        <v>0.0</v>
      </c>
      <c r="AH862" s="57" t="str">
        <f>IF(N(W862)&gt;0,COUNTIF(W$6:W862,"&gt;0"),"")</f>
        <v/>
      </c>
      <c r="AI862" s="57" t="str">
        <f>IF(Z862=1,COUNTIF(Z$6:Z862,1),"")</f>
        <v/>
      </c>
    </row>
    <row r="863">
      <c r="A863" s="54" t="n"/>
      <c r="B863" s="55" t="str">
        <f>IF(AA863="","",A863&amp;"-"&amp;RIGHT("000"&amp;AA863,4))</f>
        <v/>
      </c>
      <c r="C863" s="56" t="n"/>
      <c r="D863" s="54" t="n"/>
      <c r="E863" s="57" t="str">
        <f>IF(D863="","",IF(A863="BL",IFERROR(INDEX(cl_name,MATCH(D863,cl_code,0))&amp;"","Client inconnu"),IF(A863="BR",IFERROR(INDEX(fo_name,MATCH(D863,fo_code,0))&amp;"","Fournisseur inconnu"),IF(A863="BS",IF(ISNA(MATCH(D863,p_services,0)),"Service inconnu",D863&amp;""),""))))</f>
        <v/>
      </c>
      <c r="F863" s="58" t="n"/>
      <c r="G863" s="58" t="n"/>
      <c r="H863" s="59" t="n"/>
      <c r="I863" s="57" t="str">
        <f>IF(H863="","",IFERROR(INDEX(art_des,MATCH(H863,art_ref,0))&amp;"","Article inconnu"))</f>
        <v/>
      </c>
      <c r="J863" s="60" t="str">
        <f>IF(H863="","",IFERROR(INDEX(art_unit,MATCH(H863,art_ref,0))&amp;"",""))</f>
        <v/>
      </c>
      <c r="K863" s="59" t="n"/>
      <c r="L863" s="59" t="n"/>
      <c r="M863" s="61" t="str">
        <f>IF(OR(B863="",NOT(ISNUMBER(K863)),NOT(ISNUMBER(L863))),"",IF(OR(K863&lt;=0,L863&lt;=0),"",ROUND(L863-K863,6)))</f>
        <v/>
      </c>
      <c r="N863" s="58" t="n"/>
      <c r="O863" s="62" t="n"/>
      <c r="P863" s="63" t="str">
        <f>IF(OR(B863="",NOT(ISNUMBER(L863))),"",IF(L863&lt;=0,"",IFERROR(ROUND(L863*N(INDEX(art_w,MATCH(H863,art_ref,0))),3),"")))</f>
        <v/>
      </c>
      <c r="Q863" s="59" t="n"/>
      <c r="R863" s="54" t="n"/>
      <c r="S863" s="59" t="n"/>
      <c r="T863" s="59" t="n"/>
      <c r="U863" s="64" t="str">
        <f>IF(OR(B863="",H863=""),"",IFERROR(IF(A863="BL",IF(N(INDEX(art_price,MATCH(H863,art_ref,0)))=0,"",N(INDEX(art_price,MATCH(H863,art_ref,0)))),IF(N(INDEX(art_cost,MATCH(H863,art_ref,0)))=0,"",N(INDEX(art_cost,MATCH(H863,art_ref,0))))),""))</f>
        <v/>
      </c>
      <c r="V863" s="64" t="str">
        <f>IF(OR(U863="",NOT(ISNUMBER(L863))),"",IF(L863&lt;=0,"",ROUND(L863*U863,2)))</f>
        <v/>
      </c>
      <c r="W863" s="60" t="str">
        <f>IF(AND(B863&lt;&gt;"",A863&lt;&gt;"BS",F863&lt;&gt;"",H863&lt;&gt;"",ISNUMBER(K863),ISNUMBER(L863)),IF(AND(K863&gt;0,L863&gt;0,K863-L863&gt;0,COUNTIFS(A864:A$2005,A863,F864:F$2005,F863,H864:H$2005,H863,AA864:AA$2005,"&gt;0")=0),ROUND(K863-L863,6),""),"")</f>
        <v/>
      </c>
      <c r="X863" s="60" t="str">
        <f>IF(AND(A863="",C863="",D863="",H863="",L863=""),"",IF(A863="","Type manquant",IF(AND(A863&lt;&gt;"BL",A863&lt;&gt;"BR",A863&lt;&gt;"BS"),"Type inconnu (BL, BR ou BS)",IF(AG863=0,"Date manquante ou invalide",IF(D863="",IF(A863="BL","Client manquant",IF(A863="BR","Fournisseur manquant","Service manquant")),IF(IF(A863="BL",ISNA(MATCH(D863,cl_code,0)),IF(A863="BR",ISNA(MATCH(D863,fo_code,0)),ISNA(MATCH(D863,p_services,0)))),IF(A863="BL","Client inconnu",IF(A863="BR","Fournisseur inconnu","Service inconnu")),IF(H863="","Article manquant",IF(ISNA(MATCH(H863,art_ref,0)),"Article inconnu",IF(OR(NOT(ISNUMBER(L863)),N(L863)&lt;=0),"Quantité invalide",IF(AND(K863&lt;&gt;"",OR(NOT(ISNUMBER(K863)),N(K863)&lt;=0)),"Qté commandée invalide",IF(AG863&lt;SUMPRODUCT(MAX((A$6:A862=A863)*AG$6:AG862)),"Date antérieure au bon précédent",IF(AND(A863&lt;&gt;"BR",ISNUMBER(M863),N(M863)&gt;0),IF(A863="BL","Livré plus que commandé","Sorti plus que demandé"),"OK"))))))))))))</f>
        <v/>
      </c>
      <c r="Y863" s="57" t="str">
        <f>IF(AND(OR(A863="BL",A863="BR",A863="BS"),AG863&gt;0,D863&lt;&gt;""),A863&amp;"|"&amp;AG863&amp;"|"&amp;D863&amp;"|"&amp;F863,"")</f>
        <v/>
      </c>
      <c r="Z863" s="57" t="str">
        <f>IF(Y863="","",IF(COUNTIF(Y$6:Y862,Y863)=0,1,0))</f>
        <v/>
      </c>
      <c r="AA863" s="57" t="str">
        <f>IF(Y863="","",IF(Z863=1,COUNTIFS(A$6:A863,A863,Z$6:Z863,1),INDEX(AA$6:AA862,MATCH(Y863,Y$6:Y862,0))))</f>
        <v/>
      </c>
      <c r="AB863" s="57" t="str">
        <f>IF(B863="","",COUNTIF(B$6:B863,B863))</f>
        <v/>
      </c>
      <c r="AC863" s="57" t="str">
        <f>IF(B863="","",B863&amp;"#"&amp;AB863)</f>
        <v/>
      </c>
      <c r="AD863" s="57" t="str">
        <f>IF(Z863=1,A863&amp;AA863,"")</f>
        <v/>
      </c>
      <c r="AE863" s="57" t="str">
        <f>IF(B863="","",YEAR(C863))</f>
        <v/>
      </c>
      <c r="AF863" s="57" t="str">
        <f>IF(B863="","",MONTH(C863))</f>
        <v/>
      </c>
      <c r="AG863" s="57">
        <f>IF(ISNUMBER(C863),C863,0)</f>
        <v>0.0</v>
      </c>
      <c r="AH863" s="57" t="str">
        <f>IF(N(W863)&gt;0,COUNTIF(W$6:W863,"&gt;0"),"")</f>
        <v/>
      </c>
      <c r="AI863" s="57" t="str">
        <f>IF(Z863=1,COUNTIF(Z$6:Z863,1),"")</f>
        <v/>
      </c>
    </row>
    <row r="864">
      <c r="A864" s="54" t="n"/>
      <c r="B864" s="55" t="str">
        <f>IF(AA864="","",A864&amp;"-"&amp;RIGHT("000"&amp;AA864,4))</f>
        <v/>
      </c>
      <c r="C864" s="56" t="n"/>
      <c r="D864" s="54" t="n"/>
      <c r="E864" s="57" t="str">
        <f>IF(D864="","",IF(A864="BL",IFERROR(INDEX(cl_name,MATCH(D864,cl_code,0))&amp;"","Client inconnu"),IF(A864="BR",IFERROR(INDEX(fo_name,MATCH(D864,fo_code,0))&amp;"","Fournisseur inconnu"),IF(A864="BS",IF(ISNA(MATCH(D864,p_services,0)),"Service inconnu",D864&amp;""),""))))</f>
        <v/>
      </c>
      <c r="F864" s="58" t="n"/>
      <c r="G864" s="58" t="n"/>
      <c r="H864" s="59" t="n"/>
      <c r="I864" s="57" t="str">
        <f>IF(H864="","",IFERROR(INDEX(art_des,MATCH(H864,art_ref,0))&amp;"","Article inconnu"))</f>
        <v/>
      </c>
      <c r="J864" s="60" t="str">
        <f>IF(H864="","",IFERROR(INDEX(art_unit,MATCH(H864,art_ref,0))&amp;"",""))</f>
        <v/>
      </c>
      <c r="K864" s="59" t="n"/>
      <c r="L864" s="59" t="n"/>
      <c r="M864" s="61" t="str">
        <f>IF(OR(B864="",NOT(ISNUMBER(K864)),NOT(ISNUMBER(L864))),"",IF(OR(K864&lt;=0,L864&lt;=0),"",ROUND(L864-K864,6)))</f>
        <v/>
      </c>
      <c r="N864" s="58" t="n"/>
      <c r="O864" s="62" t="n"/>
      <c r="P864" s="63" t="str">
        <f>IF(OR(B864="",NOT(ISNUMBER(L864))),"",IF(L864&lt;=0,"",IFERROR(ROUND(L864*N(INDEX(art_w,MATCH(H864,art_ref,0))),3),"")))</f>
        <v/>
      </c>
      <c r="Q864" s="59" t="n"/>
      <c r="R864" s="54" t="n"/>
      <c r="S864" s="59" t="n"/>
      <c r="T864" s="59" t="n"/>
      <c r="U864" s="64" t="str">
        <f>IF(OR(B864="",H864=""),"",IFERROR(IF(A864="BL",IF(N(INDEX(art_price,MATCH(H864,art_ref,0)))=0,"",N(INDEX(art_price,MATCH(H864,art_ref,0)))),IF(N(INDEX(art_cost,MATCH(H864,art_ref,0)))=0,"",N(INDEX(art_cost,MATCH(H864,art_ref,0))))),""))</f>
        <v/>
      </c>
      <c r="V864" s="64" t="str">
        <f>IF(OR(U864="",NOT(ISNUMBER(L864))),"",IF(L864&lt;=0,"",ROUND(L864*U864,2)))</f>
        <v/>
      </c>
      <c r="W864" s="60" t="str">
        <f>IF(AND(B864&lt;&gt;"",A864&lt;&gt;"BS",F864&lt;&gt;"",H864&lt;&gt;"",ISNUMBER(K864),ISNUMBER(L864)),IF(AND(K864&gt;0,L864&gt;0,K864-L864&gt;0,COUNTIFS(A865:A$2005,A864,F865:F$2005,F864,H865:H$2005,H864,AA865:AA$2005,"&gt;0")=0),ROUND(K864-L864,6),""),"")</f>
        <v/>
      </c>
      <c r="X864" s="60" t="str">
        <f>IF(AND(A864="",C864="",D864="",H864="",L864=""),"",IF(A864="","Type manquant",IF(AND(A864&lt;&gt;"BL",A864&lt;&gt;"BR",A864&lt;&gt;"BS"),"Type inconnu (BL, BR ou BS)",IF(AG864=0,"Date manquante ou invalide",IF(D864="",IF(A864="BL","Client manquant",IF(A864="BR","Fournisseur manquant","Service manquant")),IF(IF(A864="BL",ISNA(MATCH(D864,cl_code,0)),IF(A864="BR",ISNA(MATCH(D864,fo_code,0)),ISNA(MATCH(D864,p_services,0)))),IF(A864="BL","Client inconnu",IF(A864="BR","Fournisseur inconnu","Service inconnu")),IF(H864="","Article manquant",IF(ISNA(MATCH(H864,art_ref,0)),"Article inconnu",IF(OR(NOT(ISNUMBER(L864)),N(L864)&lt;=0),"Quantité invalide",IF(AND(K864&lt;&gt;"",OR(NOT(ISNUMBER(K864)),N(K864)&lt;=0)),"Qté commandée invalide",IF(AG864&lt;SUMPRODUCT(MAX((A$6:A863=A864)*AG$6:AG863)),"Date antérieure au bon précédent",IF(AND(A864&lt;&gt;"BR",ISNUMBER(M864),N(M864)&gt;0),IF(A864="BL","Livré plus que commandé","Sorti plus que demandé"),"OK"))))))))))))</f>
        <v/>
      </c>
      <c r="Y864" s="57" t="str">
        <f>IF(AND(OR(A864="BL",A864="BR",A864="BS"),AG864&gt;0,D864&lt;&gt;""),A864&amp;"|"&amp;AG864&amp;"|"&amp;D864&amp;"|"&amp;F864,"")</f>
        <v/>
      </c>
      <c r="Z864" s="57" t="str">
        <f>IF(Y864="","",IF(COUNTIF(Y$6:Y863,Y864)=0,1,0))</f>
        <v/>
      </c>
      <c r="AA864" s="57" t="str">
        <f>IF(Y864="","",IF(Z864=1,COUNTIFS(A$6:A864,A864,Z$6:Z864,1),INDEX(AA$6:AA863,MATCH(Y864,Y$6:Y863,0))))</f>
        <v/>
      </c>
      <c r="AB864" s="57" t="str">
        <f>IF(B864="","",COUNTIF(B$6:B864,B864))</f>
        <v/>
      </c>
      <c r="AC864" s="57" t="str">
        <f>IF(B864="","",B864&amp;"#"&amp;AB864)</f>
        <v/>
      </c>
      <c r="AD864" s="57" t="str">
        <f>IF(Z864=1,A864&amp;AA864,"")</f>
        <v/>
      </c>
      <c r="AE864" s="57" t="str">
        <f>IF(B864="","",YEAR(C864))</f>
        <v/>
      </c>
      <c r="AF864" s="57" t="str">
        <f>IF(B864="","",MONTH(C864))</f>
        <v/>
      </c>
      <c r="AG864" s="57">
        <f>IF(ISNUMBER(C864),C864,0)</f>
        <v>0.0</v>
      </c>
      <c r="AH864" s="57" t="str">
        <f>IF(N(W864)&gt;0,COUNTIF(W$6:W864,"&gt;0"),"")</f>
        <v/>
      </c>
      <c r="AI864" s="57" t="str">
        <f>IF(Z864=1,COUNTIF(Z$6:Z864,1),"")</f>
        <v/>
      </c>
    </row>
    <row r="865">
      <c r="A865" s="54" t="n"/>
      <c r="B865" s="55" t="str">
        <f>IF(AA865="","",A865&amp;"-"&amp;RIGHT("000"&amp;AA865,4))</f>
        <v/>
      </c>
      <c r="C865" s="56" t="n"/>
      <c r="D865" s="54" t="n"/>
      <c r="E865" s="57" t="str">
        <f>IF(D865="","",IF(A865="BL",IFERROR(INDEX(cl_name,MATCH(D865,cl_code,0))&amp;"","Client inconnu"),IF(A865="BR",IFERROR(INDEX(fo_name,MATCH(D865,fo_code,0))&amp;"","Fournisseur inconnu"),IF(A865="BS",IF(ISNA(MATCH(D865,p_services,0)),"Service inconnu",D865&amp;""),""))))</f>
        <v/>
      </c>
      <c r="F865" s="58" t="n"/>
      <c r="G865" s="58" t="n"/>
      <c r="H865" s="59" t="n"/>
      <c r="I865" s="57" t="str">
        <f>IF(H865="","",IFERROR(INDEX(art_des,MATCH(H865,art_ref,0))&amp;"","Article inconnu"))</f>
        <v/>
      </c>
      <c r="J865" s="60" t="str">
        <f>IF(H865="","",IFERROR(INDEX(art_unit,MATCH(H865,art_ref,0))&amp;"",""))</f>
        <v/>
      </c>
      <c r="K865" s="59" t="n"/>
      <c r="L865" s="59" t="n"/>
      <c r="M865" s="61" t="str">
        <f>IF(OR(B865="",NOT(ISNUMBER(K865)),NOT(ISNUMBER(L865))),"",IF(OR(K865&lt;=0,L865&lt;=0),"",ROUND(L865-K865,6)))</f>
        <v/>
      </c>
      <c r="N865" s="58" t="n"/>
      <c r="O865" s="62" t="n"/>
      <c r="P865" s="63" t="str">
        <f>IF(OR(B865="",NOT(ISNUMBER(L865))),"",IF(L865&lt;=0,"",IFERROR(ROUND(L865*N(INDEX(art_w,MATCH(H865,art_ref,0))),3),"")))</f>
        <v/>
      </c>
      <c r="Q865" s="59" t="n"/>
      <c r="R865" s="54" t="n"/>
      <c r="S865" s="59" t="n"/>
      <c r="T865" s="59" t="n"/>
      <c r="U865" s="64" t="str">
        <f>IF(OR(B865="",H865=""),"",IFERROR(IF(A865="BL",IF(N(INDEX(art_price,MATCH(H865,art_ref,0)))=0,"",N(INDEX(art_price,MATCH(H865,art_ref,0)))),IF(N(INDEX(art_cost,MATCH(H865,art_ref,0)))=0,"",N(INDEX(art_cost,MATCH(H865,art_ref,0))))),""))</f>
        <v/>
      </c>
      <c r="V865" s="64" t="str">
        <f>IF(OR(U865="",NOT(ISNUMBER(L865))),"",IF(L865&lt;=0,"",ROUND(L865*U865,2)))</f>
        <v/>
      </c>
      <c r="W865" s="60" t="str">
        <f>IF(AND(B865&lt;&gt;"",A865&lt;&gt;"BS",F865&lt;&gt;"",H865&lt;&gt;"",ISNUMBER(K865),ISNUMBER(L865)),IF(AND(K865&gt;0,L865&gt;0,K865-L865&gt;0,COUNTIFS(A866:A$2005,A865,F866:F$2005,F865,H866:H$2005,H865,AA866:AA$2005,"&gt;0")=0),ROUND(K865-L865,6),""),"")</f>
        <v/>
      </c>
      <c r="X865" s="60" t="str">
        <f>IF(AND(A865="",C865="",D865="",H865="",L865=""),"",IF(A865="","Type manquant",IF(AND(A865&lt;&gt;"BL",A865&lt;&gt;"BR",A865&lt;&gt;"BS"),"Type inconnu (BL, BR ou BS)",IF(AG865=0,"Date manquante ou invalide",IF(D865="",IF(A865="BL","Client manquant",IF(A865="BR","Fournisseur manquant","Service manquant")),IF(IF(A865="BL",ISNA(MATCH(D865,cl_code,0)),IF(A865="BR",ISNA(MATCH(D865,fo_code,0)),ISNA(MATCH(D865,p_services,0)))),IF(A865="BL","Client inconnu",IF(A865="BR","Fournisseur inconnu","Service inconnu")),IF(H865="","Article manquant",IF(ISNA(MATCH(H865,art_ref,0)),"Article inconnu",IF(OR(NOT(ISNUMBER(L865)),N(L865)&lt;=0),"Quantité invalide",IF(AND(K865&lt;&gt;"",OR(NOT(ISNUMBER(K865)),N(K865)&lt;=0)),"Qté commandée invalide",IF(AG865&lt;SUMPRODUCT(MAX((A$6:A864=A865)*AG$6:AG864)),"Date antérieure au bon précédent",IF(AND(A865&lt;&gt;"BR",ISNUMBER(M865),N(M865)&gt;0),IF(A865="BL","Livré plus que commandé","Sorti plus que demandé"),"OK"))))))))))))</f>
        <v/>
      </c>
      <c r="Y865" s="57" t="str">
        <f>IF(AND(OR(A865="BL",A865="BR",A865="BS"),AG865&gt;0,D865&lt;&gt;""),A865&amp;"|"&amp;AG865&amp;"|"&amp;D865&amp;"|"&amp;F865,"")</f>
        <v/>
      </c>
      <c r="Z865" s="57" t="str">
        <f>IF(Y865="","",IF(COUNTIF(Y$6:Y864,Y865)=0,1,0))</f>
        <v/>
      </c>
      <c r="AA865" s="57" t="str">
        <f>IF(Y865="","",IF(Z865=1,COUNTIFS(A$6:A865,A865,Z$6:Z865,1),INDEX(AA$6:AA864,MATCH(Y865,Y$6:Y864,0))))</f>
        <v/>
      </c>
      <c r="AB865" s="57" t="str">
        <f>IF(B865="","",COUNTIF(B$6:B865,B865))</f>
        <v/>
      </c>
      <c r="AC865" s="57" t="str">
        <f>IF(B865="","",B865&amp;"#"&amp;AB865)</f>
        <v/>
      </c>
      <c r="AD865" s="57" t="str">
        <f>IF(Z865=1,A865&amp;AA865,"")</f>
        <v/>
      </c>
      <c r="AE865" s="57" t="str">
        <f>IF(B865="","",YEAR(C865))</f>
        <v/>
      </c>
      <c r="AF865" s="57" t="str">
        <f>IF(B865="","",MONTH(C865))</f>
        <v/>
      </c>
      <c r="AG865" s="57">
        <f>IF(ISNUMBER(C865),C865,0)</f>
        <v>0.0</v>
      </c>
      <c r="AH865" s="57" t="str">
        <f>IF(N(W865)&gt;0,COUNTIF(W$6:W865,"&gt;0"),"")</f>
        <v/>
      </c>
      <c r="AI865" s="57" t="str">
        <f>IF(Z865=1,COUNTIF(Z$6:Z865,1),"")</f>
        <v/>
      </c>
    </row>
    <row r="866">
      <c r="A866" s="54" t="n"/>
      <c r="B866" s="55" t="str">
        <f>IF(AA866="","",A866&amp;"-"&amp;RIGHT("000"&amp;AA866,4))</f>
        <v/>
      </c>
      <c r="C866" s="56" t="n"/>
      <c r="D866" s="54" t="n"/>
      <c r="E866" s="57" t="str">
        <f>IF(D866="","",IF(A866="BL",IFERROR(INDEX(cl_name,MATCH(D866,cl_code,0))&amp;"","Client inconnu"),IF(A866="BR",IFERROR(INDEX(fo_name,MATCH(D866,fo_code,0))&amp;"","Fournisseur inconnu"),IF(A866="BS",IF(ISNA(MATCH(D866,p_services,0)),"Service inconnu",D866&amp;""),""))))</f>
        <v/>
      </c>
      <c r="F866" s="58" t="n"/>
      <c r="G866" s="58" t="n"/>
      <c r="H866" s="59" t="n"/>
      <c r="I866" s="57" t="str">
        <f>IF(H866="","",IFERROR(INDEX(art_des,MATCH(H866,art_ref,0))&amp;"","Article inconnu"))</f>
        <v/>
      </c>
      <c r="J866" s="60" t="str">
        <f>IF(H866="","",IFERROR(INDEX(art_unit,MATCH(H866,art_ref,0))&amp;"",""))</f>
        <v/>
      </c>
      <c r="K866" s="59" t="n"/>
      <c r="L866" s="59" t="n"/>
      <c r="M866" s="61" t="str">
        <f>IF(OR(B866="",NOT(ISNUMBER(K866)),NOT(ISNUMBER(L866))),"",IF(OR(K866&lt;=0,L866&lt;=0),"",ROUND(L866-K866,6)))</f>
        <v/>
      </c>
      <c r="N866" s="58" t="n"/>
      <c r="O866" s="62" t="n"/>
      <c r="P866" s="63" t="str">
        <f>IF(OR(B866="",NOT(ISNUMBER(L866))),"",IF(L866&lt;=0,"",IFERROR(ROUND(L866*N(INDEX(art_w,MATCH(H866,art_ref,0))),3),"")))</f>
        <v/>
      </c>
      <c r="Q866" s="59" t="n"/>
      <c r="R866" s="54" t="n"/>
      <c r="S866" s="59" t="n"/>
      <c r="T866" s="59" t="n"/>
      <c r="U866" s="64" t="str">
        <f>IF(OR(B866="",H866=""),"",IFERROR(IF(A866="BL",IF(N(INDEX(art_price,MATCH(H866,art_ref,0)))=0,"",N(INDEX(art_price,MATCH(H866,art_ref,0)))),IF(N(INDEX(art_cost,MATCH(H866,art_ref,0)))=0,"",N(INDEX(art_cost,MATCH(H866,art_ref,0))))),""))</f>
        <v/>
      </c>
      <c r="V866" s="64" t="str">
        <f>IF(OR(U866="",NOT(ISNUMBER(L866))),"",IF(L866&lt;=0,"",ROUND(L866*U866,2)))</f>
        <v/>
      </c>
      <c r="W866" s="60" t="str">
        <f>IF(AND(B866&lt;&gt;"",A866&lt;&gt;"BS",F866&lt;&gt;"",H866&lt;&gt;"",ISNUMBER(K866),ISNUMBER(L866)),IF(AND(K866&gt;0,L866&gt;0,K866-L866&gt;0,COUNTIFS(A867:A$2005,A866,F867:F$2005,F866,H867:H$2005,H866,AA867:AA$2005,"&gt;0")=0),ROUND(K866-L866,6),""),"")</f>
        <v/>
      </c>
      <c r="X866" s="60" t="str">
        <f>IF(AND(A866="",C866="",D866="",H866="",L866=""),"",IF(A866="","Type manquant",IF(AND(A866&lt;&gt;"BL",A866&lt;&gt;"BR",A866&lt;&gt;"BS"),"Type inconnu (BL, BR ou BS)",IF(AG866=0,"Date manquante ou invalide",IF(D866="",IF(A866="BL","Client manquant",IF(A866="BR","Fournisseur manquant","Service manquant")),IF(IF(A866="BL",ISNA(MATCH(D866,cl_code,0)),IF(A866="BR",ISNA(MATCH(D866,fo_code,0)),ISNA(MATCH(D866,p_services,0)))),IF(A866="BL","Client inconnu",IF(A866="BR","Fournisseur inconnu","Service inconnu")),IF(H866="","Article manquant",IF(ISNA(MATCH(H866,art_ref,0)),"Article inconnu",IF(OR(NOT(ISNUMBER(L866)),N(L866)&lt;=0),"Quantité invalide",IF(AND(K866&lt;&gt;"",OR(NOT(ISNUMBER(K866)),N(K866)&lt;=0)),"Qté commandée invalide",IF(AG866&lt;SUMPRODUCT(MAX((A$6:A865=A866)*AG$6:AG865)),"Date antérieure au bon précédent",IF(AND(A866&lt;&gt;"BR",ISNUMBER(M866),N(M866)&gt;0),IF(A866="BL","Livré plus que commandé","Sorti plus que demandé"),"OK"))))))))))))</f>
        <v/>
      </c>
      <c r="Y866" s="57" t="str">
        <f>IF(AND(OR(A866="BL",A866="BR",A866="BS"),AG866&gt;0,D866&lt;&gt;""),A866&amp;"|"&amp;AG866&amp;"|"&amp;D866&amp;"|"&amp;F866,"")</f>
        <v/>
      </c>
      <c r="Z866" s="57" t="str">
        <f>IF(Y866="","",IF(COUNTIF(Y$6:Y865,Y866)=0,1,0))</f>
        <v/>
      </c>
      <c r="AA866" s="57" t="str">
        <f>IF(Y866="","",IF(Z866=1,COUNTIFS(A$6:A866,A866,Z$6:Z866,1),INDEX(AA$6:AA865,MATCH(Y866,Y$6:Y865,0))))</f>
        <v/>
      </c>
      <c r="AB866" s="57" t="str">
        <f>IF(B866="","",COUNTIF(B$6:B866,B866))</f>
        <v/>
      </c>
      <c r="AC866" s="57" t="str">
        <f>IF(B866="","",B866&amp;"#"&amp;AB866)</f>
        <v/>
      </c>
      <c r="AD866" s="57" t="str">
        <f>IF(Z866=1,A866&amp;AA866,"")</f>
        <v/>
      </c>
      <c r="AE866" s="57" t="str">
        <f>IF(B866="","",YEAR(C866))</f>
        <v/>
      </c>
      <c r="AF866" s="57" t="str">
        <f>IF(B866="","",MONTH(C866))</f>
        <v/>
      </c>
      <c r="AG866" s="57">
        <f>IF(ISNUMBER(C866),C866,0)</f>
        <v>0.0</v>
      </c>
      <c r="AH866" s="57" t="str">
        <f>IF(N(W866)&gt;0,COUNTIF(W$6:W866,"&gt;0"),"")</f>
        <v/>
      </c>
      <c r="AI866" s="57" t="str">
        <f>IF(Z866=1,COUNTIF(Z$6:Z866,1),"")</f>
        <v/>
      </c>
    </row>
    <row r="867">
      <c r="A867" s="54" t="n"/>
      <c r="B867" s="55" t="str">
        <f>IF(AA867="","",A867&amp;"-"&amp;RIGHT("000"&amp;AA867,4))</f>
        <v/>
      </c>
      <c r="C867" s="56" t="n"/>
      <c r="D867" s="54" t="n"/>
      <c r="E867" s="57" t="str">
        <f>IF(D867="","",IF(A867="BL",IFERROR(INDEX(cl_name,MATCH(D867,cl_code,0))&amp;"","Client inconnu"),IF(A867="BR",IFERROR(INDEX(fo_name,MATCH(D867,fo_code,0))&amp;"","Fournisseur inconnu"),IF(A867="BS",IF(ISNA(MATCH(D867,p_services,0)),"Service inconnu",D867&amp;""),""))))</f>
        <v/>
      </c>
      <c r="F867" s="58" t="n"/>
      <c r="G867" s="58" t="n"/>
      <c r="H867" s="59" t="n"/>
      <c r="I867" s="57" t="str">
        <f>IF(H867="","",IFERROR(INDEX(art_des,MATCH(H867,art_ref,0))&amp;"","Article inconnu"))</f>
        <v/>
      </c>
      <c r="J867" s="60" t="str">
        <f>IF(H867="","",IFERROR(INDEX(art_unit,MATCH(H867,art_ref,0))&amp;"",""))</f>
        <v/>
      </c>
      <c r="K867" s="59" t="n"/>
      <c r="L867" s="59" t="n"/>
      <c r="M867" s="61" t="str">
        <f>IF(OR(B867="",NOT(ISNUMBER(K867)),NOT(ISNUMBER(L867))),"",IF(OR(K867&lt;=0,L867&lt;=0),"",ROUND(L867-K867,6)))</f>
        <v/>
      </c>
      <c r="N867" s="58" t="n"/>
      <c r="O867" s="62" t="n"/>
      <c r="P867" s="63" t="str">
        <f>IF(OR(B867="",NOT(ISNUMBER(L867))),"",IF(L867&lt;=0,"",IFERROR(ROUND(L867*N(INDEX(art_w,MATCH(H867,art_ref,0))),3),"")))</f>
        <v/>
      </c>
      <c r="Q867" s="59" t="n"/>
      <c r="R867" s="54" t="n"/>
      <c r="S867" s="59" t="n"/>
      <c r="T867" s="59" t="n"/>
      <c r="U867" s="64" t="str">
        <f>IF(OR(B867="",H867=""),"",IFERROR(IF(A867="BL",IF(N(INDEX(art_price,MATCH(H867,art_ref,0)))=0,"",N(INDEX(art_price,MATCH(H867,art_ref,0)))),IF(N(INDEX(art_cost,MATCH(H867,art_ref,0)))=0,"",N(INDEX(art_cost,MATCH(H867,art_ref,0))))),""))</f>
        <v/>
      </c>
      <c r="V867" s="64" t="str">
        <f>IF(OR(U867="",NOT(ISNUMBER(L867))),"",IF(L867&lt;=0,"",ROUND(L867*U867,2)))</f>
        <v/>
      </c>
      <c r="W867" s="60" t="str">
        <f>IF(AND(B867&lt;&gt;"",A867&lt;&gt;"BS",F867&lt;&gt;"",H867&lt;&gt;"",ISNUMBER(K867),ISNUMBER(L867)),IF(AND(K867&gt;0,L867&gt;0,K867-L867&gt;0,COUNTIFS(A868:A$2005,A867,F868:F$2005,F867,H868:H$2005,H867,AA868:AA$2005,"&gt;0")=0),ROUND(K867-L867,6),""),"")</f>
        <v/>
      </c>
      <c r="X867" s="60" t="str">
        <f>IF(AND(A867="",C867="",D867="",H867="",L867=""),"",IF(A867="","Type manquant",IF(AND(A867&lt;&gt;"BL",A867&lt;&gt;"BR",A867&lt;&gt;"BS"),"Type inconnu (BL, BR ou BS)",IF(AG867=0,"Date manquante ou invalide",IF(D867="",IF(A867="BL","Client manquant",IF(A867="BR","Fournisseur manquant","Service manquant")),IF(IF(A867="BL",ISNA(MATCH(D867,cl_code,0)),IF(A867="BR",ISNA(MATCH(D867,fo_code,0)),ISNA(MATCH(D867,p_services,0)))),IF(A867="BL","Client inconnu",IF(A867="BR","Fournisseur inconnu","Service inconnu")),IF(H867="","Article manquant",IF(ISNA(MATCH(H867,art_ref,0)),"Article inconnu",IF(OR(NOT(ISNUMBER(L867)),N(L867)&lt;=0),"Quantité invalide",IF(AND(K867&lt;&gt;"",OR(NOT(ISNUMBER(K867)),N(K867)&lt;=0)),"Qté commandée invalide",IF(AG867&lt;SUMPRODUCT(MAX((A$6:A866=A867)*AG$6:AG866)),"Date antérieure au bon précédent",IF(AND(A867&lt;&gt;"BR",ISNUMBER(M867),N(M867)&gt;0),IF(A867="BL","Livré plus que commandé","Sorti plus que demandé"),"OK"))))))))))))</f>
        <v/>
      </c>
      <c r="Y867" s="57" t="str">
        <f>IF(AND(OR(A867="BL",A867="BR",A867="BS"),AG867&gt;0,D867&lt;&gt;""),A867&amp;"|"&amp;AG867&amp;"|"&amp;D867&amp;"|"&amp;F867,"")</f>
        <v/>
      </c>
      <c r="Z867" s="57" t="str">
        <f>IF(Y867="","",IF(COUNTIF(Y$6:Y866,Y867)=0,1,0))</f>
        <v/>
      </c>
      <c r="AA867" s="57" t="str">
        <f>IF(Y867="","",IF(Z867=1,COUNTIFS(A$6:A867,A867,Z$6:Z867,1),INDEX(AA$6:AA866,MATCH(Y867,Y$6:Y866,0))))</f>
        <v/>
      </c>
      <c r="AB867" s="57" t="str">
        <f>IF(B867="","",COUNTIF(B$6:B867,B867))</f>
        <v/>
      </c>
      <c r="AC867" s="57" t="str">
        <f>IF(B867="","",B867&amp;"#"&amp;AB867)</f>
        <v/>
      </c>
      <c r="AD867" s="57" t="str">
        <f>IF(Z867=1,A867&amp;AA867,"")</f>
        <v/>
      </c>
      <c r="AE867" s="57" t="str">
        <f>IF(B867="","",YEAR(C867))</f>
        <v/>
      </c>
      <c r="AF867" s="57" t="str">
        <f>IF(B867="","",MONTH(C867))</f>
        <v/>
      </c>
      <c r="AG867" s="57">
        <f>IF(ISNUMBER(C867),C867,0)</f>
        <v>0.0</v>
      </c>
      <c r="AH867" s="57" t="str">
        <f>IF(N(W867)&gt;0,COUNTIF(W$6:W867,"&gt;0"),"")</f>
        <v/>
      </c>
      <c r="AI867" s="57" t="str">
        <f>IF(Z867=1,COUNTIF(Z$6:Z867,1),"")</f>
        <v/>
      </c>
    </row>
    <row r="868">
      <c r="A868" s="54" t="n"/>
      <c r="B868" s="55" t="str">
        <f>IF(AA868="","",A868&amp;"-"&amp;RIGHT("000"&amp;AA868,4))</f>
        <v/>
      </c>
      <c r="C868" s="56" t="n"/>
      <c r="D868" s="54" t="n"/>
      <c r="E868" s="57" t="str">
        <f>IF(D868="","",IF(A868="BL",IFERROR(INDEX(cl_name,MATCH(D868,cl_code,0))&amp;"","Client inconnu"),IF(A868="BR",IFERROR(INDEX(fo_name,MATCH(D868,fo_code,0))&amp;"","Fournisseur inconnu"),IF(A868="BS",IF(ISNA(MATCH(D868,p_services,0)),"Service inconnu",D868&amp;""),""))))</f>
        <v/>
      </c>
      <c r="F868" s="58" t="n"/>
      <c r="G868" s="58" t="n"/>
      <c r="H868" s="59" t="n"/>
      <c r="I868" s="57" t="str">
        <f>IF(H868="","",IFERROR(INDEX(art_des,MATCH(H868,art_ref,0))&amp;"","Article inconnu"))</f>
        <v/>
      </c>
      <c r="J868" s="60" t="str">
        <f>IF(H868="","",IFERROR(INDEX(art_unit,MATCH(H868,art_ref,0))&amp;"",""))</f>
        <v/>
      </c>
      <c r="K868" s="59" t="n"/>
      <c r="L868" s="59" t="n"/>
      <c r="M868" s="61" t="str">
        <f>IF(OR(B868="",NOT(ISNUMBER(K868)),NOT(ISNUMBER(L868))),"",IF(OR(K868&lt;=0,L868&lt;=0),"",ROUND(L868-K868,6)))</f>
        <v/>
      </c>
      <c r="N868" s="58" t="n"/>
      <c r="O868" s="62" t="n"/>
      <c r="P868" s="63" t="str">
        <f>IF(OR(B868="",NOT(ISNUMBER(L868))),"",IF(L868&lt;=0,"",IFERROR(ROUND(L868*N(INDEX(art_w,MATCH(H868,art_ref,0))),3),"")))</f>
        <v/>
      </c>
      <c r="Q868" s="59" t="n"/>
      <c r="R868" s="54" t="n"/>
      <c r="S868" s="59" t="n"/>
      <c r="T868" s="59" t="n"/>
      <c r="U868" s="64" t="str">
        <f>IF(OR(B868="",H868=""),"",IFERROR(IF(A868="BL",IF(N(INDEX(art_price,MATCH(H868,art_ref,0)))=0,"",N(INDEX(art_price,MATCH(H868,art_ref,0)))),IF(N(INDEX(art_cost,MATCH(H868,art_ref,0)))=0,"",N(INDEX(art_cost,MATCH(H868,art_ref,0))))),""))</f>
        <v/>
      </c>
      <c r="V868" s="64" t="str">
        <f>IF(OR(U868="",NOT(ISNUMBER(L868))),"",IF(L868&lt;=0,"",ROUND(L868*U868,2)))</f>
        <v/>
      </c>
      <c r="W868" s="60" t="str">
        <f>IF(AND(B868&lt;&gt;"",A868&lt;&gt;"BS",F868&lt;&gt;"",H868&lt;&gt;"",ISNUMBER(K868),ISNUMBER(L868)),IF(AND(K868&gt;0,L868&gt;0,K868-L868&gt;0,COUNTIFS(A869:A$2005,A868,F869:F$2005,F868,H869:H$2005,H868,AA869:AA$2005,"&gt;0")=0),ROUND(K868-L868,6),""),"")</f>
        <v/>
      </c>
      <c r="X868" s="60" t="str">
        <f>IF(AND(A868="",C868="",D868="",H868="",L868=""),"",IF(A868="","Type manquant",IF(AND(A868&lt;&gt;"BL",A868&lt;&gt;"BR",A868&lt;&gt;"BS"),"Type inconnu (BL, BR ou BS)",IF(AG868=0,"Date manquante ou invalide",IF(D868="",IF(A868="BL","Client manquant",IF(A868="BR","Fournisseur manquant","Service manquant")),IF(IF(A868="BL",ISNA(MATCH(D868,cl_code,0)),IF(A868="BR",ISNA(MATCH(D868,fo_code,0)),ISNA(MATCH(D868,p_services,0)))),IF(A868="BL","Client inconnu",IF(A868="BR","Fournisseur inconnu","Service inconnu")),IF(H868="","Article manquant",IF(ISNA(MATCH(H868,art_ref,0)),"Article inconnu",IF(OR(NOT(ISNUMBER(L868)),N(L868)&lt;=0),"Quantité invalide",IF(AND(K868&lt;&gt;"",OR(NOT(ISNUMBER(K868)),N(K868)&lt;=0)),"Qté commandée invalide",IF(AG868&lt;SUMPRODUCT(MAX((A$6:A867=A868)*AG$6:AG867)),"Date antérieure au bon précédent",IF(AND(A868&lt;&gt;"BR",ISNUMBER(M868),N(M868)&gt;0),IF(A868="BL","Livré plus que commandé","Sorti plus que demandé"),"OK"))))))))))))</f>
        <v/>
      </c>
      <c r="Y868" s="57" t="str">
        <f>IF(AND(OR(A868="BL",A868="BR",A868="BS"),AG868&gt;0,D868&lt;&gt;""),A868&amp;"|"&amp;AG868&amp;"|"&amp;D868&amp;"|"&amp;F868,"")</f>
        <v/>
      </c>
      <c r="Z868" s="57" t="str">
        <f>IF(Y868="","",IF(COUNTIF(Y$6:Y867,Y868)=0,1,0))</f>
        <v/>
      </c>
      <c r="AA868" s="57" t="str">
        <f>IF(Y868="","",IF(Z868=1,COUNTIFS(A$6:A868,A868,Z$6:Z868,1),INDEX(AA$6:AA867,MATCH(Y868,Y$6:Y867,0))))</f>
        <v/>
      </c>
      <c r="AB868" s="57" t="str">
        <f>IF(B868="","",COUNTIF(B$6:B868,B868))</f>
        <v/>
      </c>
      <c r="AC868" s="57" t="str">
        <f>IF(B868="","",B868&amp;"#"&amp;AB868)</f>
        <v/>
      </c>
      <c r="AD868" s="57" t="str">
        <f>IF(Z868=1,A868&amp;AA868,"")</f>
        <v/>
      </c>
      <c r="AE868" s="57" t="str">
        <f>IF(B868="","",YEAR(C868))</f>
        <v/>
      </c>
      <c r="AF868" s="57" t="str">
        <f>IF(B868="","",MONTH(C868))</f>
        <v/>
      </c>
      <c r="AG868" s="57">
        <f>IF(ISNUMBER(C868),C868,0)</f>
        <v>0.0</v>
      </c>
      <c r="AH868" s="57" t="str">
        <f>IF(N(W868)&gt;0,COUNTIF(W$6:W868,"&gt;0"),"")</f>
        <v/>
      </c>
      <c r="AI868" s="57" t="str">
        <f>IF(Z868=1,COUNTIF(Z$6:Z868,1),"")</f>
        <v/>
      </c>
    </row>
    <row r="869">
      <c r="A869" s="54" t="n"/>
      <c r="B869" s="55" t="str">
        <f>IF(AA869="","",A869&amp;"-"&amp;RIGHT("000"&amp;AA869,4))</f>
        <v/>
      </c>
      <c r="C869" s="56" t="n"/>
      <c r="D869" s="54" t="n"/>
      <c r="E869" s="57" t="str">
        <f>IF(D869="","",IF(A869="BL",IFERROR(INDEX(cl_name,MATCH(D869,cl_code,0))&amp;"","Client inconnu"),IF(A869="BR",IFERROR(INDEX(fo_name,MATCH(D869,fo_code,0))&amp;"","Fournisseur inconnu"),IF(A869="BS",IF(ISNA(MATCH(D869,p_services,0)),"Service inconnu",D869&amp;""),""))))</f>
        <v/>
      </c>
      <c r="F869" s="58" t="n"/>
      <c r="G869" s="58" t="n"/>
      <c r="H869" s="59" t="n"/>
      <c r="I869" s="57" t="str">
        <f>IF(H869="","",IFERROR(INDEX(art_des,MATCH(H869,art_ref,0))&amp;"","Article inconnu"))</f>
        <v/>
      </c>
      <c r="J869" s="60" t="str">
        <f>IF(H869="","",IFERROR(INDEX(art_unit,MATCH(H869,art_ref,0))&amp;"",""))</f>
        <v/>
      </c>
      <c r="K869" s="59" t="n"/>
      <c r="L869" s="59" t="n"/>
      <c r="M869" s="61" t="str">
        <f>IF(OR(B869="",NOT(ISNUMBER(K869)),NOT(ISNUMBER(L869))),"",IF(OR(K869&lt;=0,L869&lt;=0),"",ROUND(L869-K869,6)))</f>
        <v/>
      </c>
      <c r="N869" s="58" t="n"/>
      <c r="O869" s="62" t="n"/>
      <c r="P869" s="63" t="str">
        <f>IF(OR(B869="",NOT(ISNUMBER(L869))),"",IF(L869&lt;=0,"",IFERROR(ROUND(L869*N(INDEX(art_w,MATCH(H869,art_ref,0))),3),"")))</f>
        <v/>
      </c>
      <c r="Q869" s="59" t="n"/>
      <c r="R869" s="54" t="n"/>
      <c r="S869" s="59" t="n"/>
      <c r="T869" s="59" t="n"/>
      <c r="U869" s="64" t="str">
        <f>IF(OR(B869="",H869=""),"",IFERROR(IF(A869="BL",IF(N(INDEX(art_price,MATCH(H869,art_ref,0)))=0,"",N(INDEX(art_price,MATCH(H869,art_ref,0)))),IF(N(INDEX(art_cost,MATCH(H869,art_ref,0)))=0,"",N(INDEX(art_cost,MATCH(H869,art_ref,0))))),""))</f>
        <v/>
      </c>
      <c r="V869" s="64" t="str">
        <f>IF(OR(U869="",NOT(ISNUMBER(L869))),"",IF(L869&lt;=0,"",ROUND(L869*U869,2)))</f>
        <v/>
      </c>
      <c r="W869" s="60" t="str">
        <f>IF(AND(B869&lt;&gt;"",A869&lt;&gt;"BS",F869&lt;&gt;"",H869&lt;&gt;"",ISNUMBER(K869),ISNUMBER(L869)),IF(AND(K869&gt;0,L869&gt;0,K869-L869&gt;0,COUNTIFS(A870:A$2005,A869,F870:F$2005,F869,H870:H$2005,H869,AA870:AA$2005,"&gt;0")=0),ROUND(K869-L869,6),""),"")</f>
        <v/>
      </c>
      <c r="X869" s="60" t="str">
        <f>IF(AND(A869="",C869="",D869="",H869="",L869=""),"",IF(A869="","Type manquant",IF(AND(A869&lt;&gt;"BL",A869&lt;&gt;"BR",A869&lt;&gt;"BS"),"Type inconnu (BL, BR ou BS)",IF(AG869=0,"Date manquante ou invalide",IF(D869="",IF(A869="BL","Client manquant",IF(A869="BR","Fournisseur manquant","Service manquant")),IF(IF(A869="BL",ISNA(MATCH(D869,cl_code,0)),IF(A869="BR",ISNA(MATCH(D869,fo_code,0)),ISNA(MATCH(D869,p_services,0)))),IF(A869="BL","Client inconnu",IF(A869="BR","Fournisseur inconnu","Service inconnu")),IF(H869="","Article manquant",IF(ISNA(MATCH(H869,art_ref,0)),"Article inconnu",IF(OR(NOT(ISNUMBER(L869)),N(L869)&lt;=0),"Quantité invalide",IF(AND(K869&lt;&gt;"",OR(NOT(ISNUMBER(K869)),N(K869)&lt;=0)),"Qté commandée invalide",IF(AG869&lt;SUMPRODUCT(MAX((A$6:A868=A869)*AG$6:AG868)),"Date antérieure au bon précédent",IF(AND(A869&lt;&gt;"BR",ISNUMBER(M869),N(M869)&gt;0),IF(A869="BL","Livré plus que commandé","Sorti plus que demandé"),"OK"))))))))))))</f>
        <v/>
      </c>
      <c r="Y869" s="57" t="str">
        <f>IF(AND(OR(A869="BL",A869="BR",A869="BS"),AG869&gt;0,D869&lt;&gt;""),A869&amp;"|"&amp;AG869&amp;"|"&amp;D869&amp;"|"&amp;F869,"")</f>
        <v/>
      </c>
      <c r="Z869" s="57" t="str">
        <f>IF(Y869="","",IF(COUNTIF(Y$6:Y868,Y869)=0,1,0))</f>
        <v/>
      </c>
      <c r="AA869" s="57" t="str">
        <f>IF(Y869="","",IF(Z869=1,COUNTIFS(A$6:A869,A869,Z$6:Z869,1),INDEX(AA$6:AA868,MATCH(Y869,Y$6:Y868,0))))</f>
        <v/>
      </c>
      <c r="AB869" s="57" t="str">
        <f>IF(B869="","",COUNTIF(B$6:B869,B869))</f>
        <v/>
      </c>
      <c r="AC869" s="57" t="str">
        <f>IF(B869="","",B869&amp;"#"&amp;AB869)</f>
        <v/>
      </c>
      <c r="AD869" s="57" t="str">
        <f>IF(Z869=1,A869&amp;AA869,"")</f>
        <v/>
      </c>
      <c r="AE869" s="57" t="str">
        <f>IF(B869="","",YEAR(C869))</f>
        <v/>
      </c>
      <c r="AF869" s="57" t="str">
        <f>IF(B869="","",MONTH(C869))</f>
        <v/>
      </c>
      <c r="AG869" s="57">
        <f>IF(ISNUMBER(C869),C869,0)</f>
        <v>0.0</v>
      </c>
      <c r="AH869" s="57" t="str">
        <f>IF(N(W869)&gt;0,COUNTIF(W$6:W869,"&gt;0"),"")</f>
        <v/>
      </c>
      <c r="AI869" s="57" t="str">
        <f>IF(Z869=1,COUNTIF(Z$6:Z869,1),"")</f>
        <v/>
      </c>
    </row>
    <row r="870">
      <c r="A870" s="54" t="n"/>
      <c r="B870" s="55" t="str">
        <f>IF(AA870="","",A870&amp;"-"&amp;RIGHT("000"&amp;AA870,4))</f>
        <v/>
      </c>
      <c r="C870" s="56" t="n"/>
      <c r="D870" s="54" t="n"/>
      <c r="E870" s="57" t="str">
        <f>IF(D870="","",IF(A870="BL",IFERROR(INDEX(cl_name,MATCH(D870,cl_code,0))&amp;"","Client inconnu"),IF(A870="BR",IFERROR(INDEX(fo_name,MATCH(D870,fo_code,0))&amp;"","Fournisseur inconnu"),IF(A870="BS",IF(ISNA(MATCH(D870,p_services,0)),"Service inconnu",D870&amp;""),""))))</f>
        <v/>
      </c>
      <c r="F870" s="58" t="n"/>
      <c r="G870" s="58" t="n"/>
      <c r="H870" s="59" t="n"/>
      <c r="I870" s="57" t="str">
        <f>IF(H870="","",IFERROR(INDEX(art_des,MATCH(H870,art_ref,0))&amp;"","Article inconnu"))</f>
        <v/>
      </c>
      <c r="J870" s="60" t="str">
        <f>IF(H870="","",IFERROR(INDEX(art_unit,MATCH(H870,art_ref,0))&amp;"",""))</f>
        <v/>
      </c>
      <c r="K870" s="59" t="n"/>
      <c r="L870" s="59" t="n"/>
      <c r="M870" s="61" t="str">
        <f>IF(OR(B870="",NOT(ISNUMBER(K870)),NOT(ISNUMBER(L870))),"",IF(OR(K870&lt;=0,L870&lt;=0),"",ROUND(L870-K870,6)))</f>
        <v/>
      </c>
      <c r="N870" s="58" t="n"/>
      <c r="O870" s="62" t="n"/>
      <c r="P870" s="63" t="str">
        <f>IF(OR(B870="",NOT(ISNUMBER(L870))),"",IF(L870&lt;=0,"",IFERROR(ROUND(L870*N(INDEX(art_w,MATCH(H870,art_ref,0))),3),"")))</f>
        <v/>
      </c>
      <c r="Q870" s="59" t="n"/>
      <c r="R870" s="54" t="n"/>
      <c r="S870" s="59" t="n"/>
      <c r="T870" s="59" t="n"/>
      <c r="U870" s="64" t="str">
        <f>IF(OR(B870="",H870=""),"",IFERROR(IF(A870="BL",IF(N(INDEX(art_price,MATCH(H870,art_ref,0)))=0,"",N(INDEX(art_price,MATCH(H870,art_ref,0)))),IF(N(INDEX(art_cost,MATCH(H870,art_ref,0)))=0,"",N(INDEX(art_cost,MATCH(H870,art_ref,0))))),""))</f>
        <v/>
      </c>
      <c r="V870" s="64" t="str">
        <f>IF(OR(U870="",NOT(ISNUMBER(L870))),"",IF(L870&lt;=0,"",ROUND(L870*U870,2)))</f>
        <v/>
      </c>
      <c r="W870" s="60" t="str">
        <f>IF(AND(B870&lt;&gt;"",A870&lt;&gt;"BS",F870&lt;&gt;"",H870&lt;&gt;"",ISNUMBER(K870),ISNUMBER(L870)),IF(AND(K870&gt;0,L870&gt;0,K870-L870&gt;0,COUNTIFS(A871:A$2005,A870,F871:F$2005,F870,H871:H$2005,H870,AA871:AA$2005,"&gt;0")=0),ROUND(K870-L870,6),""),"")</f>
        <v/>
      </c>
      <c r="X870" s="60" t="str">
        <f>IF(AND(A870="",C870="",D870="",H870="",L870=""),"",IF(A870="","Type manquant",IF(AND(A870&lt;&gt;"BL",A870&lt;&gt;"BR",A870&lt;&gt;"BS"),"Type inconnu (BL, BR ou BS)",IF(AG870=0,"Date manquante ou invalide",IF(D870="",IF(A870="BL","Client manquant",IF(A870="BR","Fournisseur manquant","Service manquant")),IF(IF(A870="BL",ISNA(MATCH(D870,cl_code,0)),IF(A870="BR",ISNA(MATCH(D870,fo_code,0)),ISNA(MATCH(D870,p_services,0)))),IF(A870="BL","Client inconnu",IF(A870="BR","Fournisseur inconnu","Service inconnu")),IF(H870="","Article manquant",IF(ISNA(MATCH(H870,art_ref,0)),"Article inconnu",IF(OR(NOT(ISNUMBER(L870)),N(L870)&lt;=0),"Quantité invalide",IF(AND(K870&lt;&gt;"",OR(NOT(ISNUMBER(K870)),N(K870)&lt;=0)),"Qté commandée invalide",IF(AG870&lt;SUMPRODUCT(MAX((A$6:A869=A870)*AG$6:AG869)),"Date antérieure au bon précédent",IF(AND(A870&lt;&gt;"BR",ISNUMBER(M870),N(M870)&gt;0),IF(A870="BL","Livré plus que commandé","Sorti plus que demandé"),"OK"))))))))))))</f>
        <v/>
      </c>
      <c r="Y870" s="57" t="str">
        <f>IF(AND(OR(A870="BL",A870="BR",A870="BS"),AG870&gt;0,D870&lt;&gt;""),A870&amp;"|"&amp;AG870&amp;"|"&amp;D870&amp;"|"&amp;F870,"")</f>
        <v/>
      </c>
      <c r="Z870" s="57" t="str">
        <f>IF(Y870="","",IF(COUNTIF(Y$6:Y869,Y870)=0,1,0))</f>
        <v/>
      </c>
      <c r="AA870" s="57" t="str">
        <f>IF(Y870="","",IF(Z870=1,COUNTIFS(A$6:A870,A870,Z$6:Z870,1),INDEX(AA$6:AA869,MATCH(Y870,Y$6:Y869,0))))</f>
        <v/>
      </c>
      <c r="AB870" s="57" t="str">
        <f>IF(B870="","",COUNTIF(B$6:B870,B870))</f>
        <v/>
      </c>
      <c r="AC870" s="57" t="str">
        <f>IF(B870="","",B870&amp;"#"&amp;AB870)</f>
        <v/>
      </c>
      <c r="AD870" s="57" t="str">
        <f>IF(Z870=1,A870&amp;AA870,"")</f>
        <v/>
      </c>
      <c r="AE870" s="57" t="str">
        <f>IF(B870="","",YEAR(C870))</f>
        <v/>
      </c>
      <c r="AF870" s="57" t="str">
        <f>IF(B870="","",MONTH(C870))</f>
        <v/>
      </c>
      <c r="AG870" s="57">
        <f>IF(ISNUMBER(C870),C870,0)</f>
        <v>0.0</v>
      </c>
      <c r="AH870" s="57" t="str">
        <f>IF(N(W870)&gt;0,COUNTIF(W$6:W870,"&gt;0"),"")</f>
        <v/>
      </c>
      <c r="AI870" s="57" t="str">
        <f>IF(Z870=1,COUNTIF(Z$6:Z870,1),"")</f>
        <v/>
      </c>
    </row>
    <row r="871">
      <c r="A871" s="54" t="n"/>
      <c r="B871" s="55" t="str">
        <f>IF(AA871="","",A871&amp;"-"&amp;RIGHT("000"&amp;AA871,4))</f>
        <v/>
      </c>
      <c r="C871" s="56" t="n"/>
      <c r="D871" s="54" t="n"/>
      <c r="E871" s="57" t="str">
        <f>IF(D871="","",IF(A871="BL",IFERROR(INDEX(cl_name,MATCH(D871,cl_code,0))&amp;"","Client inconnu"),IF(A871="BR",IFERROR(INDEX(fo_name,MATCH(D871,fo_code,0))&amp;"","Fournisseur inconnu"),IF(A871="BS",IF(ISNA(MATCH(D871,p_services,0)),"Service inconnu",D871&amp;""),""))))</f>
        <v/>
      </c>
      <c r="F871" s="58" t="n"/>
      <c r="G871" s="58" t="n"/>
      <c r="H871" s="59" t="n"/>
      <c r="I871" s="57" t="str">
        <f>IF(H871="","",IFERROR(INDEX(art_des,MATCH(H871,art_ref,0))&amp;"","Article inconnu"))</f>
        <v/>
      </c>
      <c r="J871" s="60" t="str">
        <f>IF(H871="","",IFERROR(INDEX(art_unit,MATCH(H871,art_ref,0))&amp;"",""))</f>
        <v/>
      </c>
      <c r="K871" s="59" t="n"/>
      <c r="L871" s="59" t="n"/>
      <c r="M871" s="61" t="str">
        <f>IF(OR(B871="",NOT(ISNUMBER(K871)),NOT(ISNUMBER(L871))),"",IF(OR(K871&lt;=0,L871&lt;=0),"",ROUND(L871-K871,6)))</f>
        <v/>
      </c>
      <c r="N871" s="58" t="n"/>
      <c r="O871" s="62" t="n"/>
      <c r="P871" s="63" t="str">
        <f>IF(OR(B871="",NOT(ISNUMBER(L871))),"",IF(L871&lt;=0,"",IFERROR(ROUND(L871*N(INDEX(art_w,MATCH(H871,art_ref,0))),3),"")))</f>
        <v/>
      </c>
      <c r="Q871" s="59" t="n"/>
      <c r="R871" s="54" t="n"/>
      <c r="S871" s="59" t="n"/>
      <c r="T871" s="59" t="n"/>
      <c r="U871" s="64" t="str">
        <f>IF(OR(B871="",H871=""),"",IFERROR(IF(A871="BL",IF(N(INDEX(art_price,MATCH(H871,art_ref,0)))=0,"",N(INDEX(art_price,MATCH(H871,art_ref,0)))),IF(N(INDEX(art_cost,MATCH(H871,art_ref,0)))=0,"",N(INDEX(art_cost,MATCH(H871,art_ref,0))))),""))</f>
        <v/>
      </c>
      <c r="V871" s="64" t="str">
        <f>IF(OR(U871="",NOT(ISNUMBER(L871))),"",IF(L871&lt;=0,"",ROUND(L871*U871,2)))</f>
        <v/>
      </c>
      <c r="W871" s="60" t="str">
        <f>IF(AND(B871&lt;&gt;"",A871&lt;&gt;"BS",F871&lt;&gt;"",H871&lt;&gt;"",ISNUMBER(K871),ISNUMBER(L871)),IF(AND(K871&gt;0,L871&gt;0,K871-L871&gt;0,COUNTIFS(A872:A$2005,A871,F872:F$2005,F871,H872:H$2005,H871,AA872:AA$2005,"&gt;0")=0),ROUND(K871-L871,6),""),"")</f>
        <v/>
      </c>
      <c r="X871" s="60" t="str">
        <f>IF(AND(A871="",C871="",D871="",H871="",L871=""),"",IF(A871="","Type manquant",IF(AND(A871&lt;&gt;"BL",A871&lt;&gt;"BR",A871&lt;&gt;"BS"),"Type inconnu (BL, BR ou BS)",IF(AG871=0,"Date manquante ou invalide",IF(D871="",IF(A871="BL","Client manquant",IF(A871="BR","Fournisseur manquant","Service manquant")),IF(IF(A871="BL",ISNA(MATCH(D871,cl_code,0)),IF(A871="BR",ISNA(MATCH(D871,fo_code,0)),ISNA(MATCH(D871,p_services,0)))),IF(A871="BL","Client inconnu",IF(A871="BR","Fournisseur inconnu","Service inconnu")),IF(H871="","Article manquant",IF(ISNA(MATCH(H871,art_ref,0)),"Article inconnu",IF(OR(NOT(ISNUMBER(L871)),N(L871)&lt;=0),"Quantité invalide",IF(AND(K871&lt;&gt;"",OR(NOT(ISNUMBER(K871)),N(K871)&lt;=0)),"Qté commandée invalide",IF(AG871&lt;SUMPRODUCT(MAX((A$6:A870=A871)*AG$6:AG870)),"Date antérieure au bon précédent",IF(AND(A871&lt;&gt;"BR",ISNUMBER(M871),N(M871)&gt;0),IF(A871="BL","Livré plus que commandé","Sorti plus que demandé"),"OK"))))))))))))</f>
        <v/>
      </c>
      <c r="Y871" s="57" t="str">
        <f>IF(AND(OR(A871="BL",A871="BR",A871="BS"),AG871&gt;0,D871&lt;&gt;""),A871&amp;"|"&amp;AG871&amp;"|"&amp;D871&amp;"|"&amp;F871,"")</f>
        <v/>
      </c>
      <c r="Z871" s="57" t="str">
        <f>IF(Y871="","",IF(COUNTIF(Y$6:Y870,Y871)=0,1,0))</f>
        <v/>
      </c>
      <c r="AA871" s="57" t="str">
        <f>IF(Y871="","",IF(Z871=1,COUNTIFS(A$6:A871,A871,Z$6:Z871,1),INDEX(AA$6:AA870,MATCH(Y871,Y$6:Y870,0))))</f>
        <v/>
      </c>
      <c r="AB871" s="57" t="str">
        <f>IF(B871="","",COUNTIF(B$6:B871,B871))</f>
        <v/>
      </c>
      <c r="AC871" s="57" t="str">
        <f>IF(B871="","",B871&amp;"#"&amp;AB871)</f>
        <v/>
      </c>
      <c r="AD871" s="57" t="str">
        <f>IF(Z871=1,A871&amp;AA871,"")</f>
        <v/>
      </c>
      <c r="AE871" s="57" t="str">
        <f>IF(B871="","",YEAR(C871))</f>
        <v/>
      </c>
      <c r="AF871" s="57" t="str">
        <f>IF(B871="","",MONTH(C871))</f>
        <v/>
      </c>
      <c r="AG871" s="57">
        <f>IF(ISNUMBER(C871),C871,0)</f>
        <v>0.0</v>
      </c>
      <c r="AH871" s="57" t="str">
        <f>IF(N(W871)&gt;0,COUNTIF(W$6:W871,"&gt;0"),"")</f>
        <v/>
      </c>
      <c r="AI871" s="57" t="str">
        <f>IF(Z871=1,COUNTIF(Z$6:Z871,1),"")</f>
        <v/>
      </c>
    </row>
    <row r="872">
      <c r="A872" s="54" t="n"/>
      <c r="B872" s="55" t="str">
        <f>IF(AA872="","",A872&amp;"-"&amp;RIGHT("000"&amp;AA872,4))</f>
        <v/>
      </c>
      <c r="C872" s="56" t="n"/>
      <c r="D872" s="54" t="n"/>
      <c r="E872" s="57" t="str">
        <f>IF(D872="","",IF(A872="BL",IFERROR(INDEX(cl_name,MATCH(D872,cl_code,0))&amp;"","Client inconnu"),IF(A872="BR",IFERROR(INDEX(fo_name,MATCH(D872,fo_code,0))&amp;"","Fournisseur inconnu"),IF(A872="BS",IF(ISNA(MATCH(D872,p_services,0)),"Service inconnu",D872&amp;""),""))))</f>
        <v/>
      </c>
      <c r="F872" s="58" t="n"/>
      <c r="G872" s="58" t="n"/>
      <c r="H872" s="59" t="n"/>
      <c r="I872" s="57" t="str">
        <f>IF(H872="","",IFERROR(INDEX(art_des,MATCH(H872,art_ref,0))&amp;"","Article inconnu"))</f>
        <v/>
      </c>
      <c r="J872" s="60" t="str">
        <f>IF(H872="","",IFERROR(INDEX(art_unit,MATCH(H872,art_ref,0))&amp;"",""))</f>
        <v/>
      </c>
      <c r="K872" s="59" t="n"/>
      <c r="L872" s="59" t="n"/>
      <c r="M872" s="61" t="str">
        <f>IF(OR(B872="",NOT(ISNUMBER(K872)),NOT(ISNUMBER(L872))),"",IF(OR(K872&lt;=0,L872&lt;=0),"",ROUND(L872-K872,6)))</f>
        <v/>
      </c>
      <c r="N872" s="58" t="n"/>
      <c r="O872" s="62" t="n"/>
      <c r="P872" s="63" t="str">
        <f>IF(OR(B872="",NOT(ISNUMBER(L872))),"",IF(L872&lt;=0,"",IFERROR(ROUND(L872*N(INDEX(art_w,MATCH(H872,art_ref,0))),3),"")))</f>
        <v/>
      </c>
      <c r="Q872" s="59" t="n"/>
      <c r="R872" s="54" t="n"/>
      <c r="S872" s="59" t="n"/>
      <c r="T872" s="59" t="n"/>
      <c r="U872" s="64" t="str">
        <f>IF(OR(B872="",H872=""),"",IFERROR(IF(A872="BL",IF(N(INDEX(art_price,MATCH(H872,art_ref,0)))=0,"",N(INDEX(art_price,MATCH(H872,art_ref,0)))),IF(N(INDEX(art_cost,MATCH(H872,art_ref,0)))=0,"",N(INDEX(art_cost,MATCH(H872,art_ref,0))))),""))</f>
        <v/>
      </c>
      <c r="V872" s="64" t="str">
        <f>IF(OR(U872="",NOT(ISNUMBER(L872))),"",IF(L872&lt;=0,"",ROUND(L872*U872,2)))</f>
        <v/>
      </c>
      <c r="W872" s="60" t="str">
        <f>IF(AND(B872&lt;&gt;"",A872&lt;&gt;"BS",F872&lt;&gt;"",H872&lt;&gt;"",ISNUMBER(K872),ISNUMBER(L872)),IF(AND(K872&gt;0,L872&gt;0,K872-L872&gt;0,COUNTIFS(A873:A$2005,A872,F873:F$2005,F872,H873:H$2005,H872,AA873:AA$2005,"&gt;0")=0),ROUND(K872-L872,6),""),"")</f>
        <v/>
      </c>
      <c r="X872" s="60" t="str">
        <f>IF(AND(A872="",C872="",D872="",H872="",L872=""),"",IF(A872="","Type manquant",IF(AND(A872&lt;&gt;"BL",A872&lt;&gt;"BR",A872&lt;&gt;"BS"),"Type inconnu (BL, BR ou BS)",IF(AG872=0,"Date manquante ou invalide",IF(D872="",IF(A872="BL","Client manquant",IF(A872="BR","Fournisseur manquant","Service manquant")),IF(IF(A872="BL",ISNA(MATCH(D872,cl_code,0)),IF(A872="BR",ISNA(MATCH(D872,fo_code,0)),ISNA(MATCH(D872,p_services,0)))),IF(A872="BL","Client inconnu",IF(A872="BR","Fournisseur inconnu","Service inconnu")),IF(H872="","Article manquant",IF(ISNA(MATCH(H872,art_ref,0)),"Article inconnu",IF(OR(NOT(ISNUMBER(L872)),N(L872)&lt;=0),"Quantité invalide",IF(AND(K872&lt;&gt;"",OR(NOT(ISNUMBER(K872)),N(K872)&lt;=0)),"Qté commandée invalide",IF(AG872&lt;SUMPRODUCT(MAX((A$6:A871=A872)*AG$6:AG871)),"Date antérieure au bon précédent",IF(AND(A872&lt;&gt;"BR",ISNUMBER(M872),N(M872)&gt;0),IF(A872="BL","Livré plus que commandé","Sorti plus que demandé"),"OK"))))))))))))</f>
        <v/>
      </c>
      <c r="Y872" s="57" t="str">
        <f>IF(AND(OR(A872="BL",A872="BR",A872="BS"),AG872&gt;0,D872&lt;&gt;""),A872&amp;"|"&amp;AG872&amp;"|"&amp;D872&amp;"|"&amp;F872,"")</f>
        <v/>
      </c>
      <c r="Z872" s="57" t="str">
        <f>IF(Y872="","",IF(COUNTIF(Y$6:Y871,Y872)=0,1,0))</f>
        <v/>
      </c>
      <c r="AA872" s="57" t="str">
        <f>IF(Y872="","",IF(Z872=1,COUNTIFS(A$6:A872,A872,Z$6:Z872,1),INDEX(AA$6:AA871,MATCH(Y872,Y$6:Y871,0))))</f>
        <v/>
      </c>
      <c r="AB872" s="57" t="str">
        <f>IF(B872="","",COUNTIF(B$6:B872,B872))</f>
        <v/>
      </c>
      <c r="AC872" s="57" t="str">
        <f>IF(B872="","",B872&amp;"#"&amp;AB872)</f>
        <v/>
      </c>
      <c r="AD872" s="57" t="str">
        <f>IF(Z872=1,A872&amp;AA872,"")</f>
        <v/>
      </c>
      <c r="AE872" s="57" t="str">
        <f>IF(B872="","",YEAR(C872))</f>
        <v/>
      </c>
      <c r="AF872" s="57" t="str">
        <f>IF(B872="","",MONTH(C872))</f>
        <v/>
      </c>
      <c r="AG872" s="57">
        <f>IF(ISNUMBER(C872),C872,0)</f>
        <v>0.0</v>
      </c>
      <c r="AH872" s="57" t="str">
        <f>IF(N(W872)&gt;0,COUNTIF(W$6:W872,"&gt;0"),"")</f>
        <v/>
      </c>
      <c r="AI872" s="57" t="str">
        <f>IF(Z872=1,COUNTIF(Z$6:Z872,1),"")</f>
        <v/>
      </c>
    </row>
    <row r="873">
      <c r="A873" s="54" t="n"/>
      <c r="B873" s="55" t="str">
        <f>IF(AA873="","",A873&amp;"-"&amp;RIGHT("000"&amp;AA873,4))</f>
        <v/>
      </c>
      <c r="C873" s="56" t="n"/>
      <c r="D873" s="54" t="n"/>
      <c r="E873" s="57" t="str">
        <f>IF(D873="","",IF(A873="BL",IFERROR(INDEX(cl_name,MATCH(D873,cl_code,0))&amp;"","Client inconnu"),IF(A873="BR",IFERROR(INDEX(fo_name,MATCH(D873,fo_code,0))&amp;"","Fournisseur inconnu"),IF(A873="BS",IF(ISNA(MATCH(D873,p_services,0)),"Service inconnu",D873&amp;""),""))))</f>
        <v/>
      </c>
      <c r="F873" s="58" t="n"/>
      <c r="G873" s="58" t="n"/>
      <c r="H873" s="59" t="n"/>
      <c r="I873" s="57" t="str">
        <f>IF(H873="","",IFERROR(INDEX(art_des,MATCH(H873,art_ref,0))&amp;"","Article inconnu"))</f>
        <v/>
      </c>
      <c r="J873" s="60" t="str">
        <f>IF(H873="","",IFERROR(INDEX(art_unit,MATCH(H873,art_ref,0))&amp;"",""))</f>
        <v/>
      </c>
      <c r="K873" s="59" t="n"/>
      <c r="L873" s="59" t="n"/>
      <c r="M873" s="61" t="str">
        <f>IF(OR(B873="",NOT(ISNUMBER(K873)),NOT(ISNUMBER(L873))),"",IF(OR(K873&lt;=0,L873&lt;=0),"",ROUND(L873-K873,6)))</f>
        <v/>
      </c>
      <c r="N873" s="58" t="n"/>
      <c r="O873" s="62" t="n"/>
      <c r="P873" s="63" t="str">
        <f>IF(OR(B873="",NOT(ISNUMBER(L873))),"",IF(L873&lt;=0,"",IFERROR(ROUND(L873*N(INDEX(art_w,MATCH(H873,art_ref,0))),3),"")))</f>
        <v/>
      </c>
      <c r="Q873" s="59" t="n"/>
      <c r="R873" s="54" t="n"/>
      <c r="S873" s="59" t="n"/>
      <c r="T873" s="59" t="n"/>
      <c r="U873" s="64" t="str">
        <f>IF(OR(B873="",H873=""),"",IFERROR(IF(A873="BL",IF(N(INDEX(art_price,MATCH(H873,art_ref,0)))=0,"",N(INDEX(art_price,MATCH(H873,art_ref,0)))),IF(N(INDEX(art_cost,MATCH(H873,art_ref,0)))=0,"",N(INDEX(art_cost,MATCH(H873,art_ref,0))))),""))</f>
        <v/>
      </c>
      <c r="V873" s="64" t="str">
        <f>IF(OR(U873="",NOT(ISNUMBER(L873))),"",IF(L873&lt;=0,"",ROUND(L873*U873,2)))</f>
        <v/>
      </c>
      <c r="W873" s="60" t="str">
        <f>IF(AND(B873&lt;&gt;"",A873&lt;&gt;"BS",F873&lt;&gt;"",H873&lt;&gt;"",ISNUMBER(K873),ISNUMBER(L873)),IF(AND(K873&gt;0,L873&gt;0,K873-L873&gt;0,COUNTIFS(A874:A$2005,A873,F874:F$2005,F873,H874:H$2005,H873,AA874:AA$2005,"&gt;0")=0),ROUND(K873-L873,6),""),"")</f>
        <v/>
      </c>
      <c r="X873" s="60" t="str">
        <f>IF(AND(A873="",C873="",D873="",H873="",L873=""),"",IF(A873="","Type manquant",IF(AND(A873&lt;&gt;"BL",A873&lt;&gt;"BR",A873&lt;&gt;"BS"),"Type inconnu (BL, BR ou BS)",IF(AG873=0,"Date manquante ou invalide",IF(D873="",IF(A873="BL","Client manquant",IF(A873="BR","Fournisseur manquant","Service manquant")),IF(IF(A873="BL",ISNA(MATCH(D873,cl_code,0)),IF(A873="BR",ISNA(MATCH(D873,fo_code,0)),ISNA(MATCH(D873,p_services,0)))),IF(A873="BL","Client inconnu",IF(A873="BR","Fournisseur inconnu","Service inconnu")),IF(H873="","Article manquant",IF(ISNA(MATCH(H873,art_ref,0)),"Article inconnu",IF(OR(NOT(ISNUMBER(L873)),N(L873)&lt;=0),"Quantité invalide",IF(AND(K873&lt;&gt;"",OR(NOT(ISNUMBER(K873)),N(K873)&lt;=0)),"Qté commandée invalide",IF(AG873&lt;SUMPRODUCT(MAX((A$6:A872=A873)*AG$6:AG872)),"Date antérieure au bon précédent",IF(AND(A873&lt;&gt;"BR",ISNUMBER(M873),N(M873)&gt;0),IF(A873="BL","Livré plus que commandé","Sorti plus que demandé"),"OK"))))))))))))</f>
        <v/>
      </c>
      <c r="Y873" s="57" t="str">
        <f>IF(AND(OR(A873="BL",A873="BR",A873="BS"),AG873&gt;0,D873&lt;&gt;""),A873&amp;"|"&amp;AG873&amp;"|"&amp;D873&amp;"|"&amp;F873,"")</f>
        <v/>
      </c>
      <c r="Z873" s="57" t="str">
        <f>IF(Y873="","",IF(COUNTIF(Y$6:Y872,Y873)=0,1,0))</f>
        <v/>
      </c>
      <c r="AA873" s="57" t="str">
        <f>IF(Y873="","",IF(Z873=1,COUNTIFS(A$6:A873,A873,Z$6:Z873,1),INDEX(AA$6:AA872,MATCH(Y873,Y$6:Y872,0))))</f>
        <v/>
      </c>
      <c r="AB873" s="57" t="str">
        <f>IF(B873="","",COUNTIF(B$6:B873,B873))</f>
        <v/>
      </c>
      <c r="AC873" s="57" t="str">
        <f>IF(B873="","",B873&amp;"#"&amp;AB873)</f>
        <v/>
      </c>
      <c r="AD873" s="57" t="str">
        <f>IF(Z873=1,A873&amp;AA873,"")</f>
        <v/>
      </c>
      <c r="AE873" s="57" t="str">
        <f>IF(B873="","",YEAR(C873))</f>
        <v/>
      </c>
      <c r="AF873" s="57" t="str">
        <f>IF(B873="","",MONTH(C873))</f>
        <v/>
      </c>
      <c r="AG873" s="57">
        <f>IF(ISNUMBER(C873),C873,0)</f>
        <v>0.0</v>
      </c>
      <c r="AH873" s="57" t="str">
        <f>IF(N(W873)&gt;0,COUNTIF(W$6:W873,"&gt;0"),"")</f>
        <v/>
      </c>
      <c r="AI873" s="57" t="str">
        <f>IF(Z873=1,COUNTIF(Z$6:Z873,1),"")</f>
        <v/>
      </c>
    </row>
    <row r="874">
      <c r="A874" s="54" t="n"/>
      <c r="B874" s="55" t="str">
        <f>IF(AA874="","",A874&amp;"-"&amp;RIGHT("000"&amp;AA874,4))</f>
        <v/>
      </c>
      <c r="C874" s="56" t="n"/>
      <c r="D874" s="54" t="n"/>
      <c r="E874" s="57" t="str">
        <f>IF(D874="","",IF(A874="BL",IFERROR(INDEX(cl_name,MATCH(D874,cl_code,0))&amp;"","Client inconnu"),IF(A874="BR",IFERROR(INDEX(fo_name,MATCH(D874,fo_code,0))&amp;"","Fournisseur inconnu"),IF(A874="BS",IF(ISNA(MATCH(D874,p_services,0)),"Service inconnu",D874&amp;""),""))))</f>
        <v/>
      </c>
      <c r="F874" s="58" t="n"/>
      <c r="G874" s="58" t="n"/>
      <c r="H874" s="59" t="n"/>
      <c r="I874" s="57" t="str">
        <f>IF(H874="","",IFERROR(INDEX(art_des,MATCH(H874,art_ref,0))&amp;"","Article inconnu"))</f>
        <v/>
      </c>
      <c r="J874" s="60" t="str">
        <f>IF(H874="","",IFERROR(INDEX(art_unit,MATCH(H874,art_ref,0))&amp;"",""))</f>
        <v/>
      </c>
      <c r="K874" s="59" t="n"/>
      <c r="L874" s="59" t="n"/>
      <c r="M874" s="61" t="str">
        <f>IF(OR(B874="",NOT(ISNUMBER(K874)),NOT(ISNUMBER(L874))),"",IF(OR(K874&lt;=0,L874&lt;=0),"",ROUND(L874-K874,6)))</f>
        <v/>
      </c>
      <c r="N874" s="58" t="n"/>
      <c r="O874" s="62" t="n"/>
      <c r="P874" s="63" t="str">
        <f>IF(OR(B874="",NOT(ISNUMBER(L874))),"",IF(L874&lt;=0,"",IFERROR(ROUND(L874*N(INDEX(art_w,MATCH(H874,art_ref,0))),3),"")))</f>
        <v/>
      </c>
      <c r="Q874" s="59" t="n"/>
      <c r="R874" s="54" t="n"/>
      <c r="S874" s="59" t="n"/>
      <c r="T874" s="59" t="n"/>
      <c r="U874" s="64" t="str">
        <f>IF(OR(B874="",H874=""),"",IFERROR(IF(A874="BL",IF(N(INDEX(art_price,MATCH(H874,art_ref,0)))=0,"",N(INDEX(art_price,MATCH(H874,art_ref,0)))),IF(N(INDEX(art_cost,MATCH(H874,art_ref,0)))=0,"",N(INDEX(art_cost,MATCH(H874,art_ref,0))))),""))</f>
        <v/>
      </c>
      <c r="V874" s="64" t="str">
        <f>IF(OR(U874="",NOT(ISNUMBER(L874))),"",IF(L874&lt;=0,"",ROUND(L874*U874,2)))</f>
        <v/>
      </c>
      <c r="W874" s="60" t="str">
        <f>IF(AND(B874&lt;&gt;"",A874&lt;&gt;"BS",F874&lt;&gt;"",H874&lt;&gt;"",ISNUMBER(K874),ISNUMBER(L874)),IF(AND(K874&gt;0,L874&gt;0,K874-L874&gt;0,COUNTIFS(A875:A$2005,A874,F875:F$2005,F874,H875:H$2005,H874,AA875:AA$2005,"&gt;0")=0),ROUND(K874-L874,6),""),"")</f>
        <v/>
      </c>
      <c r="X874" s="60" t="str">
        <f>IF(AND(A874="",C874="",D874="",H874="",L874=""),"",IF(A874="","Type manquant",IF(AND(A874&lt;&gt;"BL",A874&lt;&gt;"BR",A874&lt;&gt;"BS"),"Type inconnu (BL, BR ou BS)",IF(AG874=0,"Date manquante ou invalide",IF(D874="",IF(A874="BL","Client manquant",IF(A874="BR","Fournisseur manquant","Service manquant")),IF(IF(A874="BL",ISNA(MATCH(D874,cl_code,0)),IF(A874="BR",ISNA(MATCH(D874,fo_code,0)),ISNA(MATCH(D874,p_services,0)))),IF(A874="BL","Client inconnu",IF(A874="BR","Fournisseur inconnu","Service inconnu")),IF(H874="","Article manquant",IF(ISNA(MATCH(H874,art_ref,0)),"Article inconnu",IF(OR(NOT(ISNUMBER(L874)),N(L874)&lt;=0),"Quantité invalide",IF(AND(K874&lt;&gt;"",OR(NOT(ISNUMBER(K874)),N(K874)&lt;=0)),"Qté commandée invalide",IF(AG874&lt;SUMPRODUCT(MAX((A$6:A873=A874)*AG$6:AG873)),"Date antérieure au bon précédent",IF(AND(A874&lt;&gt;"BR",ISNUMBER(M874),N(M874)&gt;0),IF(A874="BL","Livré plus que commandé","Sorti plus que demandé"),"OK"))))))))))))</f>
        <v/>
      </c>
      <c r="Y874" s="57" t="str">
        <f>IF(AND(OR(A874="BL",A874="BR",A874="BS"),AG874&gt;0,D874&lt;&gt;""),A874&amp;"|"&amp;AG874&amp;"|"&amp;D874&amp;"|"&amp;F874,"")</f>
        <v/>
      </c>
      <c r="Z874" s="57" t="str">
        <f>IF(Y874="","",IF(COUNTIF(Y$6:Y873,Y874)=0,1,0))</f>
        <v/>
      </c>
      <c r="AA874" s="57" t="str">
        <f>IF(Y874="","",IF(Z874=1,COUNTIFS(A$6:A874,A874,Z$6:Z874,1),INDEX(AA$6:AA873,MATCH(Y874,Y$6:Y873,0))))</f>
        <v/>
      </c>
      <c r="AB874" s="57" t="str">
        <f>IF(B874="","",COUNTIF(B$6:B874,B874))</f>
        <v/>
      </c>
      <c r="AC874" s="57" t="str">
        <f>IF(B874="","",B874&amp;"#"&amp;AB874)</f>
        <v/>
      </c>
      <c r="AD874" s="57" t="str">
        <f>IF(Z874=1,A874&amp;AA874,"")</f>
        <v/>
      </c>
      <c r="AE874" s="57" t="str">
        <f>IF(B874="","",YEAR(C874))</f>
        <v/>
      </c>
      <c r="AF874" s="57" t="str">
        <f>IF(B874="","",MONTH(C874))</f>
        <v/>
      </c>
      <c r="AG874" s="57">
        <f>IF(ISNUMBER(C874),C874,0)</f>
        <v>0.0</v>
      </c>
      <c r="AH874" s="57" t="str">
        <f>IF(N(W874)&gt;0,COUNTIF(W$6:W874,"&gt;0"),"")</f>
        <v/>
      </c>
      <c r="AI874" s="57" t="str">
        <f>IF(Z874=1,COUNTIF(Z$6:Z874,1),"")</f>
        <v/>
      </c>
    </row>
    <row r="875">
      <c r="A875" s="54" t="n"/>
      <c r="B875" s="55" t="str">
        <f>IF(AA875="","",A875&amp;"-"&amp;RIGHT("000"&amp;AA875,4))</f>
        <v/>
      </c>
      <c r="C875" s="56" t="n"/>
      <c r="D875" s="54" t="n"/>
      <c r="E875" s="57" t="str">
        <f>IF(D875="","",IF(A875="BL",IFERROR(INDEX(cl_name,MATCH(D875,cl_code,0))&amp;"","Client inconnu"),IF(A875="BR",IFERROR(INDEX(fo_name,MATCH(D875,fo_code,0))&amp;"","Fournisseur inconnu"),IF(A875="BS",IF(ISNA(MATCH(D875,p_services,0)),"Service inconnu",D875&amp;""),""))))</f>
        <v/>
      </c>
      <c r="F875" s="58" t="n"/>
      <c r="G875" s="58" t="n"/>
      <c r="H875" s="59" t="n"/>
      <c r="I875" s="57" t="str">
        <f>IF(H875="","",IFERROR(INDEX(art_des,MATCH(H875,art_ref,0))&amp;"","Article inconnu"))</f>
        <v/>
      </c>
      <c r="J875" s="60" t="str">
        <f>IF(H875="","",IFERROR(INDEX(art_unit,MATCH(H875,art_ref,0))&amp;"",""))</f>
        <v/>
      </c>
      <c r="K875" s="59" t="n"/>
      <c r="L875" s="59" t="n"/>
      <c r="M875" s="61" t="str">
        <f>IF(OR(B875="",NOT(ISNUMBER(K875)),NOT(ISNUMBER(L875))),"",IF(OR(K875&lt;=0,L875&lt;=0),"",ROUND(L875-K875,6)))</f>
        <v/>
      </c>
      <c r="N875" s="58" t="n"/>
      <c r="O875" s="62" t="n"/>
      <c r="P875" s="63" t="str">
        <f>IF(OR(B875="",NOT(ISNUMBER(L875))),"",IF(L875&lt;=0,"",IFERROR(ROUND(L875*N(INDEX(art_w,MATCH(H875,art_ref,0))),3),"")))</f>
        <v/>
      </c>
      <c r="Q875" s="59" t="n"/>
      <c r="R875" s="54" t="n"/>
      <c r="S875" s="59" t="n"/>
      <c r="T875" s="59" t="n"/>
      <c r="U875" s="64" t="str">
        <f>IF(OR(B875="",H875=""),"",IFERROR(IF(A875="BL",IF(N(INDEX(art_price,MATCH(H875,art_ref,0)))=0,"",N(INDEX(art_price,MATCH(H875,art_ref,0)))),IF(N(INDEX(art_cost,MATCH(H875,art_ref,0)))=0,"",N(INDEX(art_cost,MATCH(H875,art_ref,0))))),""))</f>
        <v/>
      </c>
      <c r="V875" s="64" t="str">
        <f>IF(OR(U875="",NOT(ISNUMBER(L875))),"",IF(L875&lt;=0,"",ROUND(L875*U875,2)))</f>
        <v/>
      </c>
      <c r="W875" s="60" t="str">
        <f>IF(AND(B875&lt;&gt;"",A875&lt;&gt;"BS",F875&lt;&gt;"",H875&lt;&gt;"",ISNUMBER(K875),ISNUMBER(L875)),IF(AND(K875&gt;0,L875&gt;0,K875-L875&gt;0,COUNTIFS(A876:A$2005,A875,F876:F$2005,F875,H876:H$2005,H875,AA876:AA$2005,"&gt;0")=0),ROUND(K875-L875,6),""),"")</f>
        <v/>
      </c>
      <c r="X875" s="60" t="str">
        <f>IF(AND(A875="",C875="",D875="",H875="",L875=""),"",IF(A875="","Type manquant",IF(AND(A875&lt;&gt;"BL",A875&lt;&gt;"BR",A875&lt;&gt;"BS"),"Type inconnu (BL, BR ou BS)",IF(AG875=0,"Date manquante ou invalide",IF(D875="",IF(A875="BL","Client manquant",IF(A875="BR","Fournisseur manquant","Service manquant")),IF(IF(A875="BL",ISNA(MATCH(D875,cl_code,0)),IF(A875="BR",ISNA(MATCH(D875,fo_code,0)),ISNA(MATCH(D875,p_services,0)))),IF(A875="BL","Client inconnu",IF(A875="BR","Fournisseur inconnu","Service inconnu")),IF(H875="","Article manquant",IF(ISNA(MATCH(H875,art_ref,0)),"Article inconnu",IF(OR(NOT(ISNUMBER(L875)),N(L875)&lt;=0),"Quantité invalide",IF(AND(K875&lt;&gt;"",OR(NOT(ISNUMBER(K875)),N(K875)&lt;=0)),"Qté commandée invalide",IF(AG875&lt;SUMPRODUCT(MAX((A$6:A874=A875)*AG$6:AG874)),"Date antérieure au bon précédent",IF(AND(A875&lt;&gt;"BR",ISNUMBER(M875),N(M875)&gt;0),IF(A875="BL","Livré plus que commandé","Sorti plus que demandé"),"OK"))))))))))))</f>
        <v/>
      </c>
      <c r="Y875" s="57" t="str">
        <f>IF(AND(OR(A875="BL",A875="BR",A875="BS"),AG875&gt;0,D875&lt;&gt;""),A875&amp;"|"&amp;AG875&amp;"|"&amp;D875&amp;"|"&amp;F875,"")</f>
        <v/>
      </c>
      <c r="Z875" s="57" t="str">
        <f>IF(Y875="","",IF(COUNTIF(Y$6:Y874,Y875)=0,1,0))</f>
        <v/>
      </c>
      <c r="AA875" s="57" t="str">
        <f>IF(Y875="","",IF(Z875=1,COUNTIFS(A$6:A875,A875,Z$6:Z875,1),INDEX(AA$6:AA874,MATCH(Y875,Y$6:Y874,0))))</f>
        <v/>
      </c>
      <c r="AB875" s="57" t="str">
        <f>IF(B875="","",COUNTIF(B$6:B875,B875))</f>
        <v/>
      </c>
      <c r="AC875" s="57" t="str">
        <f>IF(B875="","",B875&amp;"#"&amp;AB875)</f>
        <v/>
      </c>
      <c r="AD875" s="57" t="str">
        <f>IF(Z875=1,A875&amp;AA875,"")</f>
        <v/>
      </c>
      <c r="AE875" s="57" t="str">
        <f>IF(B875="","",YEAR(C875))</f>
        <v/>
      </c>
      <c r="AF875" s="57" t="str">
        <f>IF(B875="","",MONTH(C875))</f>
        <v/>
      </c>
      <c r="AG875" s="57">
        <f>IF(ISNUMBER(C875),C875,0)</f>
        <v>0.0</v>
      </c>
      <c r="AH875" s="57" t="str">
        <f>IF(N(W875)&gt;0,COUNTIF(W$6:W875,"&gt;0"),"")</f>
        <v/>
      </c>
      <c r="AI875" s="57" t="str">
        <f>IF(Z875=1,COUNTIF(Z$6:Z875,1),"")</f>
        <v/>
      </c>
    </row>
    <row r="876">
      <c r="A876" s="54" t="n"/>
      <c r="B876" s="55" t="str">
        <f>IF(AA876="","",A876&amp;"-"&amp;RIGHT("000"&amp;AA876,4))</f>
        <v/>
      </c>
      <c r="C876" s="56" t="n"/>
      <c r="D876" s="54" t="n"/>
      <c r="E876" s="57" t="str">
        <f>IF(D876="","",IF(A876="BL",IFERROR(INDEX(cl_name,MATCH(D876,cl_code,0))&amp;"","Client inconnu"),IF(A876="BR",IFERROR(INDEX(fo_name,MATCH(D876,fo_code,0))&amp;"","Fournisseur inconnu"),IF(A876="BS",IF(ISNA(MATCH(D876,p_services,0)),"Service inconnu",D876&amp;""),""))))</f>
        <v/>
      </c>
      <c r="F876" s="58" t="n"/>
      <c r="G876" s="58" t="n"/>
      <c r="H876" s="59" t="n"/>
      <c r="I876" s="57" t="str">
        <f>IF(H876="","",IFERROR(INDEX(art_des,MATCH(H876,art_ref,0))&amp;"","Article inconnu"))</f>
        <v/>
      </c>
      <c r="J876" s="60" t="str">
        <f>IF(H876="","",IFERROR(INDEX(art_unit,MATCH(H876,art_ref,0))&amp;"",""))</f>
        <v/>
      </c>
      <c r="K876" s="59" t="n"/>
      <c r="L876" s="59" t="n"/>
      <c r="M876" s="61" t="str">
        <f>IF(OR(B876="",NOT(ISNUMBER(K876)),NOT(ISNUMBER(L876))),"",IF(OR(K876&lt;=0,L876&lt;=0),"",ROUND(L876-K876,6)))</f>
        <v/>
      </c>
      <c r="N876" s="58" t="n"/>
      <c r="O876" s="62" t="n"/>
      <c r="P876" s="63" t="str">
        <f>IF(OR(B876="",NOT(ISNUMBER(L876))),"",IF(L876&lt;=0,"",IFERROR(ROUND(L876*N(INDEX(art_w,MATCH(H876,art_ref,0))),3),"")))</f>
        <v/>
      </c>
      <c r="Q876" s="59" t="n"/>
      <c r="R876" s="54" t="n"/>
      <c r="S876" s="59" t="n"/>
      <c r="T876" s="59" t="n"/>
      <c r="U876" s="64" t="str">
        <f>IF(OR(B876="",H876=""),"",IFERROR(IF(A876="BL",IF(N(INDEX(art_price,MATCH(H876,art_ref,0)))=0,"",N(INDEX(art_price,MATCH(H876,art_ref,0)))),IF(N(INDEX(art_cost,MATCH(H876,art_ref,0)))=0,"",N(INDEX(art_cost,MATCH(H876,art_ref,0))))),""))</f>
        <v/>
      </c>
      <c r="V876" s="64" t="str">
        <f>IF(OR(U876="",NOT(ISNUMBER(L876))),"",IF(L876&lt;=0,"",ROUND(L876*U876,2)))</f>
        <v/>
      </c>
      <c r="W876" s="60" t="str">
        <f>IF(AND(B876&lt;&gt;"",A876&lt;&gt;"BS",F876&lt;&gt;"",H876&lt;&gt;"",ISNUMBER(K876),ISNUMBER(L876)),IF(AND(K876&gt;0,L876&gt;0,K876-L876&gt;0,COUNTIFS(A877:A$2005,A876,F877:F$2005,F876,H877:H$2005,H876,AA877:AA$2005,"&gt;0")=0),ROUND(K876-L876,6),""),"")</f>
        <v/>
      </c>
      <c r="X876" s="60" t="str">
        <f>IF(AND(A876="",C876="",D876="",H876="",L876=""),"",IF(A876="","Type manquant",IF(AND(A876&lt;&gt;"BL",A876&lt;&gt;"BR",A876&lt;&gt;"BS"),"Type inconnu (BL, BR ou BS)",IF(AG876=0,"Date manquante ou invalide",IF(D876="",IF(A876="BL","Client manquant",IF(A876="BR","Fournisseur manquant","Service manquant")),IF(IF(A876="BL",ISNA(MATCH(D876,cl_code,0)),IF(A876="BR",ISNA(MATCH(D876,fo_code,0)),ISNA(MATCH(D876,p_services,0)))),IF(A876="BL","Client inconnu",IF(A876="BR","Fournisseur inconnu","Service inconnu")),IF(H876="","Article manquant",IF(ISNA(MATCH(H876,art_ref,0)),"Article inconnu",IF(OR(NOT(ISNUMBER(L876)),N(L876)&lt;=0),"Quantité invalide",IF(AND(K876&lt;&gt;"",OR(NOT(ISNUMBER(K876)),N(K876)&lt;=0)),"Qté commandée invalide",IF(AG876&lt;SUMPRODUCT(MAX((A$6:A875=A876)*AG$6:AG875)),"Date antérieure au bon précédent",IF(AND(A876&lt;&gt;"BR",ISNUMBER(M876),N(M876)&gt;0),IF(A876="BL","Livré plus que commandé","Sorti plus que demandé"),"OK"))))))))))))</f>
        <v/>
      </c>
      <c r="Y876" s="57" t="str">
        <f>IF(AND(OR(A876="BL",A876="BR",A876="BS"),AG876&gt;0,D876&lt;&gt;""),A876&amp;"|"&amp;AG876&amp;"|"&amp;D876&amp;"|"&amp;F876,"")</f>
        <v/>
      </c>
      <c r="Z876" s="57" t="str">
        <f>IF(Y876="","",IF(COUNTIF(Y$6:Y875,Y876)=0,1,0))</f>
        <v/>
      </c>
      <c r="AA876" s="57" t="str">
        <f>IF(Y876="","",IF(Z876=1,COUNTIFS(A$6:A876,A876,Z$6:Z876,1),INDEX(AA$6:AA875,MATCH(Y876,Y$6:Y875,0))))</f>
        <v/>
      </c>
      <c r="AB876" s="57" t="str">
        <f>IF(B876="","",COUNTIF(B$6:B876,B876))</f>
        <v/>
      </c>
      <c r="AC876" s="57" t="str">
        <f>IF(B876="","",B876&amp;"#"&amp;AB876)</f>
        <v/>
      </c>
      <c r="AD876" s="57" t="str">
        <f>IF(Z876=1,A876&amp;AA876,"")</f>
        <v/>
      </c>
      <c r="AE876" s="57" t="str">
        <f>IF(B876="","",YEAR(C876))</f>
        <v/>
      </c>
      <c r="AF876" s="57" t="str">
        <f>IF(B876="","",MONTH(C876))</f>
        <v/>
      </c>
      <c r="AG876" s="57">
        <f>IF(ISNUMBER(C876),C876,0)</f>
        <v>0.0</v>
      </c>
      <c r="AH876" s="57" t="str">
        <f>IF(N(W876)&gt;0,COUNTIF(W$6:W876,"&gt;0"),"")</f>
        <v/>
      </c>
      <c r="AI876" s="57" t="str">
        <f>IF(Z876=1,COUNTIF(Z$6:Z876,1),"")</f>
        <v/>
      </c>
    </row>
    <row r="877">
      <c r="A877" s="54" t="n"/>
      <c r="B877" s="55" t="str">
        <f>IF(AA877="","",A877&amp;"-"&amp;RIGHT("000"&amp;AA877,4))</f>
        <v/>
      </c>
      <c r="C877" s="56" t="n"/>
      <c r="D877" s="54" t="n"/>
      <c r="E877" s="57" t="str">
        <f>IF(D877="","",IF(A877="BL",IFERROR(INDEX(cl_name,MATCH(D877,cl_code,0))&amp;"","Client inconnu"),IF(A877="BR",IFERROR(INDEX(fo_name,MATCH(D877,fo_code,0))&amp;"","Fournisseur inconnu"),IF(A877="BS",IF(ISNA(MATCH(D877,p_services,0)),"Service inconnu",D877&amp;""),""))))</f>
        <v/>
      </c>
      <c r="F877" s="58" t="n"/>
      <c r="G877" s="58" t="n"/>
      <c r="H877" s="59" t="n"/>
      <c r="I877" s="57" t="str">
        <f>IF(H877="","",IFERROR(INDEX(art_des,MATCH(H877,art_ref,0))&amp;"","Article inconnu"))</f>
        <v/>
      </c>
      <c r="J877" s="60" t="str">
        <f>IF(H877="","",IFERROR(INDEX(art_unit,MATCH(H877,art_ref,0))&amp;"",""))</f>
        <v/>
      </c>
      <c r="K877" s="59" t="n"/>
      <c r="L877" s="59" t="n"/>
      <c r="M877" s="61" t="str">
        <f>IF(OR(B877="",NOT(ISNUMBER(K877)),NOT(ISNUMBER(L877))),"",IF(OR(K877&lt;=0,L877&lt;=0),"",ROUND(L877-K877,6)))</f>
        <v/>
      </c>
      <c r="N877" s="58" t="n"/>
      <c r="O877" s="62" t="n"/>
      <c r="P877" s="63" t="str">
        <f>IF(OR(B877="",NOT(ISNUMBER(L877))),"",IF(L877&lt;=0,"",IFERROR(ROUND(L877*N(INDEX(art_w,MATCH(H877,art_ref,0))),3),"")))</f>
        <v/>
      </c>
      <c r="Q877" s="59" t="n"/>
      <c r="R877" s="54" t="n"/>
      <c r="S877" s="59" t="n"/>
      <c r="T877" s="59" t="n"/>
      <c r="U877" s="64" t="str">
        <f>IF(OR(B877="",H877=""),"",IFERROR(IF(A877="BL",IF(N(INDEX(art_price,MATCH(H877,art_ref,0)))=0,"",N(INDEX(art_price,MATCH(H877,art_ref,0)))),IF(N(INDEX(art_cost,MATCH(H877,art_ref,0)))=0,"",N(INDEX(art_cost,MATCH(H877,art_ref,0))))),""))</f>
        <v/>
      </c>
      <c r="V877" s="64" t="str">
        <f>IF(OR(U877="",NOT(ISNUMBER(L877))),"",IF(L877&lt;=0,"",ROUND(L877*U877,2)))</f>
        <v/>
      </c>
      <c r="W877" s="60" t="str">
        <f>IF(AND(B877&lt;&gt;"",A877&lt;&gt;"BS",F877&lt;&gt;"",H877&lt;&gt;"",ISNUMBER(K877),ISNUMBER(L877)),IF(AND(K877&gt;0,L877&gt;0,K877-L877&gt;0,COUNTIFS(A878:A$2005,A877,F878:F$2005,F877,H878:H$2005,H877,AA878:AA$2005,"&gt;0")=0),ROUND(K877-L877,6),""),"")</f>
        <v/>
      </c>
      <c r="X877" s="60" t="str">
        <f>IF(AND(A877="",C877="",D877="",H877="",L877=""),"",IF(A877="","Type manquant",IF(AND(A877&lt;&gt;"BL",A877&lt;&gt;"BR",A877&lt;&gt;"BS"),"Type inconnu (BL, BR ou BS)",IF(AG877=0,"Date manquante ou invalide",IF(D877="",IF(A877="BL","Client manquant",IF(A877="BR","Fournisseur manquant","Service manquant")),IF(IF(A877="BL",ISNA(MATCH(D877,cl_code,0)),IF(A877="BR",ISNA(MATCH(D877,fo_code,0)),ISNA(MATCH(D877,p_services,0)))),IF(A877="BL","Client inconnu",IF(A877="BR","Fournisseur inconnu","Service inconnu")),IF(H877="","Article manquant",IF(ISNA(MATCH(H877,art_ref,0)),"Article inconnu",IF(OR(NOT(ISNUMBER(L877)),N(L877)&lt;=0),"Quantité invalide",IF(AND(K877&lt;&gt;"",OR(NOT(ISNUMBER(K877)),N(K877)&lt;=0)),"Qté commandée invalide",IF(AG877&lt;SUMPRODUCT(MAX((A$6:A876=A877)*AG$6:AG876)),"Date antérieure au bon précédent",IF(AND(A877&lt;&gt;"BR",ISNUMBER(M877),N(M877)&gt;0),IF(A877="BL","Livré plus que commandé","Sorti plus que demandé"),"OK"))))))))))))</f>
        <v/>
      </c>
      <c r="Y877" s="57" t="str">
        <f>IF(AND(OR(A877="BL",A877="BR",A877="BS"),AG877&gt;0,D877&lt;&gt;""),A877&amp;"|"&amp;AG877&amp;"|"&amp;D877&amp;"|"&amp;F877,"")</f>
        <v/>
      </c>
      <c r="Z877" s="57" t="str">
        <f>IF(Y877="","",IF(COUNTIF(Y$6:Y876,Y877)=0,1,0))</f>
        <v/>
      </c>
      <c r="AA877" s="57" t="str">
        <f>IF(Y877="","",IF(Z877=1,COUNTIFS(A$6:A877,A877,Z$6:Z877,1),INDEX(AA$6:AA876,MATCH(Y877,Y$6:Y876,0))))</f>
        <v/>
      </c>
      <c r="AB877" s="57" t="str">
        <f>IF(B877="","",COUNTIF(B$6:B877,B877))</f>
        <v/>
      </c>
      <c r="AC877" s="57" t="str">
        <f>IF(B877="","",B877&amp;"#"&amp;AB877)</f>
        <v/>
      </c>
      <c r="AD877" s="57" t="str">
        <f>IF(Z877=1,A877&amp;AA877,"")</f>
        <v/>
      </c>
      <c r="AE877" s="57" t="str">
        <f>IF(B877="","",YEAR(C877))</f>
        <v/>
      </c>
      <c r="AF877" s="57" t="str">
        <f>IF(B877="","",MONTH(C877))</f>
        <v/>
      </c>
      <c r="AG877" s="57">
        <f>IF(ISNUMBER(C877),C877,0)</f>
        <v>0.0</v>
      </c>
      <c r="AH877" s="57" t="str">
        <f>IF(N(W877)&gt;0,COUNTIF(W$6:W877,"&gt;0"),"")</f>
        <v/>
      </c>
      <c r="AI877" s="57" t="str">
        <f>IF(Z877=1,COUNTIF(Z$6:Z877,1),"")</f>
        <v/>
      </c>
    </row>
    <row r="878">
      <c r="A878" s="54" t="n"/>
      <c r="B878" s="55" t="str">
        <f>IF(AA878="","",A878&amp;"-"&amp;RIGHT("000"&amp;AA878,4))</f>
        <v/>
      </c>
      <c r="C878" s="56" t="n"/>
      <c r="D878" s="54" t="n"/>
      <c r="E878" s="57" t="str">
        <f>IF(D878="","",IF(A878="BL",IFERROR(INDEX(cl_name,MATCH(D878,cl_code,0))&amp;"","Client inconnu"),IF(A878="BR",IFERROR(INDEX(fo_name,MATCH(D878,fo_code,0))&amp;"","Fournisseur inconnu"),IF(A878="BS",IF(ISNA(MATCH(D878,p_services,0)),"Service inconnu",D878&amp;""),""))))</f>
        <v/>
      </c>
      <c r="F878" s="58" t="n"/>
      <c r="G878" s="58" t="n"/>
      <c r="H878" s="59" t="n"/>
      <c r="I878" s="57" t="str">
        <f>IF(H878="","",IFERROR(INDEX(art_des,MATCH(H878,art_ref,0))&amp;"","Article inconnu"))</f>
        <v/>
      </c>
      <c r="J878" s="60" t="str">
        <f>IF(H878="","",IFERROR(INDEX(art_unit,MATCH(H878,art_ref,0))&amp;"",""))</f>
        <v/>
      </c>
      <c r="K878" s="59" t="n"/>
      <c r="L878" s="59" t="n"/>
      <c r="M878" s="61" t="str">
        <f>IF(OR(B878="",NOT(ISNUMBER(K878)),NOT(ISNUMBER(L878))),"",IF(OR(K878&lt;=0,L878&lt;=0),"",ROUND(L878-K878,6)))</f>
        <v/>
      </c>
      <c r="N878" s="58" t="n"/>
      <c r="O878" s="62" t="n"/>
      <c r="P878" s="63" t="str">
        <f>IF(OR(B878="",NOT(ISNUMBER(L878))),"",IF(L878&lt;=0,"",IFERROR(ROUND(L878*N(INDEX(art_w,MATCH(H878,art_ref,0))),3),"")))</f>
        <v/>
      </c>
      <c r="Q878" s="59" t="n"/>
      <c r="R878" s="54" t="n"/>
      <c r="S878" s="59" t="n"/>
      <c r="T878" s="59" t="n"/>
      <c r="U878" s="64" t="str">
        <f>IF(OR(B878="",H878=""),"",IFERROR(IF(A878="BL",IF(N(INDEX(art_price,MATCH(H878,art_ref,0)))=0,"",N(INDEX(art_price,MATCH(H878,art_ref,0)))),IF(N(INDEX(art_cost,MATCH(H878,art_ref,0)))=0,"",N(INDEX(art_cost,MATCH(H878,art_ref,0))))),""))</f>
        <v/>
      </c>
      <c r="V878" s="64" t="str">
        <f>IF(OR(U878="",NOT(ISNUMBER(L878))),"",IF(L878&lt;=0,"",ROUND(L878*U878,2)))</f>
        <v/>
      </c>
      <c r="W878" s="60" t="str">
        <f>IF(AND(B878&lt;&gt;"",A878&lt;&gt;"BS",F878&lt;&gt;"",H878&lt;&gt;"",ISNUMBER(K878),ISNUMBER(L878)),IF(AND(K878&gt;0,L878&gt;0,K878-L878&gt;0,COUNTIFS(A879:A$2005,A878,F879:F$2005,F878,H879:H$2005,H878,AA879:AA$2005,"&gt;0")=0),ROUND(K878-L878,6),""),"")</f>
        <v/>
      </c>
      <c r="X878" s="60" t="str">
        <f>IF(AND(A878="",C878="",D878="",H878="",L878=""),"",IF(A878="","Type manquant",IF(AND(A878&lt;&gt;"BL",A878&lt;&gt;"BR",A878&lt;&gt;"BS"),"Type inconnu (BL, BR ou BS)",IF(AG878=0,"Date manquante ou invalide",IF(D878="",IF(A878="BL","Client manquant",IF(A878="BR","Fournisseur manquant","Service manquant")),IF(IF(A878="BL",ISNA(MATCH(D878,cl_code,0)),IF(A878="BR",ISNA(MATCH(D878,fo_code,0)),ISNA(MATCH(D878,p_services,0)))),IF(A878="BL","Client inconnu",IF(A878="BR","Fournisseur inconnu","Service inconnu")),IF(H878="","Article manquant",IF(ISNA(MATCH(H878,art_ref,0)),"Article inconnu",IF(OR(NOT(ISNUMBER(L878)),N(L878)&lt;=0),"Quantité invalide",IF(AND(K878&lt;&gt;"",OR(NOT(ISNUMBER(K878)),N(K878)&lt;=0)),"Qté commandée invalide",IF(AG878&lt;SUMPRODUCT(MAX((A$6:A877=A878)*AG$6:AG877)),"Date antérieure au bon précédent",IF(AND(A878&lt;&gt;"BR",ISNUMBER(M878),N(M878)&gt;0),IF(A878="BL","Livré plus que commandé","Sorti plus que demandé"),"OK"))))))))))))</f>
        <v/>
      </c>
      <c r="Y878" s="57" t="str">
        <f>IF(AND(OR(A878="BL",A878="BR",A878="BS"),AG878&gt;0,D878&lt;&gt;""),A878&amp;"|"&amp;AG878&amp;"|"&amp;D878&amp;"|"&amp;F878,"")</f>
        <v/>
      </c>
      <c r="Z878" s="57" t="str">
        <f>IF(Y878="","",IF(COUNTIF(Y$6:Y877,Y878)=0,1,0))</f>
        <v/>
      </c>
      <c r="AA878" s="57" t="str">
        <f>IF(Y878="","",IF(Z878=1,COUNTIFS(A$6:A878,A878,Z$6:Z878,1),INDEX(AA$6:AA877,MATCH(Y878,Y$6:Y877,0))))</f>
        <v/>
      </c>
      <c r="AB878" s="57" t="str">
        <f>IF(B878="","",COUNTIF(B$6:B878,B878))</f>
        <v/>
      </c>
      <c r="AC878" s="57" t="str">
        <f>IF(B878="","",B878&amp;"#"&amp;AB878)</f>
        <v/>
      </c>
      <c r="AD878" s="57" t="str">
        <f>IF(Z878=1,A878&amp;AA878,"")</f>
        <v/>
      </c>
      <c r="AE878" s="57" t="str">
        <f>IF(B878="","",YEAR(C878))</f>
        <v/>
      </c>
      <c r="AF878" s="57" t="str">
        <f>IF(B878="","",MONTH(C878))</f>
        <v/>
      </c>
      <c r="AG878" s="57">
        <f>IF(ISNUMBER(C878),C878,0)</f>
        <v>0.0</v>
      </c>
      <c r="AH878" s="57" t="str">
        <f>IF(N(W878)&gt;0,COUNTIF(W$6:W878,"&gt;0"),"")</f>
        <v/>
      </c>
      <c r="AI878" s="57" t="str">
        <f>IF(Z878=1,COUNTIF(Z$6:Z878,1),"")</f>
        <v/>
      </c>
    </row>
    <row r="879">
      <c r="A879" s="54" t="n"/>
      <c r="B879" s="55" t="str">
        <f>IF(AA879="","",A879&amp;"-"&amp;RIGHT("000"&amp;AA879,4))</f>
        <v/>
      </c>
      <c r="C879" s="56" t="n"/>
      <c r="D879" s="54" t="n"/>
      <c r="E879" s="57" t="str">
        <f>IF(D879="","",IF(A879="BL",IFERROR(INDEX(cl_name,MATCH(D879,cl_code,0))&amp;"","Client inconnu"),IF(A879="BR",IFERROR(INDEX(fo_name,MATCH(D879,fo_code,0))&amp;"","Fournisseur inconnu"),IF(A879="BS",IF(ISNA(MATCH(D879,p_services,0)),"Service inconnu",D879&amp;""),""))))</f>
        <v/>
      </c>
      <c r="F879" s="58" t="n"/>
      <c r="G879" s="58" t="n"/>
      <c r="H879" s="59" t="n"/>
      <c r="I879" s="57" t="str">
        <f>IF(H879="","",IFERROR(INDEX(art_des,MATCH(H879,art_ref,0))&amp;"","Article inconnu"))</f>
        <v/>
      </c>
      <c r="J879" s="60" t="str">
        <f>IF(H879="","",IFERROR(INDEX(art_unit,MATCH(H879,art_ref,0))&amp;"",""))</f>
        <v/>
      </c>
      <c r="K879" s="59" t="n"/>
      <c r="L879" s="59" t="n"/>
      <c r="M879" s="61" t="str">
        <f>IF(OR(B879="",NOT(ISNUMBER(K879)),NOT(ISNUMBER(L879))),"",IF(OR(K879&lt;=0,L879&lt;=0),"",ROUND(L879-K879,6)))</f>
        <v/>
      </c>
      <c r="N879" s="58" t="n"/>
      <c r="O879" s="62" t="n"/>
      <c r="P879" s="63" t="str">
        <f>IF(OR(B879="",NOT(ISNUMBER(L879))),"",IF(L879&lt;=0,"",IFERROR(ROUND(L879*N(INDEX(art_w,MATCH(H879,art_ref,0))),3),"")))</f>
        <v/>
      </c>
      <c r="Q879" s="59" t="n"/>
      <c r="R879" s="54" t="n"/>
      <c r="S879" s="59" t="n"/>
      <c r="T879" s="59" t="n"/>
      <c r="U879" s="64" t="str">
        <f>IF(OR(B879="",H879=""),"",IFERROR(IF(A879="BL",IF(N(INDEX(art_price,MATCH(H879,art_ref,0)))=0,"",N(INDEX(art_price,MATCH(H879,art_ref,0)))),IF(N(INDEX(art_cost,MATCH(H879,art_ref,0)))=0,"",N(INDEX(art_cost,MATCH(H879,art_ref,0))))),""))</f>
        <v/>
      </c>
      <c r="V879" s="64" t="str">
        <f>IF(OR(U879="",NOT(ISNUMBER(L879))),"",IF(L879&lt;=0,"",ROUND(L879*U879,2)))</f>
        <v/>
      </c>
      <c r="W879" s="60" t="str">
        <f>IF(AND(B879&lt;&gt;"",A879&lt;&gt;"BS",F879&lt;&gt;"",H879&lt;&gt;"",ISNUMBER(K879),ISNUMBER(L879)),IF(AND(K879&gt;0,L879&gt;0,K879-L879&gt;0,COUNTIFS(A880:A$2005,A879,F880:F$2005,F879,H880:H$2005,H879,AA880:AA$2005,"&gt;0")=0),ROUND(K879-L879,6),""),"")</f>
        <v/>
      </c>
      <c r="X879" s="60" t="str">
        <f>IF(AND(A879="",C879="",D879="",H879="",L879=""),"",IF(A879="","Type manquant",IF(AND(A879&lt;&gt;"BL",A879&lt;&gt;"BR",A879&lt;&gt;"BS"),"Type inconnu (BL, BR ou BS)",IF(AG879=0,"Date manquante ou invalide",IF(D879="",IF(A879="BL","Client manquant",IF(A879="BR","Fournisseur manquant","Service manquant")),IF(IF(A879="BL",ISNA(MATCH(D879,cl_code,0)),IF(A879="BR",ISNA(MATCH(D879,fo_code,0)),ISNA(MATCH(D879,p_services,0)))),IF(A879="BL","Client inconnu",IF(A879="BR","Fournisseur inconnu","Service inconnu")),IF(H879="","Article manquant",IF(ISNA(MATCH(H879,art_ref,0)),"Article inconnu",IF(OR(NOT(ISNUMBER(L879)),N(L879)&lt;=0),"Quantité invalide",IF(AND(K879&lt;&gt;"",OR(NOT(ISNUMBER(K879)),N(K879)&lt;=0)),"Qté commandée invalide",IF(AG879&lt;SUMPRODUCT(MAX((A$6:A878=A879)*AG$6:AG878)),"Date antérieure au bon précédent",IF(AND(A879&lt;&gt;"BR",ISNUMBER(M879),N(M879)&gt;0),IF(A879="BL","Livré plus que commandé","Sorti plus que demandé"),"OK"))))))))))))</f>
        <v/>
      </c>
      <c r="Y879" s="57" t="str">
        <f>IF(AND(OR(A879="BL",A879="BR",A879="BS"),AG879&gt;0,D879&lt;&gt;""),A879&amp;"|"&amp;AG879&amp;"|"&amp;D879&amp;"|"&amp;F879,"")</f>
        <v/>
      </c>
      <c r="Z879" s="57" t="str">
        <f>IF(Y879="","",IF(COUNTIF(Y$6:Y878,Y879)=0,1,0))</f>
        <v/>
      </c>
      <c r="AA879" s="57" t="str">
        <f>IF(Y879="","",IF(Z879=1,COUNTIFS(A$6:A879,A879,Z$6:Z879,1),INDEX(AA$6:AA878,MATCH(Y879,Y$6:Y878,0))))</f>
        <v/>
      </c>
      <c r="AB879" s="57" t="str">
        <f>IF(B879="","",COUNTIF(B$6:B879,B879))</f>
        <v/>
      </c>
      <c r="AC879" s="57" t="str">
        <f>IF(B879="","",B879&amp;"#"&amp;AB879)</f>
        <v/>
      </c>
      <c r="AD879" s="57" t="str">
        <f>IF(Z879=1,A879&amp;AA879,"")</f>
        <v/>
      </c>
      <c r="AE879" s="57" t="str">
        <f>IF(B879="","",YEAR(C879))</f>
        <v/>
      </c>
      <c r="AF879" s="57" t="str">
        <f>IF(B879="","",MONTH(C879))</f>
        <v/>
      </c>
      <c r="AG879" s="57">
        <f>IF(ISNUMBER(C879),C879,0)</f>
        <v>0.0</v>
      </c>
      <c r="AH879" s="57" t="str">
        <f>IF(N(W879)&gt;0,COUNTIF(W$6:W879,"&gt;0"),"")</f>
        <v/>
      </c>
      <c r="AI879" s="57" t="str">
        <f>IF(Z879=1,COUNTIF(Z$6:Z879,1),"")</f>
        <v/>
      </c>
    </row>
    <row r="880">
      <c r="A880" s="54" t="n"/>
      <c r="B880" s="55" t="str">
        <f>IF(AA880="","",A880&amp;"-"&amp;RIGHT("000"&amp;AA880,4))</f>
        <v/>
      </c>
      <c r="C880" s="56" t="n"/>
      <c r="D880" s="54" t="n"/>
      <c r="E880" s="57" t="str">
        <f>IF(D880="","",IF(A880="BL",IFERROR(INDEX(cl_name,MATCH(D880,cl_code,0))&amp;"","Client inconnu"),IF(A880="BR",IFERROR(INDEX(fo_name,MATCH(D880,fo_code,0))&amp;"","Fournisseur inconnu"),IF(A880="BS",IF(ISNA(MATCH(D880,p_services,0)),"Service inconnu",D880&amp;""),""))))</f>
        <v/>
      </c>
      <c r="F880" s="58" t="n"/>
      <c r="G880" s="58" t="n"/>
      <c r="H880" s="59" t="n"/>
      <c r="I880" s="57" t="str">
        <f>IF(H880="","",IFERROR(INDEX(art_des,MATCH(H880,art_ref,0))&amp;"","Article inconnu"))</f>
        <v/>
      </c>
      <c r="J880" s="60" t="str">
        <f>IF(H880="","",IFERROR(INDEX(art_unit,MATCH(H880,art_ref,0))&amp;"",""))</f>
        <v/>
      </c>
      <c r="K880" s="59" t="n"/>
      <c r="L880" s="59" t="n"/>
      <c r="M880" s="61" t="str">
        <f>IF(OR(B880="",NOT(ISNUMBER(K880)),NOT(ISNUMBER(L880))),"",IF(OR(K880&lt;=0,L880&lt;=0),"",ROUND(L880-K880,6)))</f>
        <v/>
      </c>
      <c r="N880" s="58" t="n"/>
      <c r="O880" s="62" t="n"/>
      <c r="P880" s="63" t="str">
        <f>IF(OR(B880="",NOT(ISNUMBER(L880))),"",IF(L880&lt;=0,"",IFERROR(ROUND(L880*N(INDEX(art_w,MATCH(H880,art_ref,0))),3),"")))</f>
        <v/>
      </c>
      <c r="Q880" s="59" t="n"/>
      <c r="R880" s="54" t="n"/>
      <c r="S880" s="59" t="n"/>
      <c r="T880" s="59" t="n"/>
      <c r="U880" s="64" t="str">
        <f>IF(OR(B880="",H880=""),"",IFERROR(IF(A880="BL",IF(N(INDEX(art_price,MATCH(H880,art_ref,0)))=0,"",N(INDEX(art_price,MATCH(H880,art_ref,0)))),IF(N(INDEX(art_cost,MATCH(H880,art_ref,0)))=0,"",N(INDEX(art_cost,MATCH(H880,art_ref,0))))),""))</f>
        <v/>
      </c>
      <c r="V880" s="64" t="str">
        <f>IF(OR(U880="",NOT(ISNUMBER(L880))),"",IF(L880&lt;=0,"",ROUND(L880*U880,2)))</f>
        <v/>
      </c>
      <c r="W880" s="60" t="str">
        <f>IF(AND(B880&lt;&gt;"",A880&lt;&gt;"BS",F880&lt;&gt;"",H880&lt;&gt;"",ISNUMBER(K880),ISNUMBER(L880)),IF(AND(K880&gt;0,L880&gt;0,K880-L880&gt;0,COUNTIFS(A881:A$2005,A880,F881:F$2005,F880,H881:H$2005,H880,AA881:AA$2005,"&gt;0")=0),ROUND(K880-L880,6),""),"")</f>
        <v/>
      </c>
      <c r="X880" s="60" t="str">
        <f>IF(AND(A880="",C880="",D880="",H880="",L880=""),"",IF(A880="","Type manquant",IF(AND(A880&lt;&gt;"BL",A880&lt;&gt;"BR",A880&lt;&gt;"BS"),"Type inconnu (BL, BR ou BS)",IF(AG880=0,"Date manquante ou invalide",IF(D880="",IF(A880="BL","Client manquant",IF(A880="BR","Fournisseur manquant","Service manquant")),IF(IF(A880="BL",ISNA(MATCH(D880,cl_code,0)),IF(A880="BR",ISNA(MATCH(D880,fo_code,0)),ISNA(MATCH(D880,p_services,0)))),IF(A880="BL","Client inconnu",IF(A880="BR","Fournisseur inconnu","Service inconnu")),IF(H880="","Article manquant",IF(ISNA(MATCH(H880,art_ref,0)),"Article inconnu",IF(OR(NOT(ISNUMBER(L880)),N(L880)&lt;=0),"Quantité invalide",IF(AND(K880&lt;&gt;"",OR(NOT(ISNUMBER(K880)),N(K880)&lt;=0)),"Qté commandée invalide",IF(AG880&lt;SUMPRODUCT(MAX((A$6:A879=A880)*AG$6:AG879)),"Date antérieure au bon précédent",IF(AND(A880&lt;&gt;"BR",ISNUMBER(M880),N(M880)&gt;0),IF(A880="BL","Livré plus que commandé","Sorti plus que demandé"),"OK"))))))))))))</f>
        <v/>
      </c>
      <c r="Y880" s="57" t="str">
        <f>IF(AND(OR(A880="BL",A880="BR",A880="BS"),AG880&gt;0,D880&lt;&gt;""),A880&amp;"|"&amp;AG880&amp;"|"&amp;D880&amp;"|"&amp;F880,"")</f>
        <v/>
      </c>
      <c r="Z880" s="57" t="str">
        <f>IF(Y880="","",IF(COUNTIF(Y$6:Y879,Y880)=0,1,0))</f>
        <v/>
      </c>
      <c r="AA880" s="57" t="str">
        <f>IF(Y880="","",IF(Z880=1,COUNTIFS(A$6:A880,A880,Z$6:Z880,1),INDEX(AA$6:AA879,MATCH(Y880,Y$6:Y879,0))))</f>
        <v/>
      </c>
      <c r="AB880" s="57" t="str">
        <f>IF(B880="","",COUNTIF(B$6:B880,B880))</f>
        <v/>
      </c>
      <c r="AC880" s="57" t="str">
        <f>IF(B880="","",B880&amp;"#"&amp;AB880)</f>
        <v/>
      </c>
      <c r="AD880" s="57" t="str">
        <f>IF(Z880=1,A880&amp;AA880,"")</f>
        <v/>
      </c>
      <c r="AE880" s="57" t="str">
        <f>IF(B880="","",YEAR(C880))</f>
        <v/>
      </c>
      <c r="AF880" s="57" t="str">
        <f>IF(B880="","",MONTH(C880))</f>
        <v/>
      </c>
      <c r="AG880" s="57">
        <f>IF(ISNUMBER(C880),C880,0)</f>
        <v>0.0</v>
      </c>
      <c r="AH880" s="57" t="str">
        <f>IF(N(W880)&gt;0,COUNTIF(W$6:W880,"&gt;0"),"")</f>
        <v/>
      </c>
      <c r="AI880" s="57" t="str">
        <f>IF(Z880=1,COUNTIF(Z$6:Z880,1),"")</f>
        <v/>
      </c>
    </row>
    <row r="881">
      <c r="A881" s="54" t="n"/>
      <c r="B881" s="55" t="str">
        <f>IF(AA881="","",A881&amp;"-"&amp;RIGHT("000"&amp;AA881,4))</f>
        <v/>
      </c>
      <c r="C881" s="56" t="n"/>
      <c r="D881" s="54" t="n"/>
      <c r="E881" s="57" t="str">
        <f>IF(D881="","",IF(A881="BL",IFERROR(INDEX(cl_name,MATCH(D881,cl_code,0))&amp;"","Client inconnu"),IF(A881="BR",IFERROR(INDEX(fo_name,MATCH(D881,fo_code,0))&amp;"","Fournisseur inconnu"),IF(A881="BS",IF(ISNA(MATCH(D881,p_services,0)),"Service inconnu",D881&amp;""),""))))</f>
        <v/>
      </c>
      <c r="F881" s="58" t="n"/>
      <c r="G881" s="58" t="n"/>
      <c r="H881" s="59" t="n"/>
      <c r="I881" s="57" t="str">
        <f>IF(H881="","",IFERROR(INDEX(art_des,MATCH(H881,art_ref,0))&amp;"","Article inconnu"))</f>
        <v/>
      </c>
      <c r="J881" s="60" t="str">
        <f>IF(H881="","",IFERROR(INDEX(art_unit,MATCH(H881,art_ref,0))&amp;"",""))</f>
        <v/>
      </c>
      <c r="K881" s="59" t="n"/>
      <c r="L881" s="59" t="n"/>
      <c r="M881" s="61" t="str">
        <f>IF(OR(B881="",NOT(ISNUMBER(K881)),NOT(ISNUMBER(L881))),"",IF(OR(K881&lt;=0,L881&lt;=0),"",ROUND(L881-K881,6)))</f>
        <v/>
      </c>
      <c r="N881" s="58" t="n"/>
      <c r="O881" s="62" t="n"/>
      <c r="P881" s="63" t="str">
        <f>IF(OR(B881="",NOT(ISNUMBER(L881))),"",IF(L881&lt;=0,"",IFERROR(ROUND(L881*N(INDEX(art_w,MATCH(H881,art_ref,0))),3),"")))</f>
        <v/>
      </c>
      <c r="Q881" s="59" t="n"/>
      <c r="R881" s="54" t="n"/>
      <c r="S881" s="59" t="n"/>
      <c r="T881" s="59" t="n"/>
      <c r="U881" s="64" t="str">
        <f>IF(OR(B881="",H881=""),"",IFERROR(IF(A881="BL",IF(N(INDEX(art_price,MATCH(H881,art_ref,0)))=0,"",N(INDEX(art_price,MATCH(H881,art_ref,0)))),IF(N(INDEX(art_cost,MATCH(H881,art_ref,0)))=0,"",N(INDEX(art_cost,MATCH(H881,art_ref,0))))),""))</f>
        <v/>
      </c>
      <c r="V881" s="64" t="str">
        <f>IF(OR(U881="",NOT(ISNUMBER(L881))),"",IF(L881&lt;=0,"",ROUND(L881*U881,2)))</f>
        <v/>
      </c>
      <c r="W881" s="60" t="str">
        <f>IF(AND(B881&lt;&gt;"",A881&lt;&gt;"BS",F881&lt;&gt;"",H881&lt;&gt;"",ISNUMBER(K881),ISNUMBER(L881)),IF(AND(K881&gt;0,L881&gt;0,K881-L881&gt;0,COUNTIFS(A882:A$2005,A881,F882:F$2005,F881,H882:H$2005,H881,AA882:AA$2005,"&gt;0")=0),ROUND(K881-L881,6),""),"")</f>
        <v/>
      </c>
      <c r="X881" s="60" t="str">
        <f>IF(AND(A881="",C881="",D881="",H881="",L881=""),"",IF(A881="","Type manquant",IF(AND(A881&lt;&gt;"BL",A881&lt;&gt;"BR",A881&lt;&gt;"BS"),"Type inconnu (BL, BR ou BS)",IF(AG881=0,"Date manquante ou invalide",IF(D881="",IF(A881="BL","Client manquant",IF(A881="BR","Fournisseur manquant","Service manquant")),IF(IF(A881="BL",ISNA(MATCH(D881,cl_code,0)),IF(A881="BR",ISNA(MATCH(D881,fo_code,0)),ISNA(MATCH(D881,p_services,0)))),IF(A881="BL","Client inconnu",IF(A881="BR","Fournisseur inconnu","Service inconnu")),IF(H881="","Article manquant",IF(ISNA(MATCH(H881,art_ref,0)),"Article inconnu",IF(OR(NOT(ISNUMBER(L881)),N(L881)&lt;=0),"Quantité invalide",IF(AND(K881&lt;&gt;"",OR(NOT(ISNUMBER(K881)),N(K881)&lt;=0)),"Qté commandée invalide",IF(AG881&lt;SUMPRODUCT(MAX((A$6:A880=A881)*AG$6:AG880)),"Date antérieure au bon précédent",IF(AND(A881&lt;&gt;"BR",ISNUMBER(M881),N(M881)&gt;0),IF(A881="BL","Livré plus que commandé","Sorti plus que demandé"),"OK"))))))))))))</f>
        <v/>
      </c>
      <c r="Y881" s="57" t="str">
        <f>IF(AND(OR(A881="BL",A881="BR",A881="BS"),AG881&gt;0,D881&lt;&gt;""),A881&amp;"|"&amp;AG881&amp;"|"&amp;D881&amp;"|"&amp;F881,"")</f>
        <v/>
      </c>
      <c r="Z881" s="57" t="str">
        <f>IF(Y881="","",IF(COUNTIF(Y$6:Y880,Y881)=0,1,0))</f>
        <v/>
      </c>
      <c r="AA881" s="57" t="str">
        <f>IF(Y881="","",IF(Z881=1,COUNTIFS(A$6:A881,A881,Z$6:Z881,1),INDEX(AA$6:AA880,MATCH(Y881,Y$6:Y880,0))))</f>
        <v/>
      </c>
      <c r="AB881" s="57" t="str">
        <f>IF(B881="","",COUNTIF(B$6:B881,B881))</f>
        <v/>
      </c>
      <c r="AC881" s="57" t="str">
        <f>IF(B881="","",B881&amp;"#"&amp;AB881)</f>
        <v/>
      </c>
      <c r="AD881" s="57" t="str">
        <f>IF(Z881=1,A881&amp;AA881,"")</f>
        <v/>
      </c>
      <c r="AE881" s="57" t="str">
        <f>IF(B881="","",YEAR(C881))</f>
        <v/>
      </c>
      <c r="AF881" s="57" t="str">
        <f>IF(B881="","",MONTH(C881))</f>
        <v/>
      </c>
      <c r="AG881" s="57">
        <f>IF(ISNUMBER(C881),C881,0)</f>
        <v>0.0</v>
      </c>
      <c r="AH881" s="57" t="str">
        <f>IF(N(W881)&gt;0,COUNTIF(W$6:W881,"&gt;0"),"")</f>
        <v/>
      </c>
      <c r="AI881" s="57" t="str">
        <f>IF(Z881=1,COUNTIF(Z$6:Z881,1),"")</f>
        <v/>
      </c>
    </row>
    <row r="882">
      <c r="A882" s="54" t="n"/>
      <c r="B882" s="55" t="str">
        <f>IF(AA882="","",A882&amp;"-"&amp;RIGHT("000"&amp;AA882,4))</f>
        <v/>
      </c>
      <c r="C882" s="56" t="n"/>
      <c r="D882" s="54" t="n"/>
      <c r="E882" s="57" t="str">
        <f>IF(D882="","",IF(A882="BL",IFERROR(INDEX(cl_name,MATCH(D882,cl_code,0))&amp;"","Client inconnu"),IF(A882="BR",IFERROR(INDEX(fo_name,MATCH(D882,fo_code,0))&amp;"","Fournisseur inconnu"),IF(A882="BS",IF(ISNA(MATCH(D882,p_services,0)),"Service inconnu",D882&amp;""),""))))</f>
        <v/>
      </c>
      <c r="F882" s="58" t="n"/>
      <c r="G882" s="58" t="n"/>
      <c r="H882" s="59" t="n"/>
      <c r="I882" s="57" t="str">
        <f>IF(H882="","",IFERROR(INDEX(art_des,MATCH(H882,art_ref,0))&amp;"","Article inconnu"))</f>
        <v/>
      </c>
      <c r="J882" s="60" t="str">
        <f>IF(H882="","",IFERROR(INDEX(art_unit,MATCH(H882,art_ref,0))&amp;"",""))</f>
        <v/>
      </c>
      <c r="K882" s="59" t="n"/>
      <c r="L882" s="59" t="n"/>
      <c r="M882" s="61" t="str">
        <f>IF(OR(B882="",NOT(ISNUMBER(K882)),NOT(ISNUMBER(L882))),"",IF(OR(K882&lt;=0,L882&lt;=0),"",ROUND(L882-K882,6)))</f>
        <v/>
      </c>
      <c r="N882" s="58" t="n"/>
      <c r="O882" s="62" t="n"/>
      <c r="P882" s="63" t="str">
        <f>IF(OR(B882="",NOT(ISNUMBER(L882))),"",IF(L882&lt;=0,"",IFERROR(ROUND(L882*N(INDEX(art_w,MATCH(H882,art_ref,0))),3),"")))</f>
        <v/>
      </c>
      <c r="Q882" s="59" t="n"/>
      <c r="R882" s="54" t="n"/>
      <c r="S882" s="59" t="n"/>
      <c r="T882" s="59" t="n"/>
      <c r="U882" s="64" t="str">
        <f>IF(OR(B882="",H882=""),"",IFERROR(IF(A882="BL",IF(N(INDEX(art_price,MATCH(H882,art_ref,0)))=0,"",N(INDEX(art_price,MATCH(H882,art_ref,0)))),IF(N(INDEX(art_cost,MATCH(H882,art_ref,0)))=0,"",N(INDEX(art_cost,MATCH(H882,art_ref,0))))),""))</f>
        <v/>
      </c>
      <c r="V882" s="64" t="str">
        <f>IF(OR(U882="",NOT(ISNUMBER(L882))),"",IF(L882&lt;=0,"",ROUND(L882*U882,2)))</f>
        <v/>
      </c>
      <c r="W882" s="60" t="str">
        <f>IF(AND(B882&lt;&gt;"",A882&lt;&gt;"BS",F882&lt;&gt;"",H882&lt;&gt;"",ISNUMBER(K882),ISNUMBER(L882)),IF(AND(K882&gt;0,L882&gt;0,K882-L882&gt;0,COUNTIFS(A883:A$2005,A882,F883:F$2005,F882,H883:H$2005,H882,AA883:AA$2005,"&gt;0")=0),ROUND(K882-L882,6),""),"")</f>
        <v/>
      </c>
      <c r="X882" s="60" t="str">
        <f>IF(AND(A882="",C882="",D882="",H882="",L882=""),"",IF(A882="","Type manquant",IF(AND(A882&lt;&gt;"BL",A882&lt;&gt;"BR",A882&lt;&gt;"BS"),"Type inconnu (BL, BR ou BS)",IF(AG882=0,"Date manquante ou invalide",IF(D882="",IF(A882="BL","Client manquant",IF(A882="BR","Fournisseur manquant","Service manquant")),IF(IF(A882="BL",ISNA(MATCH(D882,cl_code,0)),IF(A882="BR",ISNA(MATCH(D882,fo_code,0)),ISNA(MATCH(D882,p_services,0)))),IF(A882="BL","Client inconnu",IF(A882="BR","Fournisseur inconnu","Service inconnu")),IF(H882="","Article manquant",IF(ISNA(MATCH(H882,art_ref,0)),"Article inconnu",IF(OR(NOT(ISNUMBER(L882)),N(L882)&lt;=0),"Quantité invalide",IF(AND(K882&lt;&gt;"",OR(NOT(ISNUMBER(K882)),N(K882)&lt;=0)),"Qté commandée invalide",IF(AG882&lt;SUMPRODUCT(MAX((A$6:A881=A882)*AG$6:AG881)),"Date antérieure au bon précédent",IF(AND(A882&lt;&gt;"BR",ISNUMBER(M882),N(M882)&gt;0),IF(A882="BL","Livré plus que commandé","Sorti plus que demandé"),"OK"))))))))))))</f>
        <v/>
      </c>
      <c r="Y882" s="57" t="str">
        <f>IF(AND(OR(A882="BL",A882="BR",A882="BS"),AG882&gt;0,D882&lt;&gt;""),A882&amp;"|"&amp;AG882&amp;"|"&amp;D882&amp;"|"&amp;F882,"")</f>
        <v/>
      </c>
      <c r="Z882" s="57" t="str">
        <f>IF(Y882="","",IF(COUNTIF(Y$6:Y881,Y882)=0,1,0))</f>
        <v/>
      </c>
      <c r="AA882" s="57" t="str">
        <f>IF(Y882="","",IF(Z882=1,COUNTIFS(A$6:A882,A882,Z$6:Z882,1),INDEX(AA$6:AA881,MATCH(Y882,Y$6:Y881,0))))</f>
        <v/>
      </c>
      <c r="AB882" s="57" t="str">
        <f>IF(B882="","",COUNTIF(B$6:B882,B882))</f>
        <v/>
      </c>
      <c r="AC882" s="57" t="str">
        <f>IF(B882="","",B882&amp;"#"&amp;AB882)</f>
        <v/>
      </c>
      <c r="AD882" s="57" t="str">
        <f>IF(Z882=1,A882&amp;AA882,"")</f>
        <v/>
      </c>
      <c r="AE882" s="57" t="str">
        <f>IF(B882="","",YEAR(C882))</f>
        <v/>
      </c>
      <c r="AF882" s="57" t="str">
        <f>IF(B882="","",MONTH(C882))</f>
        <v/>
      </c>
      <c r="AG882" s="57">
        <f>IF(ISNUMBER(C882),C882,0)</f>
        <v>0.0</v>
      </c>
      <c r="AH882" s="57" t="str">
        <f>IF(N(W882)&gt;0,COUNTIF(W$6:W882,"&gt;0"),"")</f>
        <v/>
      </c>
      <c r="AI882" s="57" t="str">
        <f>IF(Z882=1,COUNTIF(Z$6:Z882,1),"")</f>
        <v/>
      </c>
    </row>
    <row r="883">
      <c r="A883" s="54" t="n"/>
      <c r="B883" s="55" t="str">
        <f>IF(AA883="","",A883&amp;"-"&amp;RIGHT("000"&amp;AA883,4))</f>
        <v/>
      </c>
      <c r="C883" s="56" t="n"/>
      <c r="D883" s="54" t="n"/>
      <c r="E883" s="57" t="str">
        <f>IF(D883="","",IF(A883="BL",IFERROR(INDEX(cl_name,MATCH(D883,cl_code,0))&amp;"","Client inconnu"),IF(A883="BR",IFERROR(INDEX(fo_name,MATCH(D883,fo_code,0))&amp;"","Fournisseur inconnu"),IF(A883="BS",IF(ISNA(MATCH(D883,p_services,0)),"Service inconnu",D883&amp;""),""))))</f>
        <v/>
      </c>
      <c r="F883" s="58" t="n"/>
      <c r="G883" s="58" t="n"/>
      <c r="H883" s="59" t="n"/>
      <c r="I883" s="57" t="str">
        <f>IF(H883="","",IFERROR(INDEX(art_des,MATCH(H883,art_ref,0))&amp;"","Article inconnu"))</f>
        <v/>
      </c>
      <c r="J883" s="60" t="str">
        <f>IF(H883="","",IFERROR(INDEX(art_unit,MATCH(H883,art_ref,0))&amp;"",""))</f>
        <v/>
      </c>
      <c r="K883" s="59" t="n"/>
      <c r="L883" s="59" t="n"/>
      <c r="M883" s="61" t="str">
        <f>IF(OR(B883="",NOT(ISNUMBER(K883)),NOT(ISNUMBER(L883))),"",IF(OR(K883&lt;=0,L883&lt;=0),"",ROUND(L883-K883,6)))</f>
        <v/>
      </c>
      <c r="N883" s="58" t="n"/>
      <c r="O883" s="62" t="n"/>
      <c r="P883" s="63" t="str">
        <f>IF(OR(B883="",NOT(ISNUMBER(L883))),"",IF(L883&lt;=0,"",IFERROR(ROUND(L883*N(INDEX(art_w,MATCH(H883,art_ref,0))),3),"")))</f>
        <v/>
      </c>
      <c r="Q883" s="59" t="n"/>
      <c r="R883" s="54" t="n"/>
      <c r="S883" s="59" t="n"/>
      <c r="T883" s="59" t="n"/>
      <c r="U883" s="64" t="str">
        <f>IF(OR(B883="",H883=""),"",IFERROR(IF(A883="BL",IF(N(INDEX(art_price,MATCH(H883,art_ref,0)))=0,"",N(INDEX(art_price,MATCH(H883,art_ref,0)))),IF(N(INDEX(art_cost,MATCH(H883,art_ref,0)))=0,"",N(INDEX(art_cost,MATCH(H883,art_ref,0))))),""))</f>
        <v/>
      </c>
      <c r="V883" s="64" t="str">
        <f>IF(OR(U883="",NOT(ISNUMBER(L883))),"",IF(L883&lt;=0,"",ROUND(L883*U883,2)))</f>
        <v/>
      </c>
      <c r="W883" s="60" t="str">
        <f>IF(AND(B883&lt;&gt;"",A883&lt;&gt;"BS",F883&lt;&gt;"",H883&lt;&gt;"",ISNUMBER(K883),ISNUMBER(L883)),IF(AND(K883&gt;0,L883&gt;0,K883-L883&gt;0,COUNTIFS(A884:A$2005,A883,F884:F$2005,F883,H884:H$2005,H883,AA884:AA$2005,"&gt;0")=0),ROUND(K883-L883,6),""),"")</f>
        <v/>
      </c>
      <c r="X883" s="60" t="str">
        <f>IF(AND(A883="",C883="",D883="",H883="",L883=""),"",IF(A883="","Type manquant",IF(AND(A883&lt;&gt;"BL",A883&lt;&gt;"BR",A883&lt;&gt;"BS"),"Type inconnu (BL, BR ou BS)",IF(AG883=0,"Date manquante ou invalide",IF(D883="",IF(A883="BL","Client manquant",IF(A883="BR","Fournisseur manquant","Service manquant")),IF(IF(A883="BL",ISNA(MATCH(D883,cl_code,0)),IF(A883="BR",ISNA(MATCH(D883,fo_code,0)),ISNA(MATCH(D883,p_services,0)))),IF(A883="BL","Client inconnu",IF(A883="BR","Fournisseur inconnu","Service inconnu")),IF(H883="","Article manquant",IF(ISNA(MATCH(H883,art_ref,0)),"Article inconnu",IF(OR(NOT(ISNUMBER(L883)),N(L883)&lt;=0),"Quantité invalide",IF(AND(K883&lt;&gt;"",OR(NOT(ISNUMBER(K883)),N(K883)&lt;=0)),"Qté commandée invalide",IF(AG883&lt;SUMPRODUCT(MAX((A$6:A882=A883)*AG$6:AG882)),"Date antérieure au bon précédent",IF(AND(A883&lt;&gt;"BR",ISNUMBER(M883),N(M883)&gt;0),IF(A883="BL","Livré plus que commandé","Sorti plus que demandé"),"OK"))))))))))))</f>
        <v/>
      </c>
      <c r="Y883" s="57" t="str">
        <f>IF(AND(OR(A883="BL",A883="BR",A883="BS"),AG883&gt;0,D883&lt;&gt;""),A883&amp;"|"&amp;AG883&amp;"|"&amp;D883&amp;"|"&amp;F883,"")</f>
        <v/>
      </c>
      <c r="Z883" s="57" t="str">
        <f>IF(Y883="","",IF(COUNTIF(Y$6:Y882,Y883)=0,1,0))</f>
        <v/>
      </c>
      <c r="AA883" s="57" t="str">
        <f>IF(Y883="","",IF(Z883=1,COUNTIFS(A$6:A883,A883,Z$6:Z883,1),INDEX(AA$6:AA882,MATCH(Y883,Y$6:Y882,0))))</f>
        <v/>
      </c>
      <c r="AB883" s="57" t="str">
        <f>IF(B883="","",COUNTIF(B$6:B883,B883))</f>
        <v/>
      </c>
      <c r="AC883" s="57" t="str">
        <f>IF(B883="","",B883&amp;"#"&amp;AB883)</f>
        <v/>
      </c>
      <c r="AD883" s="57" t="str">
        <f>IF(Z883=1,A883&amp;AA883,"")</f>
        <v/>
      </c>
      <c r="AE883" s="57" t="str">
        <f>IF(B883="","",YEAR(C883))</f>
        <v/>
      </c>
      <c r="AF883" s="57" t="str">
        <f>IF(B883="","",MONTH(C883))</f>
        <v/>
      </c>
      <c r="AG883" s="57">
        <f>IF(ISNUMBER(C883),C883,0)</f>
        <v>0.0</v>
      </c>
      <c r="AH883" s="57" t="str">
        <f>IF(N(W883)&gt;0,COUNTIF(W$6:W883,"&gt;0"),"")</f>
        <v/>
      </c>
      <c r="AI883" s="57" t="str">
        <f>IF(Z883=1,COUNTIF(Z$6:Z883,1),"")</f>
        <v/>
      </c>
    </row>
    <row r="884">
      <c r="A884" s="54" t="n"/>
      <c r="B884" s="55" t="str">
        <f>IF(AA884="","",A884&amp;"-"&amp;RIGHT("000"&amp;AA884,4))</f>
        <v/>
      </c>
      <c r="C884" s="56" t="n"/>
      <c r="D884" s="54" t="n"/>
      <c r="E884" s="57" t="str">
        <f>IF(D884="","",IF(A884="BL",IFERROR(INDEX(cl_name,MATCH(D884,cl_code,0))&amp;"","Client inconnu"),IF(A884="BR",IFERROR(INDEX(fo_name,MATCH(D884,fo_code,0))&amp;"","Fournisseur inconnu"),IF(A884="BS",IF(ISNA(MATCH(D884,p_services,0)),"Service inconnu",D884&amp;""),""))))</f>
        <v/>
      </c>
      <c r="F884" s="58" t="n"/>
      <c r="G884" s="58" t="n"/>
      <c r="H884" s="59" t="n"/>
      <c r="I884" s="57" t="str">
        <f>IF(H884="","",IFERROR(INDEX(art_des,MATCH(H884,art_ref,0))&amp;"","Article inconnu"))</f>
        <v/>
      </c>
      <c r="J884" s="60" t="str">
        <f>IF(H884="","",IFERROR(INDEX(art_unit,MATCH(H884,art_ref,0))&amp;"",""))</f>
        <v/>
      </c>
      <c r="K884" s="59" t="n"/>
      <c r="L884" s="59" t="n"/>
      <c r="M884" s="61" t="str">
        <f>IF(OR(B884="",NOT(ISNUMBER(K884)),NOT(ISNUMBER(L884))),"",IF(OR(K884&lt;=0,L884&lt;=0),"",ROUND(L884-K884,6)))</f>
        <v/>
      </c>
      <c r="N884" s="58" t="n"/>
      <c r="O884" s="62" t="n"/>
      <c r="P884" s="63" t="str">
        <f>IF(OR(B884="",NOT(ISNUMBER(L884))),"",IF(L884&lt;=0,"",IFERROR(ROUND(L884*N(INDEX(art_w,MATCH(H884,art_ref,0))),3),"")))</f>
        <v/>
      </c>
      <c r="Q884" s="59" t="n"/>
      <c r="R884" s="54" t="n"/>
      <c r="S884" s="59" t="n"/>
      <c r="T884" s="59" t="n"/>
      <c r="U884" s="64" t="str">
        <f>IF(OR(B884="",H884=""),"",IFERROR(IF(A884="BL",IF(N(INDEX(art_price,MATCH(H884,art_ref,0)))=0,"",N(INDEX(art_price,MATCH(H884,art_ref,0)))),IF(N(INDEX(art_cost,MATCH(H884,art_ref,0)))=0,"",N(INDEX(art_cost,MATCH(H884,art_ref,0))))),""))</f>
        <v/>
      </c>
      <c r="V884" s="64" t="str">
        <f>IF(OR(U884="",NOT(ISNUMBER(L884))),"",IF(L884&lt;=0,"",ROUND(L884*U884,2)))</f>
        <v/>
      </c>
      <c r="W884" s="60" t="str">
        <f>IF(AND(B884&lt;&gt;"",A884&lt;&gt;"BS",F884&lt;&gt;"",H884&lt;&gt;"",ISNUMBER(K884),ISNUMBER(L884)),IF(AND(K884&gt;0,L884&gt;0,K884-L884&gt;0,COUNTIFS(A885:A$2005,A884,F885:F$2005,F884,H885:H$2005,H884,AA885:AA$2005,"&gt;0")=0),ROUND(K884-L884,6),""),"")</f>
        <v/>
      </c>
      <c r="X884" s="60" t="str">
        <f>IF(AND(A884="",C884="",D884="",H884="",L884=""),"",IF(A884="","Type manquant",IF(AND(A884&lt;&gt;"BL",A884&lt;&gt;"BR",A884&lt;&gt;"BS"),"Type inconnu (BL, BR ou BS)",IF(AG884=0,"Date manquante ou invalide",IF(D884="",IF(A884="BL","Client manquant",IF(A884="BR","Fournisseur manquant","Service manquant")),IF(IF(A884="BL",ISNA(MATCH(D884,cl_code,0)),IF(A884="BR",ISNA(MATCH(D884,fo_code,0)),ISNA(MATCH(D884,p_services,0)))),IF(A884="BL","Client inconnu",IF(A884="BR","Fournisseur inconnu","Service inconnu")),IF(H884="","Article manquant",IF(ISNA(MATCH(H884,art_ref,0)),"Article inconnu",IF(OR(NOT(ISNUMBER(L884)),N(L884)&lt;=0),"Quantité invalide",IF(AND(K884&lt;&gt;"",OR(NOT(ISNUMBER(K884)),N(K884)&lt;=0)),"Qté commandée invalide",IF(AG884&lt;SUMPRODUCT(MAX((A$6:A883=A884)*AG$6:AG883)),"Date antérieure au bon précédent",IF(AND(A884&lt;&gt;"BR",ISNUMBER(M884),N(M884)&gt;0),IF(A884="BL","Livré plus que commandé","Sorti plus que demandé"),"OK"))))))))))))</f>
        <v/>
      </c>
      <c r="Y884" s="57" t="str">
        <f>IF(AND(OR(A884="BL",A884="BR",A884="BS"),AG884&gt;0,D884&lt;&gt;""),A884&amp;"|"&amp;AG884&amp;"|"&amp;D884&amp;"|"&amp;F884,"")</f>
        <v/>
      </c>
      <c r="Z884" s="57" t="str">
        <f>IF(Y884="","",IF(COUNTIF(Y$6:Y883,Y884)=0,1,0))</f>
        <v/>
      </c>
      <c r="AA884" s="57" t="str">
        <f>IF(Y884="","",IF(Z884=1,COUNTIFS(A$6:A884,A884,Z$6:Z884,1),INDEX(AA$6:AA883,MATCH(Y884,Y$6:Y883,0))))</f>
        <v/>
      </c>
      <c r="AB884" s="57" t="str">
        <f>IF(B884="","",COUNTIF(B$6:B884,B884))</f>
        <v/>
      </c>
      <c r="AC884" s="57" t="str">
        <f>IF(B884="","",B884&amp;"#"&amp;AB884)</f>
        <v/>
      </c>
      <c r="AD884" s="57" t="str">
        <f>IF(Z884=1,A884&amp;AA884,"")</f>
        <v/>
      </c>
      <c r="AE884" s="57" t="str">
        <f>IF(B884="","",YEAR(C884))</f>
        <v/>
      </c>
      <c r="AF884" s="57" t="str">
        <f>IF(B884="","",MONTH(C884))</f>
        <v/>
      </c>
      <c r="AG884" s="57">
        <f>IF(ISNUMBER(C884),C884,0)</f>
        <v>0.0</v>
      </c>
      <c r="AH884" s="57" t="str">
        <f>IF(N(W884)&gt;0,COUNTIF(W$6:W884,"&gt;0"),"")</f>
        <v/>
      </c>
      <c r="AI884" s="57" t="str">
        <f>IF(Z884=1,COUNTIF(Z$6:Z884,1),"")</f>
        <v/>
      </c>
    </row>
    <row r="885">
      <c r="A885" s="54" t="n"/>
      <c r="B885" s="55" t="str">
        <f>IF(AA885="","",A885&amp;"-"&amp;RIGHT("000"&amp;AA885,4))</f>
        <v/>
      </c>
      <c r="C885" s="56" t="n"/>
      <c r="D885" s="54" t="n"/>
      <c r="E885" s="57" t="str">
        <f>IF(D885="","",IF(A885="BL",IFERROR(INDEX(cl_name,MATCH(D885,cl_code,0))&amp;"","Client inconnu"),IF(A885="BR",IFERROR(INDEX(fo_name,MATCH(D885,fo_code,0))&amp;"","Fournisseur inconnu"),IF(A885="BS",IF(ISNA(MATCH(D885,p_services,0)),"Service inconnu",D885&amp;""),""))))</f>
        <v/>
      </c>
      <c r="F885" s="58" t="n"/>
      <c r="G885" s="58" t="n"/>
      <c r="H885" s="59" t="n"/>
      <c r="I885" s="57" t="str">
        <f>IF(H885="","",IFERROR(INDEX(art_des,MATCH(H885,art_ref,0))&amp;"","Article inconnu"))</f>
        <v/>
      </c>
      <c r="J885" s="60" t="str">
        <f>IF(H885="","",IFERROR(INDEX(art_unit,MATCH(H885,art_ref,0))&amp;"",""))</f>
        <v/>
      </c>
      <c r="K885" s="59" t="n"/>
      <c r="L885" s="59" t="n"/>
      <c r="M885" s="61" t="str">
        <f>IF(OR(B885="",NOT(ISNUMBER(K885)),NOT(ISNUMBER(L885))),"",IF(OR(K885&lt;=0,L885&lt;=0),"",ROUND(L885-K885,6)))</f>
        <v/>
      </c>
      <c r="N885" s="58" t="n"/>
      <c r="O885" s="62" t="n"/>
      <c r="P885" s="63" t="str">
        <f>IF(OR(B885="",NOT(ISNUMBER(L885))),"",IF(L885&lt;=0,"",IFERROR(ROUND(L885*N(INDEX(art_w,MATCH(H885,art_ref,0))),3),"")))</f>
        <v/>
      </c>
      <c r="Q885" s="59" t="n"/>
      <c r="R885" s="54" t="n"/>
      <c r="S885" s="59" t="n"/>
      <c r="T885" s="59" t="n"/>
      <c r="U885" s="64" t="str">
        <f>IF(OR(B885="",H885=""),"",IFERROR(IF(A885="BL",IF(N(INDEX(art_price,MATCH(H885,art_ref,0)))=0,"",N(INDEX(art_price,MATCH(H885,art_ref,0)))),IF(N(INDEX(art_cost,MATCH(H885,art_ref,0)))=0,"",N(INDEX(art_cost,MATCH(H885,art_ref,0))))),""))</f>
        <v/>
      </c>
      <c r="V885" s="64" t="str">
        <f>IF(OR(U885="",NOT(ISNUMBER(L885))),"",IF(L885&lt;=0,"",ROUND(L885*U885,2)))</f>
        <v/>
      </c>
      <c r="W885" s="60" t="str">
        <f>IF(AND(B885&lt;&gt;"",A885&lt;&gt;"BS",F885&lt;&gt;"",H885&lt;&gt;"",ISNUMBER(K885),ISNUMBER(L885)),IF(AND(K885&gt;0,L885&gt;0,K885-L885&gt;0,COUNTIFS(A886:A$2005,A885,F886:F$2005,F885,H886:H$2005,H885,AA886:AA$2005,"&gt;0")=0),ROUND(K885-L885,6),""),"")</f>
        <v/>
      </c>
      <c r="X885" s="60" t="str">
        <f>IF(AND(A885="",C885="",D885="",H885="",L885=""),"",IF(A885="","Type manquant",IF(AND(A885&lt;&gt;"BL",A885&lt;&gt;"BR",A885&lt;&gt;"BS"),"Type inconnu (BL, BR ou BS)",IF(AG885=0,"Date manquante ou invalide",IF(D885="",IF(A885="BL","Client manquant",IF(A885="BR","Fournisseur manquant","Service manquant")),IF(IF(A885="BL",ISNA(MATCH(D885,cl_code,0)),IF(A885="BR",ISNA(MATCH(D885,fo_code,0)),ISNA(MATCH(D885,p_services,0)))),IF(A885="BL","Client inconnu",IF(A885="BR","Fournisseur inconnu","Service inconnu")),IF(H885="","Article manquant",IF(ISNA(MATCH(H885,art_ref,0)),"Article inconnu",IF(OR(NOT(ISNUMBER(L885)),N(L885)&lt;=0),"Quantité invalide",IF(AND(K885&lt;&gt;"",OR(NOT(ISNUMBER(K885)),N(K885)&lt;=0)),"Qté commandée invalide",IF(AG885&lt;SUMPRODUCT(MAX((A$6:A884=A885)*AG$6:AG884)),"Date antérieure au bon précédent",IF(AND(A885&lt;&gt;"BR",ISNUMBER(M885),N(M885)&gt;0),IF(A885="BL","Livré plus que commandé","Sorti plus que demandé"),"OK"))))))))))))</f>
        <v/>
      </c>
      <c r="Y885" s="57" t="str">
        <f>IF(AND(OR(A885="BL",A885="BR",A885="BS"),AG885&gt;0,D885&lt;&gt;""),A885&amp;"|"&amp;AG885&amp;"|"&amp;D885&amp;"|"&amp;F885,"")</f>
        <v/>
      </c>
      <c r="Z885" s="57" t="str">
        <f>IF(Y885="","",IF(COUNTIF(Y$6:Y884,Y885)=0,1,0))</f>
        <v/>
      </c>
      <c r="AA885" s="57" t="str">
        <f>IF(Y885="","",IF(Z885=1,COUNTIFS(A$6:A885,A885,Z$6:Z885,1),INDEX(AA$6:AA884,MATCH(Y885,Y$6:Y884,0))))</f>
        <v/>
      </c>
      <c r="AB885" s="57" t="str">
        <f>IF(B885="","",COUNTIF(B$6:B885,B885))</f>
        <v/>
      </c>
      <c r="AC885" s="57" t="str">
        <f>IF(B885="","",B885&amp;"#"&amp;AB885)</f>
        <v/>
      </c>
      <c r="AD885" s="57" t="str">
        <f>IF(Z885=1,A885&amp;AA885,"")</f>
        <v/>
      </c>
      <c r="AE885" s="57" t="str">
        <f>IF(B885="","",YEAR(C885))</f>
        <v/>
      </c>
      <c r="AF885" s="57" t="str">
        <f>IF(B885="","",MONTH(C885))</f>
        <v/>
      </c>
      <c r="AG885" s="57">
        <f>IF(ISNUMBER(C885),C885,0)</f>
        <v>0.0</v>
      </c>
      <c r="AH885" s="57" t="str">
        <f>IF(N(W885)&gt;0,COUNTIF(W$6:W885,"&gt;0"),"")</f>
        <v/>
      </c>
      <c r="AI885" s="57" t="str">
        <f>IF(Z885=1,COUNTIF(Z$6:Z885,1),"")</f>
        <v/>
      </c>
    </row>
    <row r="886">
      <c r="A886" s="54" t="n"/>
      <c r="B886" s="55" t="str">
        <f>IF(AA886="","",A886&amp;"-"&amp;RIGHT("000"&amp;AA886,4))</f>
        <v/>
      </c>
      <c r="C886" s="56" t="n"/>
      <c r="D886" s="54" t="n"/>
      <c r="E886" s="57" t="str">
        <f>IF(D886="","",IF(A886="BL",IFERROR(INDEX(cl_name,MATCH(D886,cl_code,0))&amp;"","Client inconnu"),IF(A886="BR",IFERROR(INDEX(fo_name,MATCH(D886,fo_code,0))&amp;"","Fournisseur inconnu"),IF(A886="BS",IF(ISNA(MATCH(D886,p_services,0)),"Service inconnu",D886&amp;""),""))))</f>
        <v/>
      </c>
      <c r="F886" s="58" t="n"/>
      <c r="G886" s="58" t="n"/>
      <c r="H886" s="59" t="n"/>
      <c r="I886" s="57" t="str">
        <f>IF(H886="","",IFERROR(INDEX(art_des,MATCH(H886,art_ref,0))&amp;"","Article inconnu"))</f>
        <v/>
      </c>
      <c r="J886" s="60" t="str">
        <f>IF(H886="","",IFERROR(INDEX(art_unit,MATCH(H886,art_ref,0))&amp;"",""))</f>
        <v/>
      </c>
      <c r="K886" s="59" t="n"/>
      <c r="L886" s="59" t="n"/>
      <c r="M886" s="61" t="str">
        <f>IF(OR(B886="",NOT(ISNUMBER(K886)),NOT(ISNUMBER(L886))),"",IF(OR(K886&lt;=0,L886&lt;=0),"",ROUND(L886-K886,6)))</f>
        <v/>
      </c>
      <c r="N886" s="58" t="n"/>
      <c r="O886" s="62" t="n"/>
      <c r="P886" s="63" t="str">
        <f>IF(OR(B886="",NOT(ISNUMBER(L886))),"",IF(L886&lt;=0,"",IFERROR(ROUND(L886*N(INDEX(art_w,MATCH(H886,art_ref,0))),3),"")))</f>
        <v/>
      </c>
      <c r="Q886" s="59" t="n"/>
      <c r="R886" s="54" t="n"/>
      <c r="S886" s="59" t="n"/>
      <c r="T886" s="59" t="n"/>
      <c r="U886" s="64" t="str">
        <f>IF(OR(B886="",H886=""),"",IFERROR(IF(A886="BL",IF(N(INDEX(art_price,MATCH(H886,art_ref,0)))=0,"",N(INDEX(art_price,MATCH(H886,art_ref,0)))),IF(N(INDEX(art_cost,MATCH(H886,art_ref,0)))=0,"",N(INDEX(art_cost,MATCH(H886,art_ref,0))))),""))</f>
        <v/>
      </c>
      <c r="V886" s="64" t="str">
        <f>IF(OR(U886="",NOT(ISNUMBER(L886))),"",IF(L886&lt;=0,"",ROUND(L886*U886,2)))</f>
        <v/>
      </c>
      <c r="W886" s="60" t="str">
        <f>IF(AND(B886&lt;&gt;"",A886&lt;&gt;"BS",F886&lt;&gt;"",H886&lt;&gt;"",ISNUMBER(K886),ISNUMBER(L886)),IF(AND(K886&gt;0,L886&gt;0,K886-L886&gt;0,COUNTIFS(A887:A$2005,A886,F887:F$2005,F886,H887:H$2005,H886,AA887:AA$2005,"&gt;0")=0),ROUND(K886-L886,6),""),"")</f>
        <v/>
      </c>
      <c r="X886" s="60" t="str">
        <f>IF(AND(A886="",C886="",D886="",H886="",L886=""),"",IF(A886="","Type manquant",IF(AND(A886&lt;&gt;"BL",A886&lt;&gt;"BR",A886&lt;&gt;"BS"),"Type inconnu (BL, BR ou BS)",IF(AG886=0,"Date manquante ou invalide",IF(D886="",IF(A886="BL","Client manquant",IF(A886="BR","Fournisseur manquant","Service manquant")),IF(IF(A886="BL",ISNA(MATCH(D886,cl_code,0)),IF(A886="BR",ISNA(MATCH(D886,fo_code,0)),ISNA(MATCH(D886,p_services,0)))),IF(A886="BL","Client inconnu",IF(A886="BR","Fournisseur inconnu","Service inconnu")),IF(H886="","Article manquant",IF(ISNA(MATCH(H886,art_ref,0)),"Article inconnu",IF(OR(NOT(ISNUMBER(L886)),N(L886)&lt;=0),"Quantité invalide",IF(AND(K886&lt;&gt;"",OR(NOT(ISNUMBER(K886)),N(K886)&lt;=0)),"Qté commandée invalide",IF(AG886&lt;SUMPRODUCT(MAX((A$6:A885=A886)*AG$6:AG885)),"Date antérieure au bon précédent",IF(AND(A886&lt;&gt;"BR",ISNUMBER(M886),N(M886)&gt;0),IF(A886="BL","Livré plus que commandé","Sorti plus que demandé"),"OK"))))))))))))</f>
        <v/>
      </c>
      <c r="Y886" s="57" t="str">
        <f>IF(AND(OR(A886="BL",A886="BR",A886="BS"),AG886&gt;0,D886&lt;&gt;""),A886&amp;"|"&amp;AG886&amp;"|"&amp;D886&amp;"|"&amp;F886,"")</f>
        <v/>
      </c>
      <c r="Z886" s="57" t="str">
        <f>IF(Y886="","",IF(COUNTIF(Y$6:Y885,Y886)=0,1,0))</f>
        <v/>
      </c>
      <c r="AA886" s="57" t="str">
        <f>IF(Y886="","",IF(Z886=1,COUNTIFS(A$6:A886,A886,Z$6:Z886,1),INDEX(AA$6:AA885,MATCH(Y886,Y$6:Y885,0))))</f>
        <v/>
      </c>
      <c r="AB886" s="57" t="str">
        <f>IF(B886="","",COUNTIF(B$6:B886,B886))</f>
        <v/>
      </c>
      <c r="AC886" s="57" t="str">
        <f>IF(B886="","",B886&amp;"#"&amp;AB886)</f>
        <v/>
      </c>
      <c r="AD886" s="57" t="str">
        <f>IF(Z886=1,A886&amp;AA886,"")</f>
        <v/>
      </c>
      <c r="AE886" s="57" t="str">
        <f>IF(B886="","",YEAR(C886))</f>
        <v/>
      </c>
      <c r="AF886" s="57" t="str">
        <f>IF(B886="","",MONTH(C886))</f>
        <v/>
      </c>
      <c r="AG886" s="57">
        <f>IF(ISNUMBER(C886),C886,0)</f>
        <v>0.0</v>
      </c>
      <c r="AH886" s="57" t="str">
        <f>IF(N(W886)&gt;0,COUNTIF(W$6:W886,"&gt;0"),"")</f>
        <v/>
      </c>
      <c r="AI886" s="57" t="str">
        <f>IF(Z886=1,COUNTIF(Z$6:Z886,1),"")</f>
        <v/>
      </c>
    </row>
    <row r="887">
      <c r="A887" s="54" t="n"/>
      <c r="B887" s="55" t="str">
        <f>IF(AA887="","",A887&amp;"-"&amp;RIGHT("000"&amp;AA887,4))</f>
        <v/>
      </c>
      <c r="C887" s="56" t="n"/>
      <c r="D887" s="54" t="n"/>
      <c r="E887" s="57" t="str">
        <f>IF(D887="","",IF(A887="BL",IFERROR(INDEX(cl_name,MATCH(D887,cl_code,0))&amp;"","Client inconnu"),IF(A887="BR",IFERROR(INDEX(fo_name,MATCH(D887,fo_code,0))&amp;"","Fournisseur inconnu"),IF(A887="BS",IF(ISNA(MATCH(D887,p_services,0)),"Service inconnu",D887&amp;""),""))))</f>
        <v/>
      </c>
      <c r="F887" s="58" t="n"/>
      <c r="G887" s="58" t="n"/>
      <c r="H887" s="59" t="n"/>
      <c r="I887" s="57" t="str">
        <f>IF(H887="","",IFERROR(INDEX(art_des,MATCH(H887,art_ref,0))&amp;"","Article inconnu"))</f>
        <v/>
      </c>
      <c r="J887" s="60" t="str">
        <f>IF(H887="","",IFERROR(INDEX(art_unit,MATCH(H887,art_ref,0))&amp;"",""))</f>
        <v/>
      </c>
      <c r="K887" s="59" t="n"/>
      <c r="L887" s="59" t="n"/>
      <c r="M887" s="61" t="str">
        <f>IF(OR(B887="",NOT(ISNUMBER(K887)),NOT(ISNUMBER(L887))),"",IF(OR(K887&lt;=0,L887&lt;=0),"",ROUND(L887-K887,6)))</f>
        <v/>
      </c>
      <c r="N887" s="58" t="n"/>
      <c r="O887" s="62" t="n"/>
      <c r="P887" s="63" t="str">
        <f>IF(OR(B887="",NOT(ISNUMBER(L887))),"",IF(L887&lt;=0,"",IFERROR(ROUND(L887*N(INDEX(art_w,MATCH(H887,art_ref,0))),3),"")))</f>
        <v/>
      </c>
      <c r="Q887" s="59" t="n"/>
      <c r="R887" s="54" t="n"/>
      <c r="S887" s="59" t="n"/>
      <c r="T887" s="59" t="n"/>
      <c r="U887" s="64" t="str">
        <f>IF(OR(B887="",H887=""),"",IFERROR(IF(A887="BL",IF(N(INDEX(art_price,MATCH(H887,art_ref,0)))=0,"",N(INDEX(art_price,MATCH(H887,art_ref,0)))),IF(N(INDEX(art_cost,MATCH(H887,art_ref,0)))=0,"",N(INDEX(art_cost,MATCH(H887,art_ref,0))))),""))</f>
        <v/>
      </c>
      <c r="V887" s="64" t="str">
        <f>IF(OR(U887="",NOT(ISNUMBER(L887))),"",IF(L887&lt;=0,"",ROUND(L887*U887,2)))</f>
        <v/>
      </c>
      <c r="W887" s="60" t="str">
        <f>IF(AND(B887&lt;&gt;"",A887&lt;&gt;"BS",F887&lt;&gt;"",H887&lt;&gt;"",ISNUMBER(K887),ISNUMBER(L887)),IF(AND(K887&gt;0,L887&gt;0,K887-L887&gt;0,COUNTIFS(A888:A$2005,A887,F888:F$2005,F887,H888:H$2005,H887,AA888:AA$2005,"&gt;0")=0),ROUND(K887-L887,6),""),"")</f>
        <v/>
      </c>
      <c r="X887" s="60" t="str">
        <f>IF(AND(A887="",C887="",D887="",H887="",L887=""),"",IF(A887="","Type manquant",IF(AND(A887&lt;&gt;"BL",A887&lt;&gt;"BR",A887&lt;&gt;"BS"),"Type inconnu (BL, BR ou BS)",IF(AG887=0,"Date manquante ou invalide",IF(D887="",IF(A887="BL","Client manquant",IF(A887="BR","Fournisseur manquant","Service manquant")),IF(IF(A887="BL",ISNA(MATCH(D887,cl_code,0)),IF(A887="BR",ISNA(MATCH(D887,fo_code,0)),ISNA(MATCH(D887,p_services,0)))),IF(A887="BL","Client inconnu",IF(A887="BR","Fournisseur inconnu","Service inconnu")),IF(H887="","Article manquant",IF(ISNA(MATCH(H887,art_ref,0)),"Article inconnu",IF(OR(NOT(ISNUMBER(L887)),N(L887)&lt;=0),"Quantité invalide",IF(AND(K887&lt;&gt;"",OR(NOT(ISNUMBER(K887)),N(K887)&lt;=0)),"Qté commandée invalide",IF(AG887&lt;SUMPRODUCT(MAX((A$6:A886=A887)*AG$6:AG886)),"Date antérieure au bon précédent",IF(AND(A887&lt;&gt;"BR",ISNUMBER(M887),N(M887)&gt;0),IF(A887="BL","Livré plus que commandé","Sorti plus que demandé"),"OK"))))))))))))</f>
        <v/>
      </c>
      <c r="Y887" s="57" t="str">
        <f>IF(AND(OR(A887="BL",A887="BR",A887="BS"),AG887&gt;0,D887&lt;&gt;""),A887&amp;"|"&amp;AG887&amp;"|"&amp;D887&amp;"|"&amp;F887,"")</f>
        <v/>
      </c>
      <c r="Z887" s="57" t="str">
        <f>IF(Y887="","",IF(COUNTIF(Y$6:Y886,Y887)=0,1,0))</f>
        <v/>
      </c>
      <c r="AA887" s="57" t="str">
        <f>IF(Y887="","",IF(Z887=1,COUNTIFS(A$6:A887,A887,Z$6:Z887,1),INDEX(AA$6:AA886,MATCH(Y887,Y$6:Y886,0))))</f>
        <v/>
      </c>
      <c r="AB887" s="57" t="str">
        <f>IF(B887="","",COUNTIF(B$6:B887,B887))</f>
        <v/>
      </c>
      <c r="AC887" s="57" t="str">
        <f>IF(B887="","",B887&amp;"#"&amp;AB887)</f>
        <v/>
      </c>
      <c r="AD887" s="57" t="str">
        <f>IF(Z887=1,A887&amp;AA887,"")</f>
        <v/>
      </c>
      <c r="AE887" s="57" t="str">
        <f>IF(B887="","",YEAR(C887))</f>
        <v/>
      </c>
      <c r="AF887" s="57" t="str">
        <f>IF(B887="","",MONTH(C887))</f>
        <v/>
      </c>
      <c r="AG887" s="57">
        <f>IF(ISNUMBER(C887),C887,0)</f>
        <v>0.0</v>
      </c>
      <c r="AH887" s="57" t="str">
        <f>IF(N(W887)&gt;0,COUNTIF(W$6:W887,"&gt;0"),"")</f>
        <v/>
      </c>
      <c r="AI887" s="57" t="str">
        <f>IF(Z887=1,COUNTIF(Z$6:Z887,1),"")</f>
        <v/>
      </c>
    </row>
    <row r="888">
      <c r="A888" s="54" t="n"/>
      <c r="B888" s="55" t="str">
        <f>IF(AA888="","",A888&amp;"-"&amp;RIGHT("000"&amp;AA888,4))</f>
        <v/>
      </c>
      <c r="C888" s="56" t="n"/>
      <c r="D888" s="54" t="n"/>
      <c r="E888" s="57" t="str">
        <f>IF(D888="","",IF(A888="BL",IFERROR(INDEX(cl_name,MATCH(D888,cl_code,0))&amp;"","Client inconnu"),IF(A888="BR",IFERROR(INDEX(fo_name,MATCH(D888,fo_code,0))&amp;"","Fournisseur inconnu"),IF(A888="BS",IF(ISNA(MATCH(D888,p_services,0)),"Service inconnu",D888&amp;""),""))))</f>
        <v/>
      </c>
      <c r="F888" s="58" t="n"/>
      <c r="G888" s="58" t="n"/>
      <c r="H888" s="59" t="n"/>
      <c r="I888" s="57" t="str">
        <f>IF(H888="","",IFERROR(INDEX(art_des,MATCH(H888,art_ref,0))&amp;"","Article inconnu"))</f>
        <v/>
      </c>
      <c r="J888" s="60" t="str">
        <f>IF(H888="","",IFERROR(INDEX(art_unit,MATCH(H888,art_ref,0))&amp;"",""))</f>
        <v/>
      </c>
      <c r="K888" s="59" t="n"/>
      <c r="L888" s="59" t="n"/>
      <c r="M888" s="61" t="str">
        <f>IF(OR(B888="",NOT(ISNUMBER(K888)),NOT(ISNUMBER(L888))),"",IF(OR(K888&lt;=0,L888&lt;=0),"",ROUND(L888-K888,6)))</f>
        <v/>
      </c>
      <c r="N888" s="58" t="n"/>
      <c r="O888" s="62" t="n"/>
      <c r="P888" s="63" t="str">
        <f>IF(OR(B888="",NOT(ISNUMBER(L888))),"",IF(L888&lt;=0,"",IFERROR(ROUND(L888*N(INDEX(art_w,MATCH(H888,art_ref,0))),3),"")))</f>
        <v/>
      </c>
      <c r="Q888" s="59" t="n"/>
      <c r="R888" s="54" t="n"/>
      <c r="S888" s="59" t="n"/>
      <c r="T888" s="59" t="n"/>
      <c r="U888" s="64" t="str">
        <f>IF(OR(B888="",H888=""),"",IFERROR(IF(A888="BL",IF(N(INDEX(art_price,MATCH(H888,art_ref,0)))=0,"",N(INDEX(art_price,MATCH(H888,art_ref,0)))),IF(N(INDEX(art_cost,MATCH(H888,art_ref,0)))=0,"",N(INDEX(art_cost,MATCH(H888,art_ref,0))))),""))</f>
        <v/>
      </c>
      <c r="V888" s="64" t="str">
        <f>IF(OR(U888="",NOT(ISNUMBER(L888))),"",IF(L888&lt;=0,"",ROUND(L888*U888,2)))</f>
        <v/>
      </c>
      <c r="W888" s="60" t="str">
        <f>IF(AND(B888&lt;&gt;"",A888&lt;&gt;"BS",F888&lt;&gt;"",H888&lt;&gt;"",ISNUMBER(K888),ISNUMBER(L888)),IF(AND(K888&gt;0,L888&gt;0,K888-L888&gt;0,COUNTIFS(A889:A$2005,A888,F889:F$2005,F888,H889:H$2005,H888,AA889:AA$2005,"&gt;0")=0),ROUND(K888-L888,6),""),"")</f>
        <v/>
      </c>
      <c r="X888" s="60" t="str">
        <f>IF(AND(A888="",C888="",D888="",H888="",L888=""),"",IF(A888="","Type manquant",IF(AND(A888&lt;&gt;"BL",A888&lt;&gt;"BR",A888&lt;&gt;"BS"),"Type inconnu (BL, BR ou BS)",IF(AG888=0,"Date manquante ou invalide",IF(D888="",IF(A888="BL","Client manquant",IF(A888="BR","Fournisseur manquant","Service manquant")),IF(IF(A888="BL",ISNA(MATCH(D888,cl_code,0)),IF(A888="BR",ISNA(MATCH(D888,fo_code,0)),ISNA(MATCH(D888,p_services,0)))),IF(A888="BL","Client inconnu",IF(A888="BR","Fournisseur inconnu","Service inconnu")),IF(H888="","Article manquant",IF(ISNA(MATCH(H888,art_ref,0)),"Article inconnu",IF(OR(NOT(ISNUMBER(L888)),N(L888)&lt;=0),"Quantité invalide",IF(AND(K888&lt;&gt;"",OR(NOT(ISNUMBER(K888)),N(K888)&lt;=0)),"Qté commandée invalide",IF(AG888&lt;SUMPRODUCT(MAX((A$6:A887=A888)*AG$6:AG887)),"Date antérieure au bon précédent",IF(AND(A888&lt;&gt;"BR",ISNUMBER(M888),N(M888)&gt;0),IF(A888="BL","Livré plus que commandé","Sorti plus que demandé"),"OK"))))))))))))</f>
        <v/>
      </c>
      <c r="Y888" s="57" t="str">
        <f>IF(AND(OR(A888="BL",A888="BR",A888="BS"),AG888&gt;0,D888&lt;&gt;""),A888&amp;"|"&amp;AG888&amp;"|"&amp;D888&amp;"|"&amp;F888,"")</f>
        <v/>
      </c>
      <c r="Z888" s="57" t="str">
        <f>IF(Y888="","",IF(COUNTIF(Y$6:Y887,Y888)=0,1,0))</f>
        <v/>
      </c>
      <c r="AA888" s="57" t="str">
        <f>IF(Y888="","",IF(Z888=1,COUNTIFS(A$6:A888,A888,Z$6:Z888,1),INDEX(AA$6:AA887,MATCH(Y888,Y$6:Y887,0))))</f>
        <v/>
      </c>
      <c r="AB888" s="57" t="str">
        <f>IF(B888="","",COUNTIF(B$6:B888,B888))</f>
        <v/>
      </c>
      <c r="AC888" s="57" t="str">
        <f>IF(B888="","",B888&amp;"#"&amp;AB888)</f>
        <v/>
      </c>
      <c r="AD888" s="57" t="str">
        <f>IF(Z888=1,A888&amp;AA888,"")</f>
        <v/>
      </c>
      <c r="AE888" s="57" t="str">
        <f>IF(B888="","",YEAR(C888))</f>
        <v/>
      </c>
      <c r="AF888" s="57" t="str">
        <f>IF(B888="","",MONTH(C888))</f>
        <v/>
      </c>
      <c r="AG888" s="57">
        <f>IF(ISNUMBER(C888),C888,0)</f>
        <v>0.0</v>
      </c>
      <c r="AH888" s="57" t="str">
        <f>IF(N(W888)&gt;0,COUNTIF(W$6:W888,"&gt;0"),"")</f>
        <v/>
      </c>
      <c r="AI888" s="57" t="str">
        <f>IF(Z888=1,COUNTIF(Z$6:Z888,1),"")</f>
        <v/>
      </c>
    </row>
    <row r="889">
      <c r="A889" s="54" t="n"/>
      <c r="B889" s="55" t="str">
        <f>IF(AA889="","",A889&amp;"-"&amp;RIGHT("000"&amp;AA889,4))</f>
        <v/>
      </c>
      <c r="C889" s="56" t="n"/>
      <c r="D889" s="54" t="n"/>
      <c r="E889" s="57" t="str">
        <f>IF(D889="","",IF(A889="BL",IFERROR(INDEX(cl_name,MATCH(D889,cl_code,0))&amp;"","Client inconnu"),IF(A889="BR",IFERROR(INDEX(fo_name,MATCH(D889,fo_code,0))&amp;"","Fournisseur inconnu"),IF(A889="BS",IF(ISNA(MATCH(D889,p_services,0)),"Service inconnu",D889&amp;""),""))))</f>
        <v/>
      </c>
      <c r="F889" s="58" t="n"/>
      <c r="G889" s="58" t="n"/>
      <c r="H889" s="59" t="n"/>
      <c r="I889" s="57" t="str">
        <f>IF(H889="","",IFERROR(INDEX(art_des,MATCH(H889,art_ref,0))&amp;"","Article inconnu"))</f>
        <v/>
      </c>
      <c r="J889" s="60" t="str">
        <f>IF(H889="","",IFERROR(INDEX(art_unit,MATCH(H889,art_ref,0))&amp;"",""))</f>
        <v/>
      </c>
      <c r="K889" s="59" t="n"/>
      <c r="L889" s="59" t="n"/>
      <c r="M889" s="61" t="str">
        <f>IF(OR(B889="",NOT(ISNUMBER(K889)),NOT(ISNUMBER(L889))),"",IF(OR(K889&lt;=0,L889&lt;=0),"",ROUND(L889-K889,6)))</f>
        <v/>
      </c>
      <c r="N889" s="58" t="n"/>
      <c r="O889" s="62" t="n"/>
      <c r="P889" s="63" t="str">
        <f>IF(OR(B889="",NOT(ISNUMBER(L889))),"",IF(L889&lt;=0,"",IFERROR(ROUND(L889*N(INDEX(art_w,MATCH(H889,art_ref,0))),3),"")))</f>
        <v/>
      </c>
      <c r="Q889" s="59" t="n"/>
      <c r="R889" s="54" t="n"/>
      <c r="S889" s="59" t="n"/>
      <c r="T889" s="59" t="n"/>
      <c r="U889" s="64" t="str">
        <f>IF(OR(B889="",H889=""),"",IFERROR(IF(A889="BL",IF(N(INDEX(art_price,MATCH(H889,art_ref,0)))=0,"",N(INDEX(art_price,MATCH(H889,art_ref,0)))),IF(N(INDEX(art_cost,MATCH(H889,art_ref,0)))=0,"",N(INDEX(art_cost,MATCH(H889,art_ref,0))))),""))</f>
        <v/>
      </c>
      <c r="V889" s="64" t="str">
        <f>IF(OR(U889="",NOT(ISNUMBER(L889))),"",IF(L889&lt;=0,"",ROUND(L889*U889,2)))</f>
        <v/>
      </c>
      <c r="W889" s="60" t="str">
        <f>IF(AND(B889&lt;&gt;"",A889&lt;&gt;"BS",F889&lt;&gt;"",H889&lt;&gt;"",ISNUMBER(K889),ISNUMBER(L889)),IF(AND(K889&gt;0,L889&gt;0,K889-L889&gt;0,COUNTIFS(A890:A$2005,A889,F890:F$2005,F889,H890:H$2005,H889,AA890:AA$2005,"&gt;0")=0),ROUND(K889-L889,6),""),"")</f>
        <v/>
      </c>
      <c r="X889" s="60" t="str">
        <f>IF(AND(A889="",C889="",D889="",H889="",L889=""),"",IF(A889="","Type manquant",IF(AND(A889&lt;&gt;"BL",A889&lt;&gt;"BR",A889&lt;&gt;"BS"),"Type inconnu (BL, BR ou BS)",IF(AG889=0,"Date manquante ou invalide",IF(D889="",IF(A889="BL","Client manquant",IF(A889="BR","Fournisseur manquant","Service manquant")),IF(IF(A889="BL",ISNA(MATCH(D889,cl_code,0)),IF(A889="BR",ISNA(MATCH(D889,fo_code,0)),ISNA(MATCH(D889,p_services,0)))),IF(A889="BL","Client inconnu",IF(A889="BR","Fournisseur inconnu","Service inconnu")),IF(H889="","Article manquant",IF(ISNA(MATCH(H889,art_ref,0)),"Article inconnu",IF(OR(NOT(ISNUMBER(L889)),N(L889)&lt;=0),"Quantité invalide",IF(AND(K889&lt;&gt;"",OR(NOT(ISNUMBER(K889)),N(K889)&lt;=0)),"Qté commandée invalide",IF(AG889&lt;SUMPRODUCT(MAX((A$6:A888=A889)*AG$6:AG888)),"Date antérieure au bon précédent",IF(AND(A889&lt;&gt;"BR",ISNUMBER(M889),N(M889)&gt;0),IF(A889="BL","Livré plus que commandé","Sorti plus que demandé"),"OK"))))))))))))</f>
        <v/>
      </c>
      <c r="Y889" s="57" t="str">
        <f>IF(AND(OR(A889="BL",A889="BR",A889="BS"),AG889&gt;0,D889&lt;&gt;""),A889&amp;"|"&amp;AG889&amp;"|"&amp;D889&amp;"|"&amp;F889,"")</f>
        <v/>
      </c>
      <c r="Z889" s="57" t="str">
        <f>IF(Y889="","",IF(COUNTIF(Y$6:Y888,Y889)=0,1,0))</f>
        <v/>
      </c>
      <c r="AA889" s="57" t="str">
        <f>IF(Y889="","",IF(Z889=1,COUNTIFS(A$6:A889,A889,Z$6:Z889,1),INDEX(AA$6:AA888,MATCH(Y889,Y$6:Y888,0))))</f>
        <v/>
      </c>
      <c r="AB889" s="57" t="str">
        <f>IF(B889="","",COUNTIF(B$6:B889,B889))</f>
        <v/>
      </c>
      <c r="AC889" s="57" t="str">
        <f>IF(B889="","",B889&amp;"#"&amp;AB889)</f>
        <v/>
      </c>
      <c r="AD889" s="57" t="str">
        <f>IF(Z889=1,A889&amp;AA889,"")</f>
        <v/>
      </c>
      <c r="AE889" s="57" t="str">
        <f>IF(B889="","",YEAR(C889))</f>
        <v/>
      </c>
      <c r="AF889" s="57" t="str">
        <f>IF(B889="","",MONTH(C889))</f>
        <v/>
      </c>
      <c r="AG889" s="57">
        <f>IF(ISNUMBER(C889),C889,0)</f>
        <v>0.0</v>
      </c>
      <c r="AH889" s="57" t="str">
        <f>IF(N(W889)&gt;0,COUNTIF(W$6:W889,"&gt;0"),"")</f>
        <v/>
      </c>
      <c r="AI889" s="57" t="str">
        <f>IF(Z889=1,COUNTIF(Z$6:Z889,1),"")</f>
        <v/>
      </c>
    </row>
    <row r="890">
      <c r="A890" s="54" t="n"/>
      <c r="B890" s="55" t="str">
        <f>IF(AA890="","",A890&amp;"-"&amp;RIGHT("000"&amp;AA890,4))</f>
        <v/>
      </c>
      <c r="C890" s="56" t="n"/>
      <c r="D890" s="54" t="n"/>
      <c r="E890" s="57" t="str">
        <f>IF(D890="","",IF(A890="BL",IFERROR(INDEX(cl_name,MATCH(D890,cl_code,0))&amp;"","Client inconnu"),IF(A890="BR",IFERROR(INDEX(fo_name,MATCH(D890,fo_code,0))&amp;"","Fournisseur inconnu"),IF(A890="BS",IF(ISNA(MATCH(D890,p_services,0)),"Service inconnu",D890&amp;""),""))))</f>
        <v/>
      </c>
      <c r="F890" s="58" t="n"/>
      <c r="G890" s="58" t="n"/>
      <c r="H890" s="59" t="n"/>
      <c r="I890" s="57" t="str">
        <f>IF(H890="","",IFERROR(INDEX(art_des,MATCH(H890,art_ref,0))&amp;"","Article inconnu"))</f>
        <v/>
      </c>
      <c r="J890" s="60" t="str">
        <f>IF(H890="","",IFERROR(INDEX(art_unit,MATCH(H890,art_ref,0))&amp;"",""))</f>
        <v/>
      </c>
      <c r="K890" s="59" t="n"/>
      <c r="L890" s="59" t="n"/>
      <c r="M890" s="61" t="str">
        <f>IF(OR(B890="",NOT(ISNUMBER(K890)),NOT(ISNUMBER(L890))),"",IF(OR(K890&lt;=0,L890&lt;=0),"",ROUND(L890-K890,6)))</f>
        <v/>
      </c>
      <c r="N890" s="58" t="n"/>
      <c r="O890" s="62" t="n"/>
      <c r="P890" s="63" t="str">
        <f>IF(OR(B890="",NOT(ISNUMBER(L890))),"",IF(L890&lt;=0,"",IFERROR(ROUND(L890*N(INDEX(art_w,MATCH(H890,art_ref,0))),3),"")))</f>
        <v/>
      </c>
      <c r="Q890" s="59" t="n"/>
      <c r="R890" s="54" t="n"/>
      <c r="S890" s="59" t="n"/>
      <c r="T890" s="59" t="n"/>
      <c r="U890" s="64" t="str">
        <f>IF(OR(B890="",H890=""),"",IFERROR(IF(A890="BL",IF(N(INDEX(art_price,MATCH(H890,art_ref,0)))=0,"",N(INDEX(art_price,MATCH(H890,art_ref,0)))),IF(N(INDEX(art_cost,MATCH(H890,art_ref,0)))=0,"",N(INDEX(art_cost,MATCH(H890,art_ref,0))))),""))</f>
        <v/>
      </c>
      <c r="V890" s="64" t="str">
        <f>IF(OR(U890="",NOT(ISNUMBER(L890))),"",IF(L890&lt;=0,"",ROUND(L890*U890,2)))</f>
        <v/>
      </c>
      <c r="W890" s="60" t="str">
        <f>IF(AND(B890&lt;&gt;"",A890&lt;&gt;"BS",F890&lt;&gt;"",H890&lt;&gt;"",ISNUMBER(K890),ISNUMBER(L890)),IF(AND(K890&gt;0,L890&gt;0,K890-L890&gt;0,COUNTIFS(A891:A$2005,A890,F891:F$2005,F890,H891:H$2005,H890,AA891:AA$2005,"&gt;0")=0),ROUND(K890-L890,6),""),"")</f>
        <v/>
      </c>
      <c r="X890" s="60" t="str">
        <f>IF(AND(A890="",C890="",D890="",H890="",L890=""),"",IF(A890="","Type manquant",IF(AND(A890&lt;&gt;"BL",A890&lt;&gt;"BR",A890&lt;&gt;"BS"),"Type inconnu (BL, BR ou BS)",IF(AG890=0,"Date manquante ou invalide",IF(D890="",IF(A890="BL","Client manquant",IF(A890="BR","Fournisseur manquant","Service manquant")),IF(IF(A890="BL",ISNA(MATCH(D890,cl_code,0)),IF(A890="BR",ISNA(MATCH(D890,fo_code,0)),ISNA(MATCH(D890,p_services,0)))),IF(A890="BL","Client inconnu",IF(A890="BR","Fournisseur inconnu","Service inconnu")),IF(H890="","Article manquant",IF(ISNA(MATCH(H890,art_ref,0)),"Article inconnu",IF(OR(NOT(ISNUMBER(L890)),N(L890)&lt;=0),"Quantité invalide",IF(AND(K890&lt;&gt;"",OR(NOT(ISNUMBER(K890)),N(K890)&lt;=0)),"Qté commandée invalide",IF(AG890&lt;SUMPRODUCT(MAX((A$6:A889=A890)*AG$6:AG889)),"Date antérieure au bon précédent",IF(AND(A890&lt;&gt;"BR",ISNUMBER(M890),N(M890)&gt;0),IF(A890="BL","Livré plus que commandé","Sorti plus que demandé"),"OK"))))))))))))</f>
        <v/>
      </c>
      <c r="Y890" s="57" t="str">
        <f>IF(AND(OR(A890="BL",A890="BR",A890="BS"),AG890&gt;0,D890&lt;&gt;""),A890&amp;"|"&amp;AG890&amp;"|"&amp;D890&amp;"|"&amp;F890,"")</f>
        <v/>
      </c>
      <c r="Z890" s="57" t="str">
        <f>IF(Y890="","",IF(COUNTIF(Y$6:Y889,Y890)=0,1,0))</f>
        <v/>
      </c>
      <c r="AA890" s="57" t="str">
        <f>IF(Y890="","",IF(Z890=1,COUNTIFS(A$6:A890,A890,Z$6:Z890,1),INDEX(AA$6:AA889,MATCH(Y890,Y$6:Y889,0))))</f>
        <v/>
      </c>
      <c r="AB890" s="57" t="str">
        <f>IF(B890="","",COUNTIF(B$6:B890,B890))</f>
        <v/>
      </c>
      <c r="AC890" s="57" t="str">
        <f>IF(B890="","",B890&amp;"#"&amp;AB890)</f>
        <v/>
      </c>
      <c r="AD890" s="57" t="str">
        <f>IF(Z890=1,A890&amp;AA890,"")</f>
        <v/>
      </c>
      <c r="AE890" s="57" t="str">
        <f>IF(B890="","",YEAR(C890))</f>
        <v/>
      </c>
      <c r="AF890" s="57" t="str">
        <f>IF(B890="","",MONTH(C890))</f>
        <v/>
      </c>
      <c r="AG890" s="57">
        <f>IF(ISNUMBER(C890),C890,0)</f>
        <v>0.0</v>
      </c>
      <c r="AH890" s="57" t="str">
        <f>IF(N(W890)&gt;0,COUNTIF(W$6:W890,"&gt;0"),"")</f>
        <v/>
      </c>
      <c r="AI890" s="57" t="str">
        <f>IF(Z890=1,COUNTIF(Z$6:Z890,1),"")</f>
        <v/>
      </c>
    </row>
    <row r="891">
      <c r="A891" s="54" t="n"/>
      <c r="B891" s="55" t="str">
        <f>IF(AA891="","",A891&amp;"-"&amp;RIGHT("000"&amp;AA891,4))</f>
        <v/>
      </c>
      <c r="C891" s="56" t="n"/>
      <c r="D891" s="54" t="n"/>
      <c r="E891" s="57" t="str">
        <f>IF(D891="","",IF(A891="BL",IFERROR(INDEX(cl_name,MATCH(D891,cl_code,0))&amp;"","Client inconnu"),IF(A891="BR",IFERROR(INDEX(fo_name,MATCH(D891,fo_code,0))&amp;"","Fournisseur inconnu"),IF(A891="BS",IF(ISNA(MATCH(D891,p_services,0)),"Service inconnu",D891&amp;""),""))))</f>
        <v/>
      </c>
      <c r="F891" s="58" t="n"/>
      <c r="G891" s="58" t="n"/>
      <c r="H891" s="59" t="n"/>
      <c r="I891" s="57" t="str">
        <f>IF(H891="","",IFERROR(INDEX(art_des,MATCH(H891,art_ref,0))&amp;"","Article inconnu"))</f>
        <v/>
      </c>
      <c r="J891" s="60" t="str">
        <f>IF(H891="","",IFERROR(INDEX(art_unit,MATCH(H891,art_ref,0))&amp;"",""))</f>
        <v/>
      </c>
      <c r="K891" s="59" t="n"/>
      <c r="L891" s="59" t="n"/>
      <c r="M891" s="61" t="str">
        <f>IF(OR(B891="",NOT(ISNUMBER(K891)),NOT(ISNUMBER(L891))),"",IF(OR(K891&lt;=0,L891&lt;=0),"",ROUND(L891-K891,6)))</f>
        <v/>
      </c>
      <c r="N891" s="58" t="n"/>
      <c r="O891" s="62" t="n"/>
      <c r="P891" s="63" t="str">
        <f>IF(OR(B891="",NOT(ISNUMBER(L891))),"",IF(L891&lt;=0,"",IFERROR(ROUND(L891*N(INDEX(art_w,MATCH(H891,art_ref,0))),3),"")))</f>
        <v/>
      </c>
      <c r="Q891" s="59" t="n"/>
      <c r="R891" s="54" t="n"/>
      <c r="S891" s="59" t="n"/>
      <c r="T891" s="59" t="n"/>
      <c r="U891" s="64" t="str">
        <f>IF(OR(B891="",H891=""),"",IFERROR(IF(A891="BL",IF(N(INDEX(art_price,MATCH(H891,art_ref,0)))=0,"",N(INDEX(art_price,MATCH(H891,art_ref,0)))),IF(N(INDEX(art_cost,MATCH(H891,art_ref,0)))=0,"",N(INDEX(art_cost,MATCH(H891,art_ref,0))))),""))</f>
        <v/>
      </c>
      <c r="V891" s="64" t="str">
        <f>IF(OR(U891="",NOT(ISNUMBER(L891))),"",IF(L891&lt;=0,"",ROUND(L891*U891,2)))</f>
        <v/>
      </c>
      <c r="W891" s="60" t="str">
        <f>IF(AND(B891&lt;&gt;"",A891&lt;&gt;"BS",F891&lt;&gt;"",H891&lt;&gt;"",ISNUMBER(K891),ISNUMBER(L891)),IF(AND(K891&gt;0,L891&gt;0,K891-L891&gt;0,COUNTIFS(A892:A$2005,A891,F892:F$2005,F891,H892:H$2005,H891,AA892:AA$2005,"&gt;0")=0),ROUND(K891-L891,6),""),"")</f>
        <v/>
      </c>
      <c r="X891" s="60" t="str">
        <f>IF(AND(A891="",C891="",D891="",H891="",L891=""),"",IF(A891="","Type manquant",IF(AND(A891&lt;&gt;"BL",A891&lt;&gt;"BR",A891&lt;&gt;"BS"),"Type inconnu (BL, BR ou BS)",IF(AG891=0,"Date manquante ou invalide",IF(D891="",IF(A891="BL","Client manquant",IF(A891="BR","Fournisseur manquant","Service manquant")),IF(IF(A891="BL",ISNA(MATCH(D891,cl_code,0)),IF(A891="BR",ISNA(MATCH(D891,fo_code,0)),ISNA(MATCH(D891,p_services,0)))),IF(A891="BL","Client inconnu",IF(A891="BR","Fournisseur inconnu","Service inconnu")),IF(H891="","Article manquant",IF(ISNA(MATCH(H891,art_ref,0)),"Article inconnu",IF(OR(NOT(ISNUMBER(L891)),N(L891)&lt;=0),"Quantité invalide",IF(AND(K891&lt;&gt;"",OR(NOT(ISNUMBER(K891)),N(K891)&lt;=0)),"Qté commandée invalide",IF(AG891&lt;SUMPRODUCT(MAX((A$6:A890=A891)*AG$6:AG890)),"Date antérieure au bon précédent",IF(AND(A891&lt;&gt;"BR",ISNUMBER(M891),N(M891)&gt;0),IF(A891="BL","Livré plus que commandé","Sorti plus que demandé"),"OK"))))))))))))</f>
        <v/>
      </c>
      <c r="Y891" s="57" t="str">
        <f>IF(AND(OR(A891="BL",A891="BR",A891="BS"),AG891&gt;0,D891&lt;&gt;""),A891&amp;"|"&amp;AG891&amp;"|"&amp;D891&amp;"|"&amp;F891,"")</f>
        <v/>
      </c>
      <c r="Z891" s="57" t="str">
        <f>IF(Y891="","",IF(COUNTIF(Y$6:Y890,Y891)=0,1,0))</f>
        <v/>
      </c>
      <c r="AA891" s="57" t="str">
        <f>IF(Y891="","",IF(Z891=1,COUNTIFS(A$6:A891,A891,Z$6:Z891,1),INDEX(AA$6:AA890,MATCH(Y891,Y$6:Y890,0))))</f>
        <v/>
      </c>
      <c r="AB891" s="57" t="str">
        <f>IF(B891="","",COUNTIF(B$6:B891,B891))</f>
        <v/>
      </c>
      <c r="AC891" s="57" t="str">
        <f>IF(B891="","",B891&amp;"#"&amp;AB891)</f>
        <v/>
      </c>
      <c r="AD891" s="57" t="str">
        <f>IF(Z891=1,A891&amp;AA891,"")</f>
        <v/>
      </c>
      <c r="AE891" s="57" t="str">
        <f>IF(B891="","",YEAR(C891))</f>
        <v/>
      </c>
      <c r="AF891" s="57" t="str">
        <f>IF(B891="","",MONTH(C891))</f>
        <v/>
      </c>
      <c r="AG891" s="57">
        <f>IF(ISNUMBER(C891),C891,0)</f>
        <v>0.0</v>
      </c>
      <c r="AH891" s="57" t="str">
        <f>IF(N(W891)&gt;0,COUNTIF(W$6:W891,"&gt;0"),"")</f>
        <v/>
      </c>
      <c r="AI891" s="57" t="str">
        <f>IF(Z891=1,COUNTIF(Z$6:Z891,1),"")</f>
        <v/>
      </c>
    </row>
    <row r="892">
      <c r="A892" s="54" t="n"/>
      <c r="B892" s="55" t="str">
        <f>IF(AA892="","",A892&amp;"-"&amp;RIGHT("000"&amp;AA892,4))</f>
        <v/>
      </c>
      <c r="C892" s="56" t="n"/>
      <c r="D892" s="54" t="n"/>
      <c r="E892" s="57" t="str">
        <f>IF(D892="","",IF(A892="BL",IFERROR(INDEX(cl_name,MATCH(D892,cl_code,0))&amp;"","Client inconnu"),IF(A892="BR",IFERROR(INDEX(fo_name,MATCH(D892,fo_code,0))&amp;"","Fournisseur inconnu"),IF(A892="BS",IF(ISNA(MATCH(D892,p_services,0)),"Service inconnu",D892&amp;""),""))))</f>
        <v/>
      </c>
      <c r="F892" s="58" t="n"/>
      <c r="G892" s="58" t="n"/>
      <c r="H892" s="59" t="n"/>
      <c r="I892" s="57" t="str">
        <f>IF(H892="","",IFERROR(INDEX(art_des,MATCH(H892,art_ref,0))&amp;"","Article inconnu"))</f>
        <v/>
      </c>
      <c r="J892" s="60" t="str">
        <f>IF(H892="","",IFERROR(INDEX(art_unit,MATCH(H892,art_ref,0))&amp;"",""))</f>
        <v/>
      </c>
      <c r="K892" s="59" t="n"/>
      <c r="L892" s="59" t="n"/>
      <c r="M892" s="61" t="str">
        <f>IF(OR(B892="",NOT(ISNUMBER(K892)),NOT(ISNUMBER(L892))),"",IF(OR(K892&lt;=0,L892&lt;=0),"",ROUND(L892-K892,6)))</f>
        <v/>
      </c>
      <c r="N892" s="58" t="n"/>
      <c r="O892" s="62" t="n"/>
      <c r="P892" s="63" t="str">
        <f>IF(OR(B892="",NOT(ISNUMBER(L892))),"",IF(L892&lt;=0,"",IFERROR(ROUND(L892*N(INDEX(art_w,MATCH(H892,art_ref,0))),3),"")))</f>
        <v/>
      </c>
      <c r="Q892" s="59" t="n"/>
      <c r="R892" s="54" t="n"/>
      <c r="S892" s="59" t="n"/>
      <c r="T892" s="59" t="n"/>
      <c r="U892" s="64" t="str">
        <f>IF(OR(B892="",H892=""),"",IFERROR(IF(A892="BL",IF(N(INDEX(art_price,MATCH(H892,art_ref,0)))=0,"",N(INDEX(art_price,MATCH(H892,art_ref,0)))),IF(N(INDEX(art_cost,MATCH(H892,art_ref,0)))=0,"",N(INDEX(art_cost,MATCH(H892,art_ref,0))))),""))</f>
        <v/>
      </c>
      <c r="V892" s="64" t="str">
        <f>IF(OR(U892="",NOT(ISNUMBER(L892))),"",IF(L892&lt;=0,"",ROUND(L892*U892,2)))</f>
        <v/>
      </c>
      <c r="W892" s="60" t="str">
        <f>IF(AND(B892&lt;&gt;"",A892&lt;&gt;"BS",F892&lt;&gt;"",H892&lt;&gt;"",ISNUMBER(K892),ISNUMBER(L892)),IF(AND(K892&gt;0,L892&gt;0,K892-L892&gt;0,COUNTIFS(A893:A$2005,A892,F893:F$2005,F892,H893:H$2005,H892,AA893:AA$2005,"&gt;0")=0),ROUND(K892-L892,6),""),"")</f>
        <v/>
      </c>
      <c r="X892" s="60" t="str">
        <f>IF(AND(A892="",C892="",D892="",H892="",L892=""),"",IF(A892="","Type manquant",IF(AND(A892&lt;&gt;"BL",A892&lt;&gt;"BR",A892&lt;&gt;"BS"),"Type inconnu (BL, BR ou BS)",IF(AG892=0,"Date manquante ou invalide",IF(D892="",IF(A892="BL","Client manquant",IF(A892="BR","Fournisseur manquant","Service manquant")),IF(IF(A892="BL",ISNA(MATCH(D892,cl_code,0)),IF(A892="BR",ISNA(MATCH(D892,fo_code,0)),ISNA(MATCH(D892,p_services,0)))),IF(A892="BL","Client inconnu",IF(A892="BR","Fournisseur inconnu","Service inconnu")),IF(H892="","Article manquant",IF(ISNA(MATCH(H892,art_ref,0)),"Article inconnu",IF(OR(NOT(ISNUMBER(L892)),N(L892)&lt;=0),"Quantité invalide",IF(AND(K892&lt;&gt;"",OR(NOT(ISNUMBER(K892)),N(K892)&lt;=0)),"Qté commandée invalide",IF(AG892&lt;SUMPRODUCT(MAX((A$6:A891=A892)*AG$6:AG891)),"Date antérieure au bon précédent",IF(AND(A892&lt;&gt;"BR",ISNUMBER(M892),N(M892)&gt;0),IF(A892="BL","Livré plus que commandé","Sorti plus que demandé"),"OK"))))))))))))</f>
        <v/>
      </c>
      <c r="Y892" s="57" t="str">
        <f>IF(AND(OR(A892="BL",A892="BR",A892="BS"),AG892&gt;0,D892&lt;&gt;""),A892&amp;"|"&amp;AG892&amp;"|"&amp;D892&amp;"|"&amp;F892,"")</f>
        <v/>
      </c>
      <c r="Z892" s="57" t="str">
        <f>IF(Y892="","",IF(COUNTIF(Y$6:Y891,Y892)=0,1,0))</f>
        <v/>
      </c>
      <c r="AA892" s="57" t="str">
        <f>IF(Y892="","",IF(Z892=1,COUNTIFS(A$6:A892,A892,Z$6:Z892,1),INDEX(AA$6:AA891,MATCH(Y892,Y$6:Y891,0))))</f>
        <v/>
      </c>
      <c r="AB892" s="57" t="str">
        <f>IF(B892="","",COUNTIF(B$6:B892,B892))</f>
        <v/>
      </c>
      <c r="AC892" s="57" t="str">
        <f>IF(B892="","",B892&amp;"#"&amp;AB892)</f>
        <v/>
      </c>
      <c r="AD892" s="57" t="str">
        <f>IF(Z892=1,A892&amp;AA892,"")</f>
        <v/>
      </c>
      <c r="AE892" s="57" t="str">
        <f>IF(B892="","",YEAR(C892))</f>
        <v/>
      </c>
      <c r="AF892" s="57" t="str">
        <f>IF(B892="","",MONTH(C892))</f>
        <v/>
      </c>
      <c r="AG892" s="57">
        <f>IF(ISNUMBER(C892),C892,0)</f>
        <v>0.0</v>
      </c>
      <c r="AH892" s="57" t="str">
        <f>IF(N(W892)&gt;0,COUNTIF(W$6:W892,"&gt;0"),"")</f>
        <v/>
      </c>
      <c r="AI892" s="57" t="str">
        <f>IF(Z892=1,COUNTIF(Z$6:Z892,1),"")</f>
        <v/>
      </c>
    </row>
    <row r="893">
      <c r="A893" s="54" t="n"/>
      <c r="B893" s="55" t="str">
        <f>IF(AA893="","",A893&amp;"-"&amp;RIGHT("000"&amp;AA893,4))</f>
        <v/>
      </c>
      <c r="C893" s="56" t="n"/>
      <c r="D893" s="54" t="n"/>
      <c r="E893" s="57" t="str">
        <f>IF(D893="","",IF(A893="BL",IFERROR(INDEX(cl_name,MATCH(D893,cl_code,0))&amp;"","Client inconnu"),IF(A893="BR",IFERROR(INDEX(fo_name,MATCH(D893,fo_code,0))&amp;"","Fournisseur inconnu"),IF(A893="BS",IF(ISNA(MATCH(D893,p_services,0)),"Service inconnu",D893&amp;""),""))))</f>
        <v/>
      </c>
      <c r="F893" s="58" t="n"/>
      <c r="G893" s="58" t="n"/>
      <c r="H893" s="59" t="n"/>
      <c r="I893" s="57" t="str">
        <f>IF(H893="","",IFERROR(INDEX(art_des,MATCH(H893,art_ref,0))&amp;"","Article inconnu"))</f>
        <v/>
      </c>
      <c r="J893" s="60" t="str">
        <f>IF(H893="","",IFERROR(INDEX(art_unit,MATCH(H893,art_ref,0))&amp;"",""))</f>
        <v/>
      </c>
      <c r="K893" s="59" t="n"/>
      <c r="L893" s="59" t="n"/>
      <c r="M893" s="61" t="str">
        <f>IF(OR(B893="",NOT(ISNUMBER(K893)),NOT(ISNUMBER(L893))),"",IF(OR(K893&lt;=0,L893&lt;=0),"",ROUND(L893-K893,6)))</f>
        <v/>
      </c>
      <c r="N893" s="58" t="n"/>
      <c r="O893" s="62" t="n"/>
      <c r="P893" s="63" t="str">
        <f>IF(OR(B893="",NOT(ISNUMBER(L893))),"",IF(L893&lt;=0,"",IFERROR(ROUND(L893*N(INDEX(art_w,MATCH(H893,art_ref,0))),3),"")))</f>
        <v/>
      </c>
      <c r="Q893" s="59" t="n"/>
      <c r="R893" s="54" t="n"/>
      <c r="S893" s="59" t="n"/>
      <c r="T893" s="59" t="n"/>
      <c r="U893" s="64" t="str">
        <f>IF(OR(B893="",H893=""),"",IFERROR(IF(A893="BL",IF(N(INDEX(art_price,MATCH(H893,art_ref,0)))=0,"",N(INDEX(art_price,MATCH(H893,art_ref,0)))),IF(N(INDEX(art_cost,MATCH(H893,art_ref,0)))=0,"",N(INDEX(art_cost,MATCH(H893,art_ref,0))))),""))</f>
        <v/>
      </c>
      <c r="V893" s="64" t="str">
        <f>IF(OR(U893="",NOT(ISNUMBER(L893))),"",IF(L893&lt;=0,"",ROUND(L893*U893,2)))</f>
        <v/>
      </c>
      <c r="W893" s="60" t="str">
        <f>IF(AND(B893&lt;&gt;"",A893&lt;&gt;"BS",F893&lt;&gt;"",H893&lt;&gt;"",ISNUMBER(K893),ISNUMBER(L893)),IF(AND(K893&gt;0,L893&gt;0,K893-L893&gt;0,COUNTIFS(A894:A$2005,A893,F894:F$2005,F893,H894:H$2005,H893,AA894:AA$2005,"&gt;0")=0),ROUND(K893-L893,6),""),"")</f>
        <v/>
      </c>
      <c r="X893" s="60" t="str">
        <f>IF(AND(A893="",C893="",D893="",H893="",L893=""),"",IF(A893="","Type manquant",IF(AND(A893&lt;&gt;"BL",A893&lt;&gt;"BR",A893&lt;&gt;"BS"),"Type inconnu (BL, BR ou BS)",IF(AG893=0,"Date manquante ou invalide",IF(D893="",IF(A893="BL","Client manquant",IF(A893="BR","Fournisseur manquant","Service manquant")),IF(IF(A893="BL",ISNA(MATCH(D893,cl_code,0)),IF(A893="BR",ISNA(MATCH(D893,fo_code,0)),ISNA(MATCH(D893,p_services,0)))),IF(A893="BL","Client inconnu",IF(A893="BR","Fournisseur inconnu","Service inconnu")),IF(H893="","Article manquant",IF(ISNA(MATCH(H893,art_ref,0)),"Article inconnu",IF(OR(NOT(ISNUMBER(L893)),N(L893)&lt;=0),"Quantité invalide",IF(AND(K893&lt;&gt;"",OR(NOT(ISNUMBER(K893)),N(K893)&lt;=0)),"Qté commandée invalide",IF(AG893&lt;SUMPRODUCT(MAX((A$6:A892=A893)*AG$6:AG892)),"Date antérieure au bon précédent",IF(AND(A893&lt;&gt;"BR",ISNUMBER(M893),N(M893)&gt;0),IF(A893="BL","Livré plus que commandé","Sorti plus que demandé"),"OK"))))))))))))</f>
        <v/>
      </c>
      <c r="Y893" s="57" t="str">
        <f>IF(AND(OR(A893="BL",A893="BR",A893="BS"),AG893&gt;0,D893&lt;&gt;""),A893&amp;"|"&amp;AG893&amp;"|"&amp;D893&amp;"|"&amp;F893,"")</f>
        <v/>
      </c>
      <c r="Z893" s="57" t="str">
        <f>IF(Y893="","",IF(COUNTIF(Y$6:Y892,Y893)=0,1,0))</f>
        <v/>
      </c>
      <c r="AA893" s="57" t="str">
        <f>IF(Y893="","",IF(Z893=1,COUNTIFS(A$6:A893,A893,Z$6:Z893,1),INDEX(AA$6:AA892,MATCH(Y893,Y$6:Y892,0))))</f>
        <v/>
      </c>
      <c r="AB893" s="57" t="str">
        <f>IF(B893="","",COUNTIF(B$6:B893,B893))</f>
        <v/>
      </c>
      <c r="AC893" s="57" t="str">
        <f>IF(B893="","",B893&amp;"#"&amp;AB893)</f>
        <v/>
      </c>
      <c r="AD893" s="57" t="str">
        <f>IF(Z893=1,A893&amp;AA893,"")</f>
        <v/>
      </c>
      <c r="AE893" s="57" t="str">
        <f>IF(B893="","",YEAR(C893))</f>
        <v/>
      </c>
      <c r="AF893" s="57" t="str">
        <f>IF(B893="","",MONTH(C893))</f>
        <v/>
      </c>
      <c r="AG893" s="57">
        <f>IF(ISNUMBER(C893),C893,0)</f>
        <v>0.0</v>
      </c>
      <c r="AH893" s="57" t="str">
        <f>IF(N(W893)&gt;0,COUNTIF(W$6:W893,"&gt;0"),"")</f>
        <v/>
      </c>
      <c r="AI893" s="57" t="str">
        <f>IF(Z893=1,COUNTIF(Z$6:Z893,1),"")</f>
        <v/>
      </c>
    </row>
    <row r="894">
      <c r="A894" s="54" t="n"/>
      <c r="B894" s="55" t="str">
        <f>IF(AA894="","",A894&amp;"-"&amp;RIGHT("000"&amp;AA894,4))</f>
        <v/>
      </c>
      <c r="C894" s="56" t="n"/>
      <c r="D894" s="54" t="n"/>
      <c r="E894" s="57" t="str">
        <f>IF(D894="","",IF(A894="BL",IFERROR(INDEX(cl_name,MATCH(D894,cl_code,0))&amp;"","Client inconnu"),IF(A894="BR",IFERROR(INDEX(fo_name,MATCH(D894,fo_code,0))&amp;"","Fournisseur inconnu"),IF(A894="BS",IF(ISNA(MATCH(D894,p_services,0)),"Service inconnu",D894&amp;""),""))))</f>
        <v/>
      </c>
      <c r="F894" s="58" t="n"/>
      <c r="G894" s="58" t="n"/>
      <c r="H894" s="59" t="n"/>
      <c r="I894" s="57" t="str">
        <f>IF(H894="","",IFERROR(INDEX(art_des,MATCH(H894,art_ref,0))&amp;"","Article inconnu"))</f>
        <v/>
      </c>
      <c r="J894" s="60" t="str">
        <f>IF(H894="","",IFERROR(INDEX(art_unit,MATCH(H894,art_ref,0))&amp;"",""))</f>
        <v/>
      </c>
      <c r="K894" s="59" t="n"/>
      <c r="L894" s="59" t="n"/>
      <c r="M894" s="61" t="str">
        <f>IF(OR(B894="",NOT(ISNUMBER(K894)),NOT(ISNUMBER(L894))),"",IF(OR(K894&lt;=0,L894&lt;=0),"",ROUND(L894-K894,6)))</f>
        <v/>
      </c>
      <c r="N894" s="58" t="n"/>
      <c r="O894" s="62" t="n"/>
      <c r="P894" s="63" t="str">
        <f>IF(OR(B894="",NOT(ISNUMBER(L894))),"",IF(L894&lt;=0,"",IFERROR(ROUND(L894*N(INDEX(art_w,MATCH(H894,art_ref,0))),3),"")))</f>
        <v/>
      </c>
      <c r="Q894" s="59" t="n"/>
      <c r="R894" s="54" t="n"/>
      <c r="S894" s="59" t="n"/>
      <c r="T894" s="59" t="n"/>
      <c r="U894" s="64" t="str">
        <f>IF(OR(B894="",H894=""),"",IFERROR(IF(A894="BL",IF(N(INDEX(art_price,MATCH(H894,art_ref,0)))=0,"",N(INDEX(art_price,MATCH(H894,art_ref,0)))),IF(N(INDEX(art_cost,MATCH(H894,art_ref,0)))=0,"",N(INDEX(art_cost,MATCH(H894,art_ref,0))))),""))</f>
        <v/>
      </c>
      <c r="V894" s="64" t="str">
        <f>IF(OR(U894="",NOT(ISNUMBER(L894))),"",IF(L894&lt;=0,"",ROUND(L894*U894,2)))</f>
        <v/>
      </c>
      <c r="W894" s="60" t="str">
        <f>IF(AND(B894&lt;&gt;"",A894&lt;&gt;"BS",F894&lt;&gt;"",H894&lt;&gt;"",ISNUMBER(K894),ISNUMBER(L894)),IF(AND(K894&gt;0,L894&gt;0,K894-L894&gt;0,COUNTIFS(A895:A$2005,A894,F895:F$2005,F894,H895:H$2005,H894,AA895:AA$2005,"&gt;0")=0),ROUND(K894-L894,6),""),"")</f>
        <v/>
      </c>
      <c r="X894" s="60" t="str">
        <f>IF(AND(A894="",C894="",D894="",H894="",L894=""),"",IF(A894="","Type manquant",IF(AND(A894&lt;&gt;"BL",A894&lt;&gt;"BR",A894&lt;&gt;"BS"),"Type inconnu (BL, BR ou BS)",IF(AG894=0,"Date manquante ou invalide",IF(D894="",IF(A894="BL","Client manquant",IF(A894="BR","Fournisseur manquant","Service manquant")),IF(IF(A894="BL",ISNA(MATCH(D894,cl_code,0)),IF(A894="BR",ISNA(MATCH(D894,fo_code,0)),ISNA(MATCH(D894,p_services,0)))),IF(A894="BL","Client inconnu",IF(A894="BR","Fournisseur inconnu","Service inconnu")),IF(H894="","Article manquant",IF(ISNA(MATCH(H894,art_ref,0)),"Article inconnu",IF(OR(NOT(ISNUMBER(L894)),N(L894)&lt;=0),"Quantité invalide",IF(AND(K894&lt;&gt;"",OR(NOT(ISNUMBER(K894)),N(K894)&lt;=0)),"Qté commandée invalide",IF(AG894&lt;SUMPRODUCT(MAX((A$6:A893=A894)*AG$6:AG893)),"Date antérieure au bon précédent",IF(AND(A894&lt;&gt;"BR",ISNUMBER(M894),N(M894)&gt;0),IF(A894="BL","Livré plus que commandé","Sorti plus que demandé"),"OK"))))))))))))</f>
        <v/>
      </c>
      <c r="Y894" s="57" t="str">
        <f>IF(AND(OR(A894="BL",A894="BR",A894="BS"),AG894&gt;0,D894&lt;&gt;""),A894&amp;"|"&amp;AG894&amp;"|"&amp;D894&amp;"|"&amp;F894,"")</f>
        <v/>
      </c>
      <c r="Z894" s="57" t="str">
        <f>IF(Y894="","",IF(COUNTIF(Y$6:Y893,Y894)=0,1,0))</f>
        <v/>
      </c>
      <c r="AA894" s="57" t="str">
        <f>IF(Y894="","",IF(Z894=1,COUNTIFS(A$6:A894,A894,Z$6:Z894,1),INDEX(AA$6:AA893,MATCH(Y894,Y$6:Y893,0))))</f>
        <v/>
      </c>
      <c r="AB894" s="57" t="str">
        <f>IF(B894="","",COUNTIF(B$6:B894,B894))</f>
        <v/>
      </c>
      <c r="AC894" s="57" t="str">
        <f>IF(B894="","",B894&amp;"#"&amp;AB894)</f>
        <v/>
      </c>
      <c r="AD894" s="57" t="str">
        <f>IF(Z894=1,A894&amp;AA894,"")</f>
        <v/>
      </c>
      <c r="AE894" s="57" t="str">
        <f>IF(B894="","",YEAR(C894))</f>
        <v/>
      </c>
      <c r="AF894" s="57" t="str">
        <f>IF(B894="","",MONTH(C894))</f>
        <v/>
      </c>
      <c r="AG894" s="57">
        <f>IF(ISNUMBER(C894),C894,0)</f>
        <v>0.0</v>
      </c>
      <c r="AH894" s="57" t="str">
        <f>IF(N(W894)&gt;0,COUNTIF(W$6:W894,"&gt;0"),"")</f>
        <v/>
      </c>
      <c r="AI894" s="57" t="str">
        <f>IF(Z894=1,COUNTIF(Z$6:Z894,1),"")</f>
        <v/>
      </c>
    </row>
    <row r="895">
      <c r="A895" s="54" t="n"/>
      <c r="B895" s="55" t="str">
        <f>IF(AA895="","",A895&amp;"-"&amp;RIGHT("000"&amp;AA895,4))</f>
        <v/>
      </c>
      <c r="C895" s="56" t="n"/>
      <c r="D895" s="54" t="n"/>
      <c r="E895" s="57" t="str">
        <f>IF(D895="","",IF(A895="BL",IFERROR(INDEX(cl_name,MATCH(D895,cl_code,0))&amp;"","Client inconnu"),IF(A895="BR",IFERROR(INDEX(fo_name,MATCH(D895,fo_code,0))&amp;"","Fournisseur inconnu"),IF(A895="BS",IF(ISNA(MATCH(D895,p_services,0)),"Service inconnu",D895&amp;""),""))))</f>
        <v/>
      </c>
      <c r="F895" s="58" t="n"/>
      <c r="G895" s="58" t="n"/>
      <c r="H895" s="59" t="n"/>
      <c r="I895" s="57" t="str">
        <f>IF(H895="","",IFERROR(INDEX(art_des,MATCH(H895,art_ref,0))&amp;"","Article inconnu"))</f>
        <v/>
      </c>
      <c r="J895" s="60" t="str">
        <f>IF(H895="","",IFERROR(INDEX(art_unit,MATCH(H895,art_ref,0))&amp;"",""))</f>
        <v/>
      </c>
      <c r="K895" s="59" t="n"/>
      <c r="L895" s="59" t="n"/>
      <c r="M895" s="61" t="str">
        <f>IF(OR(B895="",NOT(ISNUMBER(K895)),NOT(ISNUMBER(L895))),"",IF(OR(K895&lt;=0,L895&lt;=0),"",ROUND(L895-K895,6)))</f>
        <v/>
      </c>
      <c r="N895" s="58" t="n"/>
      <c r="O895" s="62" t="n"/>
      <c r="P895" s="63" t="str">
        <f>IF(OR(B895="",NOT(ISNUMBER(L895))),"",IF(L895&lt;=0,"",IFERROR(ROUND(L895*N(INDEX(art_w,MATCH(H895,art_ref,0))),3),"")))</f>
        <v/>
      </c>
      <c r="Q895" s="59" t="n"/>
      <c r="R895" s="54" t="n"/>
      <c r="S895" s="59" t="n"/>
      <c r="T895" s="59" t="n"/>
      <c r="U895" s="64" t="str">
        <f>IF(OR(B895="",H895=""),"",IFERROR(IF(A895="BL",IF(N(INDEX(art_price,MATCH(H895,art_ref,0)))=0,"",N(INDEX(art_price,MATCH(H895,art_ref,0)))),IF(N(INDEX(art_cost,MATCH(H895,art_ref,0)))=0,"",N(INDEX(art_cost,MATCH(H895,art_ref,0))))),""))</f>
        <v/>
      </c>
      <c r="V895" s="64" t="str">
        <f>IF(OR(U895="",NOT(ISNUMBER(L895))),"",IF(L895&lt;=0,"",ROUND(L895*U895,2)))</f>
        <v/>
      </c>
      <c r="W895" s="60" t="str">
        <f>IF(AND(B895&lt;&gt;"",A895&lt;&gt;"BS",F895&lt;&gt;"",H895&lt;&gt;"",ISNUMBER(K895),ISNUMBER(L895)),IF(AND(K895&gt;0,L895&gt;0,K895-L895&gt;0,COUNTIFS(A896:A$2005,A895,F896:F$2005,F895,H896:H$2005,H895,AA896:AA$2005,"&gt;0")=0),ROUND(K895-L895,6),""),"")</f>
        <v/>
      </c>
      <c r="X895" s="60" t="str">
        <f>IF(AND(A895="",C895="",D895="",H895="",L895=""),"",IF(A895="","Type manquant",IF(AND(A895&lt;&gt;"BL",A895&lt;&gt;"BR",A895&lt;&gt;"BS"),"Type inconnu (BL, BR ou BS)",IF(AG895=0,"Date manquante ou invalide",IF(D895="",IF(A895="BL","Client manquant",IF(A895="BR","Fournisseur manquant","Service manquant")),IF(IF(A895="BL",ISNA(MATCH(D895,cl_code,0)),IF(A895="BR",ISNA(MATCH(D895,fo_code,0)),ISNA(MATCH(D895,p_services,0)))),IF(A895="BL","Client inconnu",IF(A895="BR","Fournisseur inconnu","Service inconnu")),IF(H895="","Article manquant",IF(ISNA(MATCH(H895,art_ref,0)),"Article inconnu",IF(OR(NOT(ISNUMBER(L895)),N(L895)&lt;=0),"Quantité invalide",IF(AND(K895&lt;&gt;"",OR(NOT(ISNUMBER(K895)),N(K895)&lt;=0)),"Qté commandée invalide",IF(AG895&lt;SUMPRODUCT(MAX((A$6:A894=A895)*AG$6:AG894)),"Date antérieure au bon précédent",IF(AND(A895&lt;&gt;"BR",ISNUMBER(M895),N(M895)&gt;0),IF(A895="BL","Livré plus que commandé","Sorti plus que demandé"),"OK"))))))))))))</f>
        <v/>
      </c>
      <c r="Y895" s="57" t="str">
        <f>IF(AND(OR(A895="BL",A895="BR",A895="BS"),AG895&gt;0,D895&lt;&gt;""),A895&amp;"|"&amp;AG895&amp;"|"&amp;D895&amp;"|"&amp;F895,"")</f>
        <v/>
      </c>
      <c r="Z895" s="57" t="str">
        <f>IF(Y895="","",IF(COUNTIF(Y$6:Y894,Y895)=0,1,0))</f>
        <v/>
      </c>
      <c r="AA895" s="57" t="str">
        <f>IF(Y895="","",IF(Z895=1,COUNTIFS(A$6:A895,A895,Z$6:Z895,1),INDEX(AA$6:AA894,MATCH(Y895,Y$6:Y894,0))))</f>
        <v/>
      </c>
      <c r="AB895" s="57" t="str">
        <f>IF(B895="","",COUNTIF(B$6:B895,B895))</f>
        <v/>
      </c>
      <c r="AC895" s="57" t="str">
        <f>IF(B895="","",B895&amp;"#"&amp;AB895)</f>
        <v/>
      </c>
      <c r="AD895" s="57" t="str">
        <f>IF(Z895=1,A895&amp;AA895,"")</f>
        <v/>
      </c>
      <c r="AE895" s="57" t="str">
        <f>IF(B895="","",YEAR(C895))</f>
        <v/>
      </c>
      <c r="AF895" s="57" t="str">
        <f>IF(B895="","",MONTH(C895))</f>
        <v/>
      </c>
      <c r="AG895" s="57">
        <f>IF(ISNUMBER(C895),C895,0)</f>
        <v>0.0</v>
      </c>
      <c r="AH895" s="57" t="str">
        <f>IF(N(W895)&gt;0,COUNTIF(W$6:W895,"&gt;0"),"")</f>
        <v/>
      </c>
      <c r="AI895" s="57" t="str">
        <f>IF(Z895=1,COUNTIF(Z$6:Z895,1),"")</f>
        <v/>
      </c>
    </row>
    <row r="896">
      <c r="A896" s="54" t="n"/>
      <c r="B896" s="55" t="str">
        <f>IF(AA896="","",A896&amp;"-"&amp;RIGHT("000"&amp;AA896,4))</f>
        <v/>
      </c>
      <c r="C896" s="56" t="n"/>
      <c r="D896" s="54" t="n"/>
      <c r="E896" s="57" t="str">
        <f>IF(D896="","",IF(A896="BL",IFERROR(INDEX(cl_name,MATCH(D896,cl_code,0))&amp;"","Client inconnu"),IF(A896="BR",IFERROR(INDEX(fo_name,MATCH(D896,fo_code,0))&amp;"","Fournisseur inconnu"),IF(A896="BS",IF(ISNA(MATCH(D896,p_services,0)),"Service inconnu",D896&amp;""),""))))</f>
        <v/>
      </c>
      <c r="F896" s="58" t="n"/>
      <c r="G896" s="58" t="n"/>
      <c r="H896" s="59" t="n"/>
      <c r="I896" s="57" t="str">
        <f>IF(H896="","",IFERROR(INDEX(art_des,MATCH(H896,art_ref,0))&amp;"","Article inconnu"))</f>
        <v/>
      </c>
      <c r="J896" s="60" t="str">
        <f>IF(H896="","",IFERROR(INDEX(art_unit,MATCH(H896,art_ref,0))&amp;"",""))</f>
        <v/>
      </c>
      <c r="K896" s="59" t="n"/>
      <c r="L896" s="59" t="n"/>
      <c r="M896" s="61" t="str">
        <f>IF(OR(B896="",NOT(ISNUMBER(K896)),NOT(ISNUMBER(L896))),"",IF(OR(K896&lt;=0,L896&lt;=0),"",ROUND(L896-K896,6)))</f>
        <v/>
      </c>
      <c r="N896" s="58" t="n"/>
      <c r="O896" s="62" t="n"/>
      <c r="P896" s="63" t="str">
        <f>IF(OR(B896="",NOT(ISNUMBER(L896))),"",IF(L896&lt;=0,"",IFERROR(ROUND(L896*N(INDEX(art_w,MATCH(H896,art_ref,0))),3),"")))</f>
        <v/>
      </c>
      <c r="Q896" s="59" t="n"/>
      <c r="R896" s="54" t="n"/>
      <c r="S896" s="59" t="n"/>
      <c r="T896" s="59" t="n"/>
      <c r="U896" s="64" t="str">
        <f>IF(OR(B896="",H896=""),"",IFERROR(IF(A896="BL",IF(N(INDEX(art_price,MATCH(H896,art_ref,0)))=0,"",N(INDEX(art_price,MATCH(H896,art_ref,0)))),IF(N(INDEX(art_cost,MATCH(H896,art_ref,0)))=0,"",N(INDEX(art_cost,MATCH(H896,art_ref,0))))),""))</f>
        <v/>
      </c>
      <c r="V896" s="64" t="str">
        <f>IF(OR(U896="",NOT(ISNUMBER(L896))),"",IF(L896&lt;=0,"",ROUND(L896*U896,2)))</f>
        <v/>
      </c>
      <c r="W896" s="60" t="str">
        <f>IF(AND(B896&lt;&gt;"",A896&lt;&gt;"BS",F896&lt;&gt;"",H896&lt;&gt;"",ISNUMBER(K896),ISNUMBER(L896)),IF(AND(K896&gt;0,L896&gt;0,K896-L896&gt;0,COUNTIFS(A897:A$2005,A896,F897:F$2005,F896,H897:H$2005,H896,AA897:AA$2005,"&gt;0")=0),ROUND(K896-L896,6),""),"")</f>
        <v/>
      </c>
      <c r="X896" s="60" t="str">
        <f>IF(AND(A896="",C896="",D896="",H896="",L896=""),"",IF(A896="","Type manquant",IF(AND(A896&lt;&gt;"BL",A896&lt;&gt;"BR",A896&lt;&gt;"BS"),"Type inconnu (BL, BR ou BS)",IF(AG896=0,"Date manquante ou invalide",IF(D896="",IF(A896="BL","Client manquant",IF(A896="BR","Fournisseur manquant","Service manquant")),IF(IF(A896="BL",ISNA(MATCH(D896,cl_code,0)),IF(A896="BR",ISNA(MATCH(D896,fo_code,0)),ISNA(MATCH(D896,p_services,0)))),IF(A896="BL","Client inconnu",IF(A896="BR","Fournisseur inconnu","Service inconnu")),IF(H896="","Article manquant",IF(ISNA(MATCH(H896,art_ref,0)),"Article inconnu",IF(OR(NOT(ISNUMBER(L896)),N(L896)&lt;=0),"Quantité invalide",IF(AND(K896&lt;&gt;"",OR(NOT(ISNUMBER(K896)),N(K896)&lt;=0)),"Qté commandée invalide",IF(AG896&lt;SUMPRODUCT(MAX((A$6:A895=A896)*AG$6:AG895)),"Date antérieure au bon précédent",IF(AND(A896&lt;&gt;"BR",ISNUMBER(M896),N(M896)&gt;0),IF(A896="BL","Livré plus que commandé","Sorti plus que demandé"),"OK"))))))))))))</f>
        <v/>
      </c>
      <c r="Y896" s="57" t="str">
        <f>IF(AND(OR(A896="BL",A896="BR",A896="BS"),AG896&gt;0,D896&lt;&gt;""),A896&amp;"|"&amp;AG896&amp;"|"&amp;D896&amp;"|"&amp;F896,"")</f>
        <v/>
      </c>
      <c r="Z896" s="57" t="str">
        <f>IF(Y896="","",IF(COUNTIF(Y$6:Y895,Y896)=0,1,0))</f>
        <v/>
      </c>
      <c r="AA896" s="57" t="str">
        <f>IF(Y896="","",IF(Z896=1,COUNTIFS(A$6:A896,A896,Z$6:Z896,1),INDEX(AA$6:AA895,MATCH(Y896,Y$6:Y895,0))))</f>
        <v/>
      </c>
      <c r="AB896" s="57" t="str">
        <f>IF(B896="","",COUNTIF(B$6:B896,B896))</f>
        <v/>
      </c>
      <c r="AC896" s="57" t="str">
        <f>IF(B896="","",B896&amp;"#"&amp;AB896)</f>
        <v/>
      </c>
      <c r="AD896" s="57" t="str">
        <f>IF(Z896=1,A896&amp;AA896,"")</f>
        <v/>
      </c>
      <c r="AE896" s="57" t="str">
        <f>IF(B896="","",YEAR(C896))</f>
        <v/>
      </c>
      <c r="AF896" s="57" t="str">
        <f>IF(B896="","",MONTH(C896))</f>
        <v/>
      </c>
      <c r="AG896" s="57">
        <f>IF(ISNUMBER(C896),C896,0)</f>
        <v>0.0</v>
      </c>
      <c r="AH896" s="57" t="str">
        <f>IF(N(W896)&gt;0,COUNTIF(W$6:W896,"&gt;0"),"")</f>
        <v/>
      </c>
      <c r="AI896" s="57" t="str">
        <f>IF(Z896=1,COUNTIF(Z$6:Z896,1),"")</f>
        <v/>
      </c>
    </row>
    <row r="897">
      <c r="A897" s="54" t="n"/>
      <c r="B897" s="55" t="str">
        <f>IF(AA897="","",A897&amp;"-"&amp;RIGHT("000"&amp;AA897,4))</f>
        <v/>
      </c>
      <c r="C897" s="56" t="n"/>
      <c r="D897" s="54" t="n"/>
      <c r="E897" s="57" t="str">
        <f>IF(D897="","",IF(A897="BL",IFERROR(INDEX(cl_name,MATCH(D897,cl_code,0))&amp;"","Client inconnu"),IF(A897="BR",IFERROR(INDEX(fo_name,MATCH(D897,fo_code,0))&amp;"","Fournisseur inconnu"),IF(A897="BS",IF(ISNA(MATCH(D897,p_services,0)),"Service inconnu",D897&amp;""),""))))</f>
        <v/>
      </c>
      <c r="F897" s="58" t="n"/>
      <c r="G897" s="58" t="n"/>
      <c r="H897" s="59" t="n"/>
      <c r="I897" s="57" t="str">
        <f>IF(H897="","",IFERROR(INDEX(art_des,MATCH(H897,art_ref,0))&amp;"","Article inconnu"))</f>
        <v/>
      </c>
      <c r="J897" s="60" t="str">
        <f>IF(H897="","",IFERROR(INDEX(art_unit,MATCH(H897,art_ref,0))&amp;"",""))</f>
        <v/>
      </c>
      <c r="K897" s="59" t="n"/>
      <c r="L897" s="59" t="n"/>
      <c r="M897" s="61" t="str">
        <f>IF(OR(B897="",NOT(ISNUMBER(K897)),NOT(ISNUMBER(L897))),"",IF(OR(K897&lt;=0,L897&lt;=0),"",ROUND(L897-K897,6)))</f>
        <v/>
      </c>
      <c r="N897" s="58" t="n"/>
      <c r="O897" s="62" t="n"/>
      <c r="P897" s="63" t="str">
        <f>IF(OR(B897="",NOT(ISNUMBER(L897))),"",IF(L897&lt;=0,"",IFERROR(ROUND(L897*N(INDEX(art_w,MATCH(H897,art_ref,0))),3),"")))</f>
        <v/>
      </c>
      <c r="Q897" s="59" t="n"/>
      <c r="R897" s="54" t="n"/>
      <c r="S897" s="59" t="n"/>
      <c r="T897" s="59" t="n"/>
      <c r="U897" s="64" t="str">
        <f>IF(OR(B897="",H897=""),"",IFERROR(IF(A897="BL",IF(N(INDEX(art_price,MATCH(H897,art_ref,0)))=0,"",N(INDEX(art_price,MATCH(H897,art_ref,0)))),IF(N(INDEX(art_cost,MATCH(H897,art_ref,0)))=0,"",N(INDEX(art_cost,MATCH(H897,art_ref,0))))),""))</f>
        <v/>
      </c>
      <c r="V897" s="64" t="str">
        <f>IF(OR(U897="",NOT(ISNUMBER(L897))),"",IF(L897&lt;=0,"",ROUND(L897*U897,2)))</f>
        <v/>
      </c>
      <c r="W897" s="60" t="str">
        <f>IF(AND(B897&lt;&gt;"",A897&lt;&gt;"BS",F897&lt;&gt;"",H897&lt;&gt;"",ISNUMBER(K897),ISNUMBER(L897)),IF(AND(K897&gt;0,L897&gt;0,K897-L897&gt;0,COUNTIFS(A898:A$2005,A897,F898:F$2005,F897,H898:H$2005,H897,AA898:AA$2005,"&gt;0")=0),ROUND(K897-L897,6),""),"")</f>
        <v/>
      </c>
      <c r="X897" s="60" t="str">
        <f>IF(AND(A897="",C897="",D897="",H897="",L897=""),"",IF(A897="","Type manquant",IF(AND(A897&lt;&gt;"BL",A897&lt;&gt;"BR",A897&lt;&gt;"BS"),"Type inconnu (BL, BR ou BS)",IF(AG897=0,"Date manquante ou invalide",IF(D897="",IF(A897="BL","Client manquant",IF(A897="BR","Fournisseur manquant","Service manquant")),IF(IF(A897="BL",ISNA(MATCH(D897,cl_code,0)),IF(A897="BR",ISNA(MATCH(D897,fo_code,0)),ISNA(MATCH(D897,p_services,0)))),IF(A897="BL","Client inconnu",IF(A897="BR","Fournisseur inconnu","Service inconnu")),IF(H897="","Article manquant",IF(ISNA(MATCH(H897,art_ref,0)),"Article inconnu",IF(OR(NOT(ISNUMBER(L897)),N(L897)&lt;=0),"Quantité invalide",IF(AND(K897&lt;&gt;"",OR(NOT(ISNUMBER(K897)),N(K897)&lt;=0)),"Qté commandée invalide",IF(AG897&lt;SUMPRODUCT(MAX((A$6:A896=A897)*AG$6:AG896)),"Date antérieure au bon précédent",IF(AND(A897&lt;&gt;"BR",ISNUMBER(M897),N(M897)&gt;0),IF(A897="BL","Livré plus que commandé","Sorti plus que demandé"),"OK"))))))))))))</f>
        <v/>
      </c>
      <c r="Y897" s="57" t="str">
        <f>IF(AND(OR(A897="BL",A897="BR",A897="BS"),AG897&gt;0,D897&lt;&gt;""),A897&amp;"|"&amp;AG897&amp;"|"&amp;D897&amp;"|"&amp;F897,"")</f>
        <v/>
      </c>
      <c r="Z897" s="57" t="str">
        <f>IF(Y897="","",IF(COUNTIF(Y$6:Y896,Y897)=0,1,0))</f>
        <v/>
      </c>
      <c r="AA897" s="57" t="str">
        <f>IF(Y897="","",IF(Z897=1,COUNTIFS(A$6:A897,A897,Z$6:Z897,1),INDEX(AA$6:AA896,MATCH(Y897,Y$6:Y896,0))))</f>
        <v/>
      </c>
      <c r="AB897" s="57" t="str">
        <f>IF(B897="","",COUNTIF(B$6:B897,B897))</f>
        <v/>
      </c>
      <c r="AC897" s="57" t="str">
        <f>IF(B897="","",B897&amp;"#"&amp;AB897)</f>
        <v/>
      </c>
      <c r="AD897" s="57" t="str">
        <f>IF(Z897=1,A897&amp;AA897,"")</f>
        <v/>
      </c>
      <c r="AE897" s="57" t="str">
        <f>IF(B897="","",YEAR(C897))</f>
        <v/>
      </c>
      <c r="AF897" s="57" t="str">
        <f>IF(B897="","",MONTH(C897))</f>
        <v/>
      </c>
      <c r="AG897" s="57">
        <f>IF(ISNUMBER(C897),C897,0)</f>
        <v>0.0</v>
      </c>
      <c r="AH897" s="57" t="str">
        <f>IF(N(W897)&gt;0,COUNTIF(W$6:W897,"&gt;0"),"")</f>
        <v/>
      </c>
      <c r="AI897" s="57" t="str">
        <f>IF(Z897=1,COUNTIF(Z$6:Z897,1),"")</f>
        <v/>
      </c>
    </row>
    <row r="898">
      <c r="A898" s="54" t="n"/>
      <c r="B898" s="55" t="str">
        <f>IF(AA898="","",A898&amp;"-"&amp;RIGHT("000"&amp;AA898,4))</f>
        <v/>
      </c>
      <c r="C898" s="56" t="n"/>
      <c r="D898" s="54" t="n"/>
      <c r="E898" s="57" t="str">
        <f>IF(D898="","",IF(A898="BL",IFERROR(INDEX(cl_name,MATCH(D898,cl_code,0))&amp;"","Client inconnu"),IF(A898="BR",IFERROR(INDEX(fo_name,MATCH(D898,fo_code,0))&amp;"","Fournisseur inconnu"),IF(A898="BS",IF(ISNA(MATCH(D898,p_services,0)),"Service inconnu",D898&amp;""),""))))</f>
        <v/>
      </c>
      <c r="F898" s="58" t="n"/>
      <c r="G898" s="58" t="n"/>
      <c r="H898" s="59" t="n"/>
      <c r="I898" s="57" t="str">
        <f>IF(H898="","",IFERROR(INDEX(art_des,MATCH(H898,art_ref,0))&amp;"","Article inconnu"))</f>
        <v/>
      </c>
      <c r="J898" s="60" t="str">
        <f>IF(H898="","",IFERROR(INDEX(art_unit,MATCH(H898,art_ref,0))&amp;"",""))</f>
        <v/>
      </c>
      <c r="K898" s="59" t="n"/>
      <c r="L898" s="59" t="n"/>
      <c r="M898" s="61" t="str">
        <f>IF(OR(B898="",NOT(ISNUMBER(K898)),NOT(ISNUMBER(L898))),"",IF(OR(K898&lt;=0,L898&lt;=0),"",ROUND(L898-K898,6)))</f>
        <v/>
      </c>
      <c r="N898" s="58" t="n"/>
      <c r="O898" s="62" t="n"/>
      <c r="P898" s="63" t="str">
        <f>IF(OR(B898="",NOT(ISNUMBER(L898))),"",IF(L898&lt;=0,"",IFERROR(ROUND(L898*N(INDEX(art_w,MATCH(H898,art_ref,0))),3),"")))</f>
        <v/>
      </c>
      <c r="Q898" s="59" t="n"/>
      <c r="R898" s="54" t="n"/>
      <c r="S898" s="59" t="n"/>
      <c r="T898" s="59" t="n"/>
      <c r="U898" s="64" t="str">
        <f>IF(OR(B898="",H898=""),"",IFERROR(IF(A898="BL",IF(N(INDEX(art_price,MATCH(H898,art_ref,0)))=0,"",N(INDEX(art_price,MATCH(H898,art_ref,0)))),IF(N(INDEX(art_cost,MATCH(H898,art_ref,0)))=0,"",N(INDEX(art_cost,MATCH(H898,art_ref,0))))),""))</f>
        <v/>
      </c>
      <c r="V898" s="64" t="str">
        <f>IF(OR(U898="",NOT(ISNUMBER(L898))),"",IF(L898&lt;=0,"",ROUND(L898*U898,2)))</f>
        <v/>
      </c>
      <c r="W898" s="60" t="str">
        <f>IF(AND(B898&lt;&gt;"",A898&lt;&gt;"BS",F898&lt;&gt;"",H898&lt;&gt;"",ISNUMBER(K898),ISNUMBER(L898)),IF(AND(K898&gt;0,L898&gt;0,K898-L898&gt;0,COUNTIFS(A899:A$2005,A898,F899:F$2005,F898,H899:H$2005,H898,AA899:AA$2005,"&gt;0")=0),ROUND(K898-L898,6),""),"")</f>
        <v/>
      </c>
      <c r="X898" s="60" t="str">
        <f>IF(AND(A898="",C898="",D898="",H898="",L898=""),"",IF(A898="","Type manquant",IF(AND(A898&lt;&gt;"BL",A898&lt;&gt;"BR",A898&lt;&gt;"BS"),"Type inconnu (BL, BR ou BS)",IF(AG898=0,"Date manquante ou invalide",IF(D898="",IF(A898="BL","Client manquant",IF(A898="BR","Fournisseur manquant","Service manquant")),IF(IF(A898="BL",ISNA(MATCH(D898,cl_code,0)),IF(A898="BR",ISNA(MATCH(D898,fo_code,0)),ISNA(MATCH(D898,p_services,0)))),IF(A898="BL","Client inconnu",IF(A898="BR","Fournisseur inconnu","Service inconnu")),IF(H898="","Article manquant",IF(ISNA(MATCH(H898,art_ref,0)),"Article inconnu",IF(OR(NOT(ISNUMBER(L898)),N(L898)&lt;=0),"Quantité invalide",IF(AND(K898&lt;&gt;"",OR(NOT(ISNUMBER(K898)),N(K898)&lt;=0)),"Qté commandée invalide",IF(AG898&lt;SUMPRODUCT(MAX((A$6:A897=A898)*AG$6:AG897)),"Date antérieure au bon précédent",IF(AND(A898&lt;&gt;"BR",ISNUMBER(M898),N(M898)&gt;0),IF(A898="BL","Livré plus que commandé","Sorti plus que demandé"),"OK"))))))))))))</f>
        <v/>
      </c>
      <c r="Y898" s="57" t="str">
        <f>IF(AND(OR(A898="BL",A898="BR",A898="BS"),AG898&gt;0,D898&lt;&gt;""),A898&amp;"|"&amp;AG898&amp;"|"&amp;D898&amp;"|"&amp;F898,"")</f>
        <v/>
      </c>
      <c r="Z898" s="57" t="str">
        <f>IF(Y898="","",IF(COUNTIF(Y$6:Y897,Y898)=0,1,0))</f>
        <v/>
      </c>
      <c r="AA898" s="57" t="str">
        <f>IF(Y898="","",IF(Z898=1,COUNTIFS(A$6:A898,A898,Z$6:Z898,1),INDEX(AA$6:AA897,MATCH(Y898,Y$6:Y897,0))))</f>
        <v/>
      </c>
      <c r="AB898" s="57" t="str">
        <f>IF(B898="","",COUNTIF(B$6:B898,B898))</f>
        <v/>
      </c>
      <c r="AC898" s="57" t="str">
        <f>IF(B898="","",B898&amp;"#"&amp;AB898)</f>
        <v/>
      </c>
      <c r="AD898" s="57" t="str">
        <f>IF(Z898=1,A898&amp;AA898,"")</f>
        <v/>
      </c>
      <c r="AE898" s="57" t="str">
        <f>IF(B898="","",YEAR(C898))</f>
        <v/>
      </c>
      <c r="AF898" s="57" t="str">
        <f>IF(B898="","",MONTH(C898))</f>
        <v/>
      </c>
      <c r="AG898" s="57">
        <f>IF(ISNUMBER(C898),C898,0)</f>
        <v>0.0</v>
      </c>
      <c r="AH898" s="57" t="str">
        <f>IF(N(W898)&gt;0,COUNTIF(W$6:W898,"&gt;0"),"")</f>
        <v/>
      </c>
      <c r="AI898" s="57" t="str">
        <f>IF(Z898=1,COUNTIF(Z$6:Z898,1),"")</f>
        <v/>
      </c>
    </row>
    <row r="899">
      <c r="A899" s="54" t="n"/>
      <c r="B899" s="55" t="str">
        <f>IF(AA899="","",A899&amp;"-"&amp;RIGHT("000"&amp;AA899,4))</f>
        <v/>
      </c>
      <c r="C899" s="56" t="n"/>
      <c r="D899" s="54" t="n"/>
      <c r="E899" s="57" t="str">
        <f>IF(D899="","",IF(A899="BL",IFERROR(INDEX(cl_name,MATCH(D899,cl_code,0))&amp;"","Client inconnu"),IF(A899="BR",IFERROR(INDEX(fo_name,MATCH(D899,fo_code,0))&amp;"","Fournisseur inconnu"),IF(A899="BS",IF(ISNA(MATCH(D899,p_services,0)),"Service inconnu",D899&amp;""),""))))</f>
        <v/>
      </c>
      <c r="F899" s="58" t="n"/>
      <c r="G899" s="58" t="n"/>
      <c r="H899" s="59" t="n"/>
      <c r="I899" s="57" t="str">
        <f>IF(H899="","",IFERROR(INDEX(art_des,MATCH(H899,art_ref,0))&amp;"","Article inconnu"))</f>
        <v/>
      </c>
      <c r="J899" s="60" t="str">
        <f>IF(H899="","",IFERROR(INDEX(art_unit,MATCH(H899,art_ref,0))&amp;"",""))</f>
        <v/>
      </c>
      <c r="K899" s="59" t="n"/>
      <c r="L899" s="59" t="n"/>
      <c r="M899" s="61" t="str">
        <f>IF(OR(B899="",NOT(ISNUMBER(K899)),NOT(ISNUMBER(L899))),"",IF(OR(K899&lt;=0,L899&lt;=0),"",ROUND(L899-K899,6)))</f>
        <v/>
      </c>
      <c r="N899" s="58" t="n"/>
      <c r="O899" s="62" t="n"/>
      <c r="P899" s="63" t="str">
        <f>IF(OR(B899="",NOT(ISNUMBER(L899))),"",IF(L899&lt;=0,"",IFERROR(ROUND(L899*N(INDEX(art_w,MATCH(H899,art_ref,0))),3),"")))</f>
        <v/>
      </c>
      <c r="Q899" s="59" t="n"/>
      <c r="R899" s="54" t="n"/>
      <c r="S899" s="59" t="n"/>
      <c r="T899" s="59" t="n"/>
      <c r="U899" s="64" t="str">
        <f>IF(OR(B899="",H899=""),"",IFERROR(IF(A899="BL",IF(N(INDEX(art_price,MATCH(H899,art_ref,0)))=0,"",N(INDEX(art_price,MATCH(H899,art_ref,0)))),IF(N(INDEX(art_cost,MATCH(H899,art_ref,0)))=0,"",N(INDEX(art_cost,MATCH(H899,art_ref,0))))),""))</f>
        <v/>
      </c>
      <c r="V899" s="64" t="str">
        <f>IF(OR(U899="",NOT(ISNUMBER(L899))),"",IF(L899&lt;=0,"",ROUND(L899*U899,2)))</f>
        <v/>
      </c>
      <c r="W899" s="60" t="str">
        <f>IF(AND(B899&lt;&gt;"",A899&lt;&gt;"BS",F899&lt;&gt;"",H899&lt;&gt;"",ISNUMBER(K899),ISNUMBER(L899)),IF(AND(K899&gt;0,L899&gt;0,K899-L899&gt;0,COUNTIFS(A900:A$2005,A899,F900:F$2005,F899,H900:H$2005,H899,AA900:AA$2005,"&gt;0")=0),ROUND(K899-L899,6),""),"")</f>
        <v/>
      </c>
      <c r="X899" s="60" t="str">
        <f>IF(AND(A899="",C899="",D899="",H899="",L899=""),"",IF(A899="","Type manquant",IF(AND(A899&lt;&gt;"BL",A899&lt;&gt;"BR",A899&lt;&gt;"BS"),"Type inconnu (BL, BR ou BS)",IF(AG899=0,"Date manquante ou invalide",IF(D899="",IF(A899="BL","Client manquant",IF(A899="BR","Fournisseur manquant","Service manquant")),IF(IF(A899="BL",ISNA(MATCH(D899,cl_code,0)),IF(A899="BR",ISNA(MATCH(D899,fo_code,0)),ISNA(MATCH(D899,p_services,0)))),IF(A899="BL","Client inconnu",IF(A899="BR","Fournisseur inconnu","Service inconnu")),IF(H899="","Article manquant",IF(ISNA(MATCH(H899,art_ref,0)),"Article inconnu",IF(OR(NOT(ISNUMBER(L899)),N(L899)&lt;=0),"Quantité invalide",IF(AND(K899&lt;&gt;"",OR(NOT(ISNUMBER(K899)),N(K899)&lt;=0)),"Qté commandée invalide",IF(AG899&lt;SUMPRODUCT(MAX((A$6:A898=A899)*AG$6:AG898)),"Date antérieure au bon précédent",IF(AND(A899&lt;&gt;"BR",ISNUMBER(M899),N(M899)&gt;0),IF(A899="BL","Livré plus que commandé","Sorti plus que demandé"),"OK"))))))))))))</f>
        <v/>
      </c>
      <c r="Y899" s="57" t="str">
        <f>IF(AND(OR(A899="BL",A899="BR",A899="BS"),AG899&gt;0,D899&lt;&gt;""),A899&amp;"|"&amp;AG899&amp;"|"&amp;D899&amp;"|"&amp;F899,"")</f>
        <v/>
      </c>
      <c r="Z899" s="57" t="str">
        <f>IF(Y899="","",IF(COUNTIF(Y$6:Y898,Y899)=0,1,0))</f>
        <v/>
      </c>
      <c r="AA899" s="57" t="str">
        <f>IF(Y899="","",IF(Z899=1,COUNTIFS(A$6:A899,A899,Z$6:Z899,1),INDEX(AA$6:AA898,MATCH(Y899,Y$6:Y898,0))))</f>
        <v/>
      </c>
      <c r="AB899" s="57" t="str">
        <f>IF(B899="","",COUNTIF(B$6:B899,B899))</f>
        <v/>
      </c>
      <c r="AC899" s="57" t="str">
        <f>IF(B899="","",B899&amp;"#"&amp;AB899)</f>
        <v/>
      </c>
      <c r="AD899" s="57" t="str">
        <f>IF(Z899=1,A899&amp;AA899,"")</f>
        <v/>
      </c>
      <c r="AE899" s="57" t="str">
        <f>IF(B899="","",YEAR(C899))</f>
        <v/>
      </c>
      <c r="AF899" s="57" t="str">
        <f>IF(B899="","",MONTH(C899))</f>
        <v/>
      </c>
      <c r="AG899" s="57">
        <f>IF(ISNUMBER(C899),C899,0)</f>
        <v>0.0</v>
      </c>
      <c r="AH899" s="57" t="str">
        <f>IF(N(W899)&gt;0,COUNTIF(W$6:W899,"&gt;0"),"")</f>
        <v/>
      </c>
      <c r="AI899" s="57" t="str">
        <f>IF(Z899=1,COUNTIF(Z$6:Z899,1),"")</f>
        <v/>
      </c>
    </row>
    <row r="900">
      <c r="A900" s="54" t="n"/>
      <c r="B900" s="55" t="str">
        <f>IF(AA900="","",A900&amp;"-"&amp;RIGHT("000"&amp;AA900,4))</f>
        <v/>
      </c>
      <c r="C900" s="56" t="n"/>
      <c r="D900" s="54" t="n"/>
      <c r="E900" s="57" t="str">
        <f>IF(D900="","",IF(A900="BL",IFERROR(INDEX(cl_name,MATCH(D900,cl_code,0))&amp;"","Client inconnu"),IF(A900="BR",IFERROR(INDEX(fo_name,MATCH(D900,fo_code,0))&amp;"","Fournisseur inconnu"),IF(A900="BS",IF(ISNA(MATCH(D900,p_services,0)),"Service inconnu",D900&amp;""),""))))</f>
        <v/>
      </c>
      <c r="F900" s="58" t="n"/>
      <c r="G900" s="58" t="n"/>
      <c r="H900" s="59" t="n"/>
      <c r="I900" s="57" t="str">
        <f>IF(H900="","",IFERROR(INDEX(art_des,MATCH(H900,art_ref,0))&amp;"","Article inconnu"))</f>
        <v/>
      </c>
      <c r="J900" s="60" t="str">
        <f>IF(H900="","",IFERROR(INDEX(art_unit,MATCH(H900,art_ref,0))&amp;"",""))</f>
        <v/>
      </c>
      <c r="K900" s="59" t="n"/>
      <c r="L900" s="59" t="n"/>
      <c r="M900" s="61" t="str">
        <f>IF(OR(B900="",NOT(ISNUMBER(K900)),NOT(ISNUMBER(L900))),"",IF(OR(K900&lt;=0,L900&lt;=0),"",ROUND(L900-K900,6)))</f>
        <v/>
      </c>
      <c r="N900" s="58" t="n"/>
      <c r="O900" s="62" t="n"/>
      <c r="P900" s="63" t="str">
        <f>IF(OR(B900="",NOT(ISNUMBER(L900))),"",IF(L900&lt;=0,"",IFERROR(ROUND(L900*N(INDEX(art_w,MATCH(H900,art_ref,0))),3),"")))</f>
        <v/>
      </c>
      <c r="Q900" s="59" t="n"/>
      <c r="R900" s="54" t="n"/>
      <c r="S900" s="59" t="n"/>
      <c r="T900" s="59" t="n"/>
      <c r="U900" s="64" t="str">
        <f>IF(OR(B900="",H900=""),"",IFERROR(IF(A900="BL",IF(N(INDEX(art_price,MATCH(H900,art_ref,0)))=0,"",N(INDEX(art_price,MATCH(H900,art_ref,0)))),IF(N(INDEX(art_cost,MATCH(H900,art_ref,0)))=0,"",N(INDEX(art_cost,MATCH(H900,art_ref,0))))),""))</f>
        <v/>
      </c>
      <c r="V900" s="64" t="str">
        <f>IF(OR(U900="",NOT(ISNUMBER(L900))),"",IF(L900&lt;=0,"",ROUND(L900*U900,2)))</f>
        <v/>
      </c>
      <c r="W900" s="60" t="str">
        <f>IF(AND(B900&lt;&gt;"",A900&lt;&gt;"BS",F900&lt;&gt;"",H900&lt;&gt;"",ISNUMBER(K900),ISNUMBER(L900)),IF(AND(K900&gt;0,L900&gt;0,K900-L900&gt;0,COUNTIFS(A901:A$2005,A900,F901:F$2005,F900,H901:H$2005,H900,AA901:AA$2005,"&gt;0")=0),ROUND(K900-L900,6),""),"")</f>
        <v/>
      </c>
      <c r="X900" s="60" t="str">
        <f>IF(AND(A900="",C900="",D900="",H900="",L900=""),"",IF(A900="","Type manquant",IF(AND(A900&lt;&gt;"BL",A900&lt;&gt;"BR",A900&lt;&gt;"BS"),"Type inconnu (BL, BR ou BS)",IF(AG900=0,"Date manquante ou invalide",IF(D900="",IF(A900="BL","Client manquant",IF(A900="BR","Fournisseur manquant","Service manquant")),IF(IF(A900="BL",ISNA(MATCH(D900,cl_code,0)),IF(A900="BR",ISNA(MATCH(D900,fo_code,0)),ISNA(MATCH(D900,p_services,0)))),IF(A900="BL","Client inconnu",IF(A900="BR","Fournisseur inconnu","Service inconnu")),IF(H900="","Article manquant",IF(ISNA(MATCH(H900,art_ref,0)),"Article inconnu",IF(OR(NOT(ISNUMBER(L900)),N(L900)&lt;=0),"Quantité invalide",IF(AND(K900&lt;&gt;"",OR(NOT(ISNUMBER(K900)),N(K900)&lt;=0)),"Qté commandée invalide",IF(AG900&lt;SUMPRODUCT(MAX((A$6:A899=A900)*AG$6:AG899)),"Date antérieure au bon précédent",IF(AND(A900&lt;&gt;"BR",ISNUMBER(M900),N(M900)&gt;0),IF(A900="BL","Livré plus que commandé","Sorti plus que demandé"),"OK"))))))))))))</f>
        <v/>
      </c>
      <c r="Y900" s="57" t="str">
        <f>IF(AND(OR(A900="BL",A900="BR",A900="BS"),AG900&gt;0,D900&lt;&gt;""),A900&amp;"|"&amp;AG900&amp;"|"&amp;D900&amp;"|"&amp;F900,"")</f>
        <v/>
      </c>
      <c r="Z900" s="57" t="str">
        <f>IF(Y900="","",IF(COUNTIF(Y$6:Y899,Y900)=0,1,0))</f>
        <v/>
      </c>
      <c r="AA900" s="57" t="str">
        <f>IF(Y900="","",IF(Z900=1,COUNTIFS(A$6:A900,A900,Z$6:Z900,1),INDEX(AA$6:AA899,MATCH(Y900,Y$6:Y899,0))))</f>
        <v/>
      </c>
      <c r="AB900" s="57" t="str">
        <f>IF(B900="","",COUNTIF(B$6:B900,B900))</f>
        <v/>
      </c>
      <c r="AC900" s="57" t="str">
        <f>IF(B900="","",B900&amp;"#"&amp;AB900)</f>
        <v/>
      </c>
      <c r="AD900" s="57" t="str">
        <f>IF(Z900=1,A900&amp;AA900,"")</f>
        <v/>
      </c>
      <c r="AE900" s="57" t="str">
        <f>IF(B900="","",YEAR(C900))</f>
        <v/>
      </c>
      <c r="AF900" s="57" t="str">
        <f>IF(B900="","",MONTH(C900))</f>
        <v/>
      </c>
      <c r="AG900" s="57">
        <f>IF(ISNUMBER(C900),C900,0)</f>
        <v>0.0</v>
      </c>
      <c r="AH900" s="57" t="str">
        <f>IF(N(W900)&gt;0,COUNTIF(W$6:W900,"&gt;0"),"")</f>
        <v/>
      </c>
      <c r="AI900" s="57" t="str">
        <f>IF(Z900=1,COUNTIF(Z$6:Z900,1),"")</f>
        <v/>
      </c>
    </row>
    <row r="901">
      <c r="A901" s="54" t="n"/>
      <c r="B901" s="55" t="str">
        <f>IF(AA901="","",A901&amp;"-"&amp;RIGHT("000"&amp;AA901,4))</f>
        <v/>
      </c>
      <c r="C901" s="56" t="n"/>
      <c r="D901" s="54" t="n"/>
      <c r="E901" s="57" t="str">
        <f>IF(D901="","",IF(A901="BL",IFERROR(INDEX(cl_name,MATCH(D901,cl_code,0))&amp;"","Client inconnu"),IF(A901="BR",IFERROR(INDEX(fo_name,MATCH(D901,fo_code,0))&amp;"","Fournisseur inconnu"),IF(A901="BS",IF(ISNA(MATCH(D901,p_services,0)),"Service inconnu",D901&amp;""),""))))</f>
        <v/>
      </c>
      <c r="F901" s="58" t="n"/>
      <c r="G901" s="58" t="n"/>
      <c r="H901" s="59" t="n"/>
      <c r="I901" s="57" t="str">
        <f>IF(H901="","",IFERROR(INDEX(art_des,MATCH(H901,art_ref,0))&amp;"","Article inconnu"))</f>
        <v/>
      </c>
      <c r="J901" s="60" t="str">
        <f>IF(H901="","",IFERROR(INDEX(art_unit,MATCH(H901,art_ref,0))&amp;"",""))</f>
        <v/>
      </c>
      <c r="K901" s="59" t="n"/>
      <c r="L901" s="59" t="n"/>
      <c r="M901" s="61" t="str">
        <f>IF(OR(B901="",NOT(ISNUMBER(K901)),NOT(ISNUMBER(L901))),"",IF(OR(K901&lt;=0,L901&lt;=0),"",ROUND(L901-K901,6)))</f>
        <v/>
      </c>
      <c r="N901" s="58" t="n"/>
      <c r="O901" s="62" t="n"/>
      <c r="P901" s="63" t="str">
        <f>IF(OR(B901="",NOT(ISNUMBER(L901))),"",IF(L901&lt;=0,"",IFERROR(ROUND(L901*N(INDEX(art_w,MATCH(H901,art_ref,0))),3),"")))</f>
        <v/>
      </c>
      <c r="Q901" s="59" t="n"/>
      <c r="R901" s="54" t="n"/>
      <c r="S901" s="59" t="n"/>
      <c r="T901" s="59" t="n"/>
      <c r="U901" s="64" t="str">
        <f>IF(OR(B901="",H901=""),"",IFERROR(IF(A901="BL",IF(N(INDEX(art_price,MATCH(H901,art_ref,0)))=0,"",N(INDEX(art_price,MATCH(H901,art_ref,0)))),IF(N(INDEX(art_cost,MATCH(H901,art_ref,0)))=0,"",N(INDEX(art_cost,MATCH(H901,art_ref,0))))),""))</f>
        <v/>
      </c>
      <c r="V901" s="64" t="str">
        <f>IF(OR(U901="",NOT(ISNUMBER(L901))),"",IF(L901&lt;=0,"",ROUND(L901*U901,2)))</f>
        <v/>
      </c>
      <c r="W901" s="60" t="str">
        <f>IF(AND(B901&lt;&gt;"",A901&lt;&gt;"BS",F901&lt;&gt;"",H901&lt;&gt;"",ISNUMBER(K901),ISNUMBER(L901)),IF(AND(K901&gt;0,L901&gt;0,K901-L901&gt;0,COUNTIFS(A902:A$2005,A901,F902:F$2005,F901,H902:H$2005,H901,AA902:AA$2005,"&gt;0")=0),ROUND(K901-L901,6),""),"")</f>
        <v/>
      </c>
      <c r="X901" s="60" t="str">
        <f>IF(AND(A901="",C901="",D901="",H901="",L901=""),"",IF(A901="","Type manquant",IF(AND(A901&lt;&gt;"BL",A901&lt;&gt;"BR",A901&lt;&gt;"BS"),"Type inconnu (BL, BR ou BS)",IF(AG901=0,"Date manquante ou invalide",IF(D901="",IF(A901="BL","Client manquant",IF(A901="BR","Fournisseur manquant","Service manquant")),IF(IF(A901="BL",ISNA(MATCH(D901,cl_code,0)),IF(A901="BR",ISNA(MATCH(D901,fo_code,0)),ISNA(MATCH(D901,p_services,0)))),IF(A901="BL","Client inconnu",IF(A901="BR","Fournisseur inconnu","Service inconnu")),IF(H901="","Article manquant",IF(ISNA(MATCH(H901,art_ref,0)),"Article inconnu",IF(OR(NOT(ISNUMBER(L901)),N(L901)&lt;=0),"Quantité invalide",IF(AND(K901&lt;&gt;"",OR(NOT(ISNUMBER(K901)),N(K901)&lt;=0)),"Qté commandée invalide",IF(AG901&lt;SUMPRODUCT(MAX((A$6:A900=A901)*AG$6:AG900)),"Date antérieure au bon précédent",IF(AND(A901&lt;&gt;"BR",ISNUMBER(M901),N(M901)&gt;0),IF(A901="BL","Livré plus que commandé","Sorti plus que demandé"),"OK"))))))))))))</f>
        <v/>
      </c>
      <c r="Y901" s="57" t="str">
        <f>IF(AND(OR(A901="BL",A901="BR",A901="BS"),AG901&gt;0,D901&lt;&gt;""),A901&amp;"|"&amp;AG901&amp;"|"&amp;D901&amp;"|"&amp;F901,"")</f>
        <v/>
      </c>
      <c r="Z901" s="57" t="str">
        <f>IF(Y901="","",IF(COUNTIF(Y$6:Y900,Y901)=0,1,0))</f>
        <v/>
      </c>
      <c r="AA901" s="57" t="str">
        <f>IF(Y901="","",IF(Z901=1,COUNTIFS(A$6:A901,A901,Z$6:Z901,1),INDEX(AA$6:AA900,MATCH(Y901,Y$6:Y900,0))))</f>
        <v/>
      </c>
      <c r="AB901" s="57" t="str">
        <f>IF(B901="","",COUNTIF(B$6:B901,B901))</f>
        <v/>
      </c>
      <c r="AC901" s="57" t="str">
        <f>IF(B901="","",B901&amp;"#"&amp;AB901)</f>
        <v/>
      </c>
      <c r="AD901" s="57" t="str">
        <f>IF(Z901=1,A901&amp;AA901,"")</f>
        <v/>
      </c>
      <c r="AE901" s="57" t="str">
        <f>IF(B901="","",YEAR(C901))</f>
        <v/>
      </c>
      <c r="AF901" s="57" t="str">
        <f>IF(B901="","",MONTH(C901))</f>
        <v/>
      </c>
      <c r="AG901" s="57">
        <f>IF(ISNUMBER(C901),C901,0)</f>
        <v>0.0</v>
      </c>
      <c r="AH901" s="57" t="str">
        <f>IF(N(W901)&gt;0,COUNTIF(W$6:W901,"&gt;0"),"")</f>
        <v/>
      </c>
      <c r="AI901" s="57" t="str">
        <f>IF(Z901=1,COUNTIF(Z$6:Z901,1),"")</f>
        <v/>
      </c>
    </row>
    <row r="902">
      <c r="A902" s="54" t="n"/>
      <c r="B902" s="55" t="str">
        <f>IF(AA902="","",A902&amp;"-"&amp;RIGHT("000"&amp;AA902,4))</f>
        <v/>
      </c>
      <c r="C902" s="56" t="n"/>
      <c r="D902" s="54" t="n"/>
      <c r="E902" s="57" t="str">
        <f>IF(D902="","",IF(A902="BL",IFERROR(INDEX(cl_name,MATCH(D902,cl_code,0))&amp;"","Client inconnu"),IF(A902="BR",IFERROR(INDEX(fo_name,MATCH(D902,fo_code,0))&amp;"","Fournisseur inconnu"),IF(A902="BS",IF(ISNA(MATCH(D902,p_services,0)),"Service inconnu",D902&amp;""),""))))</f>
        <v/>
      </c>
      <c r="F902" s="58" t="n"/>
      <c r="G902" s="58" t="n"/>
      <c r="H902" s="59" t="n"/>
      <c r="I902" s="57" t="str">
        <f>IF(H902="","",IFERROR(INDEX(art_des,MATCH(H902,art_ref,0))&amp;"","Article inconnu"))</f>
        <v/>
      </c>
      <c r="J902" s="60" t="str">
        <f>IF(H902="","",IFERROR(INDEX(art_unit,MATCH(H902,art_ref,0))&amp;"",""))</f>
        <v/>
      </c>
      <c r="K902" s="59" t="n"/>
      <c r="L902" s="59" t="n"/>
      <c r="M902" s="61" t="str">
        <f>IF(OR(B902="",NOT(ISNUMBER(K902)),NOT(ISNUMBER(L902))),"",IF(OR(K902&lt;=0,L902&lt;=0),"",ROUND(L902-K902,6)))</f>
        <v/>
      </c>
      <c r="N902" s="58" t="n"/>
      <c r="O902" s="62" t="n"/>
      <c r="P902" s="63" t="str">
        <f>IF(OR(B902="",NOT(ISNUMBER(L902))),"",IF(L902&lt;=0,"",IFERROR(ROUND(L902*N(INDEX(art_w,MATCH(H902,art_ref,0))),3),"")))</f>
        <v/>
      </c>
      <c r="Q902" s="59" t="n"/>
      <c r="R902" s="54" t="n"/>
      <c r="S902" s="59" t="n"/>
      <c r="T902" s="59" t="n"/>
      <c r="U902" s="64" t="str">
        <f>IF(OR(B902="",H902=""),"",IFERROR(IF(A902="BL",IF(N(INDEX(art_price,MATCH(H902,art_ref,0)))=0,"",N(INDEX(art_price,MATCH(H902,art_ref,0)))),IF(N(INDEX(art_cost,MATCH(H902,art_ref,0)))=0,"",N(INDEX(art_cost,MATCH(H902,art_ref,0))))),""))</f>
        <v/>
      </c>
      <c r="V902" s="64" t="str">
        <f>IF(OR(U902="",NOT(ISNUMBER(L902))),"",IF(L902&lt;=0,"",ROUND(L902*U902,2)))</f>
        <v/>
      </c>
      <c r="W902" s="60" t="str">
        <f>IF(AND(B902&lt;&gt;"",A902&lt;&gt;"BS",F902&lt;&gt;"",H902&lt;&gt;"",ISNUMBER(K902),ISNUMBER(L902)),IF(AND(K902&gt;0,L902&gt;0,K902-L902&gt;0,COUNTIFS(A903:A$2005,A902,F903:F$2005,F902,H903:H$2005,H902,AA903:AA$2005,"&gt;0")=0),ROUND(K902-L902,6),""),"")</f>
        <v/>
      </c>
      <c r="X902" s="60" t="str">
        <f>IF(AND(A902="",C902="",D902="",H902="",L902=""),"",IF(A902="","Type manquant",IF(AND(A902&lt;&gt;"BL",A902&lt;&gt;"BR",A902&lt;&gt;"BS"),"Type inconnu (BL, BR ou BS)",IF(AG902=0,"Date manquante ou invalide",IF(D902="",IF(A902="BL","Client manquant",IF(A902="BR","Fournisseur manquant","Service manquant")),IF(IF(A902="BL",ISNA(MATCH(D902,cl_code,0)),IF(A902="BR",ISNA(MATCH(D902,fo_code,0)),ISNA(MATCH(D902,p_services,0)))),IF(A902="BL","Client inconnu",IF(A902="BR","Fournisseur inconnu","Service inconnu")),IF(H902="","Article manquant",IF(ISNA(MATCH(H902,art_ref,0)),"Article inconnu",IF(OR(NOT(ISNUMBER(L902)),N(L902)&lt;=0),"Quantité invalide",IF(AND(K902&lt;&gt;"",OR(NOT(ISNUMBER(K902)),N(K902)&lt;=0)),"Qté commandée invalide",IF(AG902&lt;SUMPRODUCT(MAX((A$6:A901=A902)*AG$6:AG901)),"Date antérieure au bon précédent",IF(AND(A902&lt;&gt;"BR",ISNUMBER(M902),N(M902)&gt;0),IF(A902="BL","Livré plus que commandé","Sorti plus que demandé"),"OK"))))))))))))</f>
        <v/>
      </c>
      <c r="Y902" s="57" t="str">
        <f>IF(AND(OR(A902="BL",A902="BR",A902="BS"),AG902&gt;0,D902&lt;&gt;""),A902&amp;"|"&amp;AG902&amp;"|"&amp;D902&amp;"|"&amp;F902,"")</f>
        <v/>
      </c>
      <c r="Z902" s="57" t="str">
        <f>IF(Y902="","",IF(COUNTIF(Y$6:Y901,Y902)=0,1,0))</f>
        <v/>
      </c>
      <c r="AA902" s="57" t="str">
        <f>IF(Y902="","",IF(Z902=1,COUNTIFS(A$6:A902,A902,Z$6:Z902,1),INDEX(AA$6:AA901,MATCH(Y902,Y$6:Y901,0))))</f>
        <v/>
      </c>
      <c r="AB902" s="57" t="str">
        <f>IF(B902="","",COUNTIF(B$6:B902,B902))</f>
        <v/>
      </c>
      <c r="AC902" s="57" t="str">
        <f>IF(B902="","",B902&amp;"#"&amp;AB902)</f>
        <v/>
      </c>
      <c r="AD902" s="57" t="str">
        <f>IF(Z902=1,A902&amp;AA902,"")</f>
        <v/>
      </c>
      <c r="AE902" s="57" t="str">
        <f>IF(B902="","",YEAR(C902))</f>
        <v/>
      </c>
      <c r="AF902" s="57" t="str">
        <f>IF(B902="","",MONTH(C902))</f>
        <v/>
      </c>
      <c r="AG902" s="57">
        <f>IF(ISNUMBER(C902),C902,0)</f>
        <v>0.0</v>
      </c>
      <c r="AH902" s="57" t="str">
        <f>IF(N(W902)&gt;0,COUNTIF(W$6:W902,"&gt;0"),"")</f>
        <v/>
      </c>
      <c r="AI902" s="57" t="str">
        <f>IF(Z902=1,COUNTIF(Z$6:Z902,1),"")</f>
        <v/>
      </c>
    </row>
    <row r="903">
      <c r="A903" s="54" t="n"/>
      <c r="B903" s="55" t="str">
        <f>IF(AA903="","",A903&amp;"-"&amp;RIGHT("000"&amp;AA903,4))</f>
        <v/>
      </c>
      <c r="C903" s="56" t="n"/>
      <c r="D903" s="54" t="n"/>
      <c r="E903" s="57" t="str">
        <f>IF(D903="","",IF(A903="BL",IFERROR(INDEX(cl_name,MATCH(D903,cl_code,0))&amp;"","Client inconnu"),IF(A903="BR",IFERROR(INDEX(fo_name,MATCH(D903,fo_code,0))&amp;"","Fournisseur inconnu"),IF(A903="BS",IF(ISNA(MATCH(D903,p_services,0)),"Service inconnu",D903&amp;""),""))))</f>
        <v/>
      </c>
      <c r="F903" s="58" t="n"/>
      <c r="G903" s="58" t="n"/>
      <c r="H903" s="59" t="n"/>
      <c r="I903" s="57" t="str">
        <f>IF(H903="","",IFERROR(INDEX(art_des,MATCH(H903,art_ref,0))&amp;"","Article inconnu"))</f>
        <v/>
      </c>
      <c r="J903" s="60" t="str">
        <f>IF(H903="","",IFERROR(INDEX(art_unit,MATCH(H903,art_ref,0))&amp;"",""))</f>
        <v/>
      </c>
      <c r="K903" s="59" t="n"/>
      <c r="L903" s="59" t="n"/>
      <c r="M903" s="61" t="str">
        <f>IF(OR(B903="",NOT(ISNUMBER(K903)),NOT(ISNUMBER(L903))),"",IF(OR(K903&lt;=0,L903&lt;=0),"",ROUND(L903-K903,6)))</f>
        <v/>
      </c>
      <c r="N903" s="58" t="n"/>
      <c r="O903" s="62" t="n"/>
      <c r="P903" s="63" t="str">
        <f>IF(OR(B903="",NOT(ISNUMBER(L903))),"",IF(L903&lt;=0,"",IFERROR(ROUND(L903*N(INDEX(art_w,MATCH(H903,art_ref,0))),3),"")))</f>
        <v/>
      </c>
      <c r="Q903" s="59" t="n"/>
      <c r="R903" s="54" t="n"/>
      <c r="S903" s="59" t="n"/>
      <c r="T903" s="59" t="n"/>
      <c r="U903" s="64" t="str">
        <f>IF(OR(B903="",H903=""),"",IFERROR(IF(A903="BL",IF(N(INDEX(art_price,MATCH(H903,art_ref,0)))=0,"",N(INDEX(art_price,MATCH(H903,art_ref,0)))),IF(N(INDEX(art_cost,MATCH(H903,art_ref,0)))=0,"",N(INDEX(art_cost,MATCH(H903,art_ref,0))))),""))</f>
        <v/>
      </c>
      <c r="V903" s="64" t="str">
        <f>IF(OR(U903="",NOT(ISNUMBER(L903))),"",IF(L903&lt;=0,"",ROUND(L903*U903,2)))</f>
        <v/>
      </c>
      <c r="W903" s="60" t="str">
        <f>IF(AND(B903&lt;&gt;"",A903&lt;&gt;"BS",F903&lt;&gt;"",H903&lt;&gt;"",ISNUMBER(K903),ISNUMBER(L903)),IF(AND(K903&gt;0,L903&gt;0,K903-L903&gt;0,COUNTIFS(A904:A$2005,A903,F904:F$2005,F903,H904:H$2005,H903,AA904:AA$2005,"&gt;0")=0),ROUND(K903-L903,6),""),"")</f>
        <v/>
      </c>
      <c r="X903" s="60" t="str">
        <f>IF(AND(A903="",C903="",D903="",H903="",L903=""),"",IF(A903="","Type manquant",IF(AND(A903&lt;&gt;"BL",A903&lt;&gt;"BR",A903&lt;&gt;"BS"),"Type inconnu (BL, BR ou BS)",IF(AG903=0,"Date manquante ou invalide",IF(D903="",IF(A903="BL","Client manquant",IF(A903="BR","Fournisseur manquant","Service manquant")),IF(IF(A903="BL",ISNA(MATCH(D903,cl_code,0)),IF(A903="BR",ISNA(MATCH(D903,fo_code,0)),ISNA(MATCH(D903,p_services,0)))),IF(A903="BL","Client inconnu",IF(A903="BR","Fournisseur inconnu","Service inconnu")),IF(H903="","Article manquant",IF(ISNA(MATCH(H903,art_ref,0)),"Article inconnu",IF(OR(NOT(ISNUMBER(L903)),N(L903)&lt;=0),"Quantité invalide",IF(AND(K903&lt;&gt;"",OR(NOT(ISNUMBER(K903)),N(K903)&lt;=0)),"Qté commandée invalide",IF(AG903&lt;SUMPRODUCT(MAX((A$6:A902=A903)*AG$6:AG902)),"Date antérieure au bon précédent",IF(AND(A903&lt;&gt;"BR",ISNUMBER(M903),N(M903)&gt;0),IF(A903="BL","Livré plus que commandé","Sorti plus que demandé"),"OK"))))))))))))</f>
        <v/>
      </c>
      <c r="Y903" s="57" t="str">
        <f>IF(AND(OR(A903="BL",A903="BR",A903="BS"),AG903&gt;0,D903&lt;&gt;""),A903&amp;"|"&amp;AG903&amp;"|"&amp;D903&amp;"|"&amp;F903,"")</f>
        <v/>
      </c>
      <c r="Z903" s="57" t="str">
        <f>IF(Y903="","",IF(COUNTIF(Y$6:Y902,Y903)=0,1,0))</f>
        <v/>
      </c>
      <c r="AA903" s="57" t="str">
        <f>IF(Y903="","",IF(Z903=1,COUNTIFS(A$6:A903,A903,Z$6:Z903,1),INDEX(AA$6:AA902,MATCH(Y903,Y$6:Y902,0))))</f>
        <v/>
      </c>
      <c r="AB903" s="57" t="str">
        <f>IF(B903="","",COUNTIF(B$6:B903,B903))</f>
        <v/>
      </c>
      <c r="AC903" s="57" t="str">
        <f>IF(B903="","",B903&amp;"#"&amp;AB903)</f>
        <v/>
      </c>
      <c r="AD903" s="57" t="str">
        <f>IF(Z903=1,A903&amp;AA903,"")</f>
        <v/>
      </c>
      <c r="AE903" s="57" t="str">
        <f>IF(B903="","",YEAR(C903))</f>
        <v/>
      </c>
      <c r="AF903" s="57" t="str">
        <f>IF(B903="","",MONTH(C903))</f>
        <v/>
      </c>
      <c r="AG903" s="57">
        <f>IF(ISNUMBER(C903),C903,0)</f>
        <v>0.0</v>
      </c>
      <c r="AH903" s="57" t="str">
        <f>IF(N(W903)&gt;0,COUNTIF(W$6:W903,"&gt;0"),"")</f>
        <v/>
      </c>
      <c r="AI903" s="57" t="str">
        <f>IF(Z903=1,COUNTIF(Z$6:Z903,1),"")</f>
        <v/>
      </c>
    </row>
    <row r="904">
      <c r="A904" s="54" t="n"/>
      <c r="B904" s="55" t="str">
        <f>IF(AA904="","",A904&amp;"-"&amp;RIGHT("000"&amp;AA904,4))</f>
        <v/>
      </c>
      <c r="C904" s="56" t="n"/>
      <c r="D904" s="54" t="n"/>
      <c r="E904" s="57" t="str">
        <f>IF(D904="","",IF(A904="BL",IFERROR(INDEX(cl_name,MATCH(D904,cl_code,0))&amp;"","Client inconnu"),IF(A904="BR",IFERROR(INDEX(fo_name,MATCH(D904,fo_code,0))&amp;"","Fournisseur inconnu"),IF(A904="BS",IF(ISNA(MATCH(D904,p_services,0)),"Service inconnu",D904&amp;""),""))))</f>
        <v/>
      </c>
      <c r="F904" s="58" t="n"/>
      <c r="G904" s="58" t="n"/>
      <c r="H904" s="59" t="n"/>
      <c r="I904" s="57" t="str">
        <f>IF(H904="","",IFERROR(INDEX(art_des,MATCH(H904,art_ref,0))&amp;"","Article inconnu"))</f>
        <v/>
      </c>
      <c r="J904" s="60" t="str">
        <f>IF(H904="","",IFERROR(INDEX(art_unit,MATCH(H904,art_ref,0))&amp;"",""))</f>
        <v/>
      </c>
      <c r="K904" s="59" t="n"/>
      <c r="L904" s="59" t="n"/>
      <c r="M904" s="61" t="str">
        <f>IF(OR(B904="",NOT(ISNUMBER(K904)),NOT(ISNUMBER(L904))),"",IF(OR(K904&lt;=0,L904&lt;=0),"",ROUND(L904-K904,6)))</f>
        <v/>
      </c>
      <c r="N904" s="58" t="n"/>
      <c r="O904" s="62" t="n"/>
      <c r="P904" s="63" t="str">
        <f>IF(OR(B904="",NOT(ISNUMBER(L904))),"",IF(L904&lt;=0,"",IFERROR(ROUND(L904*N(INDEX(art_w,MATCH(H904,art_ref,0))),3),"")))</f>
        <v/>
      </c>
      <c r="Q904" s="59" t="n"/>
      <c r="R904" s="54" t="n"/>
      <c r="S904" s="59" t="n"/>
      <c r="T904" s="59" t="n"/>
      <c r="U904" s="64" t="str">
        <f>IF(OR(B904="",H904=""),"",IFERROR(IF(A904="BL",IF(N(INDEX(art_price,MATCH(H904,art_ref,0)))=0,"",N(INDEX(art_price,MATCH(H904,art_ref,0)))),IF(N(INDEX(art_cost,MATCH(H904,art_ref,0)))=0,"",N(INDEX(art_cost,MATCH(H904,art_ref,0))))),""))</f>
        <v/>
      </c>
      <c r="V904" s="64" t="str">
        <f>IF(OR(U904="",NOT(ISNUMBER(L904))),"",IF(L904&lt;=0,"",ROUND(L904*U904,2)))</f>
        <v/>
      </c>
      <c r="W904" s="60" t="str">
        <f>IF(AND(B904&lt;&gt;"",A904&lt;&gt;"BS",F904&lt;&gt;"",H904&lt;&gt;"",ISNUMBER(K904),ISNUMBER(L904)),IF(AND(K904&gt;0,L904&gt;0,K904-L904&gt;0,COUNTIFS(A905:A$2005,A904,F905:F$2005,F904,H905:H$2005,H904,AA905:AA$2005,"&gt;0")=0),ROUND(K904-L904,6),""),"")</f>
        <v/>
      </c>
      <c r="X904" s="60" t="str">
        <f>IF(AND(A904="",C904="",D904="",H904="",L904=""),"",IF(A904="","Type manquant",IF(AND(A904&lt;&gt;"BL",A904&lt;&gt;"BR",A904&lt;&gt;"BS"),"Type inconnu (BL, BR ou BS)",IF(AG904=0,"Date manquante ou invalide",IF(D904="",IF(A904="BL","Client manquant",IF(A904="BR","Fournisseur manquant","Service manquant")),IF(IF(A904="BL",ISNA(MATCH(D904,cl_code,0)),IF(A904="BR",ISNA(MATCH(D904,fo_code,0)),ISNA(MATCH(D904,p_services,0)))),IF(A904="BL","Client inconnu",IF(A904="BR","Fournisseur inconnu","Service inconnu")),IF(H904="","Article manquant",IF(ISNA(MATCH(H904,art_ref,0)),"Article inconnu",IF(OR(NOT(ISNUMBER(L904)),N(L904)&lt;=0),"Quantité invalide",IF(AND(K904&lt;&gt;"",OR(NOT(ISNUMBER(K904)),N(K904)&lt;=0)),"Qté commandée invalide",IF(AG904&lt;SUMPRODUCT(MAX((A$6:A903=A904)*AG$6:AG903)),"Date antérieure au bon précédent",IF(AND(A904&lt;&gt;"BR",ISNUMBER(M904),N(M904)&gt;0),IF(A904="BL","Livré plus que commandé","Sorti plus que demandé"),"OK"))))))))))))</f>
        <v/>
      </c>
      <c r="Y904" s="57" t="str">
        <f>IF(AND(OR(A904="BL",A904="BR",A904="BS"),AG904&gt;0,D904&lt;&gt;""),A904&amp;"|"&amp;AG904&amp;"|"&amp;D904&amp;"|"&amp;F904,"")</f>
        <v/>
      </c>
      <c r="Z904" s="57" t="str">
        <f>IF(Y904="","",IF(COUNTIF(Y$6:Y903,Y904)=0,1,0))</f>
        <v/>
      </c>
      <c r="AA904" s="57" t="str">
        <f>IF(Y904="","",IF(Z904=1,COUNTIFS(A$6:A904,A904,Z$6:Z904,1),INDEX(AA$6:AA903,MATCH(Y904,Y$6:Y903,0))))</f>
        <v/>
      </c>
      <c r="AB904" s="57" t="str">
        <f>IF(B904="","",COUNTIF(B$6:B904,B904))</f>
        <v/>
      </c>
      <c r="AC904" s="57" t="str">
        <f>IF(B904="","",B904&amp;"#"&amp;AB904)</f>
        <v/>
      </c>
      <c r="AD904" s="57" t="str">
        <f>IF(Z904=1,A904&amp;AA904,"")</f>
        <v/>
      </c>
      <c r="AE904" s="57" t="str">
        <f>IF(B904="","",YEAR(C904))</f>
        <v/>
      </c>
      <c r="AF904" s="57" t="str">
        <f>IF(B904="","",MONTH(C904))</f>
        <v/>
      </c>
      <c r="AG904" s="57">
        <f>IF(ISNUMBER(C904),C904,0)</f>
        <v>0.0</v>
      </c>
      <c r="AH904" s="57" t="str">
        <f>IF(N(W904)&gt;0,COUNTIF(W$6:W904,"&gt;0"),"")</f>
        <v/>
      </c>
      <c r="AI904" s="57" t="str">
        <f>IF(Z904=1,COUNTIF(Z$6:Z904,1),"")</f>
        <v/>
      </c>
    </row>
    <row r="905">
      <c r="A905" s="54" t="n"/>
      <c r="B905" s="55" t="str">
        <f>IF(AA905="","",A905&amp;"-"&amp;RIGHT("000"&amp;AA905,4))</f>
        <v/>
      </c>
      <c r="C905" s="56" t="n"/>
      <c r="D905" s="54" t="n"/>
      <c r="E905" s="57" t="str">
        <f>IF(D905="","",IF(A905="BL",IFERROR(INDEX(cl_name,MATCH(D905,cl_code,0))&amp;"","Client inconnu"),IF(A905="BR",IFERROR(INDEX(fo_name,MATCH(D905,fo_code,0))&amp;"","Fournisseur inconnu"),IF(A905="BS",IF(ISNA(MATCH(D905,p_services,0)),"Service inconnu",D905&amp;""),""))))</f>
        <v/>
      </c>
      <c r="F905" s="58" t="n"/>
      <c r="G905" s="58" t="n"/>
      <c r="H905" s="59" t="n"/>
      <c r="I905" s="57" t="str">
        <f>IF(H905="","",IFERROR(INDEX(art_des,MATCH(H905,art_ref,0))&amp;"","Article inconnu"))</f>
        <v/>
      </c>
      <c r="J905" s="60" t="str">
        <f>IF(H905="","",IFERROR(INDEX(art_unit,MATCH(H905,art_ref,0))&amp;"",""))</f>
        <v/>
      </c>
      <c r="K905" s="59" t="n"/>
      <c r="L905" s="59" t="n"/>
      <c r="M905" s="61" t="str">
        <f>IF(OR(B905="",NOT(ISNUMBER(K905)),NOT(ISNUMBER(L905))),"",IF(OR(K905&lt;=0,L905&lt;=0),"",ROUND(L905-K905,6)))</f>
        <v/>
      </c>
      <c r="N905" s="58" t="n"/>
      <c r="O905" s="62" t="n"/>
      <c r="P905" s="63" t="str">
        <f>IF(OR(B905="",NOT(ISNUMBER(L905))),"",IF(L905&lt;=0,"",IFERROR(ROUND(L905*N(INDEX(art_w,MATCH(H905,art_ref,0))),3),"")))</f>
        <v/>
      </c>
      <c r="Q905" s="59" t="n"/>
      <c r="R905" s="54" t="n"/>
      <c r="S905" s="59" t="n"/>
      <c r="T905" s="59" t="n"/>
      <c r="U905" s="64" t="str">
        <f>IF(OR(B905="",H905=""),"",IFERROR(IF(A905="BL",IF(N(INDEX(art_price,MATCH(H905,art_ref,0)))=0,"",N(INDEX(art_price,MATCH(H905,art_ref,0)))),IF(N(INDEX(art_cost,MATCH(H905,art_ref,0)))=0,"",N(INDEX(art_cost,MATCH(H905,art_ref,0))))),""))</f>
        <v/>
      </c>
      <c r="V905" s="64" t="str">
        <f>IF(OR(U905="",NOT(ISNUMBER(L905))),"",IF(L905&lt;=0,"",ROUND(L905*U905,2)))</f>
        <v/>
      </c>
      <c r="W905" s="60" t="str">
        <f>IF(AND(B905&lt;&gt;"",A905&lt;&gt;"BS",F905&lt;&gt;"",H905&lt;&gt;"",ISNUMBER(K905),ISNUMBER(L905)),IF(AND(K905&gt;0,L905&gt;0,K905-L905&gt;0,COUNTIFS(A906:A$2005,A905,F906:F$2005,F905,H906:H$2005,H905,AA906:AA$2005,"&gt;0")=0),ROUND(K905-L905,6),""),"")</f>
        <v/>
      </c>
      <c r="X905" s="60" t="str">
        <f>IF(AND(A905="",C905="",D905="",H905="",L905=""),"",IF(A905="","Type manquant",IF(AND(A905&lt;&gt;"BL",A905&lt;&gt;"BR",A905&lt;&gt;"BS"),"Type inconnu (BL, BR ou BS)",IF(AG905=0,"Date manquante ou invalide",IF(D905="",IF(A905="BL","Client manquant",IF(A905="BR","Fournisseur manquant","Service manquant")),IF(IF(A905="BL",ISNA(MATCH(D905,cl_code,0)),IF(A905="BR",ISNA(MATCH(D905,fo_code,0)),ISNA(MATCH(D905,p_services,0)))),IF(A905="BL","Client inconnu",IF(A905="BR","Fournisseur inconnu","Service inconnu")),IF(H905="","Article manquant",IF(ISNA(MATCH(H905,art_ref,0)),"Article inconnu",IF(OR(NOT(ISNUMBER(L905)),N(L905)&lt;=0),"Quantité invalide",IF(AND(K905&lt;&gt;"",OR(NOT(ISNUMBER(K905)),N(K905)&lt;=0)),"Qté commandée invalide",IF(AG905&lt;SUMPRODUCT(MAX((A$6:A904=A905)*AG$6:AG904)),"Date antérieure au bon précédent",IF(AND(A905&lt;&gt;"BR",ISNUMBER(M905),N(M905)&gt;0),IF(A905="BL","Livré plus que commandé","Sorti plus que demandé"),"OK"))))))))))))</f>
        <v/>
      </c>
      <c r="Y905" s="57" t="str">
        <f>IF(AND(OR(A905="BL",A905="BR",A905="BS"),AG905&gt;0,D905&lt;&gt;""),A905&amp;"|"&amp;AG905&amp;"|"&amp;D905&amp;"|"&amp;F905,"")</f>
        <v/>
      </c>
      <c r="Z905" s="57" t="str">
        <f>IF(Y905="","",IF(COUNTIF(Y$6:Y904,Y905)=0,1,0))</f>
        <v/>
      </c>
      <c r="AA905" s="57" t="str">
        <f>IF(Y905="","",IF(Z905=1,COUNTIFS(A$6:A905,A905,Z$6:Z905,1),INDEX(AA$6:AA904,MATCH(Y905,Y$6:Y904,0))))</f>
        <v/>
      </c>
      <c r="AB905" s="57" t="str">
        <f>IF(B905="","",COUNTIF(B$6:B905,B905))</f>
        <v/>
      </c>
      <c r="AC905" s="57" t="str">
        <f>IF(B905="","",B905&amp;"#"&amp;AB905)</f>
        <v/>
      </c>
      <c r="AD905" s="57" t="str">
        <f>IF(Z905=1,A905&amp;AA905,"")</f>
        <v/>
      </c>
      <c r="AE905" s="57" t="str">
        <f>IF(B905="","",YEAR(C905))</f>
        <v/>
      </c>
      <c r="AF905" s="57" t="str">
        <f>IF(B905="","",MONTH(C905))</f>
        <v/>
      </c>
      <c r="AG905" s="57">
        <f>IF(ISNUMBER(C905),C905,0)</f>
        <v>0.0</v>
      </c>
      <c r="AH905" s="57" t="str">
        <f>IF(N(W905)&gt;0,COUNTIF(W$6:W905,"&gt;0"),"")</f>
        <v/>
      </c>
      <c r="AI905" s="57" t="str">
        <f>IF(Z905=1,COUNTIF(Z$6:Z905,1),"")</f>
        <v/>
      </c>
    </row>
    <row r="906">
      <c r="A906" s="54" t="n"/>
      <c r="B906" s="55" t="str">
        <f>IF(AA906="","",A906&amp;"-"&amp;RIGHT("000"&amp;AA906,4))</f>
        <v/>
      </c>
      <c r="C906" s="56" t="n"/>
      <c r="D906" s="54" t="n"/>
      <c r="E906" s="57" t="str">
        <f>IF(D906="","",IF(A906="BL",IFERROR(INDEX(cl_name,MATCH(D906,cl_code,0))&amp;"","Client inconnu"),IF(A906="BR",IFERROR(INDEX(fo_name,MATCH(D906,fo_code,0))&amp;"","Fournisseur inconnu"),IF(A906="BS",IF(ISNA(MATCH(D906,p_services,0)),"Service inconnu",D906&amp;""),""))))</f>
        <v/>
      </c>
      <c r="F906" s="58" t="n"/>
      <c r="G906" s="58" t="n"/>
      <c r="H906" s="59" t="n"/>
      <c r="I906" s="57" t="str">
        <f>IF(H906="","",IFERROR(INDEX(art_des,MATCH(H906,art_ref,0))&amp;"","Article inconnu"))</f>
        <v/>
      </c>
      <c r="J906" s="60" t="str">
        <f>IF(H906="","",IFERROR(INDEX(art_unit,MATCH(H906,art_ref,0))&amp;"",""))</f>
        <v/>
      </c>
      <c r="K906" s="59" t="n"/>
      <c r="L906" s="59" t="n"/>
      <c r="M906" s="61" t="str">
        <f>IF(OR(B906="",NOT(ISNUMBER(K906)),NOT(ISNUMBER(L906))),"",IF(OR(K906&lt;=0,L906&lt;=0),"",ROUND(L906-K906,6)))</f>
        <v/>
      </c>
      <c r="N906" s="58" t="n"/>
      <c r="O906" s="62" t="n"/>
      <c r="P906" s="63" t="str">
        <f>IF(OR(B906="",NOT(ISNUMBER(L906))),"",IF(L906&lt;=0,"",IFERROR(ROUND(L906*N(INDEX(art_w,MATCH(H906,art_ref,0))),3),"")))</f>
        <v/>
      </c>
      <c r="Q906" s="59" t="n"/>
      <c r="R906" s="54" t="n"/>
      <c r="S906" s="59" t="n"/>
      <c r="T906" s="59" t="n"/>
      <c r="U906" s="64" t="str">
        <f>IF(OR(B906="",H906=""),"",IFERROR(IF(A906="BL",IF(N(INDEX(art_price,MATCH(H906,art_ref,0)))=0,"",N(INDEX(art_price,MATCH(H906,art_ref,0)))),IF(N(INDEX(art_cost,MATCH(H906,art_ref,0)))=0,"",N(INDEX(art_cost,MATCH(H906,art_ref,0))))),""))</f>
        <v/>
      </c>
      <c r="V906" s="64" t="str">
        <f>IF(OR(U906="",NOT(ISNUMBER(L906))),"",IF(L906&lt;=0,"",ROUND(L906*U906,2)))</f>
        <v/>
      </c>
      <c r="W906" s="60" t="str">
        <f>IF(AND(B906&lt;&gt;"",A906&lt;&gt;"BS",F906&lt;&gt;"",H906&lt;&gt;"",ISNUMBER(K906),ISNUMBER(L906)),IF(AND(K906&gt;0,L906&gt;0,K906-L906&gt;0,COUNTIFS(A907:A$2005,A906,F907:F$2005,F906,H907:H$2005,H906,AA907:AA$2005,"&gt;0")=0),ROUND(K906-L906,6),""),"")</f>
        <v/>
      </c>
      <c r="X906" s="60" t="str">
        <f>IF(AND(A906="",C906="",D906="",H906="",L906=""),"",IF(A906="","Type manquant",IF(AND(A906&lt;&gt;"BL",A906&lt;&gt;"BR",A906&lt;&gt;"BS"),"Type inconnu (BL, BR ou BS)",IF(AG906=0,"Date manquante ou invalide",IF(D906="",IF(A906="BL","Client manquant",IF(A906="BR","Fournisseur manquant","Service manquant")),IF(IF(A906="BL",ISNA(MATCH(D906,cl_code,0)),IF(A906="BR",ISNA(MATCH(D906,fo_code,0)),ISNA(MATCH(D906,p_services,0)))),IF(A906="BL","Client inconnu",IF(A906="BR","Fournisseur inconnu","Service inconnu")),IF(H906="","Article manquant",IF(ISNA(MATCH(H906,art_ref,0)),"Article inconnu",IF(OR(NOT(ISNUMBER(L906)),N(L906)&lt;=0),"Quantité invalide",IF(AND(K906&lt;&gt;"",OR(NOT(ISNUMBER(K906)),N(K906)&lt;=0)),"Qté commandée invalide",IF(AG906&lt;SUMPRODUCT(MAX((A$6:A905=A906)*AG$6:AG905)),"Date antérieure au bon précédent",IF(AND(A906&lt;&gt;"BR",ISNUMBER(M906),N(M906)&gt;0),IF(A906="BL","Livré plus que commandé","Sorti plus que demandé"),"OK"))))))))))))</f>
        <v/>
      </c>
      <c r="Y906" s="57" t="str">
        <f>IF(AND(OR(A906="BL",A906="BR",A906="BS"),AG906&gt;0,D906&lt;&gt;""),A906&amp;"|"&amp;AG906&amp;"|"&amp;D906&amp;"|"&amp;F906,"")</f>
        <v/>
      </c>
      <c r="Z906" s="57" t="str">
        <f>IF(Y906="","",IF(COUNTIF(Y$6:Y905,Y906)=0,1,0))</f>
        <v/>
      </c>
      <c r="AA906" s="57" t="str">
        <f>IF(Y906="","",IF(Z906=1,COUNTIFS(A$6:A906,A906,Z$6:Z906,1),INDEX(AA$6:AA905,MATCH(Y906,Y$6:Y905,0))))</f>
        <v/>
      </c>
      <c r="AB906" s="57" t="str">
        <f>IF(B906="","",COUNTIF(B$6:B906,B906))</f>
        <v/>
      </c>
      <c r="AC906" s="57" t="str">
        <f>IF(B906="","",B906&amp;"#"&amp;AB906)</f>
        <v/>
      </c>
      <c r="AD906" s="57" t="str">
        <f>IF(Z906=1,A906&amp;AA906,"")</f>
        <v/>
      </c>
      <c r="AE906" s="57" t="str">
        <f>IF(B906="","",YEAR(C906))</f>
        <v/>
      </c>
      <c r="AF906" s="57" t="str">
        <f>IF(B906="","",MONTH(C906))</f>
        <v/>
      </c>
      <c r="AG906" s="57">
        <f>IF(ISNUMBER(C906),C906,0)</f>
        <v>0.0</v>
      </c>
      <c r="AH906" s="57" t="str">
        <f>IF(N(W906)&gt;0,COUNTIF(W$6:W906,"&gt;0"),"")</f>
        <v/>
      </c>
      <c r="AI906" s="57" t="str">
        <f>IF(Z906=1,COUNTIF(Z$6:Z906,1),"")</f>
        <v/>
      </c>
    </row>
    <row r="907">
      <c r="A907" s="54" t="n"/>
      <c r="B907" s="55" t="str">
        <f>IF(AA907="","",A907&amp;"-"&amp;RIGHT("000"&amp;AA907,4))</f>
        <v/>
      </c>
      <c r="C907" s="56" t="n"/>
      <c r="D907" s="54" t="n"/>
      <c r="E907" s="57" t="str">
        <f>IF(D907="","",IF(A907="BL",IFERROR(INDEX(cl_name,MATCH(D907,cl_code,0))&amp;"","Client inconnu"),IF(A907="BR",IFERROR(INDEX(fo_name,MATCH(D907,fo_code,0))&amp;"","Fournisseur inconnu"),IF(A907="BS",IF(ISNA(MATCH(D907,p_services,0)),"Service inconnu",D907&amp;""),""))))</f>
        <v/>
      </c>
      <c r="F907" s="58" t="n"/>
      <c r="G907" s="58" t="n"/>
      <c r="H907" s="59" t="n"/>
      <c r="I907" s="57" t="str">
        <f>IF(H907="","",IFERROR(INDEX(art_des,MATCH(H907,art_ref,0))&amp;"","Article inconnu"))</f>
        <v/>
      </c>
      <c r="J907" s="60" t="str">
        <f>IF(H907="","",IFERROR(INDEX(art_unit,MATCH(H907,art_ref,0))&amp;"",""))</f>
        <v/>
      </c>
      <c r="K907" s="59" t="n"/>
      <c r="L907" s="59" t="n"/>
      <c r="M907" s="61" t="str">
        <f>IF(OR(B907="",NOT(ISNUMBER(K907)),NOT(ISNUMBER(L907))),"",IF(OR(K907&lt;=0,L907&lt;=0),"",ROUND(L907-K907,6)))</f>
        <v/>
      </c>
      <c r="N907" s="58" t="n"/>
      <c r="O907" s="62" t="n"/>
      <c r="P907" s="63" t="str">
        <f>IF(OR(B907="",NOT(ISNUMBER(L907))),"",IF(L907&lt;=0,"",IFERROR(ROUND(L907*N(INDEX(art_w,MATCH(H907,art_ref,0))),3),"")))</f>
        <v/>
      </c>
      <c r="Q907" s="59" t="n"/>
      <c r="R907" s="54" t="n"/>
      <c r="S907" s="59" t="n"/>
      <c r="T907" s="59" t="n"/>
      <c r="U907" s="64" t="str">
        <f>IF(OR(B907="",H907=""),"",IFERROR(IF(A907="BL",IF(N(INDEX(art_price,MATCH(H907,art_ref,0)))=0,"",N(INDEX(art_price,MATCH(H907,art_ref,0)))),IF(N(INDEX(art_cost,MATCH(H907,art_ref,0)))=0,"",N(INDEX(art_cost,MATCH(H907,art_ref,0))))),""))</f>
        <v/>
      </c>
      <c r="V907" s="64" t="str">
        <f>IF(OR(U907="",NOT(ISNUMBER(L907))),"",IF(L907&lt;=0,"",ROUND(L907*U907,2)))</f>
        <v/>
      </c>
      <c r="W907" s="60" t="str">
        <f>IF(AND(B907&lt;&gt;"",A907&lt;&gt;"BS",F907&lt;&gt;"",H907&lt;&gt;"",ISNUMBER(K907),ISNUMBER(L907)),IF(AND(K907&gt;0,L907&gt;0,K907-L907&gt;0,COUNTIFS(A908:A$2005,A907,F908:F$2005,F907,H908:H$2005,H907,AA908:AA$2005,"&gt;0")=0),ROUND(K907-L907,6),""),"")</f>
        <v/>
      </c>
      <c r="X907" s="60" t="str">
        <f>IF(AND(A907="",C907="",D907="",H907="",L907=""),"",IF(A907="","Type manquant",IF(AND(A907&lt;&gt;"BL",A907&lt;&gt;"BR",A907&lt;&gt;"BS"),"Type inconnu (BL, BR ou BS)",IF(AG907=0,"Date manquante ou invalide",IF(D907="",IF(A907="BL","Client manquant",IF(A907="BR","Fournisseur manquant","Service manquant")),IF(IF(A907="BL",ISNA(MATCH(D907,cl_code,0)),IF(A907="BR",ISNA(MATCH(D907,fo_code,0)),ISNA(MATCH(D907,p_services,0)))),IF(A907="BL","Client inconnu",IF(A907="BR","Fournisseur inconnu","Service inconnu")),IF(H907="","Article manquant",IF(ISNA(MATCH(H907,art_ref,0)),"Article inconnu",IF(OR(NOT(ISNUMBER(L907)),N(L907)&lt;=0),"Quantité invalide",IF(AND(K907&lt;&gt;"",OR(NOT(ISNUMBER(K907)),N(K907)&lt;=0)),"Qté commandée invalide",IF(AG907&lt;SUMPRODUCT(MAX((A$6:A906=A907)*AG$6:AG906)),"Date antérieure au bon précédent",IF(AND(A907&lt;&gt;"BR",ISNUMBER(M907),N(M907)&gt;0),IF(A907="BL","Livré plus que commandé","Sorti plus que demandé"),"OK"))))))))))))</f>
        <v/>
      </c>
      <c r="Y907" s="57" t="str">
        <f>IF(AND(OR(A907="BL",A907="BR",A907="BS"),AG907&gt;0,D907&lt;&gt;""),A907&amp;"|"&amp;AG907&amp;"|"&amp;D907&amp;"|"&amp;F907,"")</f>
        <v/>
      </c>
      <c r="Z907" s="57" t="str">
        <f>IF(Y907="","",IF(COUNTIF(Y$6:Y906,Y907)=0,1,0))</f>
        <v/>
      </c>
      <c r="AA907" s="57" t="str">
        <f>IF(Y907="","",IF(Z907=1,COUNTIFS(A$6:A907,A907,Z$6:Z907,1),INDEX(AA$6:AA906,MATCH(Y907,Y$6:Y906,0))))</f>
        <v/>
      </c>
      <c r="AB907" s="57" t="str">
        <f>IF(B907="","",COUNTIF(B$6:B907,B907))</f>
        <v/>
      </c>
      <c r="AC907" s="57" t="str">
        <f>IF(B907="","",B907&amp;"#"&amp;AB907)</f>
        <v/>
      </c>
      <c r="AD907" s="57" t="str">
        <f>IF(Z907=1,A907&amp;AA907,"")</f>
        <v/>
      </c>
      <c r="AE907" s="57" t="str">
        <f>IF(B907="","",YEAR(C907))</f>
        <v/>
      </c>
      <c r="AF907" s="57" t="str">
        <f>IF(B907="","",MONTH(C907))</f>
        <v/>
      </c>
      <c r="AG907" s="57">
        <f>IF(ISNUMBER(C907),C907,0)</f>
        <v>0.0</v>
      </c>
      <c r="AH907" s="57" t="str">
        <f>IF(N(W907)&gt;0,COUNTIF(W$6:W907,"&gt;0"),"")</f>
        <v/>
      </c>
      <c r="AI907" s="57" t="str">
        <f>IF(Z907=1,COUNTIF(Z$6:Z907,1),"")</f>
        <v/>
      </c>
    </row>
    <row r="908">
      <c r="A908" s="54" t="n"/>
      <c r="B908" s="55" t="str">
        <f>IF(AA908="","",A908&amp;"-"&amp;RIGHT("000"&amp;AA908,4))</f>
        <v/>
      </c>
      <c r="C908" s="56" t="n"/>
      <c r="D908" s="54" t="n"/>
      <c r="E908" s="57" t="str">
        <f>IF(D908="","",IF(A908="BL",IFERROR(INDEX(cl_name,MATCH(D908,cl_code,0))&amp;"","Client inconnu"),IF(A908="BR",IFERROR(INDEX(fo_name,MATCH(D908,fo_code,0))&amp;"","Fournisseur inconnu"),IF(A908="BS",IF(ISNA(MATCH(D908,p_services,0)),"Service inconnu",D908&amp;""),""))))</f>
        <v/>
      </c>
      <c r="F908" s="58" t="n"/>
      <c r="G908" s="58" t="n"/>
      <c r="H908" s="59" t="n"/>
      <c r="I908" s="57" t="str">
        <f>IF(H908="","",IFERROR(INDEX(art_des,MATCH(H908,art_ref,0))&amp;"","Article inconnu"))</f>
        <v/>
      </c>
      <c r="J908" s="60" t="str">
        <f>IF(H908="","",IFERROR(INDEX(art_unit,MATCH(H908,art_ref,0))&amp;"",""))</f>
        <v/>
      </c>
      <c r="K908" s="59" t="n"/>
      <c r="L908" s="59" t="n"/>
      <c r="M908" s="61" t="str">
        <f>IF(OR(B908="",NOT(ISNUMBER(K908)),NOT(ISNUMBER(L908))),"",IF(OR(K908&lt;=0,L908&lt;=0),"",ROUND(L908-K908,6)))</f>
        <v/>
      </c>
      <c r="N908" s="58" t="n"/>
      <c r="O908" s="62" t="n"/>
      <c r="P908" s="63" t="str">
        <f>IF(OR(B908="",NOT(ISNUMBER(L908))),"",IF(L908&lt;=0,"",IFERROR(ROUND(L908*N(INDEX(art_w,MATCH(H908,art_ref,0))),3),"")))</f>
        <v/>
      </c>
      <c r="Q908" s="59" t="n"/>
      <c r="R908" s="54" t="n"/>
      <c r="S908" s="59" t="n"/>
      <c r="T908" s="59" t="n"/>
      <c r="U908" s="64" t="str">
        <f>IF(OR(B908="",H908=""),"",IFERROR(IF(A908="BL",IF(N(INDEX(art_price,MATCH(H908,art_ref,0)))=0,"",N(INDEX(art_price,MATCH(H908,art_ref,0)))),IF(N(INDEX(art_cost,MATCH(H908,art_ref,0)))=0,"",N(INDEX(art_cost,MATCH(H908,art_ref,0))))),""))</f>
        <v/>
      </c>
      <c r="V908" s="64" t="str">
        <f>IF(OR(U908="",NOT(ISNUMBER(L908))),"",IF(L908&lt;=0,"",ROUND(L908*U908,2)))</f>
        <v/>
      </c>
      <c r="W908" s="60" t="str">
        <f>IF(AND(B908&lt;&gt;"",A908&lt;&gt;"BS",F908&lt;&gt;"",H908&lt;&gt;"",ISNUMBER(K908),ISNUMBER(L908)),IF(AND(K908&gt;0,L908&gt;0,K908-L908&gt;0,COUNTIFS(A909:A$2005,A908,F909:F$2005,F908,H909:H$2005,H908,AA909:AA$2005,"&gt;0")=0),ROUND(K908-L908,6),""),"")</f>
        <v/>
      </c>
      <c r="X908" s="60" t="str">
        <f>IF(AND(A908="",C908="",D908="",H908="",L908=""),"",IF(A908="","Type manquant",IF(AND(A908&lt;&gt;"BL",A908&lt;&gt;"BR",A908&lt;&gt;"BS"),"Type inconnu (BL, BR ou BS)",IF(AG908=0,"Date manquante ou invalide",IF(D908="",IF(A908="BL","Client manquant",IF(A908="BR","Fournisseur manquant","Service manquant")),IF(IF(A908="BL",ISNA(MATCH(D908,cl_code,0)),IF(A908="BR",ISNA(MATCH(D908,fo_code,0)),ISNA(MATCH(D908,p_services,0)))),IF(A908="BL","Client inconnu",IF(A908="BR","Fournisseur inconnu","Service inconnu")),IF(H908="","Article manquant",IF(ISNA(MATCH(H908,art_ref,0)),"Article inconnu",IF(OR(NOT(ISNUMBER(L908)),N(L908)&lt;=0),"Quantité invalide",IF(AND(K908&lt;&gt;"",OR(NOT(ISNUMBER(K908)),N(K908)&lt;=0)),"Qté commandée invalide",IF(AG908&lt;SUMPRODUCT(MAX((A$6:A907=A908)*AG$6:AG907)),"Date antérieure au bon précédent",IF(AND(A908&lt;&gt;"BR",ISNUMBER(M908),N(M908)&gt;0),IF(A908="BL","Livré plus que commandé","Sorti plus que demandé"),"OK"))))))))))))</f>
        <v/>
      </c>
      <c r="Y908" s="57" t="str">
        <f>IF(AND(OR(A908="BL",A908="BR",A908="BS"),AG908&gt;0,D908&lt;&gt;""),A908&amp;"|"&amp;AG908&amp;"|"&amp;D908&amp;"|"&amp;F908,"")</f>
        <v/>
      </c>
      <c r="Z908" s="57" t="str">
        <f>IF(Y908="","",IF(COUNTIF(Y$6:Y907,Y908)=0,1,0))</f>
        <v/>
      </c>
      <c r="AA908" s="57" t="str">
        <f>IF(Y908="","",IF(Z908=1,COUNTIFS(A$6:A908,A908,Z$6:Z908,1),INDEX(AA$6:AA907,MATCH(Y908,Y$6:Y907,0))))</f>
        <v/>
      </c>
      <c r="AB908" s="57" t="str">
        <f>IF(B908="","",COUNTIF(B$6:B908,B908))</f>
        <v/>
      </c>
      <c r="AC908" s="57" t="str">
        <f>IF(B908="","",B908&amp;"#"&amp;AB908)</f>
        <v/>
      </c>
      <c r="AD908" s="57" t="str">
        <f>IF(Z908=1,A908&amp;AA908,"")</f>
        <v/>
      </c>
      <c r="AE908" s="57" t="str">
        <f>IF(B908="","",YEAR(C908))</f>
        <v/>
      </c>
      <c r="AF908" s="57" t="str">
        <f>IF(B908="","",MONTH(C908))</f>
        <v/>
      </c>
      <c r="AG908" s="57">
        <f>IF(ISNUMBER(C908),C908,0)</f>
        <v>0.0</v>
      </c>
      <c r="AH908" s="57" t="str">
        <f>IF(N(W908)&gt;0,COUNTIF(W$6:W908,"&gt;0"),"")</f>
        <v/>
      </c>
      <c r="AI908" s="57" t="str">
        <f>IF(Z908=1,COUNTIF(Z$6:Z908,1),"")</f>
        <v/>
      </c>
    </row>
    <row r="909">
      <c r="A909" s="54" t="n"/>
      <c r="B909" s="55" t="str">
        <f>IF(AA909="","",A909&amp;"-"&amp;RIGHT("000"&amp;AA909,4))</f>
        <v/>
      </c>
      <c r="C909" s="56" t="n"/>
      <c r="D909" s="54" t="n"/>
      <c r="E909" s="57" t="str">
        <f>IF(D909="","",IF(A909="BL",IFERROR(INDEX(cl_name,MATCH(D909,cl_code,0))&amp;"","Client inconnu"),IF(A909="BR",IFERROR(INDEX(fo_name,MATCH(D909,fo_code,0))&amp;"","Fournisseur inconnu"),IF(A909="BS",IF(ISNA(MATCH(D909,p_services,0)),"Service inconnu",D909&amp;""),""))))</f>
        <v/>
      </c>
      <c r="F909" s="58" t="n"/>
      <c r="G909" s="58" t="n"/>
      <c r="H909" s="59" t="n"/>
      <c r="I909" s="57" t="str">
        <f>IF(H909="","",IFERROR(INDEX(art_des,MATCH(H909,art_ref,0))&amp;"","Article inconnu"))</f>
        <v/>
      </c>
      <c r="J909" s="60" t="str">
        <f>IF(H909="","",IFERROR(INDEX(art_unit,MATCH(H909,art_ref,0))&amp;"",""))</f>
        <v/>
      </c>
      <c r="K909" s="59" t="n"/>
      <c r="L909" s="59" t="n"/>
      <c r="M909" s="61" t="str">
        <f>IF(OR(B909="",NOT(ISNUMBER(K909)),NOT(ISNUMBER(L909))),"",IF(OR(K909&lt;=0,L909&lt;=0),"",ROUND(L909-K909,6)))</f>
        <v/>
      </c>
      <c r="N909" s="58" t="n"/>
      <c r="O909" s="62" t="n"/>
      <c r="P909" s="63" t="str">
        <f>IF(OR(B909="",NOT(ISNUMBER(L909))),"",IF(L909&lt;=0,"",IFERROR(ROUND(L909*N(INDEX(art_w,MATCH(H909,art_ref,0))),3),"")))</f>
        <v/>
      </c>
      <c r="Q909" s="59" t="n"/>
      <c r="R909" s="54" t="n"/>
      <c r="S909" s="59" t="n"/>
      <c r="T909" s="59" t="n"/>
      <c r="U909" s="64" t="str">
        <f>IF(OR(B909="",H909=""),"",IFERROR(IF(A909="BL",IF(N(INDEX(art_price,MATCH(H909,art_ref,0)))=0,"",N(INDEX(art_price,MATCH(H909,art_ref,0)))),IF(N(INDEX(art_cost,MATCH(H909,art_ref,0)))=0,"",N(INDEX(art_cost,MATCH(H909,art_ref,0))))),""))</f>
        <v/>
      </c>
      <c r="V909" s="64" t="str">
        <f>IF(OR(U909="",NOT(ISNUMBER(L909))),"",IF(L909&lt;=0,"",ROUND(L909*U909,2)))</f>
        <v/>
      </c>
      <c r="W909" s="60" t="str">
        <f>IF(AND(B909&lt;&gt;"",A909&lt;&gt;"BS",F909&lt;&gt;"",H909&lt;&gt;"",ISNUMBER(K909),ISNUMBER(L909)),IF(AND(K909&gt;0,L909&gt;0,K909-L909&gt;0,COUNTIFS(A910:A$2005,A909,F910:F$2005,F909,H910:H$2005,H909,AA910:AA$2005,"&gt;0")=0),ROUND(K909-L909,6),""),"")</f>
        <v/>
      </c>
      <c r="X909" s="60" t="str">
        <f>IF(AND(A909="",C909="",D909="",H909="",L909=""),"",IF(A909="","Type manquant",IF(AND(A909&lt;&gt;"BL",A909&lt;&gt;"BR",A909&lt;&gt;"BS"),"Type inconnu (BL, BR ou BS)",IF(AG909=0,"Date manquante ou invalide",IF(D909="",IF(A909="BL","Client manquant",IF(A909="BR","Fournisseur manquant","Service manquant")),IF(IF(A909="BL",ISNA(MATCH(D909,cl_code,0)),IF(A909="BR",ISNA(MATCH(D909,fo_code,0)),ISNA(MATCH(D909,p_services,0)))),IF(A909="BL","Client inconnu",IF(A909="BR","Fournisseur inconnu","Service inconnu")),IF(H909="","Article manquant",IF(ISNA(MATCH(H909,art_ref,0)),"Article inconnu",IF(OR(NOT(ISNUMBER(L909)),N(L909)&lt;=0),"Quantité invalide",IF(AND(K909&lt;&gt;"",OR(NOT(ISNUMBER(K909)),N(K909)&lt;=0)),"Qté commandée invalide",IF(AG909&lt;SUMPRODUCT(MAX((A$6:A908=A909)*AG$6:AG908)),"Date antérieure au bon précédent",IF(AND(A909&lt;&gt;"BR",ISNUMBER(M909),N(M909)&gt;0),IF(A909="BL","Livré plus que commandé","Sorti plus que demandé"),"OK"))))))))))))</f>
        <v/>
      </c>
      <c r="Y909" s="57" t="str">
        <f>IF(AND(OR(A909="BL",A909="BR",A909="BS"),AG909&gt;0,D909&lt;&gt;""),A909&amp;"|"&amp;AG909&amp;"|"&amp;D909&amp;"|"&amp;F909,"")</f>
        <v/>
      </c>
      <c r="Z909" s="57" t="str">
        <f>IF(Y909="","",IF(COUNTIF(Y$6:Y908,Y909)=0,1,0))</f>
        <v/>
      </c>
      <c r="AA909" s="57" t="str">
        <f>IF(Y909="","",IF(Z909=1,COUNTIFS(A$6:A909,A909,Z$6:Z909,1),INDEX(AA$6:AA908,MATCH(Y909,Y$6:Y908,0))))</f>
        <v/>
      </c>
      <c r="AB909" s="57" t="str">
        <f>IF(B909="","",COUNTIF(B$6:B909,B909))</f>
        <v/>
      </c>
      <c r="AC909" s="57" t="str">
        <f>IF(B909="","",B909&amp;"#"&amp;AB909)</f>
        <v/>
      </c>
      <c r="AD909" s="57" t="str">
        <f>IF(Z909=1,A909&amp;AA909,"")</f>
        <v/>
      </c>
      <c r="AE909" s="57" t="str">
        <f>IF(B909="","",YEAR(C909))</f>
        <v/>
      </c>
      <c r="AF909" s="57" t="str">
        <f>IF(B909="","",MONTH(C909))</f>
        <v/>
      </c>
      <c r="AG909" s="57">
        <f>IF(ISNUMBER(C909),C909,0)</f>
        <v>0.0</v>
      </c>
      <c r="AH909" s="57" t="str">
        <f>IF(N(W909)&gt;0,COUNTIF(W$6:W909,"&gt;0"),"")</f>
        <v/>
      </c>
      <c r="AI909" s="57" t="str">
        <f>IF(Z909=1,COUNTIF(Z$6:Z909,1),"")</f>
        <v/>
      </c>
    </row>
    <row r="910">
      <c r="A910" s="54" t="n"/>
      <c r="B910" s="55" t="str">
        <f>IF(AA910="","",A910&amp;"-"&amp;RIGHT("000"&amp;AA910,4))</f>
        <v/>
      </c>
      <c r="C910" s="56" t="n"/>
      <c r="D910" s="54" t="n"/>
      <c r="E910" s="57" t="str">
        <f>IF(D910="","",IF(A910="BL",IFERROR(INDEX(cl_name,MATCH(D910,cl_code,0))&amp;"","Client inconnu"),IF(A910="BR",IFERROR(INDEX(fo_name,MATCH(D910,fo_code,0))&amp;"","Fournisseur inconnu"),IF(A910="BS",IF(ISNA(MATCH(D910,p_services,0)),"Service inconnu",D910&amp;""),""))))</f>
        <v/>
      </c>
      <c r="F910" s="58" t="n"/>
      <c r="G910" s="58" t="n"/>
      <c r="H910" s="59" t="n"/>
      <c r="I910" s="57" t="str">
        <f>IF(H910="","",IFERROR(INDEX(art_des,MATCH(H910,art_ref,0))&amp;"","Article inconnu"))</f>
        <v/>
      </c>
      <c r="J910" s="60" t="str">
        <f>IF(H910="","",IFERROR(INDEX(art_unit,MATCH(H910,art_ref,0))&amp;"",""))</f>
        <v/>
      </c>
      <c r="K910" s="59" t="n"/>
      <c r="L910" s="59" t="n"/>
      <c r="M910" s="61" t="str">
        <f>IF(OR(B910="",NOT(ISNUMBER(K910)),NOT(ISNUMBER(L910))),"",IF(OR(K910&lt;=0,L910&lt;=0),"",ROUND(L910-K910,6)))</f>
        <v/>
      </c>
      <c r="N910" s="58" t="n"/>
      <c r="O910" s="62" t="n"/>
      <c r="P910" s="63" t="str">
        <f>IF(OR(B910="",NOT(ISNUMBER(L910))),"",IF(L910&lt;=0,"",IFERROR(ROUND(L910*N(INDEX(art_w,MATCH(H910,art_ref,0))),3),"")))</f>
        <v/>
      </c>
      <c r="Q910" s="59" t="n"/>
      <c r="R910" s="54" t="n"/>
      <c r="S910" s="59" t="n"/>
      <c r="T910" s="59" t="n"/>
      <c r="U910" s="64" t="str">
        <f>IF(OR(B910="",H910=""),"",IFERROR(IF(A910="BL",IF(N(INDEX(art_price,MATCH(H910,art_ref,0)))=0,"",N(INDEX(art_price,MATCH(H910,art_ref,0)))),IF(N(INDEX(art_cost,MATCH(H910,art_ref,0)))=0,"",N(INDEX(art_cost,MATCH(H910,art_ref,0))))),""))</f>
        <v/>
      </c>
      <c r="V910" s="64" t="str">
        <f>IF(OR(U910="",NOT(ISNUMBER(L910))),"",IF(L910&lt;=0,"",ROUND(L910*U910,2)))</f>
        <v/>
      </c>
      <c r="W910" s="60" t="str">
        <f>IF(AND(B910&lt;&gt;"",A910&lt;&gt;"BS",F910&lt;&gt;"",H910&lt;&gt;"",ISNUMBER(K910),ISNUMBER(L910)),IF(AND(K910&gt;0,L910&gt;0,K910-L910&gt;0,COUNTIFS(A911:A$2005,A910,F911:F$2005,F910,H911:H$2005,H910,AA911:AA$2005,"&gt;0")=0),ROUND(K910-L910,6),""),"")</f>
        <v/>
      </c>
      <c r="X910" s="60" t="str">
        <f>IF(AND(A910="",C910="",D910="",H910="",L910=""),"",IF(A910="","Type manquant",IF(AND(A910&lt;&gt;"BL",A910&lt;&gt;"BR",A910&lt;&gt;"BS"),"Type inconnu (BL, BR ou BS)",IF(AG910=0,"Date manquante ou invalide",IF(D910="",IF(A910="BL","Client manquant",IF(A910="BR","Fournisseur manquant","Service manquant")),IF(IF(A910="BL",ISNA(MATCH(D910,cl_code,0)),IF(A910="BR",ISNA(MATCH(D910,fo_code,0)),ISNA(MATCH(D910,p_services,0)))),IF(A910="BL","Client inconnu",IF(A910="BR","Fournisseur inconnu","Service inconnu")),IF(H910="","Article manquant",IF(ISNA(MATCH(H910,art_ref,0)),"Article inconnu",IF(OR(NOT(ISNUMBER(L910)),N(L910)&lt;=0),"Quantité invalide",IF(AND(K910&lt;&gt;"",OR(NOT(ISNUMBER(K910)),N(K910)&lt;=0)),"Qté commandée invalide",IF(AG910&lt;SUMPRODUCT(MAX((A$6:A909=A910)*AG$6:AG909)),"Date antérieure au bon précédent",IF(AND(A910&lt;&gt;"BR",ISNUMBER(M910),N(M910)&gt;0),IF(A910="BL","Livré plus que commandé","Sorti plus que demandé"),"OK"))))))))))))</f>
        <v/>
      </c>
      <c r="Y910" s="57" t="str">
        <f>IF(AND(OR(A910="BL",A910="BR",A910="BS"),AG910&gt;0,D910&lt;&gt;""),A910&amp;"|"&amp;AG910&amp;"|"&amp;D910&amp;"|"&amp;F910,"")</f>
        <v/>
      </c>
      <c r="Z910" s="57" t="str">
        <f>IF(Y910="","",IF(COUNTIF(Y$6:Y909,Y910)=0,1,0))</f>
        <v/>
      </c>
      <c r="AA910" s="57" t="str">
        <f>IF(Y910="","",IF(Z910=1,COUNTIFS(A$6:A910,A910,Z$6:Z910,1),INDEX(AA$6:AA909,MATCH(Y910,Y$6:Y909,0))))</f>
        <v/>
      </c>
      <c r="AB910" s="57" t="str">
        <f>IF(B910="","",COUNTIF(B$6:B910,B910))</f>
        <v/>
      </c>
      <c r="AC910" s="57" t="str">
        <f>IF(B910="","",B910&amp;"#"&amp;AB910)</f>
        <v/>
      </c>
      <c r="AD910" s="57" t="str">
        <f>IF(Z910=1,A910&amp;AA910,"")</f>
        <v/>
      </c>
      <c r="AE910" s="57" t="str">
        <f>IF(B910="","",YEAR(C910))</f>
        <v/>
      </c>
      <c r="AF910" s="57" t="str">
        <f>IF(B910="","",MONTH(C910))</f>
        <v/>
      </c>
      <c r="AG910" s="57">
        <f>IF(ISNUMBER(C910),C910,0)</f>
        <v>0.0</v>
      </c>
      <c r="AH910" s="57" t="str">
        <f>IF(N(W910)&gt;0,COUNTIF(W$6:W910,"&gt;0"),"")</f>
        <v/>
      </c>
      <c r="AI910" s="57" t="str">
        <f>IF(Z910=1,COUNTIF(Z$6:Z910,1),"")</f>
        <v/>
      </c>
    </row>
    <row r="911">
      <c r="A911" s="54" t="n"/>
      <c r="B911" s="55" t="str">
        <f>IF(AA911="","",A911&amp;"-"&amp;RIGHT("000"&amp;AA911,4))</f>
        <v/>
      </c>
      <c r="C911" s="56" t="n"/>
      <c r="D911" s="54" t="n"/>
      <c r="E911" s="57" t="str">
        <f>IF(D911="","",IF(A911="BL",IFERROR(INDEX(cl_name,MATCH(D911,cl_code,0))&amp;"","Client inconnu"),IF(A911="BR",IFERROR(INDEX(fo_name,MATCH(D911,fo_code,0))&amp;"","Fournisseur inconnu"),IF(A911="BS",IF(ISNA(MATCH(D911,p_services,0)),"Service inconnu",D911&amp;""),""))))</f>
        <v/>
      </c>
      <c r="F911" s="58" t="n"/>
      <c r="G911" s="58" t="n"/>
      <c r="H911" s="59" t="n"/>
      <c r="I911" s="57" t="str">
        <f>IF(H911="","",IFERROR(INDEX(art_des,MATCH(H911,art_ref,0))&amp;"","Article inconnu"))</f>
        <v/>
      </c>
      <c r="J911" s="60" t="str">
        <f>IF(H911="","",IFERROR(INDEX(art_unit,MATCH(H911,art_ref,0))&amp;"",""))</f>
        <v/>
      </c>
      <c r="K911" s="59" t="n"/>
      <c r="L911" s="59" t="n"/>
      <c r="M911" s="61" t="str">
        <f>IF(OR(B911="",NOT(ISNUMBER(K911)),NOT(ISNUMBER(L911))),"",IF(OR(K911&lt;=0,L911&lt;=0),"",ROUND(L911-K911,6)))</f>
        <v/>
      </c>
      <c r="N911" s="58" t="n"/>
      <c r="O911" s="62" t="n"/>
      <c r="P911" s="63" t="str">
        <f>IF(OR(B911="",NOT(ISNUMBER(L911))),"",IF(L911&lt;=0,"",IFERROR(ROUND(L911*N(INDEX(art_w,MATCH(H911,art_ref,0))),3),"")))</f>
        <v/>
      </c>
      <c r="Q911" s="59" t="n"/>
      <c r="R911" s="54" t="n"/>
      <c r="S911" s="59" t="n"/>
      <c r="T911" s="59" t="n"/>
      <c r="U911" s="64" t="str">
        <f>IF(OR(B911="",H911=""),"",IFERROR(IF(A911="BL",IF(N(INDEX(art_price,MATCH(H911,art_ref,0)))=0,"",N(INDEX(art_price,MATCH(H911,art_ref,0)))),IF(N(INDEX(art_cost,MATCH(H911,art_ref,0)))=0,"",N(INDEX(art_cost,MATCH(H911,art_ref,0))))),""))</f>
        <v/>
      </c>
      <c r="V911" s="64" t="str">
        <f>IF(OR(U911="",NOT(ISNUMBER(L911))),"",IF(L911&lt;=0,"",ROUND(L911*U911,2)))</f>
        <v/>
      </c>
      <c r="W911" s="60" t="str">
        <f>IF(AND(B911&lt;&gt;"",A911&lt;&gt;"BS",F911&lt;&gt;"",H911&lt;&gt;"",ISNUMBER(K911),ISNUMBER(L911)),IF(AND(K911&gt;0,L911&gt;0,K911-L911&gt;0,COUNTIFS(A912:A$2005,A911,F912:F$2005,F911,H912:H$2005,H911,AA912:AA$2005,"&gt;0")=0),ROUND(K911-L911,6),""),"")</f>
        <v/>
      </c>
      <c r="X911" s="60" t="str">
        <f>IF(AND(A911="",C911="",D911="",H911="",L911=""),"",IF(A911="","Type manquant",IF(AND(A911&lt;&gt;"BL",A911&lt;&gt;"BR",A911&lt;&gt;"BS"),"Type inconnu (BL, BR ou BS)",IF(AG911=0,"Date manquante ou invalide",IF(D911="",IF(A911="BL","Client manquant",IF(A911="BR","Fournisseur manquant","Service manquant")),IF(IF(A911="BL",ISNA(MATCH(D911,cl_code,0)),IF(A911="BR",ISNA(MATCH(D911,fo_code,0)),ISNA(MATCH(D911,p_services,0)))),IF(A911="BL","Client inconnu",IF(A911="BR","Fournisseur inconnu","Service inconnu")),IF(H911="","Article manquant",IF(ISNA(MATCH(H911,art_ref,0)),"Article inconnu",IF(OR(NOT(ISNUMBER(L911)),N(L911)&lt;=0),"Quantité invalide",IF(AND(K911&lt;&gt;"",OR(NOT(ISNUMBER(K911)),N(K911)&lt;=0)),"Qté commandée invalide",IF(AG911&lt;SUMPRODUCT(MAX((A$6:A910=A911)*AG$6:AG910)),"Date antérieure au bon précédent",IF(AND(A911&lt;&gt;"BR",ISNUMBER(M911),N(M911)&gt;0),IF(A911="BL","Livré plus que commandé","Sorti plus que demandé"),"OK"))))))))))))</f>
        <v/>
      </c>
      <c r="Y911" s="57" t="str">
        <f>IF(AND(OR(A911="BL",A911="BR",A911="BS"),AG911&gt;0,D911&lt;&gt;""),A911&amp;"|"&amp;AG911&amp;"|"&amp;D911&amp;"|"&amp;F911,"")</f>
        <v/>
      </c>
      <c r="Z911" s="57" t="str">
        <f>IF(Y911="","",IF(COUNTIF(Y$6:Y910,Y911)=0,1,0))</f>
        <v/>
      </c>
      <c r="AA911" s="57" t="str">
        <f>IF(Y911="","",IF(Z911=1,COUNTIFS(A$6:A911,A911,Z$6:Z911,1),INDEX(AA$6:AA910,MATCH(Y911,Y$6:Y910,0))))</f>
        <v/>
      </c>
      <c r="AB911" s="57" t="str">
        <f>IF(B911="","",COUNTIF(B$6:B911,B911))</f>
        <v/>
      </c>
      <c r="AC911" s="57" t="str">
        <f>IF(B911="","",B911&amp;"#"&amp;AB911)</f>
        <v/>
      </c>
      <c r="AD911" s="57" t="str">
        <f>IF(Z911=1,A911&amp;AA911,"")</f>
        <v/>
      </c>
      <c r="AE911" s="57" t="str">
        <f>IF(B911="","",YEAR(C911))</f>
        <v/>
      </c>
      <c r="AF911" s="57" t="str">
        <f>IF(B911="","",MONTH(C911))</f>
        <v/>
      </c>
      <c r="AG911" s="57">
        <f>IF(ISNUMBER(C911),C911,0)</f>
        <v>0.0</v>
      </c>
      <c r="AH911" s="57" t="str">
        <f>IF(N(W911)&gt;0,COUNTIF(W$6:W911,"&gt;0"),"")</f>
        <v/>
      </c>
      <c r="AI911" s="57" t="str">
        <f>IF(Z911=1,COUNTIF(Z$6:Z911,1),"")</f>
        <v/>
      </c>
    </row>
    <row r="912">
      <c r="A912" s="54" t="n"/>
      <c r="B912" s="55" t="str">
        <f>IF(AA912="","",A912&amp;"-"&amp;RIGHT("000"&amp;AA912,4))</f>
        <v/>
      </c>
      <c r="C912" s="56" t="n"/>
      <c r="D912" s="54" t="n"/>
      <c r="E912" s="57" t="str">
        <f>IF(D912="","",IF(A912="BL",IFERROR(INDEX(cl_name,MATCH(D912,cl_code,0))&amp;"","Client inconnu"),IF(A912="BR",IFERROR(INDEX(fo_name,MATCH(D912,fo_code,0))&amp;"","Fournisseur inconnu"),IF(A912="BS",IF(ISNA(MATCH(D912,p_services,0)),"Service inconnu",D912&amp;""),""))))</f>
        <v/>
      </c>
      <c r="F912" s="58" t="n"/>
      <c r="G912" s="58" t="n"/>
      <c r="H912" s="59" t="n"/>
      <c r="I912" s="57" t="str">
        <f>IF(H912="","",IFERROR(INDEX(art_des,MATCH(H912,art_ref,0))&amp;"","Article inconnu"))</f>
        <v/>
      </c>
      <c r="J912" s="60" t="str">
        <f>IF(H912="","",IFERROR(INDEX(art_unit,MATCH(H912,art_ref,0))&amp;"",""))</f>
        <v/>
      </c>
      <c r="K912" s="59" t="n"/>
      <c r="L912" s="59" t="n"/>
      <c r="M912" s="61" t="str">
        <f>IF(OR(B912="",NOT(ISNUMBER(K912)),NOT(ISNUMBER(L912))),"",IF(OR(K912&lt;=0,L912&lt;=0),"",ROUND(L912-K912,6)))</f>
        <v/>
      </c>
      <c r="N912" s="58" t="n"/>
      <c r="O912" s="62" t="n"/>
      <c r="P912" s="63" t="str">
        <f>IF(OR(B912="",NOT(ISNUMBER(L912))),"",IF(L912&lt;=0,"",IFERROR(ROUND(L912*N(INDEX(art_w,MATCH(H912,art_ref,0))),3),"")))</f>
        <v/>
      </c>
      <c r="Q912" s="59" t="n"/>
      <c r="R912" s="54" t="n"/>
      <c r="S912" s="59" t="n"/>
      <c r="T912" s="59" t="n"/>
      <c r="U912" s="64" t="str">
        <f>IF(OR(B912="",H912=""),"",IFERROR(IF(A912="BL",IF(N(INDEX(art_price,MATCH(H912,art_ref,0)))=0,"",N(INDEX(art_price,MATCH(H912,art_ref,0)))),IF(N(INDEX(art_cost,MATCH(H912,art_ref,0)))=0,"",N(INDEX(art_cost,MATCH(H912,art_ref,0))))),""))</f>
        <v/>
      </c>
      <c r="V912" s="64" t="str">
        <f>IF(OR(U912="",NOT(ISNUMBER(L912))),"",IF(L912&lt;=0,"",ROUND(L912*U912,2)))</f>
        <v/>
      </c>
      <c r="W912" s="60" t="str">
        <f>IF(AND(B912&lt;&gt;"",A912&lt;&gt;"BS",F912&lt;&gt;"",H912&lt;&gt;"",ISNUMBER(K912),ISNUMBER(L912)),IF(AND(K912&gt;0,L912&gt;0,K912-L912&gt;0,COUNTIFS(A913:A$2005,A912,F913:F$2005,F912,H913:H$2005,H912,AA913:AA$2005,"&gt;0")=0),ROUND(K912-L912,6),""),"")</f>
        <v/>
      </c>
      <c r="X912" s="60" t="str">
        <f>IF(AND(A912="",C912="",D912="",H912="",L912=""),"",IF(A912="","Type manquant",IF(AND(A912&lt;&gt;"BL",A912&lt;&gt;"BR",A912&lt;&gt;"BS"),"Type inconnu (BL, BR ou BS)",IF(AG912=0,"Date manquante ou invalide",IF(D912="",IF(A912="BL","Client manquant",IF(A912="BR","Fournisseur manquant","Service manquant")),IF(IF(A912="BL",ISNA(MATCH(D912,cl_code,0)),IF(A912="BR",ISNA(MATCH(D912,fo_code,0)),ISNA(MATCH(D912,p_services,0)))),IF(A912="BL","Client inconnu",IF(A912="BR","Fournisseur inconnu","Service inconnu")),IF(H912="","Article manquant",IF(ISNA(MATCH(H912,art_ref,0)),"Article inconnu",IF(OR(NOT(ISNUMBER(L912)),N(L912)&lt;=0),"Quantité invalide",IF(AND(K912&lt;&gt;"",OR(NOT(ISNUMBER(K912)),N(K912)&lt;=0)),"Qté commandée invalide",IF(AG912&lt;SUMPRODUCT(MAX((A$6:A911=A912)*AG$6:AG911)),"Date antérieure au bon précédent",IF(AND(A912&lt;&gt;"BR",ISNUMBER(M912),N(M912)&gt;0),IF(A912="BL","Livré plus que commandé","Sorti plus que demandé"),"OK"))))))))))))</f>
        <v/>
      </c>
      <c r="Y912" s="57" t="str">
        <f>IF(AND(OR(A912="BL",A912="BR",A912="BS"),AG912&gt;0,D912&lt;&gt;""),A912&amp;"|"&amp;AG912&amp;"|"&amp;D912&amp;"|"&amp;F912,"")</f>
        <v/>
      </c>
      <c r="Z912" s="57" t="str">
        <f>IF(Y912="","",IF(COUNTIF(Y$6:Y911,Y912)=0,1,0))</f>
        <v/>
      </c>
      <c r="AA912" s="57" t="str">
        <f>IF(Y912="","",IF(Z912=1,COUNTIFS(A$6:A912,A912,Z$6:Z912,1),INDEX(AA$6:AA911,MATCH(Y912,Y$6:Y911,0))))</f>
        <v/>
      </c>
      <c r="AB912" s="57" t="str">
        <f>IF(B912="","",COUNTIF(B$6:B912,B912))</f>
        <v/>
      </c>
      <c r="AC912" s="57" t="str">
        <f>IF(B912="","",B912&amp;"#"&amp;AB912)</f>
        <v/>
      </c>
      <c r="AD912" s="57" t="str">
        <f>IF(Z912=1,A912&amp;AA912,"")</f>
        <v/>
      </c>
      <c r="AE912" s="57" t="str">
        <f>IF(B912="","",YEAR(C912))</f>
        <v/>
      </c>
      <c r="AF912" s="57" t="str">
        <f>IF(B912="","",MONTH(C912))</f>
        <v/>
      </c>
      <c r="AG912" s="57">
        <f>IF(ISNUMBER(C912),C912,0)</f>
        <v>0.0</v>
      </c>
      <c r="AH912" s="57" t="str">
        <f>IF(N(W912)&gt;0,COUNTIF(W$6:W912,"&gt;0"),"")</f>
        <v/>
      </c>
      <c r="AI912" s="57" t="str">
        <f>IF(Z912=1,COUNTIF(Z$6:Z912,1),"")</f>
        <v/>
      </c>
    </row>
    <row r="913">
      <c r="A913" s="54" t="n"/>
      <c r="B913" s="55" t="str">
        <f>IF(AA913="","",A913&amp;"-"&amp;RIGHT("000"&amp;AA913,4))</f>
        <v/>
      </c>
      <c r="C913" s="56" t="n"/>
      <c r="D913" s="54" t="n"/>
      <c r="E913" s="57" t="str">
        <f>IF(D913="","",IF(A913="BL",IFERROR(INDEX(cl_name,MATCH(D913,cl_code,0))&amp;"","Client inconnu"),IF(A913="BR",IFERROR(INDEX(fo_name,MATCH(D913,fo_code,0))&amp;"","Fournisseur inconnu"),IF(A913="BS",IF(ISNA(MATCH(D913,p_services,0)),"Service inconnu",D913&amp;""),""))))</f>
        <v/>
      </c>
      <c r="F913" s="58" t="n"/>
      <c r="G913" s="58" t="n"/>
      <c r="H913" s="59" t="n"/>
      <c r="I913" s="57" t="str">
        <f>IF(H913="","",IFERROR(INDEX(art_des,MATCH(H913,art_ref,0))&amp;"","Article inconnu"))</f>
        <v/>
      </c>
      <c r="J913" s="60" t="str">
        <f>IF(H913="","",IFERROR(INDEX(art_unit,MATCH(H913,art_ref,0))&amp;"",""))</f>
        <v/>
      </c>
      <c r="K913" s="59" t="n"/>
      <c r="L913" s="59" t="n"/>
      <c r="M913" s="61" t="str">
        <f>IF(OR(B913="",NOT(ISNUMBER(K913)),NOT(ISNUMBER(L913))),"",IF(OR(K913&lt;=0,L913&lt;=0),"",ROUND(L913-K913,6)))</f>
        <v/>
      </c>
      <c r="N913" s="58" t="n"/>
      <c r="O913" s="62" t="n"/>
      <c r="P913" s="63" t="str">
        <f>IF(OR(B913="",NOT(ISNUMBER(L913))),"",IF(L913&lt;=0,"",IFERROR(ROUND(L913*N(INDEX(art_w,MATCH(H913,art_ref,0))),3),"")))</f>
        <v/>
      </c>
      <c r="Q913" s="59" t="n"/>
      <c r="R913" s="54" t="n"/>
      <c r="S913" s="59" t="n"/>
      <c r="T913" s="59" t="n"/>
      <c r="U913" s="64" t="str">
        <f>IF(OR(B913="",H913=""),"",IFERROR(IF(A913="BL",IF(N(INDEX(art_price,MATCH(H913,art_ref,0)))=0,"",N(INDEX(art_price,MATCH(H913,art_ref,0)))),IF(N(INDEX(art_cost,MATCH(H913,art_ref,0)))=0,"",N(INDEX(art_cost,MATCH(H913,art_ref,0))))),""))</f>
        <v/>
      </c>
      <c r="V913" s="64" t="str">
        <f>IF(OR(U913="",NOT(ISNUMBER(L913))),"",IF(L913&lt;=0,"",ROUND(L913*U913,2)))</f>
        <v/>
      </c>
      <c r="W913" s="60" t="str">
        <f>IF(AND(B913&lt;&gt;"",A913&lt;&gt;"BS",F913&lt;&gt;"",H913&lt;&gt;"",ISNUMBER(K913),ISNUMBER(L913)),IF(AND(K913&gt;0,L913&gt;0,K913-L913&gt;0,COUNTIFS(A914:A$2005,A913,F914:F$2005,F913,H914:H$2005,H913,AA914:AA$2005,"&gt;0")=0),ROUND(K913-L913,6),""),"")</f>
        <v/>
      </c>
      <c r="X913" s="60" t="str">
        <f>IF(AND(A913="",C913="",D913="",H913="",L913=""),"",IF(A913="","Type manquant",IF(AND(A913&lt;&gt;"BL",A913&lt;&gt;"BR",A913&lt;&gt;"BS"),"Type inconnu (BL, BR ou BS)",IF(AG913=0,"Date manquante ou invalide",IF(D913="",IF(A913="BL","Client manquant",IF(A913="BR","Fournisseur manquant","Service manquant")),IF(IF(A913="BL",ISNA(MATCH(D913,cl_code,0)),IF(A913="BR",ISNA(MATCH(D913,fo_code,0)),ISNA(MATCH(D913,p_services,0)))),IF(A913="BL","Client inconnu",IF(A913="BR","Fournisseur inconnu","Service inconnu")),IF(H913="","Article manquant",IF(ISNA(MATCH(H913,art_ref,0)),"Article inconnu",IF(OR(NOT(ISNUMBER(L913)),N(L913)&lt;=0),"Quantité invalide",IF(AND(K913&lt;&gt;"",OR(NOT(ISNUMBER(K913)),N(K913)&lt;=0)),"Qté commandée invalide",IF(AG913&lt;SUMPRODUCT(MAX((A$6:A912=A913)*AG$6:AG912)),"Date antérieure au bon précédent",IF(AND(A913&lt;&gt;"BR",ISNUMBER(M913),N(M913)&gt;0),IF(A913="BL","Livré plus que commandé","Sorti plus que demandé"),"OK"))))))))))))</f>
        <v/>
      </c>
      <c r="Y913" s="57" t="str">
        <f>IF(AND(OR(A913="BL",A913="BR",A913="BS"),AG913&gt;0,D913&lt;&gt;""),A913&amp;"|"&amp;AG913&amp;"|"&amp;D913&amp;"|"&amp;F913,"")</f>
        <v/>
      </c>
      <c r="Z913" s="57" t="str">
        <f>IF(Y913="","",IF(COUNTIF(Y$6:Y912,Y913)=0,1,0))</f>
        <v/>
      </c>
      <c r="AA913" s="57" t="str">
        <f>IF(Y913="","",IF(Z913=1,COUNTIFS(A$6:A913,A913,Z$6:Z913,1),INDEX(AA$6:AA912,MATCH(Y913,Y$6:Y912,0))))</f>
        <v/>
      </c>
      <c r="AB913" s="57" t="str">
        <f>IF(B913="","",COUNTIF(B$6:B913,B913))</f>
        <v/>
      </c>
      <c r="AC913" s="57" t="str">
        <f>IF(B913="","",B913&amp;"#"&amp;AB913)</f>
        <v/>
      </c>
      <c r="AD913" s="57" t="str">
        <f>IF(Z913=1,A913&amp;AA913,"")</f>
        <v/>
      </c>
      <c r="AE913" s="57" t="str">
        <f>IF(B913="","",YEAR(C913))</f>
        <v/>
      </c>
      <c r="AF913" s="57" t="str">
        <f>IF(B913="","",MONTH(C913))</f>
        <v/>
      </c>
      <c r="AG913" s="57">
        <f>IF(ISNUMBER(C913),C913,0)</f>
        <v>0.0</v>
      </c>
      <c r="AH913" s="57" t="str">
        <f>IF(N(W913)&gt;0,COUNTIF(W$6:W913,"&gt;0"),"")</f>
        <v/>
      </c>
      <c r="AI913" s="57" t="str">
        <f>IF(Z913=1,COUNTIF(Z$6:Z913,1),"")</f>
        <v/>
      </c>
    </row>
    <row r="914">
      <c r="A914" s="54" t="n"/>
      <c r="B914" s="55" t="str">
        <f>IF(AA914="","",A914&amp;"-"&amp;RIGHT("000"&amp;AA914,4))</f>
        <v/>
      </c>
      <c r="C914" s="56" t="n"/>
      <c r="D914" s="54" t="n"/>
      <c r="E914" s="57" t="str">
        <f>IF(D914="","",IF(A914="BL",IFERROR(INDEX(cl_name,MATCH(D914,cl_code,0))&amp;"","Client inconnu"),IF(A914="BR",IFERROR(INDEX(fo_name,MATCH(D914,fo_code,0))&amp;"","Fournisseur inconnu"),IF(A914="BS",IF(ISNA(MATCH(D914,p_services,0)),"Service inconnu",D914&amp;""),""))))</f>
        <v/>
      </c>
      <c r="F914" s="58" t="n"/>
      <c r="G914" s="58" t="n"/>
      <c r="H914" s="59" t="n"/>
      <c r="I914" s="57" t="str">
        <f>IF(H914="","",IFERROR(INDEX(art_des,MATCH(H914,art_ref,0))&amp;"","Article inconnu"))</f>
        <v/>
      </c>
      <c r="J914" s="60" t="str">
        <f>IF(H914="","",IFERROR(INDEX(art_unit,MATCH(H914,art_ref,0))&amp;"",""))</f>
        <v/>
      </c>
      <c r="K914" s="59" t="n"/>
      <c r="L914" s="59" t="n"/>
      <c r="M914" s="61" t="str">
        <f>IF(OR(B914="",NOT(ISNUMBER(K914)),NOT(ISNUMBER(L914))),"",IF(OR(K914&lt;=0,L914&lt;=0),"",ROUND(L914-K914,6)))</f>
        <v/>
      </c>
      <c r="N914" s="58" t="n"/>
      <c r="O914" s="62" t="n"/>
      <c r="P914" s="63" t="str">
        <f>IF(OR(B914="",NOT(ISNUMBER(L914))),"",IF(L914&lt;=0,"",IFERROR(ROUND(L914*N(INDEX(art_w,MATCH(H914,art_ref,0))),3),"")))</f>
        <v/>
      </c>
      <c r="Q914" s="59" t="n"/>
      <c r="R914" s="54" t="n"/>
      <c r="S914" s="59" t="n"/>
      <c r="T914" s="59" t="n"/>
      <c r="U914" s="64" t="str">
        <f>IF(OR(B914="",H914=""),"",IFERROR(IF(A914="BL",IF(N(INDEX(art_price,MATCH(H914,art_ref,0)))=0,"",N(INDEX(art_price,MATCH(H914,art_ref,0)))),IF(N(INDEX(art_cost,MATCH(H914,art_ref,0)))=0,"",N(INDEX(art_cost,MATCH(H914,art_ref,0))))),""))</f>
        <v/>
      </c>
      <c r="V914" s="64" t="str">
        <f>IF(OR(U914="",NOT(ISNUMBER(L914))),"",IF(L914&lt;=0,"",ROUND(L914*U914,2)))</f>
        <v/>
      </c>
      <c r="W914" s="60" t="str">
        <f>IF(AND(B914&lt;&gt;"",A914&lt;&gt;"BS",F914&lt;&gt;"",H914&lt;&gt;"",ISNUMBER(K914),ISNUMBER(L914)),IF(AND(K914&gt;0,L914&gt;0,K914-L914&gt;0,COUNTIFS(A915:A$2005,A914,F915:F$2005,F914,H915:H$2005,H914,AA915:AA$2005,"&gt;0")=0),ROUND(K914-L914,6),""),"")</f>
        <v/>
      </c>
      <c r="X914" s="60" t="str">
        <f>IF(AND(A914="",C914="",D914="",H914="",L914=""),"",IF(A914="","Type manquant",IF(AND(A914&lt;&gt;"BL",A914&lt;&gt;"BR",A914&lt;&gt;"BS"),"Type inconnu (BL, BR ou BS)",IF(AG914=0,"Date manquante ou invalide",IF(D914="",IF(A914="BL","Client manquant",IF(A914="BR","Fournisseur manquant","Service manquant")),IF(IF(A914="BL",ISNA(MATCH(D914,cl_code,0)),IF(A914="BR",ISNA(MATCH(D914,fo_code,0)),ISNA(MATCH(D914,p_services,0)))),IF(A914="BL","Client inconnu",IF(A914="BR","Fournisseur inconnu","Service inconnu")),IF(H914="","Article manquant",IF(ISNA(MATCH(H914,art_ref,0)),"Article inconnu",IF(OR(NOT(ISNUMBER(L914)),N(L914)&lt;=0),"Quantité invalide",IF(AND(K914&lt;&gt;"",OR(NOT(ISNUMBER(K914)),N(K914)&lt;=0)),"Qté commandée invalide",IF(AG914&lt;SUMPRODUCT(MAX((A$6:A913=A914)*AG$6:AG913)),"Date antérieure au bon précédent",IF(AND(A914&lt;&gt;"BR",ISNUMBER(M914),N(M914)&gt;0),IF(A914="BL","Livré plus que commandé","Sorti plus que demandé"),"OK"))))))))))))</f>
        <v/>
      </c>
      <c r="Y914" s="57" t="str">
        <f>IF(AND(OR(A914="BL",A914="BR",A914="BS"),AG914&gt;0,D914&lt;&gt;""),A914&amp;"|"&amp;AG914&amp;"|"&amp;D914&amp;"|"&amp;F914,"")</f>
        <v/>
      </c>
      <c r="Z914" s="57" t="str">
        <f>IF(Y914="","",IF(COUNTIF(Y$6:Y913,Y914)=0,1,0))</f>
        <v/>
      </c>
      <c r="AA914" s="57" t="str">
        <f>IF(Y914="","",IF(Z914=1,COUNTIFS(A$6:A914,A914,Z$6:Z914,1),INDEX(AA$6:AA913,MATCH(Y914,Y$6:Y913,0))))</f>
        <v/>
      </c>
      <c r="AB914" s="57" t="str">
        <f>IF(B914="","",COUNTIF(B$6:B914,B914))</f>
        <v/>
      </c>
      <c r="AC914" s="57" t="str">
        <f>IF(B914="","",B914&amp;"#"&amp;AB914)</f>
        <v/>
      </c>
      <c r="AD914" s="57" t="str">
        <f>IF(Z914=1,A914&amp;AA914,"")</f>
        <v/>
      </c>
      <c r="AE914" s="57" t="str">
        <f>IF(B914="","",YEAR(C914))</f>
        <v/>
      </c>
      <c r="AF914" s="57" t="str">
        <f>IF(B914="","",MONTH(C914))</f>
        <v/>
      </c>
      <c r="AG914" s="57">
        <f>IF(ISNUMBER(C914),C914,0)</f>
        <v>0.0</v>
      </c>
      <c r="AH914" s="57" t="str">
        <f>IF(N(W914)&gt;0,COUNTIF(W$6:W914,"&gt;0"),"")</f>
        <v/>
      </c>
      <c r="AI914" s="57" t="str">
        <f>IF(Z914=1,COUNTIF(Z$6:Z914,1),"")</f>
        <v/>
      </c>
    </row>
    <row r="915">
      <c r="A915" s="54" t="n"/>
      <c r="B915" s="55" t="str">
        <f>IF(AA915="","",A915&amp;"-"&amp;RIGHT("000"&amp;AA915,4))</f>
        <v/>
      </c>
      <c r="C915" s="56" t="n"/>
      <c r="D915" s="54" t="n"/>
      <c r="E915" s="57" t="str">
        <f>IF(D915="","",IF(A915="BL",IFERROR(INDEX(cl_name,MATCH(D915,cl_code,0))&amp;"","Client inconnu"),IF(A915="BR",IFERROR(INDEX(fo_name,MATCH(D915,fo_code,0))&amp;"","Fournisseur inconnu"),IF(A915="BS",IF(ISNA(MATCH(D915,p_services,0)),"Service inconnu",D915&amp;""),""))))</f>
        <v/>
      </c>
      <c r="F915" s="58" t="n"/>
      <c r="G915" s="58" t="n"/>
      <c r="H915" s="59" t="n"/>
      <c r="I915" s="57" t="str">
        <f>IF(H915="","",IFERROR(INDEX(art_des,MATCH(H915,art_ref,0))&amp;"","Article inconnu"))</f>
        <v/>
      </c>
      <c r="J915" s="60" t="str">
        <f>IF(H915="","",IFERROR(INDEX(art_unit,MATCH(H915,art_ref,0))&amp;"",""))</f>
        <v/>
      </c>
      <c r="K915" s="59" t="n"/>
      <c r="L915" s="59" t="n"/>
      <c r="M915" s="61" t="str">
        <f>IF(OR(B915="",NOT(ISNUMBER(K915)),NOT(ISNUMBER(L915))),"",IF(OR(K915&lt;=0,L915&lt;=0),"",ROUND(L915-K915,6)))</f>
        <v/>
      </c>
      <c r="N915" s="58" t="n"/>
      <c r="O915" s="62" t="n"/>
      <c r="P915" s="63" t="str">
        <f>IF(OR(B915="",NOT(ISNUMBER(L915))),"",IF(L915&lt;=0,"",IFERROR(ROUND(L915*N(INDEX(art_w,MATCH(H915,art_ref,0))),3),"")))</f>
        <v/>
      </c>
      <c r="Q915" s="59" t="n"/>
      <c r="R915" s="54" t="n"/>
      <c r="S915" s="59" t="n"/>
      <c r="T915" s="59" t="n"/>
      <c r="U915" s="64" t="str">
        <f>IF(OR(B915="",H915=""),"",IFERROR(IF(A915="BL",IF(N(INDEX(art_price,MATCH(H915,art_ref,0)))=0,"",N(INDEX(art_price,MATCH(H915,art_ref,0)))),IF(N(INDEX(art_cost,MATCH(H915,art_ref,0)))=0,"",N(INDEX(art_cost,MATCH(H915,art_ref,0))))),""))</f>
        <v/>
      </c>
      <c r="V915" s="64" t="str">
        <f>IF(OR(U915="",NOT(ISNUMBER(L915))),"",IF(L915&lt;=0,"",ROUND(L915*U915,2)))</f>
        <v/>
      </c>
      <c r="W915" s="60" t="str">
        <f>IF(AND(B915&lt;&gt;"",A915&lt;&gt;"BS",F915&lt;&gt;"",H915&lt;&gt;"",ISNUMBER(K915),ISNUMBER(L915)),IF(AND(K915&gt;0,L915&gt;0,K915-L915&gt;0,COUNTIFS(A916:A$2005,A915,F916:F$2005,F915,H916:H$2005,H915,AA916:AA$2005,"&gt;0")=0),ROUND(K915-L915,6),""),"")</f>
        <v/>
      </c>
      <c r="X915" s="60" t="str">
        <f>IF(AND(A915="",C915="",D915="",H915="",L915=""),"",IF(A915="","Type manquant",IF(AND(A915&lt;&gt;"BL",A915&lt;&gt;"BR",A915&lt;&gt;"BS"),"Type inconnu (BL, BR ou BS)",IF(AG915=0,"Date manquante ou invalide",IF(D915="",IF(A915="BL","Client manquant",IF(A915="BR","Fournisseur manquant","Service manquant")),IF(IF(A915="BL",ISNA(MATCH(D915,cl_code,0)),IF(A915="BR",ISNA(MATCH(D915,fo_code,0)),ISNA(MATCH(D915,p_services,0)))),IF(A915="BL","Client inconnu",IF(A915="BR","Fournisseur inconnu","Service inconnu")),IF(H915="","Article manquant",IF(ISNA(MATCH(H915,art_ref,0)),"Article inconnu",IF(OR(NOT(ISNUMBER(L915)),N(L915)&lt;=0),"Quantité invalide",IF(AND(K915&lt;&gt;"",OR(NOT(ISNUMBER(K915)),N(K915)&lt;=0)),"Qté commandée invalide",IF(AG915&lt;SUMPRODUCT(MAX((A$6:A914=A915)*AG$6:AG914)),"Date antérieure au bon précédent",IF(AND(A915&lt;&gt;"BR",ISNUMBER(M915),N(M915)&gt;0),IF(A915="BL","Livré plus que commandé","Sorti plus que demandé"),"OK"))))))))))))</f>
        <v/>
      </c>
      <c r="Y915" s="57" t="str">
        <f>IF(AND(OR(A915="BL",A915="BR",A915="BS"),AG915&gt;0,D915&lt;&gt;""),A915&amp;"|"&amp;AG915&amp;"|"&amp;D915&amp;"|"&amp;F915,"")</f>
        <v/>
      </c>
      <c r="Z915" s="57" t="str">
        <f>IF(Y915="","",IF(COUNTIF(Y$6:Y914,Y915)=0,1,0))</f>
        <v/>
      </c>
      <c r="AA915" s="57" t="str">
        <f>IF(Y915="","",IF(Z915=1,COUNTIFS(A$6:A915,A915,Z$6:Z915,1),INDEX(AA$6:AA914,MATCH(Y915,Y$6:Y914,0))))</f>
        <v/>
      </c>
      <c r="AB915" s="57" t="str">
        <f>IF(B915="","",COUNTIF(B$6:B915,B915))</f>
        <v/>
      </c>
      <c r="AC915" s="57" t="str">
        <f>IF(B915="","",B915&amp;"#"&amp;AB915)</f>
        <v/>
      </c>
      <c r="AD915" s="57" t="str">
        <f>IF(Z915=1,A915&amp;AA915,"")</f>
        <v/>
      </c>
      <c r="AE915" s="57" t="str">
        <f>IF(B915="","",YEAR(C915))</f>
        <v/>
      </c>
      <c r="AF915" s="57" t="str">
        <f>IF(B915="","",MONTH(C915))</f>
        <v/>
      </c>
      <c r="AG915" s="57">
        <f>IF(ISNUMBER(C915),C915,0)</f>
        <v>0.0</v>
      </c>
      <c r="AH915" s="57" t="str">
        <f>IF(N(W915)&gt;0,COUNTIF(W$6:W915,"&gt;0"),"")</f>
        <v/>
      </c>
      <c r="AI915" s="57" t="str">
        <f>IF(Z915=1,COUNTIF(Z$6:Z915,1),"")</f>
        <v/>
      </c>
    </row>
    <row r="916">
      <c r="A916" s="54" t="n"/>
      <c r="B916" s="55" t="str">
        <f>IF(AA916="","",A916&amp;"-"&amp;RIGHT("000"&amp;AA916,4))</f>
        <v/>
      </c>
      <c r="C916" s="56" t="n"/>
      <c r="D916" s="54" t="n"/>
      <c r="E916" s="57" t="str">
        <f>IF(D916="","",IF(A916="BL",IFERROR(INDEX(cl_name,MATCH(D916,cl_code,0))&amp;"","Client inconnu"),IF(A916="BR",IFERROR(INDEX(fo_name,MATCH(D916,fo_code,0))&amp;"","Fournisseur inconnu"),IF(A916="BS",IF(ISNA(MATCH(D916,p_services,0)),"Service inconnu",D916&amp;""),""))))</f>
        <v/>
      </c>
      <c r="F916" s="58" t="n"/>
      <c r="G916" s="58" t="n"/>
      <c r="H916" s="59" t="n"/>
      <c r="I916" s="57" t="str">
        <f>IF(H916="","",IFERROR(INDEX(art_des,MATCH(H916,art_ref,0))&amp;"","Article inconnu"))</f>
        <v/>
      </c>
      <c r="J916" s="60" t="str">
        <f>IF(H916="","",IFERROR(INDEX(art_unit,MATCH(H916,art_ref,0))&amp;"",""))</f>
        <v/>
      </c>
      <c r="K916" s="59" t="n"/>
      <c r="L916" s="59" t="n"/>
      <c r="M916" s="61" t="str">
        <f>IF(OR(B916="",NOT(ISNUMBER(K916)),NOT(ISNUMBER(L916))),"",IF(OR(K916&lt;=0,L916&lt;=0),"",ROUND(L916-K916,6)))</f>
        <v/>
      </c>
      <c r="N916" s="58" t="n"/>
      <c r="O916" s="62" t="n"/>
      <c r="P916" s="63" t="str">
        <f>IF(OR(B916="",NOT(ISNUMBER(L916))),"",IF(L916&lt;=0,"",IFERROR(ROUND(L916*N(INDEX(art_w,MATCH(H916,art_ref,0))),3),"")))</f>
        <v/>
      </c>
      <c r="Q916" s="59" t="n"/>
      <c r="R916" s="54" t="n"/>
      <c r="S916" s="59" t="n"/>
      <c r="T916" s="59" t="n"/>
      <c r="U916" s="64" t="str">
        <f>IF(OR(B916="",H916=""),"",IFERROR(IF(A916="BL",IF(N(INDEX(art_price,MATCH(H916,art_ref,0)))=0,"",N(INDEX(art_price,MATCH(H916,art_ref,0)))),IF(N(INDEX(art_cost,MATCH(H916,art_ref,0)))=0,"",N(INDEX(art_cost,MATCH(H916,art_ref,0))))),""))</f>
        <v/>
      </c>
      <c r="V916" s="64" t="str">
        <f>IF(OR(U916="",NOT(ISNUMBER(L916))),"",IF(L916&lt;=0,"",ROUND(L916*U916,2)))</f>
        <v/>
      </c>
      <c r="W916" s="60" t="str">
        <f>IF(AND(B916&lt;&gt;"",A916&lt;&gt;"BS",F916&lt;&gt;"",H916&lt;&gt;"",ISNUMBER(K916),ISNUMBER(L916)),IF(AND(K916&gt;0,L916&gt;0,K916-L916&gt;0,COUNTIFS(A917:A$2005,A916,F917:F$2005,F916,H917:H$2005,H916,AA917:AA$2005,"&gt;0")=0),ROUND(K916-L916,6),""),"")</f>
        <v/>
      </c>
      <c r="X916" s="60" t="str">
        <f>IF(AND(A916="",C916="",D916="",H916="",L916=""),"",IF(A916="","Type manquant",IF(AND(A916&lt;&gt;"BL",A916&lt;&gt;"BR",A916&lt;&gt;"BS"),"Type inconnu (BL, BR ou BS)",IF(AG916=0,"Date manquante ou invalide",IF(D916="",IF(A916="BL","Client manquant",IF(A916="BR","Fournisseur manquant","Service manquant")),IF(IF(A916="BL",ISNA(MATCH(D916,cl_code,0)),IF(A916="BR",ISNA(MATCH(D916,fo_code,0)),ISNA(MATCH(D916,p_services,0)))),IF(A916="BL","Client inconnu",IF(A916="BR","Fournisseur inconnu","Service inconnu")),IF(H916="","Article manquant",IF(ISNA(MATCH(H916,art_ref,0)),"Article inconnu",IF(OR(NOT(ISNUMBER(L916)),N(L916)&lt;=0),"Quantité invalide",IF(AND(K916&lt;&gt;"",OR(NOT(ISNUMBER(K916)),N(K916)&lt;=0)),"Qté commandée invalide",IF(AG916&lt;SUMPRODUCT(MAX((A$6:A915=A916)*AG$6:AG915)),"Date antérieure au bon précédent",IF(AND(A916&lt;&gt;"BR",ISNUMBER(M916),N(M916)&gt;0),IF(A916="BL","Livré plus que commandé","Sorti plus que demandé"),"OK"))))))))))))</f>
        <v/>
      </c>
      <c r="Y916" s="57" t="str">
        <f>IF(AND(OR(A916="BL",A916="BR",A916="BS"),AG916&gt;0,D916&lt;&gt;""),A916&amp;"|"&amp;AG916&amp;"|"&amp;D916&amp;"|"&amp;F916,"")</f>
        <v/>
      </c>
      <c r="Z916" s="57" t="str">
        <f>IF(Y916="","",IF(COUNTIF(Y$6:Y915,Y916)=0,1,0))</f>
        <v/>
      </c>
      <c r="AA916" s="57" t="str">
        <f>IF(Y916="","",IF(Z916=1,COUNTIFS(A$6:A916,A916,Z$6:Z916,1),INDEX(AA$6:AA915,MATCH(Y916,Y$6:Y915,0))))</f>
        <v/>
      </c>
      <c r="AB916" s="57" t="str">
        <f>IF(B916="","",COUNTIF(B$6:B916,B916))</f>
        <v/>
      </c>
      <c r="AC916" s="57" t="str">
        <f>IF(B916="","",B916&amp;"#"&amp;AB916)</f>
        <v/>
      </c>
      <c r="AD916" s="57" t="str">
        <f>IF(Z916=1,A916&amp;AA916,"")</f>
        <v/>
      </c>
      <c r="AE916" s="57" t="str">
        <f>IF(B916="","",YEAR(C916))</f>
        <v/>
      </c>
      <c r="AF916" s="57" t="str">
        <f>IF(B916="","",MONTH(C916))</f>
        <v/>
      </c>
      <c r="AG916" s="57">
        <f>IF(ISNUMBER(C916),C916,0)</f>
        <v>0.0</v>
      </c>
      <c r="AH916" s="57" t="str">
        <f>IF(N(W916)&gt;0,COUNTIF(W$6:W916,"&gt;0"),"")</f>
        <v/>
      </c>
      <c r="AI916" s="57" t="str">
        <f>IF(Z916=1,COUNTIF(Z$6:Z916,1),"")</f>
        <v/>
      </c>
    </row>
    <row r="917">
      <c r="A917" s="54" t="n"/>
      <c r="B917" s="55" t="str">
        <f>IF(AA917="","",A917&amp;"-"&amp;RIGHT("000"&amp;AA917,4))</f>
        <v/>
      </c>
      <c r="C917" s="56" t="n"/>
      <c r="D917" s="54" t="n"/>
      <c r="E917" s="57" t="str">
        <f>IF(D917="","",IF(A917="BL",IFERROR(INDEX(cl_name,MATCH(D917,cl_code,0))&amp;"","Client inconnu"),IF(A917="BR",IFERROR(INDEX(fo_name,MATCH(D917,fo_code,0))&amp;"","Fournisseur inconnu"),IF(A917="BS",IF(ISNA(MATCH(D917,p_services,0)),"Service inconnu",D917&amp;""),""))))</f>
        <v/>
      </c>
      <c r="F917" s="58" t="n"/>
      <c r="G917" s="58" t="n"/>
      <c r="H917" s="59" t="n"/>
      <c r="I917" s="57" t="str">
        <f>IF(H917="","",IFERROR(INDEX(art_des,MATCH(H917,art_ref,0))&amp;"","Article inconnu"))</f>
        <v/>
      </c>
      <c r="J917" s="60" t="str">
        <f>IF(H917="","",IFERROR(INDEX(art_unit,MATCH(H917,art_ref,0))&amp;"",""))</f>
        <v/>
      </c>
      <c r="K917" s="59" t="n"/>
      <c r="L917" s="59" t="n"/>
      <c r="M917" s="61" t="str">
        <f>IF(OR(B917="",NOT(ISNUMBER(K917)),NOT(ISNUMBER(L917))),"",IF(OR(K917&lt;=0,L917&lt;=0),"",ROUND(L917-K917,6)))</f>
        <v/>
      </c>
      <c r="N917" s="58" t="n"/>
      <c r="O917" s="62" t="n"/>
      <c r="P917" s="63" t="str">
        <f>IF(OR(B917="",NOT(ISNUMBER(L917))),"",IF(L917&lt;=0,"",IFERROR(ROUND(L917*N(INDEX(art_w,MATCH(H917,art_ref,0))),3),"")))</f>
        <v/>
      </c>
      <c r="Q917" s="59" t="n"/>
      <c r="R917" s="54" t="n"/>
      <c r="S917" s="59" t="n"/>
      <c r="T917" s="59" t="n"/>
      <c r="U917" s="64" t="str">
        <f>IF(OR(B917="",H917=""),"",IFERROR(IF(A917="BL",IF(N(INDEX(art_price,MATCH(H917,art_ref,0)))=0,"",N(INDEX(art_price,MATCH(H917,art_ref,0)))),IF(N(INDEX(art_cost,MATCH(H917,art_ref,0)))=0,"",N(INDEX(art_cost,MATCH(H917,art_ref,0))))),""))</f>
        <v/>
      </c>
      <c r="V917" s="64" t="str">
        <f>IF(OR(U917="",NOT(ISNUMBER(L917))),"",IF(L917&lt;=0,"",ROUND(L917*U917,2)))</f>
        <v/>
      </c>
      <c r="W917" s="60" t="str">
        <f>IF(AND(B917&lt;&gt;"",A917&lt;&gt;"BS",F917&lt;&gt;"",H917&lt;&gt;"",ISNUMBER(K917),ISNUMBER(L917)),IF(AND(K917&gt;0,L917&gt;0,K917-L917&gt;0,COUNTIFS(A918:A$2005,A917,F918:F$2005,F917,H918:H$2005,H917,AA918:AA$2005,"&gt;0")=0),ROUND(K917-L917,6),""),"")</f>
        <v/>
      </c>
      <c r="X917" s="60" t="str">
        <f>IF(AND(A917="",C917="",D917="",H917="",L917=""),"",IF(A917="","Type manquant",IF(AND(A917&lt;&gt;"BL",A917&lt;&gt;"BR",A917&lt;&gt;"BS"),"Type inconnu (BL, BR ou BS)",IF(AG917=0,"Date manquante ou invalide",IF(D917="",IF(A917="BL","Client manquant",IF(A917="BR","Fournisseur manquant","Service manquant")),IF(IF(A917="BL",ISNA(MATCH(D917,cl_code,0)),IF(A917="BR",ISNA(MATCH(D917,fo_code,0)),ISNA(MATCH(D917,p_services,0)))),IF(A917="BL","Client inconnu",IF(A917="BR","Fournisseur inconnu","Service inconnu")),IF(H917="","Article manquant",IF(ISNA(MATCH(H917,art_ref,0)),"Article inconnu",IF(OR(NOT(ISNUMBER(L917)),N(L917)&lt;=0),"Quantité invalide",IF(AND(K917&lt;&gt;"",OR(NOT(ISNUMBER(K917)),N(K917)&lt;=0)),"Qté commandée invalide",IF(AG917&lt;SUMPRODUCT(MAX((A$6:A916=A917)*AG$6:AG916)),"Date antérieure au bon précédent",IF(AND(A917&lt;&gt;"BR",ISNUMBER(M917),N(M917)&gt;0),IF(A917="BL","Livré plus que commandé","Sorti plus que demandé"),"OK"))))))))))))</f>
        <v/>
      </c>
      <c r="Y917" s="57" t="str">
        <f>IF(AND(OR(A917="BL",A917="BR",A917="BS"),AG917&gt;0,D917&lt;&gt;""),A917&amp;"|"&amp;AG917&amp;"|"&amp;D917&amp;"|"&amp;F917,"")</f>
        <v/>
      </c>
      <c r="Z917" s="57" t="str">
        <f>IF(Y917="","",IF(COUNTIF(Y$6:Y916,Y917)=0,1,0))</f>
        <v/>
      </c>
      <c r="AA917" s="57" t="str">
        <f>IF(Y917="","",IF(Z917=1,COUNTIFS(A$6:A917,A917,Z$6:Z917,1),INDEX(AA$6:AA916,MATCH(Y917,Y$6:Y916,0))))</f>
        <v/>
      </c>
      <c r="AB917" s="57" t="str">
        <f>IF(B917="","",COUNTIF(B$6:B917,B917))</f>
        <v/>
      </c>
      <c r="AC917" s="57" t="str">
        <f>IF(B917="","",B917&amp;"#"&amp;AB917)</f>
        <v/>
      </c>
      <c r="AD917" s="57" t="str">
        <f>IF(Z917=1,A917&amp;AA917,"")</f>
        <v/>
      </c>
      <c r="AE917" s="57" t="str">
        <f>IF(B917="","",YEAR(C917))</f>
        <v/>
      </c>
      <c r="AF917" s="57" t="str">
        <f>IF(B917="","",MONTH(C917))</f>
        <v/>
      </c>
      <c r="AG917" s="57">
        <f>IF(ISNUMBER(C917),C917,0)</f>
        <v>0.0</v>
      </c>
      <c r="AH917" s="57" t="str">
        <f>IF(N(W917)&gt;0,COUNTIF(W$6:W917,"&gt;0"),"")</f>
        <v/>
      </c>
      <c r="AI917" s="57" t="str">
        <f>IF(Z917=1,COUNTIF(Z$6:Z917,1),"")</f>
        <v/>
      </c>
    </row>
    <row r="918">
      <c r="A918" s="54" t="n"/>
      <c r="B918" s="55" t="str">
        <f>IF(AA918="","",A918&amp;"-"&amp;RIGHT("000"&amp;AA918,4))</f>
        <v/>
      </c>
      <c r="C918" s="56" t="n"/>
      <c r="D918" s="54" t="n"/>
      <c r="E918" s="57" t="str">
        <f>IF(D918="","",IF(A918="BL",IFERROR(INDEX(cl_name,MATCH(D918,cl_code,0))&amp;"","Client inconnu"),IF(A918="BR",IFERROR(INDEX(fo_name,MATCH(D918,fo_code,0))&amp;"","Fournisseur inconnu"),IF(A918="BS",IF(ISNA(MATCH(D918,p_services,0)),"Service inconnu",D918&amp;""),""))))</f>
        <v/>
      </c>
      <c r="F918" s="58" t="n"/>
      <c r="G918" s="58" t="n"/>
      <c r="H918" s="59" t="n"/>
      <c r="I918" s="57" t="str">
        <f>IF(H918="","",IFERROR(INDEX(art_des,MATCH(H918,art_ref,0))&amp;"","Article inconnu"))</f>
        <v/>
      </c>
      <c r="J918" s="60" t="str">
        <f>IF(H918="","",IFERROR(INDEX(art_unit,MATCH(H918,art_ref,0))&amp;"",""))</f>
        <v/>
      </c>
      <c r="K918" s="59" t="n"/>
      <c r="L918" s="59" t="n"/>
      <c r="M918" s="61" t="str">
        <f>IF(OR(B918="",NOT(ISNUMBER(K918)),NOT(ISNUMBER(L918))),"",IF(OR(K918&lt;=0,L918&lt;=0),"",ROUND(L918-K918,6)))</f>
        <v/>
      </c>
      <c r="N918" s="58" t="n"/>
      <c r="O918" s="62" t="n"/>
      <c r="P918" s="63" t="str">
        <f>IF(OR(B918="",NOT(ISNUMBER(L918))),"",IF(L918&lt;=0,"",IFERROR(ROUND(L918*N(INDEX(art_w,MATCH(H918,art_ref,0))),3),"")))</f>
        <v/>
      </c>
      <c r="Q918" s="59" t="n"/>
      <c r="R918" s="54" t="n"/>
      <c r="S918" s="59" t="n"/>
      <c r="T918" s="59" t="n"/>
      <c r="U918" s="64" t="str">
        <f>IF(OR(B918="",H918=""),"",IFERROR(IF(A918="BL",IF(N(INDEX(art_price,MATCH(H918,art_ref,0)))=0,"",N(INDEX(art_price,MATCH(H918,art_ref,0)))),IF(N(INDEX(art_cost,MATCH(H918,art_ref,0)))=0,"",N(INDEX(art_cost,MATCH(H918,art_ref,0))))),""))</f>
        <v/>
      </c>
      <c r="V918" s="64" t="str">
        <f>IF(OR(U918="",NOT(ISNUMBER(L918))),"",IF(L918&lt;=0,"",ROUND(L918*U918,2)))</f>
        <v/>
      </c>
      <c r="W918" s="60" t="str">
        <f>IF(AND(B918&lt;&gt;"",A918&lt;&gt;"BS",F918&lt;&gt;"",H918&lt;&gt;"",ISNUMBER(K918),ISNUMBER(L918)),IF(AND(K918&gt;0,L918&gt;0,K918-L918&gt;0,COUNTIFS(A919:A$2005,A918,F919:F$2005,F918,H919:H$2005,H918,AA919:AA$2005,"&gt;0")=0),ROUND(K918-L918,6),""),"")</f>
        <v/>
      </c>
      <c r="X918" s="60" t="str">
        <f>IF(AND(A918="",C918="",D918="",H918="",L918=""),"",IF(A918="","Type manquant",IF(AND(A918&lt;&gt;"BL",A918&lt;&gt;"BR",A918&lt;&gt;"BS"),"Type inconnu (BL, BR ou BS)",IF(AG918=0,"Date manquante ou invalide",IF(D918="",IF(A918="BL","Client manquant",IF(A918="BR","Fournisseur manquant","Service manquant")),IF(IF(A918="BL",ISNA(MATCH(D918,cl_code,0)),IF(A918="BR",ISNA(MATCH(D918,fo_code,0)),ISNA(MATCH(D918,p_services,0)))),IF(A918="BL","Client inconnu",IF(A918="BR","Fournisseur inconnu","Service inconnu")),IF(H918="","Article manquant",IF(ISNA(MATCH(H918,art_ref,0)),"Article inconnu",IF(OR(NOT(ISNUMBER(L918)),N(L918)&lt;=0),"Quantité invalide",IF(AND(K918&lt;&gt;"",OR(NOT(ISNUMBER(K918)),N(K918)&lt;=0)),"Qté commandée invalide",IF(AG918&lt;SUMPRODUCT(MAX((A$6:A917=A918)*AG$6:AG917)),"Date antérieure au bon précédent",IF(AND(A918&lt;&gt;"BR",ISNUMBER(M918),N(M918)&gt;0),IF(A918="BL","Livré plus que commandé","Sorti plus que demandé"),"OK"))))))))))))</f>
        <v/>
      </c>
      <c r="Y918" s="57" t="str">
        <f>IF(AND(OR(A918="BL",A918="BR",A918="BS"),AG918&gt;0,D918&lt;&gt;""),A918&amp;"|"&amp;AG918&amp;"|"&amp;D918&amp;"|"&amp;F918,"")</f>
        <v/>
      </c>
      <c r="Z918" s="57" t="str">
        <f>IF(Y918="","",IF(COUNTIF(Y$6:Y917,Y918)=0,1,0))</f>
        <v/>
      </c>
      <c r="AA918" s="57" t="str">
        <f>IF(Y918="","",IF(Z918=1,COUNTIFS(A$6:A918,A918,Z$6:Z918,1),INDEX(AA$6:AA917,MATCH(Y918,Y$6:Y917,0))))</f>
        <v/>
      </c>
      <c r="AB918" s="57" t="str">
        <f>IF(B918="","",COUNTIF(B$6:B918,B918))</f>
        <v/>
      </c>
      <c r="AC918" s="57" t="str">
        <f>IF(B918="","",B918&amp;"#"&amp;AB918)</f>
        <v/>
      </c>
      <c r="AD918" s="57" t="str">
        <f>IF(Z918=1,A918&amp;AA918,"")</f>
        <v/>
      </c>
      <c r="AE918" s="57" t="str">
        <f>IF(B918="","",YEAR(C918))</f>
        <v/>
      </c>
      <c r="AF918" s="57" t="str">
        <f>IF(B918="","",MONTH(C918))</f>
        <v/>
      </c>
      <c r="AG918" s="57">
        <f>IF(ISNUMBER(C918),C918,0)</f>
        <v>0.0</v>
      </c>
      <c r="AH918" s="57" t="str">
        <f>IF(N(W918)&gt;0,COUNTIF(W$6:W918,"&gt;0"),"")</f>
        <v/>
      </c>
      <c r="AI918" s="57" t="str">
        <f>IF(Z918=1,COUNTIF(Z$6:Z918,1),"")</f>
        <v/>
      </c>
    </row>
    <row r="919">
      <c r="A919" s="54" t="n"/>
      <c r="B919" s="55" t="str">
        <f>IF(AA919="","",A919&amp;"-"&amp;RIGHT("000"&amp;AA919,4))</f>
        <v/>
      </c>
      <c r="C919" s="56" t="n"/>
      <c r="D919" s="54" t="n"/>
      <c r="E919" s="57" t="str">
        <f>IF(D919="","",IF(A919="BL",IFERROR(INDEX(cl_name,MATCH(D919,cl_code,0))&amp;"","Client inconnu"),IF(A919="BR",IFERROR(INDEX(fo_name,MATCH(D919,fo_code,0))&amp;"","Fournisseur inconnu"),IF(A919="BS",IF(ISNA(MATCH(D919,p_services,0)),"Service inconnu",D919&amp;""),""))))</f>
        <v/>
      </c>
      <c r="F919" s="58" t="n"/>
      <c r="G919" s="58" t="n"/>
      <c r="H919" s="59" t="n"/>
      <c r="I919" s="57" t="str">
        <f>IF(H919="","",IFERROR(INDEX(art_des,MATCH(H919,art_ref,0))&amp;"","Article inconnu"))</f>
        <v/>
      </c>
      <c r="J919" s="60" t="str">
        <f>IF(H919="","",IFERROR(INDEX(art_unit,MATCH(H919,art_ref,0))&amp;"",""))</f>
        <v/>
      </c>
      <c r="K919" s="59" t="n"/>
      <c r="L919" s="59" t="n"/>
      <c r="M919" s="61" t="str">
        <f>IF(OR(B919="",NOT(ISNUMBER(K919)),NOT(ISNUMBER(L919))),"",IF(OR(K919&lt;=0,L919&lt;=0),"",ROUND(L919-K919,6)))</f>
        <v/>
      </c>
      <c r="N919" s="58" t="n"/>
      <c r="O919" s="62" t="n"/>
      <c r="P919" s="63" t="str">
        <f>IF(OR(B919="",NOT(ISNUMBER(L919))),"",IF(L919&lt;=0,"",IFERROR(ROUND(L919*N(INDEX(art_w,MATCH(H919,art_ref,0))),3),"")))</f>
        <v/>
      </c>
      <c r="Q919" s="59" t="n"/>
      <c r="R919" s="54" t="n"/>
      <c r="S919" s="59" t="n"/>
      <c r="T919" s="59" t="n"/>
      <c r="U919" s="64" t="str">
        <f>IF(OR(B919="",H919=""),"",IFERROR(IF(A919="BL",IF(N(INDEX(art_price,MATCH(H919,art_ref,0)))=0,"",N(INDEX(art_price,MATCH(H919,art_ref,0)))),IF(N(INDEX(art_cost,MATCH(H919,art_ref,0)))=0,"",N(INDEX(art_cost,MATCH(H919,art_ref,0))))),""))</f>
        <v/>
      </c>
      <c r="V919" s="64" t="str">
        <f>IF(OR(U919="",NOT(ISNUMBER(L919))),"",IF(L919&lt;=0,"",ROUND(L919*U919,2)))</f>
        <v/>
      </c>
      <c r="W919" s="60" t="str">
        <f>IF(AND(B919&lt;&gt;"",A919&lt;&gt;"BS",F919&lt;&gt;"",H919&lt;&gt;"",ISNUMBER(K919),ISNUMBER(L919)),IF(AND(K919&gt;0,L919&gt;0,K919-L919&gt;0,COUNTIFS(A920:A$2005,A919,F920:F$2005,F919,H920:H$2005,H919,AA920:AA$2005,"&gt;0")=0),ROUND(K919-L919,6),""),"")</f>
        <v/>
      </c>
      <c r="X919" s="60" t="str">
        <f>IF(AND(A919="",C919="",D919="",H919="",L919=""),"",IF(A919="","Type manquant",IF(AND(A919&lt;&gt;"BL",A919&lt;&gt;"BR",A919&lt;&gt;"BS"),"Type inconnu (BL, BR ou BS)",IF(AG919=0,"Date manquante ou invalide",IF(D919="",IF(A919="BL","Client manquant",IF(A919="BR","Fournisseur manquant","Service manquant")),IF(IF(A919="BL",ISNA(MATCH(D919,cl_code,0)),IF(A919="BR",ISNA(MATCH(D919,fo_code,0)),ISNA(MATCH(D919,p_services,0)))),IF(A919="BL","Client inconnu",IF(A919="BR","Fournisseur inconnu","Service inconnu")),IF(H919="","Article manquant",IF(ISNA(MATCH(H919,art_ref,0)),"Article inconnu",IF(OR(NOT(ISNUMBER(L919)),N(L919)&lt;=0),"Quantité invalide",IF(AND(K919&lt;&gt;"",OR(NOT(ISNUMBER(K919)),N(K919)&lt;=0)),"Qté commandée invalide",IF(AG919&lt;SUMPRODUCT(MAX((A$6:A918=A919)*AG$6:AG918)),"Date antérieure au bon précédent",IF(AND(A919&lt;&gt;"BR",ISNUMBER(M919),N(M919)&gt;0),IF(A919="BL","Livré plus que commandé","Sorti plus que demandé"),"OK"))))))))))))</f>
        <v/>
      </c>
      <c r="Y919" s="57" t="str">
        <f>IF(AND(OR(A919="BL",A919="BR",A919="BS"),AG919&gt;0,D919&lt;&gt;""),A919&amp;"|"&amp;AG919&amp;"|"&amp;D919&amp;"|"&amp;F919,"")</f>
        <v/>
      </c>
      <c r="Z919" s="57" t="str">
        <f>IF(Y919="","",IF(COUNTIF(Y$6:Y918,Y919)=0,1,0))</f>
        <v/>
      </c>
      <c r="AA919" s="57" t="str">
        <f>IF(Y919="","",IF(Z919=1,COUNTIFS(A$6:A919,A919,Z$6:Z919,1),INDEX(AA$6:AA918,MATCH(Y919,Y$6:Y918,0))))</f>
        <v/>
      </c>
      <c r="AB919" s="57" t="str">
        <f>IF(B919="","",COUNTIF(B$6:B919,B919))</f>
        <v/>
      </c>
      <c r="AC919" s="57" t="str">
        <f>IF(B919="","",B919&amp;"#"&amp;AB919)</f>
        <v/>
      </c>
      <c r="AD919" s="57" t="str">
        <f>IF(Z919=1,A919&amp;AA919,"")</f>
        <v/>
      </c>
      <c r="AE919" s="57" t="str">
        <f>IF(B919="","",YEAR(C919))</f>
        <v/>
      </c>
      <c r="AF919" s="57" t="str">
        <f>IF(B919="","",MONTH(C919))</f>
        <v/>
      </c>
      <c r="AG919" s="57">
        <f>IF(ISNUMBER(C919),C919,0)</f>
        <v>0.0</v>
      </c>
      <c r="AH919" s="57" t="str">
        <f>IF(N(W919)&gt;0,COUNTIF(W$6:W919,"&gt;0"),"")</f>
        <v/>
      </c>
      <c r="AI919" s="57" t="str">
        <f>IF(Z919=1,COUNTIF(Z$6:Z919,1),"")</f>
        <v/>
      </c>
    </row>
    <row r="920">
      <c r="A920" s="54" t="n"/>
      <c r="B920" s="55" t="str">
        <f>IF(AA920="","",A920&amp;"-"&amp;RIGHT("000"&amp;AA920,4))</f>
        <v/>
      </c>
      <c r="C920" s="56" t="n"/>
      <c r="D920" s="54" t="n"/>
      <c r="E920" s="57" t="str">
        <f>IF(D920="","",IF(A920="BL",IFERROR(INDEX(cl_name,MATCH(D920,cl_code,0))&amp;"","Client inconnu"),IF(A920="BR",IFERROR(INDEX(fo_name,MATCH(D920,fo_code,0))&amp;"","Fournisseur inconnu"),IF(A920="BS",IF(ISNA(MATCH(D920,p_services,0)),"Service inconnu",D920&amp;""),""))))</f>
        <v/>
      </c>
      <c r="F920" s="58" t="n"/>
      <c r="G920" s="58" t="n"/>
      <c r="H920" s="59" t="n"/>
      <c r="I920" s="57" t="str">
        <f>IF(H920="","",IFERROR(INDEX(art_des,MATCH(H920,art_ref,0))&amp;"","Article inconnu"))</f>
        <v/>
      </c>
      <c r="J920" s="60" t="str">
        <f>IF(H920="","",IFERROR(INDEX(art_unit,MATCH(H920,art_ref,0))&amp;"",""))</f>
        <v/>
      </c>
      <c r="K920" s="59" t="n"/>
      <c r="L920" s="59" t="n"/>
      <c r="M920" s="61" t="str">
        <f>IF(OR(B920="",NOT(ISNUMBER(K920)),NOT(ISNUMBER(L920))),"",IF(OR(K920&lt;=0,L920&lt;=0),"",ROUND(L920-K920,6)))</f>
        <v/>
      </c>
      <c r="N920" s="58" t="n"/>
      <c r="O920" s="62" t="n"/>
      <c r="P920" s="63" t="str">
        <f>IF(OR(B920="",NOT(ISNUMBER(L920))),"",IF(L920&lt;=0,"",IFERROR(ROUND(L920*N(INDEX(art_w,MATCH(H920,art_ref,0))),3),"")))</f>
        <v/>
      </c>
      <c r="Q920" s="59" t="n"/>
      <c r="R920" s="54" t="n"/>
      <c r="S920" s="59" t="n"/>
      <c r="T920" s="59" t="n"/>
      <c r="U920" s="64" t="str">
        <f>IF(OR(B920="",H920=""),"",IFERROR(IF(A920="BL",IF(N(INDEX(art_price,MATCH(H920,art_ref,0)))=0,"",N(INDEX(art_price,MATCH(H920,art_ref,0)))),IF(N(INDEX(art_cost,MATCH(H920,art_ref,0)))=0,"",N(INDEX(art_cost,MATCH(H920,art_ref,0))))),""))</f>
        <v/>
      </c>
      <c r="V920" s="64" t="str">
        <f>IF(OR(U920="",NOT(ISNUMBER(L920))),"",IF(L920&lt;=0,"",ROUND(L920*U920,2)))</f>
        <v/>
      </c>
      <c r="W920" s="60" t="str">
        <f>IF(AND(B920&lt;&gt;"",A920&lt;&gt;"BS",F920&lt;&gt;"",H920&lt;&gt;"",ISNUMBER(K920),ISNUMBER(L920)),IF(AND(K920&gt;0,L920&gt;0,K920-L920&gt;0,COUNTIFS(A921:A$2005,A920,F921:F$2005,F920,H921:H$2005,H920,AA921:AA$2005,"&gt;0")=0),ROUND(K920-L920,6),""),"")</f>
        <v/>
      </c>
      <c r="X920" s="60" t="str">
        <f>IF(AND(A920="",C920="",D920="",H920="",L920=""),"",IF(A920="","Type manquant",IF(AND(A920&lt;&gt;"BL",A920&lt;&gt;"BR",A920&lt;&gt;"BS"),"Type inconnu (BL, BR ou BS)",IF(AG920=0,"Date manquante ou invalide",IF(D920="",IF(A920="BL","Client manquant",IF(A920="BR","Fournisseur manquant","Service manquant")),IF(IF(A920="BL",ISNA(MATCH(D920,cl_code,0)),IF(A920="BR",ISNA(MATCH(D920,fo_code,0)),ISNA(MATCH(D920,p_services,0)))),IF(A920="BL","Client inconnu",IF(A920="BR","Fournisseur inconnu","Service inconnu")),IF(H920="","Article manquant",IF(ISNA(MATCH(H920,art_ref,0)),"Article inconnu",IF(OR(NOT(ISNUMBER(L920)),N(L920)&lt;=0),"Quantité invalide",IF(AND(K920&lt;&gt;"",OR(NOT(ISNUMBER(K920)),N(K920)&lt;=0)),"Qté commandée invalide",IF(AG920&lt;SUMPRODUCT(MAX((A$6:A919=A920)*AG$6:AG919)),"Date antérieure au bon précédent",IF(AND(A920&lt;&gt;"BR",ISNUMBER(M920),N(M920)&gt;0),IF(A920="BL","Livré plus que commandé","Sorti plus que demandé"),"OK"))))))))))))</f>
        <v/>
      </c>
      <c r="Y920" s="57" t="str">
        <f>IF(AND(OR(A920="BL",A920="BR",A920="BS"),AG920&gt;0,D920&lt;&gt;""),A920&amp;"|"&amp;AG920&amp;"|"&amp;D920&amp;"|"&amp;F920,"")</f>
        <v/>
      </c>
      <c r="Z920" s="57" t="str">
        <f>IF(Y920="","",IF(COUNTIF(Y$6:Y919,Y920)=0,1,0))</f>
        <v/>
      </c>
      <c r="AA920" s="57" t="str">
        <f>IF(Y920="","",IF(Z920=1,COUNTIFS(A$6:A920,A920,Z$6:Z920,1),INDEX(AA$6:AA919,MATCH(Y920,Y$6:Y919,0))))</f>
        <v/>
      </c>
      <c r="AB920" s="57" t="str">
        <f>IF(B920="","",COUNTIF(B$6:B920,B920))</f>
        <v/>
      </c>
      <c r="AC920" s="57" t="str">
        <f>IF(B920="","",B920&amp;"#"&amp;AB920)</f>
        <v/>
      </c>
      <c r="AD920" s="57" t="str">
        <f>IF(Z920=1,A920&amp;AA920,"")</f>
        <v/>
      </c>
      <c r="AE920" s="57" t="str">
        <f>IF(B920="","",YEAR(C920))</f>
        <v/>
      </c>
      <c r="AF920" s="57" t="str">
        <f>IF(B920="","",MONTH(C920))</f>
        <v/>
      </c>
      <c r="AG920" s="57">
        <f>IF(ISNUMBER(C920),C920,0)</f>
        <v>0.0</v>
      </c>
      <c r="AH920" s="57" t="str">
        <f>IF(N(W920)&gt;0,COUNTIF(W$6:W920,"&gt;0"),"")</f>
        <v/>
      </c>
      <c r="AI920" s="57" t="str">
        <f>IF(Z920=1,COUNTIF(Z$6:Z920,1),"")</f>
        <v/>
      </c>
    </row>
    <row r="921">
      <c r="A921" s="54" t="n"/>
      <c r="B921" s="55" t="str">
        <f>IF(AA921="","",A921&amp;"-"&amp;RIGHT("000"&amp;AA921,4))</f>
        <v/>
      </c>
      <c r="C921" s="56" t="n"/>
      <c r="D921" s="54" t="n"/>
      <c r="E921" s="57" t="str">
        <f>IF(D921="","",IF(A921="BL",IFERROR(INDEX(cl_name,MATCH(D921,cl_code,0))&amp;"","Client inconnu"),IF(A921="BR",IFERROR(INDEX(fo_name,MATCH(D921,fo_code,0))&amp;"","Fournisseur inconnu"),IF(A921="BS",IF(ISNA(MATCH(D921,p_services,0)),"Service inconnu",D921&amp;""),""))))</f>
        <v/>
      </c>
      <c r="F921" s="58" t="n"/>
      <c r="G921" s="58" t="n"/>
      <c r="H921" s="59" t="n"/>
      <c r="I921" s="57" t="str">
        <f>IF(H921="","",IFERROR(INDEX(art_des,MATCH(H921,art_ref,0))&amp;"","Article inconnu"))</f>
        <v/>
      </c>
      <c r="J921" s="60" t="str">
        <f>IF(H921="","",IFERROR(INDEX(art_unit,MATCH(H921,art_ref,0))&amp;"",""))</f>
        <v/>
      </c>
      <c r="K921" s="59" t="n"/>
      <c r="L921" s="59" t="n"/>
      <c r="M921" s="61" t="str">
        <f>IF(OR(B921="",NOT(ISNUMBER(K921)),NOT(ISNUMBER(L921))),"",IF(OR(K921&lt;=0,L921&lt;=0),"",ROUND(L921-K921,6)))</f>
        <v/>
      </c>
      <c r="N921" s="58" t="n"/>
      <c r="O921" s="62" t="n"/>
      <c r="P921" s="63" t="str">
        <f>IF(OR(B921="",NOT(ISNUMBER(L921))),"",IF(L921&lt;=0,"",IFERROR(ROUND(L921*N(INDEX(art_w,MATCH(H921,art_ref,0))),3),"")))</f>
        <v/>
      </c>
      <c r="Q921" s="59" t="n"/>
      <c r="R921" s="54" t="n"/>
      <c r="S921" s="59" t="n"/>
      <c r="T921" s="59" t="n"/>
      <c r="U921" s="64" t="str">
        <f>IF(OR(B921="",H921=""),"",IFERROR(IF(A921="BL",IF(N(INDEX(art_price,MATCH(H921,art_ref,0)))=0,"",N(INDEX(art_price,MATCH(H921,art_ref,0)))),IF(N(INDEX(art_cost,MATCH(H921,art_ref,0)))=0,"",N(INDEX(art_cost,MATCH(H921,art_ref,0))))),""))</f>
        <v/>
      </c>
      <c r="V921" s="64" t="str">
        <f>IF(OR(U921="",NOT(ISNUMBER(L921))),"",IF(L921&lt;=0,"",ROUND(L921*U921,2)))</f>
        <v/>
      </c>
      <c r="W921" s="60" t="str">
        <f>IF(AND(B921&lt;&gt;"",A921&lt;&gt;"BS",F921&lt;&gt;"",H921&lt;&gt;"",ISNUMBER(K921),ISNUMBER(L921)),IF(AND(K921&gt;0,L921&gt;0,K921-L921&gt;0,COUNTIFS(A922:A$2005,A921,F922:F$2005,F921,H922:H$2005,H921,AA922:AA$2005,"&gt;0")=0),ROUND(K921-L921,6),""),"")</f>
        <v/>
      </c>
      <c r="X921" s="60" t="str">
        <f>IF(AND(A921="",C921="",D921="",H921="",L921=""),"",IF(A921="","Type manquant",IF(AND(A921&lt;&gt;"BL",A921&lt;&gt;"BR",A921&lt;&gt;"BS"),"Type inconnu (BL, BR ou BS)",IF(AG921=0,"Date manquante ou invalide",IF(D921="",IF(A921="BL","Client manquant",IF(A921="BR","Fournisseur manquant","Service manquant")),IF(IF(A921="BL",ISNA(MATCH(D921,cl_code,0)),IF(A921="BR",ISNA(MATCH(D921,fo_code,0)),ISNA(MATCH(D921,p_services,0)))),IF(A921="BL","Client inconnu",IF(A921="BR","Fournisseur inconnu","Service inconnu")),IF(H921="","Article manquant",IF(ISNA(MATCH(H921,art_ref,0)),"Article inconnu",IF(OR(NOT(ISNUMBER(L921)),N(L921)&lt;=0),"Quantité invalide",IF(AND(K921&lt;&gt;"",OR(NOT(ISNUMBER(K921)),N(K921)&lt;=0)),"Qté commandée invalide",IF(AG921&lt;SUMPRODUCT(MAX((A$6:A920=A921)*AG$6:AG920)),"Date antérieure au bon précédent",IF(AND(A921&lt;&gt;"BR",ISNUMBER(M921),N(M921)&gt;0),IF(A921="BL","Livré plus que commandé","Sorti plus que demandé"),"OK"))))))))))))</f>
        <v/>
      </c>
      <c r="Y921" s="57" t="str">
        <f>IF(AND(OR(A921="BL",A921="BR",A921="BS"),AG921&gt;0,D921&lt;&gt;""),A921&amp;"|"&amp;AG921&amp;"|"&amp;D921&amp;"|"&amp;F921,"")</f>
        <v/>
      </c>
      <c r="Z921" s="57" t="str">
        <f>IF(Y921="","",IF(COUNTIF(Y$6:Y920,Y921)=0,1,0))</f>
        <v/>
      </c>
      <c r="AA921" s="57" t="str">
        <f>IF(Y921="","",IF(Z921=1,COUNTIFS(A$6:A921,A921,Z$6:Z921,1),INDEX(AA$6:AA920,MATCH(Y921,Y$6:Y920,0))))</f>
        <v/>
      </c>
      <c r="AB921" s="57" t="str">
        <f>IF(B921="","",COUNTIF(B$6:B921,B921))</f>
        <v/>
      </c>
      <c r="AC921" s="57" t="str">
        <f>IF(B921="","",B921&amp;"#"&amp;AB921)</f>
        <v/>
      </c>
      <c r="AD921" s="57" t="str">
        <f>IF(Z921=1,A921&amp;AA921,"")</f>
        <v/>
      </c>
      <c r="AE921" s="57" t="str">
        <f>IF(B921="","",YEAR(C921))</f>
        <v/>
      </c>
      <c r="AF921" s="57" t="str">
        <f>IF(B921="","",MONTH(C921))</f>
        <v/>
      </c>
      <c r="AG921" s="57">
        <f>IF(ISNUMBER(C921),C921,0)</f>
        <v>0.0</v>
      </c>
      <c r="AH921" s="57" t="str">
        <f>IF(N(W921)&gt;0,COUNTIF(W$6:W921,"&gt;0"),"")</f>
        <v/>
      </c>
      <c r="AI921" s="57" t="str">
        <f>IF(Z921=1,COUNTIF(Z$6:Z921,1),"")</f>
        <v/>
      </c>
    </row>
    <row r="922">
      <c r="A922" s="54" t="n"/>
      <c r="B922" s="55" t="str">
        <f>IF(AA922="","",A922&amp;"-"&amp;RIGHT("000"&amp;AA922,4))</f>
        <v/>
      </c>
      <c r="C922" s="56" t="n"/>
      <c r="D922" s="54" t="n"/>
      <c r="E922" s="57" t="str">
        <f>IF(D922="","",IF(A922="BL",IFERROR(INDEX(cl_name,MATCH(D922,cl_code,0))&amp;"","Client inconnu"),IF(A922="BR",IFERROR(INDEX(fo_name,MATCH(D922,fo_code,0))&amp;"","Fournisseur inconnu"),IF(A922="BS",IF(ISNA(MATCH(D922,p_services,0)),"Service inconnu",D922&amp;""),""))))</f>
        <v/>
      </c>
      <c r="F922" s="58" t="n"/>
      <c r="G922" s="58" t="n"/>
      <c r="H922" s="59" t="n"/>
      <c r="I922" s="57" t="str">
        <f>IF(H922="","",IFERROR(INDEX(art_des,MATCH(H922,art_ref,0))&amp;"","Article inconnu"))</f>
        <v/>
      </c>
      <c r="J922" s="60" t="str">
        <f>IF(H922="","",IFERROR(INDEX(art_unit,MATCH(H922,art_ref,0))&amp;"",""))</f>
        <v/>
      </c>
      <c r="K922" s="59" t="n"/>
      <c r="L922" s="59" t="n"/>
      <c r="M922" s="61" t="str">
        <f>IF(OR(B922="",NOT(ISNUMBER(K922)),NOT(ISNUMBER(L922))),"",IF(OR(K922&lt;=0,L922&lt;=0),"",ROUND(L922-K922,6)))</f>
        <v/>
      </c>
      <c r="N922" s="58" t="n"/>
      <c r="O922" s="62" t="n"/>
      <c r="P922" s="63" t="str">
        <f>IF(OR(B922="",NOT(ISNUMBER(L922))),"",IF(L922&lt;=0,"",IFERROR(ROUND(L922*N(INDEX(art_w,MATCH(H922,art_ref,0))),3),"")))</f>
        <v/>
      </c>
      <c r="Q922" s="59" t="n"/>
      <c r="R922" s="54" t="n"/>
      <c r="S922" s="59" t="n"/>
      <c r="T922" s="59" t="n"/>
      <c r="U922" s="64" t="str">
        <f>IF(OR(B922="",H922=""),"",IFERROR(IF(A922="BL",IF(N(INDEX(art_price,MATCH(H922,art_ref,0)))=0,"",N(INDEX(art_price,MATCH(H922,art_ref,0)))),IF(N(INDEX(art_cost,MATCH(H922,art_ref,0)))=0,"",N(INDEX(art_cost,MATCH(H922,art_ref,0))))),""))</f>
        <v/>
      </c>
      <c r="V922" s="64" t="str">
        <f>IF(OR(U922="",NOT(ISNUMBER(L922))),"",IF(L922&lt;=0,"",ROUND(L922*U922,2)))</f>
        <v/>
      </c>
      <c r="W922" s="60" t="str">
        <f>IF(AND(B922&lt;&gt;"",A922&lt;&gt;"BS",F922&lt;&gt;"",H922&lt;&gt;"",ISNUMBER(K922),ISNUMBER(L922)),IF(AND(K922&gt;0,L922&gt;0,K922-L922&gt;0,COUNTIFS(A923:A$2005,A922,F923:F$2005,F922,H923:H$2005,H922,AA923:AA$2005,"&gt;0")=0),ROUND(K922-L922,6),""),"")</f>
        <v/>
      </c>
      <c r="X922" s="60" t="str">
        <f>IF(AND(A922="",C922="",D922="",H922="",L922=""),"",IF(A922="","Type manquant",IF(AND(A922&lt;&gt;"BL",A922&lt;&gt;"BR",A922&lt;&gt;"BS"),"Type inconnu (BL, BR ou BS)",IF(AG922=0,"Date manquante ou invalide",IF(D922="",IF(A922="BL","Client manquant",IF(A922="BR","Fournisseur manquant","Service manquant")),IF(IF(A922="BL",ISNA(MATCH(D922,cl_code,0)),IF(A922="BR",ISNA(MATCH(D922,fo_code,0)),ISNA(MATCH(D922,p_services,0)))),IF(A922="BL","Client inconnu",IF(A922="BR","Fournisseur inconnu","Service inconnu")),IF(H922="","Article manquant",IF(ISNA(MATCH(H922,art_ref,0)),"Article inconnu",IF(OR(NOT(ISNUMBER(L922)),N(L922)&lt;=0),"Quantité invalide",IF(AND(K922&lt;&gt;"",OR(NOT(ISNUMBER(K922)),N(K922)&lt;=0)),"Qté commandée invalide",IF(AG922&lt;SUMPRODUCT(MAX((A$6:A921=A922)*AG$6:AG921)),"Date antérieure au bon précédent",IF(AND(A922&lt;&gt;"BR",ISNUMBER(M922),N(M922)&gt;0),IF(A922="BL","Livré plus que commandé","Sorti plus que demandé"),"OK"))))))))))))</f>
        <v/>
      </c>
      <c r="Y922" s="57" t="str">
        <f>IF(AND(OR(A922="BL",A922="BR",A922="BS"),AG922&gt;0,D922&lt;&gt;""),A922&amp;"|"&amp;AG922&amp;"|"&amp;D922&amp;"|"&amp;F922,"")</f>
        <v/>
      </c>
      <c r="Z922" s="57" t="str">
        <f>IF(Y922="","",IF(COUNTIF(Y$6:Y921,Y922)=0,1,0))</f>
        <v/>
      </c>
      <c r="AA922" s="57" t="str">
        <f>IF(Y922="","",IF(Z922=1,COUNTIFS(A$6:A922,A922,Z$6:Z922,1),INDEX(AA$6:AA921,MATCH(Y922,Y$6:Y921,0))))</f>
        <v/>
      </c>
      <c r="AB922" s="57" t="str">
        <f>IF(B922="","",COUNTIF(B$6:B922,B922))</f>
        <v/>
      </c>
      <c r="AC922" s="57" t="str">
        <f>IF(B922="","",B922&amp;"#"&amp;AB922)</f>
        <v/>
      </c>
      <c r="AD922" s="57" t="str">
        <f>IF(Z922=1,A922&amp;AA922,"")</f>
        <v/>
      </c>
      <c r="AE922" s="57" t="str">
        <f>IF(B922="","",YEAR(C922))</f>
        <v/>
      </c>
      <c r="AF922" s="57" t="str">
        <f>IF(B922="","",MONTH(C922))</f>
        <v/>
      </c>
      <c r="AG922" s="57">
        <f>IF(ISNUMBER(C922),C922,0)</f>
        <v>0.0</v>
      </c>
      <c r="AH922" s="57" t="str">
        <f>IF(N(W922)&gt;0,COUNTIF(W$6:W922,"&gt;0"),"")</f>
        <v/>
      </c>
      <c r="AI922" s="57" t="str">
        <f>IF(Z922=1,COUNTIF(Z$6:Z922,1),"")</f>
        <v/>
      </c>
    </row>
    <row r="923">
      <c r="A923" s="54" t="n"/>
      <c r="B923" s="55" t="str">
        <f>IF(AA923="","",A923&amp;"-"&amp;RIGHT("000"&amp;AA923,4))</f>
        <v/>
      </c>
      <c r="C923" s="56" t="n"/>
      <c r="D923" s="54" t="n"/>
      <c r="E923" s="57" t="str">
        <f>IF(D923="","",IF(A923="BL",IFERROR(INDEX(cl_name,MATCH(D923,cl_code,0))&amp;"","Client inconnu"),IF(A923="BR",IFERROR(INDEX(fo_name,MATCH(D923,fo_code,0))&amp;"","Fournisseur inconnu"),IF(A923="BS",IF(ISNA(MATCH(D923,p_services,0)),"Service inconnu",D923&amp;""),""))))</f>
        <v/>
      </c>
      <c r="F923" s="58" t="n"/>
      <c r="G923" s="58" t="n"/>
      <c r="H923" s="59" t="n"/>
      <c r="I923" s="57" t="str">
        <f>IF(H923="","",IFERROR(INDEX(art_des,MATCH(H923,art_ref,0))&amp;"","Article inconnu"))</f>
        <v/>
      </c>
      <c r="J923" s="60" t="str">
        <f>IF(H923="","",IFERROR(INDEX(art_unit,MATCH(H923,art_ref,0))&amp;"",""))</f>
        <v/>
      </c>
      <c r="K923" s="59" t="n"/>
      <c r="L923" s="59" t="n"/>
      <c r="M923" s="61" t="str">
        <f>IF(OR(B923="",NOT(ISNUMBER(K923)),NOT(ISNUMBER(L923))),"",IF(OR(K923&lt;=0,L923&lt;=0),"",ROUND(L923-K923,6)))</f>
        <v/>
      </c>
      <c r="N923" s="58" t="n"/>
      <c r="O923" s="62" t="n"/>
      <c r="P923" s="63" t="str">
        <f>IF(OR(B923="",NOT(ISNUMBER(L923))),"",IF(L923&lt;=0,"",IFERROR(ROUND(L923*N(INDEX(art_w,MATCH(H923,art_ref,0))),3),"")))</f>
        <v/>
      </c>
      <c r="Q923" s="59" t="n"/>
      <c r="R923" s="54" t="n"/>
      <c r="S923" s="59" t="n"/>
      <c r="T923" s="59" t="n"/>
      <c r="U923" s="64" t="str">
        <f>IF(OR(B923="",H923=""),"",IFERROR(IF(A923="BL",IF(N(INDEX(art_price,MATCH(H923,art_ref,0)))=0,"",N(INDEX(art_price,MATCH(H923,art_ref,0)))),IF(N(INDEX(art_cost,MATCH(H923,art_ref,0)))=0,"",N(INDEX(art_cost,MATCH(H923,art_ref,0))))),""))</f>
        <v/>
      </c>
      <c r="V923" s="64" t="str">
        <f>IF(OR(U923="",NOT(ISNUMBER(L923))),"",IF(L923&lt;=0,"",ROUND(L923*U923,2)))</f>
        <v/>
      </c>
      <c r="W923" s="60" t="str">
        <f>IF(AND(B923&lt;&gt;"",A923&lt;&gt;"BS",F923&lt;&gt;"",H923&lt;&gt;"",ISNUMBER(K923),ISNUMBER(L923)),IF(AND(K923&gt;0,L923&gt;0,K923-L923&gt;0,COUNTIFS(A924:A$2005,A923,F924:F$2005,F923,H924:H$2005,H923,AA924:AA$2005,"&gt;0")=0),ROUND(K923-L923,6),""),"")</f>
        <v/>
      </c>
      <c r="X923" s="60" t="str">
        <f>IF(AND(A923="",C923="",D923="",H923="",L923=""),"",IF(A923="","Type manquant",IF(AND(A923&lt;&gt;"BL",A923&lt;&gt;"BR",A923&lt;&gt;"BS"),"Type inconnu (BL, BR ou BS)",IF(AG923=0,"Date manquante ou invalide",IF(D923="",IF(A923="BL","Client manquant",IF(A923="BR","Fournisseur manquant","Service manquant")),IF(IF(A923="BL",ISNA(MATCH(D923,cl_code,0)),IF(A923="BR",ISNA(MATCH(D923,fo_code,0)),ISNA(MATCH(D923,p_services,0)))),IF(A923="BL","Client inconnu",IF(A923="BR","Fournisseur inconnu","Service inconnu")),IF(H923="","Article manquant",IF(ISNA(MATCH(H923,art_ref,0)),"Article inconnu",IF(OR(NOT(ISNUMBER(L923)),N(L923)&lt;=0),"Quantité invalide",IF(AND(K923&lt;&gt;"",OR(NOT(ISNUMBER(K923)),N(K923)&lt;=0)),"Qté commandée invalide",IF(AG923&lt;SUMPRODUCT(MAX((A$6:A922=A923)*AG$6:AG922)),"Date antérieure au bon précédent",IF(AND(A923&lt;&gt;"BR",ISNUMBER(M923),N(M923)&gt;0),IF(A923="BL","Livré plus que commandé","Sorti plus que demandé"),"OK"))))))))))))</f>
        <v/>
      </c>
      <c r="Y923" s="57" t="str">
        <f>IF(AND(OR(A923="BL",A923="BR",A923="BS"),AG923&gt;0,D923&lt;&gt;""),A923&amp;"|"&amp;AG923&amp;"|"&amp;D923&amp;"|"&amp;F923,"")</f>
        <v/>
      </c>
      <c r="Z923" s="57" t="str">
        <f>IF(Y923="","",IF(COUNTIF(Y$6:Y922,Y923)=0,1,0))</f>
        <v/>
      </c>
      <c r="AA923" s="57" t="str">
        <f>IF(Y923="","",IF(Z923=1,COUNTIFS(A$6:A923,A923,Z$6:Z923,1),INDEX(AA$6:AA922,MATCH(Y923,Y$6:Y922,0))))</f>
        <v/>
      </c>
      <c r="AB923" s="57" t="str">
        <f>IF(B923="","",COUNTIF(B$6:B923,B923))</f>
        <v/>
      </c>
      <c r="AC923" s="57" t="str">
        <f>IF(B923="","",B923&amp;"#"&amp;AB923)</f>
        <v/>
      </c>
      <c r="AD923" s="57" t="str">
        <f>IF(Z923=1,A923&amp;AA923,"")</f>
        <v/>
      </c>
      <c r="AE923" s="57" t="str">
        <f>IF(B923="","",YEAR(C923))</f>
        <v/>
      </c>
      <c r="AF923" s="57" t="str">
        <f>IF(B923="","",MONTH(C923))</f>
        <v/>
      </c>
      <c r="AG923" s="57">
        <f>IF(ISNUMBER(C923),C923,0)</f>
        <v>0.0</v>
      </c>
      <c r="AH923" s="57" t="str">
        <f>IF(N(W923)&gt;0,COUNTIF(W$6:W923,"&gt;0"),"")</f>
        <v/>
      </c>
      <c r="AI923" s="57" t="str">
        <f>IF(Z923=1,COUNTIF(Z$6:Z923,1),"")</f>
        <v/>
      </c>
    </row>
    <row r="924">
      <c r="A924" s="54" t="n"/>
      <c r="B924" s="55" t="str">
        <f>IF(AA924="","",A924&amp;"-"&amp;RIGHT("000"&amp;AA924,4))</f>
        <v/>
      </c>
      <c r="C924" s="56" t="n"/>
      <c r="D924" s="54" t="n"/>
      <c r="E924" s="57" t="str">
        <f>IF(D924="","",IF(A924="BL",IFERROR(INDEX(cl_name,MATCH(D924,cl_code,0))&amp;"","Client inconnu"),IF(A924="BR",IFERROR(INDEX(fo_name,MATCH(D924,fo_code,0))&amp;"","Fournisseur inconnu"),IF(A924="BS",IF(ISNA(MATCH(D924,p_services,0)),"Service inconnu",D924&amp;""),""))))</f>
        <v/>
      </c>
      <c r="F924" s="58" t="n"/>
      <c r="G924" s="58" t="n"/>
      <c r="H924" s="59" t="n"/>
      <c r="I924" s="57" t="str">
        <f>IF(H924="","",IFERROR(INDEX(art_des,MATCH(H924,art_ref,0))&amp;"","Article inconnu"))</f>
        <v/>
      </c>
      <c r="J924" s="60" t="str">
        <f>IF(H924="","",IFERROR(INDEX(art_unit,MATCH(H924,art_ref,0))&amp;"",""))</f>
        <v/>
      </c>
      <c r="K924" s="59" t="n"/>
      <c r="L924" s="59" t="n"/>
      <c r="M924" s="61" t="str">
        <f>IF(OR(B924="",NOT(ISNUMBER(K924)),NOT(ISNUMBER(L924))),"",IF(OR(K924&lt;=0,L924&lt;=0),"",ROUND(L924-K924,6)))</f>
        <v/>
      </c>
      <c r="N924" s="58" t="n"/>
      <c r="O924" s="62" t="n"/>
      <c r="P924" s="63" t="str">
        <f>IF(OR(B924="",NOT(ISNUMBER(L924))),"",IF(L924&lt;=0,"",IFERROR(ROUND(L924*N(INDEX(art_w,MATCH(H924,art_ref,0))),3),"")))</f>
        <v/>
      </c>
      <c r="Q924" s="59" t="n"/>
      <c r="R924" s="54" t="n"/>
      <c r="S924" s="59" t="n"/>
      <c r="T924" s="59" t="n"/>
      <c r="U924" s="64" t="str">
        <f>IF(OR(B924="",H924=""),"",IFERROR(IF(A924="BL",IF(N(INDEX(art_price,MATCH(H924,art_ref,0)))=0,"",N(INDEX(art_price,MATCH(H924,art_ref,0)))),IF(N(INDEX(art_cost,MATCH(H924,art_ref,0)))=0,"",N(INDEX(art_cost,MATCH(H924,art_ref,0))))),""))</f>
        <v/>
      </c>
      <c r="V924" s="64" t="str">
        <f>IF(OR(U924="",NOT(ISNUMBER(L924))),"",IF(L924&lt;=0,"",ROUND(L924*U924,2)))</f>
        <v/>
      </c>
      <c r="W924" s="60" t="str">
        <f>IF(AND(B924&lt;&gt;"",A924&lt;&gt;"BS",F924&lt;&gt;"",H924&lt;&gt;"",ISNUMBER(K924),ISNUMBER(L924)),IF(AND(K924&gt;0,L924&gt;0,K924-L924&gt;0,COUNTIFS(A925:A$2005,A924,F925:F$2005,F924,H925:H$2005,H924,AA925:AA$2005,"&gt;0")=0),ROUND(K924-L924,6),""),"")</f>
        <v/>
      </c>
      <c r="X924" s="60" t="str">
        <f>IF(AND(A924="",C924="",D924="",H924="",L924=""),"",IF(A924="","Type manquant",IF(AND(A924&lt;&gt;"BL",A924&lt;&gt;"BR",A924&lt;&gt;"BS"),"Type inconnu (BL, BR ou BS)",IF(AG924=0,"Date manquante ou invalide",IF(D924="",IF(A924="BL","Client manquant",IF(A924="BR","Fournisseur manquant","Service manquant")),IF(IF(A924="BL",ISNA(MATCH(D924,cl_code,0)),IF(A924="BR",ISNA(MATCH(D924,fo_code,0)),ISNA(MATCH(D924,p_services,0)))),IF(A924="BL","Client inconnu",IF(A924="BR","Fournisseur inconnu","Service inconnu")),IF(H924="","Article manquant",IF(ISNA(MATCH(H924,art_ref,0)),"Article inconnu",IF(OR(NOT(ISNUMBER(L924)),N(L924)&lt;=0),"Quantité invalide",IF(AND(K924&lt;&gt;"",OR(NOT(ISNUMBER(K924)),N(K924)&lt;=0)),"Qté commandée invalide",IF(AG924&lt;SUMPRODUCT(MAX((A$6:A923=A924)*AG$6:AG923)),"Date antérieure au bon précédent",IF(AND(A924&lt;&gt;"BR",ISNUMBER(M924),N(M924)&gt;0),IF(A924="BL","Livré plus que commandé","Sorti plus que demandé"),"OK"))))))))))))</f>
        <v/>
      </c>
      <c r="Y924" s="57" t="str">
        <f>IF(AND(OR(A924="BL",A924="BR",A924="BS"),AG924&gt;0,D924&lt;&gt;""),A924&amp;"|"&amp;AG924&amp;"|"&amp;D924&amp;"|"&amp;F924,"")</f>
        <v/>
      </c>
      <c r="Z924" s="57" t="str">
        <f>IF(Y924="","",IF(COUNTIF(Y$6:Y923,Y924)=0,1,0))</f>
        <v/>
      </c>
      <c r="AA924" s="57" t="str">
        <f>IF(Y924="","",IF(Z924=1,COUNTIFS(A$6:A924,A924,Z$6:Z924,1),INDEX(AA$6:AA923,MATCH(Y924,Y$6:Y923,0))))</f>
        <v/>
      </c>
      <c r="AB924" s="57" t="str">
        <f>IF(B924="","",COUNTIF(B$6:B924,B924))</f>
        <v/>
      </c>
      <c r="AC924" s="57" t="str">
        <f>IF(B924="","",B924&amp;"#"&amp;AB924)</f>
        <v/>
      </c>
      <c r="AD924" s="57" t="str">
        <f>IF(Z924=1,A924&amp;AA924,"")</f>
        <v/>
      </c>
      <c r="AE924" s="57" t="str">
        <f>IF(B924="","",YEAR(C924))</f>
        <v/>
      </c>
      <c r="AF924" s="57" t="str">
        <f>IF(B924="","",MONTH(C924))</f>
        <v/>
      </c>
      <c r="AG924" s="57">
        <f>IF(ISNUMBER(C924),C924,0)</f>
        <v>0.0</v>
      </c>
      <c r="AH924" s="57" t="str">
        <f>IF(N(W924)&gt;0,COUNTIF(W$6:W924,"&gt;0"),"")</f>
        <v/>
      </c>
      <c r="AI924" s="57" t="str">
        <f>IF(Z924=1,COUNTIF(Z$6:Z924,1),"")</f>
        <v/>
      </c>
    </row>
    <row r="925">
      <c r="A925" s="54" t="n"/>
      <c r="B925" s="55" t="str">
        <f>IF(AA925="","",A925&amp;"-"&amp;RIGHT("000"&amp;AA925,4))</f>
        <v/>
      </c>
      <c r="C925" s="56" t="n"/>
      <c r="D925" s="54" t="n"/>
      <c r="E925" s="57" t="str">
        <f>IF(D925="","",IF(A925="BL",IFERROR(INDEX(cl_name,MATCH(D925,cl_code,0))&amp;"","Client inconnu"),IF(A925="BR",IFERROR(INDEX(fo_name,MATCH(D925,fo_code,0))&amp;"","Fournisseur inconnu"),IF(A925="BS",IF(ISNA(MATCH(D925,p_services,0)),"Service inconnu",D925&amp;""),""))))</f>
        <v/>
      </c>
      <c r="F925" s="58" t="n"/>
      <c r="G925" s="58" t="n"/>
      <c r="H925" s="59" t="n"/>
      <c r="I925" s="57" t="str">
        <f>IF(H925="","",IFERROR(INDEX(art_des,MATCH(H925,art_ref,0))&amp;"","Article inconnu"))</f>
        <v/>
      </c>
      <c r="J925" s="60" t="str">
        <f>IF(H925="","",IFERROR(INDEX(art_unit,MATCH(H925,art_ref,0))&amp;"",""))</f>
        <v/>
      </c>
      <c r="K925" s="59" t="n"/>
      <c r="L925" s="59" t="n"/>
      <c r="M925" s="61" t="str">
        <f>IF(OR(B925="",NOT(ISNUMBER(K925)),NOT(ISNUMBER(L925))),"",IF(OR(K925&lt;=0,L925&lt;=0),"",ROUND(L925-K925,6)))</f>
        <v/>
      </c>
      <c r="N925" s="58" t="n"/>
      <c r="O925" s="62" t="n"/>
      <c r="P925" s="63" t="str">
        <f>IF(OR(B925="",NOT(ISNUMBER(L925))),"",IF(L925&lt;=0,"",IFERROR(ROUND(L925*N(INDEX(art_w,MATCH(H925,art_ref,0))),3),"")))</f>
        <v/>
      </c>
      <c r="Q925" s="59" t="n"/>
      <c r="R925" s="54" t="n"/>
      <c r="S925" s="59" t="n"/>
      <c r="T925" s="59" t="n"/>
      <c r="U925" s="64" t="str">
        <f>IF(OR(B925="",H925=""),"",IFERROR(IF(A925="BL",IF(N(INDEX(art_price,MATCH(H925,art_ref,0)))=0,"",N(INDEX(art_price,MATCH(H925,art_ref,0)))),IF(N(INDEX(art_cost,MATCH(H925,art_ref,0)))=0,"",N(INDEX(art_cost,MATCH(H925,art_ref,0))))),""))</f>
        <v/>
      </c>
      <c r="V925" s="64" t="str">
        <f>IF(OR(U925="",NOT(ISNUMBER(L925))),"",IF(L925&lt;=0,"",ROUND(L925*U925,2)))</f>
        <v/>
      </c>
      <c r="W925" s="60" t="str">
        <f>IF(AND(B925&lt;&gt;"",A925&lt;&gt;"BS",F925&lt;&gt;"",H925&lt;&gt;"",ISNUMBER(K925),ISNUMBER(L925)),IF(AND(K925&gt;0,L925&gt;0,K925-L925&gt;0,COUNTIFS(A926:A$2005,A925,F926:F$2005,F925,H926:H$2005,H925,AA926:AA$2005,"&gt;0")=0),ROUND(K925-L925,6),""),"")</f>
        <v/>
      </c>
      <c r="X925" s="60" t="str">
        <f>IF(AND(A925="",C925="",D925="",H925="",L925=""),"",IF(A925="","Type manquant",IF(AND(A925&lt;&gt;"BL",A925&lt;&gt;"BR",A925&lt;&gt;"BS"),"Type inconnu (BL, BR ou BS)",IF(AG925=0,"Date manquante ou invalide",IF(D925="",IF(A925="BL","Client manquant",IF(A925="BR","Fournisseur manquant","Service manquant")),IF(IF(A925="BL",ISNA(MATCH(D925,cl_code,0)),IF(A925="BR",ISNA(MATCH(D925,fo_code,0)),ISNA(MATCH(D925,p_services,0)))),IF(A925="BL","Client inconnu",IF(A925="BR","Fournisseur inconnu","Service inconnu")),IF(H925="","Article manquant",IF(ISNA(MATCH(H925,art_ref,0)),"Article inconnu",IF(OR(NOT(ISNUMBER(L925)),N(L925)&lt;=0),"Quantité invalide",IF(AND(K925&lt;&gt;"",OR(NOT(ISNUMBER(K925)),N(K925)&lt;=0)),"Qté commandée invalide",IF(AG925&lt;SUMPRODUCT(MAX((A$6:A924=A925)*AG$6:AG924)),"Date antérieure au bon précédent",IF(AND(A925&lt;&gt;"BR",ISNUMBER(M925),N(M925)&gt;0),IF(A925="BL","Livré plus que commandé","Sorti plus que demandé"),"OK"))))))))))))</f>
        <v/>
      </c>
      <c r="Y925" s="57" t="str">
        <f>IF(AND(OR(A925="BL",A925="BR",A925="BS"),AG925&gt;0,D925&lt;&gt;""),A925&amp;"|"&amp;AG925&amp;"|"&amp;D925&amp;"|"&amp;F925,"")</f>
        <v/>
      </c>
      <c r="Z925" s="57" t="str">
        <f>IF(Y925="","",IF(COUNTIF(Y$6:Y924,Y925)=0,1,0))</f>
        <v/>
      </c>
      <c r="AA925" s="57" t="str">
        <f>IF(Y925="","",IF(Z925=1,COUNTIFS(A$6:A925,A925,Z$6:Z925,1),INDEX(AA$6:AA924,MATCH(Y925,Y$6:Y924,0))))</f>
        <v/>
      </c>
      <c r="AB925" s="57" t="str">
        <f>IF(B925="","",COUNTIF(B$6:B925,B925))</f>
        <v/>
      </c>
      <c r="AC925" s="57" t="str">
        <f>IF(B925="","",B925&amp;"#"&amp;AB925)</f>
        <v/>
      </c>
      <c r="AD925" s="57" t="str">
        <f>IF(Z925=1,A925&amp;AA925,"")</f>
        <v/>
      </c>
      <c r="AE925" s="57" t="str">
        <f>IF(B925="","",YEAR(C925))</f>
        <v/>
      </c>
      <c r="AF925" s="57" t="str">
        <f>IF(B925="","",MONTH(C925))</f>
        <v/>
      </c>
      <c r="AG925" s="57">
        <f>IF(ISNUMBER(C925),C925,0)</f>
        <v>0.0</v>
      </c>
      <c r="AH925" s="57" t="str">
        <f>IF(N(W925)&gt;0,COUNTIF(W$6:W925,"&gt;0"),"")</f>
        <v/>
      </c>
      <c r="AI925" s="57" t="str">
        <f>IF(Z925=1,COUNTIF(Z$6:Z925,1),"")</f>
        <v/>
      </c>
    </row>
    <row r="926">
      <c r="A926" s="54" t="n"/>
      <c r="B926" s="55" t="str">
        <f>IF(AA926="","",A926&amp;"-"&amp;RIGHT("000"&amp;AA926,4))</f>
        <v/>
      </c>
      <c r="C926" s="56" t="n"/>
      <c r="D926" s="54" t="n"/>
      <c r="E926" s="57" t="str">
        <f>IF(D926="","",IF(A926="BL",IFERROR(INDEX(cl_name,MATCH(D926,cl_code,0))&amp;"","Client inconnu"),IF(A926="BR",IFERROR(INDEX(fo_name,MATCH(D926,fo_code,0))&amp;"","Fournisseur inconnu"),IF(A926="BS",IF(ISNA(MATCH(D926,p_services,0)),"Service inconnu",D926&amp;""),""))))</f>
        <v/>
      </c>
      <c r="F926" s="58" t="n"/>
      <c r="G926" s="58" t="n"/>
      <c r="H926" s="59" t="n"/>
      <c r="I926" s="57" t="str">
        <f>IF(H926="","",IFERROR(INDEX(art_des,MATCH(H926,art_ref,0))&amp;"","Article inconnu"))</f>
        <v/>
      </c>
      <c r="J926" s="60" t="str">
        <f>IF(H926="","",IFERROR(INDEX(art_unit,MATCH(H926,art_ref,0))&amp;"",""))</f>
        <v/>
      </c>
      <c r="K926" s="59" t="n"/>
      <c r="L926" s="59" t="n"/>
      <c r="M926" s="61" t="str">
        <f>IF(OR(B926="",NOT(ISNUMBER(K926)),NOT(ISNUMBER(L926))),"",IF(OR(K926&lt;=0,L926&lt;=0),"",ROUND(L926-K926,6)))</f>
        <v/>
      </c>
      <c r="N926" s="58" t="n"/>
      <c r="O926" s="62" t="n"/>
      <c r="P926" s="63" t="str">
        <f>IF(OR(B926="",NOT(ISNUMBER(L926))),"",IF(L926&lt;=0,"",IFERROR(ROUND(L926*N(INDEX(art_w,MATCH(H926,art_ref,0))),3),"")))</f>
        <v/>
      </c>
      <c r="Q926" s="59" t="n"/>
      <c r="R926" s="54" t="n"/>
      <c r="S926" s="59" t="n"/>
      <c r="T926" s="59" t="n"/>
      <c r="U926" s="64" t="str">
        <f>IF(OR(B926="",H926=""),"",IFERROR(IF(A926="BL",IF(N(INDEX(art_price,MATCH(H926,art_ref,0)))=0,"",N(INDEX(art_price,MATCH(H926,art_ref,0)))),IF(N(INDEX(art_cost,MATCH(H926,art_ref,0)))=0,"",N(INDEX(art_cost,MATCH(H926,art_ref,0))))),""))</f>
        <v/>
      </c>
      <c r="V926" s="64" t="str">
        <f>IF(OR(U926="",NOT(ISNUMBER(L926))),"",IF(L926&lt;=0,"",ROUND(L926*U926,2)))</f>
        <v/>
      </c>
      <c r="W926" s="60" t="str">
        <f>IF(AND(B926&lt;&gt;"",A926&lt;&gt;"BS",F926&lt;&gt;"",H926&lt;&gt;"",ISNUMBER(K926),ISNUMBER(L926)),IF(AND(K926&gt;0,L926&gt;0,K926-L926&gt;0,COUNTIFS(A927:A$2005,A926,F927:F$2005,F926,H927:H$2005,H926,AA927:AA$2005,"&gt;0")=0),ROUND(K926-L926,6),""),"")</f>
        <v/>
      </c>
      <c r="X926" s="60" t="str">
        <f>IF(AND(A926="",C926="",D926="",H926="",L926=""),"",IF(A926="","Type manquant",IF(AND(A926&lt;&gt;"BL",A926&lt;&gt;"BR",A926&lt;&gt;"BS"),"Type inconnu (BL, BR ou BS)",IF(AG926=0,"Date manquante ou invalide",IF(D926="",IF(A926="BL","Client manquant",IF(A926="BR","Fournisseur manquant","Service manquant")),IF(IF(A926="BL",ISNA(MATCH(D926,cl_code,0)),IF(A926="BR",ISNA(MATCH(D926,fo_code,0)),ISNA(MATCH(D926,p_services,0)))),IF(A926="BL","Client inconnu",IF(A926="BR","Fournisseur inconnu","Service inconnu")),IF(H926="","Article manquant",IF(ISNA(MATCH(H926,art_ref,0)),"Article inconnu",IF(OR(NOT(ISNUMBER(L926)),N(L926)&lt;=0),"Quantité invalide",IF(AND(K926&lt;&gt;"",OR(NOT(ISNUMBER(K926)),N(K926)&lt;=0)),"Qté commandée invalide",IF(AG926&lt;SUMPRODUCT(MAX((A$6:A925=A926)*AG$6:AG925)),"Date antérieure au bon précédent",IF(AND(A926&lt;&gt;"BR",ISNUMBER(M926),N(M926)&gt;0),IF(A926="BL","Livré plus que commandé","Sorti plus que demandé"),"OK"))))))))))))</f>
        <v/>
      </c>
      <c r="Y926" s="57" t="str">
        <f>IF(AND(OR(A926="BL",A926="BR",A926="BS"),AG926&gt;0,D926&lt;&gt;""),A926&amp;"|"&amp;AG926&amp;"|"&amp;D926&amp;"|"&amp;F926,"")</f>
        <v/>
      </c>
      <c r="Z926" s="57" t="str">
        <f>IF(Y926="","",IF(COUNTIF(Y$6:Y925,Y926)=0,1,0))</f>
        <v/>
      </c>
      <c r="AA926" s="57" t="str">
        <f>IF(Y926="","",IF(Z926=1,COUNTIFS(A$6:A926,A926,Z$6:Z926,1),INDEX(AA$6:AA925,MATCH(Y926,Y$6:Y925,0))))</f>
        <v/>
      </c>
      <c r="AB926" s="57" t="str">
        <f>IF(B926="","",COUNTIF(B$6:B926,B926))</f>
        <v/>
      </c>
      <c r="AC926" s="57" t="str">
        <f>IF(B926="","",B926&amp;"#"&amp;AB926)</f>
        <v/>
      </c>
      <c r="AD926" s="57" t="str">
        <f>IF(Z926=1,A926&amp;AA926,"")</f>
        <v/>
      </c>
      <c r="AE926" s="57" t="str">
        <f>IF(B926="","",YEAR(C926))</f>
        <v/>
      </c>
      <c r="AF926" s="57" t="str">
        <f>IF(B926="","",MONTH(C926))</f>
        <v/>
      </c>
      <c r="AG926" s="57">
        <f>IF(ISNUMBER(C926),C926,0)</f>
        <v>0.0</v>
      </c>
      <c r="AH926" s="57" t="str">
        <f>IF(N(W926)&gt;0,COUNTIF(W$6:W926,"&gt;0"),"")</f>
        <v/>
      </c>
      <c r="AI926" s="57" t="str">
        <f>IF(Z926=1,COUNTIF(Z$6:Z926,1),"")</f>
        <v/>
      </c>
    </row>
    <row r="927">
      <c r="A927" s="54" t="n"/>
      <c r="B927" s="55" t="str">
        <f>IF(AA927="","",A927&amp;"-"&amp;RIGHT("000"&amp;AA927,4))</f>
        <v/>
      </c>
      <c r="C927" s="56" t="n"/>
      <c r="D927" s="54" t="n"/>
      <c r="E927" s="57" t="str">
        <f>IF(D927="","",IF(A927="BL",IFERROR(INDEX(cl_name,MATCH(D927,cl_code,0))&amp;"","Client inconnu"),IF(A927="BR",IFERROR(INDEX(fo_name,MATCH(D927,fo_code,0))&amp;"","Fournisseur inconnu"),IF(A927="BS",IF(ISNA(MATCH(D927,p_services,0)),"Service inconnu",D927&amp;""),""))))</f>
        <v/>
      </c>
      <c r="F927" s="58" t="n"/>
      <c r="G927" s="58" t="n"/>
      <c r="H927" s="59" t="n"/>
      <c r="I927" s="57" t="str">
        <f>IF(H927="","",IFERROR(INDEX(art_des,MATCH(H927,art_ref,0))&amp;"","Article inconnu"))</f>
        <v/>
      </c>
      <c r="J927" s="60" t="str">
        <f>IF(H927="","",IFERROR(INDEX(art_unit,MATCH(H927,art_ref,0))&amp;"",""))</f>
        <v/>
      </c>
      <c r="K927" s="59" t="n"/>
      <c r="L927" s="59" t="n"/>
      <c r="M927" s="61" t="str">
        <f>IF(OR(B927="",NOT(ISNUMBER(K927)),NOT(ISNUMBER(L927))),"",IF(OR(K927&lt;=0,L927&lt;=0),"",ROUND(L927-K927,6)))</f>
        <v/>
      </c>
      <c r="N927" s="58" t="n"/>
      <c r="O927" s="62" t="n"/>
      <c r="P927" s="63" t="str">
        <f>IF(OR(B927="",NOT(ISNUMBER(L927))),"",IF(L927&lt;=0,"",IFERROR(ROUND(L927*N(INDEX(art_w,MATCH(H927,art_ref,0))),3),"")))</f>
        <v/>
      </c>
      <c r="Q927" s="59" t="n"/>
      <c r="R927" s="54" t="n"/>
      <c r="S927" s="59" t="n"/>
      <c r="T927" s="59" t="n"/>
      <c r="U927" s="64" t="str">
        <f>IF(OR(B927="",H927=""),"",IFERROR(IF(A927="BL",IF(N(INDEX(art_price,MATCH(H927,art_ref,0)))=0,"",N(INDEX(art_price,MATCH(H927,art_ref,0)))),IF(N(INDEX(art_cost,MATCH(H927,art_ref,0)))=0,"",N(INDEX(art_cost,MATCH(H927,art_ref,0))))),""))</f>
        <v/>
      </c>
      <c r="V927" s="64" t="str">
        <f>IF(OR(U927="",NOT(ISNUMBER(L927))),"",IF(L927&lt;=0,"",ROUND(L927*U927,2)))</f>
        <v/>
      </c>
      <c r="W927" s="60" t="str">
        <f>IF(AND(B927&lt;&gt;"",A927&lt;&gt;"BS",F927&lt;&gt;"",H927&lt;&gt;"",ISNUMBER(K927),ISNUMBER(L927)),IF(AND(K927&gt;0,L927&gt;0,K927-L927&gt;0,COUNTIFS(A928:A$2005,A927,F928:F$2005,F927,H928:H$2005,H927,AA928:AA$2005,"&gt;0")=0),ROUND(K927-L927,6),""),"")</f>
        <v/>
      </c>
      <c r="X927" s="60" t="str">
        <f>IF(AND(A927="",C927="",D927="",H927="",L927=""),"",IF(A927="","Type manquant",IF(AND(A927&lt;&gt;"BL",A927&lt;&gt;"BR",A927&lt;&gt;"BS"),"Type inconnu (BL, BR ou BS)",IF(AG927=0,"Date manquante ou invalide",IF(D927="",IF(A927="BL","Client manquant",IF(A927="BR","Fournisseur manquant","Service manquant")),IF(IF(A927="BL",ISNA(MATCH(D927,cl_code,0)),IF(A927="BR",ISNA(MATCH(D927,fo_code,0)),ISNA(MATCH(D927,p_services,0)))),IF(A927="BL","Client inconnu",IF(A927="BR","Fournisseur inconnu","Service inconnu")),IF(H927="","Article manquant",IF(ISNA(MATCH(H927,art_ref,0)),"Article inconnu",IF(OR(NOT(ISNUMBER(L927)),N(L927)&lt;=0),"Quantité invalide",IF(AND(K927&lt;&gt;"",OR(NOT(ISNUMBER(K927)),N(K927)&lt;=0)),"Qté commandée invalide",IF(AG927&lt;SUMPRODUCT(MAX((A$6:A926=A927)*AG$6:AG926)),"Date antérieure au bon précédent",IF(AND(A927&lt;&gt;"BR",ISNUMBER(M927),N(M927)&gt;0),IF(A927="BL","Livré plus que commandé","Sorti plus que demandé"),"OK"))))))))))))</f>
        <v/>
      </c>
      <c r="Y927" s="57" t="str">
        <f>IF(AND(OR(A927="BL",A927="BR",A927="BS"),AG927&gt;0,D927&lt;&gt;""),A927&amp;"|"&amp;AG927&amp;"|"&amp;D927&amp;"|"&amp;F927,"")</f>
        <v/>
      </c>
      <c r="Z927" s="57" t="str">
        <f>IF(Y927="","",IF(COUNTIF(Y$6:Y926,Y927)=0,1,0))</f>
        <v/>
      </c>
      <c r="AA927" s="57" t="str">
        <f>IF(Y927="","",IF(Z927=1,COUNTIFS(A$6:A927,A927,Z$6:Z927,1),INDEX(AA$6:AA926,MATCH(Y927,Y$6:Y926,0))))</f>
        <v/>
      </c>
      <c r="AB927" s="57" t="str">
        <f>IF(B927="","",COUNTIF(B$6:B927,B927))</f>
        <v/>
      </c>
      <c r="AC927" s="57" t="str">
        <f>IF(B927="","",B927&amp;"#"&amp;AB927)</f>
        <v/>
      </c>
      <c r="AD927" s="57" t="str">
        <f>IF(Z927=1,A927&amp;AA927,"")</f>
        <v/>
      </c>
      <c r="AE927" s="57" t="str">
        <f>IF(B927="","",YEAR(C927))</f>
        <v/>
      </c>
      <c r="AF927" s="57" t="str">
        <f>IF(B927="","",MONTH(C927))</f>
        <v/>
      </c>
      <c r="AG927" s="57">
        <f>IF(ISNUMBER(C927),C927,0)</f>
        <v>0.0</v>
      </c>
      <c r="AH927" s="57" t="str">
        <f>IF(N(W927)&gt;0,COUNTIF(W$6:W927,"&gt;0"),"")</f>
        <v/>
      </c>
      <c r="AI927" s="57" t="str">
        <f>IF(Z927=1,COUNTIF(Z$6:Z927,1),"")</f>
        <v/>
      </c>
    </row>
    <row r="928">
      <c r="A928" s="54" t="n"/>
      <c r="B928" s="55" t="str">
        <f>IF(AA928="","",A928&amp;"-"&amp;RIGHT("000"&amp;AA928,4))</f>
        <v/>
      </c>
      <c r="C928" s="56" t="n"/>
      <c r="D928" s="54" t="n"/>
      <c r="E928" s="57" t="str">
        <f>IF(D928="","",IF(A928="BL",IFERROR(INDEX(cl_name,MATCH(D928,cl_code,0))&amp;"","Client inconnu"),IF(A928="BR",IFERROR(INDEX(fo_name,MATCH(D928,fo_code,0))&amp;"","Fournisseur inconnu"),IF(A928="BS",IF(ISNA(MATCH(D928,p_services,0)),"Service inconnu",D928&amp;""),""))))</f>
        <v/>
      </c>
      <c r="F928" s="58" t="n"/>
      <c r="G928" s="58" t="n"/>
      <c r="H928" s="59" t="n"/>
      <c r="I928" s="57" t="str">
        <f>IF(H928="","",IFERROR(INDEX(art_des,MATCH(H928,art_ref,0))&amp;"","Article inconnu"))</f>
        <v/>
      </c>
      <c r="J928" s="60" t="str">
        <f>IF(H928="","",IFERROR(INDEX(art_unit,MATCH(H928,art_ref,0))&amp;"",""))</f>
        <v/>
      </c>
      <c r="K928" s="59" t="n"/>
      <c r="L928" s="59" t="n"/>
      <c r="M928" s="61" t="str">
        <f>IF(OR(B928="",NOT(ISNUMBER(K928)),NOT(ISNUMBER(L928))),"",IF(OR(K928&lt;=0,L928&lt;=0),"",ROUND(L928-K928,6)))</f>
        <v/>
      </c>
      <c r="N928" s="58" t="n"/>
      <c r="O928" s="62" t="n"/>
      <c r="P928" s="63" t="str">
        <f>IF(OR(B928="",NOT(ISNUMBER(L928))),"",IF(L928&lt;=0,"",IFERROR(ROUND(L928*N(INDEX(art_w,MATCH(H928,art_ref,0))),3),"")))</f>
        <v/>
      </c>
      <c r="Q928" s="59" t="n"/>
      <c r="R928" s="54" t="n"/>
      <c r="S928" s="59" t="n"/>
      <c r="T928" s="59" t="n"/>
      <c r="U928" s="64" t="str">
        <f>IF(OR(B928="",H928=""),"",IFERROR(IF(A928="BL",IF(N(INDEX(art_price,MATCH(H928,art_ref,0)))=0,"",N(INDEX(art_price,MATCH(H928,art_ref,0)))),IF(N(INDEX(art_cost,MATCH(H928,art_ref,0)))=0,"",N(INDEX(art_cost,MATCH(H928,art_ref,0))))),""))</f>
        <v/>
      </c>
      <c r="V928" s="64" t="str">
        <f>IF(OR(U928="",NOT(ISNUMBER(L928))),"",IF(L928&lt;=0,"",ROUND(L928*U928,2)))</f>
        <v/>
      </c>
      <c r="W928" s="60" t="str">
        <f>IF(AND(B928&lt;&gt;"",A928&lt;&gt;"BS",F928&lt;&gt;"",H928&lt;&gt;"",ISNUMBER(K928),ISNUMBER(L928)),IF(AND(K928&gt;0,L928&gt;0,K928-L928&gt;0,COUNTIFS(A929:A$2005,A928,F929:F$2005,F928,H929:H$2005,H928,AA929:AA$2005,"&gt;0")=0),ROUND(K928-L928,6),""),"")</f>
        <v/>
      </c>
      <c r="X928" s="60" t="str">
        <f>IF(AND(A928="",C928="",D928="",H928="",L928=""),"",IF(A928="","Type manquant",IF(AND(A928&lt;&gt;"BL",A928&lt;&gt;"BR",A928&lt;&gt;"BS"),"Type inconnu (BL, BR ou BS)",IF(AG928=0,"Date manquante ou invalide",IF(D928="",IF(A928="BL","Client manquant",IF(A928="BR","Fournisseur manquant","Service manquant")),IF(IF(A928="BL",ISNA(MATCH(D928,cl_code,0)),IF(A928="BR",ISNA(MATCH(D928,fo_code,0)),ISNA(MATCH(D928,p_services,0)))),IF(A928="BL","Client inconnu",IF(A928="BR","Fournisseur inconnu","Service inconnu")),IF(H928="","Article manquant",IF(ISNA(MATCH(H928,art_ref,0)),"Article inconnu",IF(OR(NOT(ISNUMBER(L928)),N(L928)&lt;=0),"Quantité invalide",IF(AND(K928&lt;&gt;"",OR(NOT(ISNUMBER(K928)),N(K928)&lt;=0)),"Qté commandée invalide",IF(AG928&lt;SUMPRODUCT(MAX((A$6:A927=A928)*AG$6:AG927)),"Date antérieure au bon précédent",IF(AND(A928&lt;&gt;"BR",ISNUMBER(M928),N(M928)&gt;0),IF(A928="BL","Livré plus que commandé","Sorti plus que demandé"),"OK"))))))))))))</f>
        <v/>
      </c>
      <c r="Y928" s="57" t="str">
        <f>IF(AND(OR(A928="BL",A928="BR",A928="BS"),AG928&gt;0,D928&lt;&gt;""),A928&amp;"|"&amp;AG928&amp;"|"&amp;D928&amp;"|"&amp;F928,"")</f>
        <v/>
      </c>
      <c r="Z928" s="57" t="str">
        <f>IF(Y928="","",IF(COUNTIF(Y$6:Y927,Y928)=0,1,0))</f>
        <v/>
      </c>
      <c r="AA928" s="57" t="str">
        <f>IF(Y928="","",IF(Z928=1,COUNTIFS(A$6:A928,A928,Z$6:Z928,1),INDEX(AA$6:AA927,MATCH(Y928,Y$6:Y927,0))))</f>
        <v/>
      </c>
      <c r="AB928" s="57" t="str">
        <f>IF(B928="","",COUNTIF(B$6:B928,B928))</f>
        <v/>
      </c>
      <c r="AC928" s="57" t="str">
        <f>IF(B928="","",B928&amp;"#"&amp;AB928)</f>
        <v/>
      </c>
      <c r="AD928" s="57" t="str">
        <f>IF(Z928=1,A928&amp;AA928,"")</f>
        <v/>
      </c>
      <c r="AE928" s="57" t="str">
        <f>IF(B928="","",YEAR(C928))</f>
        <v/>
      </c>
      <c r="AF928" s="57" t="str">
        <f>IF(B928="","",MONTH(C928))</f>
        <v/>
      </c>
      <c r="AG928" s="57">
        <f>IF(ISNUMBER(C928),C928,0)</f>
        <v>0.0</v>
      </c>
      <c r="AH928" s="57" t="str">
        <f>IF(N(W928)&gt;0,COUNTIF(W$6:W928,"&gt;0"),"")</f>
        <v/>
      </c>
      <c r="AI928" s="57" t="str">
        <f>IF(Z928=1,COUNTIF(Z$6:Z928,1),"")</f>
        <v/>
      </c>
    </row>
    <row r="929">
      <c r="A929" s="54" t="n"/>
      <c r="B929" s="55" t="str">
        <f>IF(AA929="","",A929&amp;"-"&amp;RIGHT("000"&amp;AA929,4))</f>
        <v/>
      </c>
      <c r="C929" s="56" t="n"/>
      <c r="D929" s="54" t="n"/>
      <c r="E929" s="57" t="str">
        <f>IF(D929="","",IF(A929="BL",IFERROR(INDEX(cl_name,MATCH(D929,cl_code,0))&amp;"","Client inconnu"),IF(A929="BR",IFERROR(INDEX(fo_name,MATCH(D929,fo_code,0))&amp;"","Fournisseur inconnu"),IF(A929="BS",IF(ISNA(MATCH(D929,p_services,0)),"Service inconnu",D929&amp;""),""))))</f>
        <v/>
      </c>
      <c r="F929" s="58" t="n"/>
      <c r="G929" s="58" t="n"/>
      <c r="H929" s="59" t="n"/>
      <c r="I929" s="57" t="str">
        <f>IF(H929="","",IFERROR(INDEX(art_des,MATCH(H929,art_ref,0))&amp;"","Article inconnu"))</f>
        <v/>
      </c>
      <c r="J929" s="60" t="str">
        <f>IF(H929="","",IFERROR(INDEX(art_unit,MATCH(H929,art_ref,0))&amp;"",""))</f>
        <v/>
      </c>
      <c r="K929" s="59" t="n"/>
      <c r="L929" s="59" t="n"/>
      <c r="M929" s="61" t="str">
        <f>IF(OR(B929="",NOT(ISNUMBER(K929)),NOT(ISNUMBER(L929))),"",IF(OR(K929&lt;=0,L929&lt;=0),"",ROUND(L929-K929,6)))</f>
        <v/>
      </c>
      <c r="N929" s="58" t="n"/>
      <c r="O929" s="62" t="n"/>
      <c r="P929" s="63" t="str">
        <f>IF(OR(B929="",NOT(ISNUMBER(L929))),"",IF(L929&lt;=0,"",IFERROR(ROUND(L929*N(INDEX(art_w,MATCH(H929,art_ref,0))),3),"")))</f>
        <v/>
      </c>
      <c r="Q929" s="59" t="n"/>
      <c r="R929" s="54" t="n"/>
      <c r="S929" s="59" t="n"/>
      <c r="T929" s="59" t="n"/>
      <c r="U929" s="64" t="str">
        <f>IF(OR(B929="",H929=""),"",IFERROR(IF(A929="BL",IF(N(INDEX(art_price,MATCH(H929,art_ref,0)))=0,"",N(INDEX(art_price,MATCH(H929,art_ref,0)))),IF(N(INDEX(art_cost,MATCH(H929,art_ref,0)))=0,"",N(INDEX(art_cost,MATCH(H929,art_ref,0))))),""))</f>
        <v/>
      </c>
      <c r="V929" s="64" t="str">
        <f>IF(OR(U929="",NOT(ISNUMBER(L929))),"",IF(L929&lt;=0,"",ROUND(L929*U929,2)))</f>
        <v/>
      </c>
      <c r="W929" s="60" t="str">
        <f>IF(AND(B929&lt;&gt;"",A929&lt;&gt;"BS",F929&lt;&gt;"",H929&lt;&gt;"",ISNUMBER(K929),ISNUMBER(L929)),IF(AND(K929&gt;0,L929&gt;0,K929-L929&gt;0,COUNTIFS(A930:A$2005,A929,F930:F$2005,F929,H930:H$2005,H929,AA930:AA$2005,"&gt;0")=0),ROUND(K929-L929,6),""),"")</f>
        <v/>
      </c>
      <c r="X929" s="60" t="str">
        <f>IF(AND(A929="",C929="",D929="",H929="",L929=""),"",IF(A929="","Type manquant",IF(AND(A929&lt;&gt;"BL",A929&lt;&gt;"BR",A929&lt;&gt;"BS"),"Type inconnu (BL, BR ou BS)",IF(AG929=0,"Date manquante ou invalide",IF(D929="",IF(A929="BL","Client manquant",IF(A929="BR","Fournisseur manquant","Service manquant")),IF(IF(A929="BL",ISNA(MATCH(D929,cl_code,0)),IF(A929="BR",ISNA(MATCH(D929,fo_code,0)),ISNA(MATCH(D929,p_services,0)))),IF(A929="BL","Client inconnu",IF(A929="BR","Fournisseur inconnu","Service inconnu")),IF(H929="","Article manquant",IF(ISNA(MATCH(H929,art_ref,0)),"Article inconnu",IF(OR(NOT(ISNUMBER(L929)),N(L929)&lt;=0),"Quantité invalide",IF(AND(K929&lt;&gt;"",OR(NOT(ISNUMBER(K929)),N(K929)&lt;=0)),"Qté commandée invalide",IF(AG929&lt;SUMPRODUCT(MAX((A$6:A928=A929)*AG$6:AG928)),"Date antérieure au bon précédent",IF(AND(A929&lt;&gt;"BR",ISNUMBER(M929),N(M929)&gt;0),IF(A929="BL","Livré plus que commandé","Sorti plus que demandé"),"OK"))))))))))))</f>
        <v/>
      </c>
      <c r="Y929" s="57" t="str">
        <f>IF(AND(OR(A929="BL",A929="BR",A929="BS"),AG929&gt;0,D929&lt;&gt;""),A929&amp;"|"&amp;AG929&amp;"|"&amp;D929&amp;"|"&amp;F929,"")</f>
        <v/>
      </c>
      <c r="Z929" s="57" t="str">
        <f>IF(Y929="","",IF(COUNTIF(Y$6:Y928,Y929)=0,1,0))</f>
        <v/>
      </c>
      <c r="AA929" s="57" t="str">
        <f>IF(Y929="","",IF(Z929=1,COUNTIFS(A$6:A929,A929,Z$6:Z929,1),INDEX(AA$6:AA928,MATCH(Y929,Y$6:Y928,0))))</f>
        <v/>
      </c>
      <c r="AB929" s="57" t="str">
        <f>IF(B929="","",COUNTIF(B$6:B929,B929))</f>
        <v/>
      </c>
      <c r="AC929" s="57" t="str">
        <f>IF(B929="","",B929&amp;"#"&amp;AB929)</f>
        <v/>
      </c>
      <c r="AD929" s="57" t="str">
        <f>IF(Z929=1,A929&amp;AA929,"")</f>
        <v/>
      </c>
      <c r="AE929" s="57" t="str">
        <f>IF(B929="","",YEAR(C929))</f>
        <v/>
      </c>
      <c r="AF929" s="57" t="str">
        <f>IF(B929="","",MONTH(C929))</f>
        <v/>
      </c>
      <c r="AG929" s="57">
        <f>IF(ISNUMBER(C929),C929,0)</f>
        <v>0.0</v>
      </c>
      <c r="AH929" s="57" t="str">
        <f>IF(N(W929)&gt;0,COUNTIF(W$6:W929,"&gt;0"),"")</f>
        <v/>
      </c>
      <c r="AI929" s="57" t="str">
        <f>IF(Z929=1,COUNTIF(Z$6:Z929,1),"")</f>
        <v/>
      </c>
    </row>
    <row r="930">
      <c r="A930" s="54" t="n"/>
      <c r="B930" s="55" t="str">
        <f>IF(AA930="","",A930&amp;"-"&amp;RIGHT("000"&amp;AA930,4))</f>
        <v/>
      </c>
      <c r="C930" s="56" t="n"/>
      <c r="D930" s="54" t="n"/>
      <c r="E930" s="57" t="str">
        <f>IF(D930="","",IF(A930="BL",IFERROR(INDEX(cl_name,MATCH(D930,cl_code,0))&amp;"","Client inconnu"),IF(A930="BR",IFERROR(INDEX(fo_name,MATCH(D930,fo_code,0))&amp;"","Fournisseur inconnu"),IF(A930="BS",IF(ISNA(MATCH(D930,p_services,0)),"Service inconnu",D930&amp;""),""))))</f>
        <v/>
      </c>
      <c r="F930" s="58" t="n"/>
      <c r="G930" s="58" t="n"/>
      <c r="H930" s="59" t="n"/>
      <c r="I930" s="57" t="str">
        <f>IF(H930="","",IFERROR(INDEX(art_des,MATCH(H930,art_ref,0))&amp;"","Article inconnu"))</f>
        <v/>
      </c>
      <c r="J930" s="60" t="str">
        <f>IF(H930="","",IFERROR(INDEX(art_unit,MATCH(H930,art_ref,0))&amp;"",""))</f>
        <v/>
      </c>
      <c r="K930" s="59" t="n"/>
      <c r="L930" s="59" t="n"/>
      <c r="M930" s="61" t="str">
        <f>IF(OR(B930="",NOT(ISNUMBER(K930)),NOT(ISNUMBER(L930))),"",IF(OR(K930&lt;=0,L930&lt;=0),"",ROUND(L930-K930,6)))</f>
        <v/>
      </c>
      <c r="N930" s="58" t="n"/>
      <c r="O930" s="62" t="n"/>
      <c r="P930" s="63" t="str">
        <f>IF(OR(B930="",NOT(ISNUMBER(L930))),"",IF(L930&lt;=0,"",IFERROR(ROUND(L930*N(INDEX(art_w,MATCH(H930,art_ref,0))),3),"")))</f>
        <v/>
      </c>
      <c r="Q930" s="59" t="n"/>
      <c r="R930" s="54" t="n"/>
      <c r="S930" s="59" t="n"/>
      <c r="T930" s="59" t="n"/>
      <c r="U930" s="64" t="str">
        <f>IF(OR(B930="",H930=""),"",IFERROR(IF(A930="BL",IF(N(INDEX(art_price,MATCH(H930,art_ref,0)))=0,"",N(INDEX(art_price,MATCH(H930,art_ref,0)))),IF(N(INDEX(art_cost,MATCH(H930,art_ref,0)))=0,"",N(INDEX(art_cost,MATCH(H930,art_ref,0))))),""))</f>
        <v/>
      </c>
      <c r="V930" s="64" t="str">
        <f>IF(OR(U930="",NOT(ISNUMBER(L930))),"",IF(L930&lt;=0,"",ROUND(L930*U930,2)))</f>
        <v/>
      </c>
      <c r="W930" s="60" t="str">
        <f>IF(AND(B930&lt;&gt;"",A930&lt;&gt;"BS",F930&lt;&gt;"",H930&lt;&gt;"",ISNUMBER(K930),ISNUMBER(L930)),IF(AND(K930&gt;0,L930&gt;0,K930-L930&gt;0,COUNTIFS(A931:A$2005,A930,F931:F$2005,F930,H931:H$2005,H930,AA931:AA$2005,"&gt;0")=0),ROUND(K930-L930,6),""),"")</f>
        <v/>
      </c>
      <c r="X930" s="60" t="str">
        <f>IF(AND(A930="",C930="",D930="",H930="",L930=""),"",IF(A930="","Type manquant",IF(AND(A930&lt;&gt;"BL",A930&lt;&gt;"BR",A930&lt;&gt;"BS"),"Type inconnu (BL, BR ou BS)",IF(AG930=0,"Date manquante ou invalide",IF(D930="",IF(A930="BL","Client manquant",IF(A930="BR","Fournisseur manquant","Service manquant")),IF(IF(A930="BL",ISNA(MATCH(D930,cl_code,0)),IF(A930="BR",ISNA(MATCH(D930,fo_code,0)),ISNA(MATCH(D930,p_services,0)))),IF(A930="BL","Client inconnu",IF(A930="BR","Fournisseur inconnu","Service inconnu")),IF(H930="","Article manquant",IF(ISNA(MATCH(H930,art_ref,0)),"Article inconnu",IF(OR(NOT(ISNUMBER(L930)),N(L930)&lt;=0),"Quantité invalide",IF(AND(K930&lt;&gt;"",OR(NOT(ISNUMBER(K930)),N(K930)&lt;=0)),"Qté commandée invalide",IF(AG930&lt;SUMPRODUCT(MAX((A$6:A929=A930)*AG$6:AG929)),"Date antérieure au bon précédent",IF(AND(A930&lt;&gt;"BR",ISNUMBER(M930),N(M930)&gt;0),IF(A930="BL","Livré plus que commandé","Sorti plus que demandé"),"OK"))))))))))))</f>
        <v/>
      </c>
      <c r="Y930" s="57" t="str">
        <f>IF(AND(OR(A930="BL",A930="BR",A930="BS"),AG930&gt;0,D930&lt;&gt;""),A930&amp;"|"&amp;AG930&amp;"|"&amp;D930&amp;"|"&amp;F930,"")</f>
        <v/>
      </c>
      <c r="Z930" s="57" t="str">
        <f>IF(Y930="","",IF(COUNTIF(Y$6:Y929,Y930)=0,1,0))</f>
        <v/>
      </c>
      <c r="AA930" s="57" t="str">
        <f>IF(Y930="","",IF(Z930=1,COUNTIFS(A$6:A930,A930,Z$6:Z930,1),INDEX(AA$6:AA929,MATCH(Y930,Y$6:Y929,0))))</f>
        <v/>
      </c>
      <c r="AB930" s="57" t="str">
        <f>IF(B930="","",COUNTIF(B$6:B930,B930))</f>
        <v/>
      </c>
      <c r="AC930" s="57" t="str">
        <f>IF(B930="","",B930&amp;"#"&amp;AB930)</f>
        <v/>
      </c>
      <c r="AD930" s="57" t="str">
        <f>IF(Z930=1,A930&amp;AA930,"")</f>
        <v/>
      </c>
      <c r="AE930" s="57" t="str">
        <f>IF(B930="","",YEAR(C930))</f>
        <v/>
      </c>
      <c r="AF930" s="57" t="str">
        <f>IF(B930="","",MONTH(C930))</f>
        <v/>
      </c>
      <c r="AG930" s="57">
        <f>IF(ISNUMBER(C930),C930,0)</f>
        <v>0.0</v>
      </c>
      <c r="AH930" s="57" t="str">
        <f>IF(N(W930)&gt;0,COUNTIF(W$6:W930,"&gt;0"),"")</f>
        <v/>
      </c>
      <c r="AI930" s="57" t="str">
        <f>IF(Z930=1,COUNTIF(Z$6:Z930,1),"")</f>
        <v/>
      </c>
    </row>
    <row r="931">
      <c r="A931" s="54" t="n"/>
      <c r="B931" s="55" t="str">
        <f>IF(AA931="","",A931&amp;"-"&amp;RIGHT("000"&amp;AA931,4))</f>
        <v/>
      </c>
      <c r="C931" s="56" t="n"/>
      <c r="D931" s="54" t="n"/>
      <c r="E931" s="57" t="str">
        <f>IF(D931="","",IF(A931="BL",IFERROR(INDEX(cl_name,MATCH(D931,cl_code,0))&amp;"","Client inconnu"),IF(A931="BR",IFERROR(INDEX(fo_name,MATCH(D931,fo_code,0))&amp;"","Fournisseur inconnu"),IF(A931="BS",IF(ISNA(MATCH(D931,p_services,0)),"Service inconnu",D931&amp;""),""))))</f>
        <v/>
      </c>
      <c r="F931" s="58" t="n"/>
      <c r="G931" s="58" t="n"/>
      <c r="H931" s="59" t="n"/>
      <c r="I931" s="57" t="str">
        <f>IF(H931="","",IFERROR(INDEX(art_des,MATCH(H931,art_ref,0))&amp;"","Article inconnu"))</f>
        <v/>
      </c>
      <c r="J931" s="60" t="str">
        <f>IF(H931="","",IFERROR(INDEX(art_unit,MATCH(H931,art_ref,0))&amp;"",""))</f>
        <v/>
      </c>
      <c r="K931" s="59" t="n"/>
      <c r="L931" s="59" t="n"/>
      <c r="M931" s="61" t="str">
        <f>IF(OR(B931="",NOT(ISNUMBER(K931)),NOT(ISNUMBER(L931))),"",IF(OR(K931&lt;=0,L931&lt;=0),"",ROUND(L931-K931,6)))</f>
        <v/>
      </c>
      <c r="N931" s="58" t="n"/>
      <c r="O931" s="62" t="n"/>
      <c r="P931" s="63" t="str">
        <f>IF(OR(B931="",NOT(ISNUMBER(L931))),"",IF(L931&lt;=0,"",IFERROR(ROUND(L931*N(INDEX(art_w,MATCH(H931,art_ref,0))),3),"")))</f>
        <v/>
      </c>
      <c r="Q931" s="59" t="n"/>
      <c r="R931" s="54" t="n"/>
      <c r="S931" s="59" t="n"/>
      <c r="T931" s="59" t="n"/>
      <c r="U931" s="64" t="str">
        <f>IF(OR(B931="",H931=""),"",IFERROR(IF(A931="BL",IF(N(INDEX(art_price,MATCH(H931,art_ref,0)))=0,"",N(INDEX(art_price,MATCH(H931,art_ref,0)))),IF(N(INDEX(art_cost,MATCH(H931,art_ref,0)))=0,"",N(INDEX(art_cost,MATCH(H931,art_ref,0))))),""))</f>
        <v/>
      </c>
      <c r="V931" s="64" t="str">
        <f>IF(OR(U931="",NOT(ISNUMBER(L931))),"",IF(L931&lt;=0,"",ROUND(L931*U931,2)))</f>
        <v/>
      </c>
      <c r="W931" s="60" t="str">
        <f>IF(AND(B931&lt;&gt;"",A931&lt;&gt;"BS",F931&lt;&gt;"",H931&lt;&gt;"",ISNUMBER(K931),ISNUMBER(L931)),IF(AND(K931&gt;0,L931&gt;0,K931-L931&gt;0,COUNTIFS(A932:A$2005,A931,F932:F$2005,F931,H932:H$2005,H931,AA932:AA$2005,"&gt;0")=0),ROUND(K931-L931,6),""),"")</f>
        <v/>
      </c>
      <c r="X931" s="60" t="str">
        <f>IF(AND(A931="",C931="",D931="",H931="",L931=""),"",IF(A931="","Type manquant",IF(AND(A931&lt;&gt;"BL",A931&lt;&gt;"BR",A931&lt;&gt;"BS"),"Type inconnu (BL, BR ou BS)",IF(AG931=0,"Date manquante ou invalide",IF(D931="",IF(A931="BL","Client manquant",IF(A931="BR","Fournisseur manquant","Service manquant")),IF(IF(A931="BL",ISNA(MATCH(D931,cl_code,0)),IF(A931="BR",ISNA(MATCH(D931,fo_code,0)),ISNA(MATCH(D931,p_services,0)))),IF(A931="BL","Client inconnu",IF(A931="BR","Fournisseur inconnu","Service inconnu")),IF(H931="","Article manquant",IF(ISNA(MATCH(H931,art_ref,0)),"Article inconnu",IF(OR(NOT(ISNUMBER(L931)),N(L931)&lt;=0),"Quantité invalide",IF(AND(K931&lt;&gt;"",OR(NOT(ISNUMBER(K931)),N(K931)&lt;=0)),"Qté commandée invalide",IF(AG931&lt;SUMPRODUCT(MAX((A$6:A930=A931)*AG$6:AG930)),"Date antérieure au bon précédent",IF(AND(A931&lt;&gt;"BR",ISNUMBER(M931),N(M931)&gt;0),IF(A931="BL","Livré plus que commandé","Sorti plus que demandé"),"OK"))))))))))))</f>
        <v/>
      </c>
      <c r="Y931" s="57" t="str">
        <f>IF(AND(OR(A931="BL",A931="BR",A931="BS"),AG931&gt;0,D931&lt;&gt;""),A931&amp;"|"&amp;AG931&amp;"|"&amp;D931&amp;"|"&amp;F931,"")</f>
        <v/>
      </c>
      <c r="Z931" s="57" t="str">
        <f>IF(Y931="","",IF(COUNTIF(Y$6:Y930,Y931)=0,1,0))</f>
        <v/>
      </c>
      <c r="AA931" s="57" t="str">
        <f>IF(Y931="","",IF(Z931=1,COUNTIFS(A$6:A931,A931,Z$6:Z931,1),INDEX(AA$6:AA930,MATCH(Y931,Y$6:Y930,0))))</f>
        <v/>
      </c>
      <c r="AB931" s="57" t="str">
        <f>IF(B931="","",COUNTIF(B$6:B931,B931))</f>
        <v/>
      </c>
      <c r="AC931" s="57" t="str">
        <f>IF(B931="","",B931&amp;"#"&amp;AB931)</f>
        <v/>
      </c>
      <c r="AD931" s="57" t="str">
        <f>IF(Z931=1,A931&amp;AA931,"")</f>
        <v/>
      </c>
      <c r="AE931" s="57" t="str">
        <f>IF(B931="","",YEAR(C931))</f>
        <v/>
      </c>
      <c r="AF931" s="57" t="str">
        <f>IF(B931="","",MONTH(C931))</f>
        <v/>
      </c>
      <c r="AG931" s="57">
        <f>IF(ISNUMBER(C931),C931,0)</f>
        <v>0.0</v>
      </c>
      <c r="AH931" s="57" t="str">
        <f>IF(N(W931)&gt;0,COUNTIF(W$6:W931,"&gt;0"),"")</f>
        <v/>
      </c>
      <c r="AI931" s="57" t="str">
        <f>IF(Z931=1,COUNTIF(Z$6:Z931,1),"")</f>
        <v/>
      </c>
    </row>
    <row r="932">
      <c r="A932" s="54" t="n"/>
      <c r="B932" s="55" t="str">
        <f>IF(AA932="","",A932&amp;"-"&amp;RIGHT("000"&amp;AA932,4))</f>
        <v/>
      </c>
      <c r="C932" s="56" t="n"/>
      <c r="D932" s="54" t="n"/>
      <c r="E932" s="57" t="str">
        <f>IF(D932="","",IF(A932="BL",IFERROR(INDEX(cl_name,MATCH(D932,cl_code,0))&amp;"","Client inconnu"),IF(A932="BR",IFERROR(INDEX(fo_name,MATCH(D932,fo_code,0))&amp;"","Fournisseur inconnu"),IF(A932="BS",IF(ISNA(MATCH(D932,p_services,0)),"Service inconnu",D932&amp;""),""))))</f>
        <v/>
      </c>
      <c r="F932" s="58" t="n"/>
      <c r="G932" s="58" t="n"/>
      <c r="H932" s="59" t="n"/>
      <c r="I932" s="57" t="str">
        <f>IF(H932="","",IFERROR(INDEX(art_des,MATCH(H932,art_ref,0))&amp;"","Article inconnu"))</f>
        <v/>
      </c>
      <c r="J932" s="60" t="str">
        <f>IF(H932="","",IFERROR(INDEX(art_unit,MATCH(H932,art_ref,0))&amp;"",""))</f>
        <v/>
      </c>
      <c r="K932" s="59" t="n"/>
      <c r="L932" s="59" t="n"/>
      <c r="M932" s="61" t="str">
        <f>IF(OR(B932="",NOT(ISNUMBER(K932)),NOT(ISNUMBER(L932))),"",IF(OR(K932&lt;=0,L932&lt;=0),"",ROUND(L932-K932,6)))</f>
        <v/>
      </c>
      <c r="N932" s="58" t="n"/>
      <c r="O932" s="62" t="n"/>
      <c r="P932" s="63" t="str">
        <f>IF(OR(B932="",NOT(ISNUMBER(L932))),"",IF(L932&lt;=0,"",IFERROR(ROUND(L932*N(INDEX(art_w,MATCH(H932,art_ref,0))),3),"")))</f>
        <v/>
      </c>
      <c r="Q932" s="59" t="n"/>
      <c r="R932" s="54" t="n"/>
      <c r="S932" s="59" t="n"/>
      <c r="T932" s="59" t="n"/>
      <c r="U932" s="64" t="str">
        <f>IF(OR(B932="",H932=""),"",IFERROR(IF(A932="BL",IF(N(INDEX(art_price,MATCH(H932,art_ref,0)))=0,"",N(INDEX(art_price,MATCH(H932,art_ref,0)))),IF(N(INDEX(art_cost,MATCH(H932,art_ref,0)))=0,"",N(INDEX(art_cost,MATCH(H932,art_ref,0))))),""))</f>
        <v/>
      </c>
      <c r="V932" s="64" t="str">
        <f>IF(OR(U932="",NOT(ISNUMBER(L932))),"",IF(L932&lt;=0,"",ROUND(L932*U932,2)))</f>
        <v/>
      </c>
      <c r="W932" s="60" t="str">
        <f>IF(AND(B932&lt;&gt;"",A932&lt;&gt;"BS",F932&lt;&gt;"",H932&lt;&gt;"",ISNUMBER(K932),ISNUMBER(L932)),IF(AND(K932&gt;0,L932&gt;0,K932-L932&gt;0,COUNTIFS(A933:A$2005,A932,F933:F$2005,F932,H933:H$2005,H932,AA933:AA$2005,"&gt;0")=0),ROUND(K932-L932,6),""),"")</f>
        <v/>
      </c>
      <c r="X932" s="60" t="str">
        <f>IF(AND(A932="",C932="",D932="",H932="",L932=""),"",IF(A932="","Type manquant",IF(AND(A932&lt;&gt;"BL",A932&lt;&gt;"BR",A932&lt;&gt;"BS"),"Type inconnu (BL, BR ou BS)",IF(AG932=0,"Date manquante ou invalide",IF(D932="",IF(A932="BL","Client manquant",IF(A932="BR","Fournisseur manquant","Service manquant")),IF(IF(A932="BL",ISNA(MATCH(D932,cl_code,0)),IF(A932="BR",ISNA(MATCH(D932,fo_code,0)),ISNA(MATCH(D932,p_services,0)))),IF(A932="BL","Client inconnu",IF(A932="BR","Fournisseur inconnu","Service inconnu")),IF(H932="","Article manquant",IF(ISNA(MATCH(H932,art_ref,0)),"Article inconnu",IF(OR(NOT(ISNUMBER(L932)),N(L932)&lt;=0),"Quantité invalide",IF(AND(K932&lt;&gt;"",OR(NOT(ISNUMBER(K932)),N(K932)&lt;=0)),"Qté commandée invalide",IF(AG932&lt;SUMPRODUCT(MAX((A$6:A931=A932)*AG$6:AG931)),"Date antérieure au bon précédent",IF(AND(A932&lt;&gt;"BR",ISNUMBER(M932),N(M932)&gt;0),IF(A932="BL","Livré plus que commandé","Sorti plus que demandé"),"OK"))))))))))))</f>
        <v/>
      </c>
      <c r="Y932" s="57" t="str">
        <f>IF(AND(OR(A932="BL",A932="BR",A932="BS"),AG932&gt;0,D932&lt;&gt;""),A932&amp;"|"&amp;AG932&amp;"|"&amp;D932&amp;"|"&amp;F932,"")</f>
        <v/>
      </c>
      <c r="Z932" s="57" t="str">
        <f>IF(Y932="","",IF(COUNTIF(Y$6:Y931,Y932)=0,1,0))</f>
        <v/>
      </c>
      <c r="AA932" s="57" t="str">
        <f>IF(Y932="","",IF(Z932=1,COUNTIFS(A$6:A932,A932,Z$6:Z932,1),INDEX(AA$6:AA931,MATCH(Y932,Y$6:Y931,0))))</f>
        <v/>
      </c>
      <c r="AB932" s="57" t="str">
        <f>IF(B932="","",COUNTIF(B$6:B932,B932))</f>
        <v/>
      </c>
      <c r="AC932" s="57" t="str">
        <f>IF(B932="","",B932&amp;"#"&amp;AB932)</f>
        <v/>
      </c>
      <c r="AD932" s="57" t="str">
        <f>IF(Z932=1,A932&amp;AA932,"")</f>
        <v/>
      </c>
      <c r="AE932" s="57" t="str">
        <f>IF(B932="","",YEAR(C932))</f>
        <v/>
      </c>
      <c r="AF932" s="57" t="str">
        <f>IF(B932="","",MONTH(C932))</f>
        <v/>
      </c>
      <c r="AG932" s="57">
        <f>IF(ISNUMBER(C932),C932,0)</f>
        <v>0.0</v>
      </c>
      <c r="AH932" s="57" t="str">
        <f>IF(N(W932)&gt;0,COUNTIF(W$6:W932,"&gt;0"),"")</f>
        <v/>
      </c>
      <c r="AI932" s="57" t="str">
        <f>IF(Z932=1,COUNTIF(Z$6:Z932,1),"")</f>
        <v/>
      </c>
    </row>
    <row r="933">
      <c r="A933" s="54" t="n"/>
      <c r="B933" s="55" t="str">
        <f>IF(AA933="","",A933&amp;"-"&amp;RIGHT("000"&amp;AA933,4))</f>
        <v/>
      </c>
      <c r="C933" s="56" t="n"/>
      <c r="D933" s="54" t="n"/>
      <c r="E933" s="57" t="str">
        <f>IF(D933="","",IF(A933="BL",IFERROR(INDEX(cl_name,MATCH(D933,cl_code,0))&amp;"","Client inconnu"),IF(A933="BR",IFERROR(INDEX(fo_name,MATCH(D933,fo_code,0))&amp;"","Fournisseur inconnu"),IF(A933="BS",IF(ISNA(MATCH(D933,p_services,0)),"Service inconnu",D933&amp;""),""))))</f>
        <v/>
      </c>
      <c r="F933" s="58" t="n"/>
      <c r="G933" s="58" t="n"/>
      <c r="H933" s="59" t="n"/>
      <c r="I933" s="57" t="str">
        <f>IF(H933="","",IFERROR(INDEX(art_des,MATCH(H933,art_ref,0))&amp;"","Article inconnu"))</f>
        <v/>
      </c>
      <c r="J933" s="60" t="str">
        <f>IF(H933="","",IFERROR(INDEX(art_unit,MATCH(H933,art_ref,0))&amp;"",""))</f>
        <v/>
      </c>
      <c r="K933" s="59" t="n"/>
      <c r="L933" s="59" t="n"/>
      <c r="M933" s="61" t="str">
        <f>IF(OR(B933="",NOT(ISNUMBER(K933)),NOT(ISNUMBER(L933))),"",IF(OR(K933&lt;=0,L933&lt;=0),"",ROUND(L933-K933,6)))</f>
        <v/>
      </c>
      <c r="N933" s="58" t="n"/>
      <c r="O933" s="62" t="n"/>
      <c r="P933" s="63" t="str">
        <f>IF(OR(B933="",NOT(ISNUMBER(L933))),"",IF(L933&lt;=0,"",IFERROR(ROUND(L933*N(INDEX(art_w,MATCH(H933,art_ref,0))),3),"")))</f>
        <v/>
      </c>
      <c r="Q933" s="59" t="n"/>
      <c r="R933" s="54" t="n"/>
      <c r="S933" s="59" t="n"/>
      <c r="T933" s="59" t="n"/>
      <c r="U933" s="64" t="str">
        <f>IF(OR(B933="",H933=""),"",IFERROR(IF(A933="BL",IF(N(INDEX(art_price,MATCH(H933,art_ref,0)))=0,"",N(INDEX(art_price,MATCH(H933,art_ref,0)))),IF(N(INDEX(art_cost,MATCH(H933,art_ref,0)))=0,"",N(INDEX(art_cost,MATCH(H933,art_ref,0))))),""))</f>
        <v/>
      </c>
      <c r="V933" s="64" t="str">
        <f>IF(OR(U933="",NOT(ISNUMBER(L933))),"",IF(L933&lt;=0,"",ROUND(L933*U933,2)))</f>
        <v/>
      </c>
      <c r="W933" s="60" t="str">
        <f>IF(AND(B933&lt;&gt;"",A933&lt;&gt;"BS",F933&lt;&gt;"",H933&lt;&gt;"",ISNUMBER(K933),ISNUMBER(L933)),IF(AND(K933&gt;0,L933&gt;0,K933-L933&gt;0,COUNTIFS(A934:A$2005,A933,F934:F$2005,F933,H934:H$2005,H933,AA934:AA$2005,"&gt;0")=0),ROUND(K933-L933,6),""),"")</f>
        <v/>
      </c>
      <c r="X933" s="60" t="str">
        <f>IF(AND(A933="",C933="",D933="",H933="",L933=""),"",IF(A933="","Type manquant",IF(AND(A933&lt;&gt;"BL",A933&lt;&gt;"BR",A933&lt;&gt;"BS"),"Type inconnu (BL, BR ou BS)",IF(AG933=0,"Date manquante ou invalide",IF(D933="",IF(A933="BL","Client manquant",IF(A933="BR","Fournisseur manquant","Service manquant")),IF(IF(A933="BL",ISNA(MATCH(D933,cl_code,0)),IF(A933="BR",ISNA(MATCH(D933,fo_code,0)),ISNA(MATCH(D933,p_services,0)))),IF(A933="BL","Client inconnu",IF(A933="BR","Fournisseur inconnu","Service inconnu")),IF(H933="","Article manquant",IF(ISNA(MATCH(H933,art_ref,0)),"Article inconnu",IF(OR(NOT(ISNUMBER(L933)),N(L933)&lt;=0),"Quantité invalide",IF(AND(K933&lt;&gt;"",OR(NOT(ISNUMBER(K933)),N(K933)&lt;=0)),"Qté commandée invalide",IF(AG933&lt;SUMPRODUCT(MAX((A$6:A932=A933)*AG$6:AG932)),"Date antérieure au bon précédent",IF(AND(A933&lt;&gt;"BR",ISNUMBER(M933),N(M933)&gt;0),IF(A933="BL","Livré plus que commandé","Sorti plus que demandé"),"OK"))))))))))))</f>
        <v/>
      </c>
      <c r="Y933" s="57" t="str">
        <f>IF(AND(OR(A933="BL",A933="BR",A933="BS"),AG933&gt;0,D933&lt;&gt;""),A933&amp;"|"&amp;AG933&amp;"|"&amp;D933&amp;"|"&amp;F933,"")</f>
        <v/>
      </c>
      <c r="Z933" s="57" t="str">
        <f>IF(Y933="","",IF(COUNTIF(Y$6:Y932,Y933)=0,1,0))</f>
        <v/>
      </c>
      <c r="AA933" s="57" t="str">
        <f>IF(Y933="","",IF(Z933=1,COUNTIFS(A$6:A933,A933,Z$6:Z933,1),INDEX(AA$6:AA932,MATCH(Y933,Y$6:Y932,0))))</f>
        <v/>
      </c>
      <c r="AB933" s="57" t="str">
        <f>IF(B933="","",COUNTIF(B$6:B933,B933))</f>
        <v/>
      </c>
      <c r="AC933" s="57" t="str">
        <f>IF(B933="","",B933&amp;"#"&amp;AB933)</f>
        <v/>
      </c>
      <c r="AD933" s="57" t="str">
        <f>IF(Z933=1,A933&amp;AA933,"")</f>
        <v/>
      </c>
      <c r="AE933" s="57" t="str">
        <f>IF(B933="","",YEAR(C933))</f>
        <v/>
      </c>
      <c r="AF933" s="57" t="str">
        <f>IF(B933="","",MONTH(C933))</f>
        <v/>
      </c>
      <c r="AG933" s="57">
        <f>IF(ISNUMBER(C933),C933,0)</f>
        <v>0.0</v>
      </c>
      <c r="AH933" s="57" t="str">
        <f>IF(N(W933)&gt;0,COUNTIF(W$6:W933,"&gt;0"),"")</f>
        <v/>
      </c>
      <c r="AI933" s="57" t="str">
        <f>IF(Z933=1,COUNTIF(Z$6:Z933,1),"")</f>
        <v/>
      </c>
    </row>
    <row r="934">
      <c r="A934" s="54" t="n"/>
      <c r="B934" s="55" t="str">
        <f>IF(AA934="","",A934&amp;"-"&amp;RIGHT("000"&amp;AA934,4))</f>
        <v/>
      </c>
      <c r="C934" s="56" t="n"/>
      <c r="D934" s="54" t="n"/>
      <c r="E934" s="57" t="str">
        <f>IF(D934="","",IF(A934="BL",IFERROR(INDEX(cl_name,MATCH(D934,cl_code,0))&amp;"","Client inconnu"),IF(A934="BR",IFERROR(INDEX(fo_name,MATCH(D934,fo_code,0))&amp;"","Fournisseur inconnu"),IF(A934="BS",IF(ISNA(MATCH(D934,p_services,0)),"Service inconnu",D934&amp;""),""))))</f>
        <v/>
      </c>
      <c r="F934" s="58" t="n"/>
      <c r="G934" s="58" t="n"/>
      <c r="H934" s="59" t="n"/>
      <c r="I934" s="57" t="str">
        <f>IF(H934="","",IFERROR(INDEX(art_des,MATCH(H934,art_ref,0))&amp;"","Article inconnu"))</f>
        <v/>
      </c>
      <c r="J934" s="60" t="str">
        <f>IF(H934="","",IFERROR(INDEX(art_unit,MATCH(H934,art_ref,0))&amp;"",""))</f>
        <v/>
      </c>
      <c r="K934" s="59" t="n"/>
      <c r="L934" s="59" t="n"/>
      <c r="M934" s="61" t="str">
        <f>IF(OR(B934="",NOT(ISNUMBER(K934)),NOT(ISNUMBER(L934))),"",IF(OR(K934&lt;=0,L934&lt;=0),"",ROUND(L934-K934,6)))</f>
        <v/>
      </c>
      <c r="N934" s="58" t="n"/>
      <c r="O934" s="62" t="n"/>
      <c r="P934" s="63" t="str">
        <f>IF(OR(B934="",NOT(ISNUMBER(L934))),"",IF(L934&lt;=0,"",IFERROR(ROUND(L934*N(INDEX(art_w,MATCH(H934,art_ref,0))),3),"")))</f>
        <v/>
      </c>
      <c r="Q934" s="59" t="n"/>
      <c r="R934" s="54" t="n"/>
      <c r="S934" s="59" t="n"/>
      <c r="T934" s="59" t="n"/>
      <c r="U934" s="64" t="str">
        <f>IF(OR(B934="",H934=""),"",IFERROR(IF(A934="BL",IF(N(INDEX(art_price,MATCH(H934,art_ref,0)))=0,"",N(INDEX(art_price,MATCH(H934,art_ref,0)))),IF(N(INDEX(art_cost,MATCH(H934,art_ref,0)))=0,"",N(INDEX(art_cost,MATCH(H934,art_ref,0))))),""))</f>
        <v/>
      </c>
      <c r="V934" s="64" t="str">
        <f>IF(OR(U934="",NOT(ISNUMBER(L934))),"",IF(L934&lt;=0,"",ROUND(L934*U934,2)))</f>
        <v/>
      </c>
      <c r="W934" s="60" t="str">
        <f>IF(AND(B934&lt;&gt;"",A934&lt;&gt;"BS",F934&lt;&gt;"",H934&lt;&gt;"",ISNUMBER(K934),ISNUMBER(L934)),IF(AND(K934&gt;0,L934&gt;0,K934-L934&gt;0,COUNTIFS(A935:A$2005,A934,F935:F$2005,F934,H935:H$2005,H934,AA935:AA$2005,"&gt;0")=0),ROUND(K934-L934,6),""),"")</f>
        <v/>
      </c>
      <c r="X934" s="60" t="str">
        <f>IF(AND(A934="",C934="",D934="",H934="",L934=""),"",IF(A934="","Type manquant",IF(AND(A934&lt;&gt;"BL",A934&lt;&gt;"BR",A934&lt;&gt;"BS"),"Type inconnu (BL, BR ou BS)",IF(AG934=0,"Date manquante ou invalide",IF(D934="",IF(A934="BL","Client manquant",IF(A934="BR","Fournisseur manquant","Service manquant")),IF(IF(A934="BL",ISNA(MATCH(D934,cl_code,0)),IF(A934="BR",ISNA(MATCH(D934,fo_code,0)),ISNA(MATCH(D934,p_services,0)))),IF(A934="BL","Client inconnu",IF(A934="BR","Fournisseur inconnu","Service inconnu")),IF(H934="","Article manquant",IF(ISNA(MATCH(H934,art_ref,0)),"Article inconnu",IF(OR(NOT(ISNUMBER(L934)),N(L934)&lt;=0),"Quantité invalide",IF(AND(K934&lt;&gt;"",OR(NOT(ISNUMBER(K934)),N(K934)&lt;=0)),"Qté commandée invalide",IF(AG934&lt;SUMPRODUCT(MAX((A$6:A933=A934)*AG$6:AG933)),"Date antérieure au bon précédent",IF(AND(A934&lt;&gt;"BR",ISNUMBER(M934),N(M934)&gt;0),IF(A934="BL","Livré plus que commandé","Sorti plus que demandé"),"OK"))))))))))))</f>
        <v/>
      </c>
      <c r="Y934" s="57" t="str">
        <f>IF(AND(OR(A934="BL",A934="BR",A934="BS"),AG934&gt;0,D934&lt;&gt;""),A934&amp;"|"&amp;AG934&amp;"|"&amp;D934&amp;"|"&amp;F934,"")</f>
        <v/>
      </c>
      <c r="Z934" s="57" t="str">
        <f>IF(Y934="","",IF(COUNTIF(Y$6:Y933,Y934)=0,1,0))</f>
        <v/>
      </c>
      <c r="AA934" s="57" t="str">
        <f>IF(Y934="","",IF(Z934=1,COUNTIFS(A$6:A934,A934,Z$6:Z934,1),INDEX(AA$6:AA933,MATCH(Y934,Y$6:Y933,0))))</f>
        <v/>
      </c>
      <c r="AB934" s="57" t="str">
        <f>IF(B934="","",COUNTIF(B$6:B934,B934))</f>
        <v/>
      </c>
      <c r="AC934" s="57" t="str">
        <f>IF(B934="","",B934&amp;"#"&amp;AB934)</f>
        <v/>
      </c>
      <c r="AD934" s="57" t="str">
        <f>IF(Z934=1,A934&amp;AA934,"")</f>
        <v/>
      </c>
      <c r="AE934" s="57" t="str">
        <f>IF(B934="","",YEAR(C934))</f>
        <v/>
      </c>
      <c r="AF934" s="57" t="str">
        <f>IF(B934="","",MONTH(C934))</f>
        <v/>
      </c>
      <c r="AG934" s="57">
        <f>IF(ISNUMBER(C934),C934,0)</f>
        <v>0.0</v>
      </c>
      <c r="AH934" s="57" t="str">
        <f>IF(N(W934)&gt;0,COUNTIF(W$6:W934,"&gt;0"),"")</f>
        <v/>
      </c>
      <c r="AI934" s="57" t="str">
        <f>IF(Z934=1,COUNTIF(Z$6:Z934,1),"")</f>
        <v/>
      </c>
    </row>
    <row r="935">
      <c r="A935" s="54" t="n"/>
      <c r="B935" s="55" t="str">
        <f>IF(AA935="","",A935&amp;"-"&amp;RIGHT("000"&amp;AA935,4))</f>
        <v/>
      </c>
      <c r="C935" s="56" t="n"/>
      <c r="D935" s="54" t="n"/>
      <c r="E935" s="57" t="str">
        <f>IF(D935="","",IF(A935="BL",IFERROR(INDEX(cl_name,MATCH(D935,cl_code,0))&amp;"","Client inconnu"),IF(A935="BR",IFERROR(INDEX(fo_name,MATCH(D935,fo_code,0))&amp;"","Fournisseur inconnu"),IF(A935="BS",IF(ISNA(MATCH(D935,p_services,0)),"Service inconnu",D935&amp;""),""))))</f>
        <v/>
      </c>
      <c r="F935" s="58" t="n"/>
      <c r="G935" s="58" t="n"/>
      <c r="H935" s="59" t="n"/>
      <c r="I935" s="57" t="str">
        <f>IF(H935="","",IFERROR(INDEX(art_des,MATCH(H935,art_ref,0))&amp;"","Article inconnu"))</f>
        <v/>
      </c>
      <c r="J935" s="60" t="str">
        <f>IF(H935="","",IFERROR(INDEX(art_unit,MATCH(H935,art_ref,0))&amp;"",""))</f>
        <v/>
      </c>
      <c r="K935" s="59" t="n"/>
      <c r="L935" s="59" t="n"/>
      <c r="M935" s="61" t="str">
        <f>IF(OR(B935="",NOT(ISNUMBER(K935)),NOT(ISNUMBER(L935))),"",IF(OR(K935&lt;=0,L935&lt;=0),"",ROUND(L935-K935,6)))</f>
        <v/>
      </c>
      <c r="N935" s="58" t="n"/>
      <c r="O935" s="62" t="n"/>
      <c r="P935" s="63" t="str">
        <f>IF(OR(B935="",NOT(ISNUMBER(L935))),"",IF(L935&lt;=0,"",IFERROR(ROUND(L935*N(INDEX(art_w,MATCH(H935,art_ref,0))),3),"")))</f>
        <v/>
      </c>
      <c r="Q935" s="59" t="n"/>
      <c r="R935" s="54" t="n"/>
      <c r="S935" s="59" t="n"/>
      <c r="T935" s="59" t="n"/>
      <c r="U935" s="64" t="str">
        <f>IF(OR(B935="",H935=""),"",IFERROR(IF(A935="BL",IF(N(INDEX(art_price,MATCH(H935,art_ref,0)))=0,"",N(INDEX(art_price,MATCH(H935,art_ref,0)))),IF(N(INDEX(art_cost,MATCH(H935,art_ref,0)))=0,"",N(INDEX(art_cost,MATCH(H935,art_ref,0))))),""))</f>
        <v/>
      </c>
      <c r="V935" s="64" t="str">
        <f>IF(OR(U935="",NOT(ISNUMBER(L935))),"",IF(L935&lt;=0,"",ROUND(L935*U935,2)))</f>
        <v/>
      </c>
      <c r="W935" s="60" t="str">
        <f>IF(AND(B935&lt;&gt;"",A935&lt;&gt;"BS",F935&lt;&gt;"",H935&lt;&gt;"",ISNUMBER(K935),ISNUMBER(L935)),IF(AND(K935&gt;0,L935&gt;0,K935-L935&gt;0,COUNTIFS(A936:A$2005,A935,F936:F$2005,F935,H936:H$2005,H935,AA936:AA$2005,"&gt;0")=0),ROUND(K935-L935,6),""),"")</f>
        <v/>
      </c>
      <c r="X935" s="60" t="str">
        <f>IF(AND(A935="",C935="",D935="",H935="",L935=""),"",IF(A935="","Type manquant",IF(AND(A935&lt;&gt;"BL",A935&lt;&gt;"BR",A935&lt;&gt;"BS"),"Type inconnu (BL, BR ou BS)",IF(AG935=0,"Date manquante ou invalide",IF(D935="",IF(A935="BL","Client manquant",IF(A935="BR","Fournisseur manquant","Service manquant")),IF(IF(A935="BL",ISNA(MATCH(D935,cl_code,0)),IF(A935="BR",ISNA(MATCH(D935,fo_code,0)),ISNA(MATCH(D935,p_services,0)))),IF(A935="BL","Client inconnu",IF(A935="BR","Fournisseur inconnu","Service inconnu")),IF(H935="","Article manquant",IF(ISNA(MATCH(H935,art_ref,0)),"Article inconnu",IF(OR(NOT(ISNUMBER(L935)),N(L935)&lt;=0),"Quantité invalide",IF(AND(K935&lt;&gt;"",OR(NOT(ISNUMBER(K935)),N(K935)&lt;=0)),"Qté commandée invalide",IF(AG935&lt;SUMPRODUCT(MAX((A$6:A934=A935)*AG$6:AG934)),"Date antérieure au bon précédent",IF(AND(A935&lt;&gt;"BR",ISNUMBER(M935),N(M935)&gt;0),IF(A935="BL","Livré plus que commandé","Sorti plus que demandé"),"OK"))))))))))))</f>
        <v/>
      </c>
      <c r="Y935" s="57" t="str">
        <f>IF(AND(OR(A935="BL",A935="BR",A935="BS"),AG935&gt;0,D935&lt;&gt;""),A935&amp;"|"&amp;AG935&amp;"|"&amp;D935&amp;"|"&amp;F935,"")</f>
        <v/>
      </c>
      <c r="Z935" s="57" t="str">
        <f>IF(Y935="","",IF(COUNTIF(Y$6:Y934,Y935)=0,1,0))</f>
        <v/>
      </c>
      <c r="AA935" s="57" t="str">
        <f>IF(Y935="","",IF(Z935=1,COUNTIFS(A$6:A935,A935,Z$6:Z935,1),INDEX(AA$6:AA934,MATCH(Y935,Y$6:Y934,0))))</f>
        <v/>
      </c>
      <c r="AB935" s="57" t="str">
        <f>IF(B935="","",COUNTIF(B$6:B935,B935))</f>
        <v/>
      </c>
      <c r="AC935" s="57" t="str">
        <f>IF(B935="","",B935&amp;"#"&amp;AB935)</f>
        <v/>
      </c>
      <c r="AD935" s="57" t="str">
        <f>IF(Z935=1,A935&amp;AA935,"")</f>
        <v/>
      </c>
      <c r="AE935" s="57" t="str">
        <f>IF(B935="","",YEAR(C935))</f>
        <v/>
      </c>
      <c r="AF935" s="57" t="str">
        <f>IF(B935="","",MONTH(C935))</f>
        <v/>
      </c>
      <c r="AG935" s="57">
        <f>IF(ISNUMBER(C935),C935,0)</f>
        <v>0.0</v>
      </c>
      <c r="AH935" s="57" t="str">
        <f>IF(N(W935)&gt;0,COUNTIF(W$6:W935,"&gt;0"),"")</f>
        <v/>
      </c>
      <c r="AI935" s="57" t="str">
        <f>IF(Z935=1,COUNTIF(Z$6:Z935,1),"")</f>
        <v/>
      </c>
    </row>
    <row r="936">
      <c r="A936" s="54" t="n"/>
      <c r="B936" s="55" t="str">
        <f>IF(AA936="","",A936&amp;"-"&amp;RIGHT("000"&amp;AA936,4))</f>
        <v/>
      </c>
      <c r="C936" s="56" t="n"/>
      <c r="D936" s="54" t="n"/>
      <c r="E936" s="57" t="str">
        <f>IF(D936="","",IF(A936="BL",IFERROR(INDEX(cl_name,MATCH(D936,cl_code,0))&amp;"","Client inconnu"),IF(A936="BR",IFERROR(INDEX(fo_name,MATCH(D936,fo_code,0))&amp;"","Fournisseur inconnu"),IF(A936="BS",IF(ISNA(MATCH(D936,p_services,0)),"Service inconnu",D936&amp;""),""))))</f>
        <v/>
      </c>
      <c r="F936" s="58" t="n"/>
      <c r="G936" s="58" t="n"/>
      <c r="H936" s="59" t="n"/>
      <c r="I936" s="57" t="str">
        <f>IF(H936="","",IFERROR(INDEX(art_des,MATCH(H936,art_ref,0))&amp;"","Article inconnu"))</f>
        <v/>
      </c>
      <c r="J936" s="60" t="str">
        <f>IF(H936="","",IFERROR(INDEX(art_unit,MATCH(H936,art_ref,0))&amp;"",""))</f>
        <v/>
      </c>
      <c r="K936" s="59" t="n"/>
      <c r="L936" s="59" t="n"/>
      <c r="M936" s="61" t="str">
        <f>IF(OR(B936="",NOT(ISNUMBER(K936)),NOT(ISNUMBER(L936))),"",IF(OR(K936&lt;=0,L936&lt;=0),"",ROUND(L936-K936,6)))</f>
        <v/>
      </c>
      <c r="N936" s="58" t="n"/>
      <c r="O936" s="62" t="n"/>
      <c r="P936" s="63" t="str">
        <f>IF(OR(B936="",NOT(ISNUMBER(L936))),"",IF(L936&lt;=0,"",IFERROR(ROUND(L936*N(INDEX(art_w,MATCH(H936,art_ref,0))),3),"")))</f>
        <v/>
      </c>
      <c r="Q936" s="59" t="n"/>
      <c r="R936" s="54" t="n"/>
      <c r="S936" s="59" t="n"/>
      <c r="T936" s="59" t="n"/>
      <c r="U936" s="64" t="str">
        <f>IF(OR(B936="",H936=""),"",IFERROR(IF(A936="BL",IF(N(INDEX(art_price,MATCH(H936,art_ref,0)))=0,"",N(INDEX(art_price,MATCH(H936,art_ref,0)))),IF(N(INDEX(art_cost,MATCH(H936,art_ref,0)))=0,"",N(INDEX(art_cost,MATCH(H936,art_ref,0))))),""))</f>
        <v/>
      </c>
      <c r="V936" s="64" t="str">
        <f>IF(OR(U936="",NOT(ISNUMBER(L936))),"",IF(L936&lt;=0,"",ROUND(L936*U936,2)))</f>
        <v/>
      </c>
      <c r="W936" s="60" t="str">
        <f>IF(AND(B936&lt;&gt;"",A936&lt;&gt;"BS",F936&lt;&gt;"",H936&lt;&gt;"",ISNUMBER(K936),ISNUMBER(L936)),IF(AND(K936&gt;0,L936&gt;0,K936-L936&gt;0,COUNTIFS(A937:A$2005,A936,F937:F$2005,F936,H937:H$2005,H936,AA937:AA$2005,"&gt;0")=0),ROUND(K936-L936,6),""),"")</f>
        <v/>
      </c>
      <c r="X936" s="60" t="str">
        <f>IF(AND(A936="",C936="",D936="",H936="",L936=""),"",IF(A936="","Type manquant",IF(AND(A936&lt;&gt;"BL",A936&lt;&gt;"BR",A936&lt;&gt;"BS"),"Type inconnu (BL, BR ou BS)",IF(AG936=0,"Date manquante ou invalide",IF(D936="",IF(A936="BL","Client manquant",IF(A936="BR","Fournisseur manquant","Service manquant")),IF(IF(A936="BL",ISNA(MATCH(D936,cl_code,0)),IF(A936="BR",ISNA(MATCH(D936,fo_code,0)),ISNA(MATCH(D936,p_services,0)))),IF(A936="BL","Client inconnu",IF(A936="BR","Fournisseur inconnu","Service inconnu")),IF(H936="","Article manquant",IF(ISNA(MATCH(H936,art_ref,0)),"Article inconnu",IF(OR(NOT(ISNUMBER(L936)),N(L936)&lt;=0),"Quantité invalide",IF(AND(K936&lt;&gt;"",OR(NOT(ISNUMBER(K936)),N(K936)&lt;=0)),"Qté commandée invalide",IF(AG936&lt;SUMPRODUCT(MAX((A$6:A935=A936)*AG$6:AG935)),"Date antérieure au bon précédent",IF(AND(A936&lt;&gt;"BR",ISNUMBER(M936),N(M936)&gt;0),IF(A936="BL","Livré plus que commandé","Sorti plus que demandé"),"OK"))))))))))))</f>
        <v/>
      </c>
      <c r="Y936" s="57" t="str">
        <f>IF(AND(OR(A936="BL",A936="BR",A936="BS"),AG936&gt;0,D936&lt;&gt;""),A936&amp;"|"&amp;AG936&amp;"|"&amp;D936&amp;"|"&amp;F936,"")</f>
        <v/>
      </c>
      <c r="Z936" s="57" t="str">
        <f>IF(Y936="","",IF(COUNTIF(Y$6:Y935,Y936)=0,1,0))</f>
        <v/>
      </c>
      <c r="AA936" s="57" t="str">
        <f>IF(Y936="","",IF(Z936=1,COUNTIFS(A$6:A936,A936,Z$6:Z936,1),INDEX(AA$6:AA935,MATCH(Y936,Y$6:Y935,0))))</f>
        <v/>
      </c>
      <c r="AB936" s="57" t="str">
        <f>IF(B936="","",COUNTIF(B$6:B936,B936))</f>
        <v/>
      </c>
      <c r="AC936" s="57" t="str">
        <f>IF(B936="","",B936&amp;"#"&amp;AB936)</f>
        <v/>
      </c>
      <c r="AD936" s="57" t="str">
        <f>IF(Z936=1,A936&amp;AA936,"")</f>
        <v/>
      </c>
      <c r="AE936" s="57" t="str">
        <f>IF(B936="","",YEAR(C936))</f>
        <v/>
      </c>
      <c r="AF936" s="57" t="str">
        <f>IF(B936="","",MONTH(C936))</f>
        <v/>
      </c>
      <c r="AG936" s="57">
        <f>IF(ISNUMBER(C936),C936,0)</f>
        <v>0.0</v>
      </c>
      <c r="AH936" s="57" t="str">
        <f>IF(N(W936)&gt;0,COUNTIF(W$6:W936,"&gt;0"),"")</f>
        <v/>
      </c>
      <c r="AI936" s="57" t="str">
        <f>IF(Z936=1,COUNTIF(Z$6:Z936,1),"")</f>
        <v/>
      </c>
    </row>
    <row r="937">
      <c r="A937" s="54" t="n"/>
      <c r="B937" s="55" t="str">
        <f>IF(AA937="","",A937&amp;"-"&amp;RIGHT("000"&amp;AA937,4))</f>
        <v/>
      </c>
      <c r="C937" s="56" t="n"/>
      <c r="D937" s="54" t="n"/>
      <c r="E937" s="57" t="str">
        <f>IF(D937="","",IF(A937="BL",IFERROR(INDEX(cl_name,MATCH(D937,cl_code,0))&amp;"","Client inconnu"),IF(A937="BR",IFERROR(INDEX(fo_name,MATCH(D937,fo_code,0))&amp;"","Fournisseur inconnu"),IF(A937="BS",IF(ISNA(MATCH(D937,p_services,0)),"Service inconnu",D937&amp;""),""))))</f>
        <v/>
      </c>
      <c r="F937" s="58" t="n"/>
      <c r="G937" s="58" t="n"/>
      <c r="H937" s="59" t="n"/>
      <c r="I937" s="57" t="str">
        <f>IF(H937="","",IFERROR(INDEX(art_des,MATCH(H937,art_ref,0))&amp;"","Article inconnu"))</f>
        <v/>
      </c>
      <c r="J937" s="60" t="str">
        <f>IF(H937="","",IFERROR(INDEX(art_unit,MATCH(H937,art_ref,0))&amp;"",""))</f>
        <v/>
      </c>
      <c r="K937" s="59" t="n"/>
      <c r="L937" s="59" t="n"/>
      <c r="M937" s="61" t="str">
        <f>IF(OR(B937="",NOT(ISNUMBER(K937)),NOT(ISNUMBER(L937))),"",IF(OR(K937&lt;=0,L937&lt;=0),"",ROUND(L937-K937,6)))</f>
        <v/>
      </c>
      <c r="N937" s="58" t="n"/>
      <c r="O937" s="62" t="n"/>
      <c r="P937" s="63" t="str">
        <f>IF(OR(B937="",NOT(ISNUMBER(L937))),"",IF(L937&lt;=0,"",IFERROR(ROUND(L937*N(INDEX(art_w,MATCH(H937,art_ref,0))),3),"")))</f>
        <v/>
      </c>
      <c r="Q937" s="59" t="n"/>
      <c r="R937" s="54" t="n"/>
      <c r="S937" s="59" t="n"/>
      <c r="T937" s="59" t="n"/>
      <c r="U937" s="64" t="str">
        <f>IF(OR(B937="",H937=""),"",IFERROR(IF(A937="BL",IF(N(INDEX(art_price,MATCH(H937,art_ref,0)))=0,"",N(INDEX(art_price,MATCH(H937,art_ref,0)))),IF(N(INDEX(art_cost,MATCH(H937,art_ref,0)))=0,"",N(INDEX(art_cost,MATCH(H937,art_ref,0))))),""))</f>
        <v/>
      </c>
      <c r="V937" s="64" t="str">
        <f>IF(OR(U937="",NOT(ISNUMBER(L937))),"",IF(L937&lt;=0,"",ROUND(L937*U937,2)))</f>
        <v/>
      </c>
      <c r="W937" s="60" t="str">
        <f>IF(AND(B937&lt;&gt;"",A937&lt;&gt;"BS",F937&lt;&gt;"",H937&lt;&gt;"",ISNUMBER(K937),ISNUMBER(L937)),IF(AND(K937&gt;0,L937&gt;0,K937-L937&gt;0,COUNTIFS(A938:A$2005,A937,F938:F$2005,F937,H938:H$2005,H937,AA938:AA$2005,"&gt;0")=0),ROUND(K937-L937,6),""),"")</f>
        <v/>
      </c>
      <c r="X937" s="60" t="str">
        <f>IF(AND(A937="",C937="",D937="",H937="",L937=""),"",IF(A937="","Type manquant",IF(AND(A937&lt;&gt;"BL",A937&lt;&gt;"BR",A937&lt;&gt;"BS"),"Type inconnu (BL, BR ou BS)",IF(AG937=0,"Date manquante ou invalide",IF(D937="",IF(A937="BL","Client manquant",IF(A937="BR","Fournisseur manquant","Service manquant")),IF(IF(A937="BL",ISNA(MATCH(D937,cl_code,0)),IF(A937="BR",ISNA(MATCH(D937,fo_code,0)),ISNA(MATCH(D937,p_services,0)))),IF(A937="BL","Client inconnu",IF(A937="BR","Fournisseur inconnu","Service inconnu")),IF(H937="","Article manquant",IF(ISNA(MATCH(H937,art_ref,0)),"Article inconnu",IF(OR(NOT(ISNUMBER(L937)),N(L937)&lt;=0),"Quantité invalide",IF(AND(K937&lt;&gt;"",OR(NOT(ISNUMBER(K937)),N(K937)&lt;=0)),"Qté commandée invalide",IF(AG937&lt;SUMPRODUCT(MAX((A$6:A936=A937)*AG$6:AG936)),"Date antérieure au bon précédent",IF(AND(A937&lt;&gt;"BR",ISNUMBER(M937),N(M937)&gt;0),IF(A937="BL","Livré plus que commandé","Sorti plus que demandé"),"OK"))))))))))))</f>
        <v/>
      </c>
      <c r="Y937" s="57" t="str">
        <f>IF(AND(OR(A937="BL",A937="BR",A937="BS"),AG937&gt;0,D937&lt;&gt;""),A937&amp;"|"&amp;AG937&amp;"|"&amp;D937&amp;"|"&amp;F937,"")</f>
        <v/>
      </c>
      <c r="Z937" s="57" t="str">
        <f>IF(Y937="","",IF(COUNTIF(Y$6:Y936,Y937)=0,1,0))</f>
        <v/>
      </c>
      <c r="AA937" s="57" t="str">
        <f>IF(Y937="","",IF(Z937=1,COUNTIFS(A$6:A937,A937,Z$6:Z937,1),INDEX(AA$6:AA936,MATCH(Y937,Y$6:Y936,0))))</f>
        <v/>
      </c>
      <c r="AB937" s="57" t="str">
        <f>IF(B937="","",COUNTIF(B$6:B937,B937))</f>
        <v/>
      </c>
      <c r="AC937" s="57" t="str">
        <f>IF(B937="","",B937&amp;"#"&amp;AB937)</f>
        <v/>
      </c>
      <c r="AD937" s="57" t="str">
        <f>IF(Z937=1,A937&amp;AA937,"")</f>
        <v/>
      </c>
      <c r="AE937" s="57" t="str">
        <f>IF(B937="","",YEAR(C937))</f>
        <v/>
      </c>
      <c r="AF937" s="57" t="str">
        <f>IF(B937="","",MONTH(C937))</f>
        <v/>
      </c>
      <c r="AG937" s="57">
        <f>IF(ISNUMBER(C937),C937,0)</f>
        <v>0.0</v>
      </c>
      <c r="AH937" s="57" t="str">
        <f>IF(N(W937)&gt;0,COUNTIF(W$6:W937,"&gt;0"),"")</f>
        <v/>
      </c>
      <c r="AI937" s="57" t="str">
        <f>IF(Z937=1,COUNTIF(Z$6:Z937,1),"")</f>
        <v/>
      </c>
    </row>
    <row r="938">
      <c r="A938" s="54" t="n"/>
      <c r="B938" s="55" t="str">
        <f>IF(AA938="","",A938&amp;"-"&amp;RIGHT("000"&amp;AA938,4))</f>
        <v/>
      </c>
      <c r="C938" s="56" t="n"/>
      <c r="D938" s="54" t="n"/>
      <c r="E938" s="57" t="str">
        <f>IF(D938="","",IF(A938="BL",IFERROR(INDEX(cl_name,MATCH(D938,cl_code,0))&amp;"","Client inconnu"),IF(A938="BR",IFERROR(INDEX(fo_name,MATCH(D938,fo_code,0))&amp;"","Fournisseur inconnu"),IF(A938="BS",IF(ISNA(MATCH(D938,p_services,0)),"Service inconnu",D938&amp;""),""))))</f>
        <v/>
      </c>
      <c r="F938" s="58" t="n"/>
      <c r="G938" s="58" t="n"/>
      <c r="H938" s="59" t="n"/>
      <c r="I938" s="57" t="str">
        <f>IF(H938="","",IFERROR(INDEX(art_des,MATCH(H938,art_ref,0))&amp;"","Article inconnu"))</f>
        <v/>
      </c>
      <c r="J938" s="60" t="str">
        <f>IF(H938="","",IFERROR(INDEX(art_unit,MATCH(H938,art_ref,0))&amp;"",""))</f>
        <v/>
      </c>
      <c r="K938" s="59" t="n"/>
      <c r="L938" s="59" t="n"/>
      <c r="M938" s="61" t="str">
        <f>IF(OR(B938="",NOT(ISNUMBER(K938)),NOT(ISNUMBER(L938))),"",IF(OR(K938&lt;=0,L938&lt;=0),"",ROUND(L938-K938,6)))</f>
        <v/>
      </c>
      <c r="N938" s="58" t="n"/>
      <c r="O938" s="62" t="n"/>
      <c r="P938" s="63" t="str">
        <f>IF(OR(B938="",NOT(ISNUMBER(L938))),"",IF(L938&lt;=0,"",IFERROR(ROUND(L938*N(INDEX(art_w,MATCH(H938,art_ref,0))),3),"")))</f>
        <v/>
      </c>
      <c r="Q938" s="59" t="n"/>
      <c r="R938" s="54" t="n"/>
      <c r="S938" s="59" t="n"/>
      <c r="T938" s="59" t="n"/>
      <c r="U938" s="64" t="str">
        <f>IF(OR(B938="",H938=""),"",IFERROR(IF(A938="BL",IF(N(INDEX(art_price,MATCH(H938,art_ref,0)))=0,"",N(INDEX(art_price,MATCH(H938,art_ref,0)))),IF(N(INDEX(art_cost,MATCH(H938,art_ref,0)))=0,"",N(INDEX(art_cost,MATCH(H938,art_ref,0))))),""))</f>
        <v/>
      </c>
      <c r="V938" s="64" t="str">
        <f>IF(OR(U938="",NOT(ISNUMBER(L938))),"",IF(L938&lt;=0,"",ROUND(L938*U938,2)))</f>
        <v/>
      </c>
      <c r="W938" s="60" t="str">
        <f>IF(AND(B938&lt;&gt;"",A938&lt;&gt;"BS",F938&lt;&gt;"",H938&lt;&gt;"",ISNUMBER(K938),ISNUMBER(L938)),IF(AND(K938&gt;0,L938&gt;0,K938-L938&gt;0,COUNTIFS(A939:A$2005,A938,F939:F$2005,F938,H939:H$2005,H938,AA939:AA$2005,"&gt;0")=0),ROUND(K938-L938,6),""),"")</f>
        <v/>
      </c>
      <c r="X938" s="60" t="str">
        <f>IF(AND(A938="",C938="",D938="",H938="",L938=""),"",IF(A938="","Type manquant",IF(AND(A938&lt;&gt;"BL",A938&lt;&gt;"BR",A938&lt;&gt;"BS"),"Type inconnu (BL, BR ou BS)",IF(AG938=0,"Date manquante ou invalide",IF(D938="",IF(A938="BL","Client manquant",IF(A938="BR","Fournisseur manquant","Service manquant")),IF(IF(A938="BL",ISNA(MATCH(D938,cl_code,0)),IF(A938="BR",ISNA(MATCH(D938,fo_code,0)),ISNA(MATCH(D938,p_services,0)))),IF(A938="BL","Client inconnu",IF(A938="BR","Fournisseur inconnu","Service inconnu")),IF(H938="","Article manquant",IF(ISNA(MATCH(H938,art_ref,0)),"Article inconnu",IF(OR(NOT(ISNUMBER(L938)),N(L938)&lt;=0),"Quantité invalide",IF(AND(K938&lt;&gt;"",OR(NOT(ISNUMBER(K938)),N(K938)&lt;=0)),"Qté commandée invalide",IF(AG938&lt;SUMPRODUCT(MAX((A$6:A937=A938)*AG$6:AG937)),"Date antérieure au bon précédent",IF(AND(A938&lt;&gt;"BR",ISNUMBER(M938),N(M938)&gt;0),IF(A938="BL","Livré plus que commandé","Sorti plus que demandé"),"OK"))))))))))))</f>
        <v/>
      </c>
      <c r="Y938" s="57" t="str">
        <f>IF(AND(OR(A938="BL",A938="BR",A938="BS"),AG938&gt;0,D938&lt;&gt;""),A938&amp;"|"&amp;AG938&amp;"|"&amp;D938&amp;"|"&amp;F938,"")</f>
        <v/>
      </c>
      <c r="Z938" s="57" t="str">
        <f>IF(Y938="","",IF(COUNTIF(Y$6:Y937,Y938)=0,1,0))</f>
        <v/>
      </c>
      <c r="AA938" s="57" t="str">
        <f>IF(Y938="","",IF(Z938=1,COUNTIFS(A$6:A938,A938,Z$6:Z938,1),INDEX(AA$6:AA937,MATCH(Y938,Y$6:Y937,0))))</f>
        <v/>
      </c>
      <c r="AB938" s="57" t="str">
        <f>IF(B938="","",COUNTIF(B$6:B938,B938))</f>
        <v/>
      </c>
      <c r="AC938" s="57" t="str">
        <f>IF(B938="","",B938&amp;"#"&amp;AB938)</f>
        <v/>
      </c>
      <c r="AD938" s="57" t="str">
        <f>IF(Z938=1,A938&amp;AA938,"")</f>
        <v/>
      </c>
      <c r="AE938" s="57" t="str">
        <f>IF(B938="","",YEAR(C938))</f>
        <v/>
      </c>
      <c r="AF938" s="57" t="str">
        <f>IF(B938="","",MONTH(C938))</f>
        <v/>
      </c>
      <c r="AG938" s="57">
        <f>IF(ISNUMBER(C938),C938,0)</f>
        <v>0.0</v>
      </c>
      <c r="AH938" s="57" t="str">
        <f>IF(N(W938)&gt;0,COUNTIF(W$6:W938,"&gt;0"),"")</f>
        <v/>
      </c>
      <c r="AI938" s="57" t="str">
        <f>IF(Z938=1,COUNTIF(Z$6:Z938,1),"")</f>
        <v/>
      </c>
    </row>
    <row r="939">
      <c r="A939" s="54" t="n"/>
      <c r="B939" s="55" t="str">
        <f>IF(AA939="","",A939&amp;"-"&amp;RIGHT("000"&amp;AA939,4))</f>
        <v/>
      </c>
      <c r="C939" s="56" t="n"/>
      <c r="D939" s="54" t="n"/>
      <c r="E939" s="57" t="str">
        <f>IF(D939="","",IF(A939="BL",IFERROR(INDEX(cl_name,MATCH(D939,cl_code,0))&amp;"","Client inconnu"),IF(A939="BR",IFERROR(INDEX(fo_name,MATCH(D939,fo_code,0))&amp;"","Fournisseur inconnu"),IF(A939="BS",IF(ISNA(MATCH(D939,p_services,0)),"Service inconnu",D939&amp;""),""))))</f>
        <v/>
      </c>
      <c r="F939" s="58" t="n"/>
      <c r="G939" s="58" t="n"/>
      <c r="H939" s="59" t="n"/>
      <c r="I939" s="57" t="str">
        <f>IF(H939="","",IFERROR(INDEX(art_des,MATCH(H939,art_ref,0))&amp;"","Article inconnu"))</f>
        <v/>
      </c>
      <c r="J939" s="60" t="str">
        <f>IF(H939="","",IFERROR(INDEX(art_unit,MATCH(H939,art_ref,0))&amp;"",""))</f>
        <v/>
      </c>
      <c r="K939" s="59" t="n"/>
      <c r="L939" s="59" t="n"/>
      <c r="M939" s="61" t="str">
        <f>IF(OR(B939="",NOT(ISNUMBER(K939)),NOT(ISNUMBER(L939))),"",IF(OR(K939&lt;=0,L939&lt;=0),"",ROUND(L939-K939,6)))</f>
        <v/>
      </c>
      <c r="N939" s="58" t="n"/>
      <c r="O939" s="62" t="n"/>
      <c r="P939" s="63" t="str">
        <f>IF(OR(B939="",NOT(ISNUMBER(L939))),"",IF(L939&lt;=0,"",IFERROR(ROUND(L939*N(INDEX(art_w,MATCH(H939,art_ref,0))),3),"")))</f>
        <v/>
      </c>
      <c r="Q939" s="59" t="n"/>
      <c r="R939" s="54" t="n"/>
      <c r="S939" s="59" t="n"/>
      <c r="T939" s="59" t="n"/>
      <c r="U939" s="64" t="str">
        <f>IF(OR(B939="",H939=""),"",IFERROR(IF(A939="BL",IF(N(INDEX(art_price,MATCH(H939,art_ref,0)))=0,"",N(INDEX(art_price,MATCH(H939,art_ref,0)))),IF(N(INDEX(art_cost,MATCH(H939,art_ref,0)))=0,"",N(INDEX(art_cost,MATCH(H939,art_ref,0))))),""))</f>
        <v/>
      </c>
      <c r="V939" s="64" t="str">
        <f>IF(OR(U939="",NOT(ISNUMBER(L939))),"",IF(L939&lt;=0,"",ROUND(L939*U939,2)))</f>
        <v/>
      </c>
      <c r="W939" s="60" t="str">
        <f>IF(AND(B939&lt;&gt;"",A939&lt;&gt;"BS",F939&lt;&gt;"",H939&lt;&gt;"",ISNUMBER(K939),ISNUMBER(L939)),IF(AND(K939&gt;0,L939&gt;0,K939-L939&gt;0,COUNTIFS(A940:A$2005,A939,F940:F$2005,F939,H940:H$2005,H939,AA940:AA$2005,"&gt;0")=0),ROUND(K939-L939,6),""),"")</f>
        <v/>
      </c>
      <c r="X939" s="60" t="str">
        <f>IF(AND(A939="",C939="",D939="",H939="",L939=""),"",IF(A939="","Type manquant",IF(AND(A939&lt;&gt;"BL",A939&lt;&gt;"BR",A939&lt;&gt;"BS"),"Type inconnu (BL, BR ou BS)",IF(AG939=0,"Date manquante ou invalide",IF(D939="",IF(A939="BL","Client manquant",IF(A939="BR","Fournisseur manquant","Service manquant")),IF(IF(A939="BL",ISNA(MATCH(D939,cl_code,0)),IF(A939="BR",ISNA(MATCH(D939,fo_code,0)),ISNA(MATCH(D939,p_services,0)))),IF(A939="BL","Client inconnu",IF(A939="BR","Fournisseur inconnu","Service inconnu")),IF(H939="","Article manquant",IF(ISNA(MATCH(H939,art_ref,0)),"Article inconnu",IF(OR(NOT(ISNUMBER(L939)),N(L939)&lt;=0),"Quantité invalide",IF(AND(K939&lt;&gt;"",OR(NOT(ISNUMBER(K939)),N(K939)&lt;=0)),"Qté commandée invalide",IF(AG939&lt;SUMPRODUCT(MAX((A$6:A938=A939)*AG$6:AG938)),"Date antérieure au bon précédent",IF(AND(A939&lt;&gt;"BR",ISNUMBER(M939),N(M939)&gt;0),IF(A939="BL","Livré plus que commandé","Sorti plus que demandé"),"OK"))))))))))))</f>
        <v/>
      </c>
      <c r="Y939" s="57" t="str">
        <f>IF(AND(OR(A939="BL",A939="BR",A939="BS"),AG939&gt;0,D939&lt;&gt;""),A939&amp;"|"&amp;AG939&amp;"|"&amp;D939&amp;"|"&amp;F939,"")</f>
        <v/>
      </c>
      <c r="Z939" s="57" t="str">
        <f>IF(Y939="","",IF(COUNTIF(Y$6:Y938,Y939)=0,1,0))</f>
        <v/>
      </c>
      <c r="AA939" s="57" t="str">
        <f>IF(Y939="","",IF(Z939=1,COUNTIFS(A$6:A939,A939,Z$6:Z939,1),INDEX(AA$6:AA938,MATCH(Y939,Y$6:Y938,0))))</f>
        <v/>
      </c>
      <c r="AB939" s="57" t="str">
        <f>IF(B939="","",COUNTIF(B$6:B939,B939))</f>
        <v/>
      </c>
      <c r="AC939" s="57" t="str">
        <f>IF(B939="","",B939&amp;"#"&amp;AB939)</f>
        <v/>
      </c>
      <c r="AD939" s="57" t="str">
        <f>IF(Z939=1,A939&amp;AA939,"")</f>
        <v/>
      </c>
      <c r="AE939" s="57" t="str">
        <f>IF(B939="","",YEAR(C939))</f>
        <v/>
      </c>
      <c r="AF939" s="57" t="str">
        <f>IF(B939="","",MONTH(C939))</f>
        <v/>
      </c>
      <c r="AG939" s="57">
        <f>IF(ISNUMBER(C939),C939,0)</f>
        <v>0.0</v>
      </c>
      <c r="AH939" s="57" t="str">
        <f>IF(N(W939)&gt;0,COUNTIF(W$6:W939,"&gt;0"),"")</f>
        <v/>
      </c>
      <c r="AI939" s="57" t="str">
        <f>IF(Z939=1,COUNTIF(Z$6:Z939,1),"")</f>
        <v/>
      </c>
    </row>
    <row r="940">
      <c r="A940" s="54" t="n"/>
      <c r="B940" s="55" t="str">
        <f>IF(AA940="","",A940&amp;"-"&amp;RIGHT("000"&amp;AA940,4))</f>
        <v/>
      </c>
      <c r="C940" s="56" t="n"/>
      <c r="D940" s="54" t="n"/>
      <c r="E940" s="57" t="str">
        <f>IF(D940="","",IF(A940="BL",IFERROR(INDEX(cl_name,MATCH(D940,cl_code,0))&amp;"","Client inconnu"),IF(A940="BR",IFERROR(INDEX(fo_name,MATCH(D940,fo_code,0))&amp;"","Fournisseur inconnu"),IF(A940="BS",IF(ISNA(MATCH(D940,p_services,0)),"Service inconnu",D940&amp;""),""))))</f>
        <v/>
      </c>
      <c r="F940" s="58" t="n"/>
      <c r="G940" s="58" t="n"/>
      <c r="H940" s="59" t="n"/>
      <c r="I940" s="57" t="str">
        <f>IF(H940="","",IFERROR(INDEX(art_des,MATCH(H940,art_ref,0))&amp;"","Article inconnu"))</f>
        <v/>
      </c>
      <c r="J940" s="60" t="str">
        <f>IF(H940="","",IFERROR(INDEX(art_unit,MATCH(H940,art_ref,0))&amp;"",""))</f>
        <v/>
      </c>
      <c r="K940" s="59" t="n"/>
      <c r="L940" s="59" t="n"/>
      <c r="M940" s="61" t="str">
        <f>IF(OR(B940="",NOT(ISNUMBER(K940)),NOT(ISNUMBER(L940))),"",IF(OR(K940&lt;=0,L940&lt;=0),"",ROUND(L940-K940,6)))</f>
        <v/>
      </c>
      <c r="N940" s="58" t="n"/>
      <c r="O940" s="62" t="n"/>
      <c r="P940" s="63" t="str">
        <f>IF(OR(B940="",NOT(ISNUMBER(L940))),"",IF(L940&lt;=0,"",IFERROR(ROUND(L940*N(INDEX(art_w,MATCH(H940,art_ref,0))),3),"")))</f>
        <v/>
      </c>
      <c r="Q940" s="59" t="n"/>
      <c r="R940" s="54" t="n"/>
      <c r="S940" s="59" t="n"/>
      <c r="T940" s="59" t="n"/>
      <c r="U940" s="64" t="str">
        <f>IF(OR(B940="",H940=""),"",IFERROR(IF(A940="BL",IF(N(INDEX(art_price,MATCH(H940,art_ref,0)))=0,"",N(INDEX(art_price,MATCH(H940,art_ref,0)))),IF(N(INDEX(art_cost,MATCH(H940,art_ref,0)))=0,"",N(INDEX(art_cost,MATCH(H940,art_ref,0))))),""))</f>
        <v/>
      </c>
      <c r="V940" s="64" t="str">
        <f>IF(OR(U940="",NOT(ISNUMBER(L940))),"",IF(L940&lt;=0,"",ROUND(L940*U940,2)))</f>
        <v/>
      </c>
      <c r="W940" s="60" t="str">
        <f>IF(AND(B940&lt;&gt;"",A940&lt;&gt;"BS",F940&lt;&gt;"",H940&lt;&gt;"",ISNUMBER(K940),ISNUMBER(L940)),IF(AND(K940&gt;0,L940&gt;0,K940-L940&gt;0,COUNTIFS(A941:A$2005,A940,F941:F$2005,F940,H941:H$2005,H940,AA941:AA$2005,"&gt;0")=0),ROUND(K940-L940,6),""),"")</f>
        <v/>
      </c>
      <c r="X940" s="60" t="str">
        <f>IF(AND(A940="",C940="",D940="",H940="",L940=""),"",IF(A940="","Type manquant",IF(AND(A940&lt;&gt;"BL",A940&lt;&gt;"BR",A940&lt;&gt;"BS"),"Type inconnu (BL, BR ou BS)",IF(AG940=0,"Date manquante ou invalide",IF(D940="",IF(A940="BL","Client manquant",IF(A940="BR","Fournisseur manquant","Service manquant")),IF(IF(A940="BL",ISNA(MATCH(D940,cl_code,0)),IF(A940="BR",ISNA(MATCH(D940,fo_code,0)),ISNA(MATCH(D940,p_services,0)))),IF(A940="BL","Client inconnu",IF(A940="BR","Fournisseur inconnu","Service inconnu")),IF(H940="","Article manquant",IF(ISNA(MATCH(H940,art_ref,0)),"Article inconnu",IF(OR(NOT(ISNUMBER(L940)),N(L940)&lt;=0),"Quantité invalide",IF(AND(K940&lt;&gt;"",OR(NOT(ISNUMBER(K940)),N(K940)&lt;=0)),"Qté commandée invalide",IF(AG940&lt;SUMPRODUCT(MAX((A$6:A939=A940)*AG$6:AG939)),"Date antérieure au bon précédent",IF(AND(A940&lt;&gt;"BR",ISNUMBER(M940),N(M940)&gt;0),IF(A940="BL","Livré plus que commandé","Sorti plus que demandé"),"OK"))))))))))))</f>
        <v/>
      </c>
      <c r="Y940" s="57" t="str">
        <f>IF(AND(OR(A940="BL",A940="BR",A940="BS"),AG940&gt;0,D940&lt;&gt;""),A940&amp;"|"&amp;AG940&amp;"|"&amp;D940&amp;"|"&amp;F940,"")</f>
        <v/>
      </c>
      <c r="Z940" s="57" t="str">
        <f>IF(Y940="","",IF(COUNTIF(Y$6:Y939,Y940)=0,1,0))</f>
        <v/>
      </c>
      <c r="AA940" s="57" t="str">
        <f>IF(Y940="","",IF(Z940=1,COUNTIFS(A$6:A940,A940,Z$6:Z940,1),INDEX(AA$6:AA939,MATCH(Y940,Y$6:Y939,0))))</f>
        <v/>
      </c>
      <c r="AB940" s="57" t="str">
        <f>IF(B940="","",COUNTIF(B$6:B940,B940))</f>
        <v/>
      </c>
      <c r="AC940" s="57" t="str">
        <f>IF(B940="","",B940&amp;"#"&amp;AB940)</f>
        <v/>
      </c>
      <c r="AD940" s="57" t="str">
        <f>IF(Z940=1,A940&amp;AA940,"")</f>
        <v/>
      </c>
      <c r="AE940" s="57" t="str">
        <f>IF(B940="","",YEAR(C940))</f>
        <v/>
      </c>
      <c r="AF940" s="57" t="str">
        <f>IF(B940="","",MONTH(C940))</f>
        <v/>
      </c>
      <c r="AG940" s="57">
        <f>IF(ISNUMBER(C940),C940,0)</f>
        <v>0.0</v>
      </c>
      <c r="AH940" s="57" t="str">
        <f>IF(N(W940)&gt;0,COUNTIF(W$6:W940,"&gt;0"),"")</f>
        <v/>
      </c>
      <c r="AI940" s="57" t="str">
        <f>IF(Z940=1,COUNTIF(Z$6:Z940,1),"")</f>
        <v/>
      </c>
    </row>
    <row r="941">
      <c r="A941" s="54" t="n"/>
      <c r="B941" s="55" t="str">
        <f>IF(AA941="","",A941&amp;"-"&amp;RIGHT("000"&amp;AA941,4))</f>
        <v/>
      </c>
      <c r="C941" s="56" t="n"/>
      <c r="D941" s="54" t="n"/>
      <c r="E941" s="57" t="str">
        <f>IF(D941="","",IF(A941="BL",IFERROR(INDEX(cl_name,MATCH(D941,cl_code,0))&amp;"","Client inconnu"),IF(A941="BR",IFERROR(INDEX(fo_name,MATCH(D941,fo_code,0))&amp;"","Fournisseur inconnu"),IF(A941="BS",IF(ISNA(MATCH(D941,p_services,0)),"Service inconnu",D941&amp;""),""))))</f>
        <v/>
      </c>
      <c r="F941" s="58" t="n"/>
      <c r="G941" s="58" t="n"/>
      <c r="H941" s="59" t="n"/>
      <c r="I941" s="57" t="str">
        <f>IF(H941="","",IFERROR(INDEX(art_des,MATCH(H941,art_ref,0))&amp;"","Article inconnu"))</f>
        <v/>
      </c>
      <c r="J941" s="60" t="str">
        <f>IF(H941="","",IFERROR(INDEX(art_unit,MATCH(H941,art_ref,0))&amp;"",""))</f>
        <v/>
      </c>
      <c r="K941" s="59" t="n"/>
      <c r="L941" s="59" t="n"/>
      <c r="M941" s="61" t="str">
        <f>IF(OR(B941="",NOT(ISNUMBER(K941)),NOT(ISNUMBER(L941))),"",IF(OR(K941&lt;=0,L941&lt;=0),"",ROUND(L941-K941,6)))</f>
        <v/>
      </c>
      <c r="N941" s="58" t="n"/>
      <c r="O941" s="62" t="n"/>
      <c r="P941" s="63" t="str">
        <f>IF(OR(B941="",NOT(ISNUMBER(L941))),"",IF(L941&lt;=0,"",IFERROR(ROUND(L941*N(INDEX(art_w,MATCH(H941,art_ref,0))),3),"")))</f>
        <v/>
      </c>
      <c r="Q941" s="59" t="n"/>
      <c r="R941" s="54" t="n"/>
      <c r="S941" s="59" t="n"/>
      <c r="T941" s="59" t="n"/>
      <c r="U941" s="64" t="str">
        <f>IF(OR(B941="",H941=""),"",IFERROR(IF(A941="BL",IF(N(INDEX(art_price,MATCH(H941,art_ref,0)))=0,"",N(INDEX(art_price,MATCH(H941,art_ref,0)))),IF(N(INDEX(art_cost,MATCH(H941,art_ref,0)))=0,"",N(INDEX(art_cost,MATCH(H941,art_ref,0))))),""))</f>
        <v/>
      </c>
      <c r="V941" s="64" t="str">
        <f>IF(OR(U941="",NOT(ISNUMBER(L941))),"",IF(L941&lt;=0,"",ROUND(L941*U941,2)))</f>
        <v/>
      </c>
      <c r="W941" s="60" t="str">
        <f>IF(AND(B941&lt;&gt;"",A941&lt;&gt;"BS",F941&lt;&gt;"",H941&lt;&gt;"",ISNUMBER(K941),ISNUMBER(L941)),IF(AND(K941&gt;0,L941&gt;0,K941-L941&gt;0,COUNTIFS(A942:A$2005,A941,F942:F$2005,F941,H942:H$2005,H941,AA942:AA$2005,"&gt;0")=0),ROUND(K941-L941,6),""),"")</f>
        <v/>
      </c>
      <c r="X941" s="60" t="str">
        <f>IF(AND(A941="",C941="",D941="",H941="",L941=""),"",IF(A941="","Type manquant",IF(AND(A941&lt;&gt;"BL",A941&lt;&gt;"BR",A941&lt;&gt;"BS"),"Type inconnu (BL, BR ou BS)",IF(AG941=0,"Date manquante ou invalide",IF(D941="",IF(A941="BL","Client manquant",IF(A941="BR","Fournisseur manquant","Service manquant")),IF(IF(A941="BL",ISNA(MATCH(D941,cl_code,0)),IF(A941="BR",ISNA(MATCH(D941,fo_code,0)),ISNA(MATCH(D941,p_services,0)))),IF(A941="BL","Client inconnu",IF(A941="BR","Fournisseur inconnu","Service inconnu")),IF(H941="","Article manquant",IF(ISNA(MATCH(H941,art_ref,0)),"Article inconnu",IF(OR(NOT(ISNUMBER(L941)),N(L941)&lt;=0),"Quantité invalide",IF(AND(K941&lt;&gt;"",OR(NOT(ISNUMBER(K941)),N(K941)&lt;=0)),"Qté commandée invalide",IF(AG941&lt;SUMPRODUCT(MAX((A$6:A940=A941)*AG$6:AG940)),"Date antérieure au bon précédent",IF(AND(A941&lt;&gt;"BR",ISNUMBER(M941),N(M941)&gt;0),IF(A941="BL","Livré plus que commandé","Sorti plus que demandé"),"OK"))))))))))))</f>
        <v/>
      </c>
      <c r="Y941" s="57" t="str">
        <f>IF(AND(OR(A941="BL",A941="BR",A941="BS"),AG941&gt;0,D941&lt;&gt;""),A941&amp;"|"&amp;AG941&amp;"|"&amp;D941&amp;"|"&amp;F941,"")</f>
        <v/>
      </c>
      <c r="Z941" s="57" t="str">
        <f>IF(Y941="","",IF(COUNTIF(Y$6:Y940,Y941)=0,1,0))</f>
        <v/>
      </c>
      <c r="AA941" s="57" t="str">
        <f>IF(Y941="","",IF(Z941=1,COUNTIFS(A$6:A941,A941,Z$6:Z941,1),INDEX(AA$6:AA940,MATCH(Y941,Y$6:Y940,0))))</f>
        <v/>
      </c>
      <c r="AB941" s="57" t="str">
        <f>IF(B941="","",COUNTIF(B$6:B941,B941))</f>
        <v/>
      </c>
      <c r="AC941" s="57" t="str">
        <f>IF(B941="","",B941&amp;"#"&amp;AB941)</f>
        <v/>
      </c>
      <c r="AD941" s="57" t="str">
        <f>IF(Z941=1,A941&amp;AA941,"")</f>
        <v/>
      </c>
      <c r="AE941" s="57" t="str">
        <f>IF(B941="","",YEAR(C941))</f>
        <v/>
      </c>
      <c r="AF941" s="57" t="str">
        <f>IF(B941="","",MONTH(C941))</f>
        <v/>
      </c>
      <c r="AG941" s="57">
        <f>IF(ISNUMBER(C941),C941,0)</f>
        <v>0.0</v>
      </c>
      <c r="AH941" s="57" t="str">
        <f>IF(N(W941)&gt;0,COUNTIF(W$6:W941,"&gt;0"),"")</f>
        <v/>
      </c>
      <c r="AI941" s="57" t="str">
        <f>IF(Z941=1,COUNTIF(Z$6:Z941,1),"")</f>
        <v/>
      </c>
    </row>
    <row r="942">
      <c r="A942" s="54" t="n"/>
      <c r="B942" s="55" t="str">
        <f>IF(AA942="","",A942&amp;"-"&amp;RIGHT("000"&amp;AA942,4))</f>
        <v/>
      </c>
      <c r="C942" s="56" t="n"/>
      <c r="D942" s="54" t="n"/>
      <c r="E942" s="57" t="str">
        <f>IF(D942="","",IF(A942="BL",IFERROR(INDEX(cl_name,MATCH(D942,cl_code,0))&amp;"","Client inconnu"),IF(A942="BR",IFERROR(INDEX(fo_name,MATCH(D942,fo_code,0))&amp;"","Fournisseur inconnu"),IF(A942="BS",IF(ISNA(MATCH(D942,p_services,0)),"Service inconnu",D942&amp;""),""))))</f>
        <v/>
      </c>
      <c r="F942" s="58" t="n"/>
      <c r="G942" s="58" t="n"/>
      <c r="H942" s="59" t="n"/>
      <c r="I942" s="57" t="str">
        <f>IF(H942="","",IFERROR(INDEX(art_des,MATCH(H942,art_ref,0))&amp;"","Article inconnu"))</f>
        <v/>
      </c>
      <c r="J942" s="60" t="str">
        <f>IF(H942="","",IFERROR(INDEX(art_unit,MATCH(H942,art_ref,0))&amp;"",""))</f>
        <v/>
      </c>
      <c r="K942" s="59" t="n"/>
      <c r="L942" s="59" t="n"/>
      <c r="M942" s="61" t="str">
        <f>IF(OR(B942="",NOT(ISNUMBER(K942)),NOT(ISNUMBER(L942))),"",IF(OR(K942&lt;=0,L942&lt;=0),"",ROUND(L942-K942,6)))</f>
        <v/>
      </c>
      <c r="N942" s="58" t="n"/>
      <c r="O942" s="62" t="n"/>
      <c r="P942" s="63" t="str">
        <f>IF(OR(B942="",NOT(ISNUMBER(L942))),"",IF(L942&lt;=0,"",IFERROR(ROUND(L942*N(INDEX(art_w,MATCH(H942,art_ref,0))),3),"")))</f>
        <v/>
      </c>
      <c r="Q942" s="59" t="n"/>
      <c r="R942" s="54" t="n"/>
      <c r="S942" s="59" t="n"/>
      <c r="T942" s="59" t="n"/>
      <c r="U942" s="64" t="str">
        <f>IF(OR(B942="",H942=""),"",IFERROR(IF(A942="BL",IF(N(INDEX(art_price,MATCH(H942,art_ref,0)))=0,"",N(INDEX(art_price,MATCH(H942,art_ref,0)))),IF(N(INDEX(art_cost,MATCH(H942,art_ref,0)))=0,"",N(INDEX(art_cost,MATCH(H942,art_ref,0))))),""))</f>
        <v/>
      </c>
      <c r="V942" s="64" t="str">
        <f>IF(OR(U942="",NOT(ISNUMBER(L942))),"",IF(L942&lt;=0,"",ROUND(L942*U942,2)))</f>
        <v/>
      </c>
      <c r="W942" s="60" t="str">
        <f>IF(AND(B942&lt;&gt;"",A942&lt;&gt;"BS",F942&lt;&gt;"",H942&lt;&gt;"",ISNUMBER(K942),ISNUMBER(L942)),IF(AND(K942&gt;0,L942&gt;0,K942-L942&gt;0,COUNTIFS(A943:A$2005,A942,F943:F$2005,F942,H943:H$2005,H942,AA943:AA$2005,"&gt;0")=0),ROUND(K942-L942,6),""),"")</f>
        <v/>
      </c>
      <c r="X942" s="60" t="str">
        <f>IF(AND(A942="",C942="",D942="",H942="",L942=""),"",IF(A942="","Type manquant",IF(AND(A942&lt;&gt;"BL",A942&lt;&gt;"BR",A942&lt;&gt;"BS"),"Type inconnu (BL, BR ou BS)",IF(AG942=0,"Date manquante ou invalide",IF(D942="",IF(A942="BL","Client manquant",IF(A942="BR","Fournisseur manquant","Service manquant")),IF(IF(A942="BL",ISNA(MATCH(D942,cl_code,0)),IF(A942="BR",ISNA(MATCH(D942,fo_code,0)),ISNA(MATCH(D942,p_services,0)))),IF(A942="BL","Client inconnu",IF(A942="BR","Fournisseur inconnu","Service inconnu")),IF(H942="","Article manquant",IF(ISNA(MATCH(H942,art_ref,0)),"Article inconnu",IF(OR(NOT(ISNUMBER(L942)),N(L942)&lt;=0),"Quantité invalide",IF(AND(K942&lt;&gt;"",OR(NOT(ISNUMBER(K942)),N(K942)&lt;=0)),"Qté commandée invalide",IF(AG942&lt;SUMPRODUCT(MAX((A$6:A941=A942)*AG$6:AG941)),"Date antérieure au bon précédent",IF(AND(A942&lt;&gt;"BR",ISNUMBER(M942),N(M942)&gt;0),IF(A942="BL","Livré plus que commandé","Sorti plus que demandé"),"OK"))))))))))))</f>
        <v/>
      </c>
      <c r="Y942" s="57" t="str">
        <f>IF(AND(OR(A942="BL",A942="BR",A942="BS"),AG942&gt;0,D942&lt;&gt;""),A942&amp;"|"&amp;AG942&amp;"|"&amp;D942&amp;"|"&amp;F942,"")</f>
        <v/>
      </c>
      <c r="Z942" s="57" t="str">
        <f>IF(Y942="","",IF(COUNTIF(Y$6:Y941,Y942)=0,1,0))</f>
        <v/>
      </c>
      <c r="AA942" s="57" t="str">
        <f>IF(Y942="","",IF(Z942=1,COUNTIFS(A$6:A942,A942,Z$6:Z942,1),INDEX(AA$6:AA941,MATCH(Y942,Y$6:Y941,0))))</f>
        <v/>
      </c>
      <c r="AB942" s="57" t="str">
        <f>IF(B942="","",COUNTIF(B$6:B942,B942))</f>
        <v/>
      </c>
      <c r="AC942" s="57" t="str">
        <f>IF(B942="","",B942&amp;"#"&amp;AB942)</f>
        <v/>
      </c>
      <c r="AD942" s="57" t="str">
        <f>IF(Z942=1,A942&amp;AA942,"")</f>
        <v/>
      </c>
      <c r="AE942" s="57" t="str">
        <f>IF(B942="","",YEAR(C942))</f>
        <v/>
      </c>
      <c r="AF942" s="57" t="str">
        <f>IF(B942="","",MONTH(C942))</f>
        <v/>
      </c>
      <c r="AG942" s="57">
        <f>IF(ISNUMBER(C942),C942,0)</f>
        <v>0.0</v>
      </c>
      <c r="AH942" s="57" t="str">
        <f>IF(N(W942)&gt;0,COUNTIF(W$6:W942,"&gt;0"),"")</f>
        <v/>
      </c>
      <c r="AI942" s="57" t="str">
        <f>IF(Z942=1,COUNTIF(Z$6:Z942,1),"")</f>
        <v/>
      </c>
    </row>
    <row r="943">
      <c r="A943" s="54" t="n"/>
      <c r="B943" s="55" t="str">
        <f>IF(AA943="","",A943&amp;"-"&amp;RIGHT("000"&amp;AA943,4))</f>
        <v/>
      </c>
      <c r="C943" s="56" t="n"/>
      <c r="D943" s="54" t="n"/>
      <c r="E943" s="57" t="str">
        <f>IF(D943="","",IF(A943="BL",IFERROR(INDEX(cl_name,MATCH(D943,cl_code,0))&amp;"","Client inconnu"),IF(A943="BR",IFERROR(INDEX(fo_name,MATCH(D943,fo_code,0))&amp;"","Fournisseur inconnu"),IF(A943="BS",IF(ISNA(MATCH(D943,p_services,0)),"Service inconnu",D943&amp;""),""))))</f>
        <v/>
      </c>
      <c r="F943" s="58" t="n"/>
      <c r="G943" s="58" t="n"/>
      <c r="H943" s="59" t="n"/>
      <c r="I943" s="57" t="str">
        <f>IF(H943="","",IFERROR(INDEX(art_des,MATCH(H943,art_ref,0))&amp;"","Article inconnu"))</f>
        <v/>
      </c>
      <c r="J943" s="60" t="str">
        <f>IF(H943="","",IFERROR(INDEX(art_unit,MATCH(H943,art_ref,0))&amp;"",""))</f>
        <v/>
      </c>
      <c r="K943" s="59" t="n"/>
      <c r="L943" s="59" t="n"/>
      <c r="M943" s="61" t="str">
        <f>IF(OR(B943="",NOT(ISNUMBER(K943)),NOT(ISNUMBER(L943))),"",IF(OR(K943&lt;=0,L943&lt;=0),"",ROUND(L943-K943,6)))</f>
        <v/>
      </c>
      <c r="N943" s="58" t="n"/>
      <c r="O943" s="62" t="n"/>
      <c r="P943" s="63" t="str">
        <f>IF(OR(B943="",NOT(ISNUMBER(L943))),"",IF(L943&lt;=0,"",IFERROR(ROUND(L943*N(INDEX(art_w,MATCH(H943,art_ref,0))),3),"")))</f>
        <v/>
      </c>
      <c r="Q943" s="59" t="n"/>
      <c r="R943" s="54" t="n"/>
      <c r="S943" s="59" t="n"/>
      <c r="T943" s="59" t="n"/>
      <c r="U943" s="64" t="str">
        <f>IF(OR(B943="",H943=""),"",IFERROR(IF(A943="BL",IF(N(INDEX(art_price,MATCH(H943,art_ref,0)))=0,"",N(INDEX(art_price,MATCH(H943,art_ref,0)))),IF(N(INDEX(art_cost,MATCH(H943,art_ref,0)))=0,"",N(INDEX(art_cost,MATCH(H943,art_ref,0))))),""))</f>
        <v/>
      </c>
      <c r="V943" s="64" t="str">
        <f>IF(OR(U943="",NOT(ISNUMBER(L943))),"",IF(L943&lt;=0,"",ROUND(L943*U943,2)))</f>
        <v/>
      </c>
      <c r="W943" s="60" t="str">
        <f>IF(AND(B943&lt;&gt;"",A943&lt;&gt;"BS",F943&lt;&gt;"",H943&lt;&gt;"",ISNUMBER(K943),ISNUMBER(L943)),IF(AND(K943&gt;0,L943&gt;0,K943-L943&gt;0,COUNTIFS(A944:A$2005,A943,F944:F$2005,F943,H944:H$2005,H943,AA944:AA$2005,"&gt;0")=0),ROUND(K943-L943,6),""),"")</f>
        <v/>
      </c>
      <c r="X943" s="60" t="str">
        <f>IF(AND(A943="",C943="",D943="",H943="",L943=""),"",IF(A943="","Type manquant",IF(AND(A943&lt;&gt;"BL",A943&lt;&gt;"BR",A943&lt;&gt;"BS"),"Type inconnu (BL, BR ou BS)",IF(AG943=0,"Date manquante ou invalide",IF(D943="",IF(A943="BL","Client manquant",IF(A943="BR","Fournisseur manquant","Service manquant")),IF(IF(A943="BL",ISNA(MATCH(D943,cl_code,0)),IF(A943="BR",ISNA(MATCH(D943,fo_code,0)),ISNA(MATCH(D943,p_services,0)))),IF(A943="BL","Client inconnu",IF(A943="BR","Fournisseur inconnu","Service inconnu")),IF(H943="","Article manquant",IF(ISNA(MATCH(H943,art_ref,0)),"Article inconnu",IF(OR(NOT(ISNUMBER(L943)),N(L943)&lt;=0),"Quantité invalide",IF(AND(K943&lt;&gt;"",OR(NOT(ISNUMBER(K943)),N(K943)&lt;=0)),"Qté commandée invalide",IF(AG943&lt;SUMPRODUCT(MAX((A$6:A942=A943)*AG$6:AG942)),"Date antérieure au bon précédent",IF(AND(A943&lt;&gt;"BR",ISNUMBER(M943),N(M943)&gt;0),IF(A943="BL","Livré plus que commandé","Sorti plus que demandé"),"OK"))))))))))))</f>
        <v/>
      </c>
      <c r="Y943" s="57" t="str">
        <f>IF(AND(OR(A943="BL",A943="BR",A943="BS"),AG943&gt;0,D943&lt;&gt;""),A943&amp;"|"&amp;AG943&amp;"|"&amp;D943&amp;"|"&amp;F943,"")</f>
        <v/>
      </c>
      <c r="Z943" s="57" t="str">
        <f>IF(Y943="","",IF(COUNTIF(Y$6:Y942,Y943)=0,1,0))</f>
        <v/>
      </c>
      <c r="AA943" s="57" t="str">
        <f>IF(Y943="","",IF(Z943=1,COUNTIFS(A$6:A943,A943,Z$6:Z943,1),INDEX(AA$6:AA942,MATCH(Y943,Y$6:Y942,0))))</f>
        <v/>
      </c>
      <c r="AB943" s="57" t="str">
        <f>IF(B943="","",COUNTIF(B$6:B943,B943))</f>
        <v/>
      </c>
      <c r="AC943" s="57" t="str">
        <f>IF(B943="","",B943&amp;"#"&amp;AB943)</f>
        <v/>
      </c>
      <c r="AD943" s="57" t="str">
        <f>IF(Z943=1,A943&amp;AA943,"")</f>
        <v/>
      </c>
      <c r="AE943" s="57" t="str">
        <f>IF(B943="","",YEAR(C943))</f>
        <v/>
      </c>
      <c r="AF943" s="57" t="str">
        <f>IF(B943="","",MONTH(C943))</f>
        <v/>
      </c>
      <c r="AG943" s="57">
        <f>IF(ISNUMBER(C943),C943,0)</f>
        <v>0.0</v>
      </c>
      <c r="AH943" s="57" t="str">
        <f>IF(N(W943)&gt;0,COUNTIF(W$6:W943,"&gt;0"),"")</f>
        <v/>
      </c>
      <c r="AI943" s="57" t="str">
        <f>IF(Z943=1,COUNTIF(Z$6:Z943,1),"")</f>
        <v/>
      </c>
    </row>
    <row r="944">
      <c r="A944" s="54" t="n"/>
      <c r="B944" s="55" t="str">
        <f>IF(AA944="","",A944&amp;"-"&amp;RIGHT("000"&amp;AA944,4))</f>
        <v/>
      </c>
      <c r="C944" s="56" t="n"/>
      <c r="D944" s="54" t="n"/>
      <c r="E944" s="57" t="str">
        <f>IF(D944="","",IF(A944="BL",IFERROR(INDEX(cl_name,MATCH(D944,cl_code,0))&amp;"","Client inconnu"),IF(A944="BR",IFERROR(INDEX(fo_name,MATCH(D944,fo_code,0))&amp;"","Fournisseur inconnu"),IF(A944="BS",IF(ISNA(MATCH(D944,p_services,0)),"Service inconnu",D944&amp;""),""))))</f>
        <v/>
      </c>
      <c r="F944" s="58" t="n"/>
      <c r="G944" s="58" t="n"/>
      <c r="H944" s="59" t="n"/>
      <c r="I944" s="57" t="str">
        <f>IF(H944="","",IFERROR(INDEX(art_des,MATCH(H944,art_ref,0))&amp;"","Article inconnu"))</f>
        <v/>
      </c>
      <c r="J944" s="60" t="str">
        <f>IF(H944="","",IFERROR(INDEX(art_unit,MATCH(H944,art_ref,0))&amp;"",""))</f>
        <v/>
      </c>
      <c r="K944" s="59" t="n"/>
      <c r="L944" s="59" t="n"/>
      <c r="M944" s="61" t="str">
        <f>IF(OR(B944="",NOT(ISNUMBER(K944)),NOT(ISNUMBER(L944))),"",IF(OR(K944&lt;=0,L944&lt;=0),"",ROUND(L944-K944,6)))</f>
        <v/>
      </c>
      <c r="N944" s="58" t="n"/>
      <c r="O944" s="62" t="n"/>
      <c r="P944" s="63" t="str">
        <f>IF(OR(B944="",NOT(ISNUMBER(L944))),"",IF(L944&lt;=0,"",IFERROR(ROUND(L944*N(INDEX(art_w,MATCH(H944,art_ref,0))),3),"")))</f>
        <v/>
      </c>
      <c r="Q944" s="59" t="n"/>
      <c r="R944" s="54" t="n"/>
      <c r="S944" s="59" t="n"/>
      <c r="T944" s="59" t="n"/>
      <c r="U944" s="64" t="str">
        <f>IF(OR(B944="",H944=""),"",IFERROR(IF(A944="BL",IF(N(INDEX(art_price,MATCH(H944,art_ref,0)))=0,"",N(INDEX(art_price,MATCH(H944,art_ref,0)))),IF(N(INDEX(art_cost,MATCH(H944,art_ref,0)))=0,"",N(INDEX(art_cost,MATCH(H944,art_ref,0))))),""))</f>
        <v/>
      </c>
      <c r="V944" s="64" t="str">
        <f>IF(OR(U944="",NOT(ISNUMBER(L944))),"",IF(L944&lt;=0,"",ROUND(L944*U944,2)))</f>
        <v/>
      </c>
      <c r="W944" s="60" t="str">
        <f>IF(AND(B944&lt;&gt;"",A944&lt;&gt;"BS",F944&lt;&gt;"",H944&lt;&gt;"",ISNUMBER(K944),ISNUMBER(L944)),IF(AND(K944&gt;0,L944&gt;0,K944-L944&gt;0,COUNTIFS(A945:A$2005,A944,F945:F$2005,F944,H945:H$2005,H944,AA945:AA$2005,"&gt;0")=0),ROUND(K944-L944,6),""),"")</f>
        <v/>
      </c>
      <c r="X944" s="60" t="str">
        <f>IF(AND(A944="",C944="",D944="",H944="",L944=""),"",IF(A944="","Type manquant",IF(AND(A944&lt;&gt;"BL",A944&lt;&gt;"BR",A944&lt;&gt;"BS"),"Type inconnu (BL, BR ou BS)",IF(AG944=0,"Date manquante ou invalide",IF(D944="",IF(A944="BL","Client manquant",IF(A944="BR","Fournisseur manquant","Service manquant")),IF(IF(A944="BL",ISNA(MATCH(D944,cl_code,0)),IF(A944="BR",ISNA(MATCH(D944,fo_code,0)),ISNA(MATCH(D944,p_services,0)))),IF(A944="BL","Client inconnu",IF(A944="BR","Fournisseur inconnu","Service inconnu")),IF(H944="","Article manquant",IF(ISNA(MATCH(H944,art_ref,0)),"Article inconnu",IF(OR(NOT(ISNUMBER(L944)),N(L944)&lt;=0),"Quantité invalide",IF(AND(K944&lt;&gt;"",OR(NOT(ISNUMBER(K944)),N(K944)&lt;=0)),"Qté commandée invalide",IF(AG944&lt;SUMPRODUCT(MAX((A$6:A943=A944)*AG$6:AG943)),"Date antérieure au bon précédent",IF(AND(A944&lt;&gt;"BR",ISNUMBER(M944),N(M944)&gt;0),IF(A944="BL","Livré plus que commandé","Sorti plus que demandé"),"OK"))))))))))))</f>
        <v/>
      </c>
      <c r="Y944" s="57" t="str">
        <f>IF(AND(OR(A944="BL",A944="BR",A944="BS"),AG944&gt;0,D944&lt;&gt;""),A944&amp;"|"&amp;AG944&amp;"|"&amp;D944&amp;"|"&amp;F944,"")</f>
        <v/>
      </c>
      <c r="Z944" s="57" t="str">
        <f>IF(Y944="","",IF(COUNTIF(Y$6:Y943,Y944)=0,1,0))</f>
        <v/>
      </c>
      <c r="AA944" s="57" t="str">
        <f>IF(Y944="","",IF(Z944=1,COUNTIFS(A$6:A944,A944,Z$6:Z944,1),INDEX(AA$6:AA943,MATCH(Y944,Y$6:Y943,0))))</f>
        <v/>
      </c>
      <c r="AB944" s="57" t="str">
        <f>IF(B944="","",COUNTIF(B$6:B944,B944))</f>
        <v/>
      </c>
      <c r="AC944" s="57" t="str">
        <f>IF(B944="","",B944&amp;"#"&amp;AB944)</f>
        <v/>
      </c>
      <c r="AD944" s="57" t="str">
        <f>IF(Z944=1,A944&amp;AA944,"")</f>
        <v/>
      </c>
      <c r="AE944" s="57" t="str">
        <f>IF(B944="","",YEAR(C944))</f>
        <v/>
      </c>
      <c r="AF944" s="57" t="str">
        <f>IF(B944="","",MONTH(C944))</f>
        <v/>
      </c>
      <c r="AG944" s="57">
        <f>IF(ISNUMBER(C944),C944,0)</f>
        <v>0.0</v>
      </c>
      <c r="AH944" s="57" t="str">
        <f>IF(N(W944)&gt;0,COUNTIF(W$6:W944,"&gt;0"),"")</f>
        <v/>
      </c>
      <c r="AI944" s="57" t="str">
        <f>IF(Z944=1,COUNTIF(Z$6:Z944,1),"")</f>
        <v/>
      </c>
    </row>
    <row r="945">
      <c r="A945" s="54" t="n"/>
      <c r="B945" s="55" t="str">
        <f>IF(AA945="","",A945&amp;"-"&amp;RIGHT("000"&amp;AA945,4))</f>
        <v/>
      </c>
      <c r="C945" s="56" t="n"/>
      <c r="D945" s="54" t="n"/>
      <c r="E945" s="57" t="str">
        <f>IF(D945="","",IF(A945="BL",IFERROR(INDEX(cl_name,MATCH(D945,cl_code,0))&amp;"","Client inconnu"),IF(A945="BR",IFERROR(INDEX(fo_name,MATCH(D945,fo_code,0))&amp;"","Fournisseur inconnu"),IF(A945="BS",IF(ISNA(MATCH(D945,p_services,0)),"Service inconnu",D945&amp;""),""))))</f>
        <v/>
      </c>
      <c r="F945" s="58" t="n"/>
      <c r="G945" s="58" t="n"/>
      <c r="H945" s="59" t="n"/>
      <c r="I945" s="57" t="str">
        <f>IF(H945="","",IFERROR(INDEX(art_des,MATCH(H945,art_ref,0))&amp;"","Article inconnu"))</f>
        <v/>
      </c>
      <c r="J945" s="60" t="str">
        <f>IF(H945="","",IFERROR(INDEX(art_unit,MATCH(H945,art_ref,0))&amp;"",""))</f>
        <v/>
      </c>
      <c r="K945" s="59" t="n"/>
      <c r="L945" s="59" t="n"/>
      <c r="M945" s="61" t="str">
        <f>IF(OR(B945="",NOT(ISNUMBER(K945)),NOT(ISNUMBER(L945))),"",IF(OR(K945&lt;=0,L945&lt;=0),"",ROUND(L945-K945,6)))</f>
        <v/>
      </c>
      <c r="N945" s="58" t="n"/>
      <c r="O945" s="62" t="n"/>
      <c r="P945" s="63" t="str">
        <f>IF(OR(B945="",NOT(ISNUMBER(L945))),"",IF(L945&lt;=0,"",IFERROR(ROUND(L945*N(INDEX(art_w,MATCH(H945,art_ref,0))),3),"")))</f>
        <v/>
      </c>
      <c r="Q945" s="59" t="n"/>
      <c r="R945" s="54" t="n"/>
      <c r="S945" s="59" t="n"/>
      <c r="T945" s="59" t="n"/>
      <c r="U945" s="64" t="str">
        <f>IF(OR(B945="",H945=""),"",IFERROR(IF(A945="BL",IF(N(INDEX(art_price,MATCH(H945,art_ref,0)))=0,"",N(INDEX(art_price,MATCH(H945,art_ref,0)))),IF(N(INDEX(art_cost,MATCH(H945,art_ref,0)))=0,"",N(INDEX(art_cost,MATCH(H945,art_ref,0))))),""))</f>
        <v/>
      </c>
      <c r="V945" s="64" t="str">
        <f>IF(OR(U945="",NOT(ISNUMBER(L945))),"",IF(L945&lt;=0,"",ROUND(L945*U945,2)))</f>
        <v/>
      </c>
      <c r="W945" s="60" t="str">
        <f>IF(AND(B945&lt;&gt;"",A945&lt;&gt;"BS",F945&lt;&gt;"",H945&lt;&gt;"",ISNUMBER(K945),ISNUMBER(L945)),IF(AND(K945&gt;0,L945&gt;0,K945-L945&gt;0,COUNTIFS(A946:A$2005,A945,F946:F$2005,F945,H946:H$2005,H945,AA946:AA$2005,"&gt;0")=0),ROUND(K945-L945,6),""),"")</f>
        <v/>
      </c>
      <c r="X945" s="60" t="str">
        <f>IF(AND(A945="",C945="",D945="",H945="",L945=""),"",IF(A945="","Type manquant",IF(AND(A945&lt;&gt;"BL",A945&lt;&gt;"BR",A945&lt;&gt;"BS"),"Type inconnu (BL, BR ou BS)",IF(AG945=0,"Date manquante ou invalide",IF(D945="",IF(A945="BL","Client manquant",IF(A945="BR","Fournisseur manquant","Service manquant")),IF(IF(A945="BL",ISNA(MATCH(D945,cl_code,0)),IF(A945="BR",ISNA(MATCH(D945,fo_code,0)),ISNA(MATCH(D945,p_services,0)))),IF(A945="BL","Client inconnu",IF(A945="BR","Fournisseur inconnu","Service inconnu")),IF(H945="","Article manquant",IF(ISNA(MATCH(H945,art_ref,0)),"Article inconnu",IF(OR(NOT(ISNUMBER(L945)),N(L945)&lt;=0),"Quantité invalide",IF(AND(K945&lt;&gt;"",OR(NOT(ISNUMBER(K945)),N(K945)&lt;=0)),"Qté commandée invalide",IF(AG945&lt;SUMPRODUCT(MAX((A$6:A944=A945)*AG$6:AG944)),"Date antérieure au bon précédent",IF(AND(A945&lt;&gt;"BR",ISNUMBER(M945),N(M945)&gt;0),IF(A945="BL","Livré plus que commandé","Sorti plus que demandé"),"OK"))))))))))))</f>
        <v/>
      </c>
      <c r="Y945" s="57" t="str">
        <f>IF(AND(OR(A945="BL",A945="BR",A945="BS"),AG945&gt;0,D945&lt;&gt;""),A945&amp;"|"&amp;AG945&amp;"|"&amp;D945&amp;"|"&amp;F945,"")</f>
        <v/>
      </c>
      <c r="Z945" s="57" t="str">
        <f>IF(Y945="","",IF(COUNTIF(Y$6:Y944,Y945)=0,1,0))</f>
        <v/>
      </c>
      <c r="AA945" s="57" t="str">
        <f>IF(Y945="","",IF(Z945=1,COUNTIFS(A$6:A945,A945,Z$6:Z945,1),INDEX(AA$6:AA944,MATCH(Y945,Y$6:Y944,0))))</f>
        <v/>
      </c>
      <c r="AB945" s="57" t="str">
        <f>IF(B945="","",COUNTIF(B$6:B945,B945))</f>
        <v/>
      </c>
      <c r="AC945" s="57" t="str">
        <f>IF(B945="","",B945&amp;"#"&amp;AB945)</f>
        <v/>
      </c>
      <c r="AD945" s="57" t="str">
        <f>IF(Z945=1,A945&amp;AA945,"")</f>
        <v/>
      </c>
      <c r="AE945" s="57" t="str">
        <f>IF(B945="","",YEAR(C945))</f>
        <v/>
      </c>
      <c r="AF945" s="57" t="str">
        <f>IF(B945="","",MONTH(C945))</f>
        <v/>
      </c>
      <c r="AG945" s="57">
        <f>IF(ISNUMBER(C945),C945,0)</f>
        <v>0.0</v>
      </c>
      <c r="AH945" s="57" t="str">
        <f>IF(N(W945)&gt;0,COUNTIF(W$6:W945,"&gt;0"),"")</f>
        <v/>
      </c>
      <c r="AI945" s="57" t="str">
        <f>IF(Z945=1,COUNTIF(Z$6:Z945,1),"")</f>
        <v/>
      </c>
    </row>
    <row r="946">
      <c r="A946" s="54" t="n"/>
      <c r="B946" s="55" t="str">
        <f>IF(AA946="","",A946&amp;"-"&amp;RIGHT("000"&amp;AA946,4))</f>
        <v/>
      </c>
      <c r="C946" s="56" t="n"/>
      <c r="D946" s="54" t="n"/>
      <c r="E946" s="57" t="str">
        <f>IF(D946="","",IF(A946="BL",IFERROR(INDEX(cl_name,MATCH(D946,cl_code,0))&amp;"","Client inconnu"),IF(A946="BR",IFERROR(INDEX(fo_name,MATCH(D946,fo_code,0))&amp;"","Fournisseur inconnu"),IF(A946="BS",IF(ISNA(MATCH(D946,p_services,0)),"Service inconnu",D946&amp;""),""))))</f>
        <v/>
      </c>
      <c r="F946" s="58" t="n"/>
      <c r="G946" s="58" t="n"/>
      <c r="H946" s="59" t="n"/>
      <c r="I946" s="57" t="str">
        <f>IF(H946="","",IFERROR(INDEX(art_des,MATCH(H946,art_ref,0))&amp;"","Article inconnu"))</f>
        <v/>
      </c>
      <c r="J946" s="60" t="str">
        <f>IF(H946="","",IFERROR(INDEX(art_unit,MATCH(H946,art_ref,0))&amp;"",""))</f>
        <v/>
      </c>
      <c r="K946" s="59" t="n"/>
      <c r="L946" s="59" t="n"/>
      <c r="M946" s="61" t="str">
        <f>IF(OR(B946="",NOT(ISNUMBER(K946)),NOT(ISNUMBER(L946))),"",IF(OR(K946&lt;=0,L946&lt;=0),"",ROUND(L946-K946,6)))</f>
        <v/>
      </c>
      <c r="N946" s="58" t="n"/>
      <c r="O946" s="62" t="n"/>
      <c r="P946" s="63" t="str">
        <f>IF(OR(B946="",NOT(ISNUMBER(L946))),"",IF(L946&lt;=0,"",IFERROR(ROUND(L946*N(INDEX(art_w,MATCH(H946,art_ref,0))),3),"")))</f>
        <v/>
      </c>
      <c r="Q946" s="59" t="n"/>
      <c r="R946" s="54" t="n"/>
      <c r="S946" s="59" t="n"/>
      <c r="T946" s="59" t="n"/>
      <c r="U946" s="64" t="str">
        <f>IF(OR(B946="",H946=""),"",IFERROR(IF(A946="BL",IF(N(INDEX(art_price,MATCH(H946,art_ref,0)))=0,"",N(INDEX(art_price,MATCH(H946,art_ref,0)))),IF(N(INDEX(art_cost,MATCH(H946,art_ref,0)))=0,"",N(INDEX(art_cost,MATCH(H946,art_ref,0))))),""))</f>
        <v/>
      </c>
      <c r="V946" s="64" t="str">
        <f>IF(OR(U946="",NOT(ISNUMBER(L946))),"",IF(L946&lt;=0,"",ROUND(L946*U946,2)))</f>
        <v/>
      </c>
      <c r="W946" s="60" t="str">
        <f>IF(AND(B946&lt;&gt;"",A946&lt;&gt;"BS",F946&lt;&gt;"",H946&lt;&gt;"",ISNUMBER(K946),ISNUMBER(L946)),IF(AND(K946&gt;0,L946&gt;0,K946-L946&gt;0,COUNTIFS(A947:A$2005,A946,F947:F$2005,F946,H947:H$2005,H946,AA947:AA$2005,"&gt;0")=0),ROUND(K946-L946,6),""),"")</f>
        <v/>
      </c>
      <c r="X946" s="60" t="str">
        <f>IF(AND(A946="",C946="",D946="",H946="",L946=""),"",IF(A946="","Type manquant",IF(AND(A946&lt;&gt;"BL",A946&lt;&gt;"BR",A946&lt;&gt;"BS"),"Type inconnu (BL, BR ou BS)",IF(AG946=0,"Date manquante ou invalide",IF(D946="",IF(A946="BL","Client manquant",IF(A946="BR","Fournisseur manquant","Service manquant")),IF(IF(A946="BL",ISNA(MATCH(D946,cl_code,0)),IF(A946="BR",ISNA(MATCH(D946,fo_code,0)),ISNA(MATCH(D946,p_services,0)))),IF(A946="BL","Client inconnu",IF(A946="BR","Fournisseur inconnu","Service inconnu")),IF(H946="","Article manquant",IF(ISNA(MATCH(H946,art_ref,0)),"Article inconnu",IF(OR(NOT(ISNUMBER(L946)),N(L946)&lt;=0),"Quantité invalide",IF(AND(K946&lt;&gt;"",OR(NOT(ISNUMBER(K946)),N(K946)&lt;=0)),"Qté commandée invalide",IF(AG946&lt;SUMPRODUCT(MAX((A$6:A945=A946)*AG$6:AG945)),"Date antérieure au bon précédent",IF(AND(A946&lt;&gt;"BR",ISNUMBER(M946),N(M946)&gt;0),IF(A946="BL","Livré plus que commandé","Sorti plus que demandé"),"OK"))))))))))))</f>
        <v/>
      </c>
      <c r="Y946" s="57" t="str">
        <f>IF(AND(OR(A946="BL",A946="BR",A946="BS"),AG946&gt;0,D946&lt;&gt;""),A946&amp;"|"&amp;AG946&amp;"|"&amp;D946&amp;"|"&amp;F946,"")</f>
        <v/>
      </c>
      <c r="Z946" s="57" t="str">
        <f>IF(Y946="","",IF(COUNTIF(Y$6:Y945,Y946)=0,1,0))</f>
        <v/>
      </c>
      <c r="AA946" s="57" t="str">
        <f>IF(Y946="","",IF(Z946=1,COUNTIFS(A$6:A946,A946,Z$6:Z946,1),INDEX(AA$6:AA945,MATCH(Y946,Y$6:Y945,0))))</f>
        <v/>
      </c>
      <c r="AB946" s="57" t="str">
        <f>IF(B946="","",COUNTIF(B$6:B946,B946))</f>
        <v/>
      </c>
      <c r="AC946" s="57" t="str">
        <f>IF(B946="","",B946&amp;"#"&amp;AB946)</f>
        <v/>
      </c>
      <c r="AD946" s="57" t="str">
        <f>IF(Z946=1,A946&amp;AA946,"")</f>
        <v/>
      </c>
      <c r="AE946" s="57" t="str">
        <f>IF(B946="","",YEAR(C946))</f>
        <v/>
      </c>
      <c r="AF946" s="57" t="str">
        <f>IF(B946="","",MONTH(C946))</f>
        <v/>
      </c>
      <c r="AG946" s="57">
        <f>IF(ISNUMBER(C946),C946,0)</f>
        <v>0.0</v>
      </c>
      <c r="AH946" s="57" t="str">
        <f>IF(N(W946)&gt;0,COUNTIF(W$6:W946,"&gt;0"),"")</f>
        <v/>
      </c>
      <c r="AI946" s="57" t="str">
        <f>IF(Z946=1,COUNTIF(Z$6:Z946,1),"")</f>
        <v/>
      </c>
    </row>
    <row r="947">
      <c r="A947" s="54" t="n"/>
      <c r="B947" s="55" t="str">
        <f>IF(AA947="","",A947&amp;"-"&amp;RIGHT("000"&amp;AA947,4))</f>
        <v/>
      </c>
      <c r="C947" s="56" t="n"/>
      <c r="D947" s="54" t="n"/>
      <c r="E947" s="57" t="str">
        <f>IF(D947="","",IF(A947="BL",IFERROR(INDEX(cl_name,MATCH(D947,cl_code,0))&amp;"","Client inconnu"),IF(A947="BR",IFERROR(INDEX(fo_name,MATCH(D947,fo_code,0))&amp;"","Fournisseur inconnu"),IF(A947="BS",IF(ISNA(MATCH(D947,p_services,0)),"Service inconnu",D947&amp;""),""))))</f>
        <v/>
      </c>
      <c r="F947" s="58" t="n"/>
      <c r="G947" s="58" t="n"/>
      <c r="H947" s="59" t="n"/>
      <c r="I947" s="57" t="str">
        <f>IF(H947="","",IFERROR(INDEX(art_des,MATCH(H947,art_ref,0))&amp;"","Article inconnu"))</f>
        <v/>
      </c>
      <c r="J947" s="60" t="str">
        <f>IF(H947="","",IFERROR(INDEX(art_unit,MATCH(H947,art_ref,0))&amp;"",""))</f>
        <v/>
      </c>
      <c r="K947" s="59" t="n"/>
      <c r="L947" s="59" t="n"/>
      <c r="M947" s="61" t="str">
        <f>IF(OR(B947="",NOT(ISNUMBER(K947)),NOT(ISNUMBER(L947))),"",IF(OR(K947&lt;=0,L947&lt;=0),"",ROUND(L947-K947,6)))</f>
        <v/>
      </c>
      <c r="N947" s="58" t="n"/>
      <c r="O947" s="62" t="n"/>
      <c r="P947" s="63" t="str">
        <f>IF(OR(B947="",NOT(ISNUMBER(L947))),"",IF(L947&lt;=0,"",IFERROR(ROUND(L947*N(INDEX(art_w,MATCH(H947,art_ref,0))),3),"")))</f>
        <v/>
      </c>
      <c r="Q947" s="59" t="n"/>
      <c r="R947" s="54" t="n"/>
      <c r="S947" s="59" t="n"/>
      <c r="T947" s="59" t="n"/>
      <c r="U947" s="64" t="str">
        <f>IF(OR(B947="",H947=""),"",IFERROR(IF(A947="BL",IF(N(INDEX(art_price,MATCH(H947,art_ref,0)))=0,"",N(INDEX(art_price,MATCH(H947,art_ref,0)))),IF(N(INDEX(art_cost,MATCH(H947,art_ref,0)))=0,"",N(INDEX(art_cost,MATCH(H947,art_ref,0))))),""))</f>
        <v/>
      </c>
      <c r="V947" s="64" t="str">
        <f>IF(OR(U947="",NOT(ISNUMBER(L947))),"",IF(L947&lt;=0,"",ROUND(L947*U947,2)))</f>
        <v/>
      </c>
      <c r="W947" s="60" t="str">
        <f>IF(AND(B947&lt;&gt;"",A947&lt;&gt;"BS",F947&lt;&gt;"",H947&lt;&gt;"",ISNUMBER(K947),ISNUMBER(L947)),IF(AND(K947&gt;0,L947&gt;0,K947-L947&gt;0,COUNTIFS(A948:A$2005,A947,F948:F$2005,F947,H948:H$2005,H947,AA948:AA$2005,"&gt;0")=0),ROUND(K947-L947,6),""),"")</f>
        <v/>
      </c>
      <c r="X947" s="60" t="str">
        <f>IF(AND(A947="",C947="",D947="",H947="",L947=""),"",IF(A947="","Type manquant",IF(AND(A947&lt;&gt;"BL",A947&lt;&gt;"BR",A947&lt;&gt;"BS"),"Type inconnu (BL, BR ou BS)",IF(AG947=0,"Date manquante ou invalide",IF(D947="",IF(A947="BL","Client manquant",IF(A947="BR","Fournisseur manquant","Service manquant")),IF(IF(A947="BL",ISNA(MATCH(D947,cl_code,0)),IF(A947="BR",ISNA(MATCH(D947,fo_code,0)),ISNA(MATCH(D947,p_services,0)))),IF(A947="BL","Client inconnu",IF(A947="BR","Fournisseur inconnu","Service inconnu")),IF(H947="","Article manquant",IF(ISNA(MATCH(H947,art_ref,0)),"Article inconnu",IF(OR(NOT(ISNUMBER(L947)),N(L947)&lt;=0),"Quantité invalide",IF(AND(K947&lt;&gt;"",OR(NOT(ISNUMBER(K947)),N(K947)&lt;=0)),"Qté commandée invalide",IF(AG947&lt;SUMPRODUCT(MAX((A$6:A946=A947)*AG$6:AG946)),"Date antérieure au bon précédent",IF(AND(A947&lt;&gt;"BR",ISNUMBER(M947),N(M947)&gt;0),IF(A947="BL","Livré plus que commandé","Sorti plus que demandé"),"OK"))))))))))))</f>
        <v/>
      </c>
      <c r="Y947" s="57" t="str">
        <f>IF(AND(OR(A947="BL",A947="BR",A947="BS"),AG947&gt;0,D947&lt;&gt;""),A947&amp;"|"&amp;AG947&amp;"|"&amp;D947&amp;"|"&amp;F947,"")</f>
        <v/>
      </c>
      <c r="Z947" s="57" t="str">
        <f>IF(Y947="","",IF(COUNTIF(Y$6:Y946,Y947)=0,1,0))</f>
        <v/>
      </c>
      <c r="AA947" s="57" t="str">
        <f>IF(Y947="","",IF(Z947=1,COUNTIFS(A$6:A947,A947,Z$6:Z947,1),INDEX(AA$6:AA946,MATCH(Y947,Y$6:Y946,0))))</f>
        <v/>
      </c>
      <c r="AB947" s="57" t="str">
        <f>IF(B947="","",COUNTIF(B$6:B947,B947))</f>
        <v/>
      </c>
      <c r="AC947" s="57" t="str">
        <f>IF(B947="","",B947&amp;"#"&amp;AB947)</f>
        <v/>
      </c>
      <c r="AD947" s="57" t="str">
        <f>IF(Z947=1,A947&amp;AA947,"")</f>
        <v/>
      </c>
      <c r="AE947" s="57" t="str">
        <f>IF(B947="","",YEAR(C947))</f>
        <v/>
      </c>
      <c r="AF947" s="57" t="str">
        <f>IF(B947="","",MONTH(C947))</f>
        <v/>
      </c>
      <c r="AG947" s="57">
        <f>IF(ISNUMBER(C947),C947,0)</f>
        <v>0.0</v>
      </c>
      <c r="AH947" s="57" t="str">
        <f>IF(N(W947)&gt;0,COUNTIF(W$6:W947,"&gt;0"),"")</f>
        <v/>
      </c>
      <c r="AI947" s="57" t="str">
        <f>IF(Z947=1,COUNTIF(Z$6:Z947,1),"")</f>
        <v/>
      </c>
    </row>
    <row r="948">
      <c r="A948" s="54" t="n"/>
      <c r="B948" s="55" t="str">
        <f>IF(AA948="","",A948&amp;"-"&amp;RIGHT("000"&amp;AA948,4))</f>
        <v/>
      </c>
      <c r="C948" s="56" t="n"/>
      <c r="D948" s="54" t="n"/>
      <c r="E948" s="57" t="str">
        <f>IF(D948="","",IF(A948="BL",IFERROR(INDEX(cl_name,MATCH(D948,cl_code,0))&amp;"","Client inconnu"),IF(A948="BR",IFERROR(INDEX(fo_name,MATCH(D948,fo_code,0))&amp;"","Fournisseur inconnu"),IF(A948="BS",IF(ISNA(MATCH(D948,p_services,0)),"Service inconnu",D948&amp;""),""))))</f>
        <v/>
      </c>
      <c r="F948" s="58" t="n"/>
      <c r="G948" s="58" t="n"/>
      <c r="H948" s="59" t="n"/>
      <c r="I948" s="57" t="str">
        <f>IF(H948="","",IFERROR(INDEX(art_des,MATCH(H948,art_ref,0))&amp;"","Article inconnu"))</f>
        <v/>
      </c>
      <c r="J948" s="60" t="str">
        <f>IF(H948="","",IFERROR(INDEX(art_unit,MATCH(H948,art_ref,0))&amp;"",""))</f>
        <v/>
      </c>
      <c r="K948" s="59" t="n"/>
      <c r="L948" s="59" t="n"/>
      <c r="M948" s="61" t="str">
        <f>IF(OR(B948="",NOT(ISNUMBER(K948)),NOT(ISNUMBER(L948))),"",IF(OR(K948&lt;=0,L948&lt;=0),"",ROUND(L948-K948,6)))</f>
        <v/>
      </c>
      <c r="N948" s="58" t="n"/>
      <c r="O948" s="62" t="n"/>
      <c r="P948" s="63" t="str">
        <f>IF(OR(B948="",NOT(ISNUMBER(L948))),"",IF(L948&lt;=0,"",IFERROR(ROUND(L948*N(INDEX(art_w,MATCH(H948,art_ref,0))),3),"")))</f>
        <v/>
      </c>
      <c r="Q948" s="59" t="n"/>
      <c r="R948" s="54" t="n"/>
      <c r="S948" s="59" t="n"/>
      <c r="T948" s="59" t="n"/>
      <c r="U948" s="64" t="str">
        <f>IF(OR(B948="",H948=""),"",IFERROR(IF(A948="BL",IF(N(INDEX(art_price,MATCH(H948,art_ref,0)))=0,"",N(INDEX(art_price,MATCH(H948,art_ref,0)))),IF(N(INDEX(art_cost,MATCH(H948,art_ref,0)))=0,"",N(INDEX(art_cost,MATCH(H948,art_ref,0))))),""))</f>
        <v/>
      </c>
      <c r="V948" s="64" t="str">
        <f>IF(OR(U948="",NOT(ISNUMBER(L948))),"",IF(L948&lt;=0,"",ROUND(L948*U948,2)))</f>
        <v/>
      </c>
      <c r="W948" s="60" t="str">
        <f>IF(AND(B948&lt;&gt;"",A948&lt;&gt;"BS",F948&lt;&gt;"",H948&lt;&gt;"",ISNUMBER(K948),ISNUMBER(L948)),IF(AND(K948&gt;0,L948&gt;0,K948-L948&gt;0,COUNTIFS(A949:A$2005,A948,F949:F$2005,F948,H949:H$2005,H948,AA949:AA$2005,"&gt;0")=0),ROUND(K948-L948,6),""),"")</f>
        <v/>
      </c>
      <c r="X948" s="60" t="str">
        <f>IF(AND(A948="",C948="",D948="",H948="",L948=""),"",IF(A948="","Type manquant",IF(AND(A948&lt;&gt;"BL",A948&lt;&gt;"BR",A948&lt;&gt;"BS"),"Type inconnu (BL, BR ou BS)",IF(AG948=0,"Date manquante ou invalide",IF(D948="",IF(A948="BL","Client manquant",IF(A948="BR","Fournisseur manquant","Service manquant")),IF(IF(A948="BL",ISNA(MATCH(D948,cl_code,0)),IF(A948="BR",ISNA(MATCH(D948,fo_code,0)),ISNA(MATCH(D948,p_services,0)))),IF(A948="BL","Client inconnu",IF(A948="BR","Fournisseur inconnu","Service inconnu")),IF(H948="","Article manquant",IF(ISNA(MATCH(H948,art_ref,0)),"Article inconnu",IF(OR(NOT(ISNUMBER(L948)),N(L948)&lt;=0),"Quantité invalide",IF(AND(K948&lt;&gt;"",OR(NOT(ISNUMBER(K948)),N(K948)&lt;=0)),"Qté commandée invalide",IF(AG948&lt;SUMPRODUCT(MAX((A$6:A947=A948)*AG$6:AG947)),"Date antérieure au bon précédent",IF(AND(A948&lt;&gt;"BR",ISNUMBER(M948),N(M948)&gt;0),IF(A948="BL","Livré plus que commandé","Sorti plus que demandé"),"OK"))))))))))))</f>
        <v/>
      </c>
      <c r="Y948" s="57" t="str">
        <f>IF(AND(OR(A948="BL",A948="BR",A948="BS"),AG948&gt;0,D948&lt;&gt;""),A948&amp;"|"&amp;AG948&amp;"|"&amp;D948&amp;"|"&amp;F948,"")</f>
        <v/>
      </c>
      <c r="Z948" s="57" t="str">
        <f>IF(Y948="","",IF(COUNTIF(Y$6:Y947,Y948)=0,1,0))</f>
        <v/>
      </c>
      <c r="AA948" s="57" t="str">
        <f>IF(Y948="","",IF(Z948=1,COUNTIFS(A$6:A948,A948,Z$6:Z948,1),INDEX(AA$6:AA947,MATCH(Y948,Y$6:Y947,0))))</f>
        <v/>
      </c>
      <c r="AB948" s="57" t="str">
        <f>IF(B948="","",COUNTIF(B$6:B948,B948))</f>
        <v/>
      </c>
      <c r="AC948" s="57" t="str">
        <f>IF(B948="","",B948&amp;"#"&amp;AB948)</f>
        <v/>
      </c>
      <c r="AD948" s="57" t="str">
        <f>IF(Z948=1,A948&amp;AA948,"")</f>
        <v/>
      </c>
      <c r="AE948" s="57" t="str">
        <f>IF(B948="","",YEAR(C948))</f>
        <v/>
      </c>
      <c r="AF948" s="57" t="str">
        <f>IF(B948="","",MONTH(C948))</f>
        <v/>
      </c>
      <c r="AG948" s="57">
        <f>IF(ISNUMBER(C948),C948,0)</f>
        <v>0.0</v>
      </c>
      <c r="AH948" s="57" t="str">
        <f>IF(N(W948)&gt;0,COUNTIF(W$6:W948,"&gt;0"),"")</f>
        <v/>
      </c>
      <c r="AI948" s="57" t="str">
        <f>IF(Z948=1,COUNTIF(Z$6:Z948,1),"")</f>
        <v/>
      </c>
    </row>
    <row r="949">
      <c r="A949" s="54" t="n"/>
      <c r="B949" s="55" t="str">
        <f>IF(AA949="","",A949&amp;"-"&amp;RIGHT("000"&amp;AA949,4))</f>
        <v/>
      </c>
      <c r="C949" s="56" t="n"/>
      <c r="D949" s="54" t="n"/>
      <c r="E949" s="57" t="str">
        <f>IF(D949="","",IF(A949="BL",IFERROR(INDEX(cl_name,MATCH(D949,cl_code,0))&amp;"","Client inconnu"),IF(A949="BR",IFERROR(INDEX(fo_name,MATCH(D949,fo_code,0))&amp;"","Fournisseur inconnu"),IF(A949="BS",IF(ISNA(MATCH(D949,p_services,0)),"Service inconnu",D949&amp;""),""))))</f>
        <v/>
      </c>
      <c r="F949" s="58" t="n"/>
      <c r="G949" s="58" t="n"/>
      <c r="H949" s="59" t="n"/>
      <c r="I949" s="57" t="str">
        <f>IF(H949="","",IFERROR(INDEX(art_des,MATCH(H949,art_ref,0))&amp;"","Article inconnu"))</f>
        <v/>
      </c>
      <c r="J949" s="60" t="str">
        <f>IF(H949="","",IFERROR(INDEX(art_unit,MATCH(H949,art_ref,0))&amp;"",""))</f>
        <v/>
      </c>
      <c r="K949" s="59" t="n"/>
      <c r="L949" s="59" t="n"/>
      <c r="M949" s="61" t="str">
        <f>IF(OR(B949="",NOT(ISNUMBER(K949)),NOT(ISNUMBER(L949))),"",IF(OR(K949&lt;=0,L949&lt;=0),"",ROUND(L949-K949,6)))</f>
        <v/>
      </c>
      <c r="N949" s="58" t="n"/>
      <c r="O949" s="62" t="n"/>
      <c r="P949" s="63" t="str">
        <f>IF(OR(B949="",NOT(ISNUMBER(L949))),"",IF(L949&lt;=0,"",IFERROR(ROUND(L949*N(INDEX(art_w,MATCH(H949,art_ref,0))),3),"")))</f>
        <v/>
      </c>
      <c r="Q949" s="59" t="n"/>
      <c r="R949" s="54" t="n"/>
      <c r="S949" s="59" t="n"/>
      <c r="T949" s="59" t="n"/>
      <c r="U949" s="64" t="str">
        <f>IF(OR(B949="",H949=""),"",IFERROR(IF(A949="BL",IF(N(INDEX(art_price,MATCH(H949,art_ref,0)))=0,"",N(INDEX(art_price,MATCH(H949,art_ref,0)))),IF(N(INDEX(art_cost,MATCH(H949,art_ref,0)))=0,"",N(INDEX(art_cost,MATCH(H949,art_ref,0))))),""))</f>
        <v/>
      </c>
      <c r="V949" s="64" t="str">
        <f>IF(OR(U949="",NOT(ISNUMBER(L949))),"",IF(L949&lt;=0,"",ROUND(L949*U949,2)))</f>
        <v/>
      </c>
      <c r="W949" s="60" t="str">
        <f>IF(AND(B949&lt;&gt;"",A949&lt;&gt;"BS",F949&lt;&gt;"",H949&lt;&gt;"",ISNUMBER(K949),ISNUMBER(L949)),IF(AND(K949&gt;0,L949&gt;0,K949-L949&gt;0,COUNTIFS(A950:A$2005,A949,F950:F$2005,F949,H950:H$2005,H949,AA950:AA$2005,"&gt;0")=0),ROUND(K949-L949,6),""),"")</f>
        <v/>
      </c>
      <c r="X949" s="60" t="str">
        <f>IF(AND(A949="",C949="",D949="",H949="",L949=""),"",IF(A949="","Type manquant",IF(AND(A949&lt;&gt;"BL",A949&lt;&gt;"BR",A949&lt;&gt;"BS"),"Type inconnu (BL, BR ou BS)",IF(AG949=0,"Date manquante ou invalide",IF(D949="",IF(A949="BL","Client manquant",IF(A949="BR","Fournisseur manquant","Service manquant")),IF(IF(A949="BL",ISNA(MATCH(D949,cl_code,0)),IF(A949="BR",ISNA(MATCH(D949,fo_code,0)),ISNA(MATCH(D949,p_services,0)))),IF(A949="BL","Client inconnu",IF(A949="BR","Fournisseur inconnu","Service inconnu")),IF(H949="","Article manquant",IF(ISNA(MATCH(H949,art_ref,0)),"Article inconnu",IF(OR(NOT(ISNUMBER(L949)),N(L949)&lt;=0),"Quantité invalide",IF(AND(K949&lt;&gt;"",OR(NOT(ISNUMBER(K949)),N(K949)&lt;=0)),"Qté commandée invalide",IF(AG949&lt;SUMPRODUCT(MAX((A$6:A948=A949)*AG$6:AG948)),"Date antérieure au bon précédent",IF(AND(A949&lt;&gt;"BR",ISNUMBER(M949),N(M949)&gt;0),IF(A949="BL","Livré plus que commandé","Sorti plus que demandé"),"OK"))))))))))))</f>
        <v/>
      </c>
      <c r="Y949" s="57" t="str">
        <f>IF(AND(OR(A949="BL",A949="BR",A949="BS"),AG949&gt;0,D949&lt;&gt;""),A949&amp;"|"&amp;AG949&amp;"|"&amp;D949&amp;"|"&amp;F949,"")</f>
        <v/>
      </c>
      <c r="Z949" s="57" t="str">
        <f>IF(Y949="","",IF(COUNTIF(Y$6:Y948,Y949)=0,1,0))</f>
        <v/>
      </c>
      <c r="AA949" s="57" t="str">
        <f>IF(Y949="","",IF(Z949=1,COUNTIFS(A$6:A949,A949,Z$6:Z949,1),INDEX(AA$6:AA948,MATCH(Y949,Y$6:Y948,0))))</f>
        <v/>
      </c>
      <c r="AB949" s="57" t="str">
        <f>IF(B949="","",COUNTIF(B$6:B949,B949))</f>
        <v/>
      </c>
      <c r="AC949" s="57" t="str">
        <f>IF(B949="","",B949&amp;"#"&amp;AB949)</f>
        <v/>
      </c>
      <c r="AD949" s="57" t="str">
        <f>IF(Z949=1,A949&amp;AA949,"")</f>
        <v/>
      </c>
      <c r="AE949" s="57" t="str">
        <f>IF(B949="","",YEAR(C949))</f>
        <v/>
      </c>
      <c r="AF949" s="57" t="str">
        <f>IF(B949="","",MONTH(C949))</f>
        <v/>
      </c>
      <c r="AG949" s="57">
        <f>IF(ISNUMBER(C949),C949,0)</f>
        <v>0.0</v>
      </c>
      <c r="AH949" s="57" t="str">
        <f>IF(N(W949)&gt;0,COUNTIF(W$6:W949,"&gt;0"),"")</f>
        <v/>
      </c>
      <c r="AI949" s="57" t="str">
        <f>IF(Z949=1,COUNTIF(Z$6:Z949,1),"")</f>
        <v/>
      </c>
    </row>
    <row r="950">
      <c r="A950" s="54" t="n"/>
      <c r="B950" s="55" t="str">
        <f>IF(AA950="","",A950&amp;"-"&amp;RIGHT("000"&amp;AA950,4))</f>
        <v/>
      </c>
      <c r="C950" s="56" t="n"/>
      <c r="D950" s="54" t="n"/>
      <c r="E950" s="57" t="str">
        <f>IF(D950="","",IF(A950="BL",IFERROR(INDEX(cl_name,MATCH(D950,cl_code,0))&amp;"","Client inconnu"),IF(A950="BR",IFERROR(INDEX(fo_name,MATCH(D950,fo_code,0))&amp;"","Fournisseur inconnu"),IF(A950="BS",IF(ISNA(MATCH(D950,p_services,0)),"Service inconnu",D950&amp;""),""))))</f>
        <v/>
      </c>
      <c r="F950" s="58" t="n"/>
      <c r="G950" s="58" t="n"/>
      <c r="H950" s="59" t="n"/>
      <c r="I950" s="57" t="str">
        <f>IF(H950="","",IFERROR(INDEX(art_des,MATCH(H950,art_ref,0))&amp;"","Article inconnu"))</f>
        <v/>
      </c>
      <c r="J950" s="60" t="str">
        <f>IF(H950="","",IFERROR(INDEX(art_unit,MATCH(H950,art_ref,0))&amp;"",""))</f>
        <v/>
      </c>
      <c r="K950" s="59" t="n"/>
      <c r="L950" s="59" t="n"/>
      <c r="M950" s="61" t="str">
        <f>IF(OR(B950="",NOT(ISNUMBER(K950)),NOT(ISNUMBER(L950))),"",IF(OR(K950&lt;=0,L950&lt;=0),"",ROUND(L950-K950,6)))</f>
        <v/>
      </c>
      <c r="N950" s="58" t="n"/>
      <c r="O950" s="62" t="n"/>
      <c r="P950" s="63" t="str">
        <f>IF(OR(B950="",NOT(ISNUMBER(L950))),"",IF(L950&lt;=0,"",IFERROR(ROUND(L950*N(INDEX(art_w,MATCH(H950,art_ref,0))),3),"")))</f>
        <v/>
      </c>
      <c r="Q950" s="59" t="n"/>
      <c r="R950" s="54" t="n"/>
      <c r="S950" s="59" t="n"/>
      <c r="T950" s="59" t="n"/>
      <c r="U950" s="64" t="str">
        <f>IF(OR(B950="",H950=""),"",IFERROR(IF(A950="BL",IF(N(INDEX(art_price,MATCH(H950,art_ref,0)))=0,"",N(INDEX(art_price,MATCH(H950,art_ref,0)))),IF(N(INDEX(art_cost,MATCH(H950,art_ref,0)))=0,"",N(INDEX(art_cost,MATCH(H950,art_ref,0))))),""))</f>
        <v/>
      </c>
      <c r="V950" s="64" t="str">
        <f>IF(OR(U950="",NOT(ISNUMBER(L950))),"",IF(L950&lt;=0,"",ROUND(L950*U950,2)))</f>
        <v/>
      </c>
      <c r="W950" s="60" t="str">
        <f>IF(AND(B950&lt;&gt;"",A950&lt;&gt;"BS",F950&lt;&gt;"",H950&lt;&gt;"",ISNUMBER(K950),ISNUMBER(L950)),IF(AND(K950&gt;0,L950&gt;0,K950-L950&gt;0,COUNTIFS(A951:A$2005,A950,F951:F$2005,F950,H951:H$2005,H950,AA951:AA$2005,"&gt;0")=0),ROUND(K950-L950,6),""),"")</f>
        <v/>
      </c>
      <c r="X950" s="60" t="str">
        <f>IF(AND(A950="",C950="",D950="",H950="",L950=""),"",IF(A950="","Type manquant",IF(AND(A950&lt;&gt;"BL",A950&lt;&gt;"BR",A950&lt;&gt;"BS"),"Type inconnu (BL, BR ou BS)",IF(AG950=0,"Date manquante ou invalide",IF(D950="",IF(A950="BL","Client manquant",IF(A950="BR","Fournisseur manquant","Service manquant")),IF(IF(A950="BL",ISNA(MATCH(D950,cl_code,0)),IF(A950="BR",ISNA(MATCH(D950,fo_code,0)),ISNA(MATCH(D950,p_services,0)))),IF(A950="BL","Client inconnu",IF(A950="BR","Fournisseur inconnu","Service inconnu")),IF(H950="","Article manquant",IF(ISNA(MATCH(H950,art_ref,0)),"Article inconnu",IF(OR(NOT(ISNUMBER(L950)),N(L950)&lt;=0),"Quantité invalide",IF(AND(K950&lt;&gt;"",OR(NOT(ISNUMBER(K950)),N(K950)&lt;=0)),"Qté commandée invalide",IF(AG950&lt;SUMPRODUCT(MAX((A$6:A949=A950)*AG$6:AG949)),"Date antérieure au bon précédent",IF(AND(A950&lt;&gt;"BR",ISNUMBER(M950),N(M950)&gt;0),IF(A950="BL","Livré plus que commandé","Sorti plus que demandé"),"OK"))))))))))))</f>
        <v/>
      </c>
      <c r="Y950" s="57" t="str">
        <f>IF(AND(OR(A950="BL",A950="BR",A950="BS"),AG950&gt;0,D950&lt;&gt;""),A950&amp;"|"&amp;AG950&amp;"|"&amp;D950&amp;"|"&amp;F950,"")</f>
        <v/>
      </c>
      <c r="Z950" s="57" t="str">
        <f>IF(Y950="","",IF(COUNTIF(Y$6:Y949,Y950)=0,1,0))</f>
        <v/>
      </c>
      <c r="AA950" s="57" t="str">
        <f>IF(Y950="","",IF(Z950=1,COUNTIFS(A$6:A950,A950,Z$6:Z950,1),INDEX(AA$6:AA949,MATCH(Y950,Y$6:Y949,0))))</f>
        <v/>
      </c>
      <c r="AB950" s="57" t="str">
        <f>IF(B950="","",COUNTIF(B$6:B950,B950))</f>
        <v/>
      </c>
      <c r="AC950" s="57" t="str">
        <f>IF(B950="","",B950&amp;"#"&amp;AB950)</f>
        <v/>
      </c>
      <c r="AD950" s="57" t="str">
        <f>IF(Z950=1,A950&amp;AA950,"")</f>
        <v/>
      </c>
      <c r="AE950" s="57" t="str">
        <f>IF(B950="","",YEAR(C950))</f>
        <v/>
      </c>
      <c r="AF950" s="57" t="str">
        <f>IF(B950="","",MONTH(C950))</f>
        <v/>
      </c>
      <c r="AG950" s="57">
        <f>IF(ISNUMBER(C950),C950,0)</f>
        <v>0.0</v>
      </c>
      <c r="AH950" s="57" t="str">
        <f>IF(N(W950)&gt;0,COUNTIF(W$6:W950,"&gt;0"),"")</f>
        <v/>
      </c>
      <c r="AI950" s="57" t="str">
        <f>IF(Z950=1,COUNTIF(Z$6:Z950,1),"")</f>
        <v/>
      </c>
    </row>
    <row r="951">
      <c r="A951" s="54" t="n"/>
      <c r="B951" s="55" t="str">
        <f>IF(AA951="","",A951&amp;"-"&amp;RIGHT("000"&amp;AA951,4))</f>
        <v/>
      </c>
      <c r="C951" s="56" t="n"/>
      <c r="D951" s="54" t="n"/>
      <c r="E951" s="57" t="str">
        <f>IF(D951="","",IF(A951="BL",IFERROR(INDEX(cl_name,MATCH(D951,cl_code,0))&amp;"","Client inconnu"),IF(A951="BR",IFERROR(INDEX(fo_name,MATCH(D951,fo_code,0))&amp;"","Fournisseur inconnu"),IF(A951="BS",IF(ISNA(MATCH(D951,p_services,0)),"Service inconnu",D951&amp;""),""))))</f>
        <v/>
      </c>
      <c r="F951" s="58" t="n"/>
      <c r="G951" s="58" t="n"/>
      <c r="H951" s="59" t="n"/>
      <c r="I951" s="57" t="str">
        <f>IF(H951="","",IFERROR(INDEX(art_des,MATCH(H951,art_ref,0))&amp;"","Article inconnu"))</f>
        <v/>
      </c>
      <c r="J951" s="60" t="str">
        <f>IF(H951="","",IFERROR(INDEX(art_unit,MATCH(H951,art_ref,0))&amp;"",""))</f>
        <v/>
      </c>
      <c r="K951" s="59" t="n"/>
      <c r="L951" s="59" t="n"/>
      <c r="M951" s="61" t="str">
        <f>IF(OR(B951="",NOT(ISNUMBER(K951)),NOT(ISNUMBER(L951))),"",IF(OR(K951&lt;=0,L951&lt;=0),"",ROUND(L951-K951,6)))</f>
        <v/>
      </c>
      <c r="N951" s="58" t="n"/>
      <c r="O951" s="62" t="n"/>
      <c r="P951" s="63" t="str">
        <f>IF(OR(B951="",NOT(ISNUMBER(L951))),"",IF(L951&lt;=0,"",IFERROR(ROUND(L951*N(INDEX(art_w,MATCH(H951,art_ref,0))),3),"")))</f>
        <v/>
      </c>
      <c r="Q951" s="59" t="n"/>
      <c r="R951" s="54" t="n"/>
      <c r="S951" s="59" t="n"/>
      <c r="T951" s="59" t="n"/>
      <c r="U951" s="64" t="str">
        <f>IF(OR(B951="",H951=""),"",IFERROR(IF(A951="BL",IF(N(INDEX(art_price,MATCH(H951,art_ref,0)))=0,"",N(INDEX(art_price,MATCH(H951,art_ref,0)))),IF(N(INDEX(art_cost,MATCH(H951,art_ref,0)))=0,"",N(INDEX(art_cost,MATCH(H951,art_ref,0))))),""))</f>
        <v/>
      </c>
      <c r="V951" s="64" t="str">
        <f>IF(OR(U951="",NOT(ISNUMBER(L951))),"",IF(L951&lt;=0,"",ROUND(L951*U951,2)))</f>
        <v/>
      </c>
      <c r="W951" s="60" t="str">
        <f>IF(AND(B951&lt;&gt;"",A951&lt;&gt;"BS",F951&lt;&gt;"",H951&lt;&gt;"",ISNUMBER(K951),ISNUMBER(L951)),IF(AND(K951&gt;0,L951&gt;0,K951-L951&gt;0,COUNTIFS(A952:A$2005,A951,F952:F$2005,F951,H952:H$2005,H951,AA952:AA$2005,"&gt;0")=0),ROUND(K951-L951,6),""),"")</f>
        <v/>
      </c>
      <c r="X951" s="60" t="str">
        <f>IF(AND(A951="",C951="",D951="",H951="",L951=""),"",IF(A951="","Type manquant",IF(AND(A951&lt;&gt;"BL",A951&lt;&gt;"BR",A951&lt;&gt;"BS"),"Type inconnu (BL, BR ou BS)",IF(AG951=0,"Date manquante ou invalide",IF(D951="",IF(A951="BL","Client manquant",IF(A951="BR","Fournisseur manquant","Service manquant")),IF(IF(A951="BL",ISNA(MATCH(D951,cl_code,0)),IF(A951="BR",ISNA(MATCH(D951,fo_code,0)),ISNA(MATCH(D951,p_services,0)))),IF(A951="BL","Client inconnu",IF(A951="BR","Fournisseur inconnu","Service inconnu")),IF(H951="","Article manquant",IF(ISNA(MATCH(H951,art_ref,0)),"Article inconnu",IF(OR(NOT(ISNUMBER(L951)),N(L951)&lt;=0),"Quantité invalide",IF(AND(K951&lt;&gt;"",OR(NOT(ISNUMBER(K951)),N(K951)&lt;=0)),"Qté commandée invalide",IF(AG951&lt;SUMPRODUCT(MAX((A$6:A950=A951)*AG$6:AG950)),"Date antérieure au bon précédent",IF(AND(A951&lt;&gt;"BR",ISNUMBER(M951),N(M951)&gt;0),IF(A951="BL","Livré plus que commandé","Sorti plus que demandé"),"OK"))))))))))))</f>
        <v/>
      </c>
      <c r="Y951" s="57" t="str">
        <f>IF(AND(OR(A951="BL",A951="BR",A951="BS"),AG951&gt;0,D951&lt;&gt;""),A951&amp;"|"&amp;AG951&amp;"|"&amp;D951&amp;"|"&amp;F951,"")</f>
        <v/>
      </c>
      <c r="Z951" s="57" t="str">
        <f>IF(Y951="","",IF(COUNTIF(Y$6:Y950,Y951)=0,1,0))</f>
        <v/>
      </c>
      <c r="AA951" s="57" t="str">
        <f>IF(Y951="","",IF(Z951=1,COUNTIFS(A$6:A951,A951,Z$6:Z951,1),INDEX(AA$6:AA950,MATCH(Y951,Y$6:Y950,0))))</f>
        <v/>
      </c>
      <c r="AB951" s="57" t="str">
        <f>IF(B951="","",COUNTIF(B$6:B951,B951))</f>
        <v/>
      </c>
      <c r="AC951" s="57" t="str">
        <f>IF(B951="","",B951&amp;"#"&amp;AB951)</f>
        <v/>
      </c>
      <c r="AD951" s="57" t="str">
        <f>IF(Z951=1,A951&amp;AA951,"")</f>
        <v/>
      </c>
      <c r="AE951" s="57" t="str">
        <f>IF(B951="","",YEAR(C951))</f>
        <v/>
      </c>
      <c r="AF951" s="57" t="str">
        <f>IF(B951="","",MONTH(C951))</f>
        <v/>
      </c>
      <c r="AG951" s="57">
        <f>IF(ISNUMBER(C951),C951,0)</f>
        <v>0.0</v>
      </c>
      <c r="AH951" s="57" t="str">
        <f>IF(N(W951)&gt;0,COUNTIF(W$6:W951,"&gt;0"),"")</f>
        <v/>
      </c>
      <c r="AI951" s="57" t="str">
        <f>IF(Z951=1,COUNTIF(Z$6:Z951,1),"")</f>
        <v/>
      </c>
    </row>
    <row r="952">
      <c r="A952" s="54" t="n"/>
      <c r="B952" s="55" t="str">
        <f>IF(AA952="","",A952&amp;"-"&amp;RIGHT("000"&amp;AA952,4))</f>
        <v/>
      </c>
      <c r="C952" s="56" t="n"/>
      <c r="D952" s="54" t="n"/>
      <c r="E952" s="57" t="str">
        <f>IF(D952="","",IF(A952="BL",IFERROR(INDEX(cl_name,MATCH(D952,cl_code,0))&amp;"","Client inconnu"),IF(A952="BR",IFERROR(INDEX(fo_name,MATCH(D952,fo_code,0))&amp;"","Fournisseur inconnu"),IF(A952="BS",IF(ISNA(MATCH(D952,p_services,0)),"Service inconnu",D952&amp;""),""))))</f>
        <v/>
      </c>
      <c r="F952" s="58" t="n"/>
      <c r="G952" s="58" t="n"/>
      <c r="H952" s="59" t="n"/>
      <c r="I952" s="57" t="str">
        <f>IF(H952="","",IFERROR(INDEX(art_des,MATCH(H952,art_ref,0))&amp;"","Article inconnu"))</f>
        <v/>
      </c>
      <c r="J952" s="60" t="str">
        <f>IF(H952="","",IFERROR(INDEX(art_unit,MATCH(H952,art_ref,0))&amp;"",""))</f>
        <v/>
      </c>
      <c r="K952" s="59" t="n"/>
      <c r="L952" s="59" t="n"/>
      <c r="M952" s="61" t="str">
        <f>IF(OR(B952="",NOT(ISNUMBER(K952)),NOT(ISNUMBER(L952))),"",IF(OR(K952&lt;=0,L952&lt;=0),"",ROUND(L952-K952,6)))</f>
        <v/>
      </c>
      <c r="N952" s="58" t="n"/>
      <c r="O952" s="62" t="n"/>
      <c r="P952" s="63" t="str">
        <f>IF(OR(B952="",NOT(ISNUMBER(L952))),"",IF(L952&lt;=0,"",IFERROR(ROUND(L952*N(INDEX(art_w,MATCH(H952,art_ref,0))),3),"")))</f>
        <v/>
      </c>
      <c r="Q952" s="59" t="n"/>
      <c r="R952" s="54" t="n"/>
      <c r="S952" s="59" t="n"/>
      <c r="T952" s="59" t="n"/>
      <c r="U952" s="64" t="str">
        <f>IF(OR(B952="",H952=""),"",IFERROR(IF(A952="BL",IF(N(INDEX(art_price,MATCH(H952,art_ref,0)))=0,"",N(INDEX(art_price,MATCH(H952,art_ref,0)))),IF(N(INDEX(art_cost,MATCH(H952,art_ref,0)))=0,"",N(INDEX(art_cost,MATCH(H952,art_ref,0))))),""))</f>
        <v/>
      </c>
      <c r="V952" s="64" t="str">
        <f>IF(OR(U952="",NOT(ISNUMBER(L952))),"",IF(L952&lt;=0,"",ROUND(L952*U952,2)))</f>
        <v/>
      </c>
      <c r="W952" s="60" t="str">
        <f>IF(AND(B952&lt;&gt;"",A952&lt;&gt;"BS",F952&lt;&gt;"",H952&lt;&gt;"",ISNUMBER(K952),ISNUMBER(L952)),IF(AND(K952&gt;0,L952&gt;0,K952-L952&gt;0,COUNTIFS(A953:A$2005,A952,F953:F$2005,F952,H953:H$2005,H952,AA953:AA$2005,"&gt;0")=0),ROUND(K952-L952,6),""),"")</f>
        <v/>
      </c>
      <c r="X952" s="60" t="str">
        <f>IF(AND(A952="",C952="",D952="",H952="",L952=""),"",IF(A952="","Type manquant",IF(AND(A952&lt;&gt;"BL",A952&lt;&gt;"BR",A952&lt;&gt;"BS"),"Type inconnu (BL, BR ou BS)",IF(AG952=0,"Date manquante ou invalide",IF(D952="",IF(A952="BL","Client manquant",IF(A952="BR","Fournisseur manquant","Service manquant")),IF(IF(A952="BL",ISNA(MATCH(D952,cl_code,0)),IF(A952="BR",ISNA(MATCH(D952,fo_code,0)),ISNA(MATCH(D952,p_services,0)))),IF(A952="BL","Client inconnu",IF(A952="BR","Fournisseur inconnu","Service inconnu")),IF(H952="","Article manquant",IF(ISNA(MATCH(H952,art_ref,0)),"Article inconnu",IF(OR(NOT(ISNUMBER(L952)),N(L952)&lt;=0),"Quantité invalide",IF(AND(K952&lt;&gt;"",OR(NOT(ISNUMBER(K952)),N(K952)&lt;=0)),"Qté commandée invalide",IF(AG952&lt;SUMPRODUCT(MAX((A$6:A951=A952)*AG$6:AG951)),"Date antérieure au bon précédent",IF(AND(A952&lt;&gt;"BR",ISNUMBER(M952),N(M952)&gt;0),IF(A952="BL","Livré plus que commandé","Sorti plus que demandé"),"OK"))))))))))))</f>
        <v/>
      </c>
      <c r="Y952" s="57" t="str">
        <f>IF(AND(OR(A952="BL",A952="BR",A952="BS"),AG952&gt;0,D952&lt;&gt;""),A952&amp;"|"&amp;AG952&amp;"|"&amp;D952&amp;"|"&amp;F952,"")</f>
        <v/>
      </c>
      <c r="Z952" s="57" t="str">
        <f>IF(Y952="","",IF(COUNTIF(Y$6:Y951,Y952)=0,1,0))</f>
        <v/>
      </c>
      <c r="AA952" s="57" t="str">
        <f>IF(Y952="","",IF(Z952=1,COUNTIFS(A$6:A952,A952,Z$6:Z952,1),INDEX(AA$6:AA951,MATCH(Y952,Y$6:Y951,0))))</f>
        <v/>
      </c>
      <c r="AB952" s="57" t="str">
        <f>IF(B952="","",COUNTIF(B$6:B952,B952))</f>
        <v/>
      </c>
      <c r="AC952" s="57" t="str">
        <f>IF(B952="","",B952&amp;"#"&amp;AB952)</f>
        <v/>
      </c>
      <c r="AD952" s="57" t="str">
        <f>IF(Z952=1,A952&amp;AA952,"")</f>
        <v/>
      </c>
      <c r="AE952" s="57" t="str">
        <f>IF(B952="","",YEAR(C952))</f>
        <v/>
      </c>
      <c r="AF952" s="57" t="str">
        <f>IF(B952="","",MONTH(C952))</f>
        <v/>
      </c>
      <c r="AG952" s="57">
        <f>IF(ISNUMBER(C952),C952,0)</f>
        <v>0.0</v>
      </c>
      <c r="AH952" s="57" t="str">
        <f>IF(N(W952)&gt;0,COUNTIF(W$6:W952,"&gt;0"),"")</f>
        <v/>
      </c>
      <c r="AI952" s="57" t="str">
        <f>IF(Z952=1,COUNTIF(Z$6:Z952,1),"")</f>
        <v/>
      </c>
    </row>
    <row r="953">
      <c r="A953" s="54" t="n"/>
      <c r="B953" s="55" t="str">
        <f>IF(AA953="","",A953&amp;"-"&amp;RIGHT("000"&amp;AA953,4))</f>
        <v/>
      </c>
      <c r="C953" s="56" t="n"/>
      <c r="D953" s="54" t="n"/>
      <c r="E953" s="57" t="str">
        <f>IF(D953="","",IF(A953="BL",IFERROR(INDEX(cl_name,MATCH(D953,cl_code,0))&amp;"","Client inconnu"),IF(A953="BR",IFERROR(INDEX(fo_name,MATCH(D953,fo_code,0))&amp;"","Fournisseur inconnu"),IF(A953="BS",IF(ISNA(MATCH(D953,p_services,0)),"Service inconnu",D953&amp;""),""))))</f>
        <v/>
      </c>
      <c r="F953" s="58" t="n"/>
      <c r="G953" s="58" t="n"/>
      <c r="H953" s="59" t="n"/>
      <c r="I953" s="57" t="str">
        <f>IF(H953="","",IFERROR(INDEX(art_des,MATCH(H953,art_ref,0))&amp;"","Article inconnu"))</f>
        <v/>
      </c>
      <c r="J953" s="60" t="str">
        <f>IF(H953="","",IFERROR(INDEX(art_unit,MATCH(H953,art_ref,0))&amp;"",""))</f>
        <v/>
      </c>
      <c r="K953" s="59" t="n"/>
      <c r="L953" s="59" t="n"/>
      <c r="M953" s="61" t="str">
        <f>IF(OR(B953="",NOT(ISNUMBER(K953)),NOT(ISNUMBER(L953))),"",IF(OR(K953&lt;=0,L953&lt;=0),"",ROUND(L953-K953,6)))</f>
        <v/>
      </c>
      <c r="N953" s="58" t="n"/>
      <c r="O953" s="62" t="n"/>
      <c r="P953" s="63" t="str">
        <f>IF(OR(B953="",NOT(ISNUMBER(L953))),"",IF(L953&lt;=0,"",IFERROR(ROUND(L953*N(INDEX(art_w,MATCH(H953,art_ref,0))),3),"")))</f>
        <v/>
      </c>
      <c r="Q953" s="59" t="n"/>
      <c r="R953" s="54" t="n"/>
      <c r="S953" s="59" t="n"/>
      <c r="T953" s="59" t="n"/>
      <c r="U953" s="64" t="str">
        <f>IF(OR(B953="",H953=""),"",IFERROR(IF(A953="BL",IF(N(INDEX(art_price,MATCH(H953,art_ref,0)))=0,"",N(INDEX(art_price,MATCH(H953,art_ref,0)))),IF(N(INDEX(art_cost,MATCH(H953,art_ref,0)))=0,"",N(INDEX(art_cost,MATCH(H953,art_ref,0))))),""))</f>
        <v/>
      </c>
      <c r="V953" s="64" t="str">
        <f>IF(OR(U953="",NOT(ISNUMBER(L953))),"",IF(L953&lt;=0,"",ROUND(L953*U953,2)))</f>
        <v/>
      </c>
      <c r="W953" s="60" t="str">
        <f>IF(AND(B953&lt;&gt;"",A953&lt;&gt;"BS",F953&lt;&gt;"",H953&lt;&gt;"",ISNUMBER(K953),ISNUMBER(L953)),IF(AND(K953&gt;0,L953&gt;0,K953-L953&gt;0,COUNTIFS(A954:A$2005,A953,F954:F$2005,F953,H954:H$2005,H953,AA954:AA$2005,"&gt;0")=0),ROUND(K953-L953,6),""),"")</f>
        <v/>
      </c>
      <c r="X953" s="60" t="str">
        <f>IF(AND(A953="",C953="",D953="",H953="",L953=""),"",IF(A953="","Type manquant",IF(AND(A953&lt;&gt;"BL",A953&lt;&gt;"BR",A953&lt;&gt;"BS"),"Type inconnu (BL, BR ou BS)",IF(AG953=0,"Date manquante ou invalide",IF(D953="",IF(A953="BL","Client manquant",IF(A953="BR","Fournisseur manquant","Service manquant")),IF(IF(A953="BL",ISNA(MATCH(D953,cl_code,0)),IF(A953="BR",ISNA(MATCH(D953,fo_code,0)),ISNA(MATCH(D953,p_services,0)))),IF(A953="BL","Client inconnu",IF(A953="BR","Fournisseur inconnu","Service inconnu")),IF(H953="","Article manquant",IF(ISNA(MATCH(H953,art_ref,0)),"Article inconnu",IF(OR(NOT(ISNUMBER(L953)),N(L953)&lt;=0),"Quantité invalide",IF(AND(K953&lt;&gt;"",OR(NOT(ISNUMBER(K953)),N(K953)&lt;=0)),"Qté commandée invalide",IF(AG953&lt;SUMPRODUCT(MAX((A$6:A952=A953)*AG$6:AG952)),"Date antérieure au bon précédent",IF(AND(A953&lt;&gt;"BR",ISNUMBER(M953),N(M953)&gt;0),IF(A953="BL","Livré plus que commandé","Sorti plus que demandé"),"OK"))))))))))))</f>
        <v/>
      </c>
      <c r="Y953" s="57" t="str">
        <f>IF(AND(OR(A953="BL",A953="BR",A953="BS"),AG953&gt;0,D953&lt;&gt;""),A953&amp;"|"&amp;AG953&amp;"|"&amp;D953&amp;"|"&amp;F953,"")</f>
        <v/>
      </c>
      <c r="Z953" s="57" t="str">
        <f>IF(Y953="","",IF(COUNTIF(Y$6:Y952,Y953)=0,1,0))</f>
        <v/>
      </c>
      <c r="AA953" s="57" t="str">
        <f>IF(Y953="","",IF(Z953=1,COUNTIFS(A$6:A953,A953,Z$6:Z953,1),INDEX(AA$6:AA952,MATCH(Y953,Y$6:Y952,0))))</f>
        <v/>
      </c>
      <c r="AB953" s="57" t="str">
        <f>IF(B953="","",COUNTIF(B$6:B953,B953))</f>
        <v/>
      </c>
      <c r="AC953" s="57" t="str">
        <f>IF(B953="","",B953&amp;"#"&amp;AB953)</f>
        <v/>
      </c>
      <c r="AD953" s="57" t="str">
        <f>IF(Z953=1,A953&amp;AA953,"")</f>
        <v/>
      </c>
      <c r="AE953" s="57" t="str">
        <f>IF(B953="","",YEAR(C953))</f>
        <v/>
      </c>
      <c r="AF953" s="57" t="str">
        <f>IF(B953="","",MONTH(C953))</f>
        <v/>
      </c>
      <c r="AG953" s="57">
        <f>IF(ISNUMBER(C953),C953,0)</f>
        <v>0.0</v>
      </c>
      <c r="AH953" s="57" t="str">
        <f>IF(N(W953)&gt;0,COUNTIF(W$6:W953,"&gt;0"),"")</f>
        <v/>
      </c>
      <c r="AI953" s="57" t="str">
        <f>IF(Z953=1,COUNTIF(Z$6:Z953,1),"")</f>
        <v/>
      </c>
    </row>
    <row r="954">
      <c r="A954" s="54" t="n"/>
      <c r="B954" s="55" t="str">
        <f>IF(AA954="","",A954&amp;"-"&amp;RIGHT("000"&amp;AA954,4))</f>
        <v/>
      </c>
      <c r="C954" s="56" t="n"/>
      <c r="D954" s="54" t="n"/>
      <c r="E954" s="57" t="str">
        <f>IF(D954="","",IF(A954="BL",IFERROR(INDEX(cl_name,MATCH(D954,cl_code,0))&amp;"","Client inconnu"),IF(A954="BR",IFERROR(INDEX(fo_name,MATCH(D954,fo_code,0))&amp;"","Fournisseur inconnu"),IF(A954="BS",IF(ISNA(MATCH(D954,p_services,0)),"Service inconnu",D954&amp;""),""))))</f>
        <v/>
      </c>
      <c r="F954" s="58" t="n"/>
      <c r="G954" s="58" t="n"/>
      <c r="H954" s="59" t="n"/>
      <c r="I954" s="57" t="str">
        <f>IF(H954="","",IFERROR(INDEX(art_des,MATCH(H954,art_ref,0))&amp;"","Article inconnu"))</f>
        <v/>
      </c>
      <c r="J954" s="60" t="str">
        <f>IF(H954="","",IFERROR(INDEX(art_unit,MATCH(H954,art_ref,0))&amp;"",""))</f>
        <v/>
      </c>
      <c r="K954" s="59" t="n"/>
      <c r="L954" s="59" t="n"/>
      <c r="M954" s="61" t="str">
        <f>IF(OR(B954="",NOT(ISNUMBER(K954)),NOT(ISNUMBER(L954))),"",IF(OR(K954&lt;=0,L954&lt;=0),"",ROUND(L954-K954,6)))</f>
        <v/>
      </c>
      <c r="N954" s="58" t="n"/>
      <c r="O954" s="62" t="n"/>
      <c r="P954" s="63" t="str">
        <f>IF(OR(B954="",NOT(ISNUMBER(L954))),"",IF(L954&lt;=0,"",IFERROR(ROUND(L954*N(INDEX(art_w,MATCH(H954,art_ref,0))),3),"")))</f>
        <v/>
      </c>
      <c r="Q954" s="59" t="n"/>
      <c r="R954" s="54" t="n"/>
      <c r="S954" s="59" t="n"/>
      <c r="T954" s="59" t="n"/>
      <c r="U954" s="64" t="str">
        <f>IF(OR(B954="",H954=""),"",IFERROR(IF(A954="BL",IF(N(INDEX(art_price,MATCH(H954,art_ref,0)))=0,"",N(INDEX(art_price,MATCH(H954,art_ref,0)))),IF(N(INDEX(art_cost,MATCH(H954,art_ref,0)))=0,"",N(INDEX(art_cost,MATCH(H954,art_ref,0))))),""))</f>
        <v/>
      </c>
      <c r="V954" s="64" t="str">
        <f>IF(OR(U954="",NOT(ISNUMBER(L954))),"",IF(L954&lt;=0,"",ROUND(L954*U954,2)))</f>
        <v/>
      </c>
      <c r="W954" s="60" t="str">
        <f>IF(AND(B954&lt;&gt;"",A954&lt;&gt;"BS",F954&lt;&gt;"",H954&lt;&gt;"",ISNUMBER(K954),ISNUMBER(L954)),IF(AND(K954&gt;0,L954&gt;0,K954-L954&gt;0,COUNTIFS(A955:A$2005,A954,F955:F$2005,F954,H955:H$2005,H954,AA955:AA$2005,"&gt;0")=0),ROUND(K954-L954,6),""),"")</f>
        <v/>
      </c>
      <c r="X954" s="60" t="str">
        <f>IF(AND(A954="",C954="",D954="",H954="",L954=""),"",IF(A954="","Type manquant",IF(AND(A954&lt;&gt;"BL",A954&lt;&gt;"BR",A954&lt;&gt;"BS"),"Type inconnu (BL, BR ou BS)",IF(AG954=0,"Date manquante ou invalide",IF(D954="",IF(A954="BL","Client manquant",IF(A954="BR","Fournisseur manquant","Service manquant")),IF(IF(A954="BL",ISNA(MATCH(D954,cl_code,0)),IF(A954="BR",ISNA(MATCH(D954,fo_code,0)),ISNA(MATCH(D954,p_services,0)))),IF(A954="BL","Client inconnu",IF(A954="BR","Fournisseur inconnu","Service inconnu")),IF(H954="","Article manquant",IF(ISNA(MATCH(H954,art_ref,0)),"Article inconnu",IF(OR(NOT(ISNUMBER(L954)),N(L954)&lt;=0),"Quantité invalide",IF(AND(K954&lt;&gt;"",OR(NOT(ISNUMBER(K954)),N(K954)&lt;=0)),"Qté commandée invalide",IF(AG954&lt;SUMPRODUCT(MAX((A$6:A953=A954)*AG$6:AG953)),"Date antérieure au bon précédent",IF(AND(A954&lt;&gt;"BR",ISNUMBER(M954),N(M954)&gt;0),IF(A954="BL","Livré plus que commandé","Sorti plus que demandé"),"OK"))))))))))))</f>
        <v/>
      </c>
      <c r="Y954" s="57" t="str">
        <f>IF(AND(OR(A954="BL",A954="BR",A954="BS"),AG954&gt;0,D954&lt;&gt;""),A954&amp;"|"&amp;AG954&amp;"|"&amp;D954&amp;"|"&amp;F954,"")</f>
        <v/>
      </c>
      <c r="Z954" s="57" t="str">
        <f>IF(Y954="","",IF(COUNTIF(Y$6:Y953,Y954)=0,1,0))</f>
        <v/>
      </c>
      <c r="AA954" s="57" t="str">
        <f>IF(Y954="","",IF(Z954=1,COUNTIFS(A$6:A954,A954,Z$6:Z954,1),INDEX(AA$6:AA953,MATCH(Y954,Y$6:Y953,0))))</f>
        <v/>
      </c>
      <c r="AB954" s="57" t="str">
        <f>IF(B954="","",COUNTIF(B$6:B954,B954))</f>
        <v/>
      </c>
      <c r="AC954" s="57" t="str">
        <f>IF(B954="","",B954&amp;"#"&amp;AB954)</f>
        <v/>
      </c>
      <c r="AD954" s="57" t="str">
        <f>IF(Z954=1,A954&amp;AA954,"")</f>
        <v/>
      </c>
      <c r="AE954" s="57" t="str">
        <f>IF(B954="","",YEAR(C954))</f>
        <v/>
      </c>
      <c r="AF954" s="57" t="str">
        <f>IF(B954="","",MONTH(C954))</f>
        <v/>
      </c>
      <c r="AG954" s="57">
        <f>IF(ISNUMBER(C954),C954,0)</f>
        <v>0.0</v>
      </c>
      <c r="AH954" s="57" t="str">
        <f>IF(N(W954)&gt;0,COUNTIF(W$6:W954,"&gt;0"),"")</f>
        <v/>
      </c>
      <c r="AI954" s="57" t="str">
        <f>IF(Z954=1,COUNTIF(Z$6:Z954,1),"")</f>
        <v/>
      </c>
    </row>
    <row r="955">
      <c r="A955" s="54" t="n"/>
      <c r="B955" s="55" t="str">
        <f>IF(AA955="","",A955&amp;"-"&amp;RIGHT("000"&amp;AA955,4))</f>
        <v/>
      </c>
      <c r="C955" s="56" t="n"/>
      <c r="D955" s="54" t="n"/>
      <c r="E955" s="57" t="str">
        <f>IF(D955="","",IF(A955="BL",IFERROR(INDEX(cl_name,MATCH(D955,cl_code,0))&amp;"","Client inconnu"),IF(A955="BR",IFERROR(INDEX(fo_name,MATCH(D955,fo_code,0))&amp;"","Fournisseur inconnu"),IF(A955="BS",IF(ISNA(MATCH(D955,p_services,0)),"Service inconnu",D955&amp;""),""))))</f>
        <v/>
      </c>
      <c r="F955" s="58" t="n"/>
      <c r="G955" s="58" t="n"/>
      <c r="H955" s="59" t="n"/>
      <c r="I955" s="57" t="str">
        <f>IF(H955="","",IFERROR(INDEX(art_des,MATCH(H955,art_ref,0))&amp;"","Article inconnu"))</f>
        <v/>
      </c>
      <c r="J955" s="60" t="str">
        <f>IF(H955="","",IFERROR(INDEX(art_unit,MATCH(H955,art_ref,0))&amp;"",""))</f>
        <v/>
      </c>
      <c r="K955" s="59" t="n"/>
      <c r="L955" s="59" t="n"/>
      <c r="M955" s="61" t="str">
        <f>IF(OR(B955="",NOT(ISNUMBER(K955)),NOT(ISNUMBER(L955))),"",IF(OR(K955&lt;=0,L955&lt;=0),"",ROUND(L955-K955,6)))</f>
        <v/>
      </c>
      <c r="N955" s="58" t="n"/>
      <c r="O955" s="62" t="n"/>
      <c r="P955" s="63" t="str">
        <f>IF(OR(B955="",NOT(ISNUMBER(L955))),"",IF(L955&lt;=0,"",IFERROR(ROUND(L955*N(INDEX(art_w,MATCH(H955,art_ref,0))),3),"")))</f>
        <v/>
      </c>
      <c r="Q955" s="59" t="n"/>
      <c r="R955" s="54" t="n"/>
      <c r="S955" s="59" t="n"/>
      <c r="T955" s="59" t="n"/>
      <c r="U955" s="64" t="str">
        <f>IF(OR(B955="",H955=""),"",IFERROR(IF(A955="BL",IF(N(INDEX(art_price,MATCH(H955,art_ref,0)))=0,"",N(INDEX(art_price,MATCH(H955,art_ref,0)))),IF(N(INDEX(art_cost,MATCH(H955,art_ref,0)))=0,"",N(INDEX(art_cost,MATCH(H955,art_ref,0))))),""))</f>
        <v/>
      </c>
      <c r="V955" s="64" t="str">
        <f>IF(OR(U955="",NOT(ISNUMBER(L955))),"",IF(L955&lt;=0,"",ROUND(L955*U955,2)))</f>
        <v/>
      </c>
      <c r="W955" s="60" t="str">
        <f>IF(AND(B955&lt;&gt;"",A955&lt;&gt;"BS",F955&lt;&gt;"",H955&lt;&gt;"",ISNUMBER(K955),ISNUMBER(L955)),IF(AND(K955&gt;0,L955&gt;0,K955-L955&gt;0,COUNTIFS(A956:A$2005,A955,F956:F$2005,F955,H956:H$2005,H955,AA956:AA$2005,"&gt;0")=0),ROUND(K955-L955,6),""),"")</f>
        <v/>
      </c>
      <c r="X955" s="60" t="str">
        <f>IF(AND(A955="",C955="",D955="",H955="",L955=""),"",IF(A955="","Type manquant",IF(AND(A955&lt;&gt;"BL",A955&lt;&gt;"BR",A955&lt;&gt;"BS"),"Type inconnu (BL, BR ou BS)",IF(AG955=0,"Date manquante ou invalide",IF(D955="",IF(A955="BL","Client manquant",IF(A955="BR","Fournisseur manquant","Service manquant")),IF(IF(A955="BL",ISNA(MATCH(D955,cl_code,0)),IF(A955="BR",ISNA(MATCH(D955,fo_code,0)),ISNA(MATCH(D955,p_services,0)))),IF(A955="BL","Client inconnu",IF(A955="BR","Fournisseur inconnu","Service inconnu")),IF(H955="","Article manquant",IF(ISNA(MATCH(H955,art_ref,0)),"Article inconnu",IF(OR(NOT(ISNUMBER(L955)),N(L955)&lt;=0),"Quantité invalide",IF(AND(K955&lt;&gt;"",OR(NOT(ISNUMBER(K955)),N(K955)&lt;=0)),"Qté commandée invalide",IF(AG955&lt;SUMPRODUCT(MAX((A$6:A954=A955)*AG$6:AG954)),"Date antérieure au bon précédent",IF(AND(A955&lt;&gt;"BR",ISNUMBER(M955),N(M955)&gt;0),IF(A955="BL","Livré plus que commandé","Sorti plus que demandé"),"OK"))))))))))))</f>
        <v/>
      </c>
      <c r="Y955" s="57" t="str">
        <f>IF(AND(OR(A955="BL",A955="BR",A955="BS"),AG955&gt;0,D955&lt;&gt;""),A955&amp;"|"&amp;AG955&amp;"|"&amp;D955&amp;"|"&amp;F955,"")</f>
        <v/>
      </c>
      <c r="Z955" s="57" t="str">
        <f>IF(Y955="","",IF(COUNTIF(Y$6:Y954,Y955)=0,1,0))</f>
        <v/>
      </c>
      <c r="AA955" s="57" t="str">
        <f>IF(Y955="","",IF(Z955=1,COUNTIFS(A$6:A955,A955,Z$6:Z955,1),INDEX(AA$6:AA954,MATCH(Y955,Y$6:Y954,0))))</f>
        <v/>
      </c>
      <c r="AB955" s="57" t="str">
        <f>IF(B955="","",COUNTIF(B$6:B955,B955))</f>
        <v/>
      </c>
      <c r="AC955" s="57" t="str">
        <f>IF(B955="","",B955&amp;"#"&amp;AB955)</f>
        <v/>
      </c>
      <c r="AD955" s="57" t="str">
        <f>IF(Z955=1,A955&amp;AA955,"")</f>
        <v/>
      </c>
      <c r="AE955" s="57" t="str">
        <f>IF(B955="","",YEAR(C955))</f>
        <v/>
      </c>
      <c r="AF955" s="57" t="str">
        <f>IF(B955="","",MONTH(C955))</f>
        <v/>
      </c>
      <c r="AG955" s="57">
        <f>IF(ISNUMBER(C955),C955,0)</f>
        <v>0.0</v>
      </c>
      <c r="AH955" s="57" t="str">
        <f>IF(N(W955)&gt;0,COUNTIF(W$6:W955,"&gt;0"),"")</f>
        <v/>
      </c>
      <c r="AI955" s="57" t="str">
        <f>IF(Z955=1,COUNTIF(Z$6:Z955,1),"")</f>
        <v/>
      </c>
    </row>
    <row r="956">
      <c r="A956" s="54" t="n"/>
      <c r="B956" s="55" t="str">
        <f>IF(AA956="","",A956&amp;"-"&amp;RIGHT("000"&amp;AA956,4))</f>
        <v/>
      </c>
      <c r="C956" s="56" t="n"/>
      <c r="D956" s="54" t="n"/>
      <c r="E956" s="57" t="str">
        <f>IF(D956="","",IF(A956="BL",IFERROR(INDEX(cl_name,MATCH(D956,cl_code,0))&amp;"","Client inconnu"),IF(A956="BR",IFERROR(INDEX(fo_name,MATCH(D956,fo_code,0))&amp;"","Fournisseur inconnu"),IF(A956="BS",IF(ISNA(MATCH(D956,p_services,0)),"Service inconnu",D956&amp;""),""))))</f>
        <v/>
      </c>
      <c r="F956" s="58" t="n"/>
      <c r="G956" s="58" t="n"/>
      <c r="H956" s="59" t="n"/>
      <c r="I956" s="57" t="str">
        <f>IF(H956="","",IFERROR(INDEX(art_des,MATCH(H956,art_ref,0))&amp;"","Article inconnu"))</f>
        <v/>
      </c>
      <c r="J956" s="60" t="str">
        <f>IF(H956="","",IFERROR(INDEX(art_unit,MATCH(H956,art_ref,0))&amp;"",""))</f>
        <v/>
      </c>
      <c r="K956" s="59" t="n"/>
      <c r="L956" s="59" t="n"/>
      <c r="M956" s="61" t="str">
        <f>IF(OR(B956="",NOT(ISNUMBER(K956)),NOT(ISNUMBER(L956))),"",IF(OR(K956&lt;=0,L956&lt;=0),"",ROUND(L956-K956,6)))</f>
        <v/>
      </c>
      <c r="N956" s="58" t="n"/>
      <c r="O956" s="62" t="n"/>
      <c r="P956" s="63" t="str">
        <f>IF(OR(B956="",NOT(ISNUMBER(L956))),"",IF(L956&lt;=0,"",IFERROR(ROUND(L956*N(INDEX(art_w,MATCH(H956,art_ref,0))),3),"")))</f>
        <v/>
      </c>
      <c r="Q956" s="59" t="n"/>
      <c r="R956" s="54" t="n"/>
      <c r="S956" s="59" t="n"/>
      <c r="T956" s="59" t="n"/>
      <c r="U956" s="64" t="str">
        <f>IF(OR(B956="",H956=""),"",IFERROR(IF(A956="BL",IF(N(INDEX(art_price,MATCH(H956,art_ref,0)))=0,"",N(INDEX(art_price,MATCH(H956,art_ref,0)))),IF(N(INDEX(art_cost,MATCH(H956,art_ref,0)))=0,"",N(INDEX(art_cost,MATCH(H956,art_ref,0))))),""))</f>
        <v/>
      </c>
      <c r="V956" s="64" t="str">
        <f>IF(OR(U956="",NOT(ISNUMBER(L956))),"",IF(L956&lt;=0,"",ROUND(L956*U956,2)))</f>
        <v/>
      </c>
      <c r="W956" s="60" t="str">
        <f>IF(AND(B956&lt;&gt;"",A956&lt;&gt;"BS",F956&lt;&gt;"",H956&lt;&gt;"",ISNUMBER(K956),ISNUMBER(L956)),IF(AND(K956&gt;0,L956&gt;0,K956-L956&gt;0,COUNTIFS(A957:A$2005,A956,F957:F$2005,F956,H957:H$2005,H956,AA957:AA$2005,"&gt;0")=0),ROUND(K956-L956,6),""),"")</f>
        <v/>
      </c>
      <c r="X956" s="60" t="str">
        <f>IF(AND(A956="",C956="",D956="",H956="",L956=""),"",IF(A956="","Type manquant",IF(AND(A956&lt;&gt;"BL",A956&lt;&gt;"BR",A956&lt;&gt;"BS"),"Type inconnu (BL, BR ou BS)",IF(AG956=0,"Date manquante ou invalide",IF(D956="",IF(A956="BL","Client manquant",IF(A956="BR","Fournisseur manquant","Service manquant")),IF(IF(A956="BL",ISNA(MATCH(D956,cl_code,0)),IF(A956="BR",ISNA(MATCH(D956,fo_code,0)),ISNA(MATCH(D956,p_services,0)))),IF(A956="BL","Client inconnu",IF(A956="BR","Fournisseur inconnu","Service inconnu")),IF(H956="","Article manquant",IF(ISNA(MATCH(H956,art_ref,0)),"Article inconnu",IF(OR(NOT(ISNUMBER(L956)),N(L956)&lt;=0),"Quantité invalide",IF(AND(K956&lt;&gt;"",OR(NOT(ISNUMBER(K956)),N(K956)&lt;=0)),"Qté commandée invalide",IF(AG956&lt;SUMPRODUCT(MAX((A$6:A955=A956)*AG$6:AG955)),"Date antérieure au bon précédent",IF(AND(A956&lt;&gt;"BR",ISNUMBER(M956),N(M956)&gt;0),IF(A956="BL","Livré plus que commandé","Sorti plus que demandé"),"OK"))))))))))))</f>
        <v/>
      </c>
      <c r="Y956" s="57" t="str">
        <f>IF(AND(OR(A956="BL",A956="BR",A956="BS"),AG956&gt;0,D956&lt;&gt;""),A956&amp;"|"&amp;AG956&amp;"|"&amp;D956&amp;"|"&amp;F956,"")</f>
        <v/>
      </c>
      <c r="Z956" s="57" t="str">
        <f>IF(Y956="","",IF(COUNTIF(Y$6:Y955,Y956)=0,1,0))</f>
        <v/>
      </c>
      <c r="AA956" s="57" t="str">
        <f>IF(Y956="","",IF(Z956=1,COUNTIFS(A$6:A956,A956,Z$6:Z956,1),INDEX(AA$6:AA955,MATCH(Y956,Y$6:Y955,0))))</f>
        <v/>
      </c>
      <c r="AB956" s="57" t="str">
        <f>IF(B956="","",COUNTIF(B$6:B956,B956))</f>
        <v/>
      </c>
      <c r="AC956" s="57" t="str">
        <f>IF(B956="","",B956&amp;"#"&amp;AB956)</f>
        <v/>
      </c>
      <c r="AD956" s="57" t="str">
        <f>IF(Z956=1,A956&amp;AA956,"")</f>
        <v/>
      </c>
      <c r="AE956" s="57" t="str">
        <f>IF(B956="","",YEAR(C956))</f>
        <v/>
      </c>
      <c r="AF956" s="57" t="str">
        <f>IF(B956="","",MONTH(C956))</f>
        <v/>
      </c>
      <c r="AG956" s="57">
        <f>IF(ISNUMBER(C956),C956,0)</f>
        <v>0.0</v>
      </c>
      <c r="AH956" s="57" t="str">
        <f>IF(N(W956)&gt;0,COUNTIF(W$6:W956,"&gt;0"),"")</f>
        <v/>
      </c>
      <c r="AI956" s="57" t="str">
        <f>IF(Z956=1,COUNTIF(Z$6:Z956,1),"")</f>
        <v/>
      </c>
    </row>
    <row r="957">
      <c r="A957" s="54" t="n"/>
      <c r="B957" s="55" t="str">
        <f>IF(AA957="","",A957&amp;"-"&amp;RIGHT("000"&amp;AA957,4))</f>
        <v/>
      </c>
      <c r="C957" s="56" t="n"/>
      <c r="D957" s="54" t="n"/>
      <c r="E957" s="57" t="str">
        <f>IF(D957="","",IF(A957="BL",IFERROR(INDEX(cl_name,MATCH(D957,cl_code,0))&amp;"","Client inconnu"),IF(A957="BR",IFERROR(INDEX(fo_name,MATCH(D957,fo_code,0))&amp;"","Fournisseur inconnu"),IF(A957="BS",IF(ISNA(MATCH(D957,p_services,0)),"Service inconnu",D957&amp;""),""))))</f>
        <v/>
      </c>
      <c r="F957" s="58" t="n"/>
      <c r="G957" s="58" t="n"/>
      <c r="H957" s="59" t="n"/>
      <c r="I957" s="57" t="str">
        <f>IF(H957="","",IFERROR(INDEX(art_des,MATCH(H957,art_ref,0))&amp;"","Article inconnu"))</f>
        <v/>
      </c>
      <c r="J957" s="60" t="str">
        <f>IF(H957="","",IFERROR(INDEX(art_unit,MATCH(H957,art_ref,0))&amp;"",""))</f>
        <v/>
      </c>
      <c r="K957" s="59" t="n"/>
      <c r="L957" s="59" t="n"/>
      <c r="M957" s="61" t="str">
        <f>IF(OR(B957="",NOT(ISNUMBER(K957)),NOT(ISNUMBER(L957))),"",IF(OR(K957&lt;=0,L957&lt;=0),"",ROUND(L957-K957,6)))</f>
        <v/>
      </c>
      <c r="N957" s="58" t="n"/>
      <c r="O957" s="62" t="n"/>
      <c r="P957" s="63" t="str">
        <f>IF(OR(B957="",NOT(ISNUMBER(L957))),"",IF(L957&lt;=0,"",IFERROR(ROUND(L957*N(INDEX(art_w,MATCH(H957,art_ref,0))),3),"")))</f>
        <v/>
      </c>
      <c r="Q957" s="59" t="n"/>
      <c r="R957" s="54" t="n"/>
      <c r="S957" s="59" t="n"/>
      <c r="T957" s="59" t="n"/>
      <c r="U957" s="64" t="str">
        <f>IF(OR(B957="",H957=""),"",IFERROR(IF(A957="BL",IF(N(INDEX(art_price,MATCH(H957,art_ref,0)))=0,"",N(INDEX(art_price,MATCH(H957,art_ref,0)))),IF(N(INDEX(art_cost,MATCH(H957,art_ref,0)))=0,"",N(INDEX(art_cost,MATCH(H957,art_ref,0))))),""))</f>
        <v/>
      </c>
      <c r="V957" s="64" t="str">
        <f>IF(OR(U957="",NOT(ISNUMBER(L957))),"",IF(L957&lt;=0,"",ROUND(L957*U957,2)))</f>
        <v/>
      </c>
      <c r="W957" s="60" t="str">
        <f>IF(AND(B957&lt;&gt;"",A957&lt;&gt;"BS",F957&lt;&gt;"",H957&lt;&gt;"",ISNUMBER(K957),ISNUMBER(L957)),IF(AND(K957&gt;0,L957&gt;0,K957-L957&gt;0,COUNTIFS(A958:A$2005,A957,F958:F$2005,F957,H958:H$2005,H957,AA958:AA$2005,"&gt;0")=0),ROUND(K957-L957,6),""),"")</f>
        <v/>
      </c>
      <c r="X957" s="60" t="str">
        <f>IF(AND(A957="",C957="",D957="",H957="",L957=""),"",IF(A957="","Type manquant",IF(AND(A957&lt;&gt;"BL",A957&lt;&gt;"BR",A957&lt;&gt;"BS"),"Type inconnu (BL, BR ou BS)",IF(AG957=0,"Date manquante ou invalide",IF(D957="",IF(A957="BL","Client manquant",IF(A957="BR","Fournisseur manquant","Service manquant")),IF(IF(A957="BL",ISNA(MATCH(D957,cl_code,0)),IF(A957="BR",ISNA(MATCH(D957,fo_code,0)),ISNA(MATCH(D957,p_services,0)))),IF(A957="BL","Client inconnu",IF(A957="BR","Fournisseur inconnu","Service inconnu")),IF(H957="","Article manquant",IF(ISNA(MATCH(H957,art_ref,0)),"Article inconnu",IF(OR(NOT(ISNUMBER(L957)),N(L957)&lt;=0),"Quantité invalide",IF(AND(K957&lt;&gt;"",OR(NOT(ISNUMBER(K957)),N(K957)&lt;=0)),"Qté commandée invalide",IF(AG957&lt;SUMPRODUCT(MAX((A$6:A956=A957)*AG$6:AG956)),"Date antérieure au bon précédent",IF(AND(A957&lt;&gt;"BR",ISNUMBER(M957),N(M957)&gt;0),IF(A957="BL","Livré plus que commandé","Sorti plus que demandé"),"OK"))))))))))))</f>
        <v/>
      </c>
      <c r="Y957" s="57" t="str">
        <f>IF(AND(OR(A957="BL",A957="BR",A957="BS"),AG957&gt;0,D957&lt;&gt;""),A957&amp;"|"&amp;AG957&amp;"|"&amp;D957&amp;"|"&amp;F957,"")</f>
        <v/>
      </c>
      <c r="Z957" s="57" t="str">
        <f>IF(Y957="","",IF(COUNTIF(Y$6:Y956,Y957)=0,1,0))</f>
        <v/>
      </c>
      <c r="AA957" s="57" t="str">
        <f>IF(Y957="","",IF(Z957=1,COUNTIFS(A$6:A957,A957,Z$6:Z957,1),INDEX(AA$6:AA956,MATCH(Y957,Y$6:Y956,0))))</f>
        <v/>
      </c>
      <c r="AB957" s="57" t="str">
        <f>IF(B957="","",COUNTIF(B$6:B957,B957))</f>
        <v/>
      </c>
      <c r="AC957" s="57" t="str">
        <f>IF(B957="","",B957&amp;"#"&amp;AB957)</f>
        <v/>
      </c>
      <c r="AD957" s="57" t="str">
        <f>IF(Z957=1,A957&amp;AA957,"")</f>
        <v/>
      </c>
      <c r="AE957" s="57" t="str">
        <f>IF(B957="","",YEAR(C957))</f>
        <v/>
      </c>
      <c r="AF957" s="57" t="str">
        <f>IF(B957="","",MONTH(C957))</f>
        <v/>
      </c>
      <c r="AG957" s="57">
        <f>IF(ISNUMBER(C957),C957,0)</f>
        <v>0.0</v>
      </c>
      <c r="AH957" s="57" t="str">
        <f>IF(N(W957)&gt;0,COUNTIF(W$6:W957,"&gt;0"),"")</f>
        <v/>
      </c>
      <c r="AI957" s="57" t="str">
        <f>IF(Z957=1,COUNTIF(Z$6:Z957,1),"")</f>
        <v/>
      </c>
    </row>
    <row r="958">
      <c r="A958" s="54" t="n"/>
      <c r="B958" s="55" t="str">
        <f>IF(AA958="","",A958&amp;"-"&amp;RIGHT("000"&amp;AA958,4))</f>
        <v/>
      </c>
      <c r="C958" s="56" t="n"/>
      <c r="D958" s="54" t="n"/>
      <c r="E958" s="57" t="str">
        <f>IF(D958="","",IF(A958="BL",IFERROR(INDEX(cl_name,MATCH(D958,cl_code,0))&amp;"","Client inconnu"),IF(A958="BR",IFERROR(INDEX(fo_name,MATCH(D958,fo_code,0))&amp;"","Fournisseur inconnu"),IF(A958="BS",IF(ISNA(MATCH(D958,p_services,0)),"Service inconnu",D958&amp;""),""))))</f>
        <v/>
      </c>
      <c r="F958" s="58" t="n"/>
      <c r="G958" s="58" t="n"/>
      <c r="H958" s="59" t="n"/>
      <c r="I958" s="57" t="str">
        <f>IF(H958="","",IFERROR(INDEX(art_des,MATCH(H958,art_ref,0))&amp;"","Article inconnu"))</f>
        <v/>
      </c>
      <c r="J958" s="60" t="str">
        <f>IF(H958="","",IFERROR(INDEX(art_unit,MATCH(H958,art_ref,0))&amp;"",""))</f>
        <v/>
      </c>
      <c r="K958" s="59" t="n"/>
      <c r="L958" s="59" t="n"/>
      <c r="M958" s="61" t="str">
        <f>IF(OR(B958="",NOT(ISNUMBER(K958)),NOT(ISNUMBER(L958))),"",IF(OR(K958&lt;=0,L958&lt;=0),"",ROUND(L958-K958,6)))</f>
        <v/>
      </c>
      <c r="N958" s="58" t="n"/>
      <c r="O958" s="62" t="n"/>
      <c r="P958" s="63" t="str">
        <f>IF(OR(B958="",NOT(ISNUMBER(L958))),"",IF(L958&lt;=0,"",IFERROR(ROUND(L958*N(INDEX(art_w,MATCH(H958,art_ref,0))),3),"")))</f>
        <v/>
      </c>
      <c r="Q958" s="59" t="n"/>
      <c r="R958" s="54" t="n"/>
      <c r="S958" s="59" t="n"/>
      <c r="T958" s="59" t="n"/>
      <c r="U958" s="64" t="str">
        <f>IF(OR(B958="",H958=""),"",IFERROR(IF(A958="BL",IF(N(INDEX(art_price,MATCH(H958,art_ref,0)))=0,"",N(INDEX(art_price,MATCH(H958,art_ref,0)))),IF(N(INDEX(art_cost,MATCH(H958,art_ref,0)))=0,"",N(INDEX(art_cost,MATCH(H958,art_ref,0))))),""))</f>
        <v/>
      </c>
      <c r="V958" s="64" t="str">
        <f>IF(OR(U958="",NOT(ISNUMBER(L958))),"",IF(L958&lt;=0,"",ROUND(L958*U958,2)))</f>
        <v/>
      </c>
      <c r="W958" s="60" t="str">
        <f>IF(AND(B958&lt;&gt;"",A958&lt;&gt;"BS",F958&lt;&gt;"",H958&lt;&gt;"",ISNUMBER(K958),ISNUMBER(L958)),IF(AND(K958&gt;0,L958&gt;0,K958-L958&gt;0,COUNTIFS(A959:A$2005,A958,F959:F$2005,F958,H959:H$2005,H958,AA959:AA$2005,"&gt;0")=0),ROUND(K958-L958,6),""),"")</f>
        <v/>
      </c>
      <c r="X958" s="60" t="str">
        <f>IF(AND(A958="",C958="",D958="",H958="",L958=""),"",IF(A958="","Type manquant",IF(AND(A958&lt;&gt;"BL",A958&lt;&gt;"BR",A958&lt;&gt;"BS"),"Type inconnu (BL, BR ou BS)",IF(AG958=0,"Date manquante ou invalide",IF(D958="",IF(A958="BL","Client manquant",IF(A958="BR","Fournisseur manquant","Service manquant")),IF(IF(A958="BL",ISNA(MATCH(D958,cl_code,0)),IF(A958="BR",ISNA(MATCH(D958,fo_code,0)),ISNA(MATCH(D958,p_services,0)))),IF(A958="BL","Client inconnu",IF(A958="BR","Fournisseur inconnu","Service inconnu")),IF(H958="","Article manquant",IF(ISNA(MATCH(H958,art_ref,0)),"Article inconnu",IF(OR(NOT(ISNUMBER(L958)),N(L958)&lt;=0),"Quantité invalide",IF(AND(K958&lt;&gt;"",OR(NOT(ISNUMBER(K958)),N(K958)&lt;=0)),"Qté commandée invalide",IF(AG958&lt;SUMPRODUCT(MAX((A$6:A957=A958)*AG$6:AG957)),"Date antérieure au bon précédent",IF(AND(A958&lt;&gt;"BR",ISNUMBER(M958),N(M958)&gt;0),IF(A958="BL","Livré plus que commandé","Sorti plus que demandé"),"OK"))))))))))))</f>
        <v/>
      </c>
      <c r="Y958" s="57" t="str">
        <f>IF(AND(OR(A958="BL",A958="BR",A958="BS"),AG958&gt;0,D958&lt;&gt;""),A958&amp;"|"&amp;AG958&amp;"|"&amp;D958&amp;"|"&amp;F958,"")</f>
        <v/>
      </c>
      <c r="Z958" s="57" t="str">
        <f>IF(Y958="","",IF(COUNTIF(Y$6:Y957,Y958)=0,1,0))</f>
        <v/>
      </c>
      <c r="AA958" s="57" t="str">
        <f>IF(Y958="","",IF(Z958=1,COUNTIFS(A$6:A958,A958,Z$6:Z958,1),INDEX(AA$6:AA957,MATCH(Y958,Y$6:Y957,0))))</f>
        <v/>
      </c>
      <c r="AB958" s="57" t="str">
        <f>IF(B958="","",COUNTIF(B$6:B958,B958))</f>
        <v/>
      </c>
      <c r="AC958" s="57" t="str">
        <f>IF(B958="","",B958&amp;"#"&amp;AB958)</f>
        <v/>
      </c>
      <c r="AD958" s="57" t="str">
        <f>IF(Z958=1,A958&amp;AA958,"")</f>
        <v/>
      </c>
      <c r="AE958" s="57" t="str">
        <f>IF(B958="","",YEAR(C958))</f>
        <v/>
      </c>
      <c r="AF958" s="57" t="str">
        <f>IF(B958="","",MONTH(C958))</f>
        <v/>
      </c>
      <c r="AG958" s="57">
        <f>IF(ISNUMBER(C958),C958,0)</f>
        <v>0.0</v>
      </c>
      <c r="AH958" s="57" t="str">
        <f>IF(N(W958)&gt;0,COUNTIF(W$6:W958,"&gt;0"),"")</f>
        <v/>
      </c>
      <c r="AI958" s="57" t="str">
        <f>IF(Z958=1,COUNTIF(Z$6:Z958,1),"")</f>
        <v/>
      </c>
    </row>
    <row r="959">
      <c r="A959" s="54" t="n"/>
      <c r="B959" s="55" t="str">
        <f>IF(AA959="","",A959&amp;"-"&amp;RIGHT("000"&amp;AA959,4))</f>
        <v/>
      </c>
      <c r="C959" s="56" t="n"/>
      <c r="D959" s="54" t="n"/>
      <c r="E959" s="57" t="str">
        <f>IF(D959="","",IF(A959="BL",IFERROR(INDEX(cl_name,MATCH(D959,cl_code,0))&amp;"","Client inconnu"),IF(A959="BR",IFERROR(INDEX(fo_name,MATCH(D959,fo_code,0))&amp;"","Fournisseur inconnu"),IF(A959="BS",IF(ISNA(MATCH(D959,p_services,0)),"Service inconnu",D959&amp;""),""))))</f>
        <v/>
      </c>
      <c r="F959" s="58" t="n"/>
      <c r="G959" s="58" t="n"/>
      <c r="H959" s="59" t="n"/>
      <c r="I959" s="57" t="str">
        <f>IF(H959="","",IFERROR(INDEX(art_des,MATCH(H959,art_ref,0))&amp;"","Article inconnu"))</f>
        <v/>
      </c>
      <c r="J959" s="60" t="str">
        <f>IF(H959="","",IFERROR(INDEX(art_unit,MATCH(H959,art_ref,0))&amp;"",""))</f>
        <v/>
      </c>
      <c r="K959" s="59" t="n"/>
      <c r="L959" s="59" t="n"/>
      <c r="M959" s="61" t="str">
        <f>IF(OR(B959="",NOT(ISNUMBER(K959)),NOT(ISNUMBER(L959))),"",IF(OR(K959&lt;=0,L959&lt;=0),"",ROUND(L959-K959,6)))</f>
        <v/>
      </c>
      <c r="N959" s="58" t="n"/>
      <c r="O959" s="62" t="n"/>
      <c r="P959" s="63" t="str">
        <f>IF(OR(B959="",NOT(ISNUMBER(L959))),"",IF(L959&lt;=0,"",IFERROR(ROUND(L959*N(INDEX(art_w,MATCH(H959,art_ref,0))),3),"")))</f>
        <v/>
      </c>
      <c r="Q959" s="59" t="n"/>
      <c r="R959" s="54" t="n"/>
      <c r="S959" s="59" t="n"/>
      <c r="T959" s="59" t="n"/>
      <c r="U959" s="64" t="str">
        <f>IF(OR(B959="",H959=""),"",IFERROR(IF(A959="BL",IF(N(INDEX(art_price,MATCH(H959,art_ref,0)))=0,"",N(INDEX(art_price,MATCH(H959,art_ref,0)))),IF(N(INDEX(art_cost,MATCH(H959,art_ref,0)))=0,"",N(INDEX(art_cost,MATCH(H959,art_ref,0))))),""))</f>
        <v/>
      </c>
      <c r="V959" s="64" t="str">
        <f>IF(OR(U959="",NOT(ISNUMBER(L959))),"",IF(L959&lt;=0,"",ROUND(L959*U959,2)))</f>
        <v/>
      </c>
      <c r="W959" s="60" t="str">
        <f>IF(AND(B959&lt;&gt;"",A959&lt;&gt;"BS",F959&lt;&gt;"",H959&lt;&gt;"",ISNUMBER(K959),ISNUMBER(L959)),IF(AND(K959&gt;0,L959&gt;0,K959-L959&gt;0,COUNTIFS(A960:A$2005,A959,F960:F$2005,F959,H960:H$2005,H959,AA960:AA$2005,"&gt;0")=0),ROUND(K959-L959,6),""),"")</f>
        <v/>
      </c>
      <c r="X959" s="60" t="str">
        <f>IF(AND(A959="",C959="",D959="",H959="",L959=""),"",IF(A959="","Type manquant",IF(AND(A959&lt;&gt;"BL",A959&lt;&gt;"BR",A959&lt;&gt;"BS"),"Type inconnu (BL, BR ou BS)",IF(AG959=0,"Date manquante ou invalide",IF(D959="",IF(A959="BL","Client manquant",IF(A959="BR","Fournisseur manquant","Service manquant")),IF(IF(A959="BL",ISNA(MATCH(D959,cl_code,0)),IF(A959="BR",ISNA(MATCH(D959,fo_code,0)),ISNA(MATCH(D959,p_services,0)))),IF(A959="BL","Client inconnu",IF(A959="BR","Fournisseur inconnu","Service inconnu")),IF(H959="","Article manquant",IF(ISNA(MATCH(H959,art_ref,0)),"Article inconnu",IF(OR(NOT(ISNUMBER(L959)),N(L959)&lt;=0),"Quantité invalide",IF(AND(K959&lt;&gt;"",OR(NOT(ISNUMBER(K959)),N(K959)&lt;=0)),"Qté commandée invalide",IF(AG959&lt;SUMPRODUCT(MAX((A$6:A958=A959)*AG$6:AG958)),"Date antérieure au bon précédent",IF(AND(A959&lt;&gt;"BR",ISNUMBER(M959),N(M959)&gt;0),IF(A959="BL","Livré plus que commandé","Sorti plus que demandé"),"OK"))))))))))))</f>
        <v/>
      </c>
      <c r="Y959" s="57" t="str">
        <f>IF(AND(OR(A959="BL",A959="BR",A959="BS"),AG959&gt;0,D959&lt;&gt;""),A959&amp;"|"&amp;AG959&amp;"|"&amp;D959&amp;"|"&amp;F959,"")</f>
        <v/>
      </c>
      <c r="Z959" s="57" t="str">
        <f>IF(Y959="","",IF(COUNTIF(Y$6:Y958,Y959)=0,1,0))</f>
        <v/>
      </c>
      <c r="AA959" s="57" t="str">
        <f>IF(Y959="","",IF(Z959=1,COUNTIFS(A$6:A959,A959,Z$6:Z959,1),INDEX(AA$6:AA958,MATCH(Y959,Y$6:Y958,0))))</f>
        <v/>
      </c>
      <c r="AB959" s="57" t="str">
        <f>IF(B959="","",COUNTIF(B$6:B959,B959))</f>
        <v/>
      </c>
      <c r="AC959" s="57" t="str">
        <f>IF(B959="","",B959&amp;"#"&amp;AB959)</f>
        <v/>
      </c>
      <c r="AD959" s="57" t="str">
        <f>IF(Z959=1,A959&amp;AA959,"")</f>
        <v/>
      </c>
      <c r="AE959" s="57" t="str">
        <f>IF(B959="","",YEAR(C959))</f>
        <v/>
      </c>
      <c r="AF959" s="57" t="str">
        <f>IF(B959="","",MONTH(C959))</f>
        <v/>
      </c>
      <c r="AG959" s="57">
        <f>IF(ISNUMBER(C959),C959,0)</f>
        <v>0.0</v>
      </c>
      <c r="AH959" s="57" t="str">
        <f>IF(N(W959)&gt;0,COUNTIF(W$6:W959,"&gt;0"),"")</f>
        <v/>
      </c>
      <c r="AI959" s="57" t="str">
        <f>IF(Z959=1,COUNTIF(Z$6:Z959,1),"")</f>
        <v/>
      </c>
    </row>
    <row r="960">
      <c r="A960" s="54" t="n"/>
      <c r="B960" s="55" t="str">
        <f>IF(AA960="","",A960&amp;"-"&amp;RIGHT("000"&amp;AA960,4))</f>
        <v/>
      </c>
      <c r="C960" s="56" t="n"/>
      <c r="D960" s="54" t="n"/>
      <c r="E960" s="57" t="str">
        <f>IF(D960="","",IF(A960="BL",IFERROR(INDEX(cl_name,MATCH(D960,cl_code,0))&amp;"","Client inconnu"),IF(A960="BR",IFERROR(INDEX(fo_name,MATCH(D960,fo_code,0))&amp;"","Fournisseur inconnu"),IF(A960="BS",IF(ISNA(MATCH(D960,p_services,0)),"Service inconnu",D960&amp;""),""))))</f>
        <v/>
      </c>
      <c r="F960" s="58" t="n"/>
      <c r="G960" s="58" t="n"/>
      <c r="H960" s="59" t="n"/>
      <c r="I960" s="57" t="str">
        <f>IF(H960="","",IFERROR(INDEX(art_des,MATCH(H960,art_ref,0))&amp;"","Article inconnu"))</f>
        <v/>
      </c>
      <c r="J960" s="60" t="str">
        <f>IF(H960="","",IFERROR(INDEX(art_unit,MATCH(H960,art_ref,0))&amp;"",""))</f>
        <v/>
      </c>
      <c r="K960" s="59" t="n"/>
      <c r="L960" s="59" t="n"/>
      <c r="M960" s="61" t="str">
        <f>IF(OR(B960="",NOT(ISNUMBER(K960)),NOT(ISNUMBER(L960))),"",IF(OR(K960&lt;=0,L960&lt;=0),"",ROUND(L960-K960,6)))</f>
        <v/>
      </c>
      <c r="N960" s="58" t="n"/>
      <c r="O960" s="62" t="n"/>
      <c r="P960" s="63" t="str">
        <f>IF(OR(B960="",NOT(ISNUMBER(L960))),"",IF(L960&lt;=0,"",IFERROR(ROUND(L960*N(INDEX(art_w,MATCH(H960,art_ref,0))),3),"")))</f>
        <v/>
      </c>
      <c r="Q960" s="59" t="n"/>
      <c r="R960" s="54" t="n"/>
      <c r="S960" s="59" t="n"/>
      <c r="T960" s="59" t="n"/>
      <c r="U960" s="64" t="str">
        <f>IF(OR(B960="",H960=""),"",IFERROR(IF(A960="BL",IF(N(INDEX(art_price,MATCH(H960,art_ref,0)))=0,"",N(INDEX(art_price,MATCH(H960,art_ref,0)))),IF(N(INDEX(art_cost,MATCH(H960,art_ref,0)))=0,"",N(INDEX(art_cost,MATCH(H960,art_ref,0))))),""))</f>
        <v/>
      </c>
      <c r="V960" s="64" t="str">
        <f>IF(OR(U960="",NOT(ISNUMBER(L960))),"",IF(L960&lt;=0,"",ROUND(L960*U960,2)))</f>
        <v/>
      </c>
      <c r="W960" s="60" t="str">
        <f>IF(AND(B960&lt;&gt;"",A960&lt;&gt;"BS",F960&lt;&gt;"",H960&lt;&gt;"",ISNUMBER(K960),ISNUMBER(L960)),IF(AND(K960&gt;0,L960&gt;0,K960-L960&gt;0,COUNTIFS(A961:A$2005,A960,F961:F$2005,F960,H961:H$2005,H960,AA961:AA$2005,"&gt;0")=0),ROUND(K960-L960,6),""),"")</f>
        <v/>
      </c>
      <c r="X960" s="60" t="str">
        <f>IF(AND(A960="",C960="",D960="",H960="",L960=""),"",IF(A960="","Type manquant",IF(AND(A960&lt;&gt;"BL",A960&lt;&gt;"BR",A960&lt;&gt;"BS"),"Type inconnu (BL, BR ou BS)",IF(AG960=0,"Date manquante ou invalide",IF(D960="",IF(A960="BL","Client manquant",IF(A960="BR","Fournisseur manquant","Service manquant")),IF(IF(A960="BL",ISNA(MATCH(D960,cl_code,0)),IF(A960="BR",ISNA(MATCH(D960,fo_code,0)),ISNA(MATCH(D960,p_services,0)))),IF(A960="BL","Client inconnu",IF(A960="BR","Fournisseur inconnu","Service inconnu")),IF(H960="","Article manquant",IF(ISNA(MATCH(H960,art_ref,0)),"Article inconnu",IF(OR(NOT(ISNUMBER(L960)),N(L960)&lt;=0),"Quantité invalide",IF(AND(K960&lt;&gt;"",OR(NOT(ISNUMBER(K960)),N(K960)&lt;=0)),"Qté commandée invalide",IF(AG960&lt;SUMPRODUCT(MAX((A$6:A959=A960)*AG$6:AG959)),"Date antérieure au bon précédent",IF(AND(A960&lt;&gt;"BR",ISNUMBER(M960),N(M960)&gt;0),IF(A960="BL","Livré plus que commandé","Sorti plus que demandé"),"OK"))))))))))))</f>
        <v/>
      </c>
      <c r="Y960" s="57" t="str">
        <f>IF(AND(OR(A960="BL",A960="BR",A960="BS"),AG960&gt;0,D960&lt;&gt;""),A960&amp;"|"&amp;AG960&amp;"|"&amp;D960&amp;"|"&amp;F960,"")</f>
        <v/>
      </c>
      <c r="Z960" s="57" t="str">
        <f>IF(Y960="","",IF(COUNTIF(Y$6:Y959,Y960)=0,1,0))</f>
        <v/>
      </c>
      <c r="AA960" s="57" t="str">
        <f>IF(Y960="","",IF(Z960=1,COUNTIFS(A$6:A960,A960,Z$6:Z960,1),INDEX(AA$6:AA959,MATCH(Y960,Y$6:Y959,0))))</f>
        <v/>
      </c>
      <c r="AB960" s="57" t="str">
        <f>IF(B960="","",COUNTIF(B$6:B960,B960))</f>
        <v/>
      </c>
      <c r="AC960" s="57" t="str">
        <f>IF(B960="","",B960&amp;"#"&amp;AB960)</f>
        <v/>
      </c>
      <c r="AD960" s="57" t="str">
        <f>IF(Z960=1,A960&amp;AA960,"")</f>
        <v/>
      </c>
      <c r="AE960" s="57" t="str">
        <f>IF(B960="","",YEAR(C960))</f>
        <v/>
      </c>
      <c r="AF960" s="57" t="str">
        <f>IF(B960="","",MONTH(C960))</f>
        <v/>
      </c>
      <c r="AG960" s="57">
        <f>IF(ISNUMBER(C960),C960,0)</f>
        <v>0.0</v>
      </c>
      <c r="AH960" s="57" t="str">
        <f>IF(N(W960)&gt;0,COUNTIF(W$6:W960,"&gt;0"),"")</f>
        <v/>
      </c>
      <c r="AI960" s="57" t="str">
        <f>IF(Z960=1,COUNTIF(Z$6:Z960,1),"")</f>
        <v/>
      </c>
    </row>
    <row r="961">
      <c r="A961" s="54" t="n"/>
      <c r="B961" s="55" t="str">
        <f>IF(AA961="","",A961&amp;"-"&amp;RIGHT("000"&amp;AA961,4))</f>
        <v/>
      </c>
      <c r="C961" s="56" t="n"/>
      <c r="D961" s="54" t="n"/>
      <c r="E961" s="57" t="str">
        <f>IF(D961="","",IF(A961="BL",IFERROR(INDEX(cl_name,MATCH(D961,cl_code,0))&amp;"","Client inconnu"),IF(A961="BR",IFERROR(INDEX(fo_name,MATCH(D961,fo_code,0))&amp;"","Fournisseur inconnu"),IF(A961="BS",IF(ISNA(MATCH(D961,p_services,0)),"Service inconnu",D961&amp;""),""))))</f>
        <v/>
      </c>
      <c r="F961" s="58" t="n"/>
      <c r="G961" s="58" t="n"/>
      <c r="H961" s="59" t="n"/>
      <c r="I961" s="57" t="str">
        <f>IF(H961="","",IFERROR(INDEX(art_des,MATCH(H961,art_ref,0))&amp;"","Article inconnu"))</f>
        <v/>
      </c>
      <c r="J961" s="60" t="str">
        <f>IF(H961="","",IFERROR(INDEX(art_unit,MATCH(H961,art_ref,0))&amp;"",""))</f>
        <v/>
      </c>
      <c r="K961" s="59" t="n"/>
      <c r="L961" s="59" t="n"/>
      <c r="M961" s="61" t="str">
        <f>IF(OR(B961="",NOT(ISNUMBER(K961)),NOT(ISNUMBER(L961))),"",IF(OR(K961&lt;=0,L961&lt;=0),"",ROUND(L961-K961,6)))</f>
        <v/>
      </c>
      <c r="N961" s="58" t="n"/>
      <c r="O961" s="62" t="n"/>
      <c r="P961" s="63" t="str">
        <f>IF(OR(B961="",NOT(ISNUMBER(L961))),"",IF(L961&lt;=0,"",IFERROR(ROUND(L961*N(INDEX(art_w,MATCH(H961,art_ref,0))),3),"")))</f>
        <v/>
      </c>
      <c r="Q961" s="59" t="n"/>
      <c r="R961" s="54" t="n"/>
      <c r="S961" s="59" t="n"/>
      <c r="T961" s="59" t="n"/>
      <c r="U961" s="64" t="str">
        <f>IF(OR(B961="",H961=""),"",IFERROR(IF(A961="BL",IF(N(INDEX(art_price,MATCH(H961,art_ref,0)))=0,"",N(INDEX(art_price,MATCH(H961,art_ref,0)))),IF(N(INDEX(art_cost,MATCH(H961,art_ref,0)))=0,"",N(INDEX(art_cost,MATCH(H961,art_ref,0))))),""))</f>
        <v/>
      </c>
      <c r="V961" s="64" t="str">
        <f>IF(OR(U961="",NOT(ISNUMBER(L961))),"",IF(L961&lt;=0,"",ROUND(L961*U961,2)))</f>
        <v/>
      </c>
      <c r="W961" s="60" t="str">
        <f>IF(AND(B961&lt;&gt;"",A961&lt;&gt;"BS",F961&lt;&gt;"",H961&lt;&gt;"",ISNUMBER(K961),ISNUMBER(L961)),IF(AND(K961&gt;0,L961&gt;0,K961-L961&gt;0,COUNTIFS(A962:A$2005,A961,F962:F$2005,F961,H962:H$2005,H961,AA962:AA$2005,"&gt;0")=0),ROUND(K961-L961,6),""),"")</f>
        <v/>
      </c>
      <c r="X961" s="60" t="str">
        <f>IF(AND(A961="",C961="",D961="",H961="",L961=""),"",IF(A961="","Type manquant",IF(AND(A961&lt;&gt;"BL",A961&lt;&gt;"BR",A961&lt;&gt;"BS"),"Type inconnu (BL, BR ou BS)",IF(AG961=0,"Date manquante ou invalide",IF(D961="",IF(A961="BL","Client manquant",IF(A961="BR","Fournisseur manquant","Service manquant")),IF(IF(A961="BL",ISNA(MATCH(D961,cl_code,0)),IF(A961="BR",ISNA(MATCH(D961,fo_code,0)),ISNA(MATCH(D961,p_services,0)))),IF(A961="BL","Client inconnu",IF(A961="BR","Fournisseur inconnu","Service inconnu")),IF(H961="","Article manquant",IF(ISNA(MATCH(H961,art_ref,0)),"Article inconnu",IF(OR(NOT(ISNUMBER(L961)),N(L961)&lt;=0),"Quantité invalide",IF(AND(K961&lt;&gt;"",OR(NOT(ISNUMBER(K961)),N(K961)&lt;=0)),"Qté commandée invalide",IF(AG961&lt;SUMPRODUCT(MAX((A$6:A960=A961)*AG$6:AG960)),"Date antérieure au bon précédent",IF(AND(A961&lt;&gt;"BR",ISNUMBER(M961),N(M961)&gt;0),IF(A961="BL","Livré plus que commandé","Sorti plus que demandé"),"OK"))))))))))))</f>
        <v/>
      </c>
      <c r="Y961" s="57" t="str">
        <f>IF(AND(OR(A961="BL",A961="BR",A961="BS"),AG961&gt;0,D961&lt;&gt;""),A961&amp;"|"&amp;AG961&amp;"|"&amp;D961&amp;"|"&amp;F961,"")</f>
        <v/>
      </c>
      <c r="Z961" s="57" t="str">
        <f>IF(Y961="","",IF(COUNTIF(Y$6:Y960,Y961)=0,1,0))</f>
        <v/>
      </c>
      <c r="AA961" s="57" t="str">
        <f>IF(Y961="","",IF(Z961=1,COUNTIFS(A$6:A961,A961,Z$6:Z961,1),INDEX(AA$6:AA960,MATCH(Y961,Y$6:Y960,0))))</f>
        <v/>
      </c>
      <c r="AB961" s="57" t="str">
        <f>IF(B961="","",COUNTIF(B$6:B961,B961))</f>
        <v/>
      </c>
      <c r="AC961" s="57" t="str">
        <f>IF(B961="","",B961&amp;"#"&amp;AB961)</f>
        <v/>
      </c>
      <c r="AD961" s="57" t="str">
        <f>IF(Z961=1,A961&amp;AA961,"")</f>
        <v/>
      </c>
      <c r="AE961" s="57" t="str">
        <f>IF(B961="","",YEAR(C961))</f>
        <v/>
      </c>
      <c r="AF961" s="57" t="str">
        <f>IF(B961="","",MONTH(C961))</f>
        <v/>
      </c>
      <c r="AG961" s="57">
        <f>IF(ISNUMBER(C961),C961,0)</f>
        <v>0.0</v>
      </c>
      <c r="AH961" s="57" t="str">
        <f>IF(N(W961)&gt;0,COUNTIF(W$6:W961,"&gt;0"),"")</f>
        <v/>
      </c>
      <c r="AI961" s="57" t="str">
        <f>IF(Z961=1,COUNTIF(Z$6:Z961,1),"")</f>
        <v/>
      </c>
    </row>
    <row r="962">
      <c r="A962" s="54" t="n"/>
      <c r="B962" s="55" t="str">
        <f>IF(AA962="","",A962&amp;"-"&amp;RIGHT("000"&amp;AA962,4))</f>
        <v/>
      </c>
      <c r="C962" s="56" t="n"/>
      <c r="D962" s="54" t="n"/>
      <c r="E962" s="57" t="str">
        <f>IF(D962="","",IF(A962="BL",IFERROR(INDEX(cl_name,MATCH(D962,cl_code,0))&amp;"","Client inconnu"),IF(A962="BR",IFERROR(INDEX(fo_name,MATCH(D962,fo_code,0))&amp;"","Fournisseur inconnu"),IF(A962="BS",IF(ISNA(MATCH(D962,p_services,0)),"Service inconnu",D962&amp;""),""))))</f>
        <v/>
      </c>
      <c r="F962" s="58" t="n"/>
      <c r="G962" s="58" t="n"/>
      <c r="H962" s="59" t="n"/>
      <c r="I962" s="57" t="str">
        <f>IF(H962="","",IFERROR(INDEX(art_des,MATCH(H962,art_ref,0))&amp;"","Article inconnu"))</f>
        <v/>
      </c>
      <c r="J962" s="60" t="str">
        <f>IF(H962="","",IFERROR(INDEX(art_unit,MATCH(H962,art_ref,0))&amp;"",""))</f>
        <v/>
      </c>
      <c r="K962" s="59" t="n"/>
      <c r="L962" s="59" t="n"/>
      <c r="M962" s="61" t="str">
        <f>IF(OR(B962="",NOT(ISNUMBER(K962)),NOT(ISNUMBER(L962))),"",IF(OR(K962&lt;=0,L962&lt;=0),"",ROUND(L962-K962,6)))</f>
        <v/>
      </c>
      <c r="N962" s="58" t="n"/>
      <c r="O962" s="62" t="n"/>
      <c r="P962" s="63" t="str">
        <f>IF(OR(B962="",NOT(ISNUMBER(L962))),"",IF(L962&lt;=0,"",IFERROR(ROUND(L962*N(INDEX(art_w,MATCH(H962,art_ref,0))),3),"")))</f>
        <v/>
      </c>
      <c r="Q962" s="59" t="n"/>
      <c r="R962" s="54" t="n"/>
      <c r="S962" s="59" t="n"/>
      <c r="T962" s="59" t="n"/>
      <c r="U962" s="64" t="str">
        <f>IF(OR(B962="",H962=""),"",IFERROR(IF(A962="BL",IF(N(INDEX(art_price,MATCH(H962,art_ref,0)))=0,"",N(INDEX(art_price,MATCH(H962,art_ref,0)))),IF(N(INDEX(art_cost,MATCH(H962,art_ref,0)))=0,"",N(INDEX(art_cost,MATCH(H962,art_ref,0))))),""))</f>
        <v/>
      </c>
      <c r="V962" s="64" t="str">
        <f>IF(OR(U962="",NOT(ISNUMBER(L962))),"",IF(L962&lt;=0,"",ROUND(L962*U962,2)))</f>
        <v/>
      </c>
      <c r="W962" s="60" t="str">
        <f>IF(AND(B962&lt;&gt;"",A962&lt;&gt;"BS",F962&lt;&gt;"",H962&lt;&gt;"",ISNUMBER(K962),ISNUMBER(L962)),IF(AND(K962&gt;0,L962&gt;0,K962-L962&gt;0,COUNTIFS(A963:A$2005,A962,F963:F$2005,F962,H963:H$2005,H962,AA963:AA$2005,"&gt;0")=0),ROUND(K962-L962,6),""),"")</f>
        <v/>
      </c>
      <c r="X962" s="60" t="str">
        <f>IF(AND(A962="",C962="",D962="",H962="",L962=""),"",IF(A962="","Type manquant",IF(AND(A962&lt;&gt;"BL",A962&lt;&gt;"BR",A962&lt;&gt;"BS"),"Type inconnu (BL, BR ou BS)",IF(AG962=0,"Date manquante ou invalide",IF(D962="",IF(A962="BL","Client manquant",IF(A962="BR","Fournisseur manquant","Service manquant")),IF(IF(A962="BL",ISNA(MATCH(D962,cl_code,0)),IF(A962="BR",ISNA(MATCH(D962,fo_code,0)),ISNA(MATCH(D962,p_services,0)))),IF(A962="BL","Client inconnu",IF(A962="BR","Fournisseur inconnu","Service inconnu")),IF(H962="","Article manquant",IF(ISNA(MATCH(H962,art_ref,0)),"Article inconnu",IF(OR(NOT(ISNUMBER(L962)),N(L962)&lt;=0),"Quantité invalide",IF(AND(K962&lt;&gt;"",OR(NOT(ISNUMBER(K962)),N(K962)&lt;=0)),"Qté commandée invalide",IF(AG962&lt;SUMPRODUCT(MAX((A$6:A961=A962)*AG$6:AG961)),"Date antérieure au bon précédent",IF(AND(A962&lt;&gt;"BR",ISNUMBER(M962),N(M962)&gt;0),IF(A962="BL","Livré plus que commandé","Sorti plus que demandé"),"OK"))))))))))))</f>
        <v/>
      </c>
      <c r="Y962" s="57" t="str">
        <f>IF(AND(OR(A962="BL",A962="BR",A962="BS"),AG962&gt;0,D962&lt;&gt;""),A962&amp;"|"&amp;AG962&amp;"|"&amp;D962&amp;"|"&amp;F962,"")</f>
        <v/>
      </c>
      <c r="Z962" s="57" t="str">
        <f>IF(Y962="","",IF(COUNTIF(Y$6:Y961,Y962)=0,1,0))</f>
        <v/>
      </c>
      <c r="AA962" s="57" t="str">
        <f>IF(Y962="","",IF(Z962=1,COUNTIFS(A$6:A962,A962,Z$6:Z962,1),INDEX(AA$6:AA961,MATCH(Y962,Y$6:Y961,0))))</f>
        <v/>
      </c>
      <c r="AB962" s="57" t="str">
        <f>IF(B962="","",COUNTIF(B$6:B962,B962))</f>
        <v/>
      </c>
      <c r="AC962" s="57" t="str">
        <f>IF(B962="","",B962&amp;"#"&amp;AB962)</f>
        <v/>
      </c>
      <c r="AD962" s="57" t="str">
        <f>IF(Z962=1,A962&amp;AA962,"")</f>
        <v/>
      </c>
      <c r="AE962" s="57" t="str">
        <f>IF(B962="","",YEAR(C962))</f>
        <v/>
      </c>
      <c r="AF962" s="57" t="str">
        <f>IF(B962="","",MONTH(C962))</f>
        <v/>
      </c>
      <c r="AG962" s="57">
        <f>IF(ISNUMBER(C962),C962,0)</f>
        <v>0.0</v>
      </c>
      <c r="AH962" s="57" t="str">
        <f>IF(N(W962)&gt;0,COUNTIF(W$6:W962,"&gt;0"),"")</f>
        <v/>
      </c>
      <c r="AI962" s="57" t="str">
        <f>IF(Z962=1,COUNTIF(Z$6:Z962,1),"")</f>
        <v/>
      </c>
    </row>
    <row r="963">
      <c r="A963" s="54" t="n"/>
      <c r="B963" s="55" t="str">
        <f>IF(AA963="","",A963&amp;"-"&amp;RIGHT("000"&amp;AA963,4))</f>
        <v/>
      </c>
      <c r="C963" s="56" t="n"/>
      <c r="D963" s="54" t="n"/>
      <c r="E963" s="57" t="str">
        <f>IF(D963="","",IF(A963="BL",IFERROR(INDEX(cl_name,MATCH(D963,cl_code,0))&amp;"","Client inconnu"),IF(A963="BR",IFERROR(INDEX(fo_name,MATCH(D963,fo_code,0))&amp;"","Fournisseur inconnu"),IF(A963="BS",IF(ISNA(MATCH(D963,p_services,0)),"Service inconnu",D963&amp;""),""))))</f>
        <v/>
      </c>
      <c r="F963" s="58" t="n"/>
      <c r="G963" s="58" t="n"/>
      <c r="H963" s="59" t="n"/>
      <c r="I963" s="57" t="str">
        <f>IF(H963="","",IFERROR(INDEX(art_des,MATCH(H963,art_ref,0))&amp;"","Article inconnu"))</f>
        <v/>
      </c>
      <c r="J963" s="60" t="str">
        <f>IF(H963="","",IFERROR(INDEX(art_unit,MATCH(H963,art_ref,0))&amp;"",""))</f>
        <v/>
      </c>
      <c r="K963" s="59" t="n"/>
      <c r="L963" s="59" t="n"/>
      <c r="M963" s="61" t="str">
        <f>IF(OR(B963="",NOT(ISNUMBER(K963)),NOT(ISNUMBER(L963))),"",IF(OR(K963&lt;=0,L963&lt;=0),"",ROUND(L963-K963,6)))</f>
        <v/>
      </c>
      <c r="N963" s="58" t="n"/>
      <c r="O963" s="62" t="n"/>
      <c r="P963" s="63" t="str">
        <f>IF(OR(B963="",NOT(ISNUMBER(L963))),"",IF(L963&lt;=0,"",IFERROR(ROUND(L963*N(INDEX(art_w,MATCH(H963,art_ref,0))),3),"")))</f>
        <v/>
      </c>
      <c r="Q963" s="59" t="n"/>
      <c r="R963" s="54" t="n"/>
      <c r="S963" s="59" t="n"/>
      <c r="T963" s="59" t="n"/>
      <c r="U963" s="64" t="str">
        <f>IF(OR(B963="",H963=""),"",IFERROR(IF(A963="BL",IF(N(INDEX(art_price,MATCH(H963,art_ref,0)))=0,"",N(INDEX(art_price,MATCH(H963,art_ref,0)))),IF(N(INDEX(art_cost,MATCH(H963,art_ref,0)))=0,"",N(INDEX(art_cost,MATCH(H963,art_ref,0))))),""))</f>
        <v/>
      </c>
      <c r="V963" s="64" t="str">
        <f>IF(OR(U963="",NOT(ISNUMBER(L963))),"",IF(L963&lt;=0,"",ROUND(L963*U963,2)))</f>
        <v/>
      </c>
      <c r="W963" s="60" t="str">
        <f>IF(AND(B963&lt;&gt;"",A963&lt;&gt;"BS",F963&lt;&gt;"",H963&lt;&gt;"",ISNUMBER(K963),ISNUMBER(L963)),IF(AND(K963&gt;0,L963&gt;0,K963-L963&gt;0,COUNTIFS(A964:A$2005,A963,F964:F$2005,F963,H964:H$2005,H963,AA964:AA$2005,"&gt;0")=0),ROUND(K963-L963,6),""),"")</f>
        <v/>
      </c>
      <c r="X963" s="60" t="str">
        <f>IF(AND(A963="",C963="",D963="",H963="",L963=""),"",IF(A963="","Type manquant",IF(AND(A963&lt;&gt;"BL",A963&lt;&gt;"BR",A963&lt;&gt;"BS"),"Type inconnu (BL, BR ou BS)",IF(AG963=0,"Date manquante ou invalide",IF(D963="",IF(A963="BL","Client manquant",IF(A963="BR","Fournisseur manquant","Service manquant")),IF(IF(A963="BL",ISNA(MATCH(D963,cl_code,0)),IF(A963="BR",ISNA(MATCH(D963,fo_code,0)),ISNA(MATCH(D963,p_services,0)))),IF(A963="BL","Client inconnu",IF(A963="BR","Fournisseur inconnu","Service inconnu")),IF(H963="","Article manquant",IF(ISNA(MATCH(H963,art_ref,0)),"Article inconnu",IF(OR(NOT(ISNUMBER(L963)),N(L963)&lt;=0),"Quantité invalide",IF(AND(K963&lt;&gt;"",OR(NOT(ISNUMBER(K963)),N(K963)&lt;=0)),"Qté commandée invalide",IF(AG963&lt;SUMPRODUCT(MAX((A$6:A962=A963)*AG$6:AG962)),"Date antérieure au bon précédent",IF(AND(A963&lt;&gt;"BR",ISNUMBER(M963),N(M963)&gt;0),IF(A963="BL","Livré plus que commandé","Sorti plus que demandé"),"OK"))))))))))))</f>
        <v/>
      </c>
      <c r="Y963" s="57" t="str">
        <f>IF(AND(OR(A963="BL",A963="BR",A963="BS"),AG963&gt;0,D963&lt;&gt;""),A963&amp;"|"&amp;AG963&amp;"|"&amp;D963&amp;"|"&amp;F963,"")</f>
        <v/>
      </c>
      <c r="Z963" s="57" t="str">
        <f>IF(Y963="","",IF(COUNTIF(Y$6:Y962,Y963)=0,1,0))</f>
        <v/>
      </c>
      <c r="AA963" s="57" t="str">
        <f>IF(Y963="","",IF(Z963=1,COUNTIFS(A$6:A963,A963,Z$6:Z963,1),INDEX(AA$6:AA962,MATCH(Y963,Y$6:Y962,0))))</f>
        <v/>
      </c>
      <c r="AB963" s="57" t="str">
        <f>IF(B963="","",COUNTIF(B$6:B963,B963))</f>
        <v/>
      </c>
      <c r="AC963" s="57" t="str">
        <f>IF(B963="","",B963&amp;"#"&amp;AB963)</f>
        <v/>
      </c>
      <c r="AD963" s="57" t="str">
        <f>IF(Z963=1,A963&amp;AA963,"")</f>
        <v/>
      </c>
      <c r="AE963" s="57" t="str">
        <f>IF(B963="","",YEAR(C963))</f>
        <v/>
      </c>
      <c r="AF963" s="57" t="str">
        <f>IF(B963="","",MONTH(C963))</f>
        <v/>
      </c>
      <c r="AG963" s="57">
        <f>IF(ISNUMBER(C963),C963,0)</f>
        <v>0.0</v>
      </c>
      <c r="AH963" s="57" t="str">
        <f>IF(N(W963)&gt;0,COUNTIF(W$6:W963,"&gt;0"),"")</f>
        <v/>
      </c>
      <c r="AI963" s="57" t="str">
        <f>IF(Z963=1,COUNTIF(Z$6:Z963,1),"")</f>
        <v/>
      </c>
    </row>
    <row r="964">
      <c r="A964" s="54" t="n"/>
      <c r="B964" s="55" t="str">
        <f>IF(AA964="","",A964&amp;"-"&amp;RIGHT("000"&amp;AA964,4))</f>
        <v/>
      </c>
      <c r="C964" s="56" t="n"/>
      <c r="D964" s="54" t="n"/>
      <c r="E964" s="57" t="str">
        <f>IF(D964="","",IF(A964="BL",IFERROR(INDEX(cl_name,MATCH(D964,cl_code,0))&amp;"","Client inconnu"),IF(A964="BR",IFERROR(INDEX(fo_name,MATCH(D964,fo_code,0))&amp;"","Fournisseur inconnu"),IF(A964="BS",IF(ISNA(MATCH(D964,p_services,0)),"Service inconnu",D964&amp;""),""))))</f>
        <v/>
      </c>
      <c r="F964" s="58" t="n"/>
      <c r="G964" s="58" t="n"/>
      <c r="H964" s="59" t="n"/>
      <c r="I964" s="57" t="str">
        <f>IF(H964="","",IFERROR(INDEX(art_des,MATCH(H964,art_ref,0))&amp;"","Article inconnu"))</f>
        <v/>
      </c>
      <c r="J964" s="60" t="str">
        <f>IF(H964="","",IFERROR(INDEX(art_unit,MATCH(H964,art_ref,0))&amp;"",""))</f>
        <v/>
      </c>
      <c r="K964" s="59" t="n"/>
      <c r="L964" s="59" t="n"/>
      <c r="M964" s="61" t="str">
        <f>IF(OR(B964="",NOT(ISNUMBER(K964)),NOT(ISNUMBER(L964))),"",IF(OR(K964&lt;=0,L964&lt;=0),"",ROUND(L964-K964,6)))</f>
        <v/>
      </c>
      <c r="N964" s="58" t="n"/>
      <c r="O964" s="62" t="n"/>
      <c r="P964" s="63" t="str">
        <f>IF(OR(B964="",NOT(ISNUMBER(L964))),"",IF(L964&lt;=0,"",IFERROR(ROUND(L964*N(INDEX(art_w,MATCH(H964,art_ref,0))),3),"")))</f>
        <v/>
      </c>
      <c r="Q964" s="59" t="n"/>
      <c r="R964" s="54" t="n"/>
      <c r="S964" s="59" t="n"/>
      <c r="T964" s="59" t="n"/>
      <c r="U964" s="64" t="str">
        <f>IF(OR(B964="",H964=""),"",IFERROR(IF(A964="BL",IF(N(INDEX(art_price,MATCH(H964,art_ref,0)))=0,"",N(INDEX(art_price,MATCH(H964,art_ref,0)))),IF(N(INDEX(art_cost,MATCH(H964,art_ref,0)))=0,"",N(INDEX(art_cost,MATCH(H964,art_ref,0))))),""))</f>
        <v/>
      </c>
      <c r="V964" s="64" t="str">
        <f>IF(OR(U964="",NOT(ISNUMBER(L964))),"",IF(L964&lt;=0,"",ROUND(L964*U964,2)))</f>
        <v/>
      </c>
      <c r="W964" s="60" t="str">
        <f>IF(AND(B964&lt;&gt;"",A964&lt;&gt;"BS",F964&lt;&gt;"",H964&lt;&gt;"",ISNUMBER(K964),ISNUMBER(L964)),IF(AND(K964&gt;0,L964&gt;0,K964-L964&gt;0,COUNTIFS(A965:A$2005,A964,F965:F$2005,F964,H965:H$2005,H964,AA965:AA$2005,"&gt;0")=0),ROUND(K964-L964,6),""),"")</f>
        <v/>
      </c>
      <c r="X964" s="60" t="str">
        <f>IF(AND(A964="",C964="",D964="",H964="",L964=""),"",IF(A964="","Type manquant",IF(AND(A964&lt;&gt;"BL",A964&lt;&gt;"BR",A964&lt;&gt;"BS"),"Type inconnu (BL, BR ou BS)",IF(AG964=0,"Date manquante ou invalide",IF(D964="",IF(A964="BL","Client manquant",IF(A964="BR","Fournisseur manquant","Service manquant")),IF(IF(A964="BL",ISNA(MATCH(D964,cl_code,0)),IF(A964="BR",ISNA(MATCH(D964,fo_code,0)),ISNA(MATCH(D964,p_services,0)))),IF(A964="BL","Client inconnu",IF(A964="BR","Fournisseur inconnu","Service inconnu")),IF(H964="","Article manquant",IF(ISNA(MATCH(H964,art_ref,0)),"Article inconnu",IF(OR(NOT(ISNUMBER(L964)),N(L964)&lt;=0),"Quantité invalide",IF(AND(K964&lt;&gt;"",OR(NOT(ISNUMBER(K964)),N(K964)&lt;=0)),"Qté commandée invalide",IF(AG964&lt;SUMPRODUCT(MAX((A$6:A963=A964)*AG$6:AG963)),"Date antérieure au bon précédent",IF(AND(A964&lt;&gt;"BR",ISNUMBER(M964),N(M964)&gt;0),IF(A964="BL","Livré plus que commandé","Sorti plus que demandé"),"OK"))))))))))))</f>
        <v/>
      </c>
      <c r="Y964" s="57" t="str">
        <f>IF(AND(OR(A964="BL",A964="BR",A964="BS"),AG964&gt;0,D964&lt;&gt;""),A964&amp;"|"&amp;AG964&amp;"|"&amp;D964&amp;"|"&amp;F964,"")</f>
        <v/>
      </c>
      <c r="Z964" s="57" t="str">
        <f>IF(Y964="","",IF(COUNTIF(Y$6:Y963,Y964)=0,1,0))</f>
        <v/>
      </c>
      <c r="AA964" s="57" t="str">
        <f>IF(Y964="","",IF(Z964=1,COUNTIFS(A$6:A964,A964,Z$6:Z964,1),INDEX(AA$6:AA963,MATCH(Y964,Y$6:Y963,0))))</f>
        <v/>
      </c>
      <c r="AB964" s="57" t="str">
        <f>IF(B964="","",COUNTIF(B$6:B964,B964))</f>
        <v/>
      </c>
      <c r="AC964" s="57" t="str">
        <f>IF(B964="","",B964&amp;"#"&amp;AB964)</f>
        <v/>
      </c>
      <c r="AD964" s="57" t="str">
        <f>IF(Z964=1,A964&amp;AA964,"")</f>
        <v/>
      </c>
      <c r="AE964" s="57" t="str">
        <f>IF(B964="","",YEAR(C964))</f>
        <v/>
      </c>
      <c r="AF964" s="57" t="str">
        <f>IF(B964="","",MONTH(C964))</f>
        <v/>
      </c>
      <c r="AG964" s="57">
        <f>IF(ISNUMBER(C964),C964,0)</f>
        <v>0.0</v>
      </c>
      <c r="AH964" s="57" t="str">
        <f>IF(N(W964)&gt;0,COUNTIF(W$6:W964,"&gt;0"),"")</f>
        <v/>
      </c>
      <c r="AI964" s="57" t="str">
        <f>IF(Z964=1,COUNTIF(Z$6:Z964,1),"")</f>
        <v/>
      </c>
    </row>
    <row r="965">
      <c r="A965" s="54" t="n"/>
      <c r="B965" s="55" t="str">
        <f>IF(AA965="","",A965&amp;"-"&amp;RIGHT("000"&amp;AA965,4))</f>
        <v/>
      </c>
      <c r="C965" s="56" t="n"/>
      <c r="D965" s="54" t="n"/>
      <c r="E965" s="57" t="str">
        <f>IF(D965="","",IF(A965="BL",IFERROR(INDEX(cl_name,MATCH(D965,cl_code,0))&amp;"","Client inconnu"),IF(A965="BR",IFERROR(INDEX(fo_name,MATCH(D965,fo_code,0))&amp;"","Fournisseur inconnu"),IF(A965="BS",IF(ISNA(MATCH(D965,p_services,0)),"Service inconnu",D965&amp;""),""))))</f>
        <v/>
      </c>
      <c r="F965" s="58" t="n"/>
      <c r="G965" s="58" t="n"/>
      <c r="H965" s="59" t="n"/>
      <c r="I965" s="57" t="str">
        <f>IF(H965="","",IFERROR(INDEX(art_des,MATCH(H965,art_ref,0))&amp;"","Article inconnu"))</f>
        <v/>
      </c>
      <c r="J965" s="60" t="str">
        <f>IF(H965="","",IFERROR(INDEX(art_unit,MATCH(H965,art_ref,0))&amp;"",""))</f>
        <v/>
      </c>
      <c r="K965" s="59" t="n"/>
      <c r="L965" s="59" t="n"/>
      <c r="M965" s="61" t="str">
        <f>IF(OR(B965="",NOT(ISNUMBER(K965)),NOT(ISNUMBER(L965))),"",IF(OR(K965&lt;=0,L965&lt;=0),"",ROUND(L965-K965,6)))</f>
        <v/>
      </c>
      <c r="N965" s="58" t="n"/>
      <c r="O965" s="62" t="n"/>
      <c r="P965" s="63" t="str">
        <f>IF(OR(B965="",NOT(ISNUMBER(L965))),"",IF(L965&lt;=0,"",IFERROR(ROUND(L965*N(INDEX(art_w,MATCH(H965,art_ref,0))),3),"")))</f>
        <v/>
      </c>
      <c r="Q965" s="59" t="n"/>
      <c r="R965" s="54" t="n"/>
      <c r="S965" s="59" t="n"/>
      <c r="T965" s="59" t="n"/>
      <c r="U965" s="64" t="str">
        <f>IF(OR(B965="",H965=""),"",IFERROR(IF(A965="BL",IF(N(INDEX(art_price,MATCH(H965,art_ref,0)))=0,"",N(INDEX(art_price,MATCH(H965,art_ref,0)))),IF(N(INDEX(art_cost,MATCH(H965,art_ref,0)))=0,"",N(INDEX(art_cost,MATCH(H965,art_ref,0))))),""))</f>
        <v/>
      </c>
      <c r="V965" s="64" t="str">
        <f>IF(OR(U965="",NOT(ISNUMBER(L965))),"",IF(L965&lt;=0,"",ROUND(L965*U965,2)))</f>
        <v/>
      </c>
      <c r="W965" s="60" t="str">
        <f>IF(AND(B965&lt;&gt;"",A965&lt;&gt;"BS",F965&lt;&gt;"",H965&lt;&gt;"",ISNUMBER(K965),ISNUMBER(L965)),IF(AND(K965&gt;0,L965&gt;0,K965-L965&gt;0,COUNTIFS(A966:A$2005,A965,F966:F$2005,F965,H966:H$2005,H965,AA966:AA$2005,"&gt;0")=0),ROUND(K965-L965,6),""),"")</f>
        <v/>
      </c>
      <c r="X965" s="60" t="str">
        <f>IF(AND(A965="",C965="",D965="",H965="",L965=""),"",IF(A965="","Type manquant",IF(AND(A965&lt;&gt;"BL",A965&lt;&gt;"BR",A965&lt;&gt;"BS"),"Type inconnu (BL, BR ou BS)",IF(AG965=0,"Date manquante ou invalide",IF(D965="",IF(A965="BL","Client manquant",IF(A965="BR","Fournisseur manquant","Service manquant")),IF(IF(A965="BL",ISNA(MATCH(D965,cl_code,0)),IF(A965="BR",ISNA(MATCH(D965,fo_code,0)),ISNA(MATCH(D965,p_services,0)))),IF(A965="BL","Client inconnu",IF(A965="BR","Fournisseur inconnu","Service inconnu")),IF(H965="","Article manquant",IF(ISNA(MATCH(H965,art_ref,0)),"Article inconnu",IF(OR(NOT(ISNUMBER(L965)),N(L965)&lt;=0),"Quantité invalide",IF(AND(K965&lt;&gt;"",OR(NOT(ISNUMBER(K965)),N(K965)&lt;=0)),"Qté commandée invalide",IF(AG965&lt;SUMPRODUCT(MAX((A$6:A964=A965)*AG$6:AG964)),"Date antérieure au bon précédent",IF(AND(A965&lt;&gt;"BR",ISNUMBER(M965),N(M965)&gt;0),IF(A965="BL","Livré plus que commandé","Sorti plus que demandé"),"OK"))))))))))))</f>
        <v/>
      </c>
      <c r="Y965" s="57" t="str">
        <f>IF(AND(OR(A965="BL",A965="BR",A965="BS"),AG965&gt;0,D965&lt;&gt;""),A965&amp;"|"&amp;AG965&amp;"|"&amp;D965&amp;"|"&amp;F965,"")</f>
        <v/>
      </c>
      <c r="Z965" s="57" t="str">
        <f>IF(Y965="","",IF(COUNTIF(Y$6:Y964,Y965)=0,1,0))</f>
        <v/>
      </c>
      <c r="AA965" s="57" t="str">
        <f>IF(Y965="","",IF(Z965=1,COUNTIFS(A$6:A965,A965,Z$6:Z965,1),INDEX(AA$6:AA964,MATCH(Y965,Y$6:Y964,0))))</f>
        <v/>
      </c>
      <c r="AB965" s="57" t="str">
        <f>IF(B965="","",COUNTIF(B$6:B965,B965))</f>
        <v/>
      </c>
      <c r="AC965" s="57" t="str">
        <f>IF(B965="","",B965&amp;"#"&amp;AB965)</f>
        <v/>
      </c>
      <c r="AD965" s="57" t="str">
        <f>IF(Z965=1,A965&amp;AA965,"")</f>
        <v/>
      </c>
      <c r="AE965" s="57" t="str">
        <f>IF(B965="","",YEAR(C965))</f>
        <v/>
      </c>
      <c r="AF965" s="57" t="str">
        <f>IF(B965="","",MONTH(C965))</f>
        <v/>
      </c>
      <c r="AG965" s="57">
        <f>IF(ISNUMBER(C965),C965,0)</f>
        <v>0.0</v>
      </c>
      <c r="AH965" s="57" t="str">
        <f>IF(N(W965)&gt;0,COUNTIF(W$6:W965,"&gt;0"),"")</f>
        <v/>
      </c>
      <c r="AI965" s="57" t="str">
        <f>IF(Z965=1,COUNTIF(Z$6:Z965,1),"")</f>
        <v/>
      </c>
    </row>
    <row r="966">
      <c r="A966" s="54" t="n"/>
      <c r="B966" s="55" t="str">
        <f>IF(AA966="","",A966&amp;"-"&amp;RIGHT("000"&amp;AA966,4))</f>
        <v/>
      </c>
      <c r="C966" s="56" t="n"/>
      <c r="D966" s="54" t="n"/>
      <c r="E966" s="57" t="str">
        <f>IF(D966="","",IF(A966="BL",IFERROR(INDEX(cl_name,MATCH(D966,cl_code,0))&amp;"","Client inconnu"),IF(A966="BR",IFERROR(INDEX(fo_name,MATCH(D966,fo_code,0))&amp;"","Fournisseur inconnu"),IF(A966="BS",IF(ISNA(MATCH(D966,p_services,0)),"Service inconnu",D966&amp;""),""))))</f>
        <v/>
      </c>
      <c r="F966" s="58" t="n"/>
      <c r="G966" s="58" t="n"/>
      <c r="H966" s="59" t="n"/>
      <c r="I966" s="57" t="str">
        <f>IF(H966="","",IFERROR(INDEX(art_des,MATCH(H966,art_ref,0))&amp;"","Article inconnu"))</f>
        <v/>
      </c>
      <c r="J966" s="60" t="str">
        <f>IF(H966="","",IFERROR(INDEX(art_unit,MATCH(H966,art_ref,0))&amp;"",""))</f>
        <v/>
      </c>
      <c r="K966" s="59" t="n"/>
      <c r="L966" s="59" t="n"/>
      <c r="M966" s="61" t="str">
        <f>IF(OR(B966="",NOT(ISNUMBER(K966)),NOT(ISNUMBER(L966))),"",IF(OR(K966&lt;=0,L966&lt;=0),"",ROUND(L966-K966,6)))</f>
        <v/>
      </c>
      <c r="N966" s="58" t="n"/>
      <c r="O966" s="62" t="n"/>
      <c r="P966" s="63" t="str">
        <f>IF(OR(B966="",NOT(ISNUMBER(L966))),"",IF(L966&lt;=0,"",IFERROR(ROUND(L966*N(INDEX(art_w,MATCH(H966,art_ref,0))),3),"")))</f>
        <v/>
      </c>
      <c r="Q966" s="59" t="n"/>
      <c r="R966" s="54" t="n"/>
      <c r="S966" s="59" t="n"/>
      <c r="T966" s="59" t="n"/>
      <c r="U966" s="64" t="str">
        <f>IF(OR(B966="",H966=""),"",IFERROR(IF(A966="BL",IF(N(INDEX(art_price,MATCH(H966,art_ref,0)))=0,"",N(INDEX(art_price,MATCH(H966,art_ref,0)))),IF(N(INDEX(art_cost,MATCH(H966,art_ref,0)))=0,"",N(INDEX(art_cost,MATCH(H966,art_ref,0))))),""))</f>
        <v/>
      </c>
      <c r="V966" s="64" t="str">
        <f>IF(OR(U966="",NOT(ISNUMBER(L966))),"",IF(L966&lt;=0,"",ROUND(L966*U966,2)))</f>
        <v/>
      </c>
      <c r="W966" s="60" t="str">
        <f>IF(AND(B966&lt;&gt;"",A966&lt;&gt;"BS",F966&lt;&gt;"",H966&lt;&gt;"",ISNUMBER(K966),ISNUMBER(L966)),IF(AND(K966&gt;0,L966&gt;0,K966-L966&gt;0,COUNTIFS(A967:A$2005,A966,F967:F$2005,F966,H967:H$2005,H966,AA967:AA$2005,"&gt;0")=0),ROUND(K966-L966,6),""),"")</f>
        <v/>
      </c>
      <c r="X966" s="60" t="str">
        <f>IF(AND(A966="",C966="",D966="",H966="",L966=""),"",IF(A966="","Type manquant",IF(AND(A966&lt;&gt;"BL",A966&lt;&gt;"BR",A966&lt;&gt;"BS"),"Type inconnu (BL, BR ou BS)",IF(AG966=0,"Date manquante ou invalide",IF(D966="",IF(A966="BL","Client manquant",IF(A966="BR","Fournisseur manquant","Service manquant")),IF(IF(A966="BL",ISNA(MATCH(D966,cl_code,0)),IF(A966="BR",ISNA(MATCH(D966,fo_code,0)),ISNA(MATCH(D966,p_services,0)))),IF(A966="BL","Client inconnu",IF(A966="BR","Fournisseur inconnu","Service inconnu")),IF(H966="","Article manquant",IF(ISNA(MATCH(H966,art_ref,0)),"Article inconnu",IF(OR(NOT(ISNUMBER(L966)),N(L966)&lt;=0),"Quantité invalide",IF(AND(K966&lt;&gt;"",OR(NOT(ISNUMBER(K966)),N(K966)&lt;=0)),"Qté commandée invalide",IF(AG966&lt;SUMPRODUCT(MAX((A$6:A965=A966)*AG$6:AG965)),"Date antérieure au bon précédent",IF(AND(A966&lt;&gt;"BR",ISNUMBER(M966),N(M966)&gt;0),IF(A966="BL","Livré plus que commandé","Sorti plus que demandé"),"OK"))))))))))))</f>
        <v/>
      </c>
      <c r="Y966" s="57" t="str">
        <f>IF(AND(OR(A966="BL",A966="BR",A966="BS"),AG966&gt;0,D966&lt;&gt;""),A966&amp;"|"&amp;AG966&amp;"|"&amp;D966&amp;"|"&amp;F966,"")</f>
        <v/>
      </c>
      <c r="Z966" s="57" t="str">
        <f>IF(Y966="","",IF(COUNTIF(Y$6:Y965,Y966)=0,1,0))</f>
        <v/>
      </c>
      <c r="AA966" s="57" t="str">
        <f>IF(Y966="","",IF(Z966=1,COUNTIFS(A$6:A966,A966,Z$6:Z966,1),INDEX(AA$6:AA965,MATCH(Y966,Y$6:Y965,0))))</f>
        <v/>
      </c>
      <c r="AB966" s="57" t="str">
        <f>IF(B966="","",COUNTIF(B$6:B966,B966))</f>
        <v/>
      </c>
      <c r="AC966" s="57" t="str">
        <f>IF(B966="","",B966&amp;"#"&amp;AB966)</f>
        <v/>
      </c>
      <c r="AD966" s="57" t="str">
        <f>IF(Z966=1,A966&amp;AA966,"")</f>
        <v/>
      </c>
      <c r="AE966" s="57" t="str">
        <f>IF(B966="","",YEAR(C966))</f>
        <v/>
      </c>
      <c r="AF966" s="57" t="str">
        <f>IF(B966="","",MONTH(C966))</f>
        <v/>
      </c>
      <c r="AG966" s="57">
        <f>IF(ISNUMBER(C966),C966,0)</f>
        <v>0.0</v>
      </c>
      <c r="AH966" s="57" t="str">
        <f>IF(N(W966)&gt;0,COUNTIF(W$6:W966,"&gt;0"),"")</f>
        <v/>
      </c>
      <c r="AI966" s="57" t="str">
        <f>IF(Z966=1,COUNTIF(Z$6:Z966,1),"")</f>
        <v/>
      </c>
    </row>
    <row r="967">
      <c r="A967" s="54" t="n"/>
      <c r="B967" s="55" t="str">
        <f>IF(AA967="","",A967&amp;"-"&amp;RIGHT("000"&amp;AA967,4))</f>
        <v/>
      </c>
      <c r="C967" s="56" t="n"/>
      <c r="D967" s="54" t="n"/>
      <c r="E967" s="57" t="str">
        <f>IF(D967="","",IF(A967="BL",IFERROR(INDEX(cl_name,MATCH(D967,cl_code,0))&amp;"","Client inconnu"),IF(A967="BR",IFERROR(INDEX(fo_name,MATCH(D967,fo_code,0))&amp;"","Fournisseur inconnu"),IF(A967="BS",IF(ISNA(MATCH(D967,p_services,0)),"Service inconnu",D967&amp;""),""))))</f>
        <v/>
      </c>
      <c r="F967" s="58" t="n"/>
      <c r="G967" s="58" t="n"/>
      <c r="H967" s="59" t="n"/>
      <c r="I967" s="57" t="str">
        <f>IF(H967="","",IFERROR(INDEX(art_des,MATCH(H967,art_ref,0))&amp;"","Article inconnu"))</f>
        <v/>
      </c>
      <c r="J967" s="60" t="str">
        <f>IF(H967="","",IFERROR(INDEX(art_unit,MATCH(H967,art_ref,0))&amp;"",""))</f>
        <v/>
      </c>
      <c r="K967" s="59" t="n"/>
      <c r="L967" s="59" t="n"/>
      <c r="M967" s="61" t="str">
        <f>IF(OR(B967="",NOT(ISNUMBER(K967)),NOT(ISNUMBER(L967))),"",IF(OR(K967&lt;=0,L967&lt;=0),"",ROUND(L967-K967,6)))</f>
        <v/>
      </c>
      <c r="N967" s="58" t="n"/>
      <c r="O967" s="62" t="n"/>
      <c r="P967" s="63" t="str">
        <f>IF(OR(B967="",NOT(ISNUMBER(L967))),"",IF(L967&lt;=0,"",IFERROR(ROUND(L967*N(INDEX(art_w,MATCH(H967,art_ref,0))),3),"")))</f>
        <v/>
      </c>
      <c r="Q967" s="59" t="n"/>
      <c r="R967" s="54" t="n"/>
      <c r="S967" s="59" t="n"/>
      <c r="T967" s="59" t="n"/>
      <c r="U967" s="64" t="str">
        <f>IF(OR(B967="",H967=""),"",IFERROR(IF(A967="BL",IF(N(INDEX(art_price,MATCH(H967,art_ref,0)))=0,"",N(INDEX(art_price,MATCH(H967,art_ref,0)))),IF(N(INDEX(art_cost,MATCH(H967,art_ref,0)))=0,"",N(INDEX(art_cost,MATCH(H967,art_ref,0))))),""))</f>
        <v/>
      </c>
      <c r="V967" s="64" t="str">
        <f>IF(OR(U967="",NOT(ISNUMBER(L967))),"",IF(L967&lt;=0,"",ROUND(L967*U967,2)))</f>
        <v/>
      </c>
      <c r="W967" s="60" t="str">
        <f>IF(AND(B967&lt;&gt;"",A967&lt;&gt;"BS",F967&lt;&gt;"",H967&lt;&gt;"",ISNUMBER(K967),ISNUMBER(L967)),IF(AND(K967&gt;0,L967&gt;0,K967-L967&gt;0,COUNTIFS(A968:A$2005,A967,F968:F$2005,F967,H968:H$2005,H967,AA968:AA$2005,"&gt;0")=0),ROUND(K967-L967,6),""),"")</f>
        <v/>
      </c>
      <c r="X967" s="60" t="str">
        <f>IF(AND(A967="",C967="",D967="",H967="",L967=""),"",IF(A967="","Type manquant",IF(AND(A967&lt;&gt;"BL",A967&lt;&gt;"BR",A967&lt;&gt;"BS"),"Type inconnu (BL, BR ou BS)",IF(AG967=0,"Date manquante ou invalide",IF(D967="",IF(A967="BL","Client manquant",IF(A967="BR","Fournisseur manquant","Service manquant")),IF(IF(A967="BL",ISNA(MATCH(D967,cl_code,0)),IF(A967="BR",ISNA(MATCH(D967,fo_code,0)),ISNA(MATCH(D967,p_services,0)))),IF(A967="BL","Client inconnu",IF(A967="BR","Fournisseur inconnu","Service inconnu")),IF(H967="","Article manquant",IF(ISNA(MATCH(H967,art_ref,0)),"Article inconnu",IF(OR(NOT(ISNUMBER(L967)),N(L967)&lt;=0),"Quantité invalide",IF(AND(K967&lt;&gt;"",OR(NOT(ISNUMBER(K967)),N(K967)&lt;=0)),"Qté commandée invalide",IF(AG967&lt;SUMPRODUCT(MAX((A$6:A966=A967)*AG$6:AG966)),"Date antérieure au bon précédent",IF(AND(A967&lt;&gt;"BR",ISNUMBER(M967),N(M967)&gt;0),IF(A967="BL","Livré plus que commandé","Sorti plus que demandé"),"OK"))))))))))))</f>
        <v/>
      </c>
      <c r="Y967" s="57" t="str">
        <f>IF(AND(OR(A967="BL",A967="BR",A967="BS"),AG967&gt;0,D967&lt;&gt;""),A967&amp;"|"&amp;AG967&amp;"|"&amp;D967&amp;"|"&amp;F967,"")</f>
        <v/>
      </c>
      <c r="Z967" s="57" t="str">
        <f>IF(Y967="","",IF(COUNTIF(Y$6:Y966,Y967)=0,1,0))</f>
        <v/>
      </c>
      <c r="AA967" s="57" t="str">
        <f>IF(Y967="","",IF(Z967=1,COUNTIFS(A$6:A967,A967,Z$6:Z967,1),INDEX(AA$6:AA966,MATCH(Y967,Y$6:Y966,0))))</f>
        <v/>
      </c>
      <c r="AB967" s="57" t="str">
        <f>IF(B967="","",COUNTIF(B$6:B967,B967))</f>
        <v/>
      </c>
      <c r="AC967" s="57" t="str">
        <f>IF(B967="","",B967&amp;"#"&amp;AB967)</f>
        <v/>
      </c>
      <c r="AD967" s="57" t="str">
        <f>IF(Z967=1,A967&amp;AA967,"")</f>
        <v/>
      </c>
      <c r="AE967" s="57" t="str">
        <f>IF(B967="","",YEAR(C967))</f>
        <v/>
      </c>
      <c r="AF967" s="57" t="str">
        <f>IF(B967="","",MONTH(C967))</f>
        <v/>
      </c>
      <c r="AG967" s="57">
        <f>IF(ISNUMBER(C967),C967,0)</f>
        <v>0.0</v>
      </c>
      <c r="AH967" s="57" t="str">
        <f>IF(N(W967)&gt;0,COUNTIF(W$6:W967,"&gt;0"),"")</f>
        <v/>
      </c>
      <c r="AI967" s="57" t="str">
        <f>IF(Z967=1,COUNTIF(Z$6:Z967,1),"")</f>
        <v/>
      </c>
    </row>
    <row r="968">
      <c r="A968" s="54" t="n"/>
      <c r="B968" s="55" t="str">
        <f>IF(AA968="","",A968&amp;"-"&amp;RIGHT("000"&amp;AA968,4))</f>
        <v/>
      </c>
      <c r="C968" s="56" t="n"/>
      <c r="D968" s="54" t="n"/>
      <c r="E968" s="57" t="str">
        <f>IF(D968="","",IF(A968="BL",IFERROR(INDEX(cl_name,MATCH(D968,cl_code,0))&amp;"","Client inconnu"),IF(A968="BR",IFERROR(INDEX(fo_name,MATCH(D968,fo_code,0))&amp;"","Fournisseur inconnu"),IF(A968="BS",IF(ISNA(MATCH(D968,p_services,0)),"Service inconnu",D968&amp;""),""))))</f>
        <v/>
      </c>
      <c r="F968" s="58" t="n"/>
      <c r="G968" s="58" t="n"/>
      <c r="H968" s="59" t="n"/>
      <c r="I968" s="57" t="str">
        <f>IF(H968="","",IFERROR(INDEX(art_des,MATCH(H968,art_ref,0))&amp;"","Article inconnu"))</f>
        <v/>
      </c>
      <c r="J968" s="60" t="str">
        <f>IF(H968="","",IFERROR(INDEX(art_unit,MATCH(H968,art_ref,0))&amp;"",""))</f>
        <v/>
      </c>
      <c r="K968" s="59" t="n"/>
      <c r="L968" s="59" t="n"/>
      <c r="M968" s="61" t="str">
        <f>IF(OR(B968="",NOT(ISNUMBER(K968)),NOT(ISNUMBER(L968))),"",IF(OR(K968&lt;=0,L968&lt;=0),"",ROUND(L968-K968,6)))</f>
        <v/>
      </c>
      <c r="N968" s="58" t="n"/>
      <c r="O968" s="62" t="n"/>
      <c r="P968" s="63" t="str">
        <f>IF(OR(B968="",NOT(ISNUMBER(L968))),"",IF(L968&lt;=0,"",IFERROR(ROUND(L968*N(INDEX(art_w,MATCH(H968,art_ref,0))),3),"")))</f>
        <v/>
      </c>
      <c r="Q968" s="59" t="n"/>
      <c r="R968" s="54" t="n"/>
      <c r="S968" s="59" t="n"/>
      <c r="T968" s="59" t="n"/>
      <c r="U968" s="64" t="str">
        <f>IF(OR(B968="",H968=""),"",IFERROR(IF(A968="BL",IF(N(INDEX(art_price,MATCH(H968,art_ref,0)))=0,"",N(INDEX(art_price,MATCH(H968,art_ref,0)))),IF(N(INDEX(art_cost,MATCH(H968,art_ref,0)))=0,"",N(INDEX(art_cost,MATCH(H968,art_ref,0))))),""))</f>
        <v/>
      </c>
      <c r="V968" s="64" t="str">
        <f>IF(OR(U968="",NOT(ISNUMBER(L968))),"",IF(L968&lt;=0,"",ROUND(L968*U968,2)))</f>
        <v/>
      </c>
      <c r="W968" s="60" t="str">
        <f>IF(AND(B968&lt;&gt;"",A968&lt;&gt;"BS",F968&lt;&gt;"",H968&lt;&gt;"",ISNUMBER(K968),ISNUMBER(L968)),IF(AND(K968&gt;0,L968&gt;0,K968-L968&gt;0,COUNTIFS(A969:A$2005,A968,F969:F$2005,F968,H969:H$2005,H968,AA969:AA$2005,"&gt;0")=0),ROUND(K968-L968,6),""),"")</f>
        <v/>
      </c>
      <c r="X968" s="60" t="str">
        <f>IF(AND(A968="",C968="",D968="",H968="",L968=""),"",IF(A968="","Type manquant",IF(AND(A968&lt;&gt;"BL",A968&lt;&gt;"BR",A968&lt;&gt;"BS"),"Type inconnu (BL, BR ou BS)",IF(AG968=0,"Date manquante ou invalide",IF(D968="",IF(A968="BL","Client manquant",IF(A968="BR","Fournisseur manquant","Service manquant")),IF(IF(A968="BL",ISNA(MATCH(D968,cl_code,0)),IF(A968="BR",ISNA(MATCH(D968,fo_code,0)),ISNA(MATCH(D968,p_services,0)))),IF(A968="BL","Client inconnu",IF(A968="BR","Fournisseur inconnu","Service inconnu")),IF(H968="","Article manquant",IF(ISNA(MATCH(H968,art_ref,0)),"Article inconnu",IF(OR(NOT(ISNUMBER(L968)),N(L968)&lt;=0),"Quantité invalide",IF(AND(K968&lt;&gt;"",OR(NOT(ISNUMBER(K968)),N(K968)&lt;=0)),"Qté commandée invalide",IF(AG968&lt;SUMPRODUCT(MAX((A$6:A967=A968)*AG$6:AG967)),"Date antérieure au bon précédent",IF(AND(A968&lt;&gt;"BR",ISNUMBER(M968),N(M968)&gt;0),IF(A968="BL","Livré plus que commandé","Sorti plus que demandé"),"OK"))))))))))))</f>
        <v/>
      </c>
      <c r="Y968" s="57" t="str">
        <f>IF(AND(OR(A968="BL",A968="BR",A968="BS"),AG968&gt;0,D968&lt;&gt;""),A968&amp;"|"&amp;AG968&amp;"|"&amp;D968&amp;"|"&amp;F968,"")</f>
        <v/>
      </c>
      <c r="Z968" s="57" t="str">
        <f>IF(Y968="","",IF(COUNTIF(Y$6:Y967,Y968)=0,1,0))</f>
        <v/>
      </c>
      <c r="AA968" s="57" t="str">
        <f>IF(Y968="","",IF(Z968=1,COUNTIFS(A$6:A968,A968,Z$6:Z968,1),INDEX(AA$6:AA967,MATCH(Y968,Y$6:Y967,0))))</f>
        <v/>
      </c>
      <c r="AB968" s="57" t="str">
        <f>IF(B968="","",COUNTIF(B$6:B968,B968))</f>
        <v/>
      </c>
      <c r="AC968" s="57" t="str">
        <f>IF(B968="","",B968&amp;"#"&amp;AB968)</f>
        <v/>
      </c>
      <c r="AD968" s="57" t="str">
        <f>IF(Z968=1,A968&amp;AA968,"")</f>
        <v/>
      </c>
      <c r="AE968" s="57" t="str">
        <f>IF(B968="","",YEAR(C968))</f>
        <v/>
      </c>
      <c r="AF968" s="57" t="str">
        <f>IF(B968="","",MONTH(C968))</f>
        <v/>
      </c>
      <c r="AG968" s="57">
        <f>IF(ISNUMBER(C968),C968,0)</f>
        <v>0.0</v>
      </c>
      <c r="AH968" s="57" t="str">
        <f>IF(N(W968)&gt;0,COUNTIF(W$6:W968,"&gt;0"),"")</f>
        <v/>
      </c>
      <c r="AI968" s="57" t="str">
        <f>IF(Z968=1,COUNTIF(Z$6:Z968,1),"")</f>
        <v/>
      </c>
    </row>
    <row r="969">
      <c r="A969" s="54" t="n"/>
      <c r="B969" s="55" t="str">
        <f>IF(AA969="","",A969&amp;"-"&amp;RIGHT("000"&amp;AA969,4))</f>
        <v/>
      </c>
      <c r="C969" s="56" t="n"/>
      <c r="D969" s="54" t="n"/>
      <c r="E969" s="57" t="str">
        <f>IF(D969="","",IF(A969="BL",IFERROR(INDEX(cl_name,MATCH(D969,cl_code,0))&amp;"","Client inconnu"),IF(A969="BR",IFERROR(INDEX(fo_name,MATCH(D969,fo_code,0))&amp;"","Fournisseur inconnu"),IF(A969="BS",IF(ISNA(MATCH(D969,p_services,0)),"Service inconnu",D969&amp;""),""))))</f>
        <v/>
      </c>
      <c r="F969" s="58" t="n"/>
      <c r="G969" s="58" t="n"/>
      <c r="H969" s="59" t="n"/>
      <c r="I969" s="57" t="str">
        <f>IF(H969="","",IFERROR(INDEX(art_des,MATCH(H969,art_ref,0))&amp;"","Article inconnu"))</f>
        <v/>
      </c>
      <c r="J969" s="60" t="str">
        <f>IF(H969="","",IFERROR(INDEX(art_unit,MATCH(H969,art_ref,0))&amp;"",""))</f>
        <v/>
      </c>
      <c r="K969" s="59" t="n"/>
      <c r="L969" s="59" t="n"/>
      <c r="M969" s="61" t="str">
        <f>IF(OR(B969="",NOT(ISNUMBER(K969)),NOT(ISNUMBER(L969))),"",IF(OR(K969&lt;=0,L969&lt;=0),"",ROUND(L969-K969,6)))</f>
        <v/>
      </c>
      <c r="N969" s="58" t="n"/>
      <c r="O969" s="62" t="n"/>
      <c r="P969" s="63" t="str">
        <f>IF(OR(B969="",NOT(ISNUMBER(L969))),"",IF(L969&lt;=0,"",IFERROR(ROUND(L969*N(INDEX(art_w,MATCH(H969,art_ref,0))),3),"")))</f>
        <v/>
      </c>
      <c r="Q969" s="59" t="n"/>
      <c r="R969" s="54" t="n"/>
      <c r="S969" s="59" t="n"/>
      <c r="T969" s="59" t="n"/>
      <c r="U969" s="64" t="str">
        <f>IF(OR(B969="",H969=""),"",IFERROR(IF(A969="BL",IF(N(INDEX(art_price,MATCH(H969,art_ref,0)))=0,"",N(INDEX(art_price,MATCH(H969,art_ref,0)))),IF(N(INDEX(art_cost,MATCH(H969,art_ref,0)))=0,"",N(INDEX(art_cost,MATCH(H969,art_ref,0))))),""))</f>
        <v/>
      </c>
      <c r="V969" s="64" t="str">
        <f>IF(OR(U969="",NOT(ISNUMBER(L969))),"",IF(L969&lt;=0,"",ROUND(L969*U969,2)))</f>
        <v/>
      </c>
      <c r="W969" s="60" t="str">
        <f>IF(AND(B969&lt;&gt;"",A969&lt;&gt;"BS",F969&lt;&gt;"",H969&lt;&gt;"",ISNUMBER(K969),ISNUMBER(L969)),IF(AND(K969&gt;0,L969&gt;0,K969-L969&gt;0,COUNTIFS(A970:A$2005,A969,F970:F$2005,F969,H970:H$2005,H969,AA970:AA$2005,"&gt;0")=0),ROUND(K969-L969,6),""),"")</f>
        <v/>
      </c>
      <c r="X969" s="60" t="str">
        <f>IF(AND(A969="",C969="",D969="",H969="",L969=""),"",IF(A969="","Type manquant",IF(AND(A969&lt;&gt;"BL",A969&lt;&gt;"BR",A969&lt;&gt;"BS"),"Type inconnu (BL, BR ou BS)",IF(AG969=0,"Date manquante ou invalide",IF(D969="",IF(A969="BL","Client manquant",IF(A969="BR","Fournisseur manquant","Service manquant")),IF(IF(A969="BL",ISNA(MATCH(D969,cl_code,0)),IF(A969="BR",ISNA(MATCH(D969,fo_code,0)),ISNA(MATCH(D969,p_services,0)))),IF(A969="BL","Client inconnu",IF(A969="BR","Fournisseur inconnu","Service inconnu")),IF(H969="","Article manquant",IF(ISNA(MATCH(H969,art_ref,0)),"Article inconnu",IF(OR(NOT(ISNUMBER(L969)),N(L969)&lt;=0),"Quantité invalide",IF(AND(K969&lt;&gt;"",OR(NOT(ISNUMBER(K969)),N(K969)&lt;=0)),"Qté commandée invalide",IF(AG969&lt;SUMPRODUCT(MAX((A$6:A968=A969)*AG$6:AG968)),"Date antérieure au bon précédent",IF(AND(A969&lt;&gt;"BR",ISNUMBER(M969),N(M969)&gt;0),IF(A969="BL","Livré plus que commandé","Sorti plus que demandé"),"OK"))))))))))))</f>
        <v/>
      </c>
      <c r="Y969" s="57" t="str">
        <f>IF(AND(OR(A969="BL",A969="BR",A969="BS"),AG969&gt;0,D969&lt;&gt;""),A969&amp;"|"&amp;AG969&amp;"|"&amp;D969&amp;"|"&amp;F969,"")</f>
        <v/>
      </c>
      <c r="Z969" s="57" t="str">
        <f>IF(Y969="","",IF(COUNTIF(Y$6:Y968,Y969)=0,1,0))</f>
        <v/>
      </c>
      <c r="AA969" s="57" t="str">
        <f>IF(Y969="","",IF(Z969=1,COUNTIFS(A$6:A969,A969,Z$6:Z969,1),INDEX(AA$6:AA968,MATCH(Y969,Y$6:Y968,0))))</f>
        <v/>
      </c>
      <c r="AB969" s="57" t="str">
        <f>IF(B969="","",COUNTIF(B$6:B969,B969))</f>
        <v/>
      </c>
      <c r="AC969" s="57" t="str">
        <f>IF(B969="","",B969&amp;"#"&amp;AB969)</f>
        <v/>
      </c>
      <c r="AD969" s="57" t="str">
        <f>IF(Z969=1,A969&amp;AA969,"")</f>
        <v/>
      </c>
      <c r="AE969" s="57" t="str">
        <f>IF(B969="","",YEAR(C969))</f>
        <v/>
      </c>
      <c r="AF969" s="57" t="str">
        <f>IF(B969="","",MONTH(C969))</f>
        <v/>
      </c>
      <c r="AG969" s="57">
        <f>IF(ISNUMBER(C969),C969,0)</f>
        <v>0.0</v>
      </c>
      <c r="AH969" s="57" t="str">
        <f>IF(N(W969)&gt;0,COUNTIF(W$6:W969,"&gt;0"),"")</f>
        <v/>
      </c>
      <c r="AI969" s="57" t="str">
        <f>IF(Z969=1,COUNTIF(Z$6:Z969,1),"")</f>
        <v/>
      </c>
    </row>
    <row r="970">
      <c r="A970" s="54" t="n"/>
      <c r="B970" s="55" t="str">
        <f>IF(AA970="","",A970&amp;"-"&amp;RIGHT("000"&amp;AA970,4))</f>
        <v/>
      </c>
      <c r="C970" s="56" t="n"/>
      <c r="D970" s="54" t="n"/>
      <c r="E970" s="57" t="str">
        <f>IF(D970="","",IF(A970="BL",IFERROR(INDEX(cl_name,MATCH(D970,cl_code,0))&amp;"","Client inconnu"),IF(A970="BR",IFERROR(INDEX(fo_name,MATCH(D970,fo_code,0))&amp;"","Fournisseur inconnu"),IF(A970="BS",IF(ISNA(MATCH(D970,p_services,0)),"Service inconnu",D970&amp;""),""))))</f>
        <v/>
      </c>
      <c r="F970" s="58" t="n"/>
      <c r="G970" s="58" t="n"/>
      <c r="H970" s="59" t="n"/>
      <c r="I970" s="57" t="str">
        <f>IF(H970="","",IFERROR(INDEX(art_des,MATCH(H970,art_ref,0))&amp;"","Article inconnu"))</f>
        <v/>
      </c>
      <c r="J970" s="60" t="str">
        <f>IF(H970="","",IFERROR(INDEX(art_unit,MATCH(H970,art_ref,0))&amp;"",""))</f>
        <v/>
      </c>
      <c r="K970" s="59" t="n"/>
      <c r="L970" s="59" t="n"/>
      <c r="M970" s="61" t="str">
        <f>IF(OR(B970="",NOT(ISNUMBER(K970)),NOT(ISNUMBER(L970))),"",IF(OR(K970&lt;=0,L970&lt;=0),"",ROUND(L970-K970,6)))</f>
        <v/>
      </c>
      <c r="N970" s="58" t="n"/>
      <c r="O970" s="62" t="n"/>
      <c r="P970" s="63" t="str">
        <f>IF(OR(B970="",NOT(ISNUMBER(L970))),"",IF(L970&lt;=0,"",IFERROR(ROUND(L970*N(INDEX(art_w,MATCH(H970,art_ref,0))),3),"")))</f>
        <v/>
      </c>
      <c r="Q970" s="59" t="n"/>
      <c r="R970" s="54" t="n"/>
      <c r="S970" s="59" t="n"/>
      <c r="T970" s="59" t="n"/>
      <c r="U970" s="64" t="str">
        <f>IF(OR(B970="",H970=""),"",IFERROR(IF(A970="BL",IF(N(INDEX(art_price,MATCH(H970,art_ref,0)))=0,"",N(INDEX(art_price,MATCH(H970,art_ref,0)))),IF(N(INDEX(art_cost,MATCH(H970,art_ref,0)))=0,"",N(INDEX(art_cost,MATCH(H970,art_ref,0))))),""))</f>
        <v/>
      </c>
      <c r="V970" s="64" t="str">
        <f>IF(OR(U970="",NOT(ISNUMBER(L970))),"",IF(L970&lt;=0,"",ROUND(L970*U970,2)))</f>
        <v/>
      </c>
      <c r="W970" s="60" t="str">
        <f>IF(AND(B970&lt;&gt;"",A970&lt;&gt;"BS",F970&lt;&gt;"",H970&lt;&gt;"",ISNUMBER(K970),ISNUMBER(L970)),IF(AND(K970&gt;0,L970&gt;0,K970-L970&gt;0,COUNTIFS(A971:A$2005,A970,F971:F$2005,F970,H971:H$2005,H970,AA971:AA$2005,"&gt;0")=0),ROUND(K970-L970,6),""),"")</f>
        <v/>
      </c>
      <c r="X970" s="60" t="str">
        <f>IF(AND(A970="",C970="",D970="",H970="",L970=""),"",IF(A970="","Type manquant",IF(AND(A970&lt;&gt;"BL",A970&lt;&gt;"BR",A970&lt;&gt;"BS"),"Type inconnu (BL, BR ou BS)",IF(AG970=0,"Date manquante ou invalide",IF(D970="",IF(A970="BL","Client manquant",IF(A970="BR","Fournisseur manquant","Service manquant")),IF(IF(A970="BL",ISNA(MATCH(D970,cl_code,0)),IF(A970="BR",ISNA(MATCH(D970,fo_code,0)),ISNA(MATCH(D970,p_services,0)))),IF(A970="BL","Client inconnu",IF(A970="BR","Fournisseur inconnu","Service inconnu")),IF(H970="","Article manquant",IF(ISNA(MATCH(H970,art_ref,0)),"Article inconnu",IF(OR(NOT(ISNUMBER(L970)),N(L970)&lt;=0),"Quantité invalide",IF(AND(K970&lt;&gt;"",OR(NOT(ISNUMBER(K970)),N(K970)&lt;=0)),"Qté commandée invalide",IF(AG970&lt;SUMPRODUCT(MAX((A$6:A969=A970)*AG$6:AG969)),"Date antérieure au bon précédent",IF(AND(A970&lt;&gt;"BR",ISNUMBER(M970),N(M970)&gt;0),IF(A970="BL","Livré plus que commandé","Sorti plus que demandé"),"OK"))))))))))))</f>
        <v/>
      </c>
      <c r="Y970" s="57" t="str">
        <f>IF(AND(OR(A970="BL",A970="BR",A970="BS"),AG970&gt;0,D970&lt;&gt;""),A970&amp;"|"&amp;AG970&amp;"|"&amp;D970&amp;"|"&amp;F970,"")</f>
        <v/>
      </c>
      <c r="Z970" s="57" t="str">
        <f>IF(Y970="","",IF(COUNTIF(Y$6:Y969,Y970)=0,1,0))</f>
        <v/>
      </c>
      <c r="AA970" s="57" t="str">
        <f>IF(Y970="","",IF(Z970=1,COUNTIFS(A$6:A970,A970,Z$6:Z970,1),INDEX(AA$6:AA969,MATCH(Y970,Y$6:Y969,0))))</f>
        <v/>
      </c>
      <c r="AB970" s="57" t="str">
        <f>IF(B970="","",COUNTIF(B$6:B970,B970))</f>
        <v/>
      </c>
      <c r="AC970" s="57" t="str">
        <f>IF(B970="","",B970&amp;"#"&amp;AB970)</f>
        <v/>
      </c>
      <c r="AD970" s="57" t="str">
        <f>IF(Z970=1,A970&amp;AA970,"")</f>
        <v/>
      </c>
      <c r="AE970" s="57" t="str">
        <f>IF(B970="","",YEAR(C970))</f>
        <v/>
      </c>
      <c r="AF970" s="57" t="str">
        <f>IF(B970="","",MONTH(C970))</f>
        <v/>
      </c>
      <c r="AG970" s="57">
        <f>IF(ISNUMBER(C970),C970,0)</f>
        <v>0.0</v>
      </c>
      <c r="AH970" s="57" t="str">
        <f>IF(N(W970)&gt;0,COUNTIF(W$6:W970,"&gt;0"),"")</f>
        <v/>
      </c>
      <c r="AI970" s="57" t="str">
        <f>IF(Z970=1,COUNTIF(Z$6:Z970,1),"")</f>
        <v/>
      </c>
    </row>
    <row r="971">
      <c r="A971" s="54" t="n"/>
      <c r="B971" s="55" t="str">
        <f>IF(AA971="","",A971&amp;"-"&amp;RIGHT("000"&amp;AA971,4))</f>
        <v/>
      </c>
      <c r="C971" s="56" t="n"/>
      <c r="D971" s="54" t="n"/>
      <c r="E971" s="57" t="str">
        <f>IF(D971="","",IF(A971="BL",IFERROR(INDEX(cl_name,MATCH(D971,cl_code,0))&amp;"","Client inconnu"),IF(A971="BR",IFERROR(INDEX(fo_name,MATCH(D971,fo_code,0))&amp;"","Fournisseur inconnu"),IF(A971="BS",IF(ISNA(MATCH(D971,p_services,0)),"Service inconnu",D971&amp;""),""))))</f>
        <v/>
      </c>
      <c r="F971" s="58" t="n"/>
      <c r="G971" s="58" t="n"/>
      <c r="H971" s="59" t="n"/>
      <c r="I971" s="57" t="str">
        <f>IF(H971="","",IFERROR(INDEX(art_des,MATCH(H971,art_ref,0))&amp;"","Article inconnu"))</f>
        <v/>
      </c>
      <c r="J971" s="60" t="str">
        <f>IF(H971="","",IFERROR(INDEX(art_unit,MATCH(H971,art_ref,0))&amp;"",""))</f>
        <v/>
      </c>
      <c r="K971" s="59" t="n"/>
      <c r="L971" s="59" t="n"/>
      <c r="M971" s="61" t="str">
        <f>IF(OR(B971="",NOT(ISNUMBER(K971)),NOT(ISNUMBER(L971))),"",IF(OR(K971&lt;=0,L971&lt;=0),"",ROUND(L971-K971,6)))</f>
        <v/>
      </c>
      <c r="N971" s="58" t="n"/>
      <c r="O971" s="62" t="n"/>
      <c r="P971" s="63" t="str">
        <f>IF(OR(B971="",NOT(ISNUMBER(L971))),"",IF(L971&lt;=0,"",IFERROR(ROUND(L971*N(INDEX(art_w,MATCH(H971,art_ref,0))),3),"")))</f>
        <v/>
      </c>
      <c r="Q971" s="59" t="n"/>
      <c r="R971" s="54" t="n"/>
      <c r="S971" s="59" t="n"/>
      <c r="T971" s="59" t="n"/>
      <c r="U971" s="64" t="str">
        <f>IF(OR(B971="",H971=""),"",IFERROR(IF(A971="BL",IF(N(INDEX(art_price,MATCH(H971,art_ref,0)))=0,"",N(INDEX(art_price,MATCH(H971,art_ref,0)))),IF(N(INDEX(art_cost,MATCH(H971,art_ref,0)))=0,"",N(INDEX(art_cost,MATCH(H971,art_ref,0))))),""))</f>
        <v/>
      </c>
      <c r="V971" s="64" t="str">
        <f>IF(OR(U971="",NOT(ISNUMBER(L971))),"",IF(L971&lt;=0,"",ROUND(L971*U971,2)))</f>
        <v/>
      </c>
      <c r="W971" s="60" t="str">
        <f>IF(AND(B971&lt;&gt;"",A971&lt;&gt;"BS",F971&lt;&gt;"",H971&lt;&gt;"",ISNUMBER(K971),ISNUMBER(L971)),IF(AND(K971&gt;0,L971&gt;0,K971-L971&gt;0,COUNTIFS(A972:A$2005,A971,F972:F$2005,F971,H972:H$2005,H971,AA972:AA$2005,"&gt;0")=0),ROUND(K971-L971,6),""),"")</f>
        <v/>
      </c>
      <c r="X971" s="60" t="str">
        <f>IF(AND(A971="",C971="",D971="",H971="",L971=""),"",IF(A971="","Type manquant",IF(AND(A971&lt;&gt;"BL",A971&lt;&gt;"BR",A971&lt;&gt;"BS"),"Type inconnu (BL, BR ou BS)",IF(AG971=0,"Date manquante ou invalide",IF(D971="",IF(A971="BL","Client manquant",IF(A971="BR","Fournisseur manquant","Service manquant")),IF(IF(A971="BL",ISNA(MATCH(D971,cl_code,0)),IF(A971="BR",ISNA(MATCH(D971,fo_code,0)),ISNA(MATCH(D971,p_services,0)))),IF(A971="BL","Client inconnu",IF(A971="BR","Fournisseur inconnu","Service inconnu")),IF(H971="","Article manquant",IF(ISNA(MATCH(H971,art_ref,0)),"Article inconnu",IF(OR(NOT(ISNUMBER(L971)),N(L971)&lt;=0),"Quantité invalide",IF(AND(K971&lt;&gt;"",OR(NOT(ISNUMBER(K971)),N(K971)&lt;=0)),"Qté commandée invalide",IF(AG971&lt;SUMPRODUCT(MAX((A$6:A970=A971)*AG$6:AG970)),"Date antérieure au bon précédent",IF(AND(A971&lt;&gt;"BR",ISNUMBER(M971),N(M971)&gt;0),IF(A971="BL","Livré plus que commandé","Sorti plus que demandé"),"OK"))))))))))))</f>
        <v/>
      </c>
      <c r="Y971" s="57" t="str">
        <f>IF(AND(OR(A971="BL",A971="BR",A971="BS"),AG971&gt;0,D971&lt;&gt;""),A971&amp;"|"&amp;AG971&amp;"|"&amp;D971&amp;"|"&amp;F971,"")</f>
        <v/>
      </c>
      <c r="Z971" s="57" t="str">
        <f>IF(Y971="","",IF(COUNTIF(Y$6:Y970,Y971)=0,1,0))</f>
        <v/>
      </c>
      <c r="AA971" s="57" t="str">
        <f>IF(Y971="","",IF(Z971=1,COUNTIFS(A$6:A971,A971,Z$6:Z971,1),INDEX(AA$6:AA970,MATCH(Y971,Y$6:Y970,0))))</f>
        <v/>
      </c>
      <c r="AB971" s="57" t="str">
        <f>IF(B971="","",COUNTIF(B$6:B971,B971))</f>
        <v/>
      </c>
      <c r="AC971" s="57" t="str">
        <f>IF(B971="","",B971&amp;"#"&amp;AB971)</f>
        <v/>
      </c>
      <c r="AD971" s="57" t="str">
        <f>IF(Z971=1,A971&amp;AA971,"")</f>
        <v/>
      </c>
      <c r="AE971" s="57" t="str">
        <f>IF(B971="","",YEAR(C971))</f>
        <v/>
      </c>
      <c r="AF971" s="57" t="str">
        <f>IF(B971="","",MONTH(C971))</f>
        <v/>
      </c>
      <c r="AG971" s="57">
        <f>IF(ISNUMBER(C971),C971,0)</f>
        <v>0.0</v>
      </c>
      <c r="AH971" s="57" t="str">
        <f>IF(N(W971)&gt;0,COUNTIF(W$6:W971,"&gt;0"),"")</f>
        <v/>
      </c>
      <c r="AI971" s="57" t="str">
        <f>IF(Z971=1,COUNTIF(Z$6:Z971,1),"")</f>
        <v/>
      </c>
    </row>
    <row r="972">
      <c r="A972" s="54" t="n"/>
      <c r="B972" s="55" t="str">
        <f>IF(AA972="","",A972&amp;"-"&amp;RIGHT("000"&amp;AA972,4))</f>
        <v/>
      </c>
      <c r="C972" s="56" t="n"/>
      <c r="D972" s="54" t="n"/>
      <c r="E972" s="57" t="str">
        <f>IF(D972="","",IF(A972="BL",IFERROR(INDEX(cl_name,MATCH(D972,cl_code,0))&amp;"","Client inconnu"),IF(A972="BR",IFERROR(INDEX(fo_name,MATCH(D972,fo_code,0))&amp;"","Fournisseur inconnu"),IF(A972="BS",IF(ISNA(MATCH(D972,p_services,0)),"Service inconnu",D972&amp;""),""))))</f>
        <v/>
      </c>
      <c r="F972" s="58" t="n"/>
      <c r="G972" s="58" t="n"/>
      <c r="H972" s="59" t="n"/>
      <c r="I972" s="57" t="str">
        <f>IF(H972="","",IFERROR(INDEX(art_des,MATCH(H972,art_ref,0))&amp;"","Article inconnu"))</f>
        <v/>
      </c>
      <c r="J972" s="60" t="str">
        <f>IF(H972="","",IFERROR(INDEX(art_unit,MATCH(H972,art_ref,0))&amp;"",""))</f>
        <v/>
      </c>
      <c r="K972" s="59" t="n"/>
      <c r="L972" s="59" t="n"/>
      <c r="M972" s="61" t="str">
        <f>IF(OR(B972="",NOT(ISNUMBER(K972)),NOT(ISNUMBER(L972))),"",IF(OR(K972&lt;=0,L972&lt;=0),"",ROUND(L972-K972,6)))</f>
        <v/>
      </c>
      <c r="N972" s="58" t="n"/>
      <c r="O972" s="62" t="n"/>
      <c r="P972" s="63" t="str">
        <f>IF(OR(B972="",NOT(ISNUMBER(L972))),"",IF(L972&lt;=0,"",IFERROR(ROUND(L972*N(INDEX(art_w,MATCH(H972,art_ref,0))),3),"")))</f>
        <v/>
      </c>
      <c r="Q972" s="59" t="n"/>
      <c r="R972" s="54" t="n"/>
      <c r="S972" s="59" t="n"/>
      <c r="T972" s="59" t="n"/>
      <c r="U972" s="64" t="str">
        <f>IF(OR(B972="",H972=""),"",IFERROR(IF(A972="BL",IF(N(INDEX(art_price,MATCH(H972,art_ref,0)))=0,"",N(INDEX(art_price,MATCH(H972,art_ref,0)))),IF(N(INDEX(art_cost,MATCH(H972,art_ref,0)))=0,"",N(INDEX(art_cost,MATCH(H972,art_ref,0))))),""))</f>
        <v/>
      </c>
      <c r="V972" s="64" t="str">
        <f>IF(OR(U972="",NOT(ISNUMBER(L972))),"",IF(L972&lt;=0,"",ROUND(L972*U972,2)))</f>
        <v/>
      </c>
      <c r="W972" s="60" t="str">
        <f>IF(AND(B972&lt;&gt;"",A972&lt;&gt;"BS",F972&lt;&gt;"",H972&lt;&gt;"",ISNUMBER(K972),ISNUMBER(L972)),IF(AND(K972&gt;0,L972&gt;0,K972-L972&gt;0,COUNTIFS(A973:A$2005,A972,F973:F$2005,F972,H973:H$2005,H972,AA973:AA$2005,"&gt;0")=0),ROUND(K972-L972,6),""),"")</f>
        <v/>
      </c>
      <c r="X972" s="60" t="str">
        <f>IF(AND(A972="",C972="",D972="",H972="",L972=""),"",IF(A972="","Type manquant",IF(AND(A972&lt;&gt;"BL",A972&lt;&gt;"BR",A972&lt;&gt;"BS"),"Type inconnu (BL, BR ou BS)",IF(AG972=0,"Date manquante ou invalide",IF(D972="",IF(A972="BL","Client manquant",IF(A972="BR","Fournisseur manquant","Service manquant")),IF(IF(A972="BL",ISNA(MATCH(D972,cl_code,0)),IF(A972="BR",ISNA(MATCH(D972,fo_code,0)),ISNA(MATCH(D972,p_services,0)))),IF(A972="BL","Client inconnu",IF(A972="BR","Fournisseur inconnu","Service inconnu")),IF(H972="","Article manquant",IF(ISNA(MATCH(H972,art_ref,0)),"Article inconnu",IF(OR(NOT(ISNUMBER(L972)),N(L972)&lt;=0),"Quantité invalide",IF(AND(K972&lt;&gt;"",OR(NOT(ISNUMBER(K972)),N(K972)&lt;=0)),"Qté commandée invalide",IF(AG972&lt;SUMPRODUCT(MAX((A$6:A971=A972)*AG$6:AG971)),"Date antérieure au bon précédent",IF(AND(A972&lt;&gt;"BR",ISNUMBER(M972),N(M972)&gt;0),IF(A972="BL","Livré plus que commandé","Sorti plus que demandé"),"OK"))))))))))))</f>
        <v/>
      </c>
      <c r="Y972" s="57" t="str">
        <f>IF(AND(OR(A972="BL",A972="BR",A972="BS"),AG972&gt;0,D972&lt;&gt;""),A972&amp;"|"&amp;AG972&amp;"|"&amp;D972&amp;"|"&amp;F972,"")</f>
        <v/>
      </c>
      <c r="Z972" s="57" t="str">
        <f>IF(Y972="","",IF(COUNTIF(Y$6:Y971,Y972)=0,1,0))</f>
        <v/>
      </c>
      <c r="AA972" s="57" t="str">
        <f>IF(Y972="","",IF(Z972=1,COUNTIFS(A$6:A972,A972,Z$6:Z972,1),INDEX(AA$6:AA971,MATCH(Y972,Y$6:Y971,0))))</f>
        <v/>
      </c>
      <c r="AB972" s="57" t="str">
        <f>IF(B972="","",COUNTIF(B$6:B972,B972))</f>
        <v/>
      </c>
      <c r="AC972" s="57" t="str">
        <f>IF(B972="","",B972&amp;"#"&amp;AB972)</f>
        <v/>
      </c>
      <c r="AD972" s="57" t="str">
        <f>IF(Z972=1,A972&amp;AA972,"")</f>
        <v/>
      </c>
      <c r="AE972" s="57" t="str">
        <f>IF(B972="","",YEAR(C972))</f>
        <v/>
      </c>
      <c r="AF972" s="57" t="str">
        <f>IF(B972="","",MONTH(C972))</f>
        <v/>
      </c>
      <c r="AG972" s="57">
        <f>IF(ISNUMBER(C972),C972,0)</f>
        <v>0.0</v>
      </c>
      <c r="AH972" s="57" t="str">
        <f>IF(N(W972)&gt;0,COUNTIF(W$6:W972,"&gt;0"),"")</f>
        <v/>
      </c>
      <c r="AI972" s="57" t="str">
        <f>IF(Z972=1,COUNTIF(Z$6:Z972,1),"")</f>
        <v/>
      </c>
    </row>
    <row r="973">
      <c r="A973" s="54" t="n"/>
      <c r="B973" s="55" t="str">
        <f>IF(AA973="","",A973&amp;"-"&amp;RIGHT("000"&amp;AA973,4))</f>
        <v/>
      </c>
      <c r="C973" s="56" t="n"/>
      <c r="D973" s="54" t="n"/>
      <c r="E973" s="57" t="str">
        <f>IF(D973="","",IF(A973="BL",IFERROR(INDEX(cl_name,MATCH(D973,cl_code,0))&amp;"","Client inconnu"),IF(A973="BR",IFERROR(INDEX(fo_name,MATCH(D973,fo_code,0))&amp;"","Fournisseur inconnu"),IF(A973="BS",IF(ISNA(MATCH(D973,p_services,0)),"Service inconnu",D973&amp;""),""))))</f>
        <v/>
      </c>
      <c r="F973" s="58" t="n"/>
      <c r="G973" s="58" t="n"/>
      <c r="H973" s="59" t="n"/>
      <c r="I973" s="57" t="str">
        <f>IF(H973="","",IFERROR(INDEX(art_des,MATCH(H973,art_ref,0))&amp;"","Article inconnu"))</f>
        <v/>
      </c>
      <c r="J973" s="60" t="str">
        <f>IF(H973="","",IFERROR(INDEX(art_unit,MATCH(H973,art_ref,0))&amp;"",""))</f>
        <v/>
      </c>
      <c r="K973" s="59" t="n"/>
      <c r="L973" s="59" t="n"/>
      <c r="M973" s="61" t="str">
        <f>IF(OR(B973="",NOT(ISNUMBER(K973)),NOT(ISNUMBER(L973))),"",IF(OR(K973&lt;=0,L973&lt;=0),"",ROUND(L973-K973,6)))</f>
        <v/>
      </c>
      <c r="N973" s="58" t="n"/>
      <c r="O973" s="62" t="n"/>
      <c r="P973" s="63" t="str">
        <f>IF(OR(B973="",NOT(ISNUMBER(L973))),"",IF(L973&lt;=0,"",IFERROR(ROUND(L973*N(INDEX(art_w,MATCH(H973,art_ref,0))),3),"")))</f>
        <v/>
      </c>
      <c r="Q973" s="59" t="n"/>
      <c r="R973" s="54" t="n"/>
      <c r="S973" s="59" t="n"/>
      <c r="T973" s="59" t="n"/>
      <c r="U973" s="64" t="str">
        <f>IF(OR(B973="",H973=""),"",IFERROR(IF(A973="BL",IF(N(INDEX(art_price,MATCH(H973,art_ref,0)))=0,"",N(INDEX(art_price,MATCH(H973,art_ref,0)))),IF(N(INDEX(art_cost,MATCH(H973,art_ref,0)))=0,"",N(INDEX(art_cost,MATCH(H973,art_ref,0))))),""))</f>
        <v/>
      </c>
      <c r="V973" s="64" t="str">
        <f>IF(OR(U973="",NOT(ISNUMBER(L973))),"",IF(L973&lt;=0,"",ROUND(L973*U973,2)))</f>
        <v/>
      </c>
      <c r="W973" s="60" t="str">
        <f>IF(AND(B973&lt;&gt;"",A973&lt;&gt;"BS",F973&lt;&gt;"",H973&lt;&gt;"",ISNUMBER(K973),ISNUMBER(L973)),IF(AND(K973&gt;0,L973&gt;0,K973-L973&gt;0,COUNTIFS(A974:A$2005,A973,F974:F$2005,F973,H974:H$2005,H973,AA974:AA$2005,"&gt;0")=0),ROUND(K973-L973,6),""),"")</f>
        <v/>
      </c>
      <c r="X973" s="60" t="str">
        <f>IF(AND(A973="",C973="",D973="",H973="",L973=""),"",IF(A973="","Type manquant",IF(AND(A973&lt;&gt;"BL",A973&lt;&gt;"BR",A973&lt;&gt;"BS"),"Type inconnu (BL, BR ou BS)",IF(AG973=0,"Date manquante ou invalide",IF(D973="",IF(A973="BL","Client manquant",IF(A973="BR","Fournisseur manquant","Service manquant")),IF(IF(A973="BL",ISNA(MATCH(D973,cl_code,0)),IF(A973="BR",ISNA(MATCH(D973,fo_code,0)),ISNA(MATCH(D973,p_services,0)))),IF(A973="BL","Client inconnu",IF(A973="BR","Fournisseur inconnu","Service inconnu")),IF(H973="","Article manquant",IF(ISNA(MATCH(H973,art_ref,0)),"Article inconnu",IF(OR(NOT(ISNUMBER(L973)),N(L973)&lt;=0),"Quantité invalide",IF(AND(K973&lt;&gt;"",OR(NOT(ISNUMBER(K973)),N(K973)&lt;=0)),"Qté commandée invalide",IF(AG973&lt;SUMPRODUCT(MAX((A$6:A972=A973)*AG$6:AG972)),"Date antérieure au bon précédent",IF(AND(A973&lt;&gt;"BR",ISNUMBER(M973),N(M973)&gt;0),IF(A973="BL","Livré plus que commandé","Sorti plus que demandé"),"OK"))))))))))))</f>
        <v/>
      </c>
      <c r="Y973" s="57" t="str">
        <f>IF(AND(OR(A973="BL",A973="BR",A973="BS"),AG973&gt;0,D973&lt;&gt;""),A973&amp;"|"&amp;AG973&amp;"|"&amp;D973&amp;"|"&amp;F973,"")</f>
        <v/>
      </c>
      <c r="Z973" s="57" t="str">
        <f>IF(Y973="","",IF(COUNTIF(Y$6:Y972,Y973)=0,1,0))</f>
        <v/>
      </c>
      <c r="AA973" s="57" t="str">
        <f>IF(Y973="","",IF(Z973=1,COUNTIFS(A$6:A973,A973,Z$6:Z973,1),INDEX(AA$6:AA972,MATCH(Y973,Y$6:Y972,0))))</f>
        <v/>
      </c>
      <c r="AB973" s="57" t="str">
        <f>IF(B973="","",COUNTIF(B$6:B973,B973))</f>
        <v/>
      </c>
      <c r="AC973" s="57" t="str">
        <f>IF(B973="","",B973&amp;"#"&amp;AB973)</f>
        <v/>
      </c>
      <c r="AD973" s="57" t="str">
        <f>IF(Z973=1,A973&amp;AA973,"")</f>
        <v/>
      </c>
      <c r="AE973" s="57" t="str">
        <f>IF(B973="","",YEAR(C973))</f>
        <v/>
      </c>
      <c r="AF973" s="57" t="str">
        <f>IF(B973="","",MONTH(C973))</f>
        <v/>
      </c>
      <c r="AG973" s="57">
        <f>IF(ISNUMBER(C973),C973,0)</f>
        <v>0.0</v>
      </c>
      <c r="AH973" s="57" t="str">
        <f>IF(N(W973)&gt;0,COUNTIF(W$6:W973,"&gt;0"),"")</f>
        <v/>
      </c>
      <c r="AI973" s="57" t="str">
        <f>IF(Z973=1,COUNTIF(Z$6:Z973,1),"")</f>
        <v/>
      </c>
    </row>
    <row r="974">
      <c r="A974" s="54" t="n"/>
      <c r="B974" s="55" t="str">
        <f>IF(AA974="","",A974&amp;"-"&amp;RIGHT("000"&amp;AA974,4))</f>
        <v/>
      </c>
      <c r="C974" s="56" t="n"/>
      <c r="D974" s="54" t="n"/>
      <c r="E974" s="57" t="str">
        <f>IF(D974="","",IF(A974="BL",IFERROR(INDEX(cl_name,MATCH(D974,cl_code,0))&amp;"","Client inconnu"),IF(A974="BR",IFERROR(INDEX(fo_name,MATCH(D974,fo_code,0))&amp;"","Fournisseur inconnu"),IF(A974="BS",IF(ISNA(MATCH(D974,p_services,0)),"Service inconnu",D974&amp;""),""))))</f>
        <v/>
      </c>
      <c r="F974" s="58" t="n"/>
      <c r="G974" s="58" t="n"/>
      <c r="H974" s="59" t="n"/>
      <c r="I974" s="57" t="str">
        <f>IF(H974="","",IFERROR(INDEX(art_des,MATCH(H974,art_ref,0))&amp;"","Article inconnu"))</f>
        <v/>
      </c>
      <c r="J974" s="60" t="str">
        <f>IF(H974="","",IFERROR(INDEX(art_unit,MATCH(H974,art_ref,0))&amp;"",""))</f>
        <v/>
      </c>
      <c r="K974" s="59" t="n"/>
      <c r="L974" s="59" t="n"/>
      <c r="M974" s="61" t="str">
        <f>IF(OR(B974="",NOT(ISNUMBER(K974)),NOT(ISNUMBER(L974))),"",IF(OR(K974&lt;=0,L974&lt;=0),"",ROUND(L974-K974,6)))</f>
        <v/>
      </c>
      <c r="N974" s="58" t="n"/>
      <c r="O974" s="62" t="n"/>
      <c r="P974" s="63" t="str">
        <f>IF(OR(B974="",NOT(ISNUMBER(L974))),"",IF(L974&lt;=0,"",IFERROR(ROUND(L974*N(INDEX(art_w,MATCH(H974,art_ref,0))),3),"")))</f>
        <v/>
      </c>
      <c r="Q974" s="59" t="n"/>
      <c r="R974" s="54" t="n"/>
      <c r="S974" s="59" t="n"/>
      <c r="T974" s="59" t="n"/>
      <c r="U974" s="64" t="str">
        <f>IF(OR(B974="",H974=""),"",IFERROR(IF(A974="BL",IF(N(INDEX(art_price,MATCH(H974,art_ref,0)))=0,"",N(INDEX(art_price,MATCH(H974,art_ref,0)))),IF(N(INDEX(art_cost,MATCH(H974,art_ref,0)))=0,"",N(INDEX(art_cost,MATCH(H974,art_ref,0))))),""))</f>
        <v/>
      </c>
      <c r="V974" s="64" t="str">
        <f>IF(OR(U974="",NOT(ISNUMBER(L974))),"",IF(L974&lt;=0,"",ROUND(L974*U974,2)))</f>
        <v/>
      </c>
      <c r="W974" s="60" t="str">
        <f>IF(AND(B974&lt;&gt;"",A974&lt;&gt;"BS",F974&lt;&gt;"",H974&lt;&gt;"",ISNUMBER(K974),ISNUMBER(L974)),IF(AND(K974&gt;0,L974&gt;0,K974-L974&gt;0,COUNTIFS(A975:A$2005,A974,F975:F$2005,F974,H975:H$2005,H974,AA975:AA$2005,"&gt;0")=0),ROUND(K974-L974,6),""),"")</f>
        <v/>
      </c>
      <c r="X974" s="60" t="str">
        <f>IF(AND(A974="",C974="",D974="",H974="",L974=""),"",IF(A974="","Type manquant",IF(AND(A974&lt;&gt;"BL",A974&lt;&gt;"BR",A974&lt;&gt;"BS"),"Type inconnu (BL, BR ou BS)",IF(AG974=0,"Date manquante ou invalide",IF(D974="",IF(A974="BL","Client manquant",IF(A974="BR","Fournisseur manquant","Service manquant")),IF(IF(A974="BL",ISNA(MATCH(D974,cl_code,0)),IF(A974="BR",ISNA(MATCH(D974,fo_code,0)),ISNA(MATCH(D974,p_services,0)))),IF(A974="BL","Client inconnu",IF(A974="BR","Fournisseur inconnu","Service inconnu")),IF(H974="","Article manquant",IF(ISNA(MATCH(H974,art_ref,0)),"Article inconnu",IF(OR(NOT(ISNUMBER(L974)),N(L974)&lt;=0),"Quantité invalide",IF(AND(K974&lt;&gt;"",OR(NOT(ISNUMBER(K974)),N(K974)&lt;=0)),"Qté commandée invalide",IF(AG974&lt;SUMPRODUCT(MAX((A$6:A973=A974)*AG$6:AG973)),"Date antérieure au bon précédent",IF(AND(A974&lt;&gt;"BR",ISNUMBER(M974),N(M974)&gt;0),IF(A974="BL","Livré plus que commandé","Sorti plus que demandé"),"OK"))))))))))))</f>
        <v/>
      </c>
      <c r="Y974" s="57" t="str">
        <f>IF(AND(OR(A974="BL",A974="BR",A974="BS"),AG974&gt;0,D974&lt;&gt;""),A974&amp;"|"&amp;AG974&amp;"|"&amp;D974&amp;"|"&amp;F974,"")</f>
        <v/>
      </c>
      <c r="Z974" s="57" t="str">
        <f>IF(Y974="","",IF(COUNTIF(Y$6:Y973,Y974)=0,1,0))</f>
        <v/>
      </c>
      <c r="AA974" s="57" t="str">
        <f>IF(Y974="","",IF(Z974=1,COUNTIFS(A$6:A974,A974,Z$6:Z974,1),INDEX(AA$6:AA973,MATCH(Y974,Y$6:Y973,0))))</f>
        <v/>
      </c>
      <c r="AB974" s="57" t="str">
        <f>IF(B974="","",COUNTIF(B$6:B974,B974))</f>
        <v/>
      </c>
      <c r="AC974" s="57" t="str">
        <f>IF(B974="","",B974&amp;"#"&amp;AB974)</f>
        <v/>
      </c>
      <c r="AD974" s="57" t="str">
        <f>IF(Z974=1,A974&amp;AA974,"")</f>
        <v/>
      </c>
      <c r="AE974" s="57" t="str">
        <f>IF(B974="","",YEAR(C974))</f>
        <v/>
      </c>
      <c r="AF974" s="57" t="str">
        <f>IF(B974="","",MONTH(C974))</f>
        <v/>
      </c>
      <c r="AG974" s="57">
        <f>IF(ISNUMBER(C974),C974,0)</f>
        <v>0.0</v>
      </c>
      <c r="AH974" s="57" t="str">
        <f>IF(N(W974)&gt;0,COUNTIF(W$6:W974,"&gt;0"),"")</f>
        <v/>
      </c>
      <c r="AI974" s="57" t="str">
        <f>IF(Z974=1,COUNTIF(Z$6:Z974,1),"")</f>
        <v/>
      </c>
    </row>
    <row r="975">
      <c r="A975" s="54" t="n"/>
      <c r="B975" s="55" t="str">
        <f>IF(AA975="","",A975&amp;"-"&amp;RIGHT("000"&amp;AA975,4))</f>
        <v/>
      </c>
      <c r="C975" s="56" t="n"/>
      <c r="D975" s="54" t="n"/>
      <c r="E975" s="57" t="str">
        <f>IF(D975="","",IF(A975="BL",IFERROR(INDEX(cl_name,MATCH(D975,cl_code,0))&amp;"","Client inconnu"),IF(A975="BR",IFERROR(INDEX(fo_name,MATCH(D975,fo_code,0))&amp;"","Fournisseur inconnu"),IF(A975="BS",IF(ISNA(MATCH(D975,p_services,0)),"Service inconnu",D975&amp;""),""))))</f>
        <v/>
      </c>
      <c r="F975" s="58" t="n"/>
      <c r="G975" s="58" t="n"/>
      <c r="H975" s="59" t="n"/>
      <c r="I975" s="57" t="str">
        <f>IF(H975="","",IFERROR(INDEX(art_des,MATCH(H975,art_ref,0))&amp;"","Article inconnu"))</f>
        <v/>
      </c>
      <c r="J975" s="60" t="str">
        <f>IF(H975="","",IFERROR(INDEX(art_unit,MATCH(H975,art_ref,0))&amp;"",""))</f>
        <v/>
      </c>
      <c r="K975" s="59" t="n"/>
      <c r="L975" s="59" t="n"/>
      <c r="M975" s="61" t="str">
        <f>IF(OR(B975="",NOT(ISNUMBER(K975)),NOT(ISNUMBER(L975))),"",IF(OR(K975&lt;=0,L975&lt;=0),"",ROUND(L975-K975,6)))</f>
        <v/>
      </c>
      <c r="N975" s="58" t="n"/>
      <c r="O975" s="62" t="n"/>
      <c r="P975" s="63" t="str">
        <f>IF(OR(B975="",NOT(ISNUMBER(L975))),"",IF(L975&lt;=0,"",IFERROR(ROUND(L975*N(INDEX(art_w,MATCH(H975,art_ref,0))),3),"")))</f>
        <v/>
      </c>
      <c r="Q975" s="59" t="n"/>
      <c r="R975" s="54" t="n"/>
      <c r="S975" s="59" t="n"/>
      <c r="T975" s="59" t="n"/>
      <c r="U975" s="64" t="str">
        <f>IF(OR(B975="",H975=""),"",IFERROR(IF(A975="BL",IF(N(INDEX(art_price,MATCH(H975,art_ref,0)))=0,"",N(INDEX(art_price,MATCH(H975,art_ref,0)))),IF(N(INDEX(art_cost,MATCH(H975,art_ref,0)))=0,"",N(INDEX(art_cost,MATCH(H975,art_ref,0))))),""))</f>
        <v/>
      </c>
      <c r="V975" s="64" t="str">
        <f>IF(OR(U975="",NOT(ISNUMBER(L975))),"",IF(L975&lt;=0,"",ROUND(L975*U975,2)))</f>
        <v/>
      </c>
      <c r="W975" s="60" t="str">
        <f>IF(AND(B975&lt;&gt;"",A975&lt;&gt;"BS",F975&lt;&gt;"",H975&lt;&gt;"",ISNUMBER(K975),ISNUMBER(L975)),IF(AND(K975&gt;0,L975&gt;0,K975-L975&gt;0,COUNTIFS(A976:A$2005,A975,F976:F$2005,F975,H976:H$2005,H975,AA976:AA$2005,"&gt;0")=0),ROUND(K975-L975,6),""),"")</f>
        <v/>
      </c>
      <c r="X975" s="60" t="str">
        <f>IF(AND(A975="",C975="",D975="",H975="",L975=""),"",IF(A975="","Type manquant",IF(AND(A975&lt;&gt;"BL",A975&lt;&gt;"BR",A975&lt;&gt;"BS"),"Type inconnu (BL, BR ou BS)",IF(AG975=0,"Date manquante ou invalide",IF(D975="",IF(A975="BL","Client manquant",IF(A975="BR","Fournisseur manquant","Service manquant")),IF(IF(A975="BL",ISNA(MATCH(D975,cl_code,0)),IF(A975="BR",ISNA(MATCH(D975,fo_code,0)),ISNA(MATCH(D975,p_services,0)))),IF(A975="BL","Client inconnu",IF(A975="BR","Fournisseur inconnu","Service inconnu")),IF(H975="","Article manquant",IF(ISNA(MATCH(H975,art_ref,0)),"Article inconnu",IF(OR(NOT(ISNUMBER(L975)),N(L975)&lt;=0),"Quantité invalide",IF(AND(K975&lt;&gt;"",OR(NOT(ISNUMBER(K975)),N(K975)&lt;=0)),"Qté commandée invalide",IF(AG975&lt;SUMPRODUCT(MAX((A$6:A974=A975)*AG$6:AG974)),"Date antérieure au bon précédent",IF(AND(A975&lt;&gt;"BR",ISNUMBER(M975),N(M975)&gt;0),IF(A975="BL","Livré plus que commandé","Sorti plus que demandé"),"OK"))))))))))))</f>
        <v/>
      </c>
      <c r="Y975" s="57" t="str">
        <f>IF(AND(OR(A975="BL",A975="BR",A975="BS"),AG975&gt;0,D975&lt;&gt;""),A975&amp;"|"&amp;AG975&amp;"|"&amp;D975&amp;"|"&amp;F975,"")</f>
        <v/>
      </c>
      <c r="Z975" s="57" t="str">
        <f>IF(Y975="","",IF(COUNTIF(Y$6:Y974,Y975)=0,1,0))</f>
        <v/>
      </c>
      <c r="AA975" s="57" t="str">
        <f>IF(Y975="","",IF(Z975=1,COUNTIFS(A$6:A975,A975,Z$6:Z975,1),INDEX(AA$6:AA974,MATCH(Y975,Y$6:Y974,0))))</f>
        <v/>
      </c>
      <c r="AB975" s="57" t="str">
        <f>IF(B975="","",COUNTIF(B$6:B975,B975))</f>
        <v/>
      </c>
      <c r="AC975" s="57" t="str">
        <f>IF(B975="","",B975&amp;"#"&amp;AB975)</f>
        <v/>
      </c>
      <c r="AD975" s="57" t="str">
        <f>IF(Z975=1,A975&amp;AA975,"")</f>
        <v/>
      </c>
      <c r="AE975" s="57" t="str">
        <f>IF(B975="","",YEAR(C975))</f>
        <v/>
      </c>
      <c r="AF975" s="57" t="str">
        <f>IF(B975="","",MONTH(C975))</f>
        <v/>
      </c>
      <c r="AG975" s="57">
        <f>IF(ISNUMBER(C975),C975,0)</f>
        <v>0.0</v>
      </c>
      <c r="AH975" s="57" t="str">
        <f>IF(N(W975)&gt;0,COUNTIF(W$6:W975,"&gt;0"),"")</f>
        <v/>
      </c>
      <c r="AI975" s="57" t="str">
        <f>IF(Z975=1,COUNTIF(Z$6:Z975,1),"")</f>
        <v/>
      </c>
    </row>
    <row r="976">
      <c r="A976" s="54" t="n"/>
      <c r="B976" s="55" t="str">
        <f>IF(AA976="","",A976&amp;"-"&amp;RIGHT("000"&amp;AA976,4))</f>
        <v/>
      </c>
      <c r="C976" s="56" t="n"/>
      <c r="D976" s="54" t="n"/>
      <c r="E976" s="57" t="str">
        <f>IF(D976="","",IF(A976="BL",IFERROR(INDEX(cl_name,MATCH(D976,cl_code,0))&amp;"","Client inconnu"),IF(A976="BR",IFERROR(INDEX(fo_name,MATCH(D976,fo_code,0))&amp;"","Fournisseur inconnu"),IF(A976="BS",IF(ISNA(MATCH(D976,p_services,0)),"Service inconnu",D976&amp;""),""))))</f>
        <v/>
      </c>
      <c r="F976" s="58" t="n"/>
      <c r="G976" s="58" t="n"/>
      <c r="H976" s="59" t="n"/>
      <c r="I976" s="57" t="str">
        <f>IF(H976="","",IFERROR(INDEX(art_des,MATCH(H976,art_ref,0))&amp;"","Article inconnu"))</f>
        <v/>
      </c>
      <c r="J976" s="60" t="str">
        <f>IF(H976="","",IFERROR(INDEX(art_unit,MATCH(H976,art_ref,0))&amp;"",""))</f>
        <v/>
      </c>
      <c r="K976" s="59" t="n"/>
      <c r="L976" s="59" t="n"/>
      <c r="M976" s="61" t="str">
        <f>IF(OR(B976="",NOT(ISNUMBER(K976)),NOT(ISNUMBER(L976))),"",IF(OR(K976&lt;=0,L976&lt;=0),"",ROUND(L976-K976,6)))</f>
        <v/>
      </c>
      <c r="N976" s="58" t="n"/>
      <c r="O976" s="62" t="n"/>
      <c r="P976" s="63" t="str">
        <f>IF(OR(B976="",NOT(ISNUMBER(L976))),"",IF(L976&lt;=0,"",IFERROR(ROUND(L976*N(INDEX(art_w,MATCH(H976,art_ref,0))),3),"")))</f>
        <v/>
      </c>
      <c r="Q976" s="59" t="n"/>
      <c r="R976" s="54" t="n"/>
      <c r="S976" s="59" t="n"/>
      <c r="T976" s="59" t="n"/>
      <c r="U976" s="64" t="str">
        <f>IF(OR(B976="",H976=""),"",IFERROR(IF(A976="BL",IF(N(INDEX(art_price,MATCH(H976,art_ref,0)))=0,"",N(INDEX(art_price,MATCH(H976,art_ref,0)))),IF(N(INDEX(art_cost,MATCH(H976,art_ref,0)))=0,"",N(INDEX(art_cost,MATCH(H976,art_ref,0))))),""))</f>
        <v/>
      </c>
      <c r="V976" s="64" t="str">
        <f>IF(OR(U976="",NOT(ISNUMBER(L976))),"",IF(L976&lt;=0,"",ROUND(L976*U976,2)))</f>
        <v/>
      </c>
      <c r="W976" s="60" t="str">
        <f>IF(AND(B976&lt;&gt;"",A976&lt;&gt;"BS",F976&lt;&gt;"",H976&lt;&gt;"",ISNUMBER(K976),ISNUMBER(L976)),IF(AND(K976&gt;0,L976&gt;0,K976-L976&gt;0,COUNTIFS(A977:A$2005,A976,F977:F$2005,F976,H977:H$2005,H976,AA977:AA$2005,"&gt;0")=0),ROUND(K976-L976,6),""),"")</f>
        <v/>
      </c>
      <c r="X976" s="60" t="str">
        <f>IF(AND(A976="",C976="",D976="",H976="",L976=""),"",IF(A976="","Type manquant",IF(AND(A976&lt;&gt;"BL",A976&lt;&gt;"BR",A976&lt;&gt;"BS"),"Type inconnu (BL, BR ou BS)",IF(AG976=0,"Date manquante ou invalide",IF(D976="",IF(A976="BL","Client manquant",IF(A976="BR","Fournisseur manquant","Service manquant")),IF(IF(A976="BL",ISNA(MATCH(D976,cl_code,0)),IF(A976="BR",ISNA(MATCH(D976,fo_code,0)),ISNA(MATCH(D976,p_services,0)))),IF(A976="BL","Client inconnu",IF(A976="BR","Fournisseur inconnu","Service inconnu")),IF(H976="","Article manquant",IF(ISNA(MATCH(H976,art_ref,0)),"Article inconnu",IF(OR(NOT(ISNUMBER(L976)),N(L976)&lt;=0),"Quantité invalide",IF(AND(K976&lt;&gt;"",OR(NOT(ISNUMBER(K976)),N(K976)&lt;=0)),"Qté commandée invalide",IF(AG976&lt;SUMPRODUCT(MAX((A$6:A975=A976)*AG$6:AG975)),"Date antérieure au bon précédent",IF(AND(A976&lt;&gt;"BR",ISNUMBER(M976),N(M976)&gt;0),IF(A976="BL","Livré plus que commandé","Sorti plus que demandé"),"OK"))))))))))))</f>
        <v/>
      </c>
      <c r="Y976" s="57" t="str">
        <f>IF(AND(OR(A976="BL",A976="BR",A976="BS"),AG976&gt;0,D976&lt;&gt;""),A976&amp;"|"&amp;AG976&amp;"|"&amp;D976&amp;"|"&amp;F976,"")</f>
        <v/>
      </c>
      <c r="Z976" s="57" t="str">
        <f>IF(Y976="","",IF(COUNTIF(Y$6:Y975,Y976)=0,1,0))</f>
        <v/>
      </c>
      <c r="AA976" s="57" t="str">
        <f>IF(Y976="","",IF(Z976=1,COUNTIFS(A$6:A976,A976,Z$6:Z976,1),INDEX(AA$6:AA975,MATCH(Y976,Y$6:Y975,0))))</f>
        <v/>
      </c>
      <c r="AB976" s="57" t="str">
        <f>IF(B976="","",COUNTIF(B$6:B976,B976))</f>
        <v/>
      </c>
      <c r="AC976" s="57" t="str">
        <f>IF(B976="","",B976&amp;"#"&amp;AB976)</f>
        <v/>
      </c>
      <c r="AD976" s="57" t="str">
        <f>IF(Z976=1,A976&amp;AA976,"")</f>
        <v/>
      </c>
      <c r="AE976" s="57" t="str">
        <f>IF(B976="","",YEAR(C976))</f>
        <v/>
      </c>
      <c r="AF976" s="57" t="str">
        <f>IF(B976="","",MONTH(C976))</f>
        <v/>
      </c>
      <c r="AG976" s="57">
        <f>IF(ISNUMBER(C976),C976,0)</f>
        <v>0.0</v>
      </c>
      <c r="AH976" s="57" t="str">
        <f>IF(N(W976)&gt;0,COUNTIF(W$6:W976,"&gt;0"),"")</f>
        <v/>
      </c>
      <c r="AI976" s="57" t="str">
        <f>IF(Z976=1,COUNTIF(Z$6:Z976,1),"")</f>
        <v/>
      </c>
    </row>
    <row r="977">
      <c r="A977" s="54" t="n"/>
      <c r="B977" s="55" t="str">
        <f>IF(AA977="","",A977&amp;"-"&amp;RIGHT("000"&amp;AA977,4))</f>
        <v/>
      </c>
      <c r="C977" s="56" t="n"/>
      <c r="D977" s="54" t="n"/>
      <c r="E977" s="57" t="str">
        <f>IF(D977="","",IF(A977="BL",IFERROR(INDEX(cl_name,MATCH(D977,cl_code,0))&amp;"","Client inconnu"),IF(A977="BR",IFERROR(INDEX(fo_name,MATCH(D977,fo_code,0))&amp;"","Fournisseur inconnu"),IF(A977="BS",IF(ISNA(MATCH(D977,p_services,0)),"Service inconnu",D977&amp;""),""))))</f>
        <v/>
      </c>
      <c r="F977" s="58" t="n"/>
      <c r="G977" s="58" t="n"/>
      <c r="H977" s="59" t="n"/>
      <c r="I977" s="57" t="str">
        <f>IF(H977="","",IFERROR(INDEX(art_des,MATCH(H977,art_ref,0))&amp;"","Article inconnu"))</f>
        <v/>
      </c>
      <c r="J977" s="60" t="str">
        <f>IF(H977="","",IFERROR(INDEX(art_unit,MATCH(H977,art_ref,0))&amp;"",""))</f>
        <v/>
      </c>
      <c r="K977" s="59" t="n"/>
      <c r="L977" s="59" t="n"/>
      <c r="M977" s="61" t="str">
        <f>IF(OR(B977="",NOT(ISNUMBER(K977)),NOT(ISNUMBER(L977))),"",IF(OR(K977&lt;=0,L977&lt;=0),"",ROUND(L977-K977,6)))</f>
        <v/>
      </c>
      <c r="N977" s="58" t="n"/>
      <c r="O977" s="62" t="n"/>
      <c r="P977" s="63" t="str">
        <f>IF(OR(B977="",NOT(ISNUMBER(L977))),"",IF(L977&lt;=0,"",IFERROR(ROUND(L977*N(INDEX(art_w,MATCH(H977,art_ref,0))),3),"")))</f>
        <v/>
      </c>
      <c r="Q977" s="59" t="n"/>
      <c r="R977" s="54" t="n"/>
      <c r="S977" s="59" t="n"/>
      <c r="T977" s="59" t="n"/>
      <c r="U977" s="64" t="str">
        <f>IF(OR(B977="",H977=""),"",IFERROR(IF(A977="BL",IF(N(INDEX(art_price,MATCH(H977,art_ref,0)))=0,"",N(INDEX(art_price,MATCH(H977,art_ref,0)))),IF(N(INDEX(art_cost,MATCH(H977,art_ref,0)))=0,"",N(INDEX(art_cost,MATCH(H977,art_ref,0))))),""))</f>
        <v/>
      </c>
      <c r="V977" s="64" t="str">
        <f>IF(OR(U977="",NOT(ISNUMBER(L977))),"",IF(L977&lt;=0,"",ROUND(L977*U977,2)))</f>
        <v/>
      </c>
      <c r="W977" s="60" t="str">
        <f>IF(AND(B977&lt;&gt;"",A977&lt;&gt;"BS",F977&lt;&gt;"",H977&lt;&gt;"",ISNUMBER(K977),ISNUMBER(L977)),IF(AND(K977&gt;0,L977&gt;0,K977-L977&gt;0,COUNTIFS(A978:A$2005,A977,F978:F$2005,F977,H978:H$2005,H977,AA978:AA$2005,"&gt;0")=0),ROUND(K977-L977,6),""),"")</f>
        <v/>
      </c>
      <c r="X977" s="60" t="str">
        <f>IF(AND(A977="",C977="",D977="",H977="",L977=""),"",IF(A977="","Type manquant",IF(AND(A977&lt;&gt;"BL",A977&lt;&gt;"BR",A977&lt;&gt;"BS"),"Type inconnu (BL, BR ou BS)",IF(AG977=0,"Date manquante ou invalide",IF(D977="",IF(A977="BL","Client manquant",IF(A977="BR","Fournisseur manquant","Service manquant")),IF(IF(A977="BL",ISNA(MATCH(D977,cl_code,0)),IF(A977="BR",ISNA(MATCH(D977,fo_code,0)),ISNA(MATCH(D977,p_services,0)))),IF(A977="BL","Client inconnu",IF(A977="BR","Fournisseur inconnu","Service inconnu")),IF(H977="","Article manquant",IF(ISNA(MATCH(H977,art_ref,0)),"Article inconnu",IF(OR(NOT(ISNUMBER(L977)),N(L977)&lt;=0),"Quantité invalide",IF(AND(K977&lt;&gt;"",OR(NOT(ISNUMBER(K977)),N(K977)&lt;=0)),"Qté commandée invalide",IF(AG977&lt;SUMPRODUCT(MAX((A$6:A976=A977)*AG$6:AG976)),"Date antérieure au bon précédent",IF(AND(A977&lt;&gt;"BR",ISNUMBER(M977),N(M977)&gt;0),IF(A977="BL","Livré plus que commandé","Sorti plus que demandé"),"OK"))))))))))))</f>
        <v/>
      </c>
      <c r="Y977" s="57" t="str">
        <f>IF(AND(OR(A977="BL",A977="BR",A977="BS"),AG977&gt;0,D977&lt;&gt;""),A977&amp;"|"&amp;AG977&amp;"|"&amp;D977&amp;"|"&amp;F977,"")</f>
        <v/>
      </c>
      <c r="Z977" s="57" t="str">
        <f>IF(Y977="","",IF(COUNTIF(Y$6:Y976,Y977)=0,1,0))</f>
        <v/>
      </c>
      <c r="AA977" s="57" t="str">
        <f>IF(Y977="","",IF(Z977=1,COUNTIFS(A$6:A977,A977,Z$6:Z977,1),INDEX(AA$6:AA976,MATCH(Y977,Y$6:Y976,0))))</f>
        <v/>
      </c>
      <c r="AB977" s="57" t="str">
        <f>IF(B977="","",COUNTIF(B$6:B977,B977))</f>
        <v/>
      </c>
      <c r="AC977" s="57" t="str">
        <f>IF(B977="","",B977&amp;"#"&amp;AB977)</f>
        <v/>
      </c>
      <c r="AD977" s="57" t="str">
        <f>IF(Z977=1,A977&amp;AA977,"")</f>
        <v/>
      </c>
      <c r="AE977" s="57" t="str">
        <f>IF(B977="","",YEAR(C977))</f>
        <v/>
      </c>
      <c r="AF977" s="57" t="str">
        <f>IF(B977="","",MONTH(C977))</f>
        <v/>
      </c>
      <c r="AG977" s="57">
        <f>IF(ISNUMBER(C977),C977,0)</f>
        <v>0.0</v>
      </c>
      <c r="AH977" s="57" t="str">
        <f>IF(N(W977)&gt;0,COUNTIF(W$6:W977,"&gt;0"),"")</f>
        <v/>
      </c>
      <c r="AI977" s="57" t="str">
        <f>IF(Z977=1,COUNTIF(Z$6:Z977,1),"")</f>
        <v/>
      </c>
    </row>
    <row r="978">
      <c r="A978" s="54" t="n"/>
      <c r="B978" s="55" t="str">
        <f>IF(AA978="","",A978&amp;"-"&amp;RIGHT("000"&amp;AA978,4))</f>
        <v/>
      </c>
      <c r="C978" s="56" t="n"/>
      <c r="D978" s="54" t="n"/>
      <c r="E978" s="57" t="str">
        <f>IF(D978="","",IF(A978="BL",IFERROR(INDEX(cl_name,MATCH(D978,cl_code,0))&amp;"","Client inconnu"),IF(A978="BR",IFERROR(INDEX(fo_name,MATCH(D978,fo_code,0))&amp;"","Fournisseur inconnu"),IF(A978="BS",IF(ISNA(MATCH(D978,p_services,0)),"Service inconnu",D978&amp;""),""))))</f>
        <v/>
      </c>
      <c r="F978" s="58" t="n"/>
      <c r="G978" s="58" t="n"/>
      <c r="H978" s="59" t="n"/>
      <c r="I978" s="57" t="str">
        <f>IF(H978="","",IFERROR(INDEX(art_des,MATCH(H978,art_ref,0))&amp;"","Article inconnu"))</f>
        <v/>
      </c>
      <c r="J978" s="60" t="str">
        <f>IF(H978="","",IFERROR(INDEX(art_unit,MATCH(H978,art_ref,0))&amp;"",""))</f>
        <v/>
      </c>
      <c r="K978" s="59" t="n"/>
      <c r="L978" s="59" t="n"/>
      <c r="M978" s="61" t="str">
        <f>IF(OR(B978="",NOT(ISNUMBER(K978)),NOT(ISNUMBER(L978))),"",IF(OR(K978&lt;=0,L978&lt;=0),"",ROUND(L978-K978,6)))</f>
        <v/>
      </c>
      <c r="N978" s="58" t="n"/>
      <c r="O978" s="62" t="n"/>
      <c r="P978" s="63" t="str">
        <f>IF(OR(B978="",NOT(ISNUMBER(L978))),"",IF(L978&lt;=0,"",IFERROR(ROUND(L978*N(INDEX(art_w,MATCH(H978,art_ref,0))),3),"")))</f>
        <v/>
      </c>
      <c r="Q978" s="59" t="n"/>
      <c r="R978" s="54" t="n"/>
      <c r="S978" s="59" t="n"/>
      <c r="T978" s="59" t="n"/>
      <c r="U978" s="64" t="str">
        <f>IF(OR(B978="",H978=""),"",IFERROR(IF(A978="BL",IF(N(INDEX(art_price,MATCH(H978,art_ref,0)))=0,"",N(INDEX(art_price,MATCH(H978,art_ref,0)))),IF(N(INDEX(art_cost,MATCH(H978,art_ref,0)))=0,"",N(INDEX(art_cost,MATCH(H978,art_ref,0))))),""))</f>
        <v/>
      </c>
      <c r="V978" s="64" t="str">
        <f>IF(OR(U978="",NOT(ISNUMBER(L978))),"",IF(L978&lt;=0,"",ROUND(L978*U978,2)))</f>
        <v/>
      </c>
      <c r="W978" s="60" t="str">
        <f>IF(AND(B978&lt;&gt;"",A978&lt;&gt;"BS",F978&lt;&gt;"",H978&lt;&gt;"",ISNUMBER(K978),ISNUMBER(L978)),IF(AND(K978&gt;0,L978&gt;0,K978-L978&gt;0,COUNTIFS(A979:A$2005,A978,F979:F$2005,F978,H979:H$2005,H978,AA979:AA$2005,"&gt;0")=0),ROUND(K978-L978,6),""),"")</f>
        <v/>
      </c>
      <c r="X978" s="60" t="str">
        <f>IF(AND(A978="",C978="",D978="",H978="",L978=""),"",IF(A978="","Type manquant",IF(AND(A978&lt;&gt;"BL",A978&lt;&gt;"BR",A978&lt;&gt;"BS"),"Type inconnu (BL, BR ou BS)",IF(AG978=0,"Date manquante ou invalide",IF(D978="",IF(A978="BL","Client manquant",IF(A978="BR","Fournisseur manquant","Service manquant")),IF(IF(A978="BL",ISNA(MATCH(D978,cl_code,0)),IF(A978="BR",ISNA(MATCH(D978,fo_code,0)),ISNA(MATCH(D978,p_services,0)))),IF(A978="BL","Client inconnu",IF(A978="BR","Fournisseur inconnu","Service inconnu")),IF(H978="","Article manquant",IF(ISNA(MATCH(H978,art_ref,0)),"Article inconnu",IF(OR(NOT(ISNUMBER(L978)),N(L978)&lt;=0),"Quantité invalide",IF(AND(K978&lt;&gt;"",OR(NOT(ISNUMBER(K978)),N(K978)&lt;=0)),"Qté commandée invalide",IF(AG978&lt;SUMPRODUCT(MAX((A$6:A977=A978)*AG$6:AG977)),"Date antérieure au bon précédent",IF(AND(A978&lt;&gt;"BR",ISNUMBER(M978),N(M978)&gt;0),IF(A978="BL","Livré plus que commandé","Sorti plus que demandé"),"OK"))))))))))))</f>
        <v/>
      </c>
      <c r="Y978" s="57" t="str">
        <f>IF(AND(OR(A978="BL",A978="BR",A978="BS"),AG978&gt;0,D978&lt;&gt;""),A978&amp;"|"&amp;AG978&amp;"|"&amp;D978&amp;"|"&amp;F978,"")</f>
        <v/>
      </c>
      <c r="Z978" s="57" t="str">
        <f>IF(Y978="","",IF(COUNTIF(Y$6:Y977,Y978)=0,1,0))</f>
        <v/>
      </c>
      <c r="AA978" s="57" t="str">
        <f>IF(Y978="","",IF(Z978=1,COUNTIFS(A$6:A978,A978,Z$6:Z978,1),INDEX(AA$6:AA977,MATCH(Y978,Y$6:Y977,0))))</f>
        <v/>
      </c>
      <c r="AB978" s="57" t="str">
        <f>IF(B978="","",COUNTIF(B$6:B978,B978))</f>
        <v/>
      </c>
      <c r="AC978" s="57" t="str">
        <f>IF(B978="","",B978&amp;"#"&amp;AB978)</f>
        <v/>
      </c>
      <c r="AD978" s="57" t="str">
        <f>IF(Z978=1,A978&amp;AA978,"")</f>
        <v/>
      </c>
      <c r="AE978" s="57" t="str">
        <f>IF(B978="","",YEAR(C978))</f>
        <v/>
      </c>
      <c r="AF978" s="57" t="str">
        <f>IF(B978="","",MONTH(C978))</f>
        <v/>
      </c>
      <c r="AG978" s="57">
        <f>IF(ISNUMBER(C978),C978,0)</f>
        <v>0.0</v>
      </c>
      <c r="AH978" s="57" t="str">
        <f>IF(N(W978)&gt;0,COUNTIF(W$6:W978,"&gt;0"),"")</f>
        <v/>
      </c>
      <c r="AI978" s="57" t="str">
        <f>IF(Z978=1,COUNTIF(Z$6:Z978,1),"")</f>
        <v/>
      </c>
    </row>
    <row r="979">
      <c r="A979" s="54" t="n"/>
      <c r="B979" s="55" t="str">
        <f>IF(AA979="","",A979&amp;"-"&amp;RIGHT("000"&amp;AA979,4))</f>
        <v/>
      </c>
      <c r="C979" s="56" t="n"/>
      <c r="D979" s="54" t="n"/>
      <c r="E979" s="57" t="str">
        <f>IF(D979="","",IF(A979="BL",IFERROR(INDEX(cl_name,MATCH(D979,cl_code,0))&amp;"","Client inconnu"),IF(A979="BR",IFERROR(INDEX(fo_name,MATCH(D979,fo_code,0))&amp;"","Fournisseur inconnu"),IF(A979="BS",IF(ISNA(MATCH(D979,p_services,0)),"Service inconnu",D979&amp;""),""))))</f>
        <v/>
      </c>
      <c r="F979" s="58" t="n"/>
      <c r="G979" s="58" t="n"/>
      <c r="H979" s="59" t="n"/>
      <c r="I979" s="57" t="str">
        <f>IF(H979="","",IFERROR(INDEX(art_des,MATCH(H979,art_ref,0))&amp;"","Article inconnu"))</f>
        <v/>
      </c>
      <c r="J979" s="60" t="str">
        <f>IF(H979="","",IFERROR(INDEX(art_unit,MATCH(H979,art_ref,0))&amp;"",""))</f>
        <v/>
      </c>
      <c r="K979" s="59" t="n"/>
      <c r="L979" s="59" t="n"/>
      <c r="M979" s="61" t="str">
        <f>IF(OR(B979="",NOT(ISNUMBER(K979)),NOT(ISNUMBER(L979))),"",IF(OR(K979&lt;=0,L979&lt;=0),"",ROUND(L979-K979,6)))</f>
        <v/>
      </c>
      <c r="N979" s="58" t="n"/>
      <c r="O979" s="62" t="n"/>
      <c r="P979" s="63" t="str">
        <f>IF(OR(B979="",NOT(ISNUMBER(L979))),"",IF(L979&lt;=0,"",IFERROR(ROUND(L979*N(INDEX(art_w,MATCH(H979,art_ref,0))),3),"")))</f>
        <v/>
      </c>
      <c r="Q979" s="59" t="n"/>
      <c r="R979" s="54" t="n"/>
      <c r="S979" s="59" t="n"/>
      <c r="T979" s="59" t="n"/>
      <c r="U979" s="64" t="str">
        <f>IF(OR(B979="",H979=""),"",IFERROR(IF(A979="BL",IF(N(INDEX(art_price,MATCH(H979,art_ref,0)))=0,"",N(INDEX(art_price,MATCH(H979,art_ref,0)))),IF(N(INDEX(art_cost,MATCH(H979,art_ref,0)))=0,"",N(INDEX(art_cost,MATCH(H979,art_ref,0))))),""))</f>
        <v/>
      </c>
      <c r="V979" s="64" t="str">
        <f>IF(OR(U979="",NOT(ISNUMBER(L979))),"",IF(L979&lt;=0,"",ROUND(L979*U979,2)))</f>
        <v/>
      </c>
      <c r="W979" s="60" t="str">
        <f>IF(AND(B979&lt;&gt;"",A979&lt;&gt;"BS",F979&lt;&gt;"",H979&lt;&gt;"",ISNUMBER(K979),ISNUMBER(L979)),IF(AND(K979&gt;0,L979&gt;0,K979-L979&gt;0,COUNTIFS(A980:A$2005,A979,F980:F$2005,F979,H980:H$2005,H979,AA980:AA$2005,"&gt;0")=0),ROUND(K979-L979,6),""),"")</f>
        <v/>
      </c>
      <c r="X979" s="60" t="str">
        <f>IF(AND(A979="",C979="",D979="",H979="",L979=""),"",IF(A979="","Type manquant",IF(AND(A979&lt;&gt;"BL",A979&lt;&gt;"BR",A979&lt;&gt;"BS"),"Type inconnu (BL, BR ou BS)",IF(AG979=0,"Date manquante ou invalide",IF(D979="",IF(A979="BL","Client manquant",IF(A979="BR","Fournisseur manquant","Service manquant")),IF(IF(A979="BL",ISNA(MATCH(D979,cl_code,0)),IF(A979="BR",ISNA(MATCH(D979,fo_code,0)),ISNA(MATCH(D979,p_services,0)))),IF(A979="BL","Client inconnu",IF(A979="BR","Fournisseur inconnu","Service inconnu")),IF(H979="","Article manquant",IF(ISNA(MATCH(H979,art_ref,0)),"Article inconnu",IF(OR(NOT(ISNUMBER(L979)),N(L979)&lt;=0),"Quantité invalide",IF(AND(K979&lt;&gt;"",OR(NOT(ISNUMBER(K979)),N(K979)&lt;=0)),"Qté commandée invalide",IF(AG979&lt;SUMPRODUCT(MAX((A$6:A978=A979)*AG$6:AG978)),"Date antérieure au bon précédent",IF(AND(A979&lt;&gt;"BR",ISNUMBER(M979),N(M979)&gt;0),IF(A979="BL","Livré plus que commandé","Sorti plus que demandé"),"OK"))))))))))))</f>
        <v/>
      </c>
      <c r="Y979" s="57" t="str">
        <f>IF(AND(OR(A979="BL",A979="BR",A979="BS"),AG979&gt;0,D979&lt;&gt;""),A979&amp;"|"&amp;AG979&amp;"|"&amp;D979&amp;"|"&amp;F979,"")</f>
        <v/>
      </c>
      <c r="Z979" s="57" t="str">
        <f>IF(Y979="","",IF(COUNTIF(Y$6:Y978,Y979)=0,1,0))</f>
        <v/>
      </c>
      <c r="AA979" s="57" t="str">
        <f>IF(Y979="","",IF(Z979=1,COUNTIFS(A$6:A979,A979,Z$6:Z979,1),INDEX(AA$6:AA978,MATCH(Y979,Y$6:Y978,0))))</f>
        <v/>
      </c>
      <c r="AB979" s="57" t="str">
        <f>IF(B979="","",COUNTIF(B$6:B979,B979))</f>
        <v/>
      </c>
      <c r="AC979" s="57" t="str">
        <f>IF(B979="","",B979&amp;"#"&amp;AB979)</f>
        <v/>
      </c>
      <c r="AD979" s="57" t="str">
        <f>IF(Z979=1,A979&amp;AA979,"")</f>
        <v/>
      </c>
      <c r="AE979" s="57" t="str">
        <f>IF(B979="","",YEAR(C979))</f>
        <v/>
      </c>
      <c r="AF979" s="57" t="str">
        <f>IF(B979="","",MONTH(C979))</f>
        <v/>
      </c>
      <c r="AG979" s="57">
        <f>IF(ISNUMBER(C979),C979,0)</f>
        <v>0.0</v>
      </c>
      <c r="AH979" s="57" t="str">
        <f>IF(N(W979)&gt;0,COUNTIF(W$6:W979,"&gt;0"),"")</f>
        <v/>
      </c>
      <c r="AI979" s="57" t="str">
        <f>IF(Z979=1,COUNTIF(Z$6:Z979,1),"")</f>
        <v/>
      </c>
    </row>
    <row r="980">
      <c r="A980" s="54" t="n"/>
      <c r="B980" s="55" t="str">
        <f>IF(AA980="","",A980&amp;"-"&amp;RIGHT("000"&amp;AA980,4))</f>
        <v/>
      </c>
      <c r="C980" s="56" t="n"/>
      <c r="D980" s="54" t="n"/>
      <c r="E980" s="57" t="str">
        <f>IF(D980="","",IF(A980="BL",IFERROR(INDEX(cl_name,MATCH(D980,cl_code,0))&amp;"","Client inconnu"),IF(A980="BR",IFERROR(INDEX(fo_name,MATCH(D980,fo_code,0))&amp;"","Fournisseur inconnu"),IF(A980="BS",IF(ISNA(MATCH(D980,p_services,0)),"Service inconnu",D980&amp;""),""))))</f>
        <v/>
      </c>
      <c r="F980" s="58" t="n"/>
      <c r="G980" s="58" t="n"/>
      <c r="H980" s="59" t="n"/>
      <c r="I980" s="57" t="str">
        <f>IF(H980="","",IFERROR(INDEX(art_des,MATCH(H980,art_ref,0))&amp;"","Article inconnu"))</f>
        <v/>
      </c>
      <c r="J980" s="60" t="str">
        <f>IF(H980="","",IFERROR(INDEX(art_unit,MATCH(H980,art_ref,0))&amp;"",""))</f>
        <v/>
      </c>
      <c r="K980" s="59" t="n"/>
      <c r="L980" s="59" t="n"/>
      <c r="M980" s="61" t="str">
        <f>IF(OR(B980="",NOT(ISNUMBER(K980)),NOT(ISNUMBER(L980))),"",IF(OR(K980&lt;=0,L980&lt;=0),"",ROUND(L980-K980,6)))</f>
        <v/>
      </c>
      <c r="N980" s="58" t="n"/>
      <c r="O980" s="62" t="n"/>
      <c r="P980" s="63" t="str">
        <f>IF(OR(B980="",NOT(ISNUMBER(L980))),"",IF(L980&lt;=0,"",IFERROR(ROUND(L980*N(INDEX(art_w,MATCH(H980,art_ref,0))),3),"")))</f>
        <v/>
      </c>
      <c r="Q980" s="59" t="n"/>
      <c r="R980" s="54" t="n"/>
      <c r="S980" s="59" t="n"/>
      <c r="T980" s="59" t="n"/>
      <c r="U980" s="64" t="str">
        <f>IF(OR(B980="",H980=""),"",IFERROR(IF(A980="BL",IF(N(INDEX(art_price,MATCH(H980,art_ref,0)))=0,"",N(INDEX(art_price,MATCH(H980,art_ref,0)))),IF(N(INDEX(art_cost,MATCH(H980,art_ref,0)))=0,"",N(INDEX(art_cost,MATCH(H980,art_ref,0))))),""))</f>
        <v/>
      </c>
      <c r="V980" s="64" t="str">
        <f>IF(OR(U980="",NOT(ISNUMBER(L980))),"",IF(L980&lt;=0,"",ROUND(L980*U980,2)))</f>
        <v/>
      </c>
      <c r="W980" s="60" t="str">
        <f>IF(AND(B980&lt;&gt;"",A980&lt;&gt;"BS",F980&lt;&gt;"",H980&lt;&gt;"",ISNUMBER(K980),ISNUMBER(L980)),IF(AND(K980&gt;0,L980&gt;0,K980-L980&gt;0,COUNTIFS(A981:A$2005,A980,F981:F$2005,F980,H981:H$2005,H980,AA981:AA$2005,"&gt;0")=0),ROUND(K980-L980,6),""),"")</f>
        <v/>
      </c>
      <c r="X980" s="60" t="str">
        <f>IF(AND(A980="",C980="",D980="",H980="",L980=""),"",IF(A980="","Type manquant",IF(AND(A980&lt;&gt;"BL",A980&lt;&gt;"BR",A980&lt;&gt;"BS"),"Type inconnu (BL, BR ou BS)",IF(AG980=0,"Date manquante ou invalide",IF(D980="",IF(A980="BL","Client manquant",IF(A980="BR","Fournisseur manquant","Service manquant")),IF(IF(A980="BL",ISNA(MATCH(D980,cl_code,0)),IF(A980="BR",ISNA(MATCH(D980,fo_code,0)),ISNA(MATCH(D980,p_services,0)))),IF(A980="BL","Client inconnu",IF(A980="BR","Fournisseur inconnu","Service inconnu")),IF(H980="","Article manquant",IF(ISNA(MATCH(H980,art_ref,0)),"Article inconnu",IF(OR(NOT(ISNUMBER(L980)),N(L980)&lt;=0),"Quantité invalide",IF(AND(K980&lt;&gt;"",OR(NOT(ISNUMBER(K980)),N(K980)&lt;=0)),"Qté commandée invalide",IF(AG980&lt;SUMPRODUCT(MAX((A$6:A979=A980)*AG$6:AG979)),"Date antérieure au bon précédent",IF(AND(A980&lt;&gt;"BR",ISNUMBER(M980),N(M980)&gt;0),IF(A980="BL","Livré plus que commandé","Sorti plus que demandé"),"OK"))))))))))))</f>
        <v/>
      </c>
      <c r="Y980" s="57" t="str">
        <f>IF(AND(OR(A980="BL",A980="BR",A980="BS"),AG980&gt;0,D980&lt;&gt;""),A980&amp;"|"&amp;AG980&amp;"|"&amp;D980&amp;"|"&amp;F980,"")</f>
        <v/>
      </c>
      <c r="Z980" s="57" t="str">
        <f>IF(Y980="","",IF(COUNTIF(Y$6:Y979,Y980)=0,1,0))</f>
        <v/>
      </c>
      <c r="AA980" s="57" t="str">
        <f>IF(Y980="","",IF(Z980=1,COUNTIFS(A$6:A980,A980,Z$6:Z980,1),INDEX(AA$6:AA979,MATCH(Y980,Y$6:Y979,0))))</f>
        <v/>
      </c>
      <c r="AB980" s="57" t="str">
        <f>IF(B980="","",COUNTIF(B$6:B980,B980))</f>
        <v/>
      </c>
      <c r="AC980" s="57" t="str">
        <f>IF(B980="","",B980&amp;"#"&amp;AB980)</f>
        <v/>
      </c>
      <c r="AD980" s="57" t="str">
        <f>IF(Z980=1,A980&amp;AA980,"")</f>
        <v/>
      </c>
      <c r="AE980" s="57" t="str">
        <f>IF(B980="","",YEAR(C980))</f>
        <v/>
      </c>
      <c r="AF980" s="57" t="str">
        <f>IF(B980="","",MONTH(C980))</f>
        <v/>
      </c>
      <c r="AG980" s="57">
        <f>IF(ISNUMBER(C980),C980,0)</f>
        <v>0.0</v>
      </c>
      <c r="AH980" s="57" t="str">
        <f>IF(N(W980)&gt;0,COUNTIF(W$6:W980,"&gt;0"),"")</f>
        <v/>
      </c>
      <c r="AI980" s="57" t="str">
        <f>IF(Z980=1,COUNTIF(Z$6:Z980,1),"")</f>
        <v/>
      </c>
    </row>
    <row r="981">
      <c r="A981" s="54" t="n"/>
      <c r="B981" s="55" t="str">
        <f>IF(AA981="","",A981&amp;"-"&amp;RIGHT("000"&amp;AA981,4))</f>
        <v/>
      </c>
      <c r="C981" s="56" t="n"/>
      <c r="D981" s="54" t="n"/>
      <c r="E981" s="57" t="str">
        <f>IF(D981="","",IF(A981="BL",IFERROR(INDEX(cl_name,MATCH(D981,cl_code,0))&amp;"","Client inconnu"),IF(A981="BR",IFERROR(INDEX(fo_name,MATCH(D981,fo_code,0))&amp;"","Fournisseur inconnu"),IF(A981="BS",IF(ISNA(MATCH(D981,p_services,0)),"Service inconnu",D981&amp;""),""))))</f>
        <v/>
      </c>
      <c r="F981" s="58" t="n"/>
      <c r="G981" s="58" t="n"/>
      <c r="H981" s="59" t="n"/>
      <c r="I981" s="57" t="str">
        <f>IF(H981="","",IFERROR(INDEX(art_des,MATCH(H981,art_ref,0))&amp;"","Article inconnu"))</f>
        <v/>
      </c>
      <c r="J981" s="60" t="str">
        <f>IF(H981="","",IFERROR(INDEX(art_unit,MATCH(H981,art_ref,0))&amp;"",""))</f>
        <v/>
      </c>
      <c r="K981" s="59" t="n"/>
      <c r="L981" s="59" t="n"/>
      <c r="M981" s="61" t="str">
        <f>IF(OR(B981="",NOT(ISNUMBER(K981)),NOT(ISNUMBER(L981))),"",IF(OR(K981&lt;=0,L981&lt;=0),"",ROUND(L981-K981,6)))</f>
        <v/>
      </c>
      <c r="N981" s="58" t="n"/>
      <c r="O981" s="62" t="n"/>
      <c r="P981" s="63" t="str">
        <f>IF(OR(B981="",NOT(ISNUMBER(L981))),"",IF(L981&lt;=0,"",IFERROR(ROUND(L981*N(INDEX(art_w,MATCH(H981,art_ref,0))),3),"")))</f>
        <v/>
      </c>
      <c r="Q981" s="59" t="n"/>
      <c r="R981" s="54" t="n"/>
      <c r="S981" s="59" t="n"/>
      <c r="T981" s="59" t="n"/>
      <c r="U981" s="64" t="str">
        <f>IF(OR(B981="",H981=""),"",IFERROR(IF(A981="BL",IF(N(INDEX(art_price,MATCH(H981,art_ref,0)))=0,"",N(INDEX(art_price,MATCH(H981,art_ref,0)))),IF(N(INDEX(art_cost,MATCH(H981,art_ref,0)))=0,"",N(INDEX(art_cost,MATCH(H981,art_ref,0))))),""))</f>
        <v/>
      </c>
      <c r="V981" s="64" t="str">
        <f>IF(OR(U981="",NOT(ISNUMBER(L981))),"",IF(L981&lt;=0,"",ROUND(L981*U981,2)))</f>
        <v/>
      </c>
      <c r="W981" s="60" t="str">
        <f>IF(AND(B981&lt;&gt;"",A981&lt;&gt;"BS",F981&lt;&gt;"",H981&lt;&gt;"",ISNUMBER(K981),ISNUMBER(L981)),IF(AND(K981&gt;0,L981&gt;0,K981-L981&gt;0,COUNTIFS(A982:A$2005,A981,F982:F$2005,F981,H982:H$2005,H981,AA982:AA$2005,"&gt;0")=0),ROUND(K981-L981,6),""),"")</f>
        <v/>
      </c>
      <c r="X981" s="60" t="str">
        <f>IF(AND(A981="",C981="",D981="",H981="",L981=""),"",IF(A981="","Type manquant",IF(AND(A981&lt;&gt;"BL",A981&lt;&gt;"BR",A981&lt;&gt;"BS"),"Type inconnu (BL, BR ou BS)",IF(AG981=0,"Date manquante ou invalide",IF(D981="",IF(A981="BL","Client manquant",IF(A981="BR","Fournisseur manquant","Service manquant")),IF(IF(A981="BL",ISNA(MATCH(D981,cl_code,0)),IF(A981="BR",ISNA(MATCH(D981,fo_code,0)),ISNA(MATCH(D981,p_services,0)))),IF(A981="BL","Client inconnu",IF(A981="BR","Fournisseur inconnu","Service inconnu")),IF(H981="","Article manquant",IF(ISNA(MATCH(H981,art_ref,0)),"Article inconnu",IF(OR(NOT(ISNUMBER(L981)),N(L981)&lt;=0),"Quantité invalide",IF(AND(K981&lt;&gt;"",OR(NOT(ISNUMBER(K981)),N(K981)&lt;=0)),"Qté commandée invalide",IF(AG981&lt;SUMPRODUCT(MAX((A$6:A980=A981)*AG$6:AG980)),"Date antérieure au bon précédent",IF(AND(A981&lt;&gt;"BR",ISNUMBER(M981),N(M981)&gt;0),IF(A981="BL","Livré plus que commandé","Sorti plus que demandé"),"OK"))))))))))))</f>
        <v/>
      </c>
      <c r="Y981" s="57" t="str">
        <f>IF(AND(OR(A981="BL",A981="BR",A981="BS"),AG981&gt;0,D981&lt;&gt;""),A981&amp;"|"&amp;AG981&amp;"|"&amp;D981&amp;"|"&amp;F981,"")</f>
        <v/>
      </c>
      <c r="Z981" s="57" t="str">
        <f>IF(Y981="","",IF(COUNTIF(Y$6:Y980,Y981)=0,1,0))</f>
        <v/>
      </c>
      <c r="AA981" s="57" t="str">
        <f>IF(Y981="","",IF(Z981=1,COUNTIFS(A$6:A981,A981,Z$6:Z981,1),INDEX(AA$6:AA980,MATCH(Y981,Y$6:Y980,0))))</f>
        <v/>
      </c>
      <c r="AB981" s="57" t="str">
        <f>IF(B981="","",COUNTIF(B$6:B981,B981))</f>
        <v/>
      </c>
      <c r="AC981" s="57" t="str">
        <f>IF(B981="","",B981&amp;"#"&amp;AB981)</f>
        <v/>
      </c>
      <c r="AD981" s="57" t="str">
        <f>IF(Z981=1,A981&amp;AA981,"")</f>
        <v/>
      </c>
      <c r="AE981" s="57" t="str">
        <f>IF(B981="","",YEAR(C981))</f>
        <v/>
      </c>
      <c r="AF981" s="57" t="str">
        <f>IF(B981="","",MONTH(C981))</f>
        <v/>
      </c>
      <c r="AG981" s="57">
        <f>IF(ISNUMBER(C981),C981,0)</f>
        <v>0.0</v>
      </c>
      <c r="AH981" s="57" t="str">
        <f>IF(N(W981)&gt;0,COUNTIF(W$6:W981,"&gt;0"),"")</f>
        <v/>
      </c>
      <c r="AI981" s="57" t="str">
        <f>IF(Z981=1,COUNTIF(Z$6:Z981,1),"")</f>
        <v/>
      </c>
    </row>
    <row r="982">
      <c r="A982" s="54" t="n"/>
      <c r="B982" s="55" t="str">
        <f>IF(AA982="","",A982&amp;"-"&amp;RIGHT("000"&amp;AA982,4))</f>
        <v/>
      </c>
      <c r="C982" s="56" t="n"/>
      <c r="D982" s="54" t="n"/>
      <c r="E982" s="57" t="str">
        <f>IF(D982="","",IF(A982="BL",IFERROR(INDEX(cl_name,MATCH(D982,cl_code,0))&amp;"","Client inconnu"),IF(A982="BR",IFERROR(INDEX(fo_name,MATCH(D982,fo_code,0))&amp;"","Fournisseur inconnu"),IF(A982="BS",IF(ISNA(MATCH(D982,p_services,0)),"Service inconnu",D982&amp;""),""))))</f>
        <v/>
      </c>
      <c r="F982" s="58" t="n"/>
      <c r="G982" s="58" t="n"/>
      <c r="H982" s="59" t="n"/>
      <c r="I982" s="57" t="str">
        <f>IF(H982="","",IFERROR(INDEX(art_des,MATCH(H982,art_ref,0))&amp;"","Article inconnu"))</f>
        <v/>
      </c>
      <c r="J982" s="60" t="str">
        <f>IF(H982="","",IFERROR(INDEX(art_unit,MATCH(H982,art_ref,0))&amp;"",""))</f>
        <v/>
      </c>
      <c r="K982" s="59" t="n"/>
      <c r="L982" s="59" t="n"/>
      <c r="M982" s="61" t="str">
        <f>IF(OR(B982="",NOT(ISNUMBER(K982)),NOT(ISNUMBER(L982))),"",IF(OR(K982&lt;=0,L982&lt;=0),"",ROUND(L982-K982,6)))</f>
        <v/>
      </c>
      <c r="N982" s="58" t="n"/>
      <c r="O982" s="62" t="n"/>
      <c r="P982" s="63" t="str">
        <f>IF(OR(B982="",NOT(ISNUMBER(L982))),"",IF(L982&lt;=0,"",IFERROR(ROUND(L982*N(INDEX(art_w,MATCH(H982,art_ref,0))),3),"")))</f>
        <v/>
      </c>
      <c r="Q982" s="59" t="n"/>
      <c r="R982" s="54" t="n"/>
      <c r="S982" s="59" t="n"/>
      <c r="T982" s="59" t="n"/>
      <c r="U982" s="64" t="str">
        <f>IF(OR(B982="",H982=""),"",IFERROR(IF(A982="BL",IF(N(INDEX(art_price,MATCH(H982,art_ref,0)))=0,"",N(INDEX(art_price,MATCH(H982,art_ref,0)))),IF(N(INDEX(art_cost,MATCH(H982,art_ref,0)))=0,"",N(INDEX(art_cost,MATCH(H982,art_ref,0))))),""))</f>
        <v/>
      </c>
      <c r="V982" s="64" t="str">
        <f>IF(OR(U982="",NOT(ISNUMBER(L982))),"",IF(L982&lt;=0,"",ROUND(L982*U982,2)))</f>
        <v/>
      </c>
      <c r="W982" s="60" t="str">
        <f>IF(AND(B982&lt;&gt;"",A982&lt;&gt;"BS",F982&lt;&gt;"",H982&lt;&gt;"",ISNUMBER(K982),ISNUMBER(L982)),IF(AND(K982&gt;0,L982&gt;0,K982-L982&gt;0,COUNTIFS(A983:A$2005,A982,F983:F$2005,F982,H983:H$2005,H982,AA983:AA$2005,"&gt;0")=0),ROUND(K982-L982,6),""),"")</f>
        <v/>
      </c>
      <c r="X982" s="60" t="str">
        <f>IF(AND(A982="",C982="",D982="",H982="",L982=""),"",IF(A982="","Type manquant",IF(AND(A982&lt;&gt;"BL",A982&lt;&gt;"BR",A982&lt;&gt;"BS"),"Type inconnu (BL, BR ou BS)",IF(AG982=0,"Date manquante ou invalide",IF(D982="",IF(A982="BL","Client manquant",IF(A982="BR","Fournisseur manquant","Service manquant")),IF(IF(A982="BL",ISNA(MATCH(D982,cl_code,0)),IF(A982="BR",ISNA(MATCH(D982,fo_code,0)),ISNA(MATCH(D982,p_services,0)))),IF(A982="BL","Client inconnu",IF(A982="BR","Fournisseur inconnu","Service inconnu")),IF(H982="","Article manquant",IF(ISNA(MATCH(H982,art_ref,0)),"Article inconnu",IF(OR(NOT(ISNUMBER(L982)),N(L982)&lt;=0),"Quantité invalide",IF(AND(K982&lt;&gt;"",OR(NOT(ISNUMBER(K982)),N(K982)&lt;=0)),"Qté commandée invalide",IF(AG982&lt;SUMPRODUCT(MAX((A$6:A981=A982)*AG$6:AG981)),"Date antérieure au bon précédent",IF(AND(A982&lt;&gt;"BR",ISNUMBER(M982),N(M982)&gt;0),IF(A982="BL","Livré plus que commandé","Sorti plus que demandé"),"OK"))))))))))))</f>
        <v/>
      </c>
      <c r="Y982" s="57" t="str">
        <f>IF(AND(OR(A982="BL",A982="BR",A982="BS"),AG982&gt;0,D982&lt;&gt;""),A982&amp;"|"&amp;AG982&amp;"|"&amp;D982&amp;"|"&amp;F982,"")</f>
        <v/>
      </c>
      <c r="Z982" s="57" t="str">
        <f>IF(Y982="","",IF(COUNTIF(Y$6:Y981,Y982)=0,1,0))</f>
        <v/>
      </c>
      <c r="AA982" s="57" t="str">
        <f>IF(Y982="","",IF(Z982=1,COUNTIFS(A$6:A982,A982,Z$6:Z982,1),INDEX(AA$6:AA981,MATCH(Y982,Y$6:Y981,0))))</f>
        <v/>
      </c>
      <c r="AB982" s="57" t="str">
        <f>IF(B982="","",COUNTIF(B$6:B982,B982))</f>
        <v/>
      </c>
      <c r="AC982" s="57" t="str">
        <f>IF(B982="","",B982&amp;"#"&amp;AB982)</f>
        <v/>
      </c>
      <c r="AD982" s="57" t="str">
        <f>IF(Z982=1,A982&amp;AA982,"")</f>
        <v/>
      </c>
      <c r="AE982" s="57" t="str">
        <f>IF(B982="","",YEAR(C982))</f>
        <v/>
      </c>
      <c r="AF982" s="57" t="str">
        <f>IF(B982="","",MONTH(C982))</f>
        <v/>
      </c>
      <c r="AG982" s="57">
        <f>IF(ISNUMBER(C982),C982,0)</f>
        <v>0.0</v>
      </c>
      <c r="AH982" s="57" t="str">
        <f>IF(N(W982)&gt;0,COUNTIF(W$6:W982,"&gt;0"),"")</f>
        <v/>
      </c>
      <c r="AI982" s="57" t="str">
        <f>IF(Z982=1,COUNTIF(Z$6:Z982,1),"")</f>
        <v/>
      </c>
    </row>
    <row r="983">
      <c r="A983" s="54" t="n"/>
      <c r="B983" s="55" t="str">
        <f>IF(AA983="","",A983&amp;"-"&amp;RIGHT("000"&amp;AA983,4))</f>
        <v/>
      </c>
      <c r="C983" s="56" t="n"/>
      <c r="D983" s="54" t="n"/>
      <c r="E983" s="57" t="str">
        <f>IF(D983="","",IF(A983="BL",IFERROR(INDEX(cl_name,MATCH(D983,cl_code,0))&amp;"","Client inconnu"),IF(A983="BR",IFERROR(INDEX(fo_name,MATCH(D983,fo_code,0))&amp;"","Fournisseur inconnu"),IF(A983="BS",IF(ISNA(MATCH(D983,p_services,0)),"Service inconnu",D983&amp;""),""))))</f>
        <v/>
      </c>
      <c r="F983" s="58" t="n"/>
      <c r="G983" s="58" t="n"/>
      <c r="H983" s="59" t="n"/>
      <c r="I983" s="57" t="str">
        <f>IF(H983="","",IFERROR(INDEX(art_des,MATCH(H983,art_ref,0))&amp;"","Article inconnu"))</f>
        <v/>
      </c>
      <c r="J983" s="60" t="str">
        <f>IF(H983="","",IFERROR(INDEX(art_unit,MATCH(H983,art_ref,0))&amp;"",""))</f>
        <v/>
      </c>
      <c r="K983" s="59" t="n"/>
      <c r="L983" s="59" t="n"/>
      <c r="M983" s="61" t="str">
        <f>IF(OR(B983="",NOT(ISNUMBER(K983)),NOT(ISNUMBER(L983))),"",IF(OR(K983&lt;=0,L983&lt;=0),"",ROUND(L983-K983,6)))</f>
        <v/>
      </c>
      <c r="N983" s="58" t="n"/>
      <c r="O983" s="62" t="n"/>
      <c r="P983" s="63" t="str">
        <f>IF(OR(B983="",NOT(ISNUMBER(L983))),"",IF(L983&lt;=0,"",IFERROR(ROUND(L983*N(INDEX(art_w,MATCH(H983,art_ref,0))),3),"")))</f>
        <v/>
      </c>
      <c r="Q983" s="59" t="n"/>
      <c r="R983" s="54" t="n"/>
      <c r="S983" s="59" t="n"/>
      <c r="T983" s="59" t="n"/>
      <c r="U983" s="64" t="str">
        <f>IF(OR(B983="",H983=""),"",IFERROR(IF(A983="BL",IF(N(INDEX(art_price,MATCH(H983,art_ref,0)))=0,"",N(INDEX(art_price,MATCH(H983,art_ref,0)))),IF(N(INDEX(art_cost,MATCH(H983,art_ref,0)))=0,"",N(INDEX(art_cost,MATCH(H983,art_ref,0))))),""))</f>
        <v/>
      </c>
      <c r="V983" s="64" t="str">
        <f>IF(OR(U983="",NOT(ISNUMBER(L983))),"",IF(L983&lt;=0,"",ROUND(L983*U983,2)))</f>
        <v/>
      </c>
      <c r="W983" s="60" t="str">
        <f>IF(AND(B983&lt;&gt;"",A983&lt;&gt;"BS",F983&lt;&gt;"",H983&lt;&gt;"",ISNUMBER(K983),ISNUMBER(L983)),IF(AND(K983&gt;0,L983&gt;0,K983-L983&gt;0,COUNTIFS(A984:A$2005,A983,F984:F$2005,F983,H984:H$2005,H983,AA984:AA$2005,"&gt;0")=0),ROUND(K983-L983,6),""),"")</f>
        <v/>
      </c>
      <c r="X983" s="60" t="str">
        <f>IF(AND(A983="",C983="",D983="",H983="",L983=""),"",IF(A983="","Type manquant",IF(AND(A983&lt;&gt;"BL",A983&lt;&gt;"BR",A983&lt;&gt;"BS"),"Type inconnu (BL, BR ou BS)",IF(AG983=0,"Date manquante ou invalide",IF(D983="",IF(A983="BL","Client manquant",IF(A983="BR","Fournisseur manquant","Service manquant")),IF(IF(A983="BL",ISNA(MATCH(D983,cl_code,0)),IF(A983="BR",ISNA(MATCH(D983,fo_code,0)),ISNA(MATCH(D983,p_services,0)))),IF(A983="BL","Client inconnu",IF(A983="BR","Fournisseur inconnu","Service inconnu")),IF(H983="","Article manquant",IF(ISNA(MATCH(H983,art_ref,0)),"Article inconnu",IF(OR(NOT(ISNUMBER(L983)),N(L983)&lt;=0),"Quantité invalide",IF(AND(K983&lt;&gt;"",OR(NOT(ISNUMBER(K983)),N(K983)&lt;=0)),"Qté commandée invalide",IF(AG983&lt;SUMPRODUCT(MAX((A$6:A982=A983)*AG$6:AG982)),"Date antérieure au bon précédent",IF(AND(A983&lt;&gt;"BR",ISNUMBER(M983),N(M983)&gt;0),IF(A983="BL","Livré plus que commandé","Sorti plus que demandé"),"OK"))))))))))))</f>
        <v/>
      </c>
      <c r="Y983" s="57" t="str">
        <f>IF(AND(OR(A983="BL",A983="BR",A983="BS"),AG983&gt;0,D983&lt;&gt;""),A983&amp;"|"&amp;AG983&amp;"|"&amp;D983&amp;"|"&amp;F983,"")</f>
        <v/>
      </c>
      <c r="Z983" s="57" t="str">
        <f>IF(Y983="","",IF(COUNTIF(Y$6:Y982,Y983)=0,1,0))</f>
        <v/>
      </c>
      <c r="AA983" s="57" t="str">
        <f>IF(Y983="","",IF(Z983=1,COUNTIFS(A$6:A983,A983,Z$6:Z983,1),INDEX(AA$6:AA982,MATCH(Y983,Y$6:Y982,0))))</f>
        <v/>
      </c>
      <c r="AB983" s="57" t="str">
        <f>IF(B983="","",COUNTIF(B$6:B983,B983))</f>
        <v/>
      </c>
      <c r="AC983" s="57" t="str">
        <f>IF(B983="","",B983&amp;"#"&amp;AB983)</f>
        <v/>
      </c>
      <c r="AD983" s="57" t="str">
        <f>IF(Z983=1,A983&amp;AA983,"")</f>
        <v/>
      </c>
      <c r="AE983" s="57" t="str">
        <f>IF(B983="","",YEAR(C983))</f>
        <v/>
      </c>
      <c r="AF983" s="57" t="str">
        <f>IF(B983="","",MONTH(C983))</f>
        <v/>
      </c>
      <c r="AG983" s="57">
        <f>IF(ISNUMBER(C983),C983,0)</f>
        <v>0.0</v>
      </c>
      <c r="AH983" s="57" t="str">
        <f>IF(N(W983)&gt;0,COUNTIF(W$6:W983,"&gt;0"),"")</f>
        <v/>
      </c>
      <c r="AI983" s="57" t="str">
        <f>IF(Z983=1,COUNTIF(Z$6:Z983,1),"")</f>
        <v/>
      </c>
    </row>
    <row r="984">
      <c r="A984" s="54" t="n"/>
      <c r="B984" s="55" t="str">
        <f>IF(AA984="","",A984&amp;"-"&amp;RIGHT("000"&amp;AA984,4))</f>
        <v/>
      </c>
      <c r="C984" s="56" t="n"/>
      <c r="D984" s="54" t="n"/>
      <c r="E984" s="57" t="str">
        <f>IF(D984="","",IF(A984="BL",IFERROR(INDEX(cl_name,MATCH(D984,cl_code,0))&amp;"","Client inconnu"),IF(A984="BR",IFERROR(INDEX(fo_name,MATCH(D984,fo_code,0))&amp;"","Fournisseur inconnu"),IF(A984="BS",IF(ISNA(MATCH(D984,p_services,0)),"Service inconnu",D984&amp;""),""))))</f>
        <v/>
      </c>
      <c r="F984" s="58" t="n"/>
      <c r="G984" s="58" t="n"/>
      <c r="H984" s="59" t="n"/>
      <c r="I984" s="57" t="str">
        <f>IF(H984="","",IFERROR(INDEX(art_des,MATCH(H984,art_ref,0))&amp;"","Article inconnu"))</f>
        <v/>
      </c>
      <c r="J984" s="60" t="str">
        <f>IF(H984="","",IFERROR(INDEX(art_unit,MATCH(H984,art_ref,0))&amp;"",""))</f>
        <v/>
      </c>
      <c r="K984" s="59" t="n"/>
      <c r="L984" s="59" t="n"/>
      <c r="M984" s="61" t="str">
        <f>IF(OR(B984="",NOT(ISNUMBER(K984)),NOT(ISNUMBER(L984))),"",IF(OR(K984&lt;=0,L984&lt;=0),"",ROUND(L984-K984,6)))</f>
        <v/>
      </c>
      <c r="N984" s="58" t="n"/>
      <c r="O984" s="62" t="n"/>
      <c r="P984" s="63" t="str">
        <f>IF(OR(B984="",NOT(ISNUMBER(L984))),"",IF(L984&lt;=0,"",IFERROR(ROUND(L984*N(INDEX(art_w,MATCH(H984,art_ref,0))),3),"")))</f>
        <v/>
      </c>
      <c r="Q984" s="59" t="n"/>
      <c r="R984" s="54" t="n"/>
      <c r="S984" s="59" t="n"/>
      <c r="T984" s="59" t="n"/>
      <c r="U984" s="64" t="str">
        <f>IF(OR(B984="",H984=""),"",IFERROR(IF(A984="BL",IF(N(INDEX(art_price,MATCH(H984,art_ref,0)))=0,"",N(INDEX(art_price,MATCH(H984,art_ref,0)))),IF(N(INDEX(art_cost,MATCH(H984,art_ref,0)))=0,"",N(INDEX(art_cost,MATCH(H984,art_ref,0))))),""))</f>
        <v/>
      </c>
      <c r="V984" s="64" t="str">
        <f>IF(OR(U984="",NOT(ISNUMBER(L984))),"",IF(L984&lt;=0,"",ROUND(L984*U984,2)))</f>
        <v/>
      </c>
      <c r="W984" s="60" t="str">
        <f>IF(AND(B984&lt;&gt;"",A984&lt;&gt;"BS",F984&lt;&gt;"",H984&lt;&gt;"",ISNUMBER(K984),ISNUMBER(L984)),IF(AND(K984&gt;0,L984&gt;0,K984-L984&gt;0,COUNTIFS(A985:A$2005,A984,F985:F$2005,F984,H985:H$2005,H984,AA985:AA$2005,"&gt;0")=0),ROUND(K984-L984,6),""),"")</f>
        <v/>
      </c>
      <c r="X984" s="60" t="str">
        <f>IF(AND(A984="",C984="",D984="",H984="",L984=""),"",IF(A984="","Type manquant",IF(AND(A984&lt;&gt;"BL",A984&lt;&gt;"BR",A984&lt;&gt;"BS"),"Type inconnu (BL, BR ou BS)",IF(AG984=0,"Date manquante ou invalide",IF(D984="",IF(A984="BL","Client manquant",IF(A984="BR","Fournisseur manquant","Service manquant")),IF(IF(A984="BL",ISNA(MATCH(D984,cl_code,0)),IF(A984="BR",ISNA(MATCH(D984,fo_code,0)),ISNA(MATCH(D984,p_services,0)))),IF(A984="BL","Client inconnu",IF(A984="BR","Fournisseur inconnu","Service inconnu")),IF(H984="","Article manquant",IF(ISNA(MATCH(H984,art_ref,0)),"Article inconnu",IF(OR(NOT(ISNUMBER(L984)),N(L984)&lt;=0),"Quantité invalide",IF(AND(K984&lt;&gt;"",OR(NOT(ISNUMBER(K984)),N(K984)&lt;=0)),"Qté commandée invalide",IF(AG984&lt;SUMPRODUCT(MAX((A$6:A983=A984)*AG$6:AG983)),"Date antérieure au bon précédent",IF(AND(A984&lt;&gt;"BR",ISNUMBER(M984),N(M984)&gt;0),IF(A984="BL","Livré plus que commandé","Sorti plus que demandé"),"OK"))))))))))))</f>
        <v/>
      </c>
      <c r="Y984" s="57" t="str">
        <f>IF(AND(OR(A984="BL",A984="BR",A984="BS"),AG984&gt;0,D984&lt;&gt;""),A984&amp;"|"&amp;AG984&amp;"|"&amp;D984&amp;"|"&amp;F984,"")</f>
        <v/>
      </c>
      <c r="Z984" s="57" t="str">
        <f>IF(Y984="","",IF(COUNTIF(Y$6:Y983,Y984)=0,1,0))</f>
        <v/>
      </c>
      <c r="AA984" s="57" t="str">
        <f>IF(Y984="","",IF(Z984=1,COUNTIFS(A$6:A984,A984,Z$6:Z984,1),INDEX(AA$6:AA983,MATCH(Y984,Y$6:Y983,0))))</f>
        <v/>
      </c>
      <c r="AB984" s="57" t="str">
        <f>IF(B984="","",COUNTIF(B$6:B984,B984))</f>
        <v/>
      </c>
      <c r="AC984" s="57" t="str">
        <f>IF(B984="","",B984&amp;"#"&amp;AB984)</f>
        <v/>
      </c>
      <c r="AD984" s="57" t="str">
        <f>IF(Z984=1,A984&amp;AA984,"")</f>
        <v/>
      </c>
      <c r="AE984" s="57" t="str">
        <f>IF(B984="","",YEAR(C984))</f>
        <v/>
      </c>
      <c r="AF984" s="57" t="str">
        <f>IF(B984="","",MONTH(C984))</f>
        <v/>
      </c>
      <c r="AG984" s="57">
        <f>IF(ISNUMBER(C984),C984,0)</f>
        <v>0.0</v>
      </c>
      <c r="AH984" s="57" t="str">
        <f>IF(N(W984)&gt;0,COUNTIF(W$6:W984,"&gt;0"),"")</f>
        <v/>
      </c>
      <c r="AI984" s="57" t="str">
        <f>IF(Z984=1,COUNTIF(Z$6:Z984,1),"")</f>
        <v/>
      </c>
    </row>
    <row r="985">
      <c r="A985" s="54" t="n"/>
      <c r="B985" s="55" t="str">
        <f>IF(AA985="","",A985&amp;"-"&amp;RIGHT("000"&amp;AA985,4))</f>
        <v/>
      </c>
      <c r="C985" s="56" t="n"/>
      <c r="D985" s="54" t="n"/>
      <c r="E985" s="57" t="str">
        <f>IF(D985="","",IF(A985="BL",IFERROR(INDEX(cl_name,MATCH(D985,cl_code,0))&amp;"","Client inconnu"),IF(A985="BR",IFERROR(INDEX(fo_name,MATCH(D985,fo_code,0))&amp;"","Fournisseur inconnu"),IF(A985="BS",IF(ISNA(MATCH(D985,p_services,0)),"Service inconnu",D985&amp;""),""))))</f>
        <v/>
      </c>
      <c r="F985" s="58" t="n"/>
      <c r="G985" s="58" t="n"/>
      <c r="H985" s="59" t="n"/>
      <c r="I985" s="57" t="str">
        <f>IF(H985="","",IFERROR(INDEX(art_des,MATCH(H985,art_ref,0))&amp;"","Article inconnu"))</f>
        <v/>
      </c>
      <c r="J985" s="60" t="str">
        <f>IF(H985="","",IFERROR(INDEX(art_unit,MATCH(H985,art_ref,0))&amp;"",""))</f>
        <v/>
      </c>
      <c r="K985" s="59" t="n"/>
      <c r="L985" s="59" t="n"/>
      <c r="M985" s="61" t="str">
        <f>IF(OR(B985="",NOT(ISNUMBER(K985)),NOT(ISNUMBER(L985))),"",IF(OR(K985&lt;=0,L985&lt;=0),"",ROUND(L985-K985,6)))</f>
        <v/>
      </c>
      <c r="N985" s="58" t="n"/>
      <c r="O985" s="62" t="n"/>
      <c r="P985" s="63" t="str">
        <f>IF(OR(B985="",NOT(ISNUMBER(L985))),"",IF(L985&lt;=0,"",IFERROR(ROUND(L985*N(INDEX(art_w,MATCH(H985,art_ref,0))),3),"")))</f>
        <v/>
      </c>
      <c r="Q985" s="59" t="n"/>
      <c r="R985" s="54" t="n"/>
      <c r="S985" s="59" t="n"/>
      <c r="T985" s="59" t="n"/>
      <c r="U985" s="64" t="str">
        <f>IF(OR(B985="",H985=""),"",IFERROR(IF(A985="BL",IF(N(INDEX(art_price,MATCH(H985,art_ref,0)))=0,"",N(INDEX(art_price,MATCH(H985,art_ref,0)))),IF(N(INDEX(art_cost,MATCH(H985,art_ref,0)))=0,"",N(INDEX(art_cost,MATCH(H985,art_ref,0))))),""))</f>
        <v/>
      </c>
      <c r="V985" s="64" t="str">
        <f>IF(OR(U985="",NOT(ISNUMBER(L985))),"",IF(L985&lt;=0,"",ROUND(L985*U985,2)))</f>
        <v/>
      </c>
      <c r="W985" s="60" t="str">
        <f>IF(AND(B985&lt;&gt;"",A985&lt;&gt;"BS",F985&lt;&gt;"",H985&lt;&gt;"",ISNUMBER(K985),ISNUMBER(L985)),IF(AND(K985&gt;0,L985&gt;0,K985-L985&gt;0,COUNTIFS(A986:A$2005,A985,F986:F$2005,F985,H986:H$2005,H985,AA986:AA$2005,"&gt;0")=0),ROUND(K985-L985,6),""),"")</f>
        <v/>
      </c>
      <c r="X985" s="60" t="str">
        <f>IF(AND(A985="",C985="",D985="",H985="",L985=""),"",IF(A985="","Type manquant",IF(AND(A985&lt;&gt;"BL",A985&lt;&gt;"BR",A985&lt;&gt;"BS"),"Type inconnu (BL, BR ou BS)",IF(AG985=0,"Date manquante ou invalide",IF(D985="",IF(A985="BL","Client manquant",IF(A985="BR","Fournisseur manquant","Service manquant")),IF(IF(A985="BL",ISNA(MATCH(D985,cl_code,0)),IF(A985="BR",ISNA(MATCH(D985,fo_code,0)),ISNA(MATCH(D985,p_services,0)))),IF(A985="BL","Client inconnu",IF(A985="BR","Fournisseur inconnu","Service inconnu")),IF(H985="","Article manquant",IF(ISNA(MATCH(H985,art_ref,0)),"Article inconnu",IF(OR(NOT(ISNUMBER(L985)),N(L985)&lt;=0),"Quantité invalide",IF(AND(K985&lt;&gt;"",OR(NOT(ISNUMBER(K985)),N(K985)&lt;=0)),"Qté commandée invalide",IF(AG985&lt;SUMPRODUCT(MAX((A$6:A984=A985)*AG$6:AG984)),"Date antérieure au bon précédent",IF(AND(A985&lt;&gt;"BR",ISNUMBER(M985),N(M985)&gt;0),IF(A985="BL","Livré plus que commandé","Sorti plus que demandé"),"OK"))))))))))))</f>
        <v/>
      </c>
      <c r="Y985" s="57" t="str">
        <f>IF(AND(OR(A985="BL",A985="BR",A985="BS"),AG985&gt;0,D985&lt;&gt;""),A985&amp;"|"&amp;AG985&amp;"|"&amp;D985&amp;"|"&amp;F985,"")</f>
        <v/>
      </c>
      <c r="Z985" s="57" t="str">
        <f>IF(Y985="","",IF(COUNTIF(Y$6:Y984,Y985)=0,1,0))</f>
        <v/>
      </c>
      <c r="AA985" s="57" t="str">
        <f>IF(Y985="","",IF(Z985=1,COUNTIFS(A$6:A985,A985,Z$6:Z985,1),INDEX(AA$6:AA984,MATCH(Y985,Y$6:Y984,0))))</f>
        <v/>
      </c>
      <c r="AB985" s="57" t="str">
        <f>IF(B985="","",COUNTIF(B$6:B985,B985))</f>
        <v/>
      </c>
      <c r="AC985" s="57" t="str">
        <f>IF(B985="","",B985&amp;"#"&amp;AB985)</f>
        <v/>
      </c>
      <c r="AD985" s="57" t="str">
        <f>IF(Z985=1,A985&amp;AA985,"")</f>
        <v/>
      </c>
      <c r="AE985" s="57" t="str">
        <f>IF(B985="","",YEAR(C985))</f>
        <v/>
      </c>
      <c r="AF985" s="57" t="str">
        <f>IF(B985="","",MONTH(C985))</f>
        <v/>
      </c>
      <c r="AG985" s="57">
        <f>IF(ISNUMBER(C985),C985,0)</f>
        <v>0.0</v>
      </c>
      <c r="AH985" s="57" t="str">
        <f>IF(N(W985)&gt;0,COUNTIF(W$6:W985,"&gt;0"),"")</f>
        <v/>
      </c>
      <c r="AI985" s="57" t="str">
        <f>IF(Z985=1,COUNTIF(Z$6:Z985,1),"")</f>
        <v/>
      </c>
    </row>
    <row r="986">
      <c r="A986" s="54" t="n"/>
      <c r="B986" s="55" t="str">
        <f>IF(AA986="","",A986&amp;"-"&amp;RIGHT("000"&amp;AA986,4))</f>
        <v/>
      </c>
      <c r="C986" s="56" t="n"/>
      <c r="D986" s="54" t="n"/>
      <c r="E986" s="57" t="str">
        <f>IF(D986="","",IF(A986="BL",IFERROR(INDEX(cl_name,MATCH(D986,cl_code,0))&amp;"","Client inconnu"),IF(A986="BR",IFERROR(INDEX(fo_name,MATCH(D986,fo_code,0))&amp;"","Fournisseur inconnu"),IF(A986="BS",IF(ISNA(MATCH(D986,p_services,0)),"Service inconnu",D986&amp;""),""))))</f>
        <v/>
      </c>
      <c r="F986" s="58" t="n"/>
      <c r="G986" s="58" t="n"/>
      <c r="H986" s="59" t="n"/>
      <c r="I986" s="57" t="str">
        <f>IF(H986="","",IFERROR(INDEX(art_des,MATCH(H986,art_ref,0))&amp;"","Article inconnu"))</f>
        <v/>
      </c>
      <c r="J986" s="60" t="str">
        <f>IF(H986="","",IFERROR(INDEX(art_unit,MATCH(H986,art_ref,0))&amp;"",""))</f>
        <v/>
      </c>
      <c r="K986" s="59" t="n"/>
      <c r="L986" s="59" t="n"/>
      <c r="M986" s="61" t="str">
        <f>IF(OR(B986="",NOT(ISNUMBER(K986)),NOT(ISNUMBER(L986))),"",IF(OR(K986&lt;=0,L986&lt;=0),"",ROUND(L986-K986,6)))</f>
        <v/>
      </c>
      <c r="N986" s="58" t="n"/>
      <c r="O986" s="62" t="n"/>
      <c r="P986" s="63" t="str">
        <f>IF(OR(B986="",NOT(ISNUMBER(L986))),"",IF(L986&lt;=0,"",IFERROR(ROUND(L986*N(INDEX(art_w,MATCH(H986,art_ref,0))),3),"")))</f>
        <v/>
      </c>
      <c r="Q986" s="59" t="n"/>
      <c r="R986" s="54" t="n"/>
      <c r="S986" s="59" t="n"/>
      <c r="T986" s="59" t="n"/>
      <c r="U986" s="64" t="str">
        <f>IF(OR(B986="",H986=""),"",IFERROR(IF(A986="BL",IF(N(INDEX(art_price,MATCH(H986,art_ref,0)))=0,"",N(INDEX(art_price,MATCH(H986,art_ref,0)))),IF(N(INDEX(art_cost,MATCH(H986,art_ref,0)))=0,"",N(INDEX(art_cost,MATCH(H986,art_ref,0))))),""))</f>
        <v/>
      </c>
      <c r="V986" s="64" t="str">
        <f>IF(OR(U986="",NOT(ISNUMBER(L986))),"",IF(L986&lt;=0,"",ROUND(L986*U986,2)))</f>
        <v/>
      </c>
      <c r="W986" s="60" t="str">
        <f>IF(AND(B986&lt;&gt;"",A986&lt;&gt;"BS",F986&lt;&gt;"",H986&lt;&gt;"",ISNUMBER(K986),ISNUMBER(L986)),IF(AND(K986&gt;0,L986&gt;0,K986-L986&gt;0,COUNTIFS(A987:A$2005,A986,F987:F$2005,F986,H987:H$2005,H986,AA987:AA$2005,"&gt;0")=0),ROUND(K986-L986,6),""),"")</f>
        <v/>
      </c>
      <c r="X986" s="60" t="str">
        <f>IF(AND(A986="",C986="",D986="",H986="",L986=""),"",IF(A986="","Type manquant",IF(AND(A986&lt;&gt;"BL",A986&lt;&gt;"BR",A986&lt;&gt;"BS"),"Type inconnu (BL, BR ou BS)",IF(AG986=0,"Date manquante ou invalide",IF(D986="",IF(A986="BL","Client manquant",IF(A986="BR","Fournisseur manquant","Service manquant")),IF(IF(A986="BL",ISNA(MATCH(D986,cl_code,0)),IF(A986="BR",ISNA(MATCH(D986,fo_code,0)),ISNA(MATCH(D986,p_services,0)))),IF(A986="BL","Client inconnu",IF(A986="BR","Fournisseur inconnu","Service inconnu")),IF(H986="","Article manquant",IF(ISNA(MATCH(H986,art_ref,0)),"Article inconnu",IF(OR(NOT(ISNUMBER(L986)),N(L986)&lt;=0),"Quantité invalide",IF(AND(K986&lt;&gt;"",OR(NOT(ISNUMBER(K986)),N(K986)&lt;=0)),"Qté commandée invalide",IF(AG986&lt;SUMPRODUCT(MAX((A$6:A985=A986)*AG$6:AG985)),"Date antérieure au bon précédent",IF(AND(A986&lt;&gt;"BR",ISNUMBER(M986),N(M986)&gt;0),IF(A986="BL","Livré plus que commandé","Sorti plus que demandé"),"OK"))))))))))))</f>
        <v/>
      </c>
      <c r="Y986" s="57" t="str">
        <f>IF(AND(OR(A986="BL",A986="BR",A986="BS"),AG986&gt;0,D986&lt;&gt;""),A986&amp;"|"&amp;AG986&amp;"|"&amp;D986&amp;"|"&amp;F986,"")</f>
        <v/>
      </c>
      <c r="Z986" s="57" t="str">
        <f>IF(Y986="","",IF(COUNTIF(Y$6:Y985,Y986)=0,1,0))</f>
        <v/>
      </c>
      <c r="AA986" s="57" t="str">
        <f>IF(Y986="","",IF(Z986=1,COUNTIFS(A$6:A986,A986,Z$6:Z986,1),INDEX(AA$6:AA985,MATCH(Y986,Y$6:Y985,0))))</f>
        <v/>
      </c>
      <c r="AB986" s="57" t="str">
        <f>IF(B986="","",COUNTIF(B$6:B986,B986))</f>
        <v/>
      </c>
      <c r="AC986" s="57" t="str">
        <f>IF(B986="","",B986&amp;"#"&amp;AB986)</f>
        <v/>
      </c>
      <c r="AD986" s="57" t="str">
        <f>IF(Z986=1,A986&amp;AA986,"")</f>
        <v/>
      </c>
      <c r="AE986" s="57" t="str">
        <f>IF(B986="","",YEAR(C986))</f>
        <v/>
      </c>
      <c r="AF986" s="57" t="str">
        <f>IF(B986="","",MONTH(C986))</f>
        <v/>
      </c>
      <c r="AG986" s="57">
        <f>IF(ISNUMBER(C986),C986,0)</f>
        <v>0.0</v>
      </c>
      <c r="AH986" s="57" t="str">
        <f>IF(N(W986)&gt;0,COUNTIF(W$6:W986,"&gt;0"),"")</f>
        <v/>
      </c>
      <c r="AI986" s="57" t="str">
        <f>IF(Z986=1,COUNTIF(Z$6:Z986,1),"")</f>
        <v/>
      </c>
    </row>
    <row r="987">
      <c r="A987" s="54" t="n"/>
      <c r="B987" s="55" t="str">
        <f>IF(AA987="","",A987&amp;"-"&amp;RIGHT("000"&amp;AA987,4))</f>
        <v/>
      </c>
      <c r="C987" s="56" t="n"/>
      <c r="D987" s="54" t="n"/>
      <c r="E987" s="57" t="str">
        <f>IF(D987="","",IF(A987="BL",IFERROR(INDEX(cl_name,MATCH(D987,cl_code,0))&amp;"","Client inconnu"),IF(A987="BR",IFERROR(INDEX(fo_name,MATCH(D987,fo_code,0))&amp;"","Fournisseur inconnu"),IF(A987="BS",IF(ISNA(MATCH(D987,p_services,0)),"Service inconnu",D987&amp;""),""))))</f>
        <v/>
      </c>
      <c r="F987" s="58" t="n"/>
      <c r="G987" s="58" t="n"/>
      <c r="H987" s="59" t="n"/>
      <c r="I987" s="57" t="str">
        <f>IF(H987="","",IFERROR(INDEX(art_des,MATCH(H987,art_ref,0))&amp;"","Article inconnu"))</f>
        <v/>
      </c>
      <c r="J987" s="60" t="str">
        <f>IF(H987="","",IFERROR(INDEX(art_unit,MATCH(H987,art_ref,0))&amp;"",""))</f>
        <v/>
      </c>
      <c r="K987" s="59" t="n"/>
      <c r="L987" s="59" t="n"/>
      <c r="M987" s="61" t="str">
        <f>IF(OR(B987="",NOT(ISNUMBER(K987)),NOT(ISNUMBER(L987))),"",IF(OR(K987&lt;=0,L987&lt;=0),"",ROUND(L987-K987,6)))</f>
        <v/>
      </c>
      <c r="N987" s="58" t="n"/>
      <c r="O987" s="62" t="n"/>
      <c r="P987" s="63" t="str">
        <f>IF(OR(B987="",NOT(ISNUMBER(L987))),"",IF(L987&lt;=0,"",IFERROR(ROUND(L987*N(INDEX(art_w,MATCH(H987,art_ref,0))),3),"")))</f>
        <v/>
      </c>
      <c r="Q987" s="59" t="n"/>
      <c r="R987" s="54" t="n"/>
      <c r="S987" s="59" t="n"/>
      <c r="T987" s="59" t="n"/>
      <c r="U987" s="64" t="str">
        <f>IF(OR(B987="",H987=""),"",IFERROR(IF(A987="BL",IF(N(INDEX(art_price,MATCH(H987,art_ref,0)))=0,"",N(INDEX(art_price,MATCH(H987,art_ref,0)))),IF(N(INDEX(art_cost,MATCH(H987,art_ref,0)))=0,"",N(INDEX(art_cost,MATCH(H987,art_ref,0))))),""))</f>
        <v/>
      </c>
      <c r="V987" s="64" t="str">
        <f>IF(OR(U987="",NOT(ISNUMBER(L987))),"",IF(L987&lt;=0,"",ROUND(L987*U987,2)))</f>
        <v/>
      </c>
      <c r="W987" s="60" t="str">
        <f>IF(AND(B987&lt;&gt;"",A987&lt;&gt;"BS",F987&lt;&gt;"",H987&lt;&gt;"",ISNUMBER(K987),ISNUMBER(L987)),IF(AND(K987&gt;0,L987&gt;0,K987-L987&gt;0,COUNTIFS(A988:A$2005,A987,F988:F$2005,F987,H988:H$2005,H987,AA988:AA$2005,"&gt;0")=0),ROUND(K987-L987,6),""),"")</f>
        <v/>
      </c>
      <c r="X987" s="60" t="str">
        <f>IF(AND(A987="",C987="",D987="",H987="",L987=""),"",IF(A987="","Type manquant",IF(AND(A987&lt;&gt;"BL",A987&lt;&gt;"BR",A987&lt;&gt;"BS"),"Type inconnu (BL, BR ou BS)",IF(AG987=0,"Date manquante ou invalide",IF(D987="",IF(A987="BL","Client manquant",IF(A987="BR","Fournisseur manquant","Service manquant")),IF(IF(A987="BL",ISNA(MATCH(D987,cl_code,0)),IF(A987="BR",ISNA(MATCH(D987,fo_code,0)),ISNA(MATCH(D987,p_services,0)))),IF(A987="BL","Client inconnu",IF(A987="BR","Fournisseur inconnu","Service inconnu")),IF(H987="","Article manquant",IF(ISNA(MATCH(H987,art_ref,0)),"Article inconnu",IF(OR(NOT(ISNUMBER(L987)),N(L987)&lt;=0),"Quantité invalide",IF(AND(K987&lt;&gt;"",OR(NOT(ISNUMBER(K987)),N(K987)&lt;=0)),"Qté commandée invalide",IF(AG987&lt;SUMPRODUCT(MAX((A$6:A986=A987)*AG$6:AG986)),"Date antérieure au bon précédent",IF(AND(A987&lt;&gt;"BR",ISNUMBER(M987),N(M987)&gt;0),IF(A987="BL","Livré plus que commandé","Sorti plus que demandé"),"OK"))))))))))))</f>
        <v/>
      </c>
      <c r="Y987" s="57" t="str">
        <f>IF(AND(OR(A987="BL",A987="BR",A987="BS"),AG987&gt;0,D987&lt;&gt;""),A987&amp;"|"&amp;AG987&amp;"|"&amp;D987&amp;"|"&amp;F987,"")</f>
        <v/>
      </c>
      <c r="Z987" s="57" t="str">
        <f>IF(Y987="","",IF(COUNTIF(Y$6:Y986,Y987)=0,1,0))</f>
        <v/>
      </c>
      <c r="AA987" s="57" t="str">
        <f>IF(Y987="","",IF(Z987=1,COUNTIFS(A$6:A987,A987,Z$6:Z987,1),INDEX(AA$6:AA986,MATCH(Y987,Y$6:Y986,0))))</f>
        <v/>
      </c>
      <c r="AB987" s="57" t="str">
        <f>IF(B987="","",COUNTIF(B$6:B987,B987))</f>
        <v/>
      </c>
      <c r="AC987" s="57" t="str">
        <f>IF(B987="","",B987&amp;"#"&amp;AB987)</f>
        <v/>
      </c>
      <c r="AD987" s="57" t="str">
        <f>IF(Z987=1,A987&amp;AA987,"")</f>
        <v/>
      </c>
      <c r="AE987" s="57" t="str">
        <f>IF(B987="","",YEAR(C987))</f>
        <v/>
      </c>
      <c r="AF987" s="57" t="str">
        <f>IF(B987="","",MONTH(C987))</f>
        <v/>
      </c>
      <c r="AG987" s="57">
        <f>IF(ISNUMBER(C987),C987,0)</f>
        <v>0.0</v>
      </c>
      <c r="AH987" s="57" t="str">
        <f>IF(N(W987)&gt;0,COUNTIF(W$6:W987,"&gt;0"),"")</f>
        <v/>
      </c>
      <c r="AI987" s="57" t="str">
        <f>IF(Z987=1,COUNTIF(Z$6:Z987,1),"")</f>
        <v/>
      </c>
    </row>
    <row r="988">
      <c r="A988" s="54" t="n"/>
      <c r="B988" s="55" t="str">
        <f>IF(AA988="","",A988&amp;"-"&amp;RIGHT("000"&amp;AA988,4))</f>
        <v/>
      </c>
      <c r="C988" s="56" t="n"/>
      <c r="D988" s="54" t="n"/>
      <c r="E988" s="57" t="str">
        <f>IF(D988="","",IF(A988="BL",IFERROR(INDEX(cl_name,MATCH(D988,cl_code,0))&amp;"","Client inconnu"),IF(A988="BR",IFERROR(INDEX(fo_name,MATCH(D988,fo_code,0))&amp;"","Fournisseur inconnu"),IF(A988="BS",IF(ISNA(MATCH(D988,p_services,0)),"Service inconnu",D988&amp;""),""))))</f>
        <v/>
      </c>
      <c r="F988" s="58" t="n"/>
      <c r="G988" s="58" t="n"/>
      <c r="H988" s="59" t="n"/>
      <c r="I988" s="57" t="str">
        <f>IF(H988="","",IFERROR(INDEX(art_des,MATCH(H988,art_ref,0))&amp;"","Article inconnu"))</f>
        <v/>
      </c>
      <c r="J988" s="60" t="str">
        <f>IF(H988="","",IFERROR(INDEX(art_unit,MATCH(H988,art_ref,0))&amp;"",""))</f>
        <v/>
      </c>
      <c r="K988" s="59" t="n"/>
      <c r="L988" s="59" t="n"/>
      <c r="M988" s="61" t="str">
        <f>IF(OR(B988="",NOT(ISNUMBER(K988)),NOT(ISNUMBER(L988))),"",IF(OR(K988&lt;=0,L988&lt;=0),"",ROUND(L988-K988,6)))</f>
        <v/>
      </c>
      <c r="N988" s="58" t="n"/>
      <c r="O988" s="62" t="n"/>
      <c r="P988" s="63" t="str">
        <f>IF(OR(B988="",NOT(ISNUMBER(L988))),"",IF(L988&lt;=0,"",IFERROR(ROUND(L988*N(INDEX(art_w,MATCH(H988,art_ref,0))),3),"")))</f>
        <v/>
      </c>
      <c r="Q988" s="59" t="n"/>
      <c r="R988" s="54" t="n"/>
      <c r="S988" s="59" t="n"/>
      <c r="T988" s="59" t="n"/>
      <c r="U988" s="64" t="str">
        <f>IF(OR(B988="",H988=""),"",IFERROR(IF(A988="BL",IF(N(INDEX(art_price,MATCH(H988,art_ref,0)))=0,"",N(INDEX(art_price,MATCH(H988,art_ref,0)))),IF(N(INDEX(art_cost,MATCH(H988,art_ref,0)))=0,"",N(INDEX(art_cost,MATCH(H988,art_ref,0))))),""))</f>
        <v/>
      </c>
      <c r="V988" s="64" t="str">
        <f>IF(OR(U988="",NOT(ISNUMBER(L988))),"",IF(L988&lt;=0,"",ROUND(L988*U988,2)))</f>
        <v/>
      </c>
      <c r="W988" s="60" t="str">
        <f>IF(AND(B988&lt;&gt;"",A988&lt;&gt;"BS",F988&lt;&gt;"",H988&lt;&gt;"",ISNUMBER(K988),ISNUMBER(L988)),IF(AND(K988&gt;0,L988&gt;0,K988-L988&gt;0,COUNTIFS(A989:A$2005,A988,F989:F$2005,F988,H989:H$2005,H988,AA989:AA$2005,"&gt;0")=0),ROUND(K988-L988,6),""),"")</f>
        <v/>
      </c>
      <c r="X988" s="60" t="str">
        <f>IF(AND(A988="",C988="",D988="",H988="",L988=""),"",IF(A988="","Type manquant",IF(AND(A988&lt;&gt;"BL",A988&lt;&gt;"BR",A988&lt;&gt;"BS"),"Type inconnu (BL, BR ou BS)",IF(AG988=0,"Date manquante ou invalide",IF(D988="",IF(A988="BL","Client manquant",IF(A988="BR","Fournisseur manquant","Service manquant")),IF(IF(A988="BL",ISNA(MATCH(D988,cl_code,0)),IF(A988="BR",ISNA(MATCH(D988,fo_code,0)),ISNA(MATCH(D988,p_services,0)))),IF(A988="BL","Client inconnu",IF(A988="BR","Fournisseur inconnu","Service inconnu")),IF(H988="","Article manquant",IF(ISNA(MATCH(H988,art_ref,0)),"Article inconnu",IF(OR(NOT(ISNUMBER(L988)),N(L988)&lt;=0),"Quantité invalide",IF(AND(K988&lt;&gt;"",OR(NOT(ISNUMBER(K988)),N(K988)&lt;=0)),"Qté commandée invalide",IF(AG988&lt;SUMPRODUCT(MAX((A$6:A987=A988)*AG$6:AG987)),"Date antérieure au bon précédent",IF(AND(A988&lt;&gt;"BR",ISNUMBER(M988),N(M988)&gt;0),IF(A988="BL","Livré plus que commandé","Sorti plus que demandé"),"OK"))))))))))))</f>
        <v/>
      </c>
      <c r="Y988" s="57" t="str">
        <f>IF(AND(OR(A988="BL",A988="BR",A988="BS"),AG988&gt;0,D988&lt;&gt;""),A988&amp;"|"&amp;AG988&amp;"|"&amp;D988&amp;"|"&amp;F988,"")</f>
        <v/>
      </c>
      <c r="Z988" s="57" t="str">
        <f>IF(Y988="","",IF(COUNTIF(Y$6:Y987,Y988)=0,1,0))</f>
        <v/>
      </c>
      <c r="AA988" s="57" t="str">
        <f>IF(Y988="","",IF(Z988=1,COUNTIFS(A$6:A988,A988,Z$6:Z988,1),INDEX(AA$6:AA987,MATCH(Y988,Y$6:Y987,0))))</f>
        <v/>
      </c>
      <c r="AB988" s="57" t="str">
        <f>IF(B988="","",COUNTIF(B$6:B988,B988))</f>
        <v/>
      </c>
      <c r="AC988" s="57" t="str">
        <f>IF(B988="","",B988&amp;"#"&amp;AB988)</f>
        <v/>
      </c>
      <c r="AD988" s="57" t="str">
        <f>IF(Z988=1,A988&amp;AA988,"")</f>
        <v/>
      </c>
      <c r="AE988" s="57" t="str">
        <f>IF(B988="","",YEAR(C988))</f>
        <v/>
      </c>
      <c r="AF988" s="57" t="str">
        <f>IF(B988="","",MONTH(C988))</f>
        <v/>
      </c>
      <c r="AG988" s="57">
        <f>IF(ISNUMBER(C988),C988,0)</f>
        <v>0.0</v>
      </c>
      <c r="AH988" s="57" t="str">
        <f>IF(N(W988)&gt;0,COUNTIF(W$6:W988,"&gt;0"),"")</f>
        <v/>
      </c>
      <c r="AI988" s="57" t="str">
        <f>IF(Z988=1,COUNTIF(Z$6:Z988,1),"")</f>
        <v/>
      </c>
    </row>
    <row r="989">
      <c r="A989" s="54" t="n"/>
      <c r="B989" s="55" t="str">
        <f>IF(AA989="","",A989&amp;"-"&amp;RIGHT("000"&amp;AA989,4))</f>
        <v/>
      </c>
      <c r="C989" s="56" t="n"/>
      <c r="D989" s="54" t="n"/>
      <c r="E989" s="57" t="str">
        <f>IF(D989="","",IF(A989="BL",IFERROR(INDEX(cl_name,MATCH(D989,cl_code,0))&amp;"","Client inconnu"),IF(A989="BR",IFERROR(INDEX(fo_name,MATCH(D989,fo_code,0))&amp;"","Fournisseur inconnu"),IF(A989="BS",IF(ISNA(MATCH(D989,p_services,0)),"Service inconnu",D989&amp;""),""))))</f>
        <v/>
      </c>
      <c r="F989" s="58" t="n"/>
      <c r="G989" s="58" t="n"/>
      <c r="H989" s="59" t="n"/>
      <c r="I989" s="57" t="str">
        <f>IF(H989="","",IFERROR(INDEX(art_des,MATCH(H989,art_ref,0))&amp;"","Article inconnu"))</f>
        <v/>
      </c>
      <c r="J989" s="60" t="str">
        <f>IF(H989="","",IFERROR(INDEX(art_unit,MATCH(H989,art_ref,0))&amp;"",""))</f>
        <v/>
      </c>
      <c r="K989" s="59" t="n"/>
      <c r="L989" s="59" t="n"/>
      <c r="M989" s="61" t="str">
        <f>IF(OR(B989="",NOT(ISNUMBER(K989)),NOT(ISNUMBER(L989))),"",IF(OR(K989&lt;=0,L989&lt;=0),"",ROUND(L989-K989,6)))</f>
        <v/>
      </c>
      <c r="N989" s="58" t="n"/>
      <c r="O989" s="62" t="n"/>
      <c r="P989" s="63" t="str">
        <f>IF(OR(B989="",NOT(ISNUMBER(L989))),"",IF(L989&lt;=0,"",IFERROR(ROUND(L989*N(INDEX(art_w,MATCH(H989,art_ref,0))),3),"")))</f>
        <v/>
      </c>
      <c r="Q989" s="59" t="n"/>
      <c r="R989" s="54" t="n"/>
      <c r="S989" s="59" t="n"/>
      <c r="T989" s="59" t="n"/>
      <c r="U989" s="64" t="str">
        <f>IF(OR(B989="",H989=""),"",IFERROR(IF(A989="BL",IF(N(INDEX(art_price,MATCH(H989,art_ref,0)))=0,"",N(INDEX(art_price,MATCH(H989,art_ref,0)))),IF(N(INDEX(art_cost,MATCH(H989,art_ref,0)))=0,"",N(INDEX(art_cost,MATCH(H989,art_ref,0))))),""))</f>
        <v/>
      </c>
      <c r="V989" s="64" t="str">
        <f>IF(OR(U989="",NOT(ISNUMBER(L989))),"",IF(L989&lt;=0,"",ROUND(L989*U989,2)))</f>
        <v/>
      </c>
      <c r="W989" s="60" t="str">
        <f>IF(AND(B989&lt;&gt;"",A989&lt;&gt;"BS",F989&lt;&gt;"",H989&lt;&gt;"",ISNUMBER(K989),ISNUMBER(L989)),IF(AND(K989&gt;0,L989&gt;0,K989-L989&gt;0,COUNTIFS(A990:A$2005,A989,F990:F$2005,F989,H990:H$2005,H989,AA990:AA$2005,"&gt;0")=0),ROUND(K989-L989,6),""),"")</f>
        <v/>
      </c>
      <c r="X989" s="60" t="str">
        <f>IF(AND(A989="",C989="",D989="",H989="",L989=""),"",IF(A989="","Type manquant",IF(AND(A989&lt;&gt;"BL",A989&lt;&gt;"BR",A989&lt;&gt;"BS"),"Type inconnu (BL, BR ou BS)",IF(AG989=0,"Date manquante ou invalide",IF(D989="",IF(A989="BL","Client manquant",IF(A989="BR","Fournisseur manquant","Service manquant")),IF(IF(A989="BL",ISNA(MATCH(D989,cl_code,0)),IF(A989="BR",ISNA(MATCH(D989,fo_code,0)),ISNA(MATCH(D989,p_services,0)))),IF(A989="BL","Client inconnu",IF(A989="BR","Fournisseur inconnu","Service inconnu")),IF(H989="","Article manquant",IF(ISNA(MATCH(H989,art_ref,0)),"Article inconnu",IF(OR(NOT(ISNUMBER(L989)),N(L989)&lt;=0),"Quantité invalide",IF(AND(K989&lt;&gt;"",OR(NOT(ISNUMBER(K989)),N(K989)&lt;=0)),"Qté commandée invalide",IF(AG989&lt;SUMPRODUCT(MAX((A$6:A988=A989)*AG$6:AG988)),"Date antérieure au bon précédent",IF(AND(A989&lt;&gt;"BR",ISNUMBER(M989),N(M989)&gt;0),IF(A989="BL","Livré plus que commandé","Sorti plus que demandé"),"OK"))))))))))))</f>
        <v/>
      </c>
      <c r="Y989" s="57" t="str">
        <f>IF(AND(OR(A989="BL",A989="BR",A989="BS"),AG989&gt;0,D989&lt;&gt;""),A989&amp;"|"&amp;AG989&amp;"|"&amp;D989&amp;"|"&amp;F989,"")</f>
        <v/>
      </c>
      <c r="Z989" s="57" t="str">
        <f>IF(Y989="","",IF(COUNTIF(Y$6:Y988,Y989)=0,1,0))</f>
        <v/>
      </c>
      <c r="AA989" s="57" t="str">
        <f>IF(Y989="","",IF(Z989=1,COUNTIFS(A$6:A989,A989,Z$6:Z989,1),INDEX(AA$6:AA988,MATCH(Y989,Y$6:Y988,0))))</f>
        <v/>
      </c>
      <c r="AB989" s="57" t="str">
        <f>IF(B989="","",COUNTIF(B$6:B989,B989))</f>
        <v/>
      </c>
      <c r="AC989" s="57" t="str">
        <f>IF(B989="","",B989&amp;"#"&amp;AB989)</f>
        <v/>
      </c>
      <c r="AD989" s="57" t="str">
        <f>IF(Z989=1,A989&amp;AA989,"")</f>
        <v/>
      </c>
      <c r="AE989" s="57" t="str">
        <f>IF(B989="","",YEAR(C989))</f>
        <v/>
      </c>
      <c r="AF989" s="57" t="str">
        <f>IF(B989="","",MONTH(C989))</f>
        <v/>
      </c>
      <c r="AG989" s="57">
        <f>IF(ISNUMBER(C989),C989,0)</f>
        <v>0.0</v>
      </c>
      <c r="AH989" s="57" t="str">
        <f>IF(N(W989)&gt;0,COUNTIF(W$6:W989,"&gt;0"),"")</f>
        <v/>
      </c>
      <c r="AI989" s="57" t="str">
        <f>IF(Z989=1,COUNTIF(Z$6:Z989,1),"")</f>
        <v/>
      </c>
    </row>
    <row r="990">
      <c r="A990" s="54" t="n"/>
      <c r="B990" s="55" t="str">
        <f>IF(AA990="","",A990&amp;"-"&amp;RIGHT("000"&amp;AA990,4))</f>
        <v/>
      </c>
      <c r="C990" s="56" t="n"/>
      <c r="D990" s="54" t="n"/>
      <c r="E990" s="57" t="str">
        <f>IF(D990="","",IF(A990="BL",IFERROR(INDEX(cl_name,MATCH(D990,cl_code,0))&amp;"","Client inconnu"),IF(A990="BR",IFERROR(INDEX(fo_name,MATCH(D990,fo_code,0))&amp;"","Fournisseur inconnu"),IF(A990="BS",IF(ISNA(MATCH(D990,p_services,0)),"Service inconnu",D990&amp;""),""))))</f>
        <v/>
      </c>
      <c r="F990" s="58" t="n"/>
      <c r="G990" s="58" t="n"/>
      <c r="H990" s="59" t="n"/>
      <c r="I990" s="57" t="str">
        <f>IF(H990="","",IFERROR(INDEX(art_des,MATCH(H990,art_ref,0))&amp;"","Article inconnu"))</f>
        <v/>
      </c>
      <c r="J990" s="60" t="str">
        <f>IF(H990="","",IFERROR(INDEX(art_unit,MATCH(H990,art_ref,0))&amp;"",""))</f>
        <v/>
      </c>
      <c r="K990" s="59" t="n"/>
      <c r="L990" s="59" t="n"/>
      <c r="M990" s="61" t="str">
        <f>IF(OR(B990="",NOT(ISNUMBER(K990)),NOT(ISNUMBER(L990))),"",IF(OR(K990&lt;=0,L990&lt;=0),"",ROUND(L990-K990,6)))</f>
        <v/>
      </c>
      <c r="N990" s="58" t="n"/>
      <c r="O990" s="62" t="n"/>
      <c r="P990" s="63" t="str">
        <f>IF(OR(B990="",NOT(ISNUMBER(L990))),"",IF(L990&lt;=0,"",IFERROR(ROUND(L990*N(INDEX(art_w,MATCH(H990,art_ref,0))),3),"")))</f>
        <v/>
      </c>
      <c r="Q990" s="59" t="n"/>
      <c r="R990" s="54" t="n"/>
      <c r="S990" s="59" t="n"/>
      <c r="T990" s="59" t="n"/>
      <c r="U990" s="64" t="str">
        <f>IF(OR(B990="",H990=""),"",IFERROR(IF(A990="BL",IF(N(INDEX(art_price,MATCH(H990,art_ref,0)))=0,"",N(INDEX(art_price,MATCH(H990,art_ref,0)))),IF(N(INDEX(art_cost,MATCH(H990,art_ref,0)))=0,"",N(INDEX(art_cost,MATCH(H990,art_ref,0))))),""))</f>
        <v/>
      </c>
      <c r="V990" s="64" t="str">
        <f>IF(OR(U990="",NOT(ISNUMBER(L990))),"",IF(L990&lt;=0,"",ROUND(L990*U990,2)))</f>
        <v/>
      </c>
      <c r="W990" s="60" t="str">
        <f>IF(AND(B990&lt;&gt;"",A990&lt;&gt;"BS",F990&lt;&gt;"",H990&lt;&gt;"",ISNUMBER(K990),ISNUMBER(L990)),IF(AND(K990&gt;0,L990&gt;0,K990-L990&gt;0,COUNTIFS(A991:A$2005,A990,F991:F$2005,F990,H991:H$2005,H990,AA991:AA$2005,"&gt;0")=0),ROUND(K990-L990,6),""),"")</f>
        <v/>
      </c>
      <c r="X990" s="60" t="str">
        <f>IF(AND(A990="",C990="",D990="",H990="",L990=""),"",IF(A990="","Type manquant",IF(AND(A990&lt;&gt;"BL",A990&lt;&gt;"BR",A990&lt;&gt;"BS"),"Type inconnu (BL, BR ou BS)",IF(AG990=0,"Date manquante ou invalide",IF(D990="",IF(A990="BL","Client manquant",IF(A990="BR","Fournisseur manquant","Service manquant")),IF(IF(A990="BL",ISNA(MATCH(D990,cl_code,0)),IF(A990="BR",ISNA(MATCH(D990,fo_code,0)),ISNA(MATCH(D990,p_services,0)))),IF(A990="BL","Client inconnu",IF(A990="BR","Fournisseur inconnu","Service inconnu")),IF(H990="","Article manquant",IF(ISNA(MATCH(H990,art_ref,0)),"Article inconnu",IF(OR(NOT(ISNUMBER(L990)),N(L990)&lt;=0),"Quantité invalide",IF(AND(K990&lt;&gt;"",OR(NOT(ISNUMBER(K990)),N(K990)&lt;=0)),"Qté commandée invalide",IF(AG990&lt;SUMPRODUCT(MAX((A$6:A989=A990)*AG$6:AG989)),"Date antérieure au bon précédent",IF(AND(A990&lt;&gt;"BR",ISNUMBER(M990),N(M990)&gt;0),IF(A990="BL","Livré plus que commandé","Sorti plus que demandé"),"OK"))))))))))))</f>
        <v/>
      </c>
      <c r="Y990" s="57" t="str">
        <f>IF(AND(OR(A990="BL",A990="BR",A990="BS"),AG990&gt;0,D990&lt;&gt;""),A990&amp;"|"&amp;AG990&amp;"|"&amp;D990&amp;"|"&amp;F990,"")</f>
        <v/>
      </c>
      <c r="Z990" s="57" t="str">
        <f>IF(Y990="","",IF(COUNTIF(Y$6:Y989,Y990)=0,1,0))</f>
        <v/>
      </c>
      <c r="AA990" s="57" t="str">
        <f>IF(Y990="","",IF(Z990=1,COUNTIFS(A$6:A990,A990,Z$6:Z990,1),INDEX(AA$6:AA989,MATCH(Y990,Y$6:Y989,0))))</f>
        <v/>
      </c>
      <c r="AB990" s="57" t="str">
        <f>IF(B990="","",COUNTIF(B$6:B990,B990))</f>
        <v/>
      </c>
      <c r="AC990" s="57" t="str">
        <f>IF(B990="","",B990&amp;"#"&amp;AB990)</f>
        <v/>
      </c>
      <c r="AD990" s="57" t="str">
        <f>IF(Z990=1,A990&amp;AA990,"")</f>
        <v/>
      </c>
      <c r="AE990" s="57" t="str">
        <f>IF(B990="","",YEAR(C990))</f>
        <v/>
      </c>
      <c r="AF990" s="57" t="str">
        <f>IF(B990="","",MONTH(C990))</f>
        <v/>
      </c>
      <c r="AG990" s="57">
        <f>IF(ISNUMBER(C990),C990,0)</f>
        <v>0.0</v>
      </c>
      <c r="AH990" s="57" t="str">
        <f>IF(N(W990)&gt;0,COUNTIF(W$6:W990,"&gt;0"),"")</f>
        <v/>
      </c>
      <c r="AI990" s="57" t="str">
        <f>IF(Z990=1,COUNTIF(Z$6:Z990,1),"")</f>
        <v/>
      </c>
    </row>
    <row r="991">
      <c r="A991" s="54" t="n"/>
      <c r="B991" s="55" t="str">
        <f>IF(AA991="","",A991&amp;"-"&amp;RIGHT("000"&amp;AA991,4))</f>
        <v/>
      </c>
      <c r="C991" s="56" t="n"/>
      <c r="D991" s="54" t="n"/>
      <c r="E991" s="57" t="str">
        <f>IF(D991="","",IF(A991="BL",IFERROR(INDEX(cl_name,MATCH(D991,cl_code,0))&amp;"","Client inconnu"),IF(A991="BR",IFERROR(INDEX(fo_name,MATCH(D991,fo_code,0))&amp;"","Fournisseur inconnu"),IF(A991="BS",IF(ISNA(MATCH(D991,p_services,0)),"Service inconnu",D991&amp;""),""))))</f>
        <v/>
      </c>
      <c r="F991" s="58" t="n"/>
      <c r="G991" s="58" t="n"/>
      <c r="H991" s="59" t="n"/>
      <c r="I991" s="57" t="str">
        <f>IF(H991="","",IFERROR(INDEX(art_des,MATCH(H991,art_ref,0))&amp;"","Article inconnu"))</f>
        <v/>
      </c>
      <c r="J991" s="60" t="str">
        <f>IF(H991="","",IFERROR(INDEX(art_unit,MATCH(H991,art_ref,0))&amp;"",""))</f>
        <v/>
      </c>
      <c r="K991" s="59" t="n"/>
      <c r="L991" s="59" t="n"/>
      <c r="M991" s="61" t="str">
        <f>IF(OR(B991="",NOT(ISNUMBER(K991)),NOT(ISNUMBER(L991))),"",IF(OR(K991&lt;=0,L991&lt;=0),"",ROUND(L991-K991,6)))</f>
        <v/>
      </c>
      <c r="N991" s="58" t="n"/>
      <c r="O991" s="62" t="n"/>
      <c r="P991" s="63" t="str">
        <f>IF(OR(B991="",NOT(ISNUMBER(L991))),"",IF(L991&lt;=0,"",IFERROR(ROUND(L991*N(INDEX(art_w,MATCH(H991,art_ref,0))),3),"")))</f>
        <v/>
      </c>
      <c r="Q991" s="59" t="n"/>
      <c r="R991" s="54" t="n"/>
      <c r="S991" s="59" t="n"/>
      <c r="T991" s="59" t="n"/>
      <c r="U991" s="64" t="str">
        <f>IF(OR(B991="",H991=""),"",IFERROR(IF(A991="BL",IF(N(INDEX(art_price,MATCH(H991,art_ref,0)))=0,"",N(INDEX(art_price,MATCH(H991,art_ref,0)))),IF(N(INDEX(art_cost,MATCH(H991,art_ref,0)))=0,"",N(INDEX(art_cost,MATCH(H991,art_ref,0))))),""))</f>
        <v/>
      </c>
      <c r="V991" s="64" t="str">
        <f>IF(OR(U991="",NOT(ISNUMBER(L991))),"",IF(L991&lt;=0,"",ROUND(L991*U991,2)))</f>
        <v/>
      </c>
      <c r="W991" s="60" t="str">
        <f>IF(AND(B991&lt;&gt;"",A991&lt;&gt;"BS",F991&lt;&gt;"",H991&lt;&gt;"",ISNUMBER(K991),ISNUMBER(L991)),IF(AND(K991&gt;0,L991&gt;0,K991-L991&gt;0,COUNTIFS(A992:A$2005,A991,F992:F$2005,F991,H992:H$2005,H991,AA992:AA$2005,"&gt;0")=0),ROUND(K991-L991,6),""),"")</f>
        <v/>
      </c>
      <c r="X991" s="60" t="str">
        <f>IF(AND(A991="",C991="",D991="",H991="",L991=""),"",IF(A991="","Type manquant",IF(AND(A991&lt;&gt;"BL",A991&lt;&gt;"BR",A991&lt;&gt;"BS"),"Type inconnu (BL, BR ou BS)",IF(AG991=0,"Date manquante ou invalide",IF(D991="",IF(A991="BL","Client manquant",IF(A991="BR","Fournisseur manquant","Service manquant")),IF(IF(A991="BL",ISNA(MATCH(D991,cl_code,0)),IF(A991="BR",ISNA(MATCH(D991,fo_code,0)),ISNA(MATCH(D991,p_services,0)))),IF(A991="BL","Client inconnu",IF(A991="BR","Fournisseur inconnu","Service inconnu")),IF(H991="","Article manquant",IF(ISNA(MATCH(H991,art_ref,0)),"Article inconnu",IF(OR(NOT(ISNUMBER(L991)),N(L991)&lt;=0),"Quantité invalide",IF(AND(K991&lt;&gt;"",OR(NOT(ISNUMBER(K991)),N(K991)&lt;=0)),"Qté commandée invalide",IF(AG991&lt;SUMPRODUCT(MAX((A$6:A990=A991)*AG$6:AG990)),"Date antérieure au bon précédent",IF(AND(A991&lt;&gt;"BR",ISNUMBER(M991),N(M991)&gt;0),IF(A991="BL","Livré plus que commandé","Sorti plus que demandé"),"OK"))))))))))))</f>
        <v/>
      </c>
      <c r="Y991" s="57" t="str">
        <f>IF(AND(OR(A991="BL",A991="BR",A991="BS"),AG991&gt;0,D991&lt;&gt;""),A991&amp;"|"&amp;AG991&amp;"|"&amp;D991&amp;"|"&amp;F991,"")</f>
        <v/>
      </c>
      <c r="Z991" s="57" t="str">
        <f>IF(Y991="","",IF(COUNTIF(Y$6:Y990,Y991)=0,1,0))</f>
        <v/>
      </c>
      <c r="AA991" s="57" t="str">
        <f>IF(Y991="","",IF(Z991=1,COUNTIFS(A$6:A991,A991,Z$6:Z991,1),INDEX(AA$6:AA990,MATCH(Y991,Y$6:Y990,0))))</f>
        <v/>
      </c>
      <c r="AB991" s="57" t="str">
        <f>IF(B991="","",COUNTIF(B$6:B991,B991))</f>
        <v/>
      </c>
      <c r="AC991" s="57" t="str">
        <f>IF(B991="","",B991&amp;"#"&amp;AB991)</f>
        <v/>
      </c>
      <c r="AD991" s="57" t="str">
        <f>IF(Z991=1,A991&amp;AA991,"")</f>
        <v/>
      </c>
      <c r="AE991" s="57" t="str">
        <f>IF(B991="","",YEAR(C991))</f>
        <v/>
      </c>
      <c r="AF991" s="57" t="str">
        <f>IF(B991="","",MONTH(C991))</f>
        <v/>
      </c>
      <c r="AG991" s="57">
        <f>IF(ISNUMBER(C991),C991,0)</f>
        <v>0.0</v>
      </c>
      <c r="AH991" s="57" t="str">
        <f>IF(N(W991)&gt;0,COUNTIF(W$6:W991,"&gt;0"),"")</f>
        <v/>
      </c>
      <c r="AI991" s="57" t="str">
        <f>IF(Z991=1,COUNTIF(Z$6:Z991,1),"")</f>
        <v/>
      </c>
    </row>
    <row r="992">
      <c r="A992" s="54" t="n"/>
      <c r="B992" s="55" t="str">
        <f>IF(AA992="","",A992&amp;"-"&amp;RIGHT("000"&amp;AA992,4))</f>
        <v/>
      </c>
      <c r="C992" s="56" t="n"/>
      <c r="D992" s="54" t="n"/>
      <c r="E992" s="57" t="str">
        <f>IF(D992="","",IF(A992="BL",IFERROR(INDEX(cl_name,MATCH(D992,cl_code,0))&amp;"","Client inconnu"),IF(A992="BR",IFERROR(INDEX(fo_name,MATCH(D992,fo_code,0))&amp;"","Fournisseur inconnu"),IF(A992="BS",IF(ISNA(MATCH(D992,p_services,0)),"Service inconnu",D992&amp;""),""))))</f>
        <v/>
      </c>
      <c r="F992" s="58" t="n"/>
      <c r="G992" s="58" t="n"/>
      <c r="H992" s="59" t="n"/>
      <c r="I992" s="57" t="str">
        <f>IF(H992="","",IFERROR(INDEX(art_des,MATCH(H992,art_ref,0))&amp;"","Article inconnu"))</f>
        <v/>
      </c>
      <c r="J992" s="60" t="str">
        <f>IF(H992="","",IFERROR(INDEX(art_unit,MATCH(H992,art_ref,0))&amp;"",""))</f>
        <v/>
      </c>
      <c r="K992" s="59" t="n"/>
      <c r="L992" s="59" t="n"/>
      <c r="M992" s="61" t="str">
        <f>IF(OR(B992="",NOT(ISNUMBER(K992)),NOT(ISNUMBER(L992))),"",IF(OR(K992&lt;=0,L992&lt;=0),"",ROUND(L992-K992,6)))</f>
        <v/>
      </c>
      <c r="N992" s="58" t="n"/>
      <c r="O992" s="62" t="n"/>
      <c r="P992" s="63" t="str">
        <f>IF(OR(B992="",NOT(ISNUMBER(L992))),"",IF(L992&lt;=0,"",IFERROR(ROUND(L992*N(INDEX(art_w,MATCH(H992,art_ref,0))),3),"")))</f>
        <v/>
      </c>
      <c r="Q992" s="59" t="n"/>
      <c r="R992" s="54" t="n"/>
      <c r="S992" s="59" t="n"/>
      <c r="T992" s="59" t="n"/>
      <c r="U992" s="64" t="str">
        <f>IF(OR(B992="",H992=""),"",IFERROR(IF(A992="BL",IF(N(INDEX(art_price,MATCH(H992,art_ref,0)))=0,"",N(INDEX(art_price,MATCH(H992,art_ref,0)))),IF(N(INDEX(art_cost,MATCH(H992,art_ref,0)))=0,"",N(INDEX(art_cost,MATCH(H992,art_ref,0))))),""))</f>
        <v/>
      </c>
      <c r="V992" s="64" t="str">
        <f>IF(OR(U992="",NOT(ISNUMBER(L992))),"",IF(L992&lt;=0,"",ROUND(L992*U992,2)))</f>
        <v/>
      </c>
      <c r="W992" s="60" t="str">
        <f>IF(AND(B992&lt;&gt;"",A992&lt;&gt;"BS",F992&lt;&gt;"",H992&lt;&gt;"",ISNUMBER(K992),ISNUMBER(L992)),IF(AND(K992&gt;0,L992&gt;0,K992-L992&gt;0,COUNTIFS(A993:A$2005,A992,F993:F$2005,F992,H993:H$2005,H992,AA993:AA$2005,"&gt;0")=0),ROUND(K992-L992,6),""),"")</f>
        <v/>
      </c>
      <c r="X992" s="60" t="str">
        <f>IF(AND(A992="",C992="",D992="",H992="",L992=""),"",IF(A992="","Type manquant",IF(AND(A992&lt;&gt;"BL",A992&lt;&gt;"BR",A992&lt;&gt;"BS"),"Type inconnu (BL, BR ou BS)",IF(AG992=0,"Date manquante ou invalide",IF(D992="",IF(A992="BL","Client manquant",IF(A992="BR","Fournisseur manquant","Service manquant")),IF(IF(A992="BL",ISNA(MATCH(D992,cl_code,0)),IF(A992="BR",ISNA(MATCH(D992,fo_code,0)),ISNA(MATCH(D992,p_services,0)))),IF(A992="BL","Client inconnu",IF(A992="BR","Fournisseur inconnu","Service inconnu")),IF(H992="","Article manquant",IF(ISNA(MATCH(H992,art_ref,0)),"Article inconnu",IF(OR(NOT(ISNUMBER(L992)),N(L992)&lt;=0),"Quantité invalide",IF(AND(K992&lt;&gt;"",OR(NOT(ISNUMBER(K992)),N(K992)&lt;=0)),"Qté commandée invalide",IF(AG992&lt;SUMPRODUCT(MAX((A$6:A991=A992)*AG$6:AG991)),"Date antérieure au bon précédent",IF(AND(A992&lt;&gt;"BR",ISNUMBER(M992),N(M992)&gt;0),IF(A992="BL","Livré plus que commandé","Sorti plus que demandé"),"OK"))))))))))))</f>
        <v/>
      </c>
      <c r="Y992" s="57" t="str">
        <f>IF(AND(OR(A992="BL",A992="BR",A992="BS"),AG992&gt;0,D992&lt;&gt;""),A992&amp;"|"&amp;AG992&amp;"|"&amp;D992&amp;"|"&amp;F992,"")</f>
        <v/>
      </c>
      <c r="Z992" s="57" t="str">
        <f>IF(Y992="","",IF(COUNTIF(Y$6:Y991,Y992)=0,1,0))</f>
        <v/>
      </c>
      <c r="AA992" s="57" t="str">
        <f>IF(Y992="","",IF(Z992=1,COUNTIFS(A$6:A992,A992,Z$6:Z992,1),INDEX(AA$6:AA991,MATCH(Y992,Y$6:Y991,0))))</f>
        <v/>
      </c>
      <c r="AB992" s="57" t="str">
        <f>IF(B992="","",COUNTIF(B$6:B992,B992))</f>
        <v/>
      </c>
      <c r="AC992" s="57" t="str">
        <f>IF(B992="","",B992&amp;"#"&amp;AB992)</f>
        <v/>
      </c>
      <c r="AD992" s="57" t="str">
        <f>IF(Z992=1,A992&amp;AA992,"")</f>
        <v/>
      </c>
      <c r="AE992" s="57" t="str">
        <f>IF(B992="","",YEAR(C992))</f>
        <v/>
      </c>
      <c r="AF992" s="57" t="str">
        <f>IF(B992="","",MONTH(C992))</f>
        <v/>
      </c>
      <c r="AG992" s="57">
        <f>IF(ISNUMBER(C992),C992,0)</f>
        <v>0.0</v>
      </c>
      <c r="AH992" s="57" t="str">
        <f>IF(N(W992)&gt;0,COUNTIF(W$6:W992,"&gt;0"),"")</f>
        <v/>
      </c>
      <c r="AI992" s="57" t="str">
        <f>IF(Z992=1,COUNTIF(Z$6:Z992,1),"")</f>
        <v/>
      </c>
    </row>
    <row r="993">
      <c r="A993" s="54" t="n"/>
      <c r="B993" s="55" t="str">
        <f>IF(AA993="","",A993&amp;"-"&amp;RIGHT("000"&amp;AA993,4))</f>
        <v/>
      </c>
      <c r="C993" s="56" t="n"/>
      <c r="D993" s="54" t="n"/>
      <c r="E993" s="57" t="str">
        <f>IF(D993="","",IF(A993="BL",IFERROR(INDEX(cl_name,MATCH(D993,cl_code,0))&amp;"","Client inconnu"),IF(A993="BR",IFERROR(INDEX(fo_name,MATCH(D993,fo_code,0))&amp;"","Fournisseur inconnu"),IF(A993="BS",IF(ISNA(MATCH(D993,p_services,0)),"Service inconnu",D993&amp;""),""))))</f>
        <v/>
      </c>
      <c r="F993" s="58" t="n"/>
      <c r="G993" s="58" t="n"/>
      <c r="H993" s="59" t="n"/>
      <c r="I993" s="57" t="str">
        <f>IF(H993="","",IFERROR(INDEX(art_des,MATCH(H993,art_ref,0))&amp;"","Article inconnu"))</f>
        <v/>
      </c>
      <c r="J993" s="60" t="str">
        <f>IF(H993="","",IFERROR(INDEX(art_unit,MATCH(H993,art_ref,0))&amp;"",""))</f>
        <v/>
      </c>
      <c r="K993" s="59" t="n"/>
      <c r="L993" s="59" t="n"/>
      <c r="M993" s="61" t="str">
        <f>IF(OR(B993="",NOT(ISNUMBER(K993)),NOT(ISNUMBER(L993))),"",IF(OR(K993&lt;=0,L993&lt;=0),"",ROUND(L993-K993,6)))</f>
        <v/>
      </c>
      <c r="N993" s="58" t="n"/>
      <c r="O993" s="62" t="n"/>
      <c r="P993" s="63" t="str">
        <f>IF(OR(B993="",NOT(ISNUMBER(L993))),"",IF(L993&lt;=0,"",IFERROR(ROUND(L993*N(INDEX(art_w,MATCH(H993,art_ref,0))),3),"")))</f>
        <v/>
      </c>
      <c r="Q993" s="59" t="n"/>
      <c r="R993" s="54" t="n"/>
      <c r="S993" s="59" t="n"/>
      <c r="T993" s="59" t="n"/>
      <c r="U993" s="64" t="str">
        <f>IF(OR(B993="",H993=""),"",IFERROR(IF(A993="BL",IF(N(INDEX(art_price,MATCH(H993,art_ref,0)))=0,"",N(INDEX(art_price,MATCH(H993,art_ref,0)))),IF(N(INDEX(art_cost,MATCH(H993,art_ref,0)))=0,"",N(INDEX(art_cost,MATCH(H993,art_ref,0))))),""))</f>
        <v/>
      </c>
      <c r="V993" s="64" t="str">
        <f>IF(OR(U993="",NOT(ISNUMBER(L993))),"",IF(L993&lt;=0,"",ROUND(L993*U993,2)))</f>
        <v/>
      </c>
      <c r="W993" s="60" t="str">
        <f>IF(AND(B993&lt;&gt;"",A993&lt;&gt;"BS",F993&lt;&gt;"",H993&lt;&gt;"",ISNUMBER(K993),ISNUMBER(L993)),IF(AND(K993&gt;0,L993&gt;0,K993-L993&gt;0,COUNTIFS(A994:A$2005,A993,F994:F$2005,F993,H994:H$2005,H993,AA994:AA$2005,"&gt;0")=0),ROUND(K993-L993,6),""),"")</f>
        <v/>
      </c>
      <c r="X993" s="60" t="str">
        <f>IF(AND(A993="",C993="",D993="",H993="",L993=""),"",IF(A993="","Type manquant",IF(AND(A993&lt;&gt;"BL",A993&lt;&gt;"BR",A993&lt;&gt;"BS"),"Type inconnu (BL, BR ou BS)",IF(AG993=0,"Date manquante ou invalide",IF(D993="",IF(A993="BL","Client manquant",IF(A993="BR","Fournisseur manquant","Service manquant")),IF(IF(A993="BL",ISNA(MATCH(D993,cl_code,0)),IF(A993="BR",ISNA(MATCH(D993,fo_code,0)),ISNA(MATCH(D993,p_services,0)))),IF(A993="BL","Client inconnu",IF(A993="BR","Fournisseur inconnu","Service inconnu")),IF(H993="","Article manquant",IF(ISNA(MATCH(H993,art_ref,0)),"Article inconnu",IF(OR(NOT(ISNUMBER(L993)),N(L993)&lt;=0),"Quantité invalide",IF(AND(K993&lt;&gt;"",OR(NOT(ISNUMBER(K993)),N(K993)&lt;=0)),"Qté commandée invalide",IF(AG993&lt;SUMPRODUCT(MAX((A$6:A992=A993)*AG$6:AG992)),"Date antérieure au bon précédent",IF(AND(A993&lt;&gt;"BR",ISNUMBER(M993),N(M993)&gt;0),IF(A993="BL","Livré plus que commandé","Sorti plus que demandé"),"OK"))))))))))))</f>
        <v/>
      </c>
      <c r="Y993" s="57" t="str">
        <f>IF(AND(OR(A993="BL",A993="BR",A993="BS"),AG993&gt;0,D993&lt;&gt;""),A993&amp;"|"&amp;AG993&amp;"|"&amp;D993&amp;"|"&amp;F993,"")</f>
        <v/>
      </c>
      <c r="Z993" s="57" t="str">
        <f>IF(Y993="","",IF(COUNTIF(Y$6:Y992,Y993)=0,1,0))</f>
        <v/>
      </c>
      <c r="AA993" s="57" t="str">
        <f>IF(Y993="","",IF(Z993=1,COUNTIFS(A$6:A993,A993,Z$6:Z993,1),INDEX(AA$6:AA992,MATCH(Y993,Y$6:Y992,0))))</f>
        <v/>
      </c>
      <c r="AB993" s="57" t="str">
        <f>IF(B993="","",COUNTIF(B$6:B993,B993))</f>
        <v/>
      </c>
      <c r="AC993" s="57" t="str">
        <f>IF(B993="","",B993&amp;"#"&amp;AB993)</f>
        <v/>
      </c>
      <c r="AD993" s="57" t="str">
        <f>IF(Z993=1,A993&amp;AA993,"")</f>
        <v/>
      </c>
      <c r="AE993" s="57" t="str">
        <f>IF(B993="","",YEAR(C993))</f>
        <v/>
      </c>
      <c r="AF993" s="57" t="str">
        <f>IF(B993="","",MONTH(C993))</f>
        <v/>
      </c>
      <c r="AG993" s="57">
        <f>IF(ISNUMBER(C993),C993,0)</f>
        <v>0.0</v>
      </c>
      <c r="AH993" s="57" t="str">
        <f>IF(N(W993)&gt;0,COUNTIF(W$6:W993,"&gt;0"),"")</f>
        <v/>
      </c>
      <c r="AI993" s="57" t="str">
        <f>IF(Z993=1,COUNTIF(Z$6:Z993,1),"")</f>
        <v/>
      </c>
    </row>
    <row r="994">
      <c r="A994" s="54" t="n"/>
      <c r="B994" s="55" t="str">
        <f>IF(AA994="","",A994&amp;"-"&amp;RIGHT("000"&amp;AA994,4))</f>
        <v/>
      </c>
      <c r="C994" s="56" t="n"/>
      <c r="D994" s="54" t="n"/>
      <c r="E994" s="57" t="str">
        <f>IF(D994="","",IF(A994="BL",IFERROR(INDEX(cl_name,MATCH(D994,cl_code,0))&amp;"","Client inconnu"),IF(A994="BR",IFERROR(INDEX(fo_name,MATCH(D994,fo_code,0))&amp;"","Fournisseur inconnu"),IF(A994="BS",IF(ISNA(MATCH(D994,p_services,0)),"Service inconnu",D994&amp;""),""))))</f>
        <v/>
      </c>
      <c r="F994" s="58" t="n"/>
      <c r="G994" s="58" t="n"/>
      <c r="H994" s="59" t="n"/>
      <c r="I994" s="57" t="str">
        <f>IF(H994="","",IFERROR(INDEX(art_des,MATCH(H994,art_ref,0))&amp;"","Article inconnu"))</f>
        <v/>
      </c>
      <c r="J994" s="60" t="str">
        <f>IF(H994="","",IFERROR(INDEX(art_unit,MATCH(H994,art_ref,0))&amp;"",""))</f>
        <v/>
      </c>
      <c r="K994" s="59" t="n"/>
      <c r="L994" s="59" t="n"/>
      <c r="M994" s="61" t="str">
        <f>IF(OR(B994="",NOT(ISNUMBER(K994)),NOT(ISNUMBER(L994))),"",IF(OR(K994&lt;=0,L994&lt;=0),"",ROUND(L994-K994,6)))</f>
        <v/>
      </c>
      <c r="N994" s="58" t="n"/>
      <c r="O994" s="62" t="n"/>
      <c r="P994" s="63" t="str">
        <f>IF(OR(B994="",NOT(ISNUMBER(L994))),"",IF(L994&lt;=0,"",IFERROR(ROUND(L994*N(INDEX(art_w,MATCH(H994,art_ref,0))),3),"")))</f>
        <v/>
      </c>
      <c r="Q994" s="59" t="n"/>
      <c r="R994" s="54" t="n"/>
      <c r="S994" s="59" t="n"/>
      <c r="T994" s="59" t="n"/>
      <c r="U994" s="64" t="str">
        <f>IF(OR(B994="",H994=""),"",IFERROR(IF(A994="BL",IF(N(INDEX(art_price,MATCH(H994,art_ref,0)))=0,"",N(INDEX(art_price,MATCH(H994,art_ref,0)))),IF(N(INDEX(art_cost,MATCH(H994,art_ref,0)))=0,"",N(INDEX(art_cost,MATCH(H994,art_ref,0))))),""))</f>
        <v/>
      </c>
      <c r="V994" s="64" t="str">
        <f>IF(OR(U994="",NOT(ISNUMBER(L994))),"",IF(L994&lt;=0,"",ROUND(L994*U994,2)))</f>
        <v/>
      </c>
      <c r="W994" s="60" t="str">
        <f>IF(AND(B994&lt;&gt;"",A994&lt;&gt;"BS",F994&lt;&gt;"",H994&lt;&gt;"",ISNUMBER(K994),ISNUMBER(L994)),IF(AND(K994&gt;0,L994&gt;0,K994-L994&gt;0,COUNTIFS(A995:A$2005,A994,F995:F$2005,F994,H995:H$2005,H994,AA995:AA$2005,"&gt;0")=0),ROUND(K994-L994,6),""),"")</f>
        <v/>
      </c>
      <c r="X994" s="60" t="str">
        <f>IF(AND(A994="",C994="",D994="",H994="",L994=""),"",IF(A994="","Type manquant",IF(AND(A994&lt;&gt;"BL",A994&lt;&gt;"BR",A994&lt;&gt;"BS"),"Type inconnu (BL, BR ou BS)",IF(AG994=0,"Date manquante ou invalide",IF(D994="",IF(A994="BL","Client manquant",IF(A994="BR","Fournisseur manquant","Service manquant")),IF(IF(A994="BL",ISNA(MATCH(D994,cl_code,0)),IF(A994="BR",ISNA(MATCH(D994,fo_code,0)),ISNA(MATCH(D994,p_services,0)))),IF(A994="BL","Client inconnu",IF(A994="BR","Fournisseur inconnu","Service inconnu")),IF(H994="","Article manquant",IF(ISNA(MATCH(H994,art_ref,0)),"Article inconnu",IF(OR(NOT(ISNUMBER(L994)),N(L994)&lt;=0),"Quantité invalide",IF(AND(K994&lt;&gt;"",OR(NOT(ISNUMBER(K994)),N(K994)&lt;=0)),"Qté commandée invalide",IF(AG994&lt;SUMPRODUCT(MAX((A$6:A993=A994)*AG$6:AG993)),"Date antérieure au bon précédent",IF(AND(A994&lt;&gt;"BR",ISNUMBER(M994),N(M994)&gt;0),IF(A994="BL","Livré plus que commandé","Sorti plus que demandé"),"OK"))))))))))))</f>
        <v/>
      </c>
      <c r="Y994" s="57" t="str">
        <f>IF(AND(OR(A994="BL",A994="BR",A994="BS"),AG994&gt;0,D994&lt;&gt;""),A994&amp;"|"&amp;AG994&amp;"|"&amp;D994&amp;"|"&amp;F994,"")</f>
        <v/>
      </c>
      <c r="Z994" s="57" t="str">
        <f>IF(Y994="","",IF(COUNTIF(Y$6:Y993,Y994)=0,1,0))</f>
        <v/>
      </c>
      <c r="AA994" s="57" t="str">
        <f>IF(Y994="","",IF(Z994=1,COUNTIFS(A$6:A994,A994,Z$6:Z994,1),INDEX(AA$6:AA993,MATCH(Y994,Y$6:Y993,0))))</f>
        <v/>
      </c>
      <c r="AB994" s="57" t="str">
        <f>IF(B994="","",COUNTIF(B$6:B994,B994))</f>
        <v/>
      </c>
      <c r="AC994" s="57" t="str">
        <f>IF(B994="","",B994&amp;"#"&amp;AB994)</f>
        <v/>
      </c>
      <c r="AD994" s="57" t="str">
        <f>IF(Z994=1,A994&amp;AA994,"")</f>
        <v/>
      </c>
      <c r="AE994" s="57" t="str">
        <f>IF(B994="","",YEAR(C994))</f>
        <v/>
      </c>
      <c r="AF994" s="57" t="str">
        <f>IF(B994="","",MONTH(C994))</f>
        <v/>
      </c>
      <c r="AG994" s="57">
        <f>IF(ISNUMBER(C994),C994,0)</f>
        <v>0.0</v>
      </c>
      <c r="AH994" s="57" t="str">
        <f>IF(N(W994)&gt;0,COUNTIF(W$6:W994,"&gt;0"),"")</f>
        <v/>
      </c>
      <c r="AI994" s="57" t="str">
        <f>IF(Z994=1,COUNTIF(Z$6:Z994,1),"")</f>
        <v/>
      </c>
    </row>
    <row r="995">
      <c r="A995" s="54" t="n"/>
      <c r="B995" s="55" t="str">
        <f>IF(AA995="","",A995&amp;"-"&amp;RIGHT("000"&amp;AA995,4))</f>
        <v/>
      </c>
      <c r="C995" s="56" t="n"/>
      <c r="D995" s="54" t="n"/>
      <c r="E995" s="57" t="str">
        <f>IF(D995="","",IF(A995="BL",IFERROR(INDEX(cl_name,MATCH(D995,cl_code,0))&amp;"","Client inconnu"),IF(A995="BR",IFERROR(INDEX(fo_name,MATCH(D995,fo_code,0))&amp;"","Fournisseur inconnu"),IF(A995="BS",IF(ISNA(MATCH(D995,p_services,0)),"Service inconnu",D995&amp;""),""))))</f>
        <v/>
      </c>
      <c r="F995" s="58" t="n"/>
      <c r="G995" s="58" t="n"/>
      <c r="H995" s="59" t="n"/>
      <c r="I995" s="57" t="str">
        <f>IF(H995="","",IFERROR(INDEX(art_des,MATCH(H995,art_ref,0))&amp;"","Article inconnu"))</f>
        <v/>
      </c>
      <c r="J995" s="60" t="str">
        <f>IF(H995="","",IFERROR(INDEX(art_unit,MATCH(H995,art_ref,0))&amp;"",""))</f>
        <v/>
      </c>
      <c r="K995" s="59" t="n"/>
      <c r="L995" s="59" t="n"/>
      <c r="M995" s="61" t="str">
        <f>IF(OR(B995="",NOT(ISNUMBER(K995)),NOT(ISNUMBER(L995))),"",IF(OR(K995&lt;=0,L995&lt;=0),"",ROUND(L995-K995,6)))</f>
        <v/>
      </c>
      <c r="N995" s="58" t="n"/>
      <c r="O995" s="62" t="n"/>
      <c r="P995" s="63" t="str">
        <f>IF(OR(B995="",NOT(ISNUMBER(L995))),"",IF(L995&lt;=0,"",IFERROR(ROUND(L995*N(INDEX(art_w,MATCH(H995,art_ref,0))),3),"")))</f>
        <v/>
      </c>
      <c r="Q995" s="59" t="n"/>
      <c r="R995" s="54" t="n"/>
      <c r="S995" s="59" t="n"/>
      <c r="T995" s="59" t="n"/>
      <c r="U995" s="64" t="str">
        <f>IF(OR(B995="",H995=""),"",IFERROR(IF(A995="BL",IF(N(INDEX(art_price,MATCH(H995,art_ref,0)))=0,"",N(INDEX(art_price,MATCH(H995,art_ref,0)))),IF(N(INDEX(art_cost,MATCH(H995,art_ref,0)))=0,"",N(INDEX(art_cost,MATCH(H995,art_ref,0))))),""))</f>
        <v/>
      </c>
      <c r="V995" s="64" t="str">
        <f>IF(OR(U995="",NOT(ISNUMBER(L995))),"",IF(L995&lt;=0,"",ROUND(L995*U995,2)))</f>
        <v/>
      </c>
      <c r="W995" s="60" t="str">
        <f>IF(AND(B995&lt;&gt;"",A995&lt;&gt;"BS",F995&lt;&gt;"",H995&lt;&gt;"",ISNUMBER(K995),ISNUMBER(L995)),IF(AND(K995&gt;0,L995&gt;0,K995-L995&gt;0,COUNTIFS(A996:A$2005,A995,F996:F$2005,F995,H996:H$2005,H995,AA996:AA$2005,"&gt;0")=0),ROUND(K995-L995,6),""),"")</f>
        <v/>
      </c>
      <c r="X995" s="60" t="str">
        <f>IF(AND(A995="",C995="",D995="",H995="",L995=""),"",IF(A995="","Type manquant",IF(AND(A995&lt;&gt;"BL",A995&lt;&gt;"BR",A995&lt;&gt;"BS"),"Type inconnu (BL, BR ou BS)",IF(AG995=0,"Date manquante ou invalide",IF(D995="",IF(A995="BL","Client manquant",IF(A995="BR","Fournisseur manquant","Service manquant")),IF(IF(A995="BL",ISNA(MATCH(D995,cl_code,0)),IF(A995="BR",ISNA(MATCH(D995,fo_code,0)),ISNA(MATCH(D995,p_services,0)))),IF(A995="BL","Client inconnu",IF(A995="BR","Fournisseur inconnu","Service inconnu")),IF(H995="","Article manquant",IF(ISNA(MATCH(H995,art_ref,0)),"Article inconnu",IF(OR(NOT(ISNUMBER(L995)),N(L995)&lt;=0),"Quantité invalide",IF(AND(K995&lt;&gt;"",OR(NOT(ISNUMBER(K995)),N(K995)&lt;=0)),"Qté commandée invalide",IF(AG995&lt;SUMPRODUCT(MAX((A$6:A994=A995)*AG$6:AG994)),"Date antérieure au bon précédent",IF(AND(A995&lt;&gt;"BR",ISNUMBER(M995),N(M995)&gt;0),IF(A995="BL","Livré plus que commandé","Sorti plus que demandé"),"OK"))))))))))))</f>
        <v/>
      </c>
      <c r="Y995" s="57" t="str">
        <f>IF(AND(OR(A995="BL",A995="BR",A995="BS"),AG995&gt;0,D995&lt;&gt;""),A995&amp;"|"&amp;AG995&amp;"|"&amp;D995&amp;"|"&amp;F995,"")</f>
        <v/>
      </c>
      <c r="Z995" s="57" t="str">
        <f>IF(Y995="","",IF(COUNTIF(Y$6:Y994,Y995)=0,1,0))</f>
        <v/>
      </c>
      <c r="AA995" s="57" t="str">
        <f>IF(Y995="","",IF(Z995=1,COUNTIFS(A$6:A995,A995,Z$6:Z995,1),INDEX(AA$6:AA994,MATCH(Y995,Y$6:Y994,0))))</f>
        <v/>
      </c>
      <c r="AB995" s="57" t="str">
        <f>IF(B995="","",COUNTIF(B$6:B995,B995))</f>
        <v/>
      </c>
      <c r="AC995" s="57" t="str">
        <f>IF(B995="","",B995&amp;"#"&amp;AB995)</f>
        <v/>
      </c>
      <c r="AD995" s="57" t="str">
        <f>IF(Z995=1,A995&amp;AA995,"")</f>
        <v/>
      </c>
      <c r="AE995" s="57" t="str">
        <f>IF(B995="","",YEAR(C995))</f>
        <v/>
      </c>
      <c r="AF995" s="57" t="str">
        <f>IF(B995="","",MONTH(C995))</f>
        <v/>
      </c>
      <c r="AG995" s="57">
        <f>IF(ISNUMBER(C995),C995,0)</f>
        <v>0.0</v>
      </c>
      <c r="AH995" s="57" t="str">
        <f>IF(N(W995)&gt;0,COUNTIF(W$6:W995,"&gt;0"),"")</f>
        <v/>
      </c>
      <c r="AI995" s="57" t="str">
        <f>IF(Z995=1,COUNTIF(Z$6:Z995,1),"")</f>
        <v/>
      </c>
    </row>
    <row r="996">
      <c r="A996" s="54" t="n"/>
      <c r="B996" s="55" t="str">
        <f>IF(AA996="","",A996&amp;"-"&amp;RIGHT("000"&amp;AA996,4))</f>
        <v/>
      </c>
      <c r="C996" s="56" t="n"/>
      <c r="D996" s="54" t="n"/>
      <c r="E996" s="57" t="str">
        <f>IF(D996="","",IF(A996="BL",IFERROR(INDEX(cl_name,MATCH(D996,cl_code,0))&amp;"","Client inconnu"),IF(A996="BR",IFERROR(INDEX(fo_name,MATCH(D996,fo_code,0))&amp;"","Fournisseur inconnu"),IF(A996="BS",IF(ISNA(MATCH(D996,p_services,0)),"Service inconnu",D996&amp;""),""))))</f>
        <v/>
      </c>
      <c r="F996" s="58" t="n"/>
      <c r="G996" s="58" t="n"/>
      <c r="H996" s="59" t="n"/>
      <c r="I996" s="57" t="str">
        <f>IF(H996="","",IFERROR(INDEX(art_des,MATCH(H996,art_ref,0))&amp;"","Article inconnu"))</f>
        <v/>
      </c>
      <c r="J996" s="60" t="str">
        <f>IF(H996="","",IFERROR(INDEX(art_unit,MATCH(H996,art_ref,0))&amp;"",""))</f>
        <v/>
      </c>
      <c r="K996" s="59" t="n"/>
      <c r="L996" s="59" t="n"/>
      <c r="M996" s="61" t="str">
        <f>IF(OR(B996="",NOT(ISNUMBER(K996)),NOT(ISNUMBER(L996))),"",IF(OR(K996&lt;=0,L996&lt;=0),"",ROUND(L996-K996,6)))</f>
        <v/>
      </c>
      <c r="N996" s="58" t="n"/>
      <c r="O996" s="62" t="n"/>
      <c r="P996" s="63" t="str">
        <f>IF(OR(B996="",NOT(ISNUMBER(L996))),"",IF(L996&lt;=0,"",IFERROR(ROUND(L996*N(INDEX(art_w,MATCH(H996,art_ref,0))),3),"")))</f>
        <v/>
      </c>
      <c r="Q996" s="59" t="n"/>
      <c r="R996" s="54" t="n"/>
      <c r="S996" s="59" t="n"/>
      <c r="T996" s="59" t="n"/>
      <c r="U996" s="64" t="str">
        <f>IF(OR(B996="",H996=""),"",IFERROR(IF(A996="BL",IF(N(INDEX(art_price,MATCH(H996,art_ref,0)))=0,"",N(INDEX(art_price,MATCH(H996,art_ref,0)))),IF(N(INDEX(art_cost,MATCH(H996,art_ref,0)))=0,"",N(INDEX(art_cost,MATCH(H996,art_ref,0))))),""))</f>
        <v/>
      </c>
      <c r="V996" s="64" t="str">
        <f>IF(OR(U996="",NOT(ISNUMBER(L996))),"",IF(L996&lt;=0,"",ROUND(L996*U996,2)))</f>
        <v/>
      </c>
      <c r="W996" s="60" t="str">
        <f>IF(AND(B996&lt;&gt;"",A996&lt;&gt;"BS",F996&lt;&gt;"",H996&lt;&gt;"",ISNUMBER(K996),ISNUMBER(L996)),IF(AND(K996&gt;0,L996&gt;0,K996-L996&gt;0,COUNTIFS(A997:A$2005,A996,F997:F$2005,F996,H997:H$2005,H996,AA997:AA$2005,"&gt;0")=0),ROUND(K996-L996,6),""),"")</f>
        <v/>
      </c>
      <c r="X996" s="60" t="str">
        <f>IF(AND(A996="",C996="",D996="",H996="",L996=""),"",IF(A996="","Type manquant",IF(AND(A996&lt;&gt;"BL",A996&lt;&gt;"BR",A996&lt;&gt;"BS"),"Type inconnu (BL, BR ou BS)",IF(AG996=0,"Date manquante ou invalide",IF(D996="",IF(A996="BL","Client manquant",IF(A996="BR","Fournisseur manquant","Service manquant")),IF(IF(A996="BL",ISNA(MATCH(D996,cl_code,0)),IF(A996="BR",ISNA(MATCH(D996,fo_code,0)),ISNA(MATCH(D996,p_services,0)))),IF(A996="BL","Client inconnu",IF(A996="BR","Fournisseur inconnu","Service inconnu")),IF(H996="","Article manquant",IF(ISNA(MATCH(H996,art_ref,0)),"Article inconnu",IF(OR(NOT(ISNUMBER(L996)),N(L996)&lt;=0),"Quantité invalide",IF(AND(K996&lt;&gt;"",OR(NOT(ISNUMBER(K996)),N(K996)&lt;=0)),"Qté commandée invalide",IF(AG996&lt;SUMPRODUCT(MAX((A$6:A995=A996)*AG$6:AG995)),"Date antérieure au bon précédent",IF(AND(A996&lt;&gt;"BR",ISNUMBER(M996),N(M996)&gt;0),IF(A996="BL","Livré plus que commandé","Sorti plus que demandé"),"OK"))))))))))))</f>
        <v/>
      </c>
      <c r="Y996" s="57" t="str">
        <f>IF(AND(OR(A996="BL",A996="BR",A996="BS"),AG996&gt;0,D996&lt;&gt;""),A996&amp;"|"&amp;AG996&amp;"|"&amp;D996&amp;"|"&amp;F996,"")</f>
        <v/>
      </c>
      <c r="Z996" s="57" t="str">
        <f>IF(Y996="","",IF(COUNTIF(Y$6:Y995,Y996)=0,1,0))</f>
        <v/>
      </c>
      <c r="AA996" s="57" t="str">
        <f>IF(Y996="","",IF(Z996=1,COUNTIFS(A$6:A996,A996,Z$6:Z996,1),INDEX(AA$6:AA995,MATCH(Y996,Y$6:Y995,0))))</f>
        <v/>
      </c>
      <c r="AB996" s="57" t="str">
        <f>IF(B996="","",COUNTIF(B$6:B996,B996))</f>
        <v/>
      </c>
      <c r="AC996" s="57" t="str">
        <f>IF(B996="","",B996&amp;"#"&amp;AB996)</f>
        <v/>
      </c>
      <c r="AD996" s="57" t="str">
        <f>IF(Z996=1,A996&amp;AA996,"")</f>
        <v/>
      </c>
      <c r="AE996" s="57" t="str">
        <f>IF(B996="","",YEAR(C996))</f>
        <v/>
      </c>
      <c r="AF996" s="57" t="str">
        <f>IF(B996="","",MONTH(C996))</f>
        <v/>
      </c>
      <c r="AG996" s="57">
        <f>IF(ISNUMBER(C996),C996,0)</f>
        <v>0.0</v>
      </c>
      <c r="AH996" s="57" t="str">
        <f>IF(N(W996)&gt;0,COUNTIF(W$6:W996,"&gt;0"),"")</f>
        <v/>
      </c>
      <c r="AI996" s="57" t="str">
        <f>IF(Z996=1,COUNTIF(Z$6:Z996,1),"")</f>
        <v/>
      </c>
    </row>
    <row r="997">
      <c r="A997" s="54" t="n"/>
      <c r="B997" s="55" t="str">
        <f>IF(AA997="","",A997&amp;"-"&amp;RIGHT("000"&amp;AA997,4))</f>
        <v/>
      </c>
      <c r="C997" s="56" t="n"/>
      <c r="D997" s="54" t="n"/>
      <c r="E997" s="57" t="str">
        <f>IF(D997="","",IF(A997="BL",IFERROR(INDEX(cl_name,MATCH(D997,cl_code,0))&amp;"","Client inconnu"),IF(A997="BR",IFERROR(INDEX(fo_name,MATCH(D997,fo_code,0))&amp;"","Fournisseur inconnu"),IF(A997="BS",IF(ISNA(MATCH(D997,p_services,0)),"Service inconnu",D997&amp;""),""))))</f>
        <v/>
      </c>
      <c r="F997" s="58" t="n"/>
      <c r="G997" s="58" t="n"/>
      <c r="H997" s="59" t="n"/>
      <c r="I997" s="57" t="str">
        <f>IF(H997="","",IFERROR(INDEX(art_des,MATCH(H997,art_ref,0))&amp;"","Article inconnu"))</f>
        <v/>
      </c>
      <c r="J997" s="60" t="str">
        <f>IF(H997="","",IFERROR(INDEX(art_unit,MATCH(H997,art_ref,0))&amp;"",""))</f>
        <v/>
      </c>
      <c r="K997" s="59" t="n"/>
      <c r="L997" s="59" t="n"/>
      <c r="M997" s="61" t="str">
        <f>IF(OR(B997="",NOT(ISNUMBER(K997)),NOT(ISNUMBER(L997))),"",IF(OR(K997&lt;=0,L997&lt;=0),"",ROUND(L997-K997,6)))</f>
        <v/>
      </c>
      <c r="N997" s="58" t="n"/>
      <c r="O997" s="62" t="n"/>
      <c r="P997" s="63" t="str">
        <f>IF(OR(B997="",NOT(ISNUMBER(L997))),"",IF(L997&lt;=0,"",IFERROR(ROUND(L997*N(INDEX(art_w,MATCH(H997,art_ref,0))),3),"")))</f>
        <v/>
      </c>
      <c r="Q997" s="59" t="n"/>
      <c r="R997" s="54" t="n"/>
      <c r="S997" s="59" t="n"/>
      <c r="T997" s="59" t="n"/>
      <c r="U997" s="64" t="str">
        <f>IF(OR(B997="",H997=""),"",IFERROR(IF(A997="BL",IF(N(INDEX(art_price,MATCH(H997,art_ref,0)))=0,"",N(INDEX(art_price,MATCH(H997,art_ref,0)))),IF(N(INDEX(art_cost,MATCH(H997,art_ref,0)))=0,"",N(INDEX(art_cost,MATCH(H997,art_ref,0))))),""))</f>
        <v/>
      </c>
      <c r="V997" s="64" t="str">
        <f>IF(OR(U997="",NOT(ISNUMBER(L997))),"",IF(L997&lt;=0,"",ROUND(L997*U997,2)))</f>
        <v/>
      </c>
      <c r="W997" s="60" t="str">
        <f>IF(AND(B997&lt;&gt;"",A997&lt;&gt;"BS",F997&lt;&gt;"",H997&lt;&gt;"",ISNUMBER(K997),ISNUMBER(L997)),IF(AND(K997&gt;0,L997&gt;0,K997-L997&gt;0,COUNTIFS(A998:A$2005,A997,F998:F$2005,F997,H998:H$2005,H997,AA998:AA$2005,"&gt;0")=0),ROUND(K997-L997,6),""),"")</f>
        <v/>
      </c>
      <c r="X997" s="60" t="str">
        <f>IF(AND(A997="",C997="",D997="",H997="",L997=""),"",IF(A997="","Type manquant",IF(AND(A997&lt;&gt;"BL",A997&lt;&gt;"BR",A997&lt;&gt;"BS"),"Type inconnu (BL, BR ou BS)",IF(AG997=0,"Date manquante ou invalide",IF(D997="",IF(A997="BL","Client manquant",IF(A997="BR","Fournisseur manquant","Service manquant")),IF(IF(A997="BL",ISNA(MATCH(D997,cl_code,0)),IF(A997="BR",ISNA(MATCH(D997,fo_code,0)),ISNA(MATCH(D997,p_services,0)))),IF(A997="BL","Client inconnu",IF(A997="BR","Fournisseur inconnu","Service inconnu")),IF(H997="","Article manquant",IF(ISNA(MATCH(H997,art_ref,0)),"Article inconnu",IF(OR(NOT(ISNUMBER(L997)),N(L997)&lt;=0),"Quantité invalide",IF(AND(K997&lt;&gt;"",OR(NOT(ISNUMBER(K997)),N(K997)&lt;=0)),"Qté commandée invalide",IF(AG997&lt;SUMPRODUCT(MAX((A$6:A996=A997)*AG$6:AG996)),"Date antérieure au bon précédent",IF(AND(A997&lt;&gt;"BR",ISNUMBER(M997),N(M997)&gt;0),IF(A997="BL","Livré plus que commandé","Sorti plus que demandé"),"OK"))))))))))))</f>
        <v/>
      </c>
      <c r="Y997" s="57" t="str">
        <f>IF(AND(OR(A997="BL",A997="BR",A997="BS"),AG997&gt;0,D997&lt;&gt;""),A997&amp;"|"&amp;AG997&amp;"|"&amp;D997&amp;"|"&amp;F997,"")</f>
        <v/>
      </c>
      <c r="Z997" s="57" t="str">
        <f>IF(Y997="","",IF(COUNTIF(Y$6:Y996,Y997)=0,1,0))</f>
        <v/>
      </c>
      <c r="AA997" s="57" t="str">
        <f>IF(Y997="","",IF(Z997=1,COUNTIFS(A$6:A997,A997,Z$6:Z997,1),INDEX(AA$6:AA996,MATCH(Y997,Y$6:Y996,0))))</f>
        <v/>
      </c>
      <c r="AB997" s="57" t="str">
        <f>IF(B997="","",COUNTIF(B$6:B997,B997))</f>
        <v/>
      </c>
      <c r="AC997" s="57" t="str">
        <f>IF(B997="","",B997&amp;"#"&amp;AB997)</f>
        <v/>
      </c>
      <c r="AD997" s="57" t="str">
        <f>IF(Z997=1,A997&amp;AA997,"")</f>
        <v/>
      </c>
      <c r="AE997" s="57" t="str">
        <f>IF(B997="","",YEAR(C997))</f>
        <v/>
      </c>
      <c r="AF997" s="57" t="str">
        <f>IF(B997="","",MONTH(C997))</f>
        <v/>
      </c>
      <c r="AG997" s="57">
        <f>IF(ISNUMBER(C997),C997,0)</f>
        <v>0.0</v>
      </c>
      <c r="AH997" s="57" t="str">
        <f>IF(N(W997)&gt;0,COUNTIF(W$6:W997,"&gt;0"),"")</f>
        <v/>
      </c>
      <c r="AI997" s="57" t="str">
        <f>IF(Z997=1,COUNTIF(Z$6:Z997,1),"")</f>
        <v/>
      </c>
    </row>
    <row r="998">
      <c r="A998" s="54" t="n"/>
      <c r="B998" s="55" t="str">
        <f>IF(AA998="","",A998&amp;"-"&amp;RIGHT("000"&amp;AA998,4))</f>
        <v/>
      </c>
      <c r="C998" s="56" t="n"/>
      <c r="D998" s="54" t="n"/>
      <c r="E998" s="57" t="str">
        <f>IF(D998="","",IF(A998="BL",IFERROR(INDEX(cl_name,MATCH(D998,cl_code,0))&amp;"","Client inconnu"),IF(A998="BR",IFERROR(INDEX(fo_name,MATCH(D998,fo_code,0))&amp;"","Fournisseur inconnu"),IF(A998="BS",IF(ISNA(MATCH(D998,p_services,0)),"Service inconnu",D998&amp;""),""))))</f>
        <v/>
      </c>
      <c r="F998" s="58" t="n"/>
      <c r="G998" s="58" t="n"/>
      <c r="H998" s="59" t="n"/>
      <c r="I998" s="57" t="str">
        <f>IF(H998="","",IFERROR(INDEX(art_des,MATCH(H998,art_ref,0))&amp;"","Article inconnu"))</f>
        <v/>
      </c>
      <c r="J998" s="60" t="str">
        <f>IF(H998="","",IFERROR(INDEX(art_unit,MATCH(H998,art_ref,0))&amp;"",""))</f>
        <v/>
      </c>
      <c r="K998" s="59" t="n"/>
      <c r="L998" s="59" t="n"/>
      <c r="M998" s="61" t="str">
        <f>IF(OR(B998="",NOT(ISNUMBER(K998)),NOT(ISNUMBER(L998))),"",IF(OR(K998&lt;=0,L998&lt;=0),"",ROUND(L998-K998,6)))</f>
        <v/>
      </c>
      <c r="N998" s="58" t="n"/>
      <c r="O998" s="62" t="n"/>
      <c r="P998" s="63" t="str">
        <f>IF(OR(B998="",NOT(ISNUMBER(L998))),"",IF(L998&lt;=0,"",IFERROR(ROUND(L998*N(INDEX(art_w,MATCH(H998,art_ref,0))),3),"")))</f>
        <v/>
      </c>
      <c r="Q998" s="59" t="n"/>
      <c r="R998" s="54" t="n"/>
      <c r="S998" s="59" t="n"/>
      <c r="T998" s="59" t="n"/>
      <c r="U998" s="64" t="str">
        <f>IF(OR(B998="",H998=""),"",IFERROR(IF(A998="BL",IF(N(INDEX(art_price,MATCH(H998,art_ref,0)))=0,"",N(INDEX(art_price,MATCH(H998,art_ref,0)))),IF(N(INDEX(art_cost,MATCH(H998,art_ref,0)))=0,"",N(INDEX(art_cost,MATCH(H998,art_ref,0))))),""))</f>
        <v/>
      </c>
      <c r="V998" s="64" t="str">
        <f>IF(OR(U998="",NOT(ISNUMBER(L998))),"",IF(L998&lt;=0,"",ROUND(L998*U998,2)))</f>
        <v/>
      </c>
      <c r="W998" s="60" t="str">
        <f>IF(AND(B998&lt;&gt;"",A998&lt;&gt;"BS",F998&lt;&gt;"",H998&lt;&gt;"",ISNUMBER(K998),ISNUMBER(L998)),IF(AND(K998&gt;0,L998&gt;0,K998-L998&gt;0,COUNTIFS(A999:A$2005,A998,F999:F$2005,F998,H999:H$2005,H998,AA999:AA$2005,"&gt;0")=0),ROUND(K998-L998,6),""),"")</f>
        <v/>
      </c>
      <c r="X998" s="60" t="str">
        <f>IF(AND(A998="",C998="",D998="",H998="",L998=""),"",IF(A998="","Type manquant",IF(AND(A998&lt;&gt;"BL",A998&lt;&gt;"BR",A998&lt;&gt;"BS"),"Type inconnu (BL, BR ou BS)",IF(AG998=0,"Date manquante ou invalide",IF(D998="",IF(A998="BL","Client manquant",IF(A998="BR","Fournisseur manquant","Service manquant")),IF(IF(A998="BL",ISNA(MATCH(D998,cl_code,0)),IF(A998="BR",ISNA(MATCH(D998,fo_code,0)),ISNA(MATCH(D998,p_services,0)))),IF(A998="BL","Client inconnu",IF(A998="BR","Fournisseur inconnu","Service inconnu")),IF(H998="","Article manquant",IF(ISNA(MATCH(H998,art_ref,0)),"Article inconnu",IF(OR(NOT(ISNUMBER(L998)),N(L998)&lt;=0),"Quantité invalide",IF(AND(K998&lt;&gt;"",OR(NOT(ISNUMBER(K998)),N(K998)&lt;=0)),"Qté commandée invalide",IF(AG998&lt;SUMPRODUCT(MAX((A$6:A997=A998)*AG$6:AG997)),"Date antérieure au bon précédent",IF(AND(A998&lt;&gt;"BR",ISNUMBER(M998),N(M998)&gt;0),IF(A998="BL","Livré plus que commandé","Sorti plus que demandé"),"OK"))))))))))))</f>
        <v/>
      </c>
      <c r="Y998" s="57" t="str">
        <f>IF(AND(OR(A998="BL",A998="BR",A998="BS"),AG998&gt;0,D998&lt;&gt;""),A998&amp;"|"&amp;AG998&amp;"|"&amp;D998&amp;"|"&amp;F998,"")</f>
        <v/>
      </c>
      <c r="Z998" s="57" t="str">
        <f>IF(Y998="","",IF(COUNTIF(Y$6:Y997,Y998)=0,1,0))</f>
        <v/>
      </c>
      <c r="AA998" s="57" t="str">
        <f>IF(Y998="","",IF(Z998=1,COUNTIFS(A$6:A998,A998,Z$6:Z998,1),INDEX(AA$6:AA997,MATCH(Y998,Y$6:Y997,0))))</f>
        <v/>
      </c>
      <c r="AB998" s="57" t="str">
        <f>IF(B998="","",COUNTIF(B$6:B998,B998))</f>
        <v/>
      </c>
      <c r="AC998" s="57" t="str">
        <f>IF(B998="","",B998&amp;"#"&amp;AB998)</f>
        <v/>
      </c>
      <c r="AD998" s="57" t="str">
        <f>IF(Z998=1,A998&amp;AA998,"")</f>
        <v/>
      </c>
      <c r="AE998" s="57" t="str">
        <f>IF(B998="","",YEAR(C998))</f>
        <v/>
      </c>
      <c r="AF998" s="57" t="str">
        <f>IF(B998="","",MONTH(C998))</f>
        <v/>
      </c>
      <c r="AG998" s="57">
        <f>IF(ISNUMBER(C998),C998,0)</f>
        <v>0.0</v>
      </c>
      <c r="AH998" s="57" t="str">
        <f>IF(N(W998)&gt;0,COUNTIF(W$6:W998,"&gt;0"),"")</f>
        <v/>
      </c>
      <c r="AI998" s="57" t="str">
        <f>IF(Z998=1,COUNTIF(Z$6:Z998,1),"")</f>
        <v/>
      </c>
    </row>
    <row r="999">
      <c r="A999" s="54" t="n"/>
      <c r="B999" s="55" t="str">
        <f>IF(AA999="","",A999&amp;"-"&amp;RIGHT("000"&amp;AA999,4))</f>
        <v/>
      </c>
      <c r="C999" s="56" t="n"/>
      <c r="D999" s="54" t="n"/>
      <c r="E999" s="57" t="str">
        <f>IF(D999="","",IF(A999="BL",IFERROR(INDEX(cl_name,MATCH(D999,cl_code,0))&amp;"","Client inconnu"),IF(A999="BR",IFERROR(INDEX(fo_name,MATCH(D999,fo_code,0))&amp;"","Fournisseur inconnu"),IF(A999="BS",IF(ISNA(MATCH(D999,p_services,0)),"Service inconnu",D999&amp;""),""))))</f>
        <v/>
      </c>
      <c r="F999" s="58" t="n"/>
      <c r="G999" s="58" t="n"/>
      <c r="H999" s="59" t="n"/>
      <c r="I999" s="57" t="str">
        <f>IF(H999="","",IFERROR(INDEX(art_des,MATCH(H999,art_ref,0))&amp;"","Article inconnu"))</f>
        <v/>
      </c>
      <c r="J999" s="60" t="str">
        <f>IF(H999="","",IFERROR(INDEX(art_unit,MATCH(H999,art_ref,0))&amp;"",""))</f>
        <v/>
      </c>
      <c r="K999" s="59" t="n"/>
      <c r="L999" s="59" t="n"/>
      <c r="M999" s="61" t="str">
        <f>IF(OR(B999="",NOT(ISNUMBER(K999)),NOT(ISNUMBER(L999))),"",IF(OR(K999&lt;=0,L999&lt;=0),"",ROUND(L999-K999,6)))</f>
        <v/>
      </c>
      <c r="N999" s="58" t="n"/>
      <c r="O999" s="62" t="n"/>
      <c r="P999" s="63" t="str">
        <f>IF(OR(B999="",NOT(ISNUMBER(L999))),"",IF(L999&lt;=0,"",IFERROR(ROUND(L999*N(INDEX(art_w,MATCH(H999,art_ref,0))),3),"")))</f>
        <v/>
      </c>
      <c r="Q999" s="59" t="n"/>
      <c r="R999" s="54" t="n"/>
      <c r="S999" s="59" t="n"/>
      <c r="T999" s="59" t="n"/>
      <c r="U999" s="64" t="str">
        <f>IF(OR(B999="",H999=""),"",IFERROR(IF(A999="BL",IF(N(INDEX(art_price,MATCH(H999,art_ref,0)))=0,"",N(INDEX(art_price,MATCH(H999,art_ref,0)))),IF(N(INDEX(art_cost,MATCH(H999,art_ref,0)))=0,"",N(INDEX(art_cost,MATCH(H999,art_ref,0))))),""))</f>
        <v/>
      </c>
      <c r="V999" s="64" t="str">
        <f>IF(OR(U999="",NOT(ISNUMBER(L999))),"",IF(L999&lt;=0,"",ROUND(L999*U999,2)))</f>
        <v/>
      </c>
      <c r="W999" s="60" t="str">
        <f>IF(AND(B999&lt;&gt;"",A999&lt;&gt;"BS",F999&lt;&gt;"",H999&lt;&gt;"",ISNUMBER(K999),ISNUMBER(L999)),IF(AND(K999&gt;0,L999&gt;0,K999-L999&gt;0,COUNTIFS(A1000:A$2005,A999,F1000:F$2005,F999,H1000:H$2005,H999,AA1000:AA$2005,"&gt;0")=0),ROUND(K999-L999,6),""),"")</f>
        <v/>
      </c>
      <c r="X999" s="60" t="str">
        <f>IF(AND(A999="",C999="",D999="",H999="",L999=""),"",IF(A999="","Type manquant",IF(AND(A999&lt;&gt;"BL",A999&lt;&gt;"BR",A999&lt;&gt;"BS"),"Type inconnu (BL, BR ou BS)",IF(AG999=0,"Date manquante ou invalide",IF(D999="",IF(A999="BL","Client manquant",IF(A999="BR","Fournisseur manquant","Service manquant")),IF(IF(A999="BL",ISNA(MATCH(D999,cl_code,0)),IF(A999="BR",ISNA(MATCH(D999,fo_code,0)),ISNA(MATCH(D999,p_services,0)))),IF(A999="BL","Client inconnu",IF(A999="BR","Fournisseur inconnu","Service inconnu")),IF(H999="","Article manquant",IF(ISNA(MATCH(H999,art_ref,0)),"Article inconnu",IF(OR(NOT(ISNUMBER(L999)),N(L999)&lt;=0),"Quantité invalide",IF(AND(K999&lt;&gt;"",OR(NOT(ISNUMBER(K999)),N(K999)&lt;=0)),"Qté commandée invalide",IF(AG999&lt;SUMPRODUCT(MAX((A$6:A998=A999)*AG$6:AG998)),"Date antérieure au bon précédent",IF(AND(A999&lt;&gt;"BR",ISNUMBER(M999),N(M999)&gt;0),IF(A999="BL","Livré plus que commandé","Sorti plus que demandé"),"OK"))))))))))))</f>
        <v/>
      </c>
      <c r="Y999" s="57" t="str">
        <f>IF(AND(OR(A999="BL",A999="BR",A999="BS"),AG999&gt;0,D999&lt;&gt;""),A999&amp;"|"&amp;AG999&amp;"|"&amp;D999&amp;"|"&amp;F999,"")</f>
        <v/>
      </c>
      <c r="Z999" s="57" t="str">
        <f>IF(Y999="","",IF(COUNTIF(Y$6:Y998,Y999)=0,1,0))</f>
        <v/>
      </c>
      <c r="AA999" s="57" t="str">
        <f>IF(Y999="","",IF(Z999=1,COUNTIFS(A$6:A999,A999,Z$6:Z999,1),INDEX(AA$6:AA998,MATCH(Y999,Y$6:Y998,0))))</f>
        <v/>
      </c>
      <c r="AB999" s="57" t="str">
        <f>IF(B999="","",COUNTIF(B$6:B999,B999))</f>
        <v/>
      </c>
      <c r="AC999" s="57" t="str">
        <f>IF(B999="","",B999&amp;"#"&amp;AB999)</f>
        <v/>
      </c>
      <c r="AD999" s="57" t="str">
        <f>IF(Z999=1,A999&amp;AA999,"")</f>
        <v/>
      </c>
      <c r="AE999" s="57" t="str">
        <f>IF(B999="","",YEAR(C999))</f>
        <v/>
      </c>
      <c r="AF999" s="57" t="str">
        <f>IF(B999="","",MONTH(C999))</f>
        <v/>
      </c>
      <c r="AG999" s="57">
        <f>IF(ISNUMBER(C999),C999,0)</f>
        <v>0.0</v>
      </c>
      <c r="AH999" s="57" t="str">
        <f>IF(N(W999)&gt;0,COUNTIF(W$6:W999,"&gt;0"),"")</f>
        <v/>
      </c>
      <c r="AI999" s="57" t="str">
        <f>IF(Z999=1,COUNTIF(Z$6:Z999,1),"")</f>
        <v/>
      </c>
    </row>
    <row r="1000">
      <c r="A1000" s="54" t="n"/>
      <c r="B1000" s="55" t="str">
        <f>IF(AA1000="","",A1000&amp;"-"&amp;RIGHT("000"&amp;AA1000,4))</f>
        <v/>
      </c>
      <c r="C1000" s="56" t="n"/>
      <c r="D1000" s="54" t="n"/>
      <c r="E1000" s="57" t="str">
        <f>IF(D1000="","",IF(A1000="BL",IFERROR(INDEX(cl_name,MATCH(D1000,cl_code,0))&amp;"","Client inconnu"),IF(A1000="BR",IFERROR(INDEX(fo_name,MATCH(D1000,fo_code,0))&amp;"","Fournisseur inconnu"),IF(A1000="BS",IF(ISNA(MATCH(D1000,p_services,0)),"Service inconnu",D1000&amp;""),""))))</f>
        <v/>
      </c>
      <c r="F1000" s="58" t="n"/>
      <c r="G1000" s="58" t="n"/>
      <c r="H1000" s="59" t="n"/>
      <c r="I1000" s="57" t="str">
        <f>IF(H1000="","",IFERROR(INDEX(art_des,MATCH(H1000,art_ref,0))&amp;"","Article inconnu"))</f>
        <v/>
      </c>
      <c r="J1000" s="60" t="str">
        <f>IF(H1000="","",IFERROR(INDEX(art_unit,MATCH(H1000,art_ref,0))&amp;"",""))</f>
        <v/>
      </c>
      <c r="K1000" s="59" t="n"/>
      <c r="L1000" s="59" t="n"/>
      <c r="M1000" s="61" t="str">
        <f>IF(OR(B1000="",NOT(ISNUMBER(K1000)),NOT(ISNUMBER(L1000))),"",IF(OR(K1000&lt;=0,L1000&lt;=0),"",ROUND(L1000-K1000,6)))</f>
        <v/>
      </c>
      <c r="N1000" s="58" t="n"/>
      <c r="O1000" s="62" t="n"/>
      <c r="P1000" s="63" t="str">
        <f>IF(OR(B1000="",NOT(ISNUMBER(L1000))),"",IF(L1000&lt;=0,"",IFERROR(ROUND(L1000*N(INDEX(art_w,MATCH(H1000,art_ref,0))),3),"")))</f>
        <v/>
      </c>
      <c r="Q1000" s="59" t="n"/>
      <c r="R1000" s="54" t="n"/>
      <c r="S1000" s="59" t="n"/>
      <c r="T1000" s="59" t="n"/>
      <c r="U1000" s="64" t="str">
        <f>IF(OR(B1000="",H1000=""),"",IFERROR(IF(A1000="BL",IF(N(INDEX(art_price,MATCH(H1000,art_ref,0)))=0,"",N(INDEX(art_price,MATCH(H1000,art_ref,0)))),IF(N(INDEX(art_cost,MATCH(H1000,art_ref,0)))=0,"",N(INDEX(art_cost,MATCH(H1000,art_ref,0))))),""))</f>
        <v/>
      </c>
      <c r="V1000" s="64" t="str">
        <f>IF(OR(U1000="",NOT(ISNUMBER(L1000))),"",IF(L1000&lt;=0,"",ROUND(L1000*U1000,2)))</f>
        <v/>
      </c>
      <c r="W1000" s="60" t="str">
        <f>IF(AND(B1000&lt;&gt;"",A1000&lt;&gt;"BS",F1000&lt;&gt;"",H1000&lt;&gt;"",ISNUMBER(K1000),ISNUMBER(L1000)),IF(AND(K1000&gt;0,L1000&gt;0,K1000-L1000&gt;0,COUNTIFS(A1001:A$2005,A1000,F1001:F$2005,F1000,H1001:H$2005,H1000,AA1001:AA$2005,"&gt;0")=0),ROUND(K1000-L1000,6),""),"")</f>
        <v/>
      </c>
      <c r="X1000" s="60" t="str">
        <f>IF(AND(A1000="",C1000="",D1000="",H1000="",L1000=""),"",IF(A1000="","Type manquant",IF(AND(A1000&lt;&gt;"BL",A1000&lt;&gt;"BR",A1000&lt;&gt;"BS"),"Type inconnu (BL, BR ou BS)",IF(AG1000=0,"Date manquante ou invalide",IF(D1000="",IF(A1000="BL","Client manquant",IF(A1000="BR","Fournisseur manquant","Service manquant")),IF(IF(A1000="BL",ISNA(MATCH(D1000,cl_code,0)),IF(A1000="BR",ISNA(MATCH(D1000,fo_code,0)),ISNA(MATCH(D1000,p_services,0)))),IF(A1000="BL","Client inconnu",IF(A1000="BR","Fournisseur inconnu","Service inconnu")),IF(H1000="","Article manquant",IF(ISNA(MATCH(H1000,art_ref,0)),"Article inconnu",IF(OR(NOT(ISNUMBER(L1000)),N(L1000)&lt;=0),"Quantité invalide",IF(AND(K1000&lt;&gt;"",OR(NOT(ISNUMBER(K1000)),N(K1000)&lt;=0)),"Qté commandée invalide",IF(AG1000&lt;SUMPRODUCT(MAX((A$6:A999=A1000)*AG$6:AG999)),"Date antérieure au bon précédent",IF(AND(A1000&lt;&gt;"BR",ISNUMBER(M1000),N(M1000)&gt;0),IF(A1000="BL","Livré plus que commandé","Sorti plus que demandé"),"OK"))))))))))))</f>
        <v/>
      </c>
      <c r="Y1000" s="57" t="str">
        <f>IF(AND(OR(A1000="BL",A1000="BR",A1000="BS"),AG1000&gt;0,D1000&lt;&gt;""),A1000&amp;"|"&amp;AG1000&amp;"|"&amp;D1000&amp;"|"&amp;F1000,"")</f>
        <v/>
      </c>
      <c r="Z1000" s="57" t="str">
        <f>IF(Y1000="","",IF(COUNTIF(Y$6:Y999,Y1000)=0,1,0))</f>
        <v/>
      </c>
      <c r="AA1000" s="57" t="str">
        <f>IF(Y1000="","",IF(Z1000=1,COUNTIFS(A$6:A1000,A1000,Z$6:Z1000,1),INDEX(AA$6:AA999,MATCH(Y1000,Y$6:Y999,0))))</f>
        <v/>
      </c>
      <c r="AB1000" s="57" t="str">
        <f>IF(B1000="","",COUNTIF(B$6:B1000,B1000))</f>
        <v/>
      </c>
      <c r="AC1000" s="57" t="str">
        <f>IF(B1000="","",B1000&amp;"#"&amp;AB1000)</f>
        <v/>
      </c>
      <c r="AD1000" s="57" t="str">
        <f>IF(Z1000=1,A1000&amp;AA1000,"")</f>
        <v/>
      </c>
      <c r="AE1000" s="57" t="str">
        <f>IF(B1000="","",YEAR(C1000))</f>
        <v/>
      </c>
      <c r="AF1000" s="57" t="str">
        <f>IF(B1000="","",MONTH(C1000))</f>
        <v/>
      </c>
      <c r="AG1000" s="57">
        <f>IF(ISNUMBER(C1000),C1000,0)</f>
        <v>0.0</v>
      </c>
      <c r="AH1000" s="57" t="str">
        <f>IF(N(W1000)&gt;0,COUNTIF(W$6:W1000,"&gt;0"),"")</f>
        <v/>
      </c>
      <c r="AI1000" s="57" t="str">
        <f>IF(Z1000=1,COUNTIF(Z$6:Z1000,1),"")</f>
        <v/>
      </c>
    </row>
    <row r="1001">
      <c r="A1001" s="54" t="n"/>
      <c r="B1001" s="55" t="str">
        <f>IF(AA1001="","",A1001&amp;"-"&amp;RIGHT("000"&amp;AA1001,4))</f>
        <v/>
      </c>
      <c r="C1001" s="56" t="n"/>
      <c r="D1001" s="54" t="n"/>
      <c r="E1001" s="57" t="str">
        <f>IF(D1001="","",IF(A1001="BL",IFERROR(INDEX(cl_name,MATCH(D1001,cl_code,0))&amp;"","Client inconnu"),IF(A1001="BR",IFERROR(INDEX(fo_name,MATCH(D1001,fo_code,0))&amp;"","Fournisseur inconnu"),IF(A1001="BS",IF(ISNA(MATCH(D1001,p_services,0)),"Service inconnu",D1001&amp;""),""))))</f>
        <v/>
      </c>
      <c r="F1001" s="58" t="n"/>
      <c r="G1001" s="58" t="n"/>
      <c r="H1001" s="59" t="n"/>
      <c r="I1001" s="57" t="str">
        <f>IF(H1001="","",IFERROR(INDEX(art_des,MATCH(H1001,art_ref,0))&amp;"","Article inconnu"))</f>
        <v/>
      </c>
      <c r="J1001" s="60" t="str">
        <f>IF(H1001="","",IFERROR(INDEX(art_unit,MATCH(H1001,art_ref,0))&amp;"",""))</f>
        <v/>
      </c>
      <c r="K1001" s="59" t="n"/>
      <c r="L1001" s="59" t="n"/>
      <c r="M1001" s="61" t="str">
        <f>IF(OR(B1001="",NOT(ISNUMBER(K1001)),NOT(ISNUMBER(L1001))),"",IF(OR(K1001&lt;=0,L1001&lt;=0),"",ROUND(L1001-K1001,6)))</f>
        <v/>
      </c>
      <c r="N1001" s="58" t="n"/>
      <c r="O1001" s="62" t="n"/>
      <c r="P1001" s="63" t="str">
        <f>IF(OR(B1001="",NOT(ISNUMBER(L1001))),"",IF(L1001&lt;=0,"",IFERROR(ROUND(L1001*N(INDEX(art_w,MATCH(H1001,art_ref,0))),3),"")))</f>
        <v/>
      </c>
      <c r="Q1001" s="59" t="n"/>
      <c r="R1001" s="54" t="n"/>
      <c r="S1001" s="59" t="n"/>
      <c r="T1001" s="59" t="n"/>
      <c r="U1001" s="64" t="str">
        <f>IF(OR(B1001="",H1001=""),"",IFERROR(IF(A1001="BL",IF(N(INDEX(art_price,MATCH(H1001,art_ref,0)))=0,"",N(INDEX(art_price,MATCH(H1001,art_ref,0)))),IF(N(INDEX(art_cost,MATCH(H1001,art_ref,0)))=0,"",N(INDEX(art_cost,MATCH(H1001,art_ref,0))))),""))</f>
        <v/>
      </c>
      <c r="V1001" s="64" t="str">
        <f>IF(OR(U1001="",NOT(ISNUMBER(L1001))),"",IF(L1001&lt;=0,"",ROUND(L1001*U1001,2)))</f>
        <v/>
      </c>
      <c r="W1001" s="60" t="str">
        <f>IF(AND(B1001&lt;&gt;"",A1001&lt;&gt;"BS",F1001&lt;&gt;"",H1001&lt;&gt;"",ISNUMBER(K1001),ISNUMBER(L1001)),IF(AND(K1001&gt;0,L1001&gt;0,K1001-L1001&gt;0,COUNTIFS(A1002:A$2005,A1001,F1002:F$2005,F1001,H1002:H$2005,H1001,AA1002:AA$2005,"&gt;0")=0),ROUND(K1001-L1001,6),""),"")</f>
        <v/>
      </c>
      <c r="X1001" s="60" t="str">
        <f>IF(AND(A1001="",C1001="",D1001="",H1001="",L1001=""),"",IF(A1001="","Type manquant",IF(AND(A1001&lt;&gt;"BL",A1001&lt;&gt;"BR",A1001&lt;&gt;"BS"),"Type inconnu (BL, BR ou BS)",IF(AG1001=0,"Date manquante ou invalide",IF(D1001="",IF(A1001="BL","Client manquant",IF(A1001="BR","Fournisseur manquant","Service manquant")),IF(IF(A1001="BL",ISNA(MATCH(D1001,cl_code,0)),IF(A1001="BR",ISNA(MATCH(D1001,fo_code,0)),ISNA(MATCH(D1001,p_services,0)))),IF(A1001="BL","Client inconnu",IF(A1001="BR","Fournisseur inconnu","Service inconnu")),IF(H1001="","Article manquant",IF(ISNA(MATCH(H1001,art_ref,0)),"Article inconnu",IF(OR(NOT(ISNUMBER(L1001)),N(L1001)&lt;=0),"Quantité invalide",IF(AND(K1001&lt;&gt;"",OR(NOT(ISNUMBER(K1001)),N(K1001)&lt;=0)),"Qté commandée invalide",IF(AG1001&lt;SUMPRODUCT(MAX((A$6:A1000=A1001)*AG$6:AG1000)),"Date antérieure au bon précédent",IF(AND(A1001&lt;&gt;"BR",ISNUMBER(M1001),N(M1001)&gt;0),IF(A1001="BL","Livré plus que commandé","Sorti plus que demandé"),"OK"))))))))))))</f>
        <v/>
      </c>
      <c r="Y1001" s="57" t="str">
        <f>IF(AND(OR(A1001="BL",A1001="BR",A1001="BS"),AG1001&gt;0,D1001&lt;&gt;""),A1001&amp;"|"&amp;AG1001&amp;"|"&amp;D1001&amp;"|"&amp;F1001,"")</f>
        <v/>
      </c>
      <c r="Z1001" s="57" t="str">
        <f>IF(Y1001="","",IF(COUNTIF(Y$6:Y1000,Y1001)=0,1,0))</f>
        <v/>
      </c>
      <c r="AA1001" s="57" t="str">
        <f>IF(Y1001="","",IF(Z1001=1,COUNTIFS(A$6:A1001,A1001,Z$6:Z1001,1),INDEX(AA$6:AA1000,MATCH(Y1001,Y$6:Y1000,0))))</f>
        <v/>
      </c>
      <c r="AB1001" s="57" t="str">
        <f>IF(B1001="","",COUNTIF(B$6:B1001,B1001))</f>
        <v/>
      </c>
      <c r="AC1001" s="57" t="str">
        <f>IF(B1001="","",B1001&amp;"#"&amp;AB1001)</f>
        <v/>
      </c>
      <c r="AD1001" s="57" t="str">
        <f>IF(Z1001=1,A1001&amp;AA1001,"")</f>
        <v/>
      </c>
      <c r="AE1001" s="57" t="str">
        <f>IF(B1001="","",YEAR(C1001))</f>
        <v/>
      </c>
      <c r="AF1001" s="57" t="str">
        <f>IF(B1001="","",MONTH(C1001))</f>
        <v/>
      </c>
      <c r="AG1001" s="57">
        <f>IF(ISNUMBER(C1001),C1001,0)</f>
        <v>0.0</v>
      </c>
      <c r="AH1001" s="57" t="str">
        <f>IF(N(W1001)&gt;0,COUNTIF(W$6:W1001,"&gt;0"),"")</f>
        <v/>
      </c>
      <c r="AI1001" s="57" t="str">
        <f>IF(Z1001=1,COUNTIF(Z$6:Z1001,1),"")</f>
        <v/>
      </c>
    </row>
    <row r="1002">
      <c r="A1002" s="54" t="n"/>
      <c r="B1002" s="55" t="str">
        <f>IF(AA1002="","",A1002&amp;"-"&amp;RIGHT("000"&amp;AA1002,4))</f>
        <v/>
      </c>
      <c r="C1002" s="56" t="n"/>
      <c r="D1002" s="54" t="n"/>
      <c r="E1002" s="57" t="str">
        <f>IF(D1002="","",IF(A1002="BL",IFERROR(INDEX(cl_name,MATCH(D1002,cl_code,0))&amp;"","Client inconnu"),IF(A1002="BR",IFERROR(INDEX(fo_name,MATCH(D1002,fo_code,0))&amp;"","Fournisseur inconnu"),IF(A1002="BS",IF(ISNA(MATCH(D1002,p_services,0)),"Service inconnu",D1002&amp;""),""))))</f>
        <v/>
      </c>
      <c r="F1002" s="58" t="n"/>
      <c r="G1002" s="58" t="n"/>
      <c r="H1002" s="59" t="n"/>
      <c r="I1002" s="57" t="str">
        <f>IF(H1002="","",IFERROR(INDEX(art_des,MATCH(H1002,art_ref,0))&amp;"","Article inconnu"))</f>
        <v/>
      </c>
      <c r="J1002" s="60" t="str">
        <f>IF(H1002="","",IFERROR(INDEX(art_unit,MATCH(H1002,art_ref,0))&amp;"",""))</f>
        <v/>
      </c>
      <c r="K1002" s="59" t="n"/>
      <c r="L1002" s="59" t="n"/>
      <c r="M1002" s="61" t="str">
        <f>IF(OR(B1002="",NOT(ISNUMBER(K1002)),NOT(ISNUMBER(L1002))),"",IF(OR(K1002&lt;=0,L1002&lt;=0),"",ROUND(L1002-K1002,6)))</f>
        <v/>
      </c>
      <c r="N1002" s="58" t="n"/>
      <c r="O1002" s="62" t="n"/>
      <c r="P1002" s="63" t="str">
        <f>IF(OR(B1002="",NOT(ISNUMBER(L1002))),"",IF(L1002&lt;=0,"",IFERROR(ROUND(L1002*N(INDEX(art_w,MATCH(H1002,art_ref,0))),3),"")))</f>
        <v/>
      </c>
      <c r="Q1002" s="59" t="n"/>
      <c r="R1002" s="54" t="n"/>
      <c r="S1002" s="59" t="n"/>
      <c r="T1002" s="59" t="n"/>
      <c r="U1002" s="64" t="str">
        <f>IF(OR(B1002="",H1002=""),"",IFERROR(IF(A1002="BL",IF(N(INDEX(art_price,MATCH(H1002,art_ref,0)))=0,"",N(INDEX(art_price,MATCH(H1002,art_ref,0)))),IF(N(INDEX(art_cost,MATCH(H1002,art_ref,0)))=0,"",N(INDEX(art_cost,MATCH(H1002,art_ref,0))))),""))</f>
        <v/>
      </c>
      <c r="V1002" s="64" t="str">
        <f>IF(OR(U1002="",NOT(ISNUMBER(L1002))),"",IF(L1002&lt;=0,"",ROUND(L1002*U1002,2)))</f>
        <v/>
      </c>
      <c r="W1002" s="60" t="str">
        <f>IF(AND(B1002&lt;&gt;"",A1002&lt;&gt;"BS",F1002&lt;&gt;"",H1002&lt;&gt;"",ISNUMBER(K1002),ISNUMBER(L1002)),IF(AND(K1002&gt;0,L1002&gt;0,K1002-L1002&gt;0,COUNTIFS(A1003:A$2005,A1002,F1003:F$2005,F1002,H1003:H$2005,H1002,AA1003:AA$2005,"&gt;0")=0),ROUND(K1002-L1002,6),""),"")</f>
        <v/>
      </c>
      <c r="X1002" s="60" t="str">
        <f>IF(AND(A1002="",C1002="",D1002="",H1002="",L1002=""),"",IF(A1002="","Type manquant",IF(AND(A1002&lt;&gt;"BL",A1002&lt;&gt;"BR",A1002&lt;&gt;"BS"),"Type inconnu (BL, BR ou BS)",IF(AG1002=0,"Date manquante ou invalide",IF(D1002="",IF(A1002="BL","Client manquant",IF(A1002="BR","Fournisseur manquant","Service manquant")),IF(IF(A1002="BL",ISNA(MATCH(D1002,cl_code,0)),IF(A1002="BR",ISNA(MATCH(D1002,fo_code,0)),ISNA(MATCH(D1002,p_services,0)))),IF(A1002="BL","Client inconnu",IF(A1002="BR","Fournisseur inconnu","Service inconnu")),IF(H1002="","Article manquant",IF(ISNA(MATCH(H1002,art_ref,0)),"Article inconnu",IF(OR(NOT(ISNUMBER(L1002)),N(L1002)&lt;=0),"Quantité invalide",IF(AND(K1002&lt;&gt;"",OR(NOT(ISNUMBER(K1002)),N(K1002)&lt;=0)),"Qté commandée invalide",IF(AG1002&lt;SUMPRODUCT(MAX((A$6:A1001=A1002)*AG$6:AG1001)),"Date antérieure au bon précédent",IF(AND(A1002&lt;&gt;"BR",ISNUMBER(M1002),N(M1002)&gt;0),IF(A1002="BL","Livré plus que commandé","Sorti plus que demandé"),"OK"))))))))))))</f>
        <v/>
      </c>
      <c r="Y1002" s="57" t="str">
        <f>IF(AND(OR(A1002="BL",A1002="BR",A1002="BS"),AG1002&gt;0,D1002&lt;&gt;""),A1002&amp;"|"&amp;AG1002&amp;"|"&amp;D1002&amp;"|"&amp;F1002,"")</f>
        <v/>
      </c>
      <c r="Z1002" s="57" t="str">
        <f>IF(Y1002="","",IF(COUNTIF(Y$6:Y1001,Y1002)=0,1,0))</f>
        <v/>
      </c>
      <c r="AA1002" s="57" t="str">
        <f>IF(Y1002="","",IF(Z1002=1,COUNTIFS(A$6:A1002,A1002,Z$6:Z1002,1),INDEX(AA$6:AA1001,MATCH(Y1002,Y$6:Y1001,0))))</f>
        <v/>
      </c>
      <c r="AB1002" s="57" t="str">
        <f>IF(B1002="","",COUNTIF(B$6:B1002,B1002))</f>
        <v/>
      </c>
      <c r="AC1002" s="57" t="str">
        <f>IF(B1002="","",B1002&amp;"#"&amp;AB1002)</f>
        <v/>
      </c>
      <c r="AD1002" s="57" t="str">
        <f>IF(Z1002=1,A1002&amp;AA1002,"")</f>
        <v/>
      </c>
      <c r="AE1002" s="57" t="str">
        <f>IF(B1002="","",YEAR(C1002))</f>
        <v/>
      </c>
      <c r="AF1002" s="57" t="str">
        <f>IF(B1002="","",MONTH(C1002))</f>
        <v/>
      </c>
      <c r="AG1002" s="57">
        <f>IF(ISNUMBER(C1002),C1002,0)</f>
        <v>0.0</v>
      </c>
      <c r="AH1002" s="57" t="str">
        <f>IF(N(W1002)&gt;0,COUNTIF(W$6:W1002,"&gt;0"),"")</f>
        <v/>
      </c>
      <c r="AI1002" s="57" t="str">
        <f>IF(Z1002=1,COUNTIF(Z$6:Z1002,1),"")</f>
        <v/>
      </c>
    </row>
    <row r="1003">
      <c r="A1003" s="54" t="n"/>
      <c r="B1003" s="55" t="str">
        <f>IF(AA1003="","",A1003&amp;"-"&amp;RIGHT("000"&amp;AA1003,4))</f>
        <v/>
      </c>
      <c r="C1003" s="56" t="n"/>
      <c r="D1003" s="54" t="n"/>
      <c r="E1003" s="57" t="str">
        <f>IF(D1003="","",IF(A1003="BL",IFERROR(INDEX(cl_name,MATCH(D1003,cl_code,0))&amp;"","Client inconnu"),IF(A1003="BR",IFERROR(INDEX(fo_name,MATCH(D1003,fo_code,0))&amp;"","Fournisseur inconnu"),IF(A1003="BS",IF(ISNA(MATCH(D1003,p_services,0)),"Service inconnu",D1003&amp;""),""))))</f>
        <v/>
      </c>
      <c r="F1003" s="58" t="n"/>
      <c r="G1003" s="58" t="n"/>
      <c r="H1003" s="59" t="n"/>
      <c r="I1003" s="57" t="str">
        <f>IF(H1003="","",IFERROR(INDEX(art_des,MATCH(H1003,art_ref,0))&amp;"","Article inconnu"))</f>
        <v/>
      </c>
      <c r="J1003" s="60" t="str">
        <f>IF(H1003="","",IFERROR(INDEX(art_unit,MATCH(H1003,art_ref,0))&amp;"",""))</f>
        <v/>
      </c>
      <c r="K1003" s="59" t="n"/>
      <c r="L1003" s="59" t="n"/>
      <c r="M1003" s="61" t="str">
        <f>IF(OR(B1003="",NOT(ISNUMBER(K1003)),NOT(ISNUMBER(L1003))),"",IF(OR(K1003&lt;=0,L1003&lt;=0),"",ROUND(L1003-K1003,6)))</f>
        <v/>
      </c>
      <c r="N1003" s="58" t="n"/>
      <c r="O1003" s="62" t="n"/>
      <c r="P1003" s="63" t="str">
        <f>IF(OR(B1003="",NOT(ISNUMBER(L1003))),"",IF(L1003&lt;=0,"",IFERROR(ROUND(L1003*N(INDEX(art_w,MATCH(H1003,art_ref,0))),3),"")))</f>
        <v/>
      </c>
      <c r="Q1003" s="59" t="n"/>
      <c r="R1003" s="54" t="n"/>
      <c r="S1003" s="59" t="n"/>
      <c r="T1003" s="59" t="n"/>
      <c r="U1003" s="64" t="str">
        <f>IF(OR(B1003="",H1003=""),"",IFERROR(IF(A1003="BL",IF(N(INDEX(art_price,MATCH(H1003,art_ref,0)))=0,"",N(INDEX(art_price,MATCH(H1003,art_ref,0)))),IF(N(INDEX(art_cost,MATCH(H1003,art_ref,0)))=0,"",N(INDEX(art_cost,MATCH(H1003,art_ref,0))))),""))</f>
        <v/>
      </c>
      <c r="V1003" s="64" t="str">
        <f>IF(OR(U1003="",NOT(ISNUMBER(L1003))),"",IF(L1003&lt;=0,"",ROUND(L1003*U1003,2)))</f>
        <v/>
      </c>
      <c r="W1003" s="60" t="str">
        <f>IF(AND(B1003&lt;&gt;"",A1003&lt;&gt;"BS",F1003&lt;&gt;"",H1003&lt;&gt;"",ISNUMBER(K1003),ISNUMBER(L1003)),IF(AND(K1003&gt;0,L1003&gt;0,K1003-L1003&gt;0,COUNTIFS(A1004:A$2005,A1003,F1004:F$2005,F1003,H1004:H$2005,H1003,AA1004:AA$2005,"&gt;0")=0),ROUND(K1003-L1003,6),""),"")</f>
        <v/>
      </c>
      <c r="X1003" s="60" t="str">
        <f>IF(AND(A1003="",C1003="",D1003="",H1003="",L1003=""),"",IF(A1003="","Type manquant",IF(AND(A1003&lt;&gt;"BL",A1003&lt;&gt;"BR",A1003&lt;&gt;"BS"),"Type inconnu (BL, BR ou BS)",IF(AG1003=0,"Date manquante ou invalide",IF(D1003="",IF(A1003="BL","Client manquant",IF(A1003="BR","Fournisseur manquant","Service manquant")),IF(IF(A1003="BL",ISNA(MATCH(D1003,cl_code,0)),IF(A1003="BR",ISNA(MATCH(D1003,fo_code,0)),ISNA(MATCH(D1003,p_services,0)))),IF(A1003="BL","Client inconnu",IF(A1003="BR","Fournisseur inconnu","Service inconnu")),IF(H1003="","Article manquant",IF(ISNA(MATCH(H1003,art_ref,0)),"Article inconnu",IF(OR(NOT(ISNUMBER(L1003)),N(L1003)&lt;=0),"Quantité invalide",IF(AND(K1003&lt;&gt;"",OR(NOT(ISNUMBER(K1003)),N(K1003)&lt;=0)),"Qté commandée invalide",IF(AG1003&lt;SUMPRODUCT(MAX((A$6:A1002=A1003)*AG$6:AG1002)),"Date antérieure au bon précédent",IF(AND(A1003&lt;&gt;"BR",ISNUMBER(M1003),N(M1003)&gt;0),IF(A1003="BL","Livré plus que commandé","Sorti plus que demandé"),"OK"))))))))))))</f>
        <v/>
      </c>
      <c r="Y1003" s="57" t="str">
        <f>IF(AND(OR(A1003="BL",A1003="BR",A1003="BS"),AG1003&gt;0,D1003&lt;&gt;""),A1003&amp;"|"&amp;AG1003&amp;"|"&amp;D1003&amp;"|"&amp;F1003,"")</f>
        <v/>
      </c>
      <c r="Z1003" s="57" t="str">
        <f>IF(Y1003="","",IF(COUNTIF(Y$6:Y1002,Y1003)=0,1,0))</f>
        <v/>
      </c>
      <c r="AA1003" s="57" t="str">
        <f>IF(Y1003="","",IF(Z1003=1,COUNTIFS(A$6:A1003,A1003,Z$6:Z1003,1),INDEX(AA$6:AA1002,MATCH(Y1003,Y$6:Y1002,0))))</f>
        <v/>
      </c>
      <c r="AB1003" s="57" t="str">
        <f>IF(B1003="","",COUNTIF(B$6:B1003,B1003))</f>
        <v/>
      </c>
      <c r="AC1003" s="57" t="str">
        <f>IF(B1003="","",B1003&amp;"#"&amp;AB1003)</f>
        <v/>
      </c>
      <c r="AD1003" s="57" t="str">
        <f>IF(Z1003=1,A1003&amp;AA1003,"")</f>
        <v/>
      </c>
      <c r="AE1003" s="57" t="str">
        <f>IF(B1003="","",YEAR(C1003))</f>
        <v/>
      </c>
      <c r="AF1003" s="57" t="str">
        <f>IF(B1003="","",MONTH(C1003))</f>
        <v/>
      </c>
      <c r="AG1003" s="57">
        <f>IF(ISNUMBER(C1003),C1003,0)</f>
        <v>0.0</v>
      </c>
      <c r="AH1003" s="57" t="str">
        <f>IF(N(W1003)&gt;0,COUNTIF(W$6:W1003,"&gt;0"),"")</f>
        <v/>
      </c>
      <c r="AI1003" s="57" t="str">
        <f>IF(Z1003=1,COUNTIF(Z$6:Z1003,1),"")</f>
        <v/>
      </c>
    </row>
    <row r="1004">
      <c r="A1004" s="54" t="n"/>
      <c r="B1004" s="55" t="str">
        <f>IF(AA1004="","",A1004&amp;"-"&amp;RIGHT("000"&amp;AA1004,4))</f>
        <v/>
      </c>
      <c r="C1004" s="56" t="n"/>
      <c r="D1004" s="54" t="n"/>
      <c r="E1004" s="57" t="str">
        <f>IF(D1004="","",IF(A1004="BL",IFERROR(INDEX(cl_name,MATCH(D1004,cl_code,0))&amp;"","Client inconnu"),IF(A1004="BR",IFERROR(INDEX(fo_name,MATCH(D1004,fo_code,0))&amp;"","Fournisseur inconnu"),IF(A1004="BS",IF(ISNA(MATCH(D1004,p_services,0)),"Service inconnu",D1004&amp;""),""))))</f>
        <v/>
      </c>
      <c r="F1004" s="58" t="n"/>
      <c r="G1004" s="58" t="n"/>
      <c r="H1004" s="59" t="n"/>
      <c r="I1004" s="57" t="str">
        <f>IF(H1004="","",IFERROR(INDEX(art_des,MATCH(H1004,art_ref,0))&amp;"","Article inconnu"))</f>
        <v/>
      </c>
      <c r="J1004" s="60" t="str">
        <f>IF(H1004="","",IFERROR(INDEX(art_unit,MATCH(H1004,art_ref,0))&amp;"",""))</f>
        <v/>
      </c>
      <c r="K1004" s="59" t="n"/>
      <c r="L1004" s="59" t="n"/>
      <c r="M1004" s="61" t="str">
        <f>IF(OR(B1004="",NOT(ISNUMBER(K1004)),NOT(ISNUMBER(L1004))),"",IF(OR(K1004&lt;=0,L1004&lt;=0),"",ROUND(L1004-K1004,6)))</f>
        <v/>
      </c>
      <c r="N1004" s="58" t="n"/>
      <c r="O1004" s="62" t="n"/>
      <c r="P1004" s="63" t="str">
        <f>IF(OR(B1004="",NOT(ISNUMBER(L1004))),"",IF(L1004&lt;=0,"",IFERROR(ROUND(L1004*N(INDEX(art_w,MATCH(H1004,art_ref,0))),3),"")))</f>
        <v/>
      </c>
      <c r="Q1004" s="59" t="n"/>
      <c r="R1004" s="54" t="n"/>
      <c r="S1004" s="59" t="n"/>
      <c r="T1004" s="59" t="n"/>
      <c r="U1004" s="64" t="str">
        <f>IF(OR(B1004="",H1004=""),"",IFERROR(IF(A1004="BL",IF(N(INDEX(art_price,MATCH(H1004,art_ref,0)))=0,"",N(INDEX(art_price,MATCH(H1004,art_ref,0)))),IF(N(INDEX(art_cost,MATCH(H1004,art_ref,0)))=0,"",N(INDEX(art_cost,MATCH(H1004,art_ref,0))))),""))</f>
        <v/>
      </c>
      <c r="V1004" s="64" t="str">
        <f>IF(OR(U1004="",NOT(ISNUMBER(L1004))),"",IF(L1004&lt;=0,"",ROUND(L1004*U1004,2)))</f>
        <v/>
      </c>
      <c r="W1004" s="60" t="str">
        <f>IF(AND(B1004&lt;&gt;"",A1004&lt;&gt;"BS",F1004&lt;&gt;"",H1004&lt;&gt;"",ISNUMBER(K1004),ISNUMBER(L1004)),IF(AND(K1004&gt;0,L1004&gt;0,K1004-L1004&gt;0,COUNTIFS(A1005:A$2005,A1004,F1005:F$2005,F1004,H1005:H$2005,H1004,AA1005:AA$2005,"&gt;0")=0),ROUND(K1004-L1004,6),""),"")</f>
        <v/>
      </c>
      <c r="X1004" s="60" t="str">
        <f>IF(AND(A1004="",C1004="",D1004="",H1004="",L1004=""),"",IF(A1004="","Type manquant",IF(AND(A1004&lt;&gt;"BL",A1004&lt;&gt;"BR",A1004&lt;&gt;"BS"),"Type inconnu (BL, BR ou BS)",IF(AG1004=0,"Date manquante ou invalide",IF(D1004="",IF(A1004="BL","Client manquant",IF(A1004="BR","Fournisseur manquant","Service manquant")),IF(IF(A1004="BL",ISNA(MATCH(D1004,cl_code,0)),IF(A1004="BR",ISNA(MATCH(D1004,fo_code,0)),ISNA(MATCH(D1004,p_services,0)))),IF(A1004="BL","Client inconnu",IF(A1004="BR","Fournisseur inconnu","Service inconnu")),IF(H1004="","Article manquant",IF(ISNA(MATCH(H1004,art_ref,0)),"Article inconnu",IF(OR(NOT(ISNUMBER(L1004)),N(L1004)&lt;=0),"Quantité invalide",IF(AND(K1004&lt;&gt;"",OR(NOT(ISNUMBER(K1004)),N(K1004)&lt;=0)),"Qté commandée invalide",IF(AG1004&lt;SUMPRODUCT(MAX((A$6:A1003=A1004)*AG$6:AG1003)),"Date antérieure au bon précédent",IF(AND(A1004&lt;&gt;"BR",ISNUMBER(M1004),N(M1004)&gt;0),IF(A1004="BL","Livré plus que commandé","Sorti plus que demandé"),"OK"))))))))))))</f>
        <v/>
      </c>
      <c r="Y1004" s="57" t="str">
        <f>IF(AND(OR(A1004="BL",A1004="BR",A1004="BS"),AG1004&gt;0,D1004&lt;&gt;""),A1004&amp;"|"&amp;AG1004&amp;"|"&amp;D1004&amp;"|"&amp;F1004,"")</f>
        <v/>
      </c>
      <c r="Z1004" s="57" t="str">
        <f>IF(Y1004="","",IF(COUNTIF(Y$6:Y1003,Y1004)=0,1,0))</f>
        <v/>
      </c>
      <c r="AA1004" s="57" t="str">
        <f>IF(Y1004="","",IF(Z1004=1,COUNTIFS(A$6:A1004,A1004,Z$6:Z1004,1),INDEX(AA$6:AA1003,MATCH(Y1004,Y$6:Y1003,0))))</f>
        <v/>
      </c>
      <c r="AB1004" s="57" t="str">
        <f>IF(B1004="","",COUNTIF(B$6:B1004,B1004))</f>
        <v/>
      </c>
      <c r="AC1004" s="57" t="str">
        <f>IF(B1004="","",B1004&amp;"#"&amp;AB1004)</f>
        <v/>
      </c>
      <c r="AD1004" s="57" t="str">
        <f>IF(Z1004=1,A1004&amp;AA1004,"")</f>
        <v/>
      </c>
      <c r="AE1004" s="57" t="str">
        <f>IF(B1004="","",YEAR(C1004))</f>
        <v/>
      </c>
      <c r="AF1004" s="57" t="str">
        <f>IF(B1004="","",MONTH(C1004))</f>
        <v/>
      </c>
      <c r="AG1004" s="57">
        <f>IF(ISNUMBER(C1004),C1004,0)</f>
        <v>0.0</v>
      </c>
      <c r="AH1004" s="57" t="str">
        <f>IF(N(W1004)&gt;0,COUNTIF(W$6:W1004,"&gt;0"),"")</f>
        <v/>
      </c>
      <c r="AI1004" s="57" t="str">
        <f>IF(Z1004=1,COUNTIF(Z$6:Z1004,1),"")</f>
        <v/>
      </c>
    </row>
    <row r="1005">
      <c r="A1005" s="54" t="n"/>
      <c r="B1005" s="55" t="str">
        <f>IF(AA1005="","",A1005&amp;"-"&amp;RIGHT("000"&amp;AA1005,4))</f>
        <v/>
      </c>
      <c r="C1005" s="56" t="n"/>
      <c r="D1005" s="54" t="n"/>
      <c r="E1005" s="57" t="str">
        <f>IF(D1005="","",IF(A1005="BL",IFERROR(INDEX(cl_name,MATCH(D1005,cl_code,0))&amp;"","Client inconnu"),IF(A1005="BR",IFERROR(INDEX(fo_name,MATCH(D1005,fo_code,0))&amp;"","Fournisseur inconnu"),IF(A1005="BS",IF(ISNA(MATCH(D1005,p_services,0)),"Service inconnu",D1005&amp;""),""))))</f>
        <v/>
      </c>
      <c r="F1005" s="58" t="n"/>
      <c r="G1005" s="58" t="n"/>
      <c r="H1005" s="59" t="n"/>
      <c r="I1005" s="57" t="str">
        <f>IF(H1005="","",IFERROR(INDEX(art_des,MATCH(H1005,art_ref,0))&amp;"","Article inconnu"))</f>
        <v/>
      </c>
      <c r="J1005" s="60" t="str">
        <f>IF(H1005="","",IFERROR(INDEX(art_unit,MATCH(H1005,art_ref,0))&amp;"",""))</f>
        <v/>
      </c>
      <c r="K1005" s="59" t="n"/>
      <c r="L1005" s="59" t="n"/>
      <c r="M1005" s="61" t="str">
        <f>IF(OR(B1005="",NOT(ISNUMBER(K1005)),NOT(ISNUMBER(L1005))),"",IF(OR(K1005&lt;=0,L1005&lt;=0),"",ROUND(L1005-K1005,6)))</f>
        <v/>
      </c>
      <c r="N1005" s="58" t="n"/>
      <c r="O1005" s="62" t="n"/>
      <c r="P1005" s="63" t="str">
        <f>IF(OR(B1005="",NOT(ISNUMBER(L1005))),"",IF(L1005&lt;=0,"",IFERROR(ROUND(L1005*N(INDEX(art_w,MATCH(H1005,art_ref,0))),3),"")))</f>
        <v/>
      </c>
      <c r="Q1005" s="59" t="n"/>
      <c r="R1005" s="54" t="n"/>
      <c r="S1005" s="59" t="n"/>
      <c r="T1005" s="59" t="n"/>
      <c r="U1005" s="64" t="str">
        <f>IF(OR(B1005="",H1005=""),"",IFERROR(IF(A1005="BL",IF(N(INDEX(art_price,MATCH(H1005,art_ref,0)))=0,"",N(INDEX(art_price,MATCH(H1005,art_ref,0)))),IF(N(INDEX(art_cost,MATCH(H1005,art_ref,0)))=0,"",N(INDEX(art_cost,MATCH(H1005,art_ref,0))))),""))</f>
        <v/>
      </c>
      <c r="V1005" s="64" t="str">
        <f>IF(OR(U1005="",NOT(ISNUMBER(L1005))),"",IF(L1005&lt;=0,"",ROUND(L1005*U1005,2)))</f>
        <v/>
      </c>
      <c r="W1005" s="60" t="str">
        <f>IF(AND(B1005&lt;&gt;"",A1005&lt;&gt;"BS",F1005&lt;&gt;"",H1005&lt;&gt;"",ISNUMBER(K1005),ISNUMBER(L1005)),IF(AND(K1005&gt;0,L1005&gt;0,K1005-L1005&gt;0,COUNTIFS(A1006:A$2005,A1005,F1006:F$2005,F1005,H1006:H$2005,H1005,AA1006:AA$2005,"&gt;0")=0),ROUND(K1005-L1005,6),""),"")</f>
        <v/>
      </c>
      <c r="X1005" s="60" t="str">
        <f>IF(AND(A1005="",C1005="",D1005="",H1005="",L1005=""),"",IF(A1005="","Type manquant",IF(AND(A1005&lt;&gt;"BL",A1005&lt;&gt;"BR",A1005&lt;&gt;"BS"),"Type inconnu (BL, BR ou BS)",IF(AG1005=0,"Date manquante ou invalide",IF(D1005="",IF(A1005="BL","Client manquant",IF(A1005="BR","Fournisseur manquant","Service manquant")),IF(IF(A1005="BL",ISNA(MATCH(D1005,cl_code,0)),IF(A1005="BR",ISNA(MATCH(D1005,fo_code,0)),ISNA(MATCH(D1005,p_services,0)))),IF(A1005="BL","Client inconnu",IF(A1005="BR","Fournisseur inconnu","Service inconnu")),IF(H1005="","Article manquant",IF(ISNA(MATCH(H1005,art_ref,0)),"Article inconnu",IF(OR(NOT(ISNUMBER(L1005)),N(L1005)&lt;=0),"Quantité invalide",IF(AND(K1005&lt;&gt;"",OR(NOT(ISNUMBER(K1005)),N(K1005)&lt;=0)),"Qté commandée invalide",IF(AG1005&lt;SUMPRODUCT(MAX((A$6:A1004=A1005)*AG$6:AG1004)),"Date antérieure au bon précédent",IF(AND(A1005&lt;&gt;"BR",ISNUMBER(M1005),N(M1005)&gt;0),IF(A1005="BL","Livré plus que commandé","Sorti plus que demandé"),"OK"))))))))))))</f>
        <v/>
      </c>
      <c r="Y1005" s="57" t="str">
        <f>IF(AND(OR(A1005="BL",A1005="BR",A1005="BS"),AG1005&gt;0,D1005&lt;&gt;""),A1005&amp;"|"&amp;AG1005&amp;"|"&amp;D1005&amp;"|"&amp;F1005,"")</f>
        <v/>
      </c>
      <c r="Z1005" s="57" t="str">
        <f>IF(Y1005="","",IF(COUNTIF(Y$6:Y1004,Y1005)=0,1,0))</f>
        <v/>
      </c>
      <c r="AA1005" s="57" t="str">
        <f>IF(Y1005="","",IF(Z1005=1,COUNTIFS(A$6:A1005,A1005,Z$6:Z1005,1),INDEX(AA$6:AA1004,MATCH(Y1005,Y$6:Y1004,0))))</f>
        <v/>
      </c>
      <c r="AB1005" s="57" t="str">
        <f>IF(B1005="","",COUNTIF(B$6:B1005,B1005))</f>
        <v/>
      </c>
      <c r="AC1005" s="57" t="str">
        <f>IF(B1005="","",B1005&amp;"#"&amp;AB1005)</f>
        <v/>
      </c>
      <c r="AD1005" s="57" t="str">
        <f>IF(Z1005=1,A1005&amp;AA1005,"")</f>
        <v/>
      </c>
      <c r="AE1005" s="57" t="str">
        <f>IF(B1005="","",YEAR(C1005))</f>
        <v/>
      </c>
      <c r="AF1005" s="57" t="str">
        <f>IF(B1005="","",MONTH(C1005))</f>
        <v/>
      </c>
      <c r="AG1005" s="57">
        <f>IF(ISNUMBER(C1005),C1005,0)</f>
        <v>0.0</v>
      </c>
      <c r="AH1005" s="57" t="str">
        <f>IF(N(W1005)&gt;0,COUNTIF(W$6:W1005,"&gt;0"),"")</f>
        <v/>
      </c>
      <c r="AI1005" s="57" t="str">
        <f>IF(Z1005=1,COUNTIF(Z$6:Z1005,1),"")</f>
        <v/>
      </c>
    </row>
    <row r="1006">
      <c r="A1006" s="54" t="n"/>
      <c r="B1006" s="55" t="str">
        <f>IF(AA1006="","",A1006&amp;"-"&amp;RIGHT("000"&amp;AA1006,4))</f>
        <v/>
      </c>
      <c r="C1006" s="56" t="n"/>
      <c r="D1006" s="54" t="n"/>
      <c r="E1006" s="57" t="str">
        <f>IF(D1006="","",IF(A1006="BL",IFERROR(INDEX(cl_name,MATCH(D1006,cl_code,0))&amp;"","Client inconnu"),IF(A1006="BR",IFERROR(INDEX(fo_name,MATCH(D1006,fo_code,0))&amp;"","Fournisseur inconnu"),IF(A1006="BS",IF(ISNA(MATCH(D1006,p_services,0)),"Service inconnu",D1006&amp;""),""))))</f>
        <v/>
      </c>
      <c r="F1006" s="58" t="n"/>
      <c r="G1006" s="58" t="n"/>
      <c r="H1006" s="59" t="n"/>
      <c r="I1006" s="57" t="str">
        <f>IF(H1006="","",IFERROR(INDEX(art_des,MATCH(H1006,art_ref,0))&amp;"","Article inconnu"))</f>
        <v/>
      </c>
      <c r="J1006" s="60" t="str">
        <f>IF(H1006="","",IFERROR(INDEX(art_unit,MATCH(H1006,art_ref,0))&amp;"",""))</f>
        <v/>
      </c>
      <c r="K1006" s="59" t="n"/>
      <c r="L1006" s="59" t="n"/>
      <c r="M1006" s="61" t="str">
        <f>IF(OR(B1006="",NOT(ISNUMBER(K1006)),NOT(ISNUMBER(L1006))),"",IF(OR(K1006&lt;=0,L1006&lt;=0),"",ROUND(L1006-K1006,6)))</f>
        <v/>
      </c>
      <c r="N1006" s="58" t="n"/>
      <c r="O1006" s="62" t="n"/>
      <c r="P1006" s="63" t="str">
        <f>IF(OR(B1006="",NOT(ISNUMBER(L1006))),"",IF(L1006&lt;=0,"",IFERROR(ROUND(L1006*N(INDEX(art_w,MATCH(H1006,art_ref,0))),3),"")))</f>
        <v/>
      </c>
      <c r="Q1006" s="59" t="n"/>
      <c r="R1006" s="54" t="n"/>
      <c r="S1006" s="59" t="n"/>
      <c r="T1006" s="59" t="n"/>
      <c r="U1006" s="64" t="str">
        <f>IF(OR(B1006="",H1006=""),"",IFERROR(IF(A1006="BL",IF(N(INDEX(art_price,MATCH(H1006,art_ref,0)))=0,"",N(INDEX(art_price,MATCH(H1006,art_ref,0)))),IF(N(INDEX(art_cost,MATCH(H1006,art_ref,0)))=0,"",N(INDEX(art_cost,MATCH(H1006,art_ref,0))))),""))</f>
        <v/>
      </c>
      <c r="V1006" s="64" t="str">
        <f>IF(OR(U1006="",NOT(ISNUMBER(L1006))),"",IF(L1006&lt;=0,"",ROUND(L1006*U1006,2)))</f>
        <v/>
      </c>
      <c r="W1006" s="60" t="str">
        <f>IF(AND(B1006&lt;&gt;"",A1006&lt;&gt;"BS",F1006&lt;&gt;"",H1006&lt;&gt;"",ISNUMBER(K1006),ISNUMBER(L1006)),IF(AND(K1006&gt;0,L1006&gt;0,K1006-L1006&gt;0,COUNTIFS(A1007:A$2005,A1006,F1007:F$2005,F1006,H1007:H$2005,H1006,AA1007:AA$2005,"&gt;0")=0),ROUND(K1006-L1006,6),""),"")</f>
        <v/>
      </c>
      <c r="X1006" s="60" t="str">
        <f>IF(AND(A1006="",C1006="",D1006="",H1006="",L1006=""),"",IF(A1006="","Type manquant",IF(AND(A1006&lt;&gt;"BL",A1006&lt;&gt;"BR",A1006&lt;&gt;"BS"),"Type inconnu (BL, BR ou BS)",IF(AG1006=0,"Date manquante ou invalide",IF(D1006="",IF(A1006="BL","Client manquant",IF(A1006="BR","Fournisseur manquant","Service manquant")),IF(IF(A1006="BL",ISNA(MATCH(D1006,cl_code,0)),IF(A1006="BR",ISNA(MATCH(D1006,fo_code,0)),ISNA(MATCH(D1006,p_services,0)))),IF(A1006="BL","Client inconnu",IF(A1006="BR","Fournisseur inconnu","Service inconnu")),IF(H1006="","Article manquant",IF(ISNA(MATCH(H1006,art_ref,0)),"Article inconnu",IF(OR(NOT(ISNUMBER(L1006)),N(L1006)&lt;=0),"Quantité invalide",IF(AND(K1006&lt;&gt;"",OR(NOT(ISNUMBER(K1006)),N(K1006)&lt;=0)),"Qté commandée invalide",IF(AG1006&lt;SUMPRODUCT(MAX((A$6:A1005=A1006)*AG$6:AG1005)),"Date antérieure au bon précédent",IF(AND(A1006&lt;&gt;"BR",ISNUMBER(M1006),N(M1006)&gt;0),IF(A1006="BL","Livré plus que commandé","Sorti plus que demandé"),"OK"))))))))))))</f>
        <v/>
      </c>
      <c r="Y1006" s="57" t="str">
        <f>IF(AND(OR(A1006="BL",A1006="BR",A1006="BS"),AG1006&gt;0,D1006&lt;&gt;""),A1006&amp;"|"&amp;AG1006&amp;"|"&amp;D1006&amp;"|"&amp;F1006,"")</f>
        <v/>
      </c>
      <c r="Z1006" s="57" t="str">
        <f>IF(Y1006="","",IF(COUNTIF(Y$6:Y1005,Y1006)=0,1,0))</f>
        <v/>
      </c>
      <c r="AA1006" s="57" t="str">
        <f>IF(Y1006="","",IF(Z1006=1,COUNTIFS(A$6:A1006,A1006,Z$6:Z1006,1),INDEX(AA$6:AA1005,MATCH(Y1006,Y$6:Y1005,0))))</f>
        <v/>
      </c>
      <c r="AB1006" s="57" t="str">
        <f>IF(B1006="","",COUNTIF(B$6:B1006,B1006))</f>
        <v/>
      </c>
      <c r="AC1006" s="57" t="str">
        <f>IF(B1006="","",B1006&amp;"#"&amp;AB1006)</f>
        <v/>
      </c>
      <c r="AD1006" s="57" t="str">
        <f>IF(Z1006=1,A1006&amp;AA1006,"")</f>
        <v/>
      </c>
      <c r="AE1006" s="57" t="str">
        <f>IF(B1006="","",YEAR(C1006))</f>
        <v/>
      </c>
      <c r="AF1006" s="57" t="str">
        <f>IF(B1006="","",MONTH(C1006))</f>
        <v/>
      </c>
      <c r="AG1006" s="57">
        <f>IF(ISNUMBER(C1006),C1006,0)</f>
        <v>0.0</v>
      </c>
      <c r="AH1006" s="57" t="str">
        <f>IF(N(W1006)&gt;0,COUNTIF(W$6:W1006,"&gt;0"),"")</f>
        <v/>
      </c>
      <c r="AI1006" s="57" t="str">
        <f>IF(Z1006=1,COUNTIF(Z$6:Z1006,1),"")</f>
        <v/>
      </c>
    </row>
    <row r="1007">
      <c r="A1007" s="54" t="n"/>
      <c r="B1007" s="55" t="str">
        <f>IF(AA1007="","",A1007&amp;"-"&amp;RIGHT("000"&amp;AA1007,4))</f>
        <v/>
      </c>
      <c r="C1007" s="56" t="n"/>
      <c r="D1007" s="54" t="n"/>
      <c r="E1007" s="57" t="str">
        <f>IF(D1007="","",IF(A1007="BL",IFERROR(INDEX(cl_name,MATCH(D1007,cl_code,0))&amp;"","Client inconnu"),IF(A1007="BR",IFERROR(INDEX(fo_name,MATCH(D1007,fo_code,0))&amp;"","Fournisseur inconnu"),IF(A1007="BS",IF(ISNA(MATCH(D1007,p_services,0)),"Service inconnu",D1007&amp;""),""))))</f>
        <v/>
      </c>
      <c r="F1007" s="58" t="n"/>
      <c r="G1007" s="58" t="n"/>
      <c r="H1007" s="59" t="n"/>
      <c r="I1007" s="57" t="str">
        <f>IF(H1007="","",IFERROR(INDEX(art_des,MATCH(H1007,art_ref,0))&amp;"","Article inconnu"))</f>
        <v/>
      </c>
      <c r="J1007" s="60" t="str">
        <f>IF(H1007="","",IFERROR(INDEX(art_unit,MATCH(H1007,art_ref,0))&amp;"",""))</f>
        <v/>
      </c>
      <c r="K1007" s="59" t="n"/>
      <c r="L1007" s="59" t="n"/>
      <c r="M1007" s="61" t="str">
        <f>IF(OR(B1007="",NOT(ISNUMBER(K1007)),NOT(ISNUMBER(L1007))),"",IF(OR(K1007&lt;=0,L1007&lt;=0),"",ROUND(L1007-K1007,6)))</f>
        <v/>
      </c>
      <c r="N1007" s="58" t="n"/>
      <c r="O1007" s="62" t="n"/>
      <c r="P1007" s="63" t="str">
        <f>IF(OR(B1007="",NOT(ISNUMBER(L1007))),"",IF(L1007&lt;=0,"",IFERROR(ROUND(L1007*N(INDEX(art_w,MATCH(H1007,art_ref,0))),3),"")))</f>
        <v/>
      </c>
      <c r="Q1007" s="59" t="n"/>
      <c r="R1007" s="54" t="n"/>
      <c r="S1007" s="59" t="n"/>
      <c r="T1007" s="59" t="n"/>
      <c r="U1007" s="64" t="str">
        <f>IF(OR(B1007="",H1007=""),"",IFERROR(IF(A1007="BL",IF(N(INDEX(art_price,MATCH(H1007,art_ref,0)))=0,"",N(INDEX(art_price,MATCH(H1007,art_ref,0)))),IF(N(INDEX(art_cost,MATCH(H1007,art_ref,0)))=0,"",N(INDEX(art_cost,MATCH(H1007,art_ref,0))))),""))</f>
        <v/>
      </c>
      <c r="V1007" s="64" t="str">
        <f>IF(OR(U1007="",NOT(ISNUMBER(L1007))),"",IF(L1007&lt;=0,"",ROUND(L1007*U1007,2)))</f>
        <v/>
      </c>
      <c r="W1007" s="60" t="str">
        <f>IF(AND(B1007&lt;&gt;"",A1007&lt;&gt;"BS",F1007&lt;&gt;"",H1007&lt;&gt;"",ISNUMBER(K1007),ISNUMBER(L1007)),IF(AND(K1007&gt;0,L1007&gt;0,K1007-L1007&gt;0,COUNTIFS(A1008:A$2005,A1007,F1008:F$2005,F1007,H1008:H$2005,H1007,AA1008:AA$2005,"&gt;0")=0),ROUND(K1007-L1007,6),""),"")</f>
        <v/>
      </c>
      <c r="X1007" s="60" t="str">
        <f>IF(AND(A1007="",C1007="",D1007="",H1007="",L1007=""),"",IF(A1007="","Type manquant",IF(AND(A1007&lt;&gt;"BL",A1007&lt;&gt;"BR",A1007&lt;&gt;"BS"),"Type inconnu (BL, BR ou BS)",IF(AG1007=0,"Date manquante ou invalide",IF(D1007="",IF(A1007="BL","Client manquant",IF(A1007="BR","Fournisseur manquant","Service manquant")),IF(IF(A1007="BL",ISNA(MATCH(D1007,cl_code,0)),IF(A1007="BR",ISNA(MATCH(D1007,fo_code,0)),ISNA(MATCH(D1007,p_services,0)))),IF(A1007="BL","Client inconnu",IF(A1007="BR","Fournisseur inconnu","Service inconnu")),IF(H1007="","Article manquant",IF(ISNA(MATCH(H1007,art_ref,0)),"Article inconnu",IF(OR(NOT(ISNUMBER(L1007)),N(L1007)&lt;=0),"Quantité invalide",IF(AND(K1007&lt;&gt;"",OR(NOT(ISNUMBER(K1007)),N(K1007)&lt;=0)),"Qté commandée invalide",IF(AG1007&lt;SUMPRODUCT(MAX((A$6:A1006=A1007)*AG$6:AG1006)),"Date antérieure au bon précédent",IF(AND(A1007&lt;&gt;"BR",ISNUMBER(M1007),N(M1007)&gt;0),IF(A1007="BL","Livré plus que commandé","Sorti plus que demandé"),"OK"))))))))))))</f>
        <v/>
      </c>
      <c r="Y1007" s="57" t="str">
        <f>IF(AND(OR(A1007="BL",A1007="BR",A1007="BS"),AG1007&gt;0,D1007&lt;&gt;""),A1007&amp;"|"&amp;AG1007&amp;"|"&amp;D1007&amp;"|"&amp;F1007,"")</f>
        <v/>
      </c>
      <c r="Z1007" s="57" t="str">
        <f>IF(Y1007="","",IF(COUNTIF(Y$6:Y1006,Y1007)=0,1,0))</f>
        <v/>
      </c>
      <c r="AA1007" s="57" t="str">
        <f>IF(Y1007="","",IF(Z1007=1,COUNTIFS(A$6:A1007,A1007,Z$6:Z1007,1),INDEX(AA$6:AA1006,MATCH(Y1007,Y$6:Y1006,0))))</f>
        <v/>
      </c>
      <c r="AB1007" s="57" t="str">
        <f>IF(B1007="","",COUNTIF(B$6:B1007,B1007))</f>
        <v/>
      </c>
      <c r="AC1007" s="57" t="str">
        <f>IF(B1007="","",B1007&amp;"#"&amp;AB1007)</f>
        <v/>
      </c>
      <c r="AD1007" s="57" t="str">
        <f>IF(Z1007=1,A1007&amp;AA1007,"")</f>
        <v/>
      </c>
      <c r="AE1007" s="57" t="str">
        <f>IF(B1007="","",YEAR(C1007))</f>
        <v/>
      </c>
      <c r="AF1007" s="57" t="str">
        <f>IF(B1007="","",MONTH(C1007))</f>
        <v/>
      </c>
      <c r="AG1007" s="57">
        <f>IF(ISNUMBER(C1007),C1007,0)</f>
        <v>0.0</v>
      </c>
      <c r="AH1007" s="57" t="str">
        <f>IF(N(W1007)&gt;0,COUNTIF(W$6:W1007,"&gt;0"),"")</f>
        <v/>
      </c>
      <c r="AI1007" s="57" t="str">
        <f>IF(Z1007=1,COUNTIF(Z$6:Z1007,1),"")</f>
        <v/>
      </c>
    </row>
    <row r="1008">
      <c r="A1008" s="54" t="n"/>
      <c r="B1008" s="55" t="str">
        <f>IF(AA1008="","",A1008&amp;"-"&amp;RIGHT("000"&amp;AA1008,4))</f>
        <v/>
      </c>
      <c r="C1008" s="56" t="n"/>
      <c r="D1008" s="54" t="n"/>
      <c r="E1008" s="57" t="str">
        <f>IF(D1008="","",IF(A1008="BL",IFERROR(INDEX(cl_name,MATCH(D1008,cl_code,0))&amp;"","Client inconnu"),IF(A1008="BR",IFERROR(INDEX(fo_name,MATCH(D1008,fo_code,0))&amp;"","Fournisseur inconnu"),IF(A1008="BS",IF(ISNA(MATCH(D1008,p_services,0)),"Service inconnu",D1008&amp;""),""))))</f>
        <v/>
      </c>
      <c r="F1008" s="58" t="n"/>
      <c r="G1008" s="58" t="n"/>
      <c r="H1008" s="59" t="n"/>
      <c r="I1008" s="57" t="str">
        <f>IF(H1008="","",IFERROR(INDEX(art_des,MATCH(H1008,art_ref,0))&amp;"","Article inconnu"))</f>
        <v/>
      </c>
      <c r="J1008" s="60" t="str">
        <f>IF(H1008="","",IFERROR(INDEX(art_unit,MATCH(H1008,art_ref,0))&amp;"",""))</f>
        <v/>
      </c>
      <c r="K1008" s="59" t="n"/>
      <c r="L1008" s="59" t="n"/>
      <c r="M1008" s="61" t="str">
        <f>IF(OR(B1008="",NOT(ISNUMBER(K1008)),NOT(ISNUMBER(L1008))),"",IF(OR(K1008&lt;=0,L1008&lt;=0),"",ROUND(L1008-K1008,6)))</f>
        <v/>
      </c>
      <c r="N1008" s="58" t="n"/>
      <c r="O1008" s="62" t="n"/>
      <c r="P1008" s="63" t="str">
        <f>IF(OR(B1008="",NOT(ISNUMBER(L1008))),"",IF(L1008&lt;=0,"",IFERROR(ROUND(L1008*N(INDEX(art_w,MATCH(H1008,art_ref,0))),3),"")))</f>
        <v/>
      </c>
      <c r="Q1008" s="59" t="n"/>
      <c r="R1008" s="54" t="n"/>
      <c r="S1008" s="59" t="n"/>
      <c r="T1008" s="59" t="n"/>
      <c r="U1008" s="64" t="str">
        <f>IF(OR(B1008="",H1008=""),"",IFERROR(IF(A1008="BL",IF(N(INDEX(art_price,MATCH(H1008,art_ref,0)))=0,"",N(INDEX(art_price,MATCH(H1008,art_ref,0)))),IF(N(INDEX(art_cost,MATCH(H1008,art_ref,0)))=0,"",N(INDEX(art_cost,MATCH(H1008,art_ref,0))))),""))</f>
        <v/>
      </c>
      <c r="V1008" s="64" t="str">
        <f>IF(OR(U1008="",NOT(ISNUMBER(L1008))),"",IF(L1008&lt;=0,"",ROUND(L1008*U1008,2)))</f>
        <v/>
      </c>
      <c r="W1008" s="60" t="str">
        <f>IF(AND(B1008&lt;&gt;"",A1008&lt;&gt;"BS",F1008&lt;&gt;"",H1008&lt;&gt;"",ISNUMBER(K1008),ISNUMBER(L1008)),IF(AND(K1008&gt;0,L1008&gt;0,K1008-L1008&gt;0,COUNTIFS(A1009:A$2005,A1008,F1009:F$2005,F1008,H1009:H$2005,H1008,AA1009:AA$2005,"&gt;0")=0),ROUND(K1008-L1008,6),""),"")</f>
        <v/>
      </c>
      <c r="X1008" s="60" t="str">
        <f>IF(AND(A1008="",C1008="",D1008="",H1008="",L1008=""),"",IF(A1008="","Type manquant",IF(AND(A1008&lt;&gt;"BL",A1008&lt;&gt;"BR",A1008&lt;&gt;"BS"),"Type inconnu (BL, BR ou BS)",IF(AG1008=0,"Date manquante ou invalide",IF(D1008="",IF(A1008="BL","Client manquant",IF(A1008="BR","Fournisseur manquant","Service manquant")),IF(IF(A1008="BL",ISNA(MATCH(D1008,cl_code,0)),IF(A1008="BR",ISNA(MATCH(D1008,fo_code,0)),ISNA(MATCH(D1008,p_services,0)))),IF(A1008="BL","Client inconnu",IF(A1008="BR","Fournisseur inconnu","Service inconnu")),IF(H1008="","Article manquant",IF(ISNA(MATCH(H1008,art_ref,0)),"Article inconnu",IF(OR(NOT(ISNUMBER(L1008)),N(L1008)&lt;=0),"Quantité invalide",IF(AND(K1008&lt;&gt;"",OR(NOT(ISNUMBER(K1008)),N(K1008)&lt;=0)),"Qté commandée invalide",IF(AG1008&lt;SUMPRODUCT(MAX((A$6:A1007=A1008)*AG$6:AG1007)),"Date antérieure au bon précédent",IF(AND(A1008&lt;&gt;"BR",ISNUMBER(M1008),N(M1008)&gt;0),IF(A1008="BL","Livré plus que commandé","Sorti plus que demandé"),"OK"))))))))))))</f>
        <v/>
      </c>
      <c r="Y1008" s="57" t="str">
        <f>IF(AND(OR(A1008="BL",A1008="BR",A1008="BS"),AG1008&gt;0,D1008&lt;&gt;""),A1008&amp;"|"&amp;AG1008&amp;"|"&amp;D1008&amp;"|"&amp;F1008,"")</f>
        <v/>
      </c>
      <c r="Z1008" s="57" t="str">
        <f>IF(Y1008="","",IF(COUNTIF(Y$6:Y1007,Y1008)=0,1,0))</f>
        <v/>
      </c>
      <c r="AA1008" s="57" t="str">
        <f>IF(Y1008="","",IF(Z1008=1,COUNTIFS(A$6:A1008,A1008,Z$6:Z1008,1),INDEX(AA$6:AA1007,MATCH(Y1008,Y$6:Y1007,0))))</f>
        <v/>
      </c>
      <c r="AB1008" s="57" t="str">
        <f>IF(B1008="","",COUNTIF(B$6:B1008,B1008))</f>
        <v/>
      </c>
      <c r="AC1008" s="57" t="str">
        <f>IF(B1008="","",B1008&amp;"#"&amp;AB1008)</f>
        <v/>
      </c>
      <c r="AD1008" s="57" t="str">
        <f>IF(Z1008=1,A1008&amp;AA1008,"")</f>
        <v/>
      </c>
      <c r="AE1008" s="57" t="str">
        <f>IF(B1008="","",YEAR(C1008))</f>
        <v/>
      </c>
      <c r="AF1008" s="57" t="str">
        <f>IF(B1008="","",MONTH(C1008))</f>
        <v/>
      </c>
      <c r="AG1008" s="57">
        <f>IF(ISNUMBER(C1008),C1008,0)</f>
        <v>0.0</v>
      </c>
      <c r="AH1008" s="57" t="str">
        <f>IF(N(W1008)&gt;0,COUNTIF(W$6:W1008,"&gt;0"),"")</f>
        <v/>
      </c>
      <c r="AI1008" s="57" t="str">
        <f>IF(Z1008=1,COUNTIF(Z$6:Z1008,1),"")</f>
        <v/>
      </c>
    </row>
    <row r="1009">
      <c r="A1009" s="54" t="n"/>
      <c r="B1009" s="55" t="str">
        <f>IF(AA1009="","",A1009&amp;"-"&amp;RIGHT("000"&amp;AA1009,4))</f>
        <v/>
      </c>
      <c r="C1009" s="56" t="n"/>
      <c r="D1009" s="54" t="n"/>
      <c r="E1009" s="57" t="str">
        <f>IF(D1009="","",IF(A1009="BL",IFERROR(INDEX(cl_name,MATCH(D1009,cl_code,0))&amp;"","Client inconnu"),IF(A1009="BR",IFERROR(INDEX(fo_name,MATCH(D1009,fo_code,0))&amp;"","Fournisseur inconnu"),IF(A1009="BS",IF(ISNA(MATCH(D1009,p_services,0)),"Service inconnu",D1009&amp;""),""))))</f>
        <v/>
      </c>
      <c r="F1009" s="58" t="n"/>
      <c r="G1009" s="58" t="n"/>
      <c r="H1009" s="59" t="n"/>
      <c r="I1009" s="57" t="str">
        <f>IF(H1009="","",IFERROR(INDEX(art_des,MATCH(H1009,art_ref,0))&amp;"","Article inconnu"))</f>
        <v/>
      </c>
      <c r="J1009" s="60" t="str">
        <f>IF(H1009="","",IFERROR(INDEX(art_unit,MATCH(H1009,art_ref,0))&amp;"",""))</f>
        <v/>
      </c>
      <c r="K1009" s="59" t="n"/>
      <c r="L1009" s="59" t="n"/>
      <c r="M1009" s="61" t="str">
        <f>IF(OR(B1009="",NOT(ISNUMBER(K1009)),NOT(ISNUMBER(L1009))),"",IF(OR(K1009&lt;=0,L1009&lt;=0),"",ROUND(L1009-K1009,6)))</f>
        <v/>
      </c>
      <c r="N1009" s="58" t="n"/>
      <c r="O1009" s="62" t="n"/>
      <c r="P1009" s="63" t="str">
        <f>IF(OR(B1009="",NOT(ISNUMBER(L1009))),"",IF(L1009&lt;=0,"",IFERROR(ROUND(L1009*N(INDEX(art_w,MATCH(H1009,art_ref,0))),3),"")))</f>
        <v/>
      </c>
      <c r="Q1009" s="59" t="n"/>
      <c r="R1009" s="54" t="n"/>
      <c r="S1009" s="59" t="n"/>
      <c r="T1009" s="59" t="n"/>
      <c r="U1009" s="64" t="str">
        <f>IF(OR(B1009="",H1009=""),"",IFERROR(IF(A1009="BL",IF(N(INDEX(art_price,MATCH(H1009,art_ref,0)))=0,"",N(INDEX(art_price,MATCH(H1009,art_ref,0)))),IF(N(INDEX(art_cost,MATCH(H1009,art_ref,0)))=0,"",N(INDEX(art_cost,MATCH(H1009,art_ref,0))))),""))</f>
        <v/>
      </c>
      <c r="V1009" s="64" t="str">
        <f>IF(OR(U1009="",NOT(ISNUMBER(L1009))),"",IF(L1009&lt;=0,"",ROUND(L1009*U1009,2)))</f>
        <v/>
      </c>
      <c r="W1009" s="60" t="str">
        <f>IF(AND(B1009&lt;&gt;"",A1009&lt;&gt;"BS",F1009&lt;&gt;"",H1009&lt;&gt;"",ISNUMBER(K1009),ISNUMBER(L1009)),IF(AND(K1009&gt;0,L1009&gt;0,K1009-L1009&gt;0,COUNTIFS(A1010:A$2005,A1009,F1010:F$2005,F1009,H1010:H$2005,H1009,AA1010:AA$2005,"&gt;0")=0),ROUND(K1009-L1009,6),""),"")</f>
        <v/>
      </c>
      <c r="X1009" s="60" t="str">
        <f>IF(AND(A1009="",C1009="",D1009="",H1009="",L1009=""),"",IF(A1009="","Type manquant",IF(AND(A1009&lt;&gt;"BL",A1009&lt;&gt;"BR",A1009&lt;&gt;"BS"),"Type inconnu (BL, BR ou BS)",IF(AG1009=0,"Date manquante ou invalide",IF(D1009="",IF(A1009="BL","Client manquant",IF(A1009="BR","Fournisseur manquant","Service manquant")),IF(IF(A1009="BL",ISNA(MATCH(D1009,cl_code,0)),IF(A1009="BR",ISNA(MATCH(D1009,fo_code,0)),ISNA(MATCH(D1009,p_services,0)))),IF(A1009="BL","Client inconnu",IF(A1009="BR","Fournisseur inconnu","Service inconnu")),IF(H1009="","Article manquant",IF(ISNA(MATCH(H1009,art_ref,0)),"Article inconnu",IF(OR(NOT(ISNUMBER(L1009)),N(L1009)&lt;=0),"Quantité invalide",IF(AND(K1009&lt;&gt;"",OR(NOT(ISNUMBER(K1009)),N(K1009)&lt;=0)),"Qté commandée invalide",IF(AG1009&lt;SUMPRODUCT(MAX((A$6:A1008=A1009)*AG$6:AG1008)),"Date antérieure au bon précédent",IF(AND(A1009&lt;&gt;"BR",ISNUMBER(M1009),N(M1009)&gt;0),IF(A1009="BL","Livré plus que commandé","Sorti plus que demandé"),"OK"))))))))))))</f>
        <v/>
      </c>
      <c r="Y1009" s="57" t="str">
        <f>IF(AND(OR(A1009="BL",A1009="BR",A1009="BS"),AG1009&gt;0,D1009&lt;&gt;""),A1009&amp;"|"&amp;AG1009&amp;"|"&amp;D1009&amp;"|"&amp;F1009,"")</f>
        <v/>
      </c>
      <c r="Z1009" s="57" t="str">
        <f>IF(Y1009="","",IF(COUNTIF(Y$6:Y1008,Y1009)=0,1,0))</f>
        <v/>
      </c>
      <c r="AA1009" s="57" t="str">
        <f>IF(Y1009="","",IF(Z1009=1,COUNTIFS(A$6:A1009,A1009,Z$6:Z1009,1),INDEX(AA$6:AA1008,MATCH(Y1009,Y$6:Y1008,0))))</f>
        <v/>
      </c>
      <c r="AB1009" s="57" t="str">
        <f>IF(B1009="","",COUNTIF(B$6:B1009,B1009))</f>
        <v/>
      </c>
      <c r="AC1009" s="57" t="str">
        <f>IF(B1009="","",B1009&amp;"#"&amp;AB1009)</f>
        <v/>
      </c>
      <c r="AD1009" s="57" t="str">
        <f>IF(Z1009=1,A1009&amp;AA1009,"")</f>
        <v/>
      </c>
      <c r="AE1009" s="57" t="str">
        <f>IF(B1009="","",YEAR(C1009))</f>
        <v/>
      </c>
      <c r="AF1009" s="57" t="str">
        <f>IF(B1009="","",MONTH(C1009))</f>
        <v/>
      </c>
      <c r="AG1009" s="57">
        <f>IF(ISNUMBER(C1009),C1009,0)</f>
        <v>0.0</v>
      </c>
      <c r="AH1009" s="57" t="str">
        <f>IF(N(W1009)&gt;0,COUNTIF(W$6:W1009,"&gt;0"),"")</f>
        <v/>
      </c>
      <c r="AI1009" s="57" t="str">
        <f>IF(Z1009=1,COUNTIF(Z$6:Z1009,1),"")</f>
        <v/>
      </c>
    </row>
    <row r="1010">
      <c r="A1010" s="54" t="n"/>
      <c r="B1010" s="55" t="str">
        <f>IF(AA1010="","",A1010&amp;"-"&amp;RIGHT("000"&amp;AA1010,4))</f>
        <v/>
      </c>
      <c r="C1010" s="56" t="n"/>
      <c r="D1010" s="54" t="n"/>
      <c r="E1010" s="57" t="str">
        <f>IF(D1010="","",IF(A1010="BL",IFERROR(INDEX(cl_name,MATCH(D1010,cl_code,0))&amp;"","Client inconnu"),IF(A1010="BR",IFERROR(INDEX(fo_name,MATCH(D1010,fo_code,0))&amp;"","Fournisseur inconnu"),IF(A1010="BS",IF(ISNA(MATCH(D1010,p_services,0)),"Service inconnu",D1010&amp;""),""))))</f>
        <v/>
      </c>
      <c r="F1010" s="58" t="n"/>
      <c r="G1010" s="58" t="n"/>
      <c r="H1010" s="59" t="n"/>
      <c r="I1010" s="57" t="str">
        <f>IF(H1010="","",IFERROR(INDEX(art_des,MATCH(H1010,art_ref,0))&amp;"","Article inconnu"))</f>
        <v/>
      </c>
      <c r="J1010" s="60" t="str">
        <f>IF(H1010="","",IFERROR(INDEX(art_unit,MATCH(H1010,art_ref,0))&amp;"",""))</f>
        <v/>
      </c>
      <c r="K1010" s="59" t="n"/>
      <c r="L1010" s="59" t="n"/>
      <c r="M1010" s="61" t="str">
        <f>IF(OR(B1010="",NOT(ISNUMBER(K1010)),NOT(ISNUMBER(L1010))),"",IF(OR(K1010&lt;=0,L1010&lt;=0),"",ROUND(L1010-K1010,6)))</f>
        <v/>
      </c>
      <c r="N1010" s="58" t="n"/>
      <c r="O1010" s="62" t="n"/>
      <c r="P1010" s="63" t="str">
        <f>IF(OR(B1010="",NOT(ISNUMBER(L1010))),"",IF(L1010&lt;=0,"",IFERROR(ROUND(L1010*N(INDEX(art_w,MATCH(H1010,art_ref,0))),3),"")))</f>
        <v/>
      </c>
      <c r="Q1010" s="59" t="n"/>
      <c r="R1010" s="54" t="n"/>
      <c r="S1010" s="59" t="n"/>
      <c r="T1010" s="59" t="n"/>
      <c r="U1010" s="64" t="str">
        <f>IF(OR(B1010="",H1010=""),"",IFERROR(IF(A1010="BL",IF(N(INDEX(art_price,MATCH(H1010,art_ref,0)))=0,"",N(INDEX(art_price,MATCH(H1010,art_ref,0)))),IF(N(INDEX(art_cost,MATCH(H1010,art_ref,0)))=0,"",N(INDEX(art_cost,MATCH(H1010,art_ref,0))))),""))</f>
        <v/>
      </c>
      <c r="V1010" s="64" t="str">
        <f>IF(OR(U1010="",NOT(ISNUMBER(L1010))),"",IF(L1010&lt;=0,"",ROUND(L1010*U1010,2)))</f>
        <v/>
      </c>
      <c r="W1010" s="60" t="str">
        <f>IF(AND(B1010&lt;&gt;"",A1010&lt;&gt;"BS",F1010&lt;&gt;"",H1010&lt;&gt;"",ISNUMBER(K1010),ISNUMBER(L1010)),IF(AND(K1010&gt;0,L1010&gt;0,K1010-L1010&gt;0,COUNTIFS(A1011:A$2005,A1010,F1011:F$2005,F1010,H1011:H$2005,H1010,AA1011:AA$2005,"&gt;0")=0),ROUND(K1010-L1010,6),""),"")</f>
        <v/>
      </c>
      <c r="X1010" s="60" t="str">
        <f>IF(AND(A1010="",C1010="",D1010="",H1010="",L1010=""),"",IF(A1010="","Type manquant",IF(AND(A1010&lt;&gt;"BL",A1010&lt;&gt;"BR",A1010&lt;&gt;"BS"),"Type inconnu (BL, BR ou BS)",IF(AG1010=0,"Date manquante ou invalide",IF(D1010="",IF(A1010="BL","Client manquant",IF(A1010="BR","Fournisseur manquant","Service manquant")),IF(IF(A1010="BL",ISNA(MATCH(D1010,cl_code,0)),IF(A1010="BR",ISNA(MATCH(D1010,fo_code,0)),ISNA(MATCH(D1010,p_services,0)))),IF(A1010="BL","Client inconnu",IF(A1010="BR","Fournisseur inconnu","Service inconnu")),IF(H1010="","Article manquant",IF(ISNA(MATCH(H1010,art_ref,0)),"Article inconnu",IF(OR(NOT(ISNUMBER(L1010)),N(L1010)&lt;=0),"Quantité invalide",IF(AND(K1010&lt;&gt;"",OR(NOT(ISNUMBER(K1010)),N(K1010)&lt;=0)),"Qté commandée invalide",IF(AG1010&lt;SUMPRODUCT(MAX((A$6:A1009=A1010)*AG$6:AG1009)),"Date antérieure au bon précédent",IF(AND(A1010&lt;&gt;"BR",ISNUMBER(M1010),N(M1010)&gt;0),IF(A1010="BL","Livré plus que commandé","Sorti plus que demandé"),"OK"))))))))))))</f>
        <v/>
      </c>
      <c r="Y1010" s="57" t="str">
        <f>IF(AND(OR(A1010="BL",A1010="BR",A1010="BS"),AG1010&gt;0,D1010&lt;&gt;""),A1010&amp;"|"&amp;AG1010&amp;"|"&amp;D1010&amp;"|"&amp;F1010,"")</f>
        <v/>
      </c>
      <c r="Z1010" s="57" t="str">
        <f>IF(Y1010="","",IF(COUNTIF(Y$6:Y1009,Y1010)=0,1,0))</f>
        <v/>
      </c>
      <c r="AA1010" s="57" t="str">
        <f>IF(Y1010="","",IF(Z1010=1,COUNTIFS(A$6:A1010,A1010,Z$6:Z1010,1),INDEX(AA$6:AA1009,MATCH(Y1010,Y$6:Y1009,0))))</f>
        <v/>
      </c>
      <c r="AB1010" s="57" t="str">
        <f>IF(B1010="","",COUNTIF(B$6:B1010,B1010))</f>
        <v/>
      </c>
      <c r="AC1010" s="57" t="str">
        <f>IF(B1010="","",B1010&amp;"#"&amp;AB1010)</f>
        <v/>
      </c>
      <c r="AD1010" s="57" t="str">
        <f>IF(Z1010=1,A1010&amp;AA1010,"")</f>
        <v/>
      </c>
      <c r="AE1010" s="57" t="str">
        <f>IF(B1010="","",YEAR(C1010))</f>
        <v/>
      </c>
      <c r="AF1010" s="57" t="str">
        <f>IF(B1010="","",MONTH(C1010))</f>
        <v/>
      </c>
      <c r="AG1010" s="57">
        <f>IF(ISNUMBER(C1010),C1010,0)</f>
        <v>0.0</v>
      </c>
      <c r="AH1010" s="57" t="str">
        <f>IF(N(W1010)&gt;0,COUNTIF(W$6:W1010,"&gt;0"),"")</f>
        <v/>
      </c>
      <c r="AI1010" s="57" t="str">
        <f>IF(Z1010=1,COUNTIF(Z$6:Z1010,1),"")</f>
        <v/>
      </c>
    </row>
    <row r="1011">
      <c r="A1011" s="54" t="n"/>
      <c r="B1011" s="55" t="str">
        <f>IF(AA1011="","",A1011&amp;"-"&amp;RIGHT("000"&amp;AA1011,4))</f>
        <v/>
      </c>
      <c r="C1011" s="56" t="n"/>
      <c r="D1011" s="54" t="n"/>
      <c r="E1011" s="57" t="str">
        <f>IF(D1011="","",IF(A1011="BL",IFERROR(INDEX(cl_name,MATCH(D1011,cl_code,0))&amp;"","Client inconnu"),IF(A1011="BR",IFERROR(INDEX(fo_name,MATCH(D1011,fo_code,0))&amp;"","Fournisseur inconnu"),IF(A1011="BS",IF(ISNA(MATCH(D1011,p_services,0)),"Service inconnu",D1011&amp;""),""))))</f>
        <v/>
      </c>
      <c r="F1011" s="58" t="n"/>
      <c r="G1011" s="58" t="n"/>
      <c r="H1011" s="59" t="n"/>
      <c r="I1011" s="57" t="str">
        <f>IF(H1011="","",IFERROR(INDEX(art_des,MATCH(H1011,art_ref,0))&amp;"","Article inconnu"))</f>
        <v/>
      </c>
      <c r="J1011" s="60" t="str">
        <f>IF(H1011="","",IFERROR(INDEX(art_unit,MATCH(H1011,art_ref,0))&amp;"",""))</f>
        <v/>
      </c>
      <c r="K1011" s="59" t="n"/>
      <c r="L1011" s="59" t="n"/>
      <c r="M1011" s="61" t="str">
        <f>IF(OR(B1011="",NOT(ISNUMBER(K1011)),NOT(ISNUMBER(L1011))),"",IF(OR(K1011&lt;=0,L1011&lt;=0),"",ROUND(L1011-K1011,6)))</f>
        <v/>
      </c>
      <c r="N1011" s="58" t="n"/>
      <c r="O1011" s="62" t="n"/>
      <c r="P1011" s="63" t="str">
        <f>IF(OR(B1011="",NOT(ISNUMBER(L1011))),"",IF(L1011&lt;=0,"",IFERROR(ROUND(L1011*N(INDEX(art_w,MATCH(H1011,art_ref,0))),3),"")))</f>
        <v/>
      </c>
      <c r="Q1011" s="59" t="n"/>
      <c r="R1011" s="54" t="n"/>
      <c r="S1011" s="59" t="n"/>
      <c r="T1011" s="59" t="n"/>
      <c r="U1011" s="64" t="str">
        <f>IF(OR(B1011="",H1011=""),"",IFERROR(IF(A1011="BL",IF(N(INDEX(art_price,MATCH(H1011,art_ref,0)))=0,"",N(INDEX(art_price,MATCH(H1011,art_ref,0)))),IF(N(INDEX(art_cost,MATCH(H1011,art_ref,0)))=0,"",N(INDEX(art_cost,MATCH(H1011,art_ref,0))))),""))</f>
        <v/>
      </c>
      <c r="V1011" s="64" t="str">
        <f>IF(OR(U1011="",NOT(ISNUMBER(L1011))),"",IF(L1011&lt;=0,"",ROUND(L1011*U1011,2)))</f>
        <v/>
      </c>
      <c r="W1011" s="60" t="str">
        <f>IF(AND(B1011&lt;&gt;"",A1011&lt;&gt;"BS",F1011&lt;&gt;"",H1011&lt;&gt;"",ISNUMBER(K1011),ISNUMBER(L1011)),IF(AND(K1011&gt;0,L1011&gt;0,K1011-L1011&gt;0,COUNTIFS(A1012:A$2005,A1011,F1012:F$2005,F1011,H1012:H$2005,H1011,AA1012:AA$2005,"&gt;0")=0),ROUND(K1011-L1011,6),""),"")</f>
        <v/>
      </c>
      <c r="X1011" s="60" t="str">
        <f>IF(AND(A1011="",C1011="",D1011="",H1011="",L1011=""),"",IF(A1011="","Type manquant",IF(AND(A1011&lt;&gt;"BL",A1011&lt;&gt;"BR",A1011&lt;&gt;"BS"),"Type inconnu (BL, BR ou BS)",IF(AG1011=0,"Date manquante ou invalide",IF(D1011="",IF(A1011="BL","Client manquant",IF(A1011="BR","Fournisseur manquant","Service manquant")),IF(IF(A1011="BL",ISNA(MATCH(D1011,cl_code,0)),IF(A1011="BR",ISNA(MATCH(D1011,fo_code,0)),ISNA(MATCH(D1011,p_services,0)))),IF(A1011="BL","Client inconnu",IF(A1011="BR","Fournisseur inconnu","Service inconnu")),IF(H1011="","Article manquant",IF(ISNA(MATCH(H1011,art_ref,0)),"Article inconnu",IF(OR(NOT(ISNUMBER(L1011)),N(L1011)&lt;=0),"Quantité invalide",IF(AND(K1011&lt;&gt;"",OR(NOT(ISNUMBER(K1011)),N(K1011)&lt;=0)),"Qté commandée invalide",IF(AG1011&lt;SUMPRODUCT(MAX((A$6:A1010=A1011)*AG$6:AG1010)),"Date antérieure au bon précédent",IF(AND(A1011&lt;&gt;"BR",ISNUMBER(M1011),N(M1011)&gt;0),IF(A1011="BL","Livré plus que commandé","Sorti plus que demandé"),"OK"))))))))))))</f>
        <v/>
      </c>
      <c r="Y1011" s="57" t="str">
        <f>IF(AND(OR(A1011="BL",A1011="BR",A1011="BS"),AG1011&gt;0,D1011&lt;&gt;""),A1011&amp;"|"&amp;AG1011&amp;"|"&amp;D1011&amp;"|"&amp;F1011,"")</f>
        <v/>
      </c>
      <c r="Z1011" s="57" t="str">
        <f>IF(Y1011="","",IF(COUNTIF(Y$6:Y1010,Y1011)=0,1,0))</f>
        <v/>
      </c>
      <c r="AA1011" s="57" t="str">
        <f>IF(Y1011="","",IF(Z1011=1,COUNTIFS(A$6:A1011,A1011,Z$6:Z1011,1),INDEX(AA$6:AA1010,MATCH(Y1011,Y$6:Y1010,0))))</f>
        <v/>
      </c>
      <c r="AB1011" s="57" t="str">
        <f>IF(B1011="","",COUNTIF(B$6:B1011,B1011))</f>
        <v/>
      </c>
      <c r="AC1011" s="57" t="str">
        <f>IF(B1011="","",B1011&amp;"#"&amp;AB1011)</f>
        <v/>
      </c>
      <c r="AD1011" s="57" t="str">
        <f>IF(Z1011=1,A1011&amp;AA1011,"")</f>
        <v/>
      </c>
      <c r="AE1011" s="57" t="str">
        <f>IF(B1011="","",YEAR(C1011))</f>
        <v/>
      </c>
      <c r="AF1011" s="57" t="str">
        <f>IF(B1011="","",MONTH(C1011))</f>
        <v/>
      </c>
      <c r="AG1011" s="57">
        <f>IF(ISNUMBER(C1011),C1011,0)</f>
        <v>0.0</v>
      </c>
      <c r="AH1011" s="57" t="str">
        <f>IF(N(W1011)&gt;0,COUNTIF(W$6:W1011,"&gt;0"),"")</f>
        <v/>
      </c>
      <c r="AI1011" s="57" t="str">
        <f>IF(Z1011=1,COUNTIF(Z$6:Z1011,1),"")</f>
        <v/>
      </c>
    </row>
    <row r="1012">
      <c r="A1012" s="54" t="n"/>
      <c r="B1012" s="55" t="str">
        <f>IF(AA1012="","",A1012&amp;"-"&amp;RIGHT("000"&amp;AA1012,4))</f>
        <v/>
      </c>
      <c r="C1012" s="56" t="n"/>
      <c r="D1012" s="54" t="n"/>
      <c r="E1012" s="57" t="str">
        <f>IF(D1012="","",IF(A1012="BL",IFERROR(INDEX(cl_name,MATCH(D1012,cl_code,0))&amp;"","Client inconnu"),IF(A1012="BR",IFERROR(INDEX(fo_name,MATCH(D1012,fo_code,0))&amp;"","Fournisseur inconnu"),IF(A1012="BS",IF(ISNA(MATCH(D1012,p_services,0)),"Service inconnu",D1012&amp;""),""))))</f>
        <v/>
      </c>
      <c r="F1012" s="58" t="n"/>
      <c r="G1012" s="58" t="n"/>
      <c r="H1012" s="59" t="n"/>
      <c r="I1012" s="57" t="str">
        <f>IF(H1012="","",IFERROR(INDEX(art_des,MATCH(H1012,art_ref,0))&amp;"","Article inconnu"))</f>
        <v/>
      </c>
      <c r="J1012" s="60" t="str">
        <f>IF(H1012="","",IFERROR(INDEX(art_unit,MATCH(H1012,art_ref,0))&amp;"",""))</f>
        <v/>
      </c>
      <c r="K1012" s="59" t="n"/>
      <c r="L1012" s="59" t="n"/>
      <c r="M1012" s="61" t="str">
        <f>IF(OR(B1012="",NOT(ISNUMBER(K1012)),NOT(ISNUMBER(L1012))),"",IF(OR(K1012&lt;=0,L1012&lt;=0),"",ROUND(L1012-K1012,6)))</f>
        <v/>
      </c>
      <c r="N1012" s="58" t="n"/>
      <c r="O1012" s="62" t="n"/>
      <c r="P1012" s="63" t="str">
        <f>IF(OR(B1012="",NOT(ISNUMBER(L1012))),"",IF(L1012&lt;=0,"",IFERROR(ROUND(L1012*N(INDEX(art_w,MATCH(H1012,art_ref,0))),3),"")))</f>
        <v/>
      </c>
      <c r="Q1012" s="59" t="n"/>
      <c r="R1012" s="54" t="n"/>
      <c r="S1012" s="59" t="n"/>
      <c r="T1012" s="59" t="n"/>
      <c r="U1012" s="64" t="str">
        <f>IF(OR(B1012="",H1012=""),"",IFERROR(IF(A1012="BL",IF(N(INDEX(art_price,MATCH(H1012,art_ref,0)))=0,"",N(INDEX(art_price,MATCH(H1012,art_ref,0)))),IF(N(INDEX(art_cost,MATCH(H1012,art_ref,0)))=0,"",N(INDEX(art_cost,MATCH(H1012,art_ref,0))))),""))</f>
        <v/>
      </c>
      <c r="V1012" s="64" t="str">
        <f>IF(OR(U1012="",NOT(ISNUMBER(L1012))),"",IF(L1012&lt;=0,"",ROUND(L1012*U1012,2)))</f>
        <v/>
      </c>
      <c r="W1012" s="60" t="str">
        <f>IF(AND(B1012&lt;&gt;"",A1012&lt;&gt;"BS",F1012&lt;&gt;"",H1012&lt;&gt;"",ISNUMBER(K1012),ISNUMBER(L1012)),IF(AND(K1012&gt;0,L1012&gt;0,K1012-L1012&gt;0,COUNTIFS(A1013:A$2005,A1012,F1013:F$2005,F1012,H1013:H$2005,H1012,AA1013:AA$2005,"&gt;0")=0),ROUND(K1012-L1012,6),""),"")</f>
        <v/>
      </c>
      <c r="X1012" s="60" t="str">
        <f>IF(AND(A1012="",C1012="",D1012="",H1012="",L1012=""),"",IF(A1012="","Type manquant",IF(AND(A1012&lt;&gt;"BL",A1012&lt;&gt;"BR",A1012&lt;&gt;"BS"),"Type inconnu (BL, BR ou BS)",IF(AG1012=0,"Date manquante ou invalide",IF(D1012="",IF(A1012="BL","Client manquant",IF(A1012="BR","Fournisseur manquant","Service manquant")),IF(IF(A1012="BL",ISNA(MATCH(D1012,cl_code,0)),IF(A1012="BR",ISNA(MATCH(D1012,fo_code,0)),ISNA(MATCH(D1012,p_services,0)))),IF(A1012="BL","Client inconnu",IF(A1012="BR","Fournisseur inconnu","Service inconnu")),IF(H1012="","Article manquant",IF(ISNA(MATCH(H1012,art_ref,0)),"Article inconnu",IF(OR(NOT(ISNUMBER(L1012)),N(L1012)&lt;=0),"Quantité invalide",IF(AND(K1012&lt;&gt;"",OR(NOT(ISNUMBER(K1012)),N(K1012)&lt;=0)),"Qté commandée invalide",IF(AG1012&lt;SUMPRODUCT(MAX((A$6:A1011=A1012)*AG$6:AG1011)),"Date antérieure au bon précédent",IF(AND(A1012&lt;&gt;"BR",ISNUMBER(M1012),N(M1012)&gt;0),IF(A1012="BL","Livré plus que commandé","Sorti plus que demandé"),"OK"))))))))))))</f>
        <v/>
      </c>
      <c r="Y1012" s="57" t="str">
        <f>IF(AND(OR(A1012="BL",A1012="BR",A1012="BS"),AG1012&gt;0,D1012&lt;&gt;""),A1012&amp;"|"&amp;AG1012&amp;"|"&amp;D1012&amp;"|"&amp;F1012,"")</f>
        <v/>
      </c>
      <c r="Z1012" s="57" t="str">
        <f>IF(Y1012="","",IF(COUNTIF(Y$6:Y1011,Y1012)=0,1,0))</f>
        <v/>
      </c>
      <c r="AA1012" s="57" t="str">
        <f>IF(Y1012="","",IF(Z1012=1,COUNTIFS(A$6:A1012,A1012,Z$6:Z1012,1),INDEX(AA$6:AA1011,MATCH(Y1012,Y$6:Y1011,0))))</f>
        <v/>
      </c>
      <c r="AB1012" s="57" t="str">
        <f>IF(B1012="","",COUNTIF(B$6:B1012,B1012))</f>
        <v/>
      </c>
      <c r="AC1012" s="57" t="str">
        <f>IF(B1012="","",B1012&amp;"#"&amp;AB1012)</f>
        <v/>
      </c>
      <c r="AD1012" s="57" t="str">
        <f>IF(Z1012=1,A1012&amp;AA1012,"")</f>
        <v/>
      </c>
      <c r="AE1012" s="57" t="str">
        <f>IF(B1012="","",YEAR(C1012))</f>
        <v/>
      </c>
      <c r="AF1012" s="57" t="str">
        <f>IF(B1012="","",MONTH(C1012))</f>
        <v/>
      </c>
      <c r="AG1012" s="57">
        <f>IF(ISNUMBER(C1012),C1012,0)</f>
        <v>0.0</v>
      </c>
      <c r="AH1012" s="57" t="str">
        <f>IF(N(W1012)&gt;0,COUNTIF(W$6:W1012,"&gt;0"),"")</f>
        <v/>
      </c>
      <c r="AI1012" s="57" t="str">
        <f>IF(Z1012=1,COUNTIF(Z$6:Z1012,1),"")</f>
        <v/>
      </c>
    </row>
    <row r="1013">
      <c r="A1013" s="54" t="n"/>
      <c r="B1013" s="55" t="str">
        <f>IF(AA1013="","",A1013&amp;"-"&amp;RIGHT("000"&amp;AA1013,4))</f>
        <v/>
      </c>
      <c r="C1013" s="56" t="n"/>
      <c r="D1013" s="54" t="n"/>
      <c r="E1013" s="57" t="str">
        <f>IF(D1013="","",IF(A1013="BL",IFERROR(INDEX(cl_name,MATCH(D1013,cl_code,0))&amp;"","Client inconnu"),IF(A1013="BR",IFERROR(INDEX(fo_name,MATCH(D1013,fo_code,0))&amp;"","Fournisseur inconnu"),IF(A1013="BS",IF(ISNA(MATCH(D1013,p_services,0)),"Service inconnu",D1013&amp;""),""))))</f>
        <v/>
      </c>
      <c r="F1013" s="58" t="n"/>
      <c r="G1013" s="58" t="n"/>
      <c r="H1013" s="59" t="n"/>
      <c r="I1013" s="57" t="str">
        <f>IF(H1013="","",IFERROR(INDEX(art_des,MATCH(H1013,art_ref,0))&amp;"","Article inconnu"))</f>
        <v/>
      </c>
      <c r="J1013" s="60" t="str">
        <f>IF(H1013="","",IFERROR(INDEX(art_unit,MATCH(H1013,art_ref,0))&amp;"",""))</f>
        <v/>
      </c>
      <c r="K1013" s="59" t="n"/>
      <c r="L1013" s="59" t="n"/>
      <c r="M1013" s="61" t="str">
        <f>IF(OR(B1013="",NOT(ISNUMBER(K1013)),NOT(ISNUMBER(L1013))),"",IF(OR(K1013&lt;=0,L1013&lt;=0),"",ROUND(L1013-K1013,6)))</f>
        <v/>
      </c>
      <c r="N1013" s="58" t="n"/>
      <c r="O1013" s="62" t="n"/>
      <c r="P1013" s="63" t="str">
        <f>IF(OR(B1013="",NOT(ISNUMBER(L1013))),"",IF(L1013&lt;=0,"",IFERROR(ROUND(L1013*N(INDEX(art_w,MATCH(H1013,art_ref,0))),3),"")))</f>
        <v/>
      </c>
      <c r="Q1013" s="59" t="n"/>
      <c r="R1013" s="54" t="n"/>
      <c r="S1013" s="59" t="n"/>
      <c r="T1013" s="59" t="n"/>
      <c r="U1013" s="64" t="str">
        <f>IF(OR(B1013="",H1013=""),"",IFERROR(IF(A1013="BL",IF(N(INDEX(art_price,MATCH(H1013,art_ref,0)))=0,"",N(INDEX(art_price,MATCH(H1013,art_ref,0)))),IF(N(INDEX(art_cost,MATCH(H1013,art_ref,0)))=0,"",N(INDEX(art_cost,MATCH(H1013,art_ref,0))))),""))</f>
        <v/>
      </c>
      <c r="V1013" s="64" t="str">
        <f>IF(OR(U1013="",NOT(ISNUMBER(L1013))),"",IF(L1013&lt;=0,"",ROUND(L1013*U1013,2)))</f>
        <v/>
      </c>
      <c r="W1013" s="60" t="str">
        <f>IF(AND(B1013&lt;&gt;"",A1013&lt;&gt;"BS",F1013&lt;&gt;"",H1013&lt;&gt;"",ISNUMBER(K1013),ISNUMBER(L1013)),IF(AND(K1013&gt;0,L1013&gt;0,K1013-L1013&gt;0,COUNTIFS(A1014:A$2005,A1013,F1014:F$2005,F1013,H1014:H$2005,H1013,AA1014:AA$2005,"&gt;0")=0),ROUND(K1013-L1013,6),""),"")</f>
        <v/>
      </c>
      <c r="X1013" s="60" t="str">
        <f>IF(AND(A1013="",C1013="",D1013="",H1013="",L1013=""),"",IF(A1013="","Type manquant",IF(AND(A1013&lt;&gt;"BL",A1013&lt;&gt;"BR",A1013&lt;&gt;"BS"),"Type inconnu (BL, BR ou BS)",IF(AG1013=0,"Date manquante ou invalide",IF(D1013="",IF(A1013="BL","Client manquant",IF(A1013="BR","Fournisseur manquant","Service manquant")),IF(IF(A1013="BL",ISNA(MATCH(D1013,cl_code,0)),IF(A1013="BR",ISNA(MATCH(D1013,fo_code,0)),ISNA(MATCH(D1013,p_services,0)))),IF(A1013="BL","Client inconnu",IF(A1013="BR","Fournisseur inconnu","Service inconnu")),IF(H1013="","Article manquant",IF(ISNA(MATCH(H1013,art_ref,0)),"Article inconnu",IF(OR(NOT(ISNUMBER(L1013)),N(L1013)&lt;=0),"Quantité invalide",IF(AND(K1013&lt;&gt;"",OR(NOT(ISNUMBER(K1013)),N(K1013)&lt;=0)),"Qté commandée invalide",IF(AG1013&lt;SUMPRODUCT(MAX((A$6:A1012=A1013)*AG$6:AG1012)),"Date antérieure au bon précédent",IF(AND(A1013&lt;&gt;"BR",ISNUMBER(M1013),N(M1013)&gt;0),IF(A1013="BL","Livré plus que commandé","Sorti plus que demandé"),"OK"))))))))))))</f>
        <v/>
      </c>
      <c r="Y1013" s="57" t="str">
        <f>IF(AND(OR(A1013="BL",A1013="BR",A1013="BS"),AG1013&gt;0,D1013&lt;&gt;""),A1013&amp;"|"&amp;AG1013&amp;"|"&amp;D1013&amp;"|"&amp;F1013,"")</f>
        <v/>
      </c>
      <c r="Z1013" s="57" t="str">
        <f>IF(Y1013="","",IF(COUNTIF(Y$6:Y1012,Y1013)=0,1,0))</f>
        <v/>
      </c>
      <c r="AA1013" s="57" t="str">
        <f>IF(Y1013="","",IF(Z1013=1,COUNTIFS(A$6:A1013,A1013,Z$6:Z1013,1),INDEX(AA$6:AA1012,MATCH(Y1013,Y$6:Y1012,0))))</f>
        <v/>
      </c>
      <c r="AB1013" s="57" t="str">
        <f>IF(B1013="","",COUNTIF(B$6:B1013,B1013))</f>
        <v/>
      </c>
      <c r="AC1013" s="57" t="str">
        <f>IF(B1013="","",B1013&amp;"#"&amp;AB1013)</f>
        <v/>
      </c>
      <c r="AD1013" s="57" t="str">
        <f>IF(Z1013=1,A1013&amp;AA1013,"")</f>
        <v/>
      </c>
      <c r="AE1013" s="57" t="str">
        <f>IF(B1013="","",YEAR(C1013))</f>
        <v/>
      </c>
      <c r="AF1013" s="57" t="str">
        <f>IF(B1013="","",MONTH(C1013))</f>
        <v/>
      </c>
      <c r="AG1013" s="57">
        <f>IF(ISNUMBER(C1013),C1013,0)</f>
        <v>0.0</v>
      </c>
      <c r="AH1013" s="57" t="str">
        <f>IF(N(W1013)&gt;0,COUNTIF(W$6:W1013,"&gt;0"),"")</f>
        <v/>
      </c>
      <c r="AI1013" s="57" t="str">
        <f>IF(Z1013=1,COUNTIF(Z$6:Z1013,1),"")</f>
        <v/>
      </c>
    </row>
    <row r="1014">
      <c r="A1014" s="54" t="n"/>
      <c r="B1014" s="55" t="str">
        <f>IF(AA1014="","",A1014&amp;"-"&amp;RIGHT("000"&amp;AA1014,4))</f>
        <v/>
      </c>
      <c r="C1014" s="56" t="n"/>
      <c r="D1014" s="54" t="n"/>
      <c r="E1014" s="57" t="str">
        <f>IF(D1014="","",IF(A1014="BL",IFERROR(INDEX(cl_name,MATCH(D1014,cl_code,0))&amp;"","Client inconnu"),IF(A1014="BR",IFERROR(INDEX(fo_name,MATCH(D1014,fo_code,0))&amp;"","Fournisseur inconnu"),IF(A1014="BS",IF(ISNA(MATCH(D1014,p_services,0)),"Service inconnu",D1014&amp;""),""))))</f>
        <v/>
      </c>
      <c r="F1014" s="58" t="n"/>
      <c r="G1014" s="58" t="n"/>
      <c r="H1014" s="59" t="n"/>
      <c r="I1014" s="57" t="str">
        <f>IF(H1014="","",IFERROR(INDEX(art_des,MATCH(H1014,art_ref,0))&amp;"","Article inconnu"))</f>
        <v/>
      </c>
      <c r="J1014" s="60" t="str">
        <f>IF(H1014="","",IFERROR(INDEX(art_unit,MATCH(H1014,art_ref,0))&amp;"",""))</f>
        <v/>
      </c>
      <c r="K1014" s="59" t="n"/>
      <c r="L1014" s="59" t="n"/>
      <c r="M1014" s="61" t="str">
        <f>IF(OR(B1014="",NOT(ISNUMBER(K1014)),NOT(ISNUMBER(L1014))),"",IF(OR(K1014&lt;=0,L1014&lt;=0),"",ROUND(L1014-K1014,6)))</f>
        <v/>
      </c>
      <c r="N1014" s="58" t="n"/>
      <c r="O1014" s="62" t="n"/>
      <c r="P1014" s="63" t="str">
        <f>IF(OR(B1014="",NOT(ISNUMBER(L1014))),"",IF(L1014&lt;=0,"",IFERROR(ROUND(L1014*N(INDEX(art_w,MATCH(H1014,art_ref,0))),3),"")))</f>
        <v/>
      </c>
      <c r="Q1014" s="59" t="n"/>
      <c r="R1014" s="54" t="n"/>
      <c r="S1014" s="59" t="n"/>
      <c r="T1014" s="59" t="n"/>
      <c r="U1014" s="64" t="str">
        <f>IF(OR(B1014="",H1014=""),"",IFERROR(IF(A1014="BL",IF(N(INDEX(art_price,MATCH(H1014,art_ref,0)))=0,"",N(INDEX(art_price,MATCH(H1014,art_ref,0)))),IF(N(INDEX(art_cost,MATCH(H1014,art_ref,0)))=0,"",N(INDEX(art_cost,MATCH(H1014,art_ref,0))))),""))</f>
        <v/>
      </c>
      <c r="V1014" s="64" t="str">
        <f>IF(OR(U1014="",NOT(ISNUMBER(L1014))),"",IF(L1014&lt;=0,"",ROUND(L1014*U1014,2)))</f>
        <v/>
      </c>
      <c r="W1014" s="60" t="str">
        <f>IF(AND(B1014&lt;&gt;"",A1014&lt;&gt;"BS",F1014&lt;&gt;"",H1014&lt;&gt;"",ISNUMBER(K1014),ISNUMBER(L1014)),IF(AND(K1014&gt;0,L1014&gt;0,K1014-L1014&gt;0,COUNTIFS(A1015:A$2005,A1014,F1015:F$2005,F1014,H1015:H$2005,H1014,AA1015:AA$2005,"&gt;0")=0),ROUND(K1014-L1014,6),""),"")</f>
        <v/>
      </c>
      <c r="X1014" s="60" t="str">
        <f>IF(AND(A1014="",C1014="",D1014="",H1014="",L1014=""),"",IF(A1014="","Type manquant",IF(AND(A1014&lt;&gt;"BL",A1014&lt;&gt;"BR",A1014&lt;&gt;"BS"),"Type inconnu (BL, BR ou BS)",IF(AG1014=0,"Date manquante ou invalide",IF(D1014="",IF(A1014="BL","Client manquant",IF(A1014="BR","Fournisseur manquant","Service manquant")),IF(IF(A1014="BL",ISNA(MATCH(D1014,cl_code,0)),IF(A1014="BR",ISNA(MATCH(D1014,fo_code,0)),ISNA(MATCH(D1014,p_services,0)))),IF(A1014="BL","Client inconnu",IF(A1014="BR","Fournisseur inconnu","Service inconnu")),IF(H1014="","Article manquant",IF(ISNA(MATCH(H1014,art_ref,0)),"Article inconnu",IF(OR(NOT(ISNUMBER(L1014)),N(L1014)&lt;=0),"Quantité invalide",IF(AND(K1014&lt;&gt;"",OR(NOT(ISNUMBER(K1014)),N(K1014)&lt;=0)),"Qté commandée invalide",IF(AG1014&lt;SUMPRODUCT(MAX((A$6:A1013=A1014)*AG$6:AG1013)),"Date antérieure au bon précédent",IF(AND(A1014&lt;&gt;"BR",ISNUMBER(M1014),N(M1014)&gt;0),IF(A1014="BL","Livré plus que commandé","Sorti plus que demandé"),"OK"))))))))))))</f>
        <v/>
      </c>
      <c r="Y1014" s="57" t="str">
        <f>IF(AND(OR(A1014="BL",A1014="BR",A1014="BS"),AG1014&gt;0,D1014&lt;&gt;""),A1014&amp;"|"&amp;AG1014&amp;"|"&amp;D1014&amp;"|"&amp;F1014,"")</f>
        <v/>
      </c>
      <c r="Z1014" s="57" t="str">
        <f>IF(Y1014="","",IF(COUNTIF(Y$6:Y1013,Y1014)=0,1,0))</f>
        <v/>
      </c>
      <c r="AA1014" s="57" t="str">
        <f>IF(Y1014="","",IF(Z1014=1,COUNTIFS(A$6:A1014,A1014,Z$6:Z1014,1),INDEX(AA$6:AA1013,MATCH(Y1014,Y$6:Y1013,0))))</f>
        <v/>
      </c>
      <c r="AB1014" s="57" t="str">
        <f>IF(B1014="","",COUNTIF(B$6:B1014,B1014))</f>
        <v/>
      </c>
      <c r="AC1014" s="57" t="str">
        <f>IF(B1014="","",B1014&amp;"#"&amp;AB1014)</f>
        <v/>
      </c>
      <c r="AD1014" s="57" t="str">
        <f>IF(Z1014=1,A1014&amp;AA1014,"")</f>
        <v/>
      </c>
      <c r="AE1014" s="57" t="str">
        <f>IF(B1014="","",YEAR(C1014))</f>
        <v/>
      </c>
      <c r="AF1014" s="57" t="str">
        <f>IF(B1014="","",MONTH(C1014))</f>
        <v/>
      </c>
      <c r="AG1014" s="57">
        <f>IF(ISNUMBER(C1014),C1014,0)</f>
        <v>0.0</v>
      </c>
      <c r="AH1014" s="57" t="str">
        <f>IF(N(W1014)&gt;0,COUNTIF(W$6:W1014,"&gt;0"),"")</f>
        <v/>
      </c>
      <c r="AI1014" s="57" t="str">
        <f>IF(Z1014=1,COUNTIF(Z$6:Z1014,1),"")</f>
        <v/>
      </c>
    </row>
    <row r="1015">
      <c r="A1015" s="54" t="n"/>
      <c r="B1015" s="55" t="str">
        <f>IF(AA1015="","",A1015&amp;"-"&amp;RIGHT("000"&amp;AA1015,4))</f>
        <v/>
      </c>
      <c r="C1015" s="56" t="n"/>
      <c r="D1015" s="54" t="n"/>
      <c r="E1015" s="57" t="str">
        <f>IF(D1015="","",IF(A1015="BL",IFERROR(INDEX(cl_name,MATCH(D1015,cl_code,0))&amp;"","Client inconnu"),IF(A1015="BR",IFERROR(INDEX(fo_name,MATCH(D1015,fo_code,0))&amp;"","Fournisseur inconnu"),IF(A1015="BS",IF(ISNA(MATCH(D1015,p_services,0)),"Service inconnu",D1015&amp;""),""))))</f>
        <v/>
      </c>
      <c r="F1015" s="58" t="n"/>
      <c r="G1015" s="58" t="n"/>
      <c r="H1015" s="59" t="n"/>
      <c r="I1015" s="57" t="str">
        <f>IF(H1015="","",IFERROR(INDEX(art_des,MATCH(H1015,art_ref,0))&amp;"","Article inconnu"))</f>
        <v/>
      </c>
      <c r="J1015" s="60" t="str">
        <f>IF(H1015="","",IFERROR(INDEX(art_unit,MATCH(H1015,art_ref,0))&amp;"",""))</f>
        <v/>
      </c>
      <c r="K1015" s="59" t="n"/>
      <c r="L1015" s="59" t="n"/>
      <c r="M1015" s="61" t="str">
        <f>IF(OR(B1015="",NOT(ISNUMBER(K1015)),NOT(ISNUMBER(L1015))),"",IF(OR(K1015&lt;=0,L1015&lt;=0),"",ROUND(L1015-K1015,6)))</f>
        <v/>
      </c>
      <c r="N1015" s="58" t="n"/>
      <c r="O1015" s="62" t="n"/>
      <c r="P1015" s="63" t="str">
        <f>IF(OR(B1015="",NOT(ISNUMBER(L1015))),"",IF(L1015&lt;=0,"",IFERROR(ROUND(L1015*N(INDEX(art_w,MATCH(H1015,art_ref,0))),3),"")))</f>
        <v/>
      </c>
      <c r="Q1015" s="59" t="n"/>
      <c r="R1015" s="54" t="n"/>
      <c r="S1015" s="59" t="n"/>
      <c r="T1015" s="59" t="n"/>
      <c r="U1015" s="64" t="str">
        <f>IF(OR(B1015="",H1015=""),"",IFERROR(IF(A1015="BL",IF(N(INDEX(art_price,MATCH(H1015,art_ref,0)))=0,"",N(INDEX(art_price,MATCH(H1015,art_ref,0)))),IF(N(INDEX(art_cost,MATCH(H1015,art_ref,0)))=0,"",N(INDEX(art_cost,MATCH(H1015,art_ref,0))))),""))</f>
        <v/>
      </c>
      <c r="V1015" s="64" t="str">
        <f>IF(OR(U1015="",NOT(ISNUMBER(L1015))),"",IF(L1015&lt;=0,"",ROUND(L1015*U1015,2)))</f>
        <v/>
      </c>
      <c r="W1015" s="60" t="str">
        <f>IF(AND(B1015&lt;&gt;"",A1015&lt;&gt;"BS",F1015&lt;&gt;"",H1015&lt;&gt;"",ISNUMBER(K1015),ISNUMBER(L1015)),IF(AND(K1015&gt;0,L1015&gt;0,K1015-L1015&gt;0,COUNTIFS(A1016:A$2005,A1015,F1016:F$2005,F1015,H1016:H$2005,H1015,AA1016:AA$2005,"&gt;0")=0),ROUND(K1015-L1015,6),""),"")</f>
        <v/>
      </c>
      <c r="X1015" s="60" t="str">
        <f>IF(AND(A1015="",C1015="",D1015="",H1015="",L1015=""),"",IF(A1015="","Type manquant",IF(AND(A1015&lt;&gt;"BL",A1015&lt;&gt;"BR",A1015&lt;&gt;"BS"),"Type inconnu (BL, BR ou BS)",IF(AG1015=0,"Date manquante ou invalide",IF(D1015="",IF(A1015="BL","Client manquant",IF(A1015="BR","Fournisseur manquant","Service manquant")),IF(IF(A1015="BL",ISNA(MATCH(D1015,cl_code,0)),IF(A1015="BR",ISNA(MATCH(D1015,fo_code,0)),ISNA(MATCH(D1015,p_services,0)))),IF(A1015="BL","Client inconnu",IF(A1015="BR","Fournisseur inconnu","Service inconnu")),IF(H1015="","Article manquant",IF(ISNA(MATCH(H1015,art_ref,0)),"Article inconnu",IF(OR(NOT(ISNUMBER(L1015)),N(L1015)&lt;=0),"Quantité invalide",IF(AND(K1015&lt;&gt;"",OR(NOT(ISNUMBER(K1015)),N(K1015)&lt;=0)),"Qté commandée invalide",IF(AG1015&lt;SUMPRODUCT(MAX((A$6:A1014=A1015)*AG$6:AG1014)),"Date antérieure au bon précédent",IF(AND(A1015&lt;&gt;"BR",ISNUMBER(M1015),N(M1015)&gt;0),IF(A1015="BL","Livré plus que commandé","Sorti plus que demandé"),"OK"))))))))))))</f>
        <v/>
      </c>
      <c r="Y1015" s="57" t="str">
        <f>IF(AND(OR(A1015="BL",A1015="BR",A1015="BS"),AG1015&gt;0,D1015&lt;&gt;""),A1015&amp;"|"&amp;AG1015&amp;"|"&amp;D1015&amp;"|"&amp;F1015,"")</f>
        <v/>
      </c>
      <c r="Z1015" s="57" t="str">
        <f>IF(Y1015="","",IF(COUNTIF(Y$6:Y1014,Y1015)=0,1,0))</f>
        <v/>
      </c>
      <c r="AA1015" s="57" t="str">
        <f>IF(Y1015="","",IF(Z1015=1,COUNTIFS(A$6:A1015,A1015,Z$6:Z1015,1),INDEX(AA$6:AA1014,MATCH(Y1015,Y$6:Y1014,0))))</f>
        <v/>
      </c>
      <c r="AB1015" s="57" t="str">
        <f>IF(B1015="","",COUNTIF(B$6:B1015,B1015))</f>
        <v/>
      </c>
      <c r="AC1015" s="57" t="str">
        <f>IF(B1015="","",B1015&amp;"#"&amp;AB1015)</f>
        <v/>
      </c>
      <c r="AD1015" s="57" t="str">
        <f>IF(Z1015=1,A1015&amp;AA1015,"")</f>
        <v/>
      </c>
      <c r="AE1015" s="57" t="str">
        <f>IF(B1015="","",YEAR(C1015))</f>
        <v/>
      </c>
      <c r="AF1015" s="57" t="str">
        <f>IF(B1015="","",MONTH(C1015))</f>
        <v/>
      </c>
      <c r="AG1015" s="57">
        <f>IF(ISNUMBER(C1015),C1015,0)</f>
        <v>0.0</v>
      </c>
      <c r="AH1015" s="57" t="str">
        <f>IF(N(W1015)&gt;0,COUNTIF(W$6:W1015,"&gt;0"),"")</f>
        <v/>
      </c>
      <c r="AI1015" s="57" t="str">
        <f>IF(Z1015=1,COUNTIF(Z$6:Z1015,1),"")</f>
        <v/>
      </c>
    </row>
    <row r="1016">
      <c r="A1016" s="54" t="n"/>
      <c r="B1016" s="55" t="str">
        <f>IF(AA1016="","",A1016&amp;"-"&amp;RIGHT("000"&amp;AA1016,4))</f>
        <v/>
      </c>
      <c r="C1016" s="56" t="n"/>
      <c r="D1016" s="54" t="n"/>
      <c r="E1016" s="57" t="str">
        <f>IF(D1016="","",IF(A1016="BL",IFERROR(INDEX(cl_name,MATCH(D1016,cl_code,0))&amp;"","Client inconnu"),IF(A1016="BR",IFERROR(INDEX(fo_name,MATCH(D1016,fo_code,0))&amp;"","Fournisseur inconnu"),IF(A1016="BS",IF(ISNA(MATCH(D1016,p_services,0)),"Service inconnu",D1016&amp;""),""))))</f>
        <v/>
      </c>
      <c r="F1016" s="58" t="n"/>
      <c r="G1016" s="58" t="n"/>
      <c r="H1016" s="59" t="n"/>
      <c r="I1016" s="57" t="str">
        <f>IF(H1016="","",IFERROR(INDEX(art_des,MATCH(H1016,art_ref,0))&amp;"","Article inconnu"))</f>
        <v/>
      </c>
      <c r="J1016" s="60" t="str">
        <f>IF(H1016="","",IFERROR(INDEX(art_unit,MATCH(H1016,art_ref,0))&amp;"",""))</f>
        <v/>
      </c>
      <c r="K1016" s="59" t="n"/>
      <c r="L1016" s="59" t="n"/>
      <c r="M1016" s="61" t="str">
        <f>IF(OR(B1016="",NOT(ISNUMBER(K1016)),NOT(ISNUMBER(L1016))),"",IF(OR(K1016&lt;=0,L1016&lt;=0),"",ROUND(L1016-K1016,6)))</f>
        <v/>
      </c>
      <c r="N1016" s="58" t="n"/>
      <c r="O1016" s="62" t="n"/>
      <c r="P1016" s="63" t="str">
        <f>IF(OR(B1016="",NOT(ISNUMBER(L1016))),"",IF(L1016&lt;=0,"",IFERROR(ROUND(L1016*N(INDEX(art_w,MATCH(H1016,art_ref,0))),3),"")))</f>
        <v/>
      </c>
      <c r="Q1016" s="59" t="n"/>
      <c r="R1016" s="54" t="n"/>
      <c r="S1016" s="59" t="n"/>
      <c r="T1016" s="59" t="n"/>
      <c r="U1016" s="64" t="str">
        <f>IF(OR(B1016="",H1016=""),"",IFERROR(IF(A1016="BL",IF(N(INDEX(art_price,MATCH(H1016,art_ref,0)))=0,"",N(INDEX(art_price,MATCH(H1016,art_ref,0)))),IF(N(INDEX(art_cost,MATCH(H1016,art_ref,0)))=0,"",N(INDEX(art_cost,MATCH(H1016,art_ref,0))))),""))</f>
        <v/>
      </c>
      <c r="V1016" s="64" t="str">
        <f>IF(OR(U1016="",NOT(ISNUMBER(L1016))),"",IF(L1016&lt;=0,"",ROUND(L1016*U1016,2)))</f>
        <v/>
      </c>
      <c r="W1016" s="60" t="str">
        <f>IF(AND(B1016&lt;&gt;"",A1016&lt;&gt;"BS",F1016&lt;&gt;"",H1016&lt;&gt;"",ISNUMBER(K1016),ISNUMBER(L1016)),IF(AND(K1016&gt;0,L1016&gt;0,K1016-L1016&gt;0,COUNTIFS(A1017:A$2005,A1016,F1017:F$2005,F1016,H1017:H$2005,H1016,AA1017:AA$2005,"&gt;0")=0),ROUND(K1016-L1016,6),""),"")</f>
        <v/>
      </c>
      <c r="X1016" s="60" t="str">
        <f>IF(AND(A1016="",C1016="",D1016="",H1016="",L1016=""),"",IF(A1016="","Type manquant",IF(AND(A1016&lt;&gt;"BL",A1016&lt;&gt;"BR",A1016&lt;&gt;"BS"),"Type inconnu (BL, BR ou BS)",IF(AG1016=0,"Date manquante ou invalide",IF(D1016="",IF(A1016="BL","Client manquant",IF(A1016="BR","Fournisseur manquant","Service manquant")),IF(IF(A1016="BL",ISNA(MATCH(D1016,cl_code,0)),IF(A1016="BR",ISNA(MATCH(D1016,fo_code,0)),ISNA(MATCH(D1016,p_services,0)))),IF(A1016="BL","Client inconnu",IF(A1016="BR","Fournisseur inconnu","Service inconnu")),IF(H1016="","Article manquant",IF(ISNA(MATCH(H1016,art_ref,0)),"Article inconnu",IF(OR(NOT(ISNUMBER(L1016)),N(L1016)&lt;=0),"Quantité invalide",IF(AND(K1016&lt;&gt;"",OR(NOT(ISNUMBER(K1016)),N(K1016)&lt;=0)),"Qté commandée invalide",IF(AG1016&lt;SUMPRODUCT(MAX((A$6:A1015=A1016)*AG$6:AG1015)),"Date antérieure au bon précédent",IF(AND(A1016&lt;&gt;"BR",ISNUMBER(M1016),N(M1016)&gt;0),IF(A1016="BL","Livré plus que commandé","Sorti plus que demandé"),"OK"))))))))))))</f>
        <v/>
      </c>
      <c r="Y1016" s="57" t="str">
        <f>IF(AND(OR(A1016="BL",A1016="BR",A1016="BS"),AG1016&gt;0,D1016&lt;&gt;""),A1016&amp;"|"&amp;AG1016&amp;"|"&amp;D1016&amp;"|"&amp;F1016,"")</f>
        <v/>
      </c>
      <c r="Z1016" s="57" t="str">
        <f>IF(Y1016="","",IF(COUNTIF(Y$6:Y1015,Y1016)=0,1,0))</f>
        <v/>
      </c>
      <c r="AA1016" s="57" t="str">
        <f>IF(Y1016="","",IF(Z1016=1,COUNTIFS(A$6:A1016,A1016,Z$6:Z1016,1),INDEX(AA$6:AA1015,MATCH(Y1016,Y$6:Y1015,0))))</f>
        <v/>
      </c>
      <c r="AB1016" s="57" t="str">
        <f>IF(B1016="","",COUNTIF(B$6:B1016,B1016))</f>
        <v/>
      </c>
      <c r="AC1016" s="57" t="str">
        <f>IF(B1016="","",B1016&amp;"#"&amp;AB1016)</f>
        <v/>
      </c>
      <c r="AD1016" s="57" t="str">
        <f>IF(Z1016=1,A1016&amp;AA1016,"")</f>
        <v/>
      </c>
      <c r="AE1016" s="57" t="str">
        <f>IF(B1016="","",YEAR(C1016))</f>
        <v/>
      </c>
      <c r="AF1016" s="57" t="str">
        <f>IF(B1016="","",MONTH(C1016))</f>
        <v/>
      </c>
      <c r="AG1016" s="57">
        <f>IF(ISNUMBER(C1016),C1016,0)</f>
        <v>0.0</v>
      </c>
      <c r="AH1016" s="57" t="str">
        <f>IF(N(W1016)&gt;0,COUNTIF(W$6:W1016,"&gt;0"),"")</f>
        <v/>
      </c>
      <c r="AI1016" s="57" t="str">
        <f>IF(Z1016=1,COUNTIF(Z$6:Z1016,1),"")</f>
        <v/>
      </c>
    </row>
    <row r="1017">
      <c r="A1017" s="54" t="n"/>
      <c r="B1017" s="55" t="str">
        <f>IF(AA1017="","",A1017&amp;"-"&amp;RIGHT("000"&amp;AA1017,4))</f>
        <v/>
      </c>
      <c r="C1017" s="56" t="n"/>
      <c r="D1017" s="54" t="n"/>
      <c r="E1017" s="57" t="str">
        <f>IF(D1017="","",IF(A1017="BL",IFERROR(INDEX(cl_name,MATCH(D1017,cl_code,0))&amp;"","Client inconnu"),IF(A1017="BR",IFERROR(INDEX(fo_name,MATCH(D1017,fo_code,0))&amp;"","Fournisseur inconnu"),IF(A1017="BS",IF(ISNA(MATCH(D1017,p_services,0)),"Service inconnu",D1017&amp;""),""))))</f>
        <v/>
      </c>
      <c r="F1017" s="58" t="n"/>
      <c r="G1017" s="58" t="n"/>
      <c r="H1017" s="59" t="n"/>
      <c r="I1017" s="57" t="str">
        <f>IF(H1017="","",IFERROR(INDEX(art_des,MATCH(H1017,art_ref,0))&amp;"","Article inconnu"))</f>
        <v/>
      </c>
      <c r="J1017" s="60" t="str">
        <f>IF(H1017="","",IFERROR(INDEX(art_unit,MATCH(H1017,art_ref,0))&amp;"",""))</f>
        <v/>
      </c>
      <c r="K1017" s="59" t="n"/>
      <c r="L1017" s="59" t="n"/>
      <c r="M1017" s="61" t="str">
        <f>IF(OR(B1017="",NOT(ISNUMBER(K1017)),NOT(ISNUMBER(L1017))),"",IF(OR(K1017&lt;=0,L1017&lt;=0),"",ROUND(L1017-K1017,6)))</f>
        <v/>
      </c>
      <c r="N1017" s="58" t="n"/>
      <c r="O1017" s="62" t="n"/>
      <c r="P1017" s="63" t="str">
        <f>IF(OR(B1017="",NOT(ISNUMBER(L1017))),"",IF(L1017&lt;=0,"",IFERROR(ROUND(L1017*N(INDEX(art_w,MATCH(H1017,art_ref,0))),3),"")))</f>
        <v/>
      </c>
      <c r="Q1017" s="59" t="n"/>
      <c r="R1017" s="54" t="n"/>
      <c r="S1017" s="59" t="n"/>
      <c r="T1017" s="59" t="n"/>
      <c r="U1017" s="64" t="str">
        <f>IF(OR(B1017="",H1017=""),"",IFERROR(IF(A1017="BL",IF(N(INDEX(art_price,MATCH(H1017,art_ref,0)))=0,"",N(INDEX(art_price,MATCH(H1017,art_ref,0)))),IF(N(INDEX(art_cost,MATCH(H1017,art_ref,0)))=0,"",N(INDEX(art_cost,MATCH(H1017,art_ref,0))))),""))</f>
        <v/>
      </c>
      <c r="V1017" s="64" t="str">
        <f>IF(OR(U1017="",NOT(ISNUMBER(L1017))),"",IF(L1017&lt;=0,"",ROUND(L1017*U1017,2)))</f>
        <v/>
      </c>
      <c r="W1017" s="60" t="str">
        <f>IF(AND(B1017&lt;&gt;"",A1017&lt;&gt;"BS",F1017&lt;&gt;"",H1017&lt;&gt;"",ISNUMBER(K1017),ISNUMBER(L1017)),IF(AND(K1017&gt;0,L1017&gt;0,K1017-L1017&gt;0,COUNTIFS(A1018:A$2005,A1017,F1018:F$2005,F1017,H1018:H$2005,H1017,AA1018:AA$2005,"&gt;0")=0),ROUND(K1017-L1017,6),""),"")</f>
        <v/>
      </c>
      <c r="X1017" s="60" t="str">
        <f>IF(AND(A1017="",C1017="",D1017="",H1017="",L1017=""),"",IF(A1017="","Type manquant",IF(AND(A1017&lt;&gt;"BL",A1017&lt;&gt;"BR",A1017&lt;&gt;"BS"),"Type inconnu (BL, BR ou BS)",IF(AG1017=0,"Date manquante ou invalide",IF(D1017="",IF(A1017="BL","Client manquant",IF(A1017="BR","Fournisseur manquant","Service manquant")),IF(IF(A1017="BL",ISNA(MATCH(D1017,cl_code,0)),IF(A1017="BR",ISNA(MATCH(D1017,fo_code,0)),ISNA(MATCH(D1017,p_services,0)))),IF(A1017="BL","Client inconnu",IF(A1017="BR","Fournisseur inconnu","Service inconnu")),IF(H1017="","Article manquant",IF(ISNA(MATCH(H1017,art_ref,0)),"Article inconnu",IF(OR(NOT(ISNUMBER(L1017)),N(L1017)&lt;=0),"Quantité invalide",IF(AND(K1017&lt;&gt;"",OR(NOT(ISNUMBER(K1017)),N(K1017)&lt;=0)),"Qté commandée invalide",IF(AG1017&lt;SUMPRODUCT(MAX((A$6:A1016=A1017)*AG$6:AG1016)),"Date antérieure au bon précédent",IF(AND(A1017&lt;&gt;"BR",ISNUMBER(M1017),N(M1017)&gt;0),IF(A1017="BL","Livré plus que commandé","Sorti plus que demandé"),"OK"))))))))))))</f>
        <v/>
      </c>
      <c r="Y1017" s="57" t="str">
        <f>IF(AND(OR(A1017="BL",A1017="BR",A1017="BS"),AG1017&gt;0,D1017&lt;&gt;""),A1017&amp;"|"&amp;AG1017&amp;"|"&amp;D1017&amp;"|"&amp;F1017,"")</f>
        <v/>
      </c>
      <c r="Z1017" s="57" t="str">
        <f>IF(Y1017="","",IF(COUNTIF(Y$6:Y1016,Y1017)=0,1,0))</f>
        <v/>
      </c>
      <c r="AA1017" s="57" t="str">
        <f>IF(Y1017="","",IF(Z1017=1,COUNTIFS(A$6:A1017,A1017,Z$6:Z1017,1),INDEX(AA$6:AA1016,MATCH(Y1017,Y$6:Y1016,0))))</f>
        <v/>
      </c>
      <c r="AB1017" s="57" t="str">
        <f>IF(B1017="","",COUNTIF(B$6:B1017,B1017))</f>
        <v/>
      </c>
      <c r="AC1017" s="57" t="str">
        <f>IF(B1017="","",B1017&amp;"#"&amp;AB1017)</f>
        <v/>
      </c>
      <c r="AD1017" s="57" t="str">
        <f>IF(Z1017=1,A1017&amp;AA1017,"")</f>
        <v/>
      </c>
      <c r="AE1017" s="57" t="str">
        <f>IF(B1017="","",YEAR(C1017))</f>
        <v/>
      </c>
      <c r="AF1017" s="57" t="str">
        <f>IF(B1017="","",MONTH(C1017))</f>
        <v/>
      </c>
      <c r="AG1017" s="57">
        <f>IF(ISNUMBER(C1017),C1017,0)</f>
        <v>0.0</v>
      </c>
      <c r="AH1017" s="57" t="str">
        <f>IF(N(W1017)&gt;0,COUNTIF(W$6:W1017,"&gt;0"),"")</f>
        <v/>
      </c>
      <c r="AI1017" s="57" t="str">
        <f>IF(Z1017=1,COUNTIF(Z$6:Z1017,1),"")</f>
        <v/>
      </c>
    </row>
    <row r="1018">
      <c r="A1018" s="54" t="n"/>
      <c r="B1018" s="55" t="str">
        <f>IF(AA1018="","",A1018&amp;"-"&amp;RIGHT("000"&amp;AA1018,4))</f>
        <v/>
      </c>
      <c r="C1018" s="56" t="n"/>
      <c r="D1018" s="54" t="n"/>
      <c r="E1018" s="57" t="str">
        <f>IF(D1018="","",IF(A1018="BL",IFERROR(INDEX(cl_name,MATCH(D1018,cl_code,0))&amp;"","Client inconnu"),IF(A1018="BR",IFERROR(INDEX(fo_name,MATCH(D1018,fo_code,0))&amp;"","Fournisseur inconnu"),IF(A1018="BS",IF(ISNA(MATCH(D1018,p_services,0)),"Service inconnu",D1018&amp;""),""))))</f>
        <v/>
      </c>
      <c r="F1018" s="58" t="n"/>
      <c r="G1018" s="58" t="n"/>
      <c r="H1018" s="59" t="n"/>
      <c r="I1018" s="57" t="str">
        <f>IF(H1018="","",IFERROR(INDEX(art_des,MATCH(H1018,art_ref,0))&amp;"","Article inconnu"))</f>
        <v/>
      </c>
      <c r="J1018" s="60" t="str">
        <f>IF(H1018="","",IFERROR(INDEX(art_unit,MATCH(H1018,art_ref,0))&amp;"",""))</f>
        <v/>
      </c>
      <c r="K1018" s="59" t="n"/>
      <c r="L1018" s="59" t="n"/>
      <c r="M1018" s="61" t="str">
        <f>IF(OR(B1018="",NOT(ISNUMBER(K1018)),NOT(ISNUMBER(L1018))),"",IF(OR(K1018&lt;=0,L1018&lt;=0),"",ROUND(L1018-K1018,6)))</f>
        <v/>
      </c>
      <c r="N1018" s="58" t="n"/>
      <c r="O1018" s="62" t="n"/>
      <c r="P1018" s="63" t="str">
        <f>IF(OR(B1018="",NOT(ISNUMBER(L1018))),"",IF(L1018&lt;=0,"",IFERROR(ROUND(L1018*N(INDEX(art_w,MATCH(H1018,art_ref,0))),3),"")))</f>
        <v/>
      </c>
      <c r="Q1018" s="59" t="n"/>
      <c r="R1018" s="54" t="n"/>
      <c r="S1018" s="59" t="n"/>
      <c r="T1018" s="59" t="n"/>
      <c r="U1018" s="64" t="str">
        <f>IF(OR(B1018="",H1018=""),"",IFERROR(IF(A1018="BL",IF(N(INDEX(art_price,MATCH(H1018,art_ref,0)))=0,"",N(INDEX(art_price,MATCH(H1018,art_ref,0)))),IF(N(INDEX(art_cost,MATCH(H1018,art_ref,0)))=0,"",N(INDEX(art_cost,MATCH(H1018,art_ref,0))))),""))</f>
        <v/>
      </c>
      <c r="V1018" s="64" t="str">
        <f>IF(OR(U1018="",NOT(ISNUMBER(L1018))),"",IF(L1018&lt;=0,"",ROUND(L1018*U1018,2)))</f>
        <v/>
      </c>
      <c r="W1018" s="60" t="str">
        <f>IF(AND(B1018&lt;&gt;"",A1018&lt;&gt;"BS",F1018&lt;&gt;"",H1018&lt;&gt;"",ISNUMBER(K1018),ISNUMBER(L1018)),IF(AND(K1018&gt;0,L1018&gt;0,K1018-L1018&gt;0,COUNTIFS(A1019:A$2005,A1018,F1019:F$2005,F1018,H1019:H$2005,H1018,AA1019:AA$2005,"&gt;0")=0),ROUND(K1018-L1018,6),""),"")</f>
        <v/>
      </c>
      <c r="X1018" s="60" t="str">
        <f>IF(AND(A1018="",C1018="",D1018="",H1018="",L1018=""),"",IF(A1018="","Type manquant",IF(AND(A1018&lt;&gt;"BL",A1018&lt;&gt;"BR",A1018&lt;&gt;"BS"),"Type inconnu (BL, BR ou BS)",IF(AG1018=0,"Date manquante ou invalide",IF(D1018="",IF(A1018="BL","Client manquant",IF(A1018="BR","Fournisseur manquant","Service manquant")),IF(IF(A1018="BL",ISNA(MATCH(D1018,cl_code,0)),IF(A1018="BR",ISNA(MATCH(D1018,fo_code,0)),ISNA(MATCH(D1018,p_services,0)))),IF(A1018="BL","Client inconnu",IF(A1018="BR","Fournisseur inconnu","Service inconnu")),IF(H1018="","Article manquant",IF(ISNA(MATCH(H1018,art_ref,0)),"Article inconnu",IF(OR(NOT(ISNUMBER(L1018)),N(L1018)&lt;=0),"Quantité invalide",IF(AND(K1018&lt;&gt;"",OR(NOT(ISNUMBER(K1018)),N(K1018)&lt;=0)),"Qté commandée invalide",IF(AG1018&lt;SUMPRODUCT(MAX((A$6:A1017=A1018)*AG$6:AG1017)),"Date antérieure au bon précédent",IF(AND(A1018&lt;&gt;"BR",ISNUMBER(M1018),N(M1018)&gt;0),IF(A1018="BL","Livré plus que commandé","Sorti plus que demandé"),"OK"))))))))))))</f>
        <v/>
      </c>
      <c r="Y1018" s="57" t="str">
        <f>IF(AND(OR(A1018="BL",A1018="BR",A1018="BS"),AG1018&gt;0,D1018&lt;&gt;""),A1018&amp;"|"&amp;AG1018&amp;"|"&amp;D1018&amp;"|"&amp;F1018,"")</f>
        <v/>
      </c>
      <c r="Z1018" s="57" t="str">
        <f>IF(Y1018="","",IF(COUNTIF(Y$6:Y1017,Y1018)=0,1,0))</f>
        <v/>
      </c>
      <c r="AA1018" s="57" t="str">
        <f>IF(Y1018="","",IF(Z1018=1,COUNTIFS(A$6:A1018,A1018,Z$6:Z1018,1),INDEX(AA$6:AA1017,MATCH(Y1018,Y$6:Y1017,0))))</f>
        <v/>
      </c>
      <c r="AB1018" s="57" t="str">
        <f>IF(B1018="","",COUNTIF(B$6:B1018,B1018))</f>
        <v/>
      </c>
      <c r="AC1018" s="57" t="str">
        <f>IF(B1018="","",B1018&amp;"#"&amp;AB1018)</f>
        <v/>
      </c>
      <c r="AD1018" s="57" t="str">
        <f>IF(Z1018=1,A1018&amp;AA1018,"")</f>
        <v/>
      </c>
      <c r="AE1018" s="57" t="str">
        <f>IF(B1018="","",YEAR(C1018))</f>
        <v/>
      </c>
      <c r="AF1018" s="57" t="str">
        <f>IF(B1018="","",MONTH(C1018))</f>
        <v/>
      </c>
      <c r="AG1018" s="57">
        <f>IF(ISNUMBER(C1018),C1018,0)</f>
        <v>0.0</v>
      </c>
      <c r="AH1018" s="57" t="str">
        <f>IF(N(W1018)&gt;0,COUNTIF(W$6:W1018,"&gt;0"),"")</f>
        <v/>
      </c>
      <c r="AI1018" s="57" t="str">
        <f>IF(Z1018=1,COUNTIF(Z$6:Z1018,1),"")</f>
        <v/>
      </c>
    </row>
    <row r="1019">
      <c r="A1019" s="54" t="n"/>
      <c r="B1019" s="55" t="str">
        <f>IF(AA1019="","",A1019&amp;"-"&amp;RIGHT("000"&amp;AA1019,4))</f>
        <v/>
      </c>
      <c r="C1019" s="56" t="n"/>
      <c r="D1019" s="54" t="n"/>
      <c r="E1019" s="57" t="str">
        <f>IF(D1019="","",IF(A1019="BL",IFERROR(INDEX(cl_name,MATCH(D1019,cl_code,0))&amp;"","Client inconnu"),IF(A1019="BR",IFERROR(INDEX(fo_name,MATCH(D1019,fo_code,0))&amp;"","Fournisseur inconnu"),IF(A1019="BS",IF(ISNA(MATCH(D1019,p_services,0)),"Service inconnu",D1019&amp;""),""))))</f>
        <v/>
      </c>
      <c r="F1019" s="58" t="n"/>
      <c r="G1019" s="58" t="n"/>
      <c r="H1019" s="59" t="n"/>
      <c r="I1019" s="57" t="str">
        <f>IF(H1019="","",IFERROR(INDEX(art_des,MATCH(H1019,art_ref,0))&amp;"","Article inconnu"))</f>
        <v/>
      </c>
      <c r="J1019" s="60" t="str">
        <f>IF(H1019="","",IFERROR(INDEX(art_unit,MATCH(H1019,art_ref,0))&amp;"",""))</f>
        <v/>
      </c>
      <c r="K1019" s="59" t="n"/>
      <c r="L1019" s="59" t="n"/>
      <c r="M1019" s="61" t="str">
        <f>IF(OR(B1019="",NOT(ISNUMBER(K1019)),NOT(ISNUMBER(L1019))),"",IF(OR(K1019&lt;=0,L1019&lt;=0),"",ROUND(L1019-K1019,6)))</f>
        <v/>
      </c>
      <c r="N1019" s="58" t="n"/>
      <c r="O1019" s="62" t="n"/>
      <c r="P1019" s="63" t="str">
        <f>IF(OR(B1019="",NOT(ISNUMBER(L1019))),"",IF(L1019&lt;=0,"",IFERROR(ROUND(L1019*N(INDEX(art_w,MATCH(H1019,art_ref,0))),3),"")))</f>
        <v/>
      </c>
      <c r="Q1019" s="59" t="n"/>
      <c r="R1019" s="54" t="n"/>
      <c r="S1019" s="59" t="n"/>
      <c r="T1019" s="59" t="n"/>
      <c r="U1019" s="64" t="str">
        <f>IF(OR(B1019="",H1019=""),"",IFERROR(IF(A1019="BL",IF(N(INDEX(art_price,MATCH(H1019,art_ref,0)))=0,"",N(INDEX(art_price,MATCH(H1019,art_ref,0)))),IF(N(INDEX(art_cost,MATCH(H1019,art_ref,0)))=0,"",N(INDEX(art_cost,MATCH(H1019,art_ref,0))))),""))</f>
        <v/>
      </c>
      <c r="V1019" s="64" t="str">
        <f>IF(OR(U1019="",NOT(ISNUMBER(L1019))),"",IF(L1019&lt;=0,"",ROUND(L1019*U1019,2)))</f>
        <v/>
      </c>
      <c r="W1019" s="60" t="str">
        <f>IF(AND(B1019&lt;&gt;"",A1019&lt;&gt;"BS",F1019&lt;&gt;"",H1019&lt;&gt;"",ISNUMBER(K1019),ISNUMBER(L1019)),IF(AND(K1019&gt;0,L1019&gt;0,K1019-L1019&gt;0,COUNTIFS(A1020:A$2005,A1019,F1020:F$2005,F1019,H1020:H$2005,H1019,AA1020:AA$2005,"&gt;0")=0),ROUND(K1019-L1019,6),""),"")</f>
        <v/>
      </c>
      <c r="X1019" s="60" t="str">
        <f>IF(AND(A1019="",C1019="",D1019="",H1019="",L1019=""),"",IF(A1019="","Type manquant",IF(AND(A1019&lt;&gt;"BL",A1019&lt;&gt;"BR",A1019&lt;&gt;"BS"),"Type inconnu (BL, BR ou BS)",IF(AG1019=0,"Date manquante ou invalide",IF(D1019="",IF(A1019="BL","Client manquant",IF(A1019="BR","Fournisseur manquant","Service manquant")),IF(IF(A1019="BL",ISNA(MATCH(D1019,cl_code,0)),IF(A1019="BR",ISNA(MATCH(D1019,fo_code,0)),ISNA(MATCH(D1019,p_services,0)))),IF(A1019="BL","Client inconnu",IF(A1019="BR","Fournisseur inconnu","Service inconnu")),IF(H1019="","Article manquant",IF(ISNA(MATCH(H1019,art_ref,0)),"Article inconnu",IF(OR(NOT(ISNUMBER(L1019)),N(L1019)&lt;=0),"Quantité invalide",IF(AND(K1019&lt;&gt;"",OR(NOT(ISNUMBER(K1019)),N(K1019)&lt;=0)),"Qté commandée invalide",IF(AG1019&lt;SUMPRODUCT(MAX((A$6:A1018=A1019)*AG$6:AG1018)),"Date antérieure au bon précédent",IF(AND(A1019&lt;&gt;"BR",ISNUMBER(M1019),N(M1019)&gt;0),IF(A1019="BL","Livré plus que commandé","Sorti plus que demandé"),"OK"))))))))))))</f>
        <v/>
      </c>
      <c r="Y1019" s="57" t="str">
        <f>IF(AND(OR(A1019="BL",A1019="BR",A1019="BS"),AG1019&gt;0,D1019&lt;&gt;""),A1019&amp;"|"&amp;AG1019&amp;"|"&amp;D1019&amp;"|"&amp;F1019,"")</f>
        <v/>
      </c>
      <c r="Z1019" s="57" t="str">
        <f>IF(Y1019="","",IF(COUNTIF(Y$6:Y1018,Y1019)=0,1,0))</f>
        <v/>
      </c>
      <c r="AA1019" s="57" t="str">
        <f>IF(Y1019="","",IF(Z1019=1,COUNTIFS(A$6:A1019,A1019,Z$6:Z1019,1),INDEX(AA$6:AA1018,MATCH(Y1019,Y$6:Y1018,0))))</f>
        <v/>
      </c>
      <c r="AB1019" s="57" t="str">
        <f>IF(B1019="","",COUNTIF(B$6:B1019,B1019))</f>
        <v/>
      </c>
      <c r="AC1019" s="57" t="str">
        <f>IF(B1019="","",B1019&amp;"#"&amp;AB1019)</f>
        <v/>
      </c>
      <c r="AD1019" s="57" t="str">
        <f>IF(Z1019=1,A1019&amp;AA1019,"")</f>
        <v/>
      </c>
      <c r="AE1019" s="57" t="str">
        <f>IF(B1019="","",YEAR(C1019))</f>
        <v/>
      </c>
      <c r="AF1019" s="57" t="str">
        <f>IF(B1019="","",MONTH(C1019))</f>
        <v/>
      </c>
      <c r="AG1019" s="57">
        <f>IF(ISNUMBER(C1019),C1019,0)</f>
        <v>0.0</v>
      </c>
      <c r="AH1019" s="57" t="str">
        <f>IF(N(W1019)&gt;0,COUNTIF(W$6:W1019,"&gt;0"),"")</f>
        <v/>
      </c>
      <c r="AI1019" s="57" t="str">
        <f>IF(Z1019=1,COUNTIF(Z$6:Z1019,1),"")</f>
        <v/>
      </c>
    </row>
    <row r="1020">
      <c r="A1020" s="54" t="n"/>
      <c r="B1020" s="55" t="str">
        <f>IF(AA1020="","",A1020&amp;"-"&amp;RIGHT("000"&amp;AA1020,4))</f>
        <v/>
      </c>
      <c r="C1020" s="56" t="n"/>
      <c r="D1020" s="54" t="n"/>
      <c r="E1020" s="57" t="str">
        <f>IF(D1020="","",IF(A1020="BL",IFERROR(INDEX(cl_name,MATCH(D1020,cl_code,0))&amp;"","Client inconnu"),IF(A1020="BR",IFERROR(INDEX(fo_name,MATCH(D1020,fo_code,0))&amp;"","Fournisseur inconnu"),IF(A1020="BS",IF(ISNA(MATCH(D1020,p_services,0)),"Service inconnu",D1020&amp;""),""))))</f>
        <v/>
      </c>
      <c r="F1020" s="58" t="n"/>
      <c r="G1020" s="58" t="n"/>
      <c r="H1020" s="59" t="n"/>
      <c r="I1020" s="57" t="str">
        <f>IF(H1020="","",IFERROR(INDEX(art_des,MATCH(H1020,art_ref,0))&amp;"","Article inconnu"))</f>
        <v/>
      </c>
      <c r="J1020" s="60" t="str">
        <f>IF(H1020="","",IFERROR(INDEX(art_unit,MATCH(H1020,art_ref,0))&amp;"",""))</f>
        <v/>
      </c>
      <c r="K1020" s="59" t="n"/>
      <c r="L1020" s="59" t="n"/>
      <c r="M1020" s="61" t="str">
        <f>IF(OR(B1020="",NOT(ISNUMBER(K1020)),NOT(ISNUMBER(L1020))),"",IF(OR(K1020&lt;=0,L1020&lt;=0),"",ROUND(L1020-K1020,6)))</f>
        <v/>
      </c>
      <c r="N1020" s="58" t="n"/>
      <c r="O1020" s="62" t="n"/>
      <c r="P1020" s="63" t="str">
        <f>IF(OR(B1020="",NOT(ISNUMBER(L1020))),"",IF(L1020&lt;=0,"",IFERROR(ROUND(L1020*N(INDEX(art_w,MATCH(H1020,art_ref,0))),3),"")))</f>
        <v/>
      </c>
      <c r="Q1020" s="59" t="n"/>
      <c r="R1020" s="54" t="n"/>
      <c r="S1020" s="59" t="n"/>
      <c r="T1020" s="59" t="n"/>
      <c r="U1020" s="64" t="str">
        <f>IF(OR(B1020="",H1020=""),"",IFERROR(IF(A1020="BL",IF(N(INDEX(art_price,MATCH(H1020,art_ref,0)))=0,"",N(INDEX(art_price,MATCH(H1020,art_ref,0)))),IF(N(INDEX(art_cost,MATCH(H1020,art_ref,0)))=0,"",N(INDEX(art_cost,MATCH(H1020,art_ref,0))))),""))</f>
        <v/>
      </c>
      <c r="V1020" s="64" t="str">
        <f>IF(OR(U1020="",NOT(ISNUMBER(L1020))),"",IF(L1020&lt;=0,"",ROUND(L1020*U1020,2)))</f>
        <v/>
      </c>
      <c r="W1020" s="60" t="str">
        <f>IF(AND(B1020&lt;&gt;"",A1020&lt;&gt;"BS",F1020&lt;&gt;"",H1020&lt;&gt;"",ISNUMBER(K1020),ISNUMBER(L1020)),IF(AND(K1020&gt;0,L1020&gt;0,K1020-L1020&gt;0,COUNTIFS(A1021:A$2005,A1020,F1021:F$2005,F1020,H1021:H$2005,H1020,AA1021:AA$2005,"&gt;0")=0),ROUND(K1020-L1020,6),""),"")</f>
        <v/>
      </c>
      <c r="X1020" s="60" t="str">
        <f>IF(AND(A1020="",C1020="",D1020="",H1020="",L1020=""),"",IF(A1020="","Type manquant",IF(AND(A1020&lt;&gt;"BL",A1020&lt;&gt;"BR",A1020&lt;&gt;"BS"),"Type inconnu (BL, BR ou BS)",IF(AG1020=0,"Date manquante ou invalide",IF(D1020="",IF(A1020="BL","Client manquant",IF(A1020="BR","Fournisseur manquant","Service manquant")),IF(IF(A1020="BL",ISNA(MATCH(D1020,cl_code,0)),IF(A1020="BR",ISNA(MATCH(D1020,fo_code,0)),ISNA(MATCH(D1020,p_services,0)))),IF(A1020="BL","Client inconnu",IF(A1020="BR","Fournisseur inconnu","Service inconnu")),IF(H1020="","Article manquant",IF(ISNA(MATCH(H1020,art_ref,0)),"Article inconnu",IF(OR(NOT(ISNUMBER(L1020)),N(L1020)&lt;=0),"Quantité invalide",IF(AND(K1020&lt;&gt;"",OR(NOT(ISNUMBER(K1020)),N(K1020)&lt;=0)),"Qté commandée invalide",IF(AG1020&lt;SUMPRODUCT(MAX((A$6:A1019=A1020)*AG$6:AG1019)),"Date antérieure au bon précédent",IF(AND(A1020&lt;&gt;"BR",ISNUMBER(M1020),N(M1020)&gt;0),IF(A1020="BL","Livré plus que commandé","Sorti plus que demandé"),"OK"))))))))))))</f>
        <v/>
      </c>
      <c r="Y1020" s="57" t="str">
        <f>IF(AND(OR(A1020="BL",A1020="BR",A1020="BS"),AG1020&gt;0,D1020&lt;&gt;""),A1020&amp;"|"&amp;AG1020&amp;"|"&amp;D1020&amp;"|"&amp;F1020,"")</f>
        <v/>
      </c>
      <c r="Z1020" s="57" t="str">
        <f>IF(Y1020="","",IF(COUNTIF(Y$6:Y1019,Y1020)=0,1,0))</f>
        <v/>
      </c>
      <c r="AA1020" s="57" t="str">
        <f>IF(Y1020="","",IF(Z1020=1,COUNTIFS(A$6:A1020,A1020,Z$6:Z1020,1),INDEX(AA$6:AA1019,MATCH(Y1020,Y$6:Y1019,0))))</f>
        <v/>
      </c>
      <c r="AB1020" s="57" t="str">
        <f>IF(B1020="","",COUNTIF(B$6:B1020,B1020))</f>
        <v/>
      </c>
      <c r="AC1020" s="57" t="str">
        <f>IF(B1020="","",B1020&amp;"#"&amp;AB1020)</f>
        <v/>
      </c>
      <c r="AD1020" s="57" t="str">
        <f>IF(Z1020=1,A1020&amp;AA1020,"")</f>
        <v/>
      </c>
      <c r="AE1020" s="57" t="str">
        <f>IF(B1020="","",YEAR(C1020))</f>
        <v/>
      </c>
      <c r="AF1020" s="57" t="str">
        <f>IF(B1020="","",MONTH(C1020))</f>
        <v/>
      </c>
      <c r="AG1020" s="57">
        <f>IF(ISNUMBER(C1020),C1020,0)</f>
        <v>0.0</v>
      </c>
      <c r="AH1020" s="57" t="str">
        <f>IF(N(W1020)&gt;0,COUNTIF(W$6:W1020,"&gt;0"),"")</f>
        <v/>
      </c>
      <c r="AI1020" s="57" t="str">
        <f>IF(Z1020=1,COUNTIF(Z$6:Z1020,1),"")</f>
        <v/>
      </c>
    </row>
    <row r="1021">
      <c r="A1021" s="54" t="n"/>
      <c r="B1021" s="55" t="str">
        <f>IF(AA1021="","",A1021&amp;"-"&amp;RIGHT("000"&amp;AA1021,4))</f>
        <v/>
      </c>
      <c r="C1021" s="56" t="n"/>
      <c r="D1021" s="54" t="n"/>
      <c r="E1021" s="57" t="str">
        <f>IF(D1021="","",IF(A1021="BL",IFERROR(INDEX(cl_name,MATCH(D1021,cl_code,0))&amp;"","Client inconnu"),IF(A1021="BR",IFERROR(INDEX(fo_name,MATCH(D1021,fo_code,0))&amp;"","Fournisseur inconnu"),IF(A1021="BS",IF(ISNA(MATCH(D1021,p_services,0)),"Service inconnu",D1021&amp;""),""))))</f>
        <v/>
      </c>
      <c r="F1021" s="58" t="n"/>
      <c r="G1021" s="58" t="n"/>
      <c r="H1021" s="59" t="n"/>
      <c r="I1021" s="57" t="str">
        <f>IF(H1021="","",IFERROR(INDEX(art_des,MATCH(H1021,art_ref,0))&amp;"","Article inconnu"))</f>
        <v/>
      </c>
      <c r="J1021" s="60" t="str">
        <f>IF(H1021="","",IFERROR(INDEX(art_unit,MATCH(H1021,art_ref,0))&amp;"",""))</f>
        <v/>
      </c>
      <c r="K1021" s="59" t="n"/>
      <c r="L1021" s="59" t="n"/>
      <c r="M1021" s="61" t="str">
        <f>IF(OR(B1021="",NOT(ISNUMBER(K1021)),NOT(ISNUMBER(L1021))),"",IF(OR(K1021&lt;=0,L1021&lt;=0),"",ROUND(L1021-K1021,6)))</f>
        <v/>
      </c>
      <c r="N1021" s="58" t="n"/>
      <c r="O1021" s="62" t="n"/>
      <c r="P1021" s="63" t="str">
        <f>IF(OR(B1021="",NOT(ISNUMBER(L1021))),"",IF(L1021&lt;=0,"",IFERROR(ROUND(L1021*N(INDEX(art_w,MATCH(H1021,art_ref,0))),3),"")))</f>
        <v/>
      </c>
      <c r="Q1021" s="59" t="n"/>
      <c r="R1021" s="54" t="n"/>
      <c r="S1021" s="59" t="n"/>
      <c r="T1021" s="59" t="n"/>
      <c r="U1021" s="64" t="str">
        <f>IF(OR(B1021="",H1021=""),"",IFERROR(IF(A1021="BL",IF(N(INDEX(art_price,MATCH(H1021,art_ref,0)))=0,"",N(INDEX(art_price,MATCH(H1021,art_ref,0)))),IF(N(INDEX(art_cost,MATCH(H1021,art_ref,0)))=0,"",N(INDEX(art_cost,MATCH(H1021,art_ref,0))))),""))</f>
        <v/>
      </c>
      <c r="V1021" s="64" t="str">
        <f>IF(OR(U1021="",NOT(ISNUMBER(L1021))),"",IF(L1021&lt;=0,"",ROUND(L1021*U1021,2)))</f>
        <v/>
      </c>
      <c r="W1021" s="60" t="str">
        <f>IF(AND(B1021&lt;&gt;"",A1021&lt;&gt;"BS",F1021&lt;&gt;"",H1021&lt;&gt;"",ISNUMBER(K1021),ISNUMBER(L1021)),IF(AND(K1021&gt;0,L1021&gt;0,K1021-L1021&gt;0,COUNTIFS(A1022:A$2005,A1021,F1022:F$2005,F1021,H1022:H$2005,H1021,AA1022:AA$2005,"&gt;0")=0),ROUND(K1021-L1021,6),""),"")</f>
        <v/>
      </c>
      <c r="X1021" s="60" t="str">
        <f>IF(AND(A1021="",C1021="",D1021="",H1021="",L1021=""),"",IF(A1021="","Type manquant",IF(AND(A1021&lt;&gt;"BL",A1021&lt;&gt;"BR",A1021&lt;&gt;"BS"),"Type inconnu (BL, BR ou BS)",IF(AG1021=0,"Date manquante ou invalide",IF(D1021="",IF(A1021="BL","Client manquant",IF(A1021="BR","Fournisseur manquant","Service manquant")),IF(IF(A1021="BL",ISNA(MATCH(D1021,cl_code,0)),IF(A1021="BR",ISNA(MATCH(D1021,fo_code,0)),ISNA(MATCH(D1021,p_services,0)))),IF(A1021="BL","Client inconnu",IF(A1021="BR","Fournisseur inconnu","Service inconnu")),IF(H1021="","Article manquant",IF(ISNA(MATCH(H1021,art_ref,0)),"Article inconnu",IF(OR(NOT(ISNUMBER(L1021)),N(L1021)&lt;=0),"Quantité invalide",IF(AND(K1021&lt;&gt;"",OR(NOT(ISNUMBER(K1021)),N(K1021)&lt;=0)),"Qté commandée invalide",IF(AG1021&lt;SUMPRODUCT(MAX((A$6:A1020=A1021)*AG$6:AG1020)),"Date antérieure au bon précédent",IF(AND(A1021&lt;&gt;"BR",ISNUMBER(M1021),N(M1021)&gt;0),IF(A1021="BL","Livré plus que commandé","Sorti plus que demandé"),"OK"))))))))))))</f>
        <v/>
      </c>
      <c r="Y1021" s="57" t="str">
        <f>IF(AND(OR(A1021="BL",A1021="BR",A1021="BS"),AG1021&gt;0,D1021&lt;&gt;""),A1021&amp;"|"&amp;AG1021&amp;"|"&amp;D1021&amp;"|"&amp;F1021,"")</f>
        <v/>
      </c>
      <c r="Z1021" s="57" t="str">
        <f>IF(Y1021="","",IF(COUNTIF(Y$6:Y1020,Y1021)=0,1,0))</f>
        <v/>
      </c>
      <c r="AA1021" s="57" t="str">
        <f>IF(Y1021="","",IF(Z1021=1,COUNTIFS(A$6:A1021,A1021,Z$6:Z1021,1),INDEX(AA$6:AA1020,MATCH(Y1021,Y$6:Y1020,0))))</f>
        <v/>
      </c>
      <c r="AB1021" s="57" t="str">
        <f>IF(B1021="","",COUNTIF(B$6:B1021,B1021))</f>
        <v/>
      </c>
      <c r="AC1021" s="57" t="str">
        <f>IF(B1021="","",B1021&amp;"#"&amp;AB1021)</f>
        <v/>
      </c>
      <c r="AD1021" s="57" t="str">
        <f>IF(Z1021=1,A1021&amp;AA1021,"")</f>
        <v/>
      </c>
      <c r="AE1021" s="57" t="str">
        <f>IF(B1021="","",YEAR(C1021))</f>
        <v/>
      </c>
      <c r="AF1021" s="57" t="str">
        <f>IF(B1021="","",MONTH(C1021))</f>
        <v/>
      </c>
      <c r="AG1021" s="57">
        <f>IF(ISNUMBER(C1021),C1021,0)</f>
        <v>0.0</v>
      </c>
      <c r="AH1021" s="57" t="str">
        <f>IF(N(W1021)&gt;0,COUNTIF(W$6:W1021,"&gt;0"),"")</f>
        <v/>
      </c>
      <c r="AI1021" s="57" t="str">
        <f>IF(Z1021=1,COUNTIF(Z$6:Z1021,1),"")</f>
        <v/>
      </c>
    </row>
    <row r="1022">
      <c r="A1022" s="54" t="n"/>
      <c r="B1022" s="55" t="str">
        <f>IF(AA1022="","",A1022&amp;"-"&amp;RIGHT("000"&amp;AA1022,4))</f>
        <v/>
      </c>
      <c r="C1022" s="56" t="n"/>
      <c r="D1022" s="54" t="n"/>
      <c r="E1022" s="57" t="str">
        <f>IF(D1022="","",IF(A1022="BL",IFERROR(INDEX(cl_name,MATCH(D1022,cl_code,0))&amp;"","Client inconnu"),IF(A1022="BR",IFERROR(INDEX(fo_name,MATCH(D1022,fo_code,0))&amp;"","Fournisseur inconnu"),IF(A1022="BS",IF(ISNA(MATCH(D1022,p_services,0)),"Service inconnu",D1022&amp;""),""))))</f>
        <v/>
      </c>
      <c r="F1022" s="58" t="n"/>
      <c r="G1022" s="58" t="n"/>
      <c r="H1022" s="59" t="n"/>
      <c r="I1022" s="57" t="str">
        <f>IF(H1022="","",IFERROR(INDEX(art_des,MATCH(H1022,art_ref,0))&amp;"","Article inconnu"))</f>
        <v/>
      </c>
      <c r="J1022" s="60" t="str">
        <f>IF(H1022="","",IFERROR(INDEX(art_unit,MATCH(H1022,art_ref,0))&amp;"",""))</f>
        <v/>
      </c>
      <c r="K1022" s="59" t="n"/>
      <c r="L1022" s="59" t="n"/>
      <c r="M1022" s="61" t="str">
        <f>IF(OR(B1022="",NOT(ISNUMBER(K1022)),NOT(ISNUMBER(L1022))),"",IF(OR(K1022&lt;=0,L1022&lt;=0),"",ROUND(L1022-K1022,6)))</f>
        <v/>
      </c>
      <c r="N1022" s="58" t="n"/>
      <c r="O1022" s="62" t="n"/>
      <c r="P1022" s="63" t="str">
        <f>IF(OR(B1022="",NOT(ISNUMBER(L1022))),"",IF(L1022&lt;=0,"",IFERROR(ROUND(L1022*N(INDEX(art_w,MATCH(H1022,art_ref,0))),3),"")))</f>
        <v/>
      </c>
      <c r="Q1022" s="59" t="n"/>
      <c r="R1022" s="54" t="n"/>
      <c r="S1022" s="59" t="n"/>
      <c r="T1022" s="59" t="n"/>
      <c r="U1022" s="64" t="str">
        <f>IF(OR(B1022="",H1022=""),"",IFERROR(IF(A1022="BL",IF(N(INDEX(art_price,MATCH(H1022,art_ref,0)))=0,"",N(INDEX(art_price,MATCH(H1022,art_ref,0)))),IF(N(INDEX(art_cost,MATCH(H1022,art_ref,0)))=0,"",N(INDEX(art_cost,MATCH(H1022,art_ref,0))))),""))</f>
        <v/>
      </c>
      <c r="V1022" s="64" t="str">
        <f>IF(OR(U1022="",NOT(ISNUMBER(L1022))),"",IF(L1022&lt;=0,"",ROUND(L1022*U1022,2)))</f>
        <v/>
      </c>
      <c r="W1022" s="60" t="str">
        <f>IF(AND(B1022&lt;&gt;"",A1022&lt;&gt;"BS",F1022&lt;&gt;"",H1022&lt;&gt;"",ISNUMBER(K1022),ISNUMBER(L1022)),IF(AND(K1022&gt;0,L1022&gt;0,K1022-L1022&gt;0,COUNTIFS(A1023:A$2005,A1022,F1023:F$2005,F1022,H1023:H$2005,H1022,AA1023:AA$2005,"&gt;0")=0),ROUND(K1022-L1022,6),""),"")</f>
        <v/>
      </c>
      <c r="X1022" s="60" t="str">
        <f>IF(AND(A1022="",C1022="",D1022="",H1022="",L1022=""),"",IF(A1022="","Type manquant",IF(AND(A1022&lt;&gt;"BL",A1022&lt;&gt;"BR",A1022&lt;&gt;"BS"),"Type inconnu (BL, BR ou BS)",IF(AG1022=0,"Date manquante ou invalide",IF(D1022="",IF(A1022="BL","Client manquant",IF(A1022="BR","Fournisseur manquant","Service manquant")),IF(IF(A1022="BL",ISNA(MATCH(D1022,cl_code,0)),IF(A1022="BR",ISNA(MATCH(D1022,fo_code,0)),ISNA(MATCH(D1022,p_services,0)))),IF(A1022="BL","Client inconnu",IF(A1022="BR","Fournisseur inconnu","Service inconnu")),IF(H1022="","Article manquant",IF(ISNA(MATCH(H1022,art_ref,0)),"Article inconnu",IF(OR(NOT(ISNUMBER(L1022)),N(L1022)&lt;=0),"Quantité invalide",IF(AND(K1022&lt;&gt;"",OR(NOT(ISNUMBER(K1022)),N(K1022)&lt;=0)),"Qté commandée invalide",IF(AG1022&lt;SUMPRODUCT(MAX((A$6:A1021=A1022)*AG$6:AG1021)),"Date antérieure au bon précédent",IF(AND(A1022&lt;&gt;"BR",ISNUMBER(M1022),N(M1022)&gt;0),IF(A1022="BL","Livré plus que commandé","Sorti plus que demandé"),"OK"))))))))))))</f>
        <v/>
      </c>
      <c r="Y1022" s="57" t="str">
        <f>IF(AND(OR(A1022="BL",A1022="BR",A1022="BS"),AG1022&gt;0,D1022&lt;&gt;""),A1022&amp;"|"&amp;AG1022&amp;"|"&amp;D1022&amp;"|"&amp;F1022,"")</f>
        <v/>
      </c>
      <c r="Z1022" s="57" t="str">
        <f>IF(Y1022="","",IF(COUNTIF(Y$6:Y1021,Y1022)=0,1,0))</f>
        <v/>
      </c>
      <c r="AA1022" s="57" t="str">
        <f>IF(Y1022="","",IF(Z1022=1,COUNTIFS(A$6:A1022,A1022,Z$6:Z1022,1),INDEX(AA$6:AA1021,MATCH(Y1022,Y$6:Y1021,0))))</f>
        <v/>
      </c>
      <c r="AB1022" s="57" t="str">
        <f>IF(B1022="","",COUNTIF(B$6:B1022,B1022))</f>
        <v/>
      </c>
      <c r="AC1022" s="57" t="str">
        <f>IF(B1022="","",B1022&amp;"#"&amp;AB1022)</f>
        <v/>
      </c>
      <c r="AD1022" s="57" t="str">
        <f>IF(Z1022=1,A1022&amp;AA1022,"")</f>
        <v/>
      </c>
      <c r="AE1022" s="57" t="str">
        <f>IF(B1022="","",YEAR(C1022))</f>
        <v/>
      </c>
      <c r="AF1022" s="57" t="str">
        <f>IF(B1022="","",MONTH(C1022))</f>
        <v/>
      </c>
      <c r="AG1022" s="57">
        <f>IF(ISNUMBER(C1022),C1022,0)</f>
        <v>0.0</v>
      </c>
      <c r="AH1022" s="57" t="str">
        <f>IF(N(W1022)&gt;0,COUNTIF(W$6:W1022,"&gt;0"),"")</f>
        <v/>
      </c>
      <c r="AI1022" s="57" t="str">
        <f>IF(Z1022=1,COUNTIF(Z$6:Z1022,1),"")</f>
        <v/>
      </c>
    </row>
    <row r="1023">
      <c r="A1023" s="54" t="n"/>
      <c r="B1023" s="55" t="str">
        <f>IF(AA1023="","",A1023&amp;"-"&amp;RIGHT("000"&amp;AA1023,4))</f>
        <v/>
      </c>
      <c r="C1023" s="56" t="n"/>
      <c r="D1023" s="54" t="n"/>
      <c r="E1023" s="57" t="str">
        <f>IF(D1023="","",IF(A1023="BL",IFERROR(INDEX(cl_name,MATCH(D1023,cl_code,0))&amp;"","Client inconnu"),IF(A1023="BR",IFERROR(INDEX(fo_name,MATCH(D1023,fo_code,0))&amp;"","Fournisseur inconnu"),IF(A1023="BS",IF(ISNA(MATCH(D1023,p_services,0)),"Service inconnu",D1023&amp;""),""))))</f>
        <v/>
      </c>
      <c r="F1023" s="58" t="n"/>
      <c r="G1023" s="58" t="n"/>
      <c r="H1023" s="59" t="n"/>
      <c r="I1023" s="57" t="str">
        <f>IF(H1023="","",IFERROR(INDEX(art_des,MATCH(H1023,art_ref,0))&amp;"","Article inconnu"))</f>
        <v/>
      </c>
      <c r="J1023" s="60" t="str">
        <f>IF(H1023="","",IFERROR(INDEX(art_unit,MATCH(H1023,art_ref,0))&amp;"",""))</f>
        <v/>
      </c>
      <c r="K1023" s="59" t="n"/>
      <c r="L1023" s="59" t="n"/>
      <c r="M1023" s="61" t="str">
        <f>IF(OR(B1023="",NOT(ISNUMBER(K1023)),NOT(ISNUMBER(L1023))),"",IF(OR(K1023&lt;=0,L1023&lt;=0),"",ROUND(L1023-K1023,6)))</f>
        <v/>
      </c>
      <c r="N1023" s="58" t="n"/>
      <c r="O1023" s="62" t="n"/>
      <c r="P1023" s="63" t="str">
        <f>IF(OR(B1023="",NOT(ISNUMBER(L1023))),"",IF(L1023&lt;=0,"",IFERROR(ROUND(L1023*N(INDEX(art_w,MATCH(H1023,art_ref,0))),3),"")))</f>
        <v/>
      </c>
      <c r="Q1023" s="59" t="n"/>
      <c r="R1023" s="54" t="n"/>
      <c r="S1023" s="59" t="n"/>
      <c r="T1023" s="59" t="n"/>
      <c r="U1023" s="64" t="str">
        <f>IF(OR(B1023="",H1023=""),"",IFERROR(IF(A1023="BL",IF(N(INDEX(art_price,MATCH(H1023,art_ref,0)))=0,"",N(INDEX(art_price,MATCH(H1023,art_ref,0)))),IF(N(INDEX(art_cost,MATCH(H1023,art_ref,0)))=0,"",N(INDEX(art_cost,MATCH(H1023,art_ref,0))))),""))</f>
        <v/>
      </c>
      <c r="V1023" s="64" t="str">
        <f>IF(OR(U1023="",NOT(ISNUMBER(L1023))),"",IF(L1023&lt;=0,"",ROUND(L1023*U1023,2)))</f>
        <v/>
      </c>
      <c r="W1023" s="60" t="str">
        <f>IF(AND(B1023&lt;&gt;"",A1023&lt;&gt;"BS",F1023&lt;&gt;"",H1023&lt;&gt;"",ISNUMBER(K1023),ISNUMBER(L1023)),IF(AND(K1023&gt;0,L1023&gt;0,K1023-L1023&gt;0,COUNTIFS(A1024:A$2005,A1023,F1024:F$2005,F1023,H1024:H$2005,H1023,AA1024:AA$2005,"&gt;0")=0),ROUND(K1023-L1023,6),""),"")</f>
        <v/>
      </c>
      <c r="X1023" s="60" t="str">
        <f>IF(AND(A1023="",C1023="",D1023="",H1023="",L1023=""),"",IF(A1023="","Type manquant",IF(AND(A1023&lt;&gt;"BL",A1023&lt;&gt;"BR",A1023&lt;&gt;"BS"),"Type inconnu (BL, BR ou BS)",IF(AG1023=0,"Date manquante ou invalide",IF(D1023="",IF(A1023="BL","Client manquant",IF(A1023="BR","Fournisseur manquant","Service manquant")),IF(IF(A1023="BL",ISNA(MATCH(D1023,cl_code,0)),IF(A1023="BR",ISNA(MATCH(D1023,fo_code,0)),ISNA(MATCH(D1023,p_services,0)))),IF(A1023="BL","Client inconnu",IF(A1023="BR","Fournisseur inconnu","Service inconnu")),IF(H1023="","Article manquant",IF(ISNA(MATCH(H1023,art_ref,0)),"Article inconnu",IF(OR(NOT(ISNUMBER(L1023)),N(L1023)&lt;=0),"Quantité invalide",IF(AND(K1023&lt;&gt;"",OR(NOT(ISNUMBER(K1023)),N(K1023)&lt;=0)),"Qté commandée invalide",IF(AG1023&lt;SUMPRODUCT(MAX((A$6:A1022=A1023)*AG$6:AG1022)),"Date antérieure au bon précédent",IF(AND(A1023&lt;&gt;"BR",ISNUMBER(M1023),N(M1023)&gt;0),IF(A1023="BL","Livré plus que commandé","Sorti plus que demandé"),"OK"))))))))))))</f>
        <v/>
      </c>
      <c r="Y1023" s="57" t="str">
        <f>IF(AND(OR(A1023="BL",A1023="BR",A1023="BS"),AG1023&gt;0,D1023&lt;&gt;""),A1023&amp;"|"&amp;AG1023&amp;"|"&amp;D1023&amp;"|"&amp;F1023,"")</f>
        <v/>
      </c>
      <c r="Z1023" s="57" t="str">
        <f>IF(Y1023="","",IF(COUNTIF(Y$6:Y1022,Y1023)=0,1,0))</f>
        <v/>
      </c>
      <c r="AA1023" s="57" t="str">
        <f>IF(Y1023="","",IF(Z1023=1,COUNTIFS(A$6:A1023,A1023,Z$6:Z1023,1),INDEX(AA$6:AA1022,MATCH(Y1023,Y$6:Y1022,0))))</f>
        <v/>
      </c>
      <c r="AB1023" s="57" t="str">
        <f>IF(B1023="","",COUNTIF(B$6:B1023,B1023))</f>
        <v/>
      </c>
      <c r="AC1023" s="57" t="str">
        <f>IF(B1023="","",B1023&amp;"#"&amp;AB1023)</f>
        <v/>
      </c>
      <c r="AD1023" s="57" t="str">
        <f>IF(Z1023=1,A1023&amp;AA1023,"")</f>
        <v/>
      </c>
      <c r="AE1023" s="57" t="str">
        <f>IF(B1023="","",YEAR(C1023))</f>
        <v/>
      </c>
      <c r="AF1023" s="57" t="str">
        <f>IF(B1023="","",MONTH(C1023))</f>
        <v/>
      </c>
      <c r="AG1023" s="57">
        <f>IF(ISNUMBER(C1023),C1023,0)</f>
        <v>0.0</v>
      </c>
      <c r="AH1023" s="57" t="str">
        <f>IF(N(W1023)&gt;0,COUNTIF(W$6:W1023,"&gt;0"),"")</f>
        <v/>
      </c>
      <c r="AI1023" s="57" t="str">
        <f>IF(Z1023=1,COUNTIF(Z$6:Z1023,1),"")</f>
        <v/>
      </c>
    </row>
    <row r="1024">
      <c r="A1024" s="54" t="n"/>
      <c r="B1024" s="55" t="str">
        <f>IF(AA1024="","",A1024&amp;"-"&amp;RIGHT("000"&amp;AA1024,4))</f>
        <v/>
      </c>
      <c r="C1024" s="56" t="n"/>
      <c r="D1024" s="54" t="n"/>
      <c r="E1024" s="57" t="str">
        <f>IF(D1024="","",IF(A1024="BL",IFERROR(INDEX(cl_name,MATCH(D1024,cl_code,0))&amp;"","Client inconnu"),IF(A1024="BR",IFERROR(INDEX(fo_name,MATCH(D1024,fo_code,0))&amp;"","Fournisseur inconnu"),IF(A1024="BS",IF(ISNA(MATCH(D1024,p_services,0)),"Service inconnu",D1024&amp;""),""))))</f>
        <v/>
      </c>
      <c r="F1024" s="58" t="n"/>
      <c r="G1024" s="58" t="n"/>
      <c r="H1024" s="59" t="n"/>
      <c r="I1024" s="57" t="str">
        <f>IF(H1024="","",IFERROR(INDEX(art_des,MATCH(H1024,art_ref,0))&amp;"","Article inconnu"))</f>
        <v/>
      </c>
      <c r="J1024" s="60" t="str">
        <f>IF(H1024="","",IFERROR(INDEX(art_unit,MATCH(H1024,art_ref,0))&amp;"",""))</f>
        <v/>
      </c>
      <c r="K1024" s="59" t="n"/>
      <c r="L1024" s="59" t="n"/>
      <c r="M1024" s="61" t="str">
        <f>IF(OR(B1024="",NOT(ISNUMBER(K1024)),NOT(ISNUMBER(L1024))),"",IF(OR(K1024&lt;=0,L1024&lt;=0),"",ROUND(L1024-K1024,6)))</f>
        <v/>
      </c>
      <c r="N1024" s="58" t="n"/>
      <c r="O1024" s="62" t="n"/>
      <c r="P1024" s="63" t="str">
        <f>IF(OR(B1024="",NOT(ISNUMBER(L1024))),"",IF(L1024&lt;=0,"",IFERROR(ROUND(L1024*N(INDEX(art_w,MATCH(H1024,art_ref,0))),3),"")))</f>
        <v/>
      </c>
      <c r="Q1024" s="59" t="n"/>
      <c r="R1024" s="54" t="n"/>
      <c r="S1024" s="59" t="n"/>
      <c r="T1024" s="59" t="n"/>
      <c r="U1024" s="64" t="str">
        <f>IF(OR(B1024="",H1024=""),"",IFERROR(IF(A1024="BL",IF(N(INDEX(art_price,MATCH(H1024,art_ref,0)))=0,"",N(INDEX(art_price,MATCH(H1024,art_ref,0)))),IF(N(INDEX(art_cost,MATCH(H1024,art_ref,0)))=0,"",N(INDEX(art_cost,MATCH(H1024,art_ref,0))))),""))</f>
        <v/>
      </c>
      <c r="V1024" s="64" t="str">
        <f>IF(OR(U1024="",NOT(ISNUMBER(L1024))),"",IF(L1024&lt;=0,"",ROUND(L1024*U1024,2)))</f>
        <v/>
      </c>
      <c r="W1024" s="60" t="str">
        <f>IF(AND(B1024&lt;&gt;"",A1024&lt;&gt;"BS",F1024&lt;&gt;"",H1024&lt;&gt;"",ISNUMBER(K1024),ISNUMBER(L1024)),IF(AND(K1024&gt;0,L1024&gt;0,K1024-L1024&gt;0,COUNTIFS(A1025:A$2005,A1024,F1025:F$2005,F1024,H1025:H$2005,H1024,AA1025:AA$2005,"&gt;0")=0),ROUND(K1024-L1024,6),""),"")</f>
        <v/>
      </c>
      <c r="X1024" s="60" t="str">
        <f>IF(AND(A1024="",C1024="",D1024="",H1024="",L1024=""),"",IF(A1024="","Type manquant",IF(AND(A1024&lt;&gt;"BL",A1024&lt;&gt;"BR",A1024&lt;&gt;"BS"),"Type inconnu (BL, BR ou BS)",IF(AG1024=0,"Date manquante ou invalide",IF(D1024="",IF(A1024="BL","Client manquant",IF(A1024="BR","Fournisseur manquant","Service manquant")),IF(IF(A1024="BL",ISNA(MATCH(D1024,cl_code,0)),IF(A1024="BR",ISNA(MATCH(D1024,fo_code,0)),ISNA(MATCH(D1024,p_services,0)))),IF(A1024="BL","Client inconnu",IF(A1024="BR","Fournisseur inconnu","Service inconnu")),IF(H1024="","Article manquant",IF(ISNA(MATCH(H1024,art_ref,0)),"Article inconnu",IF(OR(NOT(ISNUMBER(L1024)),N(L1024)&lt;=0),"Quantité invalide",IF(AND(K1024&lt;&gt;"",OR(NOT(ISNUMBER(K1024)),N(K1024)&lt;=0)),"Qté commandée invalide",IF(AG1024&lt;SUMPRODUCT(MAX((A$6:A1023=A1024)*AG$6:AG1023)),"Date antérieure au bon précédent",IF(AND(A1024&lt;&gt;"BR",ISNUMBER(M1024),N(M1024)&gt;0),IF(A1024="BL","Livré plus que commandé","Sorti plus que demandé"),"OK"))))))))))))</f>
        <v/>
      </c>
      <c r="Y1024" s="57" t="str">
        <f>IF(AND(OR(A1024="BL",A1024="BR",A1024="BS"),AG1024&gt;0,D1024&lt;&gt;""),A1024&amp;"|"&amp;AG1024&amp;"|"&amp;D1024&amp;"|"&amp;F1024,"")</f>
        <v/>
      </c>
      <c r="Z1024" s="57" t="str">
        <f>IF(Y1024="","",IF(COUNTIF(Y$6:Y1023,Y1024)=0,1,0))</f>
        <v/>
      </c>
      <c r="AA1024" s="57" t="str">
        <f>IF(Y1024="","",IF(Z1024=1,COUNTIFS(A$6:A1024,A1024,Z$6:Z1024,1),INDEX(AA$6:AA1023,MATCH(Y1024,Y$6:Y1023,0))))</f>
        <v/>
      </c>
      <c r="AB1024" s="57" t="str">
        <f>IF(B1024="","",COUNTIF(B$6:B1024,B1024))</f>
        <v/>
      </c>
      <c r="AC1024" s="57" t="str">
        <f>IF(B1024="","",B1024&amp;"#"&amp;AB1024)</f>
        <v/>
      </c>
      <c r="AD1024" s="57" t="str">
        <f>IF(Z1024=1,A1024&amp;AA1024,"")</f>
        <v/>
      </c>
      <c r="AE1024" s="57" t="str">
        <f>IF(B1024="","",YEAR(C1024))</f>
        <v/>
      </c>
      <c r="AF1024" s="57" t="str">
        <f>IF(B1024="","",MONTH(C1024))</f>
        <v/>
      </c>
      <c r="AG1024" s="57">
        <f>IF(ISNUMBER(C1024),C1024,0)</f>
        <v>0.0</v>
      </c>
      <c r="AH1024" s="57" t="str">
        <f>IF(N(W1024)&gt;0,COUNTIF(W$6:W1024,"&gt;0"),"")</f>
        <v/>
      </c>
      <c r="AI1024" s="57" t="str">
        <f>IF(Z1024=1,COUNTIF(Z$6:Z1024,1),"")</f>
        <v/>
      </c>
    </row>
    <row r="1025">
      <c r="A1025" s="54" t="n"/>
      <c r="B1025" s="55" t="str">
        <f>IF(AA1025="","",A1025&amp;"-"&amp;RIGHT("000"&amp;AA1025,4))</f>
        <v/>
      </c>
      <c r="C1025" s="56" t="n"/>
      <c r="D1025" s="54" t="n"/>
      <c r="E1025" s="57" t="str">
        <f>IF(D1025="","",IF(A1025="BL",IFERROR(INDEX(cl_name,MATCH(D1025,cl_code,0))&amp;"","Client inconnu"),IF(A1025="BR",IFERROR(INDEX(fo_name,MATCH(D1025,fo_code,0))&amp;"","Fournisseur inconnu"),IF(A1025="BS",IF(ISNA(MATCH(D1025,p_services,0)),"Service inconnu",D1025&amp;""),""))))</f>
        <v/>
      </c>
      <c r="F1025" s="58" t="n"/>
      <c r="G1025" s="58" t="n"/>
      <c r="H1025" s="59" t="n"/>
      <c r="I1025" s="57" t="str">
        <f>IF(H1025="","",IFERROR(INDEX(art_des,MATCH(H1025,art_ref,0))&amp;"","Article inconnu"))</f>
        <v/>
      </c>
      <c r="J1025" s="60" t="str">
        <f>IF(H1025="","",IFERROR(INDEX(art_unit,MATCH(H1025,art_ref,0))&amp;"",""))</f>
        <v/>
      </c>
      <c r="K1025" s="59" t="n"/>
      <c r="L1025" s="59" t="n"/>
      <c r="M1025" s="61" t="str">
        <f>IF(OR(B1025="",NOT(ISNUMBER(K1025)),NOT(ISNUMBER(L1025))),"",IF(OR(K1025&lt;=0,L1025&lt;=0),"",ROUND(L1025-K1025,6)))</f>
        <v/>
      </c>
      <c r="N1025" s="58" t="n"/>
      <c r="O1025" s="62" t="n"/>
      <c r="P1025" s="63" t="str">
        <f>IF(OR(B1025="",NOT(ISNUMBER(L1025))),"",IF(L1025&lt;=0,"",IFERROR(ROUND(L1025*N(INDEX(art_w,MATCH(H1025,art_ref,0))),3),"")))</f>
        <v/>
      </c>
      <c r="Q1025" s="59" t="n"/>
      <c r="R1025" s="54" t="n"/>
      <c r="S1025" s="59" t="n"/>
      <c r="T1025" s="59" t="n"/>
      <c r="U1025" s="64" t="str">
        <f>IF(OR(B1025="",H1025=""),"",IFERROR(IF(A1025="BL",IF(N(INDEX(art_price,MATCH(H1025,art_ref,0)))=0,"",N(INDEX(art_price,MATCH(H1025,art_ref,0)))),IF(N(INDEX(art_cost,MATCH(H1025,art_ref,0)))=0,"",N(INDEX(art_cost,MATCH(H1025,art_ref,0))))),""))</f>
        <v/>
      </c>
      <c r="V1025" s="64" t="str">
        <f>IF(OR(U1025="",NOT(ISNUMBER(L1025))),"",IF(L1025&lt;=0,"",ROUND(L1025*U1025,2)))</f>
        <v/>
      </c>
      <c r="W1025" s="60" t="str">
        <f>IF(AND(B1025&lt;&gt;"",A1025&lt;&gt;"BS",F1025&lt;&gt;"",H1025&lt;&gt;"",ISNUMBER(K1025),ISNUMBER(L1025)),IF(AND(K1025&gt;0,L1025&gt;0,K1025-L1025&gt;0,COUNTIFS(A1026:A$2005,A1025,F1026:F$2005,F1025,H1026:H$2005,H1025,AA1026:AA$2005,"&gt;0")=0),ROUND(K1025-L1025,6),""),"")</f>
        <v/>
      </c>
      <c r="X1025" s="60" t="str">
        <f>IF(AND(A1025="",C1025="",D1025="",H1025="",L1025=""),"",IF(A1025="","Type manquant",IF(AND(A1025&lt;&gt;"BL",A1025&lt;&gt;"BR",A1025&lt;&gt;"BS"),"Type inconnu (BL, BR ou BS)",IF(AG1025=0,"Date manquante ou invalide",IF(D1025="",IF(A1025="BL","Client manquant",IF(A1025="BR","Fournisseur manquant","Service manquant")),IF(IF(A1025="BL",ISNA(MATCH(D1025,cl_code,0)),IF(A1025="BR",ISNA(MATCH(D1025,fo_code,0)),ISNA(MATCH(D1025,p_services,0)))),IF(A1025="BL","Client inconnu",IF(A1025="BR","Fournisseur inconnu","Service inconnu")),IF(H1025="","Article manquant",IF(ISNA(MATCH(H1025,art_ref,0)),"Article inconnu",IF(OR(NOT(ISNUMBER(L1025)),N(L1025)&lt;=0),"Quantité invalide",IF(AND(K1025&lt;&gt;"",OR(NOT(ISNUMBER(K1025)),N(K1025)&lt;=0)),"Qté commandée invalide",IF(AG1025&lt;SUMPRODUCT(MAX((A$6:A1024=A1025)*AG$6:AG1024)),"Date antérieure au bon précédent",IF(AND(A1025&lt;&gt;"BR",ISNUMBER(M1025),N(M1025)&gt;0),IF(A1025="BL","Livré plus que commandé","Sorti plus que demandé"),"OK"))))))))))))</f>
        <v/>
      </c>
      <c r="Y1025" s="57" t="str">
        <f>IF(AND(OR(A1025="BL",A1025="BR",A1025="BS"),AG1025&gt;0,D1025&lt;&gt;""),A1025&amp;"|"&amp;AG1025&amp;"|"&amp;D1025&amp;"|"&amp;F1025,"")</f>
        <v/>
      </c>
      <c r="Z1025" s="57" t="str">
        <f>IF(Y1025="","",IF(COUNTIF(Y$6:Y1024,Y1025)=0,1,0))</f>
        <v/>
      </c>
      <c r="AA1025" s="57" t="str">
        <f>IF(Y1025="","",IF(Z1025=1,COUNTIFS(A$6:A1025,A1025,Z$6:Z1025,1),INDEX(AA$6:AA1024,MATCH(Y1025,Y$6:Y1024,0))))</f>
        <v/>
      </c>
      <c r="AB1025" s="57" t="str">
        <f>IF(B1025="","",COUNTIF(B$6:B1025,B1025))</f>
        <v/>
      </c>
      <c r="AC1025" s="57" t="str">
        <f>IF(B1025="","",B1025&amp;"#"&amp;AB1025)</f>
        <v/>
      </c>
      <c r="AD1025" s="57" t="str">
        <f>IF(Z1025=1,A1025&amp;AA1025,"")</f>
        <v/>
      </c>
      <c r="AE1025" s="57" t="str">
        <f>IF(B1025="","",YEAR(C1025))</f>
        <v/>
      </c>
      <c r="AF1025" s="57" t="str">
        <f>IF(B1025="","",MONTH(C1025))</f>
        <v/>
      </c>
      <c r="AG1025" s="57">
        <f>IF(ISNUMBER(C1025),C1025,0)</f>
        <v>0.0</v>
      </c>
      <c r="AH1025" s="57" t="str">
        <f>IF(N(W1025)&gt;0,COUNTIF(W$6:W1025,"&gt;0"),"")</f>
        <v/>
      </c>
      <c r="AI1025" s="57" t="str">
        <f>IF(Z1025=1,COUNTIF(Z$6:Z1025,1),"")</f>
        <v/>
      </c>
    </row>
    <row r="1026">
      <c r="A1026" s="54" t="n"/>
      <c r="B1026" s="55" t="str">
        <f>IF(AA1026="","",A1026&amp;"-"&amp;RIGHT("000"&amp;AA1026,4))</f>
        <v/>
      </c>
      <c r="C1026" s="56" t="n"/>
      <c r="D1026" s="54" t="n"/>
      <c r="E1026" s="57" t="str">
        <f>IF(D1026="","",IF(A1026="BL",IFERROR(INDEX(cl_name,MATCH(D1026,cl_code,0))&amp;"","Client inconnu"),IF(A1026="BR",IFERROR(INDEX(fo_name,MATCH(D1026,fo_code,0))&amp;"","Fournisseur inconnu"),IF(A1026="BS",IF(ISNA(MATCH(D1026,p_services,0)),"Service inconnu",D1026&amp;""),""))))</f>
        <v/>
      </c>
      <c r="F1026" s="58" t="n"/>
      <c r="G1026" s="58" t="n"/>
      <c r="H1026" s="59" t="n"/>
      <c r="I1026" s="57" t="str">
        <f>IF(H1026="","",IFERROR(INDEX(art_des,MATCH(H1026,art_ref,0))&amp;"","Article inconnu"))</f>
        <v/>
      </c>
      <c r="J1026" s="60" t="str">
        <f>IF(H1026="","",IFERROR(INDEX(art_unit,MATCH(H1026,art_ref,0))&amp;"",""))</f>
        <v/>
      </c>
      <c r="K1026" s="59" t="n"/>
      <c r="L1026" s="59" t="n"/>
      <c r="M1026" s="61" t="str">
        <f>IF(OR(B1026="",NOT(ISNUMBER(K1026)),NOT(ISNUMBER(L1026))),"",IF(OR(K1026&lt;=0,L1026&lt;=0),"",ROUND(L1026-K1026,6)))</f>
        <v/>
      </c>
      <c r="N1026" s="58" t="n"/>
      <c r="O1026" s="62" t="n"/>
      <c r="P1026" s="63" t="str">
        <f>IF(OR(B1026="",NOT(ISNUMBER(L1026))),"",IF(L1026&lt;=0,"",IFERROR(ROUND(L1026*N(INDEX(art_w,MATCH(H1026,art_ref,0))),3),"")))</f>
        <v/>
      </c>
      <c r="Q1026" s="59" t="n"/>
      <c r="R1026" s="54" t="n"/>
      <c r="S1026" s="59" t="n"/>
      <c r="T1026" s="59" t="n"/>
      <c r="U1026" s="64" t="str">
        <f>IF(OR(B1026="",H1026=""),"",IFERROR(IF(A1026="BL",IF(N(INDEX(art_price,MATCH(H1026,art_ref,0)))=0,"",N(INDEX(art_price,MATCH(H1026,art_ref,0)))),IF(N(INDEX(art_cost,MATCH(H1026,art_ref,0)))=0,"",N(INDEX(art_cost,MATCH(H1026,art_ref,0))))),""))</f>
        <v/>
      </c>
      <c r="V1026" s="64" t="str">
        <f>IF(OR(U1026="",NOT(ISNUMBER(L1026))),"",IF(L1026&lt;=0,"",ROUND(L1026*U1026,2)))</f>
        <v/>
      </c>
      <c r="W1026" s="60" t="str">
        <f>IF(AND(B1026&lt;&gt;"",A1026&lt;&gt;"BS",F1026&lt;&gt;"",H1026&lt;&gt;"",ISNUMBER(K1026),ISNUMBER(L1026)),IF(AND(K1026&gt;0,L1026&gt;0,K1026-L1026&gt;0,COUNTIFS(A1027:A$2005,A1026,F1027:F$2005,F1026,H1027:H$2005,H1026,AA1027:AA$2005,"&gt;0")=0),ROUND(K1026-L1026,6),""),"")</f>
        <v/>
      </c>
      <c r="X1026" s="60" t="str">
        <f>IF(AND(A1026="",C1026="",D1026="",H1026="",L1026=""),"",IF(A1026="","Type manquant",IF(AND(A1026&lt;&gt;"BL",A1026&lt;&gt;"BR",A1026&lt;&gt;"BS"),"Type inconnu (BL, BR ou BS)",IF(AG1026=0,"Date manquante ou invalide",IF(D1026="",IF(A1026="BL","Client manquant",IF(A1026="BR","Fournisseur manquant","Service manquant")),IF(IF(A1026="BL",ISNA(MATCH(D1026,cl_code,0)),IF(A1026="BR",ISNA(MATCH(D1026,fo_code,0)),ISNA(MATCH(D1026,p_services,0)))),IF(A1026="BL","Client inconnu",IF(A1026="BR","Fournisseur inconnu","Service inconnu")),IF(H1026="","Article manquant",IF(ISNA(MATCH(H1026,art_ref,0)),"Article inconnu",IF(OR(NOT(ISNUMBER(L1026)),N(L1026)&lt;=0),"Quantité invalide",IF(AND(K1026&lt;&gt;"",OR(NOT(ISNUMBER(K1026)),N(K1026)&lt;=0)),"Qté commandée invalide",IF(AG1026&lt;SUMPRODUCT(MAX((A$6:A1025=A1026)*AG$6:AG1025)),"Date antérieure au bon précédent",IF(AND(A1026&lt;&gt;"BR",ISNUMBER(M1026),N(M1026)&gt;0),IF(A1026="BL","Livré plus que commandé","Sorti plus que demandé"),"OK"))))))))))))</f>
        <v/>
      </c>
      <c r="Y1026" s="57" t="str">
        <f>IF(AND(OR(A1026="BL",A1026="BR",A1026="BS"),AG1026&gt;0,D1026&lt;&gt;""),A1026&amp;"|"&amp;AG1026&amp;"|"&amp;D1026&amp;"|"&amp;F1026,"")</f>
        <v/>
      </c>
      <c r="Z1026" s="57" t="str">
        <f>IF(Y1026="","",IF(COUNTIF(Y$6:Y1025,Y1026)=0,1,0))</f>
        <v/>
      </c>
      <c r="AA1026" s="57" t="str">
        <f>IF(Y1026="","",IF(Z1026=1,COUNTIFS(A$6:A1026,A1026,Z$6:Z1026,1),INDEX(AA$6:AA1025,MATCH(Y1026,Y$6:Y1025,0))))</f>
        <v/>
      </c>
      <c r="AB1026" s="57" t="str">
        <f>IF(B1026="","",COUNTIF(B$6:B1026,B1026))</f>
        <v/>
      </c>
      <c r="AC1026" s="57" t="str">
        <f>IF(B1026="","",B1026&amp;"#"&amp;AB1026)</f>
        <v/>
      </c>
      <c r="AD1026" s="57" t="str">
        <f>IF(Z1026=1,A1026&amp;AA1026,"")</f>
        <v/>
      </c>
      <c r="AE1026" s="57" t="str">
        <f>IF(B1026="","",YEAR(C1026))</f>
        <v/>
      </c>
      <c r="AF1026" s="57" t="str">
        <f>IF(B1026="","",MONTH(C1026))</f>
        <v/>
      </c>
      <c r="AG1026" s="57">
        <f>IF(ISNUMBER(C1026),C1026,0)</f>
        <v>0.0</v>
      </c>
      <c r="AH1026" s="57" t="str">
        <f>IF(N(W1026)&gt;0,COUNTIF(W$6:W1026,"&gt;0"),"")</f>
        <v/>
      </c>
      <c r="AI1026" s="57" t="str">
        <f>IF(Z1026=1,COUNTIF(Z$6:Z1026,1),"")</f>
        <v/>
      </c>
    </row>
    <row r="1027">
      <c r="A1027" s="54" t="n"/>
      <c r="B1027" s="55" t="str">
        <f>IF(AA1027="","",A1027&amp;"-"&amp;RIGHT("000"&amp;AA1027,4))</f>
        <v/>
      </c>
      <c r="C1027" s="56" t="n"/>
      <c r="D1027" s="54" t="n"/>
      <c r="E1027" s="57" t="str">
        <f>IF(D1027="","",IF(A1027="BL",IFERROR(INDEX(cl_name,MATCH(D1027,cl_code,0))&amp;"","Client inconnu"),IF(A1027="BR",IFERROR(INDEX(fo_name,MATCH(D1027,fo_code,0))&amp;"","Fournisseur inconnu"),IF(A1027="BS",IF(ISNA(MATCH(D1027,p_services,0)),"Service inconnu",D1027&amp;""),""))))</f>
        <v/>
      </c>
      <c r="F1027" s="58" t="n"/>
      <c r="G1027" s="58" t="n"/>
      <c r="H1027" s="59" t="n"/>
      <c r="I1027" s="57" t="str">
        <f>IF(H1027="","",IFERROR(INDEX(art_des,MATCH(H1027,art_ref,0))&amp;"","Article inconnu"))</f>
        <v/>
      </c>
      <c r="J1027" s="60" t="str">
        <f>IF(H1027="","",IFERROR(INDEX(art_unit,MATCH(H1027,art_ref,0))&amp;"",""))</f>
        <v/>
      </c>
      <c r="K1027" s="59" t="n"/>
      <c r="L1027" s="59" t="n"/>
      <c r="M1027" s="61" t="str">
        <f>IF(OR(B1027="",NOT(ISNUMBER(K1027)),NOT(ISNUMBER(L1027))),"",IF(OR(K1027&lt;=0,L1027&lt;=0),"",ROUND(L1027-K1027,6)))</f>
        <v/>
      </c>
      <c r="N1027" s="58" t="n"/>
      <c r="O1027" s="62" t="n"/>
      <c r="P1027" s="63" t="str">
        <f>IF(OR(B1027="",NOT(ISNUMBER(L1027))),"",IF(L1027&lt;=0,"",IFERROR(ROUND(L1027*N(INDEX(art_w,MATCH(H1027,art_ref,0))),3),"")))</f>
        <v/>
      </c>
      <c r="Q1027" s="59" t="n"/>
      <c r="R1027" s="54" t="n"/>
      <c r="S1027" s="59" t="n"/>
      <c r="T1027" s="59" t="n"/>
      <c r="U1027" s="64" t="str">
        <f>IF(OR(B1027="",H1027=""),"",IFERROR(IF(A1027="BL",IF(N(INDEX(art_price,MATCH(H1027,art_ref,0)))=0,"",N(INDEX(art_price,MATCH(H1027,art_ref,0)))),IF(N(INDEX(art_cost,MATCH(H1027,art_ref,0)))=0,"",N(INDEX(art_cost,MATCH(H1027,art_ref,0))))),""))</f>
        <v/>
      </c>
      <c r="V1027" s="64" t="str">
        <f>IF(OR(U1027="",NOT(ISNUMBER(L1027))),"",IF(L1027&lt;=0,"",ROUND(L1027*U1027,2)))</f>
        <v/>
      </c>
      <c r="W1027" s="60" t="str">
        <f>IF(AND(B1027&lt;&gt;"",A1027&lt;&gt;"BS",F1027&lt;&gt;"",H1027&lt;&gt;"",ISNUMBER(K1027),ISNUMBER(L1027)),IF(AND(K1027&gt;0,L1027&gt;0,K1027-L1027&gt;0,COUNTIFS(A1028:A$2005,A1027,F1028:F$2005,F1027,H1028:H$2005,H1027,AA1028:AA$2005,"&gt;0")=0),ROUND(K1027-L1027,6),""),"")</f>
        <v/>
      </c>
      <c r="X1027" s="60" t="str">
        <f>IF(AND(A1027="",C1027="",D1027="",H1027="",L1027=""),"",IF(A1027="","Type manquant",IF(AND(A1027&lt;&gt;"BL",A1027&lt;&gt;"BR",A1027&lt;&gt;"BS"),"Type inconnu (BL, BR ou BS)",IF(AG1027=0,"Date manquante ou invalide",IF(D1027="",IF(A1027="BL","Client manquant",IF(A1027="BR","Fournisseur manquant","Service manquant")),IF(IF(A1027="BL",ISNA(MATCH(D1027,cl_code,0)),IF(A1027="BR",ISNA(MATCH(D1027,fo_code,0)),ISNA(MATCH(D1027,p_services,0)))),IF(A1027="BL","Client inconnu",IF(A1027="BR","Fournisseur inconnu","Service inconnu")),IF(H1027="","Article manquant",IF(ISNA(MATCH(H1027,art_ref,0)),"Article inconnu",IF(OR(NOT(ISNUMBER(L1027)),N(L1027)&lt;=0),"Quantité invalide",IF(AND(K1027&lt;&gt;"",OR(NOT(ISNUMBER(K1027)),N(K1027)&lt;=0)),"Qté commandée invalide",IF(AG1027&lt;SUMPRODUCT(MAX((A$6:A1026=A1027)*AG$6:AG1026)),"Date antérieure au bon précédent",IF(AND(A1027&lt;&gt;"BR",ISNUMBER(M1027),N(M1027)&gt;0),IF(A1027="BL","Livré plus que commandé","Sorti plus que demandé"),"OK"))))))))))))</f>
        <v/>
      </c>
      <c r="Y1027" s="57" t="str">
        <f>IF(AND(OR(A1027="BL",A1027="BR",A1027="BS"),AG1027&gt;0,D1027&lt;&gt;""),A1027&amp;"|"&amp;AG1027&amp;"|"&amp;D1027&amp;"|"&amp;F1027,"")</f>
        <v/>
      </c>
      <c r="Z1027" s="57" t="str">
        <f>IF(Y1027="","",IF(COUNTIF(Y$6:Y1026,Y1027)=0,1,0))</f>
        <v/>
      </c>
      <c r="AA1027" s="57" t="str">
        <f>IF(Y1027="","",IF(Z1027=1,COUNTIFS(A$6:A1027,A1027,Z$6:Z1027,1),INDEX(AA$6:AA1026,MATCH(Y1027,Y$6:Y1026,0))))</f>
        <v/>
      </c>
      <c r="AB1027" s="57" t="str">
        <f>IF(B1027="","",COUNTIF(B$6:B1027,B1027))</f>
        <v/>
      </c>
      <c r="AC1027" s="57" t="str">
        <f>IF(B1027="","",B1027&amp;"#"&amp;AB1027)</f>
        <v/>
      </c>
      <c r="AD1027" s="57" t="str">
        <f>IF(Z1027=1,A1027&amp;AA1027,"")</f>
        <v/>
      </c>
      <c r="AE1027" s="57" t="str">
        <f>IF(B1027="","",YEAR(C1027))</f>
        <v/>
      </c>
      <c r="AF1027" s="57" t="str">
        <f>IF(B1027="","",MONTH(C1027))</f>
        <v/>
      </c>
      <c r="AG1027" s="57">
        <f>IF(ISNUMBER(C1027),C1027,0)</f>
        <v>0.0</v>
      </c>
      <c r="AH1027" s="57" t="str">
        <f>IF(N(W1027)&gt;0,COUNTIF(W$6:W1027,"&gt;0"),"")</f>
        <v/>
      </c>
      <c r="AI1027" s="57" t="str">
        <f>IF(Z1027=1,COUNTIF(Z$6:Z1027,1),"")</f>
        <v/>
      </c>
    </row>
    <row r="1028">
      <c r="A1028" s="54" t="n"/>
      <c r="B1028" s="55" t="str">
        <f>IF(AA1028="","",A1028&amp;"-"&amp;RIGHT("000"&amp;AA1028,4))</f>
        <v/>
      </c>
      <c r="C1028" s="56" t="n"/>
      <c r="D1028" s="54" t="n"/>
      <c r="E1028" s="57" t="str">
        <f>IF(D1028="","",IF(A1028="BL",IFERROR(INDEX(cl_name,MATCH(D1028,cl_code,0))&amp;"","Client inconnu"),IF(A1028="BR",IFERROR(INDEX(fo_name,MATCH(D1028,fo_code,0))&amp;"","Fournisseur inconnu"),IF(A1028="BS",IF(ISNA(MATCH(D1028,p_services,0)),"Service inconnu",D1028&amp;""),""))))</f>
        <v/>
      </c>
      <c r="F1028" s="58" t="n"/>
      <c r="G1028" s="58" t="n"/>
      <c r="H1028" s="59" t="n"/>
      <c r="I1028" s="57" t="str">
        <f>IF(H1028="","",IFERROR(INDEX(art_des,MATCH(H1028,art_ref,0))&amp;"","Article inconnu"))</f>
        <v/>
      </c>
      <c r="J1028" s="60" t="str">
        <f>IF(H1028="","",IFERROR(INDEX(art_unit,MATCH(H1028,art_ref,0))&amp;"",""))</f>
        <v/>
      </c>
      <c r="K1028" s="59" t="n"/>
      <c r="L1028" s="59" t="n"/>
      <c r="M1028" s="61" t="str">
        <f>IF(OR(B1028="",NOT(ISNUMBER(K1028)),NOT(ISNUMBER(L1028))),"",IF(OR(K1028&lt;=0,L1028&lt;=0),"",ROUND(L1028-K1028,6)))</f>
        <v/>
      </c>
      <c r="N1028" s="58" t="n"/>
      <c r="O1028" s="62" t="n"/>
      <c r="P1028" s="63" t="str">
        <f>IF(OR(B1028="",NOT(ISNUMBER(L1028))),"",IF(L1028&lt;=0,"",IFERROR(ROUND(L1028*N(INDEX(art_w,MATCH(H1028,art_ref,0))),3),"")))</f>
        <v/>
      </c>
      <c r="Q1028" s="59" t="n"/>
      <c r="R1028" s="54" t="n"/>
      <c r="S1028" s="59" t="n"/>
      <c r="T1028" s="59" t="n"/>
      <c r="U1028" s="64" t="str">
        <f>IF(OR(B1028="",H1028=""),"",IFERROR(IF(A1028="BL",IF(N(INDEX(art_price,MATCH(H1028,art_ref,0)))=0,"",N(INDEX(art_price,MATCH(H1028,art_ref,0)))),IF(N(INDEX(art_cost,MATCH(H1028,art_ref,0)))=0,"",N(INDEX(art_cost,MATCH(H1028,art_ref,0))))),""))</f>
        <v/>
      </c>
      <c r="V1028" s="64" t="str">
        <f>IF(OR(U1028="",NOT(ISNUMBER(L1028))),"",IF(L1028&lt;=0,"",ROUND(L1028*U1028,2)))</f>
        <v/>
      </c>
      <c r="W1028" s="60" t="str">
        <f>IF(AND(B1028&lt;&gt;"",A1028&lt;&gt;"BS",F1028&lt;&gt;"",H1028&lt;&gt;"",ISNUMBER(K1028),ISNUMBER(L1028)),IF(AND(K1028&gt;0,L1028&gt;0,K1028-L1028&gt;0,COUNTIFS(A1029:A$2005,A1028,F1029:F$2005,F1028,H1029:H$2005,H1028,AA1029:AA$2005,"&gt;0")=0),ROUND(K1028-L1028,6),""),"")</f>
        <v/>
      </c>
      <c r="X1028" s="60" t="str">
        <f>IF(AND(A1028="",C1028="",D1028="",H1028="",L1028=""),"",IF(A1028="","Type manquant",IF(AND(A1028&lt;&gt;"BL",A1028&lt;&gt;"BR",A1028&lt;&gt;"BS"),"Type inconnu (BL, BR ou BS)",IF(AG1028=0,"Date manquante ou invalide",IF(D1028="",IF(A1028="BL","Client manquant",IF(A1028="BR","Fournisseur manquant","Service manquant")),IF(IF(A1028="BL",ISNA(MATCH(D1028,cl_code,0)),IF(A1028="BR",ISNA(MATCH(D1028,fo_code,0)),ISNA(MATCH(D1028,p_services,0)))),IF(A1028="BL","Client inconnu",IF(A1028="BR","Fournisseur inconnu","Service inconnu")),IF(H1028="","Article manquant",IF(ISNA(MATCH(H1028,art_ref,0)),"Article inconnu",IF(OR(NOT(ISNUMBER(L1028)),N(L1028)&lt;=0),"Quantité invalide",IF(AND(K1028&lt;&gt;"",OR(NOT(ISNUMBER(K1028)),N(K1028)&lt;=0)),"Qté commandée invalide",IF(AG1028&lt;SUMPRODUCT(MAX((A$6:A1027=A1028)*AG$6:AG1027)),"Date antérieure au bon précédent",IF(AND(A1028&lt;&gt;"BR",ISNUMBER(M1028),N(M1028)&gt;0),IF(A1028="BL","Livré plus que commandé","Sorti plus que demandé"),"OK"))))))))))))</f>
        <v/>
      </c>
      <c r="Y1028" s="57" t="str">
        <f>IF(AND(OR(A1028="BL",A1028="BR",A1028="BS"),AG1028&gt;0,D1028&lt;&gt;""),A1028&amp;"|"&amp;AG1028&amp;"|"&amp;D1028&amp;"|"&amp;F1028,"")</f>
        <v/>
      </c>
      <c r="Z1028" s="57" t="str">
        <f>IF(Y1028="","",IF(COUNTIF(Y$6:Y1027,Y1028)=0,1,0))</f>
        <v/>
      </c>
      <c r="AA1028" s="57" t="str">
        <f>IF(Y1028="","",IF(Z1028=1,COUNTIFS(A$6:A1028,A1028,Z$6:Z1028,1),INDEX(AA$6:AA1027,MATCH(Y1028,Y$6:Y1027,0))))</f>
        <v/>
      </c>
      <c r="AB1028" s="57" t="str">
        <f>IF(B1028="","",COUNTIF(B$6:B1028,B1028))</f>
        <v/>
      </c>
      <c r="AC1028" s="57" t="str">
        <f>IF(B1028="","",B1028&amp;"#"&amp;AB1028)</f>
        <v/>
      </c>
      <c r="AD1028" s="57" t="str">
        <f>IF(Z1028=1,A1028&amp;AA1028,"")</f>
        <v/>
      </c>
      <c r="AE1028" s="57" t="str">
        <f>IF(B1028="","",YEAR(C1028))</f>
        <v/>
      </c>
      <c r="AF1028" s="57" t="str">
        <f>IF(B1028="","",MONTH(C1028))</f>
        <v/>
      </c>
      <c r="AG1028" s="57">
        <f>IF(ISNUMBER(C1028),C1028,0)</f>
        <v>0.0</v>
      </c>
      <c r="AH1028" s="57" t="str">
        <f>IF(N(W1028)&gt;0,COUNTIF(W$6:W1028,"&gt;0"),"")</f>
        <v/>
      </c>
      <c r="AI1028" s="57" t="str">
        <f>IF(Z1028=1,COUNTIF(Z$6:Z1028,1),"")</f>
        <v/>
      </c>
    </row>
    <row r="1029">
      <c r="A1029" s="54" t="n"/>
      <c r="B1029" s="55" t="str">
        <f>IF(AA1029="","",A1029&amp;"-"&amp;RIGHT("000"&amp;AA1029,4))</f>
        <v/>
      </c>
      <c r="C1029" s="56" t="n"/>
      <c r="D1029" s="54" t="n"/>
      <c r="E1029" s="57" t="str">
        <f>IF(D1029="","",IF(A1029="BL",IFERROR(INDEX(cl_name,MATCH(D1029,cl_code,0))&amp;"","Client inconnu"),IF(A1029="BR",IFERROR(INDEX(fo_name,MATCH(D1029,fo_code,0))&amp;"","Fournisseur inconnu"),IF(A1029="BS",IF(ISNA(MATCH(D1029,p_services,0)),"Service inconnu",D1029&amp;""),""))))</f>
        <v/>
      </c>
      <c r="F1029" s="58" t="n"/>
      <c r="G1029" s="58" t="n"/>
      <c r="H1029" s="59" t="n"/>
      <c r="I1029" s="57" t="str">
        <f>IF(H1029="","",IFERROR(INDEX(art_des,MATCH(H1029,art_ref,0))&amp;"","Article inconnu"))</f>
        <v/>
      </c>
      <c r="J1029" s="60" t="str">
        <f>IF(H1029="","",IFERROR(INDEX(art_unit,MATCH(H1029,art_ref,0))&amp;"",""))</f>
        <v/>
      </c>
      <c r="K1029" s="59" t="n"/>
      <c r="L1029" s="59" t="n"/>
      <c r="M1029" s="61" t="str">
        <f>IF(OR(B1029="",NOT(ISNUMBER(K1029)),NOT(ISNUMBER(L1029))),"",IF(OR(K1029&lt;=0,L1029&lt;=0),"",ROUND(L1029-K1029,6)))</f>
        <v/>
      </c>
      <c r="N1029" s="58" t="n"/>
      <c r="O1029" s="62" t="n"/>
      <c r="P1029" s="63" t="str">
        <f>IF(OR(B1029="",NOT(ISNUMBER(L1029))),"",IF(L1029&lt;=0,"",IFERROR(ROUND(L1029*N(INDEX(art_w,MATCH(H1029,art_ref,0))),3),"")))</f>
        <v/>
      </c>
      <c r="Q1029" s="59" t="n"/>
      <c r="R1029" s="54" t="n"/>
      <c r="S1029" s="59" t="n"/>
      <c r="T1029" s="59" t="n"/>
      <c r="U1029" s="64" t="str">
        <f>IF(OR(B1029="",H1029=""),"",IFERROR(IF(A1029="BL",IF(N(INDEX(art_price,MATCH(H1029,art_ref,0)))=0,"",N(INDEX(art_price,MATCH(H1029,art_ref,0)))),IF(N(INDEX(art_cost,MATCH(H1029,art_ref,0)))=0,"",N(INDEX(art_cost,MATCH(H1029,art_ref,0))))),""))</f>
        <v/>
      </c>
      <c r="V1029" s="64" t="str">
        <f>IF(OR(U1029="",NOT(ISNUMBER(L1029))),"",IF(L1029&lt;=0,"",ROUND(L1029*U1029,2)))</f>
        <v/>
      </c>
      <c r="W1029" s="60" t="str">
        <f>IF(AND(B1029&lt;&gt;"",A1029&lt;&gt;"BS",F1029&lt;&gt;"",H1029&lt;&gt;"",ISNUMBER(K1029),ISNUMBER(L1029)),IF(AND(K1029&gt;0,L1029&gt;0,K1029-L1029&gt;0,COUNTIFS(A1030:A$2005,A1029,F1030:F$2005,F1029,H1030:H$2005,H1029,AA1030:AA$2005,"&gt;0")=0),ROUND(K1029-L1029,6),""),"")</f>
        <v/>
      </c>
      <c r="X1029" s="60" t="str">
        <f>IF(AND(A1029="",C1029="",D1029="",H1029="",L1029=""),"",IF(A1029="","Type manquant",IF(AND(A1029&lt;&gt;"BL",A1029&lt;&gt;"BR",A1029&lt;&gt;"BS"),"Type inconnu (BL, BR ou BS)",IF(AG1029=0,"Date manquante ou invalide",IF(D1029="",IF(A1029="BL","Client manquant",IF(A1029="BR","Fournisseur manquant","Service manquant")),IF(IF(A1029="BL",ISNA(MATCH(D1029,cl_code,0)),IF(A1029="BR",ISNA(MATCH(D1029,fo_code,0)),ISNA(MATCH(D1029,p_services,0)))),IF(A1029="BL","Client inconnu",IF(A1029="BR","Fournisseur inconnu","Service inconnu")),IF(H1029="","Article manquant",IF(ISNA(MATCH(H1029,art_ref,0)),"Article inconnu",IF(OR(NOT(ISNUMBER(L1029)),N(L1029)&lt;=0),"Quantité invalide",IF(AND(K1029&lt;&gt;"",OR(NOT(ISNUMBER(K1029)),N(K1029)&lt;=0)),"Qté commandée invalide",IF(AG1029&lt;SUMPRODUCT(MAX((A$6:A1028=A1029)*AG$6:AG1028)),"Date antérieure au bon précédent",IF(AND(A1029&lt;&gt;"BR",ISNUMBER(M1029),N(M1029)&gt;0),IF(A1029="BL","Livré plus que commandé","Sorti plus que demandé"),"OK"))))))))))))</f>
        <v/>
      </c>
      <c r="Y1029" s="57" t="str">
        <f>IF(AND(OR(A1029="BL",A1029="BR",A1029="BS"),AG1029&gt;0,D1029&lt;&gt;""),A1029&amp;"|"&amp;AG1029&amp;"|"&amp;D1029&amp;"|"&amp;F1029,"")</f>
        <v/>
      </c>
      <c r="Z1029" s="57" t="str">
        <f>IF(Y1029="","",IF(COUNTIF(Y$6:Y1028,Y1029)=0,1,0))</f>
        <v/>
      </c>
      <c r="AA1029" s="57" t="str">
        <f>IF(Y1029="","",IF(Z1029=1,COUNTIFS(A$6:A1029,A1029,Z$6:Z1029,1),INDEX(AA$6:AA1028,MATCH(Y1029,Y$6:Y1028,0))))</f>
        <v/>
      </c>
      <c r="AB1029" s="57" t="str">
        <f>IF(B1029="","",COUNTIF(B$6:B1029,B1029))</f>
        <v/>
      </c>
      <c r="AC1029" s="57" t="str">
        <f>IF(B1029="","",B1029&amp;"#"&amp;AB1029)</f>
        <v/>
      </c>
      <c r="AD1029" s="57" t="str">
        <f>IF(Z1029=1,A1029&amp;AA1029,"")</f>
        <v/>
      </c>
      <c r="AE1029" s="57" t="str">
        <f>IF(B1029="","",YEAR(C1029))</f>
        <v/>
      </c>
      <c r="AF1029" s="57" t="str">
        <f>IF(B1029="","",MONTH(C1029))</f>
        <v/>
      </c>
      <c r="AG1029" s="57">
        <f>IF(ISNUMBER(C1029),C1029,0)</f>
        <v>0.0</v>
      </c>
      <c r="AH1029" s="57" t="str">
        <f>IF(N(W1029)&gt;0,COUNTIF(W$6:W1029,"&gt;0"),"")</f>
        <v/>
      </c>
      <c r="AI1029" s="57" t="str">
        <f>IF(Z1029=1,COUNTIF(Z$6:Z1029,1),"")</f>
        <v/>
      </c>
    </row>
    <row r="1030">
      <c r="A1030" s="54" t="n"/>
      <c r="B1030" s="55" t="str">
        <f>IF(AA1030="","",A1030&amp;"-"&amp;RIGHT("000"&amp;AA1030,4))</f>
        <v/>
      </c>
      <c r="C1030" s="56" t="n"/>
      <c r="D1030" s="54" t="n"/>
      <c r="E1030" s="57" t="str">
        <f>IF(D1030="","",IF(A1030="BL",IFERROR(INDEX(cl_name,MATCH(D1030,cl_code,0))&amp;"","Client inconnu"),IF(A1030="BR",IFERROR(INDEX(fo_name,MATCH(D1030,fo_code,0))&amp;"","Fournisseur inconnu"),IF(A1030="BS",IF(ISNA(MATCH(D1030,p_services,0)),"Service inconnu",D1030&amp;""),""))))</f>
        <v/>
      </c>
      <c r="F1030" s="58" t="n"/>
      <c r="G1030" s="58" t="n"/>
      <c r="H1030" s="59" t="n"/>
      <c r="I1030" s="57" t="str">
        <f>IF(H1030="","",IFERROR(INDEX(art_des,MATCH(H1030,art_ref,0))&amp;"","Article inconnu"))</f>
        <v/>
      </c>
      <c r="J1030" s="60" t="str">
        <f>IF(H1030="","",IFERROR(INDEX(art_unit,MATCH(H1030,art_ref,0))&amp;"",""))</f>
        <v/>
      </c>
      <c r="K1030" s="59" t="n"/>
      <c r="L1030" s="59" t="n"/>
      <c r="M1030" s="61" t="str">
        <f>IF(OR(B1030="",NOT(ISNUMBER(K1030)),NOT(ISNUMBER(L1030))),"",IF(OR(K1030&lt;=0,L1030&lt;=0),"",ROUND(L1030-K1030,6)))</f>
        <v/>
      </c>
      <c r="N1030" s="58" t="n"/>
      <c r="O1030" s="62" t="n"/>
      <c r="P1030" s="63" t="str">
        <f>IF(OR(B1030="",NOT(ISNUMBER(L1030))),"",IF(L1030&lt;=0,"",IFERROR(ROUND(L1030*N(INDEX(art_w,MATCH(H1030,art_ref,0))),3),"")))</f>
        <v/>
      </c>
      <c r="Q1030" s="59" t="n"/>
      <c r="R1030" s="54" t="n"/>
      <c r="S1030" s="59" t="n"/>
      <c r="T1030" s="59" t="n"/>
      <c r="U1030" s="64" t="str">
        <f>IF(OR(B1030="",H1030=""),"",IFERROR(IF(A1030="BL",IF(N(INDEX(art_price,MATCH(H1030,art_ref,0)))=0,"",N(INDEX(art_price,MATCH(H1030,art_ref,0)))),IF(N(INDEX(art_cost,MATCH(H1030,art_ref,0)))=0,"",N(INDEX(art_cost,MATCH(H1030,art_ref,0))))),""))</f>
        <v/>
      </c>
      <c r="V1030" s="64" t="str">
        <f>IF(OR(U1030="",NOT(ISNUMBER(L1030))),"",IF(L1030&lt;=0,"",ROUND(L1030*U1030,2)))</f>
        <v/>
      </c>
      <c r="W1030" s="60" t="str">
        <f>IF(AND(B1030&lt;&gt;"",A1030&lt;&gt;"BS",F1030&lt;&gt;"",H1030&lt;&gt;"",ISNUMBER(K1030),ISNUMBER(L1030)),IF(AND(K1030&gt;0,L1030&gt;0,K1030-L1030&gt;0,COUNTIFS(A1031:A$2005,A1030,F1031:F$2005,F1030,H1031:H$2005,H1030,AA1031:AA$2005,"&gt;0")=0),ROUND(K1030-L1030,6),""),"")</f>
        <v/>
      </c>
      <c r="X1030" s="60" t="str">
        <f>IF(AND(A1030="",C1030="",D1030="",H1030="",L1030=""),"",IF(A1030="","Type manquant",IF(AND(A1030&lt;&gt;"BL",A1030&lt;&gt;"BR",A1030&lt;&gt;"BS"),"Type inconnu (BL, BR ou BS)",IF(AG1030=0,"Date manquante ou invalide",IF(D1030="",IF(A1030="BL","Client manquant",IF(A1030="BR","Fournisseur manquant","Service manquant")),IF(IF(A1030="BL",ISNA(MATCH(D1030,cl_code,0)),IF(A1030="BR",ISNA(MATCH(D1030,fo_code,0)),ISNA(MATCH(D1030,p_services,0)))),IF(A1030="BL","Client inconnu",IF(A1030="BR","Fournisseur inconnu","Service inconnu")),IF(H1030="","Article manquant",IF(ISNA(MATCH(H1030,art_ref,0)),"Article inconnu",IF(OR(NOT(ISNUMBER(L1030)),N(L1030)&lt;=0),"Quantité invalide",IF(AND(K1030&lt;&gt;"",OR(NOT(ISNUMBER(K1030)),N(K1030)&lt;=0)),"Qté commandée invalide",IF(AG1030&lt;SUMPRODUCT(MAX((A$6:A1029=A1030)*AG$6:AG1029)),"Date antérieure au bon précédent",IF(AND(A1030&lt;&gt;"BR",ISNUMBER(M1030),N(M1030)&gt;0),IF(A1030="BL","Livré plus que commandé","Sorti plus que demandé"),"OK"))))))))))))</f>
        <v/>
      </c>
      <c r="Y1030" s="57" t="str">
        <f>IF(AND(OR(A1030="BL",A1030="BR",A1030="BS"),AG1030&gt;0,D1030&lt;&gt;""),A1030&amp;"|"&amp;AG1030&amp;"|"&amp;D1030&amp;"|"&amp;F1030,"")</f>
        <v/>
      </c>
      <c r="Z1030" s="57" t="str">
        <f>IF(Y1030="","",IF(COUNTIF(Y$6:Y1029,Y1030)=0,1,0))</f>
        <v/>
      </c>
      <c r="AA1030" s="57" t="str">
        <f>IF(Y1030="","",IF(Z1030=1,COUNTIFS(A$6:A1030,A1030,Z$6:Z1030,1),INDEX(AA$6:AA1029,MATCH(Y1030,Y$6:Y1029,0))))</f>
        <v/>
      </c>
      <c r="AB1030" s="57" t="str">
        <f>IF(B1030="","",COUNTIF(B$6:B1030,B1030))</f>
        <v/>
      </c>
      <c r="AC1030" s="57" t="str">
        <f>IF(B1030="","",B1030&amp;"#"&amp;AB1030)</f>
        <v/>
      </c>
      <c r="AD1030" s="57" t="str">
        <f>IF(Z1030=1,A1030&amp;AA1030,"")</f>
        <v/>
      </c>
      <c r="AE1030" s="57" t="str">
        <f>IF(B1030="","",YEAR(C1030))</f>
        <v/>
      </c>
      <c r="AF1030" s="57" t="str">
        <f>IF(B1030="","",MONTH(C1030))</f>
        <v/>
      </c>
      <c r="AG1030" s="57">
        <f>IF(ISNUMBER(C1030),C1030,0)</f>
        <v>0.0</v>
      </c>
      <c r="AH1030" s="57" t="str">
        <f>IF(N(W1030)&gt;0,COUNTIF(W$6:W1030,"&gt;0"),"")</f>
        <v/>
      </c>
      <c r="AI1030" s="57" t="str">
        <f>IF(Z1030=1,COUNTIF(Z$6:Z1030,1),"")</f>
        <v/>
      </c>
    </row>
    <row r="1031">
      <c r="A1031" s="54" t="n"/>
      <c r="B1031" s="55" t="str">
        <f>IF(AA1031="","",A1031&amp;"-"&amp;RIGHT("000"&amp;AA1031,4))</f>
        <v/>
      </c>
      <c r="C1031" s="56" t="n"/>
      <c r="D1031" s="54" t="n"/>
      <c r="E1031" s="57" t="str">
        <f>IF(D1031="","",IF(A1031="BL",IFERROR(INDEX(cl_name,MATCH(D1031,cl_code,0))&amp;"","Client inconnu"),IF(A1031="BR",IFERROR(INDEX(fo_name,MATCH(D1031,fo_code,0))&amp;"","Fournisseur inconnu"),IF(A1031="BS",IF(ISNA(MATCH(D1031,p_services,0)),"Service inconnu",D1031&amp;""),""))))</f>
        <v/>
      </c>
      <c r="F1031" s="58" t="n"/>
      <c r="G1031" s="58" t="n"/>
      <c r="H1031" s="59" t="n"/>
      <c r="I1031" s="57" t="str">
        <f>IF(H1031="","",IFERROR(INDEX(art_des,MATCH(H1031,art_ref,0))&amp;"","Article inconnu"))</f>
        <v/>
      </c>
      <c r="J1031" s="60" t="str">
        <f>IF(H1031="","",IFERROR(INDEX(art_unit,MATCH(H1031,art_ref,0))&amp;"",""))</f>
        <v/>
      </c>
      <c r="K1031" s="59" t="n"/>
      <c r="L1031" s="59" t="n"/>
      <c r="M1031" s="61" t="str">
        <f>IF(OR(B1031="",NOT(ISNUMBER(K1031)),NOT(ISNUMBER(L1031))),"",IF(OR(K1031&lt;=0,L1031&lt;=0),"",ROUND(L1031-K1031,6)))</f>
        <v/>
      </c>
      <c r="N1031" s="58" t="n"/>
      <c r="O1031" s="62" t="n"/>
      <c r="P1031" s="63" t="str">
        <f>IF(OR(B1031="",NOT(ISNUMBER(L1031))),"",IF(L1031&lt;=0,"",IFERROR(ROUND(L1031*N(INDEX(art_w,MATCH(H1031,art_ref,0))),3),"")))</f>
        <v/>
      </c>
      <c r="Q1031" s="59" t="n"/>
      <c r="R1031" s="54" t="n"/>
      <c r="S1031" s="59" t="n"/>
      <c r="T1031" s="59" t="n"/>
      <c r="U1031" s="64" t="str">
        <f>IF(OR(B1031="",H1031=""),"",IFERROR(IF(A1031="BL",IF(N(INDEX(art_price,MATCH(H1031,art_ref,0)))=0,"",N(INDEX(art_price,MATCH(H1031,art_ref,0)))),IF(N(INDEX(art_cost,MATCH(H1031,art_ref,0)))=0,"",N(INDEX(art_cost,MATCH(H1031,art_ref,0))))),""))</f>
        <v/>
      </c>
      <c r="V1031" s="64" t="str">
        <f>IF(OR(U1031="",NOT(ISNUMBER(L1031))),"",IF(L1031&lt;=0,"",ROUND(L1031*U1031,2)))</f>
        <v/>
      </c>
      <c r="W1031" s="60" t="str">
        <f>IF(AND(B1031&lt;&gt;"",A1031&lt;&gt;"BS",F1031&lt;&gt;"",H1031&lt;&gt;"",ISNUMBER(K1031),ISNUMBER(L1031)),IF(AND(K1031&gt;0,L1031&gt;0,K1031-L1031&gt;0,COUNTIFS(A1032:A$2005,A1031,F1032:F$2005,F1031,H1032:H$2005,H1031,AA1032:AA$2005,"&gt;0")=0),ROUND(K1031-L1031,6),""),"")</f>
        <v/>
      </c>
      <c r="X1031" s="60" t="str">
        <f>IF(AND(A1031="",C1031="",D1031="",H1031="",L1031=""),"",IF(A1031="","Type manquant",IF(AND(A1031&lt;&gt;"BL",A1031&lt;&gt;"BR",A1031&lt;&gt;"BS"),"Type inconnu (BL, BR ou BS)",IF(AG1031=0,"Date manquante ou invalide",IF(D1031="",IF(A1031="BL","Client manquant",IF(A1031="BR","Fournisseur manquant","Service manquant")),IF(IF(A1031="BL",ISNA(MATCH(D1031,cl_code,0)),IF(A1031="BR",ISNA(MATCH(D1031,fo_code,0)),ISNA(MATCH(D1031,p_services,0)))),IF(A1031="BL","Client inconnu",IF(A1031="BR","Fournisseur inconnu","Service inconnu")),IF(H1031="","Article manquant",IF(ISNA(MATCH(H1031,art_ref,0)),"Article inconnu",IF(OR(NOT(ISNUMBER(L1031)),N(L1031)&lt;=0),"Quantité invalide",IF(AND(K1031&lt;&gt;"",OR(NOT(ISNUMBER(K1031)),N(K1031)&lt;=0)),"Qté commandée invalide",IF(AG1031&lt;SUMPRODUCT(MAX((A$6:A1030=A1031)*AG$6:AG1030)),"Date antérieure au bon précédent",IF(AND(A1031&lt;&gt;"BR",ISNUMBER(M1031),N(M1031)&gt;0),IF(A1031="BL","Livré plus que commandé","Sorti plus que demandé"),"OK"))))))))))))</f>
        <v/>
      </c>
      <c r="Y1031" s="57" t="str">
        <f>IF(AND(OR(A1031="BL",A1031="BR",A1031="BS"),AG1031&gt;0,D1031&lt;&gt;""),A1031&amp;"|"&amp;AG1031&amp;"|"&amp;D1031&amp;"|"&amp;F1031,"")</f>
        <v/>
      </c>
      <c r="Z1031" s="57" t="str">
        <f>IF(Y1031="","",IF(COUNTIF(Y$6:Y1030,Y1031)=0,1,0))</f>
        <v/>
      </c>
      <c r="AA1031" s="57" t="str">
        <f>IF(Y1031="","",IF(Z1031=1,COUNTIFS(A$6:A1031,A1031,Z$6:Z1031,1),INDEX(AA$6:AA1030,MATCH(Y1031,Y$6:Y1030,0))))</f>
        <v/>
      </c>
      <c r="AB1031" s="57" t="str">
        <f>IF(B1031="","",COUNTIF(B$6:B1031,B1031))</f>
        <v/>
      </c>
      <c r="AC1031" s="57" t="str">
        <f>IF(B1031="","",B1031&amp;"#"&amp;AB1031)</f>
        <v/>
      </c>
      <c r="AD1031" s="57" t="str">
        <f>IF(Z1031=1,A1031&amp;AA1031,"")</f>
        <v/>
      </c>
      <c r="AE1031" s="57" t="str">
        <f>IF(B1031="","",YEAR(C1031))</f>
        <v/>
      </c>
      <c r="AF1031" s="57" t="str">
        <f>IF(B1031="","",MONTH(C1031))</f>
        <v/>
      </c>
      <c r="AG1031" s="57">
        <f>IF(ISNUMBER(C1031),C1031,0)</f>
        <v>0.0</v>
      </c>
      <c r="AH1031" s="57" t="str">
        <f>IF(N(W1031)&gt;0,COUNTIF(W$6:W1031,"&gt;0"),"")</f>
        <v/>
      </c>
      <c r="AI1031" s="57" t="str">
        <f>IF(Z1031=1,COUNTIF(Z$6:Z1031,1),"")</f>
        <v/>
      </c>
    </row>
    <row r="1032">
      <c r="A1032" s="54" t="n"/>
      <c r="B1032" s="55" t="str">
        <f>IF(AA1032="","",A1032&amp;"-"&amp;RIGHT("000"&amp;AA1032,4))</f>
        <v/>
      </c>
      <c r="C1032" s="56" t="n"/>
      <c r="D1032" s="54" t="n"/>
      <c r="E1032" s="57" t="str">
        <f>IF(D1032="","",IF(A1032="BL",IFERROR(INDEX(cl_name,MATCH(D1032,cl_code,0))&amp;"","Client inconnu"),IF(A1032="BR",IFERROR(INDEX(fo_name,MATCH(D1032,fo_code,0))&amp;"","Fournisseur inconnu"),IF(A1032="BS",IF(ISNA(MATCH(D1032,p_services,0)),"Service inconnu",D1032&amp;""),""))))</f>
        <v/>
      </c>
      <c r="F1032" s="58" t="n"/>
      <c r="G1032" s="58" t="n"/>
      <c r="H1032" s="59" t="n"/>
      <c r="I1032" s="57" t="str">
        <f>IF(H1032="","",IFERROR(INDEX(art_des,MATCH(H1032,art_ref,0))&amp;"","Article inconnu"))</f>
        <v/>
      </c>
      <c r="J1032" s="60" t="str">
        <f>IF(H1032="","",IFERROR(INDEX(art_unit,MATCH(H1032,art_ref,0))&amp;"",""))</f>
        <v/>
      </c>
      <c r="K1032" s="59" t="n"/>
      <c r="L1032" s="59" t="n"/>
      <c r="M1032" s="61" t="str">
        <f>IF(OR(B1032="",NOT(ISNUMBER(K1032)),NOT(ISNUMBER(L1032))),"",IF(OR(K1032&lt;=0,L1032&lt;=0),"",ROUND(L1032-K1032,6)))</f>
        <v/>
      </c>
      <c r="N1032" s="58" t="n"/>
      <c r="O1032" s="62" t="n"/>
      <c r="P1032" s="63" t="str">
        <f>IF(OR(B1032="",NOT(ISNUMBER(L1032))),"",IF(L1032&lt;=0,"",IFERROR(ROUND(L1032*N(INDEX(art_w,MATCH(H1032,art_ref,0))),3),"")))</f>
        <v/>
      </c>
      <c r="Q1032" s="59" t="n"/>
      <c r="R1032" s="54" t="n"/>
      <c r="S1032" s="59" t="n"/>
      <c r="T1032" s="59" t="n"/>
      <c r="U1032" s="64" t="str">
        <f>IF(OR(B1032="",H1032=""),"",IFERROR(IF(A1032="BL",IF(N(INDEX(art_price,MATCH(H1032,art_ref,0)))=0,"",N(INDEX(art_price,MATCH(H1032,art_ref,0)))),IF(N(INDEX(art_cost,MATCH(H1032,art_ref,0)))=0,"",N(INDEX(art_cost,MATCH(H1032,art_ref,0))))),""))</f>
        <v/>
      </c>
      <c r="V1032" s="64" t="str">
        <f>IF(OR(U1032="",NOT(ISNUMBER(L1032))),"",IF(L1032&lt;=0,"",ROUND(L1032*U1032,2)))</f>
        <v/>
      </c>
      <c r="W1032" s="60" t="str">
        <f>IF(AND(B1032&lt;&gt;"",A1032&lt;&gt;"BS",F1032&lt;&gt;"",H1032&lt;&gt;"",ISNUMBER(K1032),ISNUMBER(L1032)),IF(AND(K1032&gt;0,L1032&gt;0,K1032-L1032&gt;0,COUNTIFS(A1033:A$2005,A1032,F1033:F$2005,F1032,H1033:H$2005,H1032,AA1033:AA$2005,"&gt;0")=0),ROUND(K1032-L1032,6),""),"")</f>
        <v/>
      </c>
      <c r="X1032" s="60" t="str">
        <f>IF(AND(A1032="",C1032="",D1032="",H1032="",L1032=""),"",IF(A1032="","Type manquant",IF(AND(A1032&lt;&gt;"BL",A1032&lt;&gt;"BR",A1032&lt;&gt;"BS"),"Type inconnu (BL, BR ou BS)",IF(AG1032=0,"Date manquante ou invalide",IF(D1032="",IF(A1032="BL","Client manquant",IF(A1032="BR","Fournisseur manquant","Service manquant")),IF(IF(A1032="BL",ISNA(MATCH(D1032,cl_code,0)),IF(A1032="BR",ISNA(MATCH(D1032,fo_code,0)),ISNA(MATCH(D1032,p_services,0)))),IF(A1032="BL","Client inconnu",IF(A1032="BR","Fournisseur inconnu","Service inconnu")),IF(H1032="","Article manquant",IF(ISNA(MATCH(H1032,art_ref,0)),"Article inconnu",IF(OR(NOT(ISNUMBER(L1032)),N(L1032)&lt;=0),"Quantité invalide",IF(AND(K1032&lt;&gt;"",OR(NOT(ISNUMBER(K1032)),N(K1032)&lt;=0)),"Qté commandée invalide",IF(AG1032&lt;SUMPRODUCT(MAX((A$6:A1031=A1032)*AG$6:AG1031)),"Date antérieure au bon précédent",IF(AND(A1032&lt;&gt;"BR",ISNUMBER(M1032),N(M1032)&gt;0),IF(A1032="BL","Livré plus que commandé","Sorti plus que demandé"),"OK"))))))))))))</f>
        <v/>
      </c>
      <c r="Y1032" s="57" t="str">
        <f>IF(AND(OR(A1032="BL",A1032="BR",A1032="BS"),AG1032&gt;0,D1032&lt;&gt;""),A1032&amp;"|"&amp;AG1032&amp;"|"&amp;D1032&amp;"|"&amp;F1032,"")</f>
        <v/>
      </c>
      <c r="Z1032" s="57" t="str">
        <f>IF(Y1032="","",IF(COUNTIF(Y$6:Y1031,Y1032)=0,1,0))</f>
        <v/>
      </c>
      <c r="AA1032" s="57" t="str">
        <f>IF(Y1032="","",IF(Z1032=1,COUNTIFS(A$6:A1032,A1032,Z$6:Z1032,1),INDEX(AA$6:AA1031,MATCH(Y1032,Y$6:Y1031,0))))</f>
        <v/>
      </c>
      <c r="AB1032" s="57" t="str">
        <f>IF(B1032="","",COUNTIF(B$6:B1032,B1032))</f>
        <v/>
      </c>
      <c r="AC1032" s="57" t="str">
        <f>IF(B1032="","",B1032&amp;"#"&amp;AB1032)</f>
        <v/>
      </c>
      <c r="AD1032" s="57" t="str">
        <f>IF(Z1032=1,A1032&amp;AA1032,"")</f>
        <v/>
      </c>
      <c r="AE1032" s="57" t="str">
        <f>IF(B1032="","",YEAR(C1032))</f>
        <v/>
      </c>
      <c r="AF1032" s="57" t="str">
        <f>IF(B1032="","",MONTH(C1032))</f>
        <v/>
      </c>
      <c r="AG1032" s="57">
        <f>IF(ISNUMBER(C1032),C1032,0)</f>
        <v>0.0</v>
      </c>
      <c r="AH1032" s="57" t="str">
        <f>IF(N(W1032)&gt;0,COUNTIF(W$6:W1032,"&gt;0"),"")</f>
        <v/>
      </c>
      <c r="AI1032" s="57" t="str">
        <f>IF(Z1032=1,COUNTIF(Z$6:Z1032,1),"")</f>
        <v/>
      </c>
    </row>
    <row r="1033">
      <c r="A1033" s="54" t="n"/>
      <c r="B1033" s="55" t="str">
        <f>IF(AA1033="","",A1033&amp;"-"&amp;RIGHT("000"&amp;AA1033,4))</f>
        <v/>
      </c>
      <c r="C1033" s="56" t="n"/>
      <c r="D1033" s="54" t="n"/>
      <c r="E1033" s="57" t="str">
        <f>IF(D1033="","",IF(A1033="BL",IFERROR(INDEX(cl_name,MATCH(D1033,cl_code,0))&amp;"","Client inconnu"),IF(A1033="BR",IFERROR(INDEX(fo_name,MATCH(D1033,fo_code,0))&amp;"","Fournisseur inconnu"),IF(A1033="BS",IF(ISNA(MATCH(D1033,p_services,0)),"Service inconnu",D1033&amp;""),""))))</f>
        <v/>
      </c>
      <c r="F1033" s="58" t="n"/>
      <c r="G1033" s="58" t="n"/>
      <c r="H1033" s="59" t="n"/>
      <c r="I1033" s="57" t="str">
        <f>IF(H1033="","",IFERROR(INDEX(art_des,MATCH(H1033,art_ref,0))&amp;"","Article inconnu"))</f>
        <v/>
      </c>
      <c r="J1033" s="60" t="str">
        <f>IF(H1033="","",IFERROR(INDEX(art_unit,MATCH(H1033,art_ref,0))&amp;"",""))</f>
        <v/>
      </c>
      <c r="K1033" s="59" t="n"/>
      <c r="L1033" s="59" t="n"/>
      <c r="M1033" s="61" t="str">
        <f>IF(OR(B1033="",NOT(ISNUMBER(K1033)),NOT(ISNUMBER(L1033))),"",IF(OR(K1033&lt;=0,L1033&lt;=0),"",ROUND(L1033-K1033,6)))</f>
        <v/>
      </c>
      <c r="N1033" s="58" t="n"/>
      <c r="O1033" s="62" t="n"/>
      <c r="P1033" s="63" t="str">
        <f>IF(OR(B1033="",NOT(ISNUMBER(L1033))),"",IF(L1033&lt;=0,"",IFERROR(ROUND(L1033*N(INDEX(art_w,MATCH(H1033,art_ref,0))),3),"")))</f>
        <v/>
      </c>
      <c r="Q1033" s="59" t="n"/>
      <c r="R1033" s="54" t="n"/>
      <c r="S1033" s="59" t="n"/>
      <c r="T1033" s="59" t="n"/>
      <c r="U1033" s="64" t="str">
        <f>IF(OR(B1033="",H1033=""),"",IFERROR(IF(A1033="BL",IF(N(INDEX(art_price,MATCH(H1033,art_ref,0)))=0,"",N(INDEX(art_price,MATCH(H1033,art_ref,0)))),IF(N(INDEX(art_cost,MATCH(H1033,art_ref,0)))=0,"",N(INDEX(art_cost,MATCH(H1033,art_ref,0))))),""))</f>
        <v/>
      </c>
      <c r="V1033" s="64" t="str">
        <f>IF(OR(U1033="",NOT(ISNUMBER(L1033))),"",IF(L1033&lt;=0,"",ROUND(L1033*U1033,2)))</f>
        <v/>
      </c>
      <c r="W1033" s="60" t="str">
        <f>IF(AND(B1033&lt;&gt;"",A1033&lt;&gt;"BS",F1033&lt;&gt;"",H1033&lt;&gt;"",ISNUMBER(K1033),ISNUMBER(L1033)),IF(AND(K1033&gt;0,L1033&gt;0,K1033-L1033&gt;0,COUNTIFS(A1034:A$2005,A1033,F1034:F$2005,F1033,H1034:H$2005,H1033,AA1034:AA$2005,"&gt;0")=0),ROUND(K1033-L1033,6),""),"")</f>
        <v/>
      </c>
      <c r="X1033" s="60" t="str">
        <f>IF(AND(A1033="",C1033="",D1033="",H1033="",L1033=""),"",IF(A1033="","Type manquant",IF(AND(A1033&lt;&gt;"BL",A1033&lt;&gt;"BR",A1033&lt;&gt;"BS"),"Type inconnu (BL, BR ou BS)",IF(AG1033=0,"Date manquante ou invalide",IF(D1033="",IF(A1033="BL","Client manquant",IF(A1033="BR","Fournisseur manquant","Service manquant")),IF(IF(A1033="BL",ISNA(MATCH(D1033,cl_code,0)),IF(A1033="BR",ISNA(MATCH(D1033,fo_code,0)),ISNA(MATCH(D1033,p_services,0)))),IF(A1033="BL","Client inconnu",IF(A1033="BR","Fournisseur inconnu","Service inconnu")),IF(H1033="","Article manquant",IF(ISNA(MATCH(H1033,art_ref,0)),"Article inconnu",IF(OR(NOT(ISNUMBER(L1033)),N(L1033)&lt;=0),"Quantité invalide",IF(AND(K1033&lt;&gt;"",OR(NOT(ISNUMBER(K1033)),N(K1033)&lt;=0)),"Qté commandée invalide",IF(AG1033&lt;SUMPRODUCT(MAX((A$6:A1032=A1033)*AG$6:AG1032)),"Date antérieure au bon précédent",IF(AND(A1033&lt;&gt;"BR",ISNUMBER(M1033),N(M1033)&gt;0),IF(A1033="BL","Livré plus que commandé","Sorti plus que demandé"),"OK"))))))))))))</f>
        <v/>
      </c>
      <c r="Y1033" s="57" t="str">
        <f>IF(AND(OR(A1033="BL",A1033="BR",A1033="BS"),AG1033&gt;0,D1033&lt;&gt;""),A1033&amp;"|"&amp;AG1033&amp;"|"&amp;D1033&amp;"|"&amp;F1033,"")</f>
        <v/>
      </c>
      <c r="Z1033" s="57" t="str">
        <f>IF(Y1033="","",IF(COUNTIF(Y$6:Y1032,Y1033)=0,1,0))</f>
        <v/>
      </c>
      <c r="AA1033" s="57" t="str">
        <f>IF(Y1033="","",IF(Z1033=1,COUNTIFS(A$6:A1033,A1033,Z$6:Z1033,1),INDEX(AA$6:AA1032,MATCH(Y1033,Y$6:Y1032,0))))</f>
        <v/>
      </c>
      <c r="AB1033" s="57" t="str">
        <f>IF(B1033="","",COUNTIF(B$6:B1033,B1033))</f>
        <v/>
      </c>
      <c r="AC1033" s="57" t="str">
        <f>IF(B1033="","",B1033&amp;"#"&amp;AB1033)</f>
        <v/>
      </c>
      <c r="AD1033" s="57" t="str">
        <f>IF(Z1033=1,A1033&amp;AA1033,"")</f>
        <v/>
      </c>
      <c r="AE1033" s="57" t="str">
        <f>IF(B1033="","",YEAR(C1033))</f>
        <v/>
      </c>
      <c r="AF1033" s="57" t="str">
        <f>IF(B1033="","",MONTH(C1033))</f>
        <v/>
      </c>
      <c r="AG1033" s="57">
        <f>IF(ISNUMBER(C1033),C1033,0)</f>
        <v>0.0</v>
      </c>
      <c r="AH1033" s="57" t="str">
        <f>IF(N(W1033)&gt;0,COUNTIF(W$6:W1033,"&gt;0"),"")</f>
        <v/>
      </c>
      <c r="AI1033" s="57" t="str">
        <f>IF(Z1033=1,COUNTIF(Z$6:Z1033,1),"")</f>
        <v/>
      </c>
    </row>
    <row r="1034">
      <c r="A1034" s="54" t="n"/>
      <c r="B1034" s="55" t="str">
        <f>IF(AA1034="","",A1034&amp;"-"&amp;RIGHT("000"&amp;AA1034,4))</f>
        <v/>
      </c>
      <c r="C1034" s="56" t="n"/>
      <c r="D1034" s="54" t="n"/>
      <c r="E1034" s="57" t="str">
        <f>IF(D1034="","",IF(A1034="BL",IFERROR(INDEX(cl_name,MATCH(D1034,cl_code,0))&amp;"","Client inconnu"),IF(A1034="BR",IFERROR(INDEX(fo_name,MATCH(D1034,fo_code,0))&amp;"","Fournisseur inconnu"),IF(A1034="BS",IF(ISNA(MATCH(D1034,p_services,0)),"Service inconnu",D1034&amp;""),""))))</f>
        <v/>
      </c>
      <c r="F1034" s="58" t="n"/>
      <c r="G1034" s="58" t="n"/>
      <c r="H1034" s="59" t="n"/>
      <c r="I1034" s="57" t="str">
        <f>IF(H1034="","",IFERROR(INDEX(art_des,MATCH(H1034,art_ref,0))&amp;"","Article inconnu"))</f>
        <v/>
      </c>
      <c r="J1034" s="60" t="str">
        <f>IF(H1034="","",IFERROR(INDEX(art_unit,MATCH(H1034,art_ref,0))&amp;"",""))</f>
        <v/>
      </c>
      <c r="K1034" s="59" t="n"/>
      <c r="L1034" s="59" t="n"/>
      <c r="M1034" s="61" t="str">
        <f>IF(OR(B1034="",NOT(ISNUMBER(K1034)),NOT(ISNUMBER(L1034))),"",IF(OR(K1034&lt;=0,L1034&lt;=0),"",ROUND(L1034-K1034,6)))</f>
        <v/>
      </c>
      <c r="N1034" s="58" t="n"/>
      <c r="O1034" s="62" t="n"/>
      <c r="P1034" s="63" t="str">
        <f>IF(OR(B1034="",NOT(ISNUMBER(L1034))),"",IF(L1034&lt;=0,"",IFERROR(ROUND(L1034*N(INDEX(art_w,MATCH(H1034,art_ref,0))),3),"")))</f>
        <v/>
      </c>
      <c r="Q1034" s="59" t="n"/>
      <c r="R1034" s="54" t="n"/>
      <c r="S1034" s="59" t="n"/>
      <c r="T1034" s="59" t="n"/>
      <c r="U1034" s="64" t="str">
        <f>IF(OR(B1034="",H1034=""),"",IFERROR(IF(A1034="BL",IF(N(INDEX(art_price,MATCH(H1034,art_ref,0)))=0,"",N(INDEX(art_price,MATCH(H1034,art_ref,0)))),IF(N(INDEX(art_cost,MATCH(H1034,art_ref,0)))=0,"",N(INDEX(art_cost,MATCH(H1034,art_ref,0))))),""))</f>
        <v/>
      </c>
      <c r="V1034" s="64" t="str">
        <f>IF(OR(U1034="",NOT(ISNUMBER(L1034))),"",IF(L1034&lt;=0,"",ROUND(L1034*U1034,2)))</f>
        <v/>
      </c>
      <c r="W1034" s="60" t="str">
        <f>IF(AND(B1034&lt;&gt;"",A1034&lt;&gt;"BS",F1034&lt;&gt;"",H1034&lt;&gt;"",ISNUMBER(K1034),ISNUMBER(L1034)),IF(AND(K1034&gt;0,L1034&gt;0,K1034-L1034&gt;0,COUNTIFS(A1035:A$2005,A1034,F1035:F$2005,F1034,H1035:H$2005,H1034,AA1035:AA$2005,"&gt;0")=0),ROUND(K1034-L1034,6),""),"")</f>
        <v/>
      </c>
      <c r="X1034" s="60" t="str">
        <f>IF(AND(A1034="",C1034="",D1034="",H1034="",L1034=""),"",IF(A1034="","Type manquant",IF(AND(A1034&lt;&gt;"BL",A1034&lt;&gt;"BR",A1034&lt;&gt;"BS"),"Type inconnu (BL, BR ou BS)",IF(AG1034=0,"Date manquante ou invalide",IF(D1034="",IF(A1034="BL","Client manquant",IF(A1034="BR","Fournisseur manquant","Service manquant")),IF(IF(A1034="BL",ISNA(MATCH(D1034,cl_code,0)),IF(A1034="BR",ISNA(MATCH(D1034,fo_code,0)),ISNA(MATCH(D1034,p_services,0)))),IF(A1034="BL","Client inconnu",IF(A1034="BR","Fournisseur inconnu","Service inconnu")),IF(H1034="","Article manquant",IF(ISNA(MATCH(H1034,art_ref,0)),"Article inconnu",IF(OR(NOT(ISNUMBER(L1034)),N(L1034)&lt;=0),"Quantité invalide",IF(AND(K1034&lt;&gt;"",OR(NOT(ISNUMBER(K1034)),N(K1034)&lt;=0)),"Qté commandée invalide",IF(AG1034&lt;SUMPRODUCT(MAX((A$6:A1033=A1034)*AG$6:AG1033)),"Date antérieure au bon précédent",IF(AND(A1034&lt;&gt;"BR",ISNUMBER(M1034),N(M1034)&gt;0),IF(A1034="BL","Livré plus que commandé","Sorti plus que demandé"),"OK"))))))))))))</f>
        <v/>
      </c>
      <c r="Y1034" s="57" t="str">
        <f>IF(AND(OR(A1034="BL",A1034="BR",A1034="BS"),AG1034&gt;0,D1034&lt;&gt;""),A1034&amp;"|"&amp;AG1034&amp;"|"&amp;D1034&amp;"|"&amp;F1034,"")</f>
        <v/>
      </c>
      <c r="Z1034" s="57" t="str">
        <f>IF(Y1034="","",IF(COUNTIF(Y$6:Y1033,Y1034)=0,1,0))</f>
        <v/>
      </c>
      <c r="AA1034" s="57" t="str">
        <f>IF(Y1034="","",IF(Z1034=1,COUNTIFS(A$6:A1034,A1034,Z$6:Z1034,1),INDEX(AA$6:AA1033,MATCH(Y1034,Y$6:Y1033,0))))</f>
        <v/>
      </c>
      <c r="AB1034" s="57" t="str">
        <f>IF(B1034="","",COUNTIF(B$6:B1034,B1034))</f>
        <v/>
      </c>
      <c r="AC1034" s="57" t="str">
        <f>IF(B1034="","",B1034&amp;"#"&amp;AB1034)</f>
        <v/>
      </c>
      <c r="AD1034" s="57" t="str">
        <f>IF(Z1034=1,A1034&amp;AA1034,"")</f>
        <v/>
      </c>
      <c r="AE1034" s="57" t="str">
        <f>IF(B1034="","",YEAR(C1034))</f>
        <v/>
      </c>
      <c r="AF1034" s="57" t="str">
        <f>IF(B1034="","",MONTH(C1034))</f>
        <v/>
      </c>
      <c r="AG1034" s="57">
        <f>IF(ISNUMBER(C1034),C1034,0)</f>
        <v>0.0</v>
      </c>
      <c r="AH1034" s="57" t="str">
        <f>IF(N(W1034)&gt;0,COUNTIF(W$6:W1034,"&gt;0"),"")</f>
        <v/>
      </c>
      <c r="AI1034" s="57" t="str">
        <f>IF(Z1034=1,COUNTIF(Z$6:Z1034,1),"")</f>
        <v/>
      </c>
    </row>
    <row r="1035">
      <c r="A1035" s="54" t="n"/>
      <c r="B1035" s="55" t="str">
        <f>IF(AA1035="","",A1035&amp;"-"&amp;RIGHT("000"&amp;AA1035,4))</f>
        <v/>
      </c>
      <c r="C1035" s="56" t="n"/>
      <c r="D1035" s="54" t="n"/>
      <c r="E1035" s="57" t="str">
        <f>IF(D1035="","",IF(A1035="BL",IFERROR(INDEX(cl_name,MATCH(D1035,cl_code,0))&amp;"","Client inconnu"),IF(A1035="BR",IFERROR(INDEX(fo_name,MATCH(D1035,fo_code,0))&amp;"","Fournisseur inconnu"),IF(A1035="BS",IF(ISNA(MATCH(D1035,p_services,0)),"Service inconnu",D1035&amp;""),""))))</f>
        <v/>
      </c>
      <c r="F1035" s="58" t="n"/>
      <c r="G1035" s="58" t="n"/>
      <c r="H1035" s="59" t="n"/>
      <c r="I1035" s="57" t="str">
        <f>IF(H1035="","",IFERROR(INDEX(art_des,MATCH(H1035,art_ref,0))&amp;"","Article inconnu"))</f>
        <v/>
      </c>
      <c r="J1035" s="60" t="str">
        <f>IF(H1035="","",IFERROR(INDEX(art_unit,MATCH(H1035,art_ref,0))&amp;"",""))</f>
        <v/>
      </c>
      <c r="K1035" s="59" t="n"/>
      <c r="L1035" s="59" t="n"/>
      <c r="M1035" s="61" t="str">
        <f>IF(OR(B1035="",NOT(ISNUMBER(K1035)),NOT(ISNUMBER(L1035))),"",IF(OR(K1035&lt;=0,L1035&lt;=0),"",ROUND(L1035-K1035,6)))</f>
        <v/>
      </c>
      <c r="N1035" s="58" t="n"/>
      <c r="O1035" s="62" t="n"/>
      <c r="P1035" s="63" t="str">
        <f>IF(OR(B1035="",NOT(ISNUMBER(L1035))),"",IF(L1035&lt;=0,"",IFERROR(ROUND(L1035*N(INDEX(art_w,MATCH(H1035,art_ref,0))),3),"")))</f>
        <v/>
      </c>
      <c r="Q1035" s="59" t="n"/>
      <c r="R1035" s="54" t="n"/>
      <c r="S1035" s="59" t="n"/>
      <c r="T1035" s="59" t="n"/>
      <c r="U1035" s="64" t="str">
        <f>IF(OR(B1035="",H1035=""),"",IFERROR(IF(A1035="BL",IF(N(INDEX(art_price,MATCH(H1035,art_ref,0)))=0,"",N(INDEX(art_price,MATCH(H1035,art_ref,0)))),IF(N(INDEX(art_cost,MATCH(H1035,art_ref,0)))=0,"",N(INDEX(art_cost,MATCH(H1035,art_ref,0))))),""))</f>
        <v/>
      </c>
      <c r="V1035" s="64" t="str">
        <f>IF(OR(U1035="",NOT(ISNUMBER(L1035))),"",IF(L1035&lt;=0,"",ROUND(L1035*U1035,2)))</f>
        <v/>
      </c>
      <c r="W1035" s="60" t="str">
        <f>IF(AND(B1035&lt;&gt;"",A1035&lt;&gt;"BS",F1035&lt;&gt;"",H1035&lt;&gt;"",ISNUMBER(K1035),ISNUMBER(L1035)),IF(AND(K1035&gt;0,L1035&gt;0,K1035-L1035&gt;0,COUNTIFS(A1036:A$2005,A1035,F1036:F$2005,F1035,H1036:H$2005,H1035,AA1036:AA$2005,"&gt;0")=0),ROUND(K1035-L1035,6),""),"")</f>
        <v/>
      </c>
      <c r="X1035" s="60" t="str">
        <f>IF(AND(A1035="",C1035="",D1035="",H1035="",L1035=""),"",IF(A1035="","Type manquant",IF(AND(A1035&lt;&gt;"BL",A1035&lt;&gt;"BR",A1035&lt;&gt;"BS"),"Type inconnu (BL, BR ou BS)",IF(AG1035=0,"Date manquante ou invalide",IF(D1035="",IF(A1035="BL","Client manquant",IF(A1035="BR","Fournisseur manquant","Service manquant")),IF(IF(A1035="BL",ISNA(MATCH(D1035,cl_code,0)),IF(A1035="BR",ISNA(MATCH(D1035,fo_code,0)),ISNA(MATCH(D1035,p_services,0)))),IF(A1035="BL","Client inconnu",IF(A1035="BR","Fournisseur inconnu","Service inconnu")),IF(H1035="","Article manquant",IF(ISNA(MATCH(H1035,art_ref,0)),"Article inconnu",IF(OR(NOT(ISNUMBER(L1035)),N(L1035)&lt;=0),"Quantité invalide",IF(AND(K1035&lt;&gt;"",OR(NOT(ISNUMBER(K1035)),N(K1035)&lt;=0)),"Qté commandée invalide",IF(AG1035&lt;SUMPRODUCT(MAX((A$6:A1034=A1035)*AG$6:AG1034)),"Date antérieure au bon précédent",IF(AND(A1035&lt;&gt;"BR",ISNUMBER(M1035),N(M1035)&gt;0),IF(A1035="BL","Livré plus que commandé","Sorti plus que demandé"),"OK"))))))))))))</f>
        <v/>
      </c>
      <c r="Y1035" s="57" t="str">
        <f>IF(AND(OR(A1035="BL",A1035="BR",A1035="BS"),AG1035&gt;0,D1035&lt;&gt;""),A1035&amp;"|"&amp;AG1035&amp;"|"&amp;D1035&amp;"|"&amp;F1035,"")</f>
        <v/>
      </c>
      <c r="Z1035" s="57" t="str">
        <f>IF(Y1035="","",IF(COUNTIF(Y$6:Y1034,Y1035)=0,1,0))</f>
        <v/>
      </c>
      <c r="AA1035" s="57" t="str">
        <f>IF(Y1035="","",IF(Z1035=1,COUNTIFS(A$6:A1035,A1035,Z$6:Z1035,1),INDEX(AA$6:AA1034,MATCH(Y1035,Y$6:Y1034,0))))</f>
        <v/>
      </c>
      <c r="AB1035" s="57" t="str">
        <f>IF(B1035="","",COUNTIF(B$6:B1035,B1035))</f>
        <v/>
      </c>
      <c r="AC1035" s="57" t="str">
        <f>IF(B1035="","",B1035&amp;"#"&amp;AB1035)</f>
        <v/>
      </c>
      <c r="AD1035" s="57" t="str">
        <f>IF(Z1035=1,A1035&amp;AA1035,"")</f>
        <v/>
      </c>
      <c r="AE1035" s="57" t="str">
        <f>IF(B1035="","",YEAR(C1035))</f>
        <v/>
      </c>
      <c r="AF1035" s="57" t="str">
        <f>IF(B1035="","",MONTH(C1035))</f>
        <v/>
      </c>
      <c r="AG1035" s="57">
        <f>IF(ISNUMBER(C1035),C1035,0)</f>
        <v>0.0</v>
      </c>
      <c r="AH1035" s="57" t="str">
        <f>IF(N(W1035)&gt;0,COUNTIF(W$6:W1035,"&gt;0"),"")</f>
        <v/>
      </c>
      <c r="AI1035" s="57" t="str">
        <f>IF(Z1035=1,COUNTIF(Z$6:Z1035,1),"")</f>
        <v/>
      </c>
    </row>
    <row r="1036">
      <c r="A1036" s="54" t="n"/>
      <c r="B1036" s="55" t="str">
        <f>IF(AA1036="","",A1036&amp;"-"&amp;RIGHT("000"&amp;AA1036,4))</f>
        <v/>
      </c>
      <c r="C1036" s="56" t="n"/>
      <c r="D1036" s="54" t="n"/>
      <c r="E1036" s="57" t="str">
        <f>IF(D1036="","",IF(A1036="BL",IFERROR(INDEX(cl_name,MATCH(D1036,cl_code,0))&amp;"","Client inconnu"),IF(A1036="BR",IFERROR(INDEX(fo_name,MATCH(D1036,fo_code,0))&amp;"","Fournisseur inconnu"),IF(A1036="BS",IF(ISNA(MATCH(D1036,p_services,0)),"Service inconnu",D1036&amp;""),""))))</f>
        <v/>
      </c>
      <c r="F1036" s="58" t="n"/>
      <c r="G1036" s="58" t="n"/>
      <c r="H1036" s="59" t="n"/>
      <c r="I1036" s="57" t="str">
        <f>IF(H1036="","",IFERROR(INDEX(art_des,MATCH(H1036,art_ref,0))&amp;"","Article inconnu"))</f>
        <v/>
      </c>
      <c r="J1036" s="60" t="str">
        <f>IF(H1036="","",IFERROR(INDEX(art_unit,MATCH(H1036,art_ref,0))&amp;"",""))</f>
        <v/>
      </c>
      <c r="K1036" s="59" t="n"/>
      <c r="L1036" s="59" t="n"/>
      <c r="M1036" s="61" t="str">
        <f>IF(OR(B1036="",NOT(ISNUMBER(K1036)),NOT(ISNUMBER(L1036))),"",IF(OR(K1036&lt;=0,L1036&lt;=0),"",ROUND(L1036-K1036,6)))</f>
        <v/>
      </c>
      <c r="N1036" s="58" t="n"/>
      <c r="O1036" s="62" t="n"/>
      <c r="P1036" s="63" t="str">
        <f>IF(OR(B1036="",NOT(ISNUMBER(L1036))),"",IF(L1036&lt;=0,"",IFERROR(ROUND(L1036*N(INDEX(art_w,MATCH(H1036,art_ref,0))),3),"")))</f>
        <v/>
      </c>
      <c r="Q1036" s="59" t="n"/>
      <c r="R1036" s="54" t="n"/>
      <c r="S1036" s="59" t="n"/>
      <c r="T1036" s="59" t="n"/>
      <c r="U1036" s="64" t="str">
        <f>IF(OR(B1036="",H1036=""),"",IFERROR(IF(A1036="BL",IF(N(INDEX(art_price,MATCH(H1036,art_ref,0)))=0,"",N(INDEX(art_price,MATCH(H1036,art_ref,0)))),IF(N(INDEX(art_cost,MATCH(H1036,art_ref,0)))=0,"",N(INDEX(art_cost,MATCH(H1036,art_ref,0))))),""))</f>
        <v/>
      </c>
      <c r="V1036" s="64" t="str">
        <f>IF(OR(U1036="",NOT(ISNUMBER(L1036))),"",IF(L1036&lt;=0,"",ROUND(L1036*U1036,2)))</f>
        <v/>
      </c>
      <c r="W1036" s="60" t="str">
        <f>IF(AND(B1036&lt;&gt;"",A1036&lt;&gt;"BS",F1036&lt;&gt;"",H1036&lt;&gt;"",ISNUMBER(K1036),ISNUMBER(L1036)),IF(AND(K1036&gt;0,L1036&gt;0,K1036-L1036&gt;0,COUNTIFS(A1037:A$2005,A1036,F1037:F$2005,F1036,H1037:H$2005,H1036,AA1037:AA$2005,"&gt;0")=0),ROUND(K1036-L1036,6),""),"")</f>
        <v/>
      </c>
      <c r="X1036" s="60" t="str">
        <f>IF(AND(A1036="",C1036="",D1036="",H1036="",L1036=""),"",IF(A1036="","Type manquant",IF(AND(A1036&lt;&gt;"BL",A1036&lt;&gt;"BR",A1036&lt;&gt;"BS"),"Type inconnu (BL, BR ou BS)",IF(AG1036=0,"Date manquante ou invalide",IF(D1036="",IF(A1036="BL","Client manquant",IF(A1036="BR","Fournisseur manquant","Service manquant")),IF(IF(A1036="BL",ISNA(MATCH(D1036,cl_code,0)),IF(A1036="BR",ISNA(MATCH(D1036,fo_code,0)),ISNA(MATCH(D1036,p_services,0)))),IF(A1036="BL","Client inconnu",IF(A1036="BR","Fournisseur inconnu","Service inconnu")),IF(H1036="","Article manquant",IF(ISNA(MATCH(H1036,art_ref,0)),"Article inconnu",IF(OR(NOT(ISNUMBER(L1036)),N(L1036)&lt;=0),"Quantité invalide",IF(AND(K1036&lt;&gt;"",OR(NOT(ISNUMBER(K1036)),N(K1036)&lt;=0)),"Qté commandée invalide",IF(AG1036&lt;SUMPRODUCT(MAX((A$6:A1035=A1036)*AG$6:AG1035)),"Date antérieure au bon précédent",IF(AND(A1036&lt;&gt;"BR",ISNUMBER(M1036),N(M1036)&gt;0),IF(A1036="BL","Livré plus que commandé","Sorti plus que demandé"),"OK"))))))))))))</f>
        <v/>
      </c>
      <c r="Y1036" s="57" t="str">
        <f>IF(AND(OR(A1036="BL",A1036="BR",A1036="BS"),AG1036&gt;0,D1036&lt;&gt;""),A1036&amp;"|"&amp;AG1036&amp;"|"&amp;D1036&amp;"|"&amp;F1036,"")</f>
        <v/>
      </c>
      <c r="Z1036" s="57" t="str">
        <f>IF(Y1036="","",IF(COUNTIF(Y$6:Y1035,Y1036)=0,1,0))</f>
        <v/>
      </c>
      <c r="AA1036" s="57" t="str">
        <f>IF(Y1036="","",IF(Z1036=1,COUNTIFS(A$6:A1036,A1036,Z$6:Z1036,1),INDEX(AA$6:AA1035,MATCH(Y1036,Y$6:Y1035,0))))</f>
        <v/>
      </c>
      <c r="AB1036" s="57" t="str">
        <f>IF(B1036="","",COUNTIF(B$6:B1036,B1036))</f>
        <v/>
      </c>
      <c r="AC1036" s="57" t="str">
        <f>IF(B1036="","",B1036&amp;"#"&amp;AB1036)</f>
        <v/>
      </c>
      <c r="AD1036" s="57" t="str">
        <f>IF(Z1036=1,A1036&amp;AA1036,"")</f>
        <v/>
      </c>
      <c r="AE1036" s="57" t="str">
        <f>IF(B1036="","",YEAR(C1036))</f>
        <v/>
      </c>
      <c r="AF1036" s="57" t="str">
        <f>IF(B1036="","",MONTH(C1036))</f>
        <v/>
      </c>
      <c r="AG1036" s="57">
        <f>IF(ISNUMBER(C1036),C1036,0)</f>
        <v>0.0</v>
      </c>
      <c r="AH1036" s="57" t="str">
        <f>IF(N(W1036)&gt;0,COUNTIF(W$6:W1036,"&gt;0"),"")</f>
        <v/>
      </c>
      <c r="AI1036" s="57" t="str">
        <f>IF(Z1036=1,COUNTIF(Z$6:Z1036,1),"")</f>
        <v/>
      </c>
    </row>
    <row r="1037">
      <c r="A1037" s="54" t="n"/>
      <c r="B1037" s="55" t="str">
        <f>IF(AA1037="","",A1037&amp;"-"&amp;RIGHT("000"&amp;AA1037,4))</f>
        <v/>
      </c>
      <c r="C1037" s="56" t="n"/>
      <c r="D1037" s="54" t="n"/>
      <c r="E1037" s="57" t="str">
        <f>IF(D1037="","",IF(A1037="BL",IFERROR(INDEX(cl_name,MATCH(D1037,cl_code,0))&amp;"","Client inconnu"),IF(A1037="BR",IFERROR(INDEX(fo_name,MATCH(D1037,fo_code,0))&amp;"","Fournisseur inconnu"),IF(A1037="BS",IF(ISNA(MATCH(D1037,p_services,0)),"Service inconnu",D1037&amp;""),""))))</f>
        <v/>
      </c>
      <c r="F1037" s="58" t="n"/>
      <c r="G1037" s="58" t="n"/>
      <c r="H1037" s="59" t="n"/>
      <c r="I1037" s="57" t="str">
        <f>IF(H1037="","",IFERROR(INDEX(art_des,MATCH(H1037,art_ref,0))&amp;"","Article inconnu"))</f>
        <v/>
      </c>
      <c r="J1037" s="60" t="str">
        <f>IF(H1037="","",IFERROR(INDEX(art_unit,MATCH(H1037,art_ref,0))&amp;"",""))</f>
        <v/>
      </c>
      <c r="K1037" s="59" t="n"/>
      <c r="L1037" s="59" t="n"/>
      <c r="M1037" s="61" t="str">
        <f>IF(OR(B1037="",NOT(ISNUMBER(K1037)),NOT(ISNUMBER(L1037))),"",IF(OR(K1037&lt;=0,L1037&lt;=0),"",ROUND(L1037-K1037,6)))</f>
        <v/>
      </c>
      <c r="N1037" s="58" t="n"/>
      <c r="O1037" s="62" t="n"/>
      <c r="P1037" s="63" t="str">
        <f>IF(OR(B1037="",NOT(ISNUMBER(L1037))),"",IF(L1037&lt;=0,"",IFERROR(ROUND(L1037*N(INDEX(art_w,MATCH(H1037,art_ref,0))),3),"")))</f>
        <v/>
      </c>
      <c r="Q1037" s="59" t="n"/>
      <c r="R1037" s="54" t="n"/>
      <c r="S1037" s="59" t="n"/>
      <c r="T1037" s="59" t="n"/>
      <c r="U1037" s="64" t="str">
        <f>IF(OR(B1037="",H1037=""),"",IFERROR(IF(A1037="BL",IF(N(INDEX(art_price,MATCH(H1037,art_ref,0)))=0,"",N(INDEX(art_price,MATCH(H1037,art_ref,0)))),IF(N(INDEX(art_cost,MATCH(H1037,art_ref,0)))=0,"",N(INDEX(art_cost,MATCH(H1037,art_ref,0))))),""))</f>
        <v/>
      </c>
      <c r="V1037" s="64" t="str">
        <f>IF(OR(U1037="",NOT(ISNUMBER(L1037))),"",IF(L1037&lt;=0,"",ROUND(L1037*U1037,2)))</f>
        <v/>
      </c>
      <c r="W1037" s="60" t="str">
        <f>IF(AND(B1037&lt;&gt;"",A1037&lt;&gt;"BS",F1037&lt;&gt;"",H1037&lt;&gt;"",ISNUMBER(K1037),ISNUMBER(L1037)),IF(AND(K1037&gt;0,L1037&gt;0,K1037-L1037&gt;0,COUNTIFS(A1038:A$2005,A1037,F1038:F$2005,F1037,H1038:H$2005,H1037,AA1038:AA$2005,"&gt;0")=0),ROUND(K1037-L1037,6),""),"")</f>
        <v/>
      </c>
      <c r="X1037" s="60" t="str">
        <f>IF(AND(A1037="",C1037="",D1037="",H1037="",L1037=""),"",IF(A1037="","Type manquant",IF(AND(A1037&lt;&gt;"BL",A1037&lt;&gt;"BR",A1037&lt;&gt;"BS"),"Type inconnu (BL, BR ou BS)",IF(AG1037=0,"Date manquante ou invalide",IF(D1037="",IF(A1037="BL","Client manquant",IF(A1037="BR","Fournisseur manquant","Service manquant")),IF(IF(A1037="BL",ISNA(MATCH(D1037,cl_code,0)),IF(A1037="BR",ISNA(MATCH(D1037,fo_code,0)),ISNA(MATCH(D1037,p_services,0)))),IF(A1037="BL","Client inconnu",IF(A1037="BR","Fournisseur inconnu","Service inconnu")),IF(H1037="","Article manquant",IF(ISNA(MATCH(H1037,art_ref,0)),"Article inconnu",IF(OR(NOT(ISNUMBER(L1037)),N(L1037)&lt;=0),"Quantité invalide",IF(AND(K1037&lt;&gt;"",OR(NOT(ISNUMBER(K1037)),N(K1037)&lt;=0)),"Qté commandée invalide",IF(AG1037&lt;SUMPRODUCT(MAX((A$6:A1036=A1037)*AG$6:AG1036)),"Date antérieure au bon précédent",IF(AND(A1037&lt;&gt;"BR",ISNUMBER(M1037),N(M1037)&gt;0),IF(A1037="BL","Livré plus que commandé","Sorti plus que demandé"),"OK"))))))))))))</f>
        <v/>
      </c>
      <c r="Y1037" s="57" t="str">
        <f>IF(AND(OR(A1037="BL",A1037="BR",A1037="BS"),AG1037&gt;0,D1037&lt;&gt;""),A1037&amp;"|"&amp;AG1037&amp;"|"&amp;D1037&amp;"|"&amp;F1037,"")</f>
        <v/>
      </c>
      <c r="Z1037" s="57" t="str">
        <f>IF(Y1037="","",IF(COUNTIF(Y$6:Y1036,Y1037)=0,1,0))</f>
        <v/>
      </c>
      <c r="AA1037" s="57" t="str">
        <f>IF(Y1037="","",IF(Z1037=1,COUNTIFS(A$6:A1037,A1037,Z$6:Z1037,1),INDEX(AA$6:AA1036,MATCH(Y1037,Y$6:Y1036,0))))</f>
        <v/>
      </c>
      <c r="AB1037" s="57" t="str">
        <f>IF(B1037="","",COUNTIF(B$6:B1037,B1037))</f>
        <v/>
      </c>
      <c r="AC1037" s="57" t="str">
        <f>IF(B1037="","",B1037&amp;"#"&amp;AB1037)</f>
        <v/>
      </c>
      <c r="AD1037" s="57" t="str">
        <f>IF(Z1037=1,A1037&amp;AA1037,"")</f>
        <v/>
      </c>
      <c r="AE1037" s="57" t="str">
        <f>IF(B1037="","",YEAR(C1037))</f>
        <v/>
      </c>
      <c r="AF1037" s="57" t="str">
        <f>IF(B1037="","",MONTH(C1037))</f>
        <v/>
      </c>
      <c r="AG1037" s="57">
        <f>IF(ISNUMBER(C1037),C1037,0)</f>
        <v>0.0</v>
      </c>
      <c r="AH1037" s="57" t="str">
        <f>IF(N(W1037)&gt;0,COUNTIF(W$6:W1037,"&gt;0"),"")</f>
        <v/>
      </c>
      <c r="AI1037" s="57" t="str">
        <f>IF(Z1037=1,COUNTIF(Z$6:Z1037,1),"")</f>
        <v/>
      </c>
    </row>
    <row r="1038">
      <c r="A1038" s="54" t="n"/>
      <c r="B1038" s="55" t="str">
        <f>IF(AA1038="","",A1038&amp;"-"&amp;RIGHT("000"&amp;AA1038,4))</f>
        <v/>
      </c>
      <c r="C1038" s="56" t="n"/>
      <c r="D1038" s="54" t="n"/>
      <c r="E1038" s="57" t="str">
        <f>IF(D1038="","",IF(A1038="BL",IFERROR(INDEX(cl_name,MATCH(D1038,cl_code,0))&amp;"","Client inconnu"),IF(A1038="BR",IFERROR(INDEX(fo_name,MATCH(D1038,fo_code,0))&amp;"","Fournisseur inconnu"),IF(A1038="BS",IF(ISNA(MATCH(D1038,p_services,0)),"Service inconnu",D1038&amp;""),""))))</f>
        <v/>
      </c>
      <c r="F1038" s="58" t="n"/>
      <c r="G1038" s="58" t="n"/>
      <c r="H1038" s="59" t="n"/>
      <c r="I1038" s="57" t="str">
        <f>IF(H1038="","",IFERROR(INDEX(art_des,MATCH(H1038,art_ref,0))&amp;"","Article inconnu"))</f>
        <v/>
      </c>
      <c r="J1038" s="60" t="str">
        <f>IF(H1038="","",IFERROR(INDEX(art_unit,MATCH(H1038,art_ref,0))&amp;"",""))</f>
        <v/>
      </c>
      <c r="K1038" s="59" t="n"/>
      <c r="L1038" s="59" t="n"/>
      <c r="M1038" s="61" t="str">
        <f>IF(OR(B1038="",NOT(ISNUMBER(K1038)),NOT(ISNUMBER(L1038))),"",IF(OR(K1038&lt;=0,L1038&lt;=0),"",ROUND(L1038-K1038,6)))</f>
        <v/>
      </c>
      <c r="N1038" s="58" t="n"/>
      <c r="O1038" s="62" t="n"/>
      <c r="P1038" s="63" t="str">
        <f>IF(OR(B1038="",NOT(ISNUMBER(L1038))),"",IF(L1038&lt;=0,"",IFERROR(ROUND(L1038*N(INDEX(art_w,MATCH(H1038,art_ref,0))),3),"")))</f>
        <v/>
      </c>
      <c r="Q1038" s="59" t="n"/>
      <c r="R1038" s="54" t="n"/>
      <c r="S1038" s="59" t="n"/>
      <c r="T1038" s="59" t="n"/>
      <c r="U1038" s="64" t="str">
        <f>IF(OR(B1038="",H1038=""),"",IFERROR(IF(A1038="BL",IF(N(INDEX(art_price,MATCH(H1038,art_ref,0)))=0,"",N(INDEX(art_price,MATCH(H1038,art_ref,0)))),IF(N(INDEX(art_cost,MATCH(H1038,art_ref,0)))=0,"",N(INDEX(art_cost,MATCH(H1038,art_ref,0))))),""))</f>
        <v/>
      </c>
      <c r="V1038" s="64" t="str">
        <f>IF(OR(U1038="",NOT(ISNUMBER(L1038))),"",IF(L1038&lt;=0,"",ROUND(L1038*U1038,2)))</f>
        <v/>
      </c>
      <c r="W1038" s="60" t="str">
        <f>IF(AND(B1038&lt;&gt;"",A1038&lt;&gt;"BS",F1038&lt;&gt;"",H1038&lt;&gt;"",ISNUMBER(K1038),ISNUMBER(L1038)),IF(AND(K1038&gt;0,L1038&gt;0,K1038-L1038&gt;0,COUNTIFS(A1039:A$2005,A1038,F1039:F$2005,F1038,H1039:H$2005,H1038,AA1039:AA$2005,"&gt;0")=0),ROUND(K1038-L1038,6),""),"")</f>
        <v/>
      </c>
      <c r="X1038" s="60" t="str">
        <f>IF(AND(A1038="",C1038="",D1038="",H1038="",L1038=""),"",IF(A1038="","Type manquant",IF(AND(A1038&lt;&gt;"BL",A1038&lt;&gt;"BR",A1038&lt;&gt;"BS"),"Type inconnu (BL, BR ou BS)",IF(AG1038=0,"Date manquante ou invalide",IF(D1038="",IF(A1038="BL","Client manquant",IF(A1038="BR","Fournisseur manquant","Service manquant")),IF(IF(A1038="BL",ISNA(MATCH(D1038,cl_code,0)),IF(A1038="BR",ISNA(MATCH(D1038,fo_code,0)),ISNA(MATCH(D1038,p_services,0)))),IF(A1038="BL","Client inconnu",IF(A1038="BR","Fournisseur inconnu","Service inconnu")),IF(H1038="","Article manquant",IF(ISNA(MATCH(H1038,art_ref,0)),"Article inconnu",IF(OR(NOT(ISNUMBER(L1038)),N(L1038)&lt;=0),"Quantité invalide",IF(AND(K1038&lt;&gt;"",OR(NOT(ISNUMBER(K1038)),N(K1038)&lt;=0)),"Qté commandée invalide",IF(AG1038&lt;SUMPRODUCT(MAX((A$6:A1037=A1038)*AG$6:AG1037)),"Date antérieure au bon précédent",IF(AND(A1038&lt;&gt;"BR",ISNUMBER(M1038),N(M1038)&gt;0),IF(A1038="BL","Livré plus que commandé","Sorti plus que demandé"),"OK"))))))))))))</f>
        <v/>
      </c>
      <c r="Y1038" s="57" t="str">
        <f>IF(AND(OR(A1038="BL",A1038="BR",A1038="BS"),AG1038&gt;0,D1038&lt;&gt;""),A1038&amp;"|"&amp;AG1038&amp;"|"&amp;D1038&amp;"|"&amp;F1038,"")</f>
        <v/>
      </c>
      <c r="Z1038" s="57" t="str">
        <f>IF(Y1038="","",IF(COUNTIF(Y$6:Y1037,Y1038)=0,1,0))</f>
        <v/>
      </c>
      <c r="AA1038" s="57" t="str">
        <f>IF(Y1038="","",IF(Z1038=1,COUNTIFS(A$6:A1038,A1038,Z$6:Z1038,1),INDEX(AA$6:AA1037,MATCH(Y1038,Y$6:Y1037,0))))</f>
        <v/>
      </c>
      <c r="AB1038" s="57" t="str">
        <f>IF(B1038="","",COUNTIF(B$6:B1038,B1038))</f>
        <v/>
      </c>
      <c r="AC1038" s="57" t="str">
        <f>IF(B1038="","",B1038&amp;"#"&amp;AB1038)</f>
        <v/>
      </c>
      <c r="AD1038" s="57" t="str">
        <f>IF(Z1038=1,A1038&amp;AA1038,"")</f>
        <v/>
      </c>
      <c r="AE1038" s="57" t="str">
        <f>IF(B1038="","",YEAR(C1038))</f>
        <v/>
      </c>
      <c r="AF1038" s="57" t="str">
        <f>IF(B1038="","",MONTH(C1038))</f>
        <v/>
      </c>
      <c r="AG1038" s="57">
        <f>IF(ISNUMBER(C1038),C1038,0)</f>
        <v>0.0</v>
      </c>
      <c r="AH1038" s="57" t="str">
        <f>IF(N(W1038)&gt;0,COUNTIF(W$6:W1038,"&gt;0"),"")</f>
        <v/>
      </c>
      <c r="AI1038" s="57" t="str">
        <f>IF(Z1038=1,COUNTIF(Z$6:Z1038,1),"")</f>
        <v/>
      </c>
    </row>
    <row r="1039">
      <c r="A1039" s="54" t="n"/>
      <c r="B1039" s="55" t="str">
        <f>IF(AA1039="","",A1039&amp;"-"&amp;RIGHT("000"&amp;AA1039,4))</f>
        <v/>
      </c>
      <c r="C1039" s="56" t="n"/>
      <c r="D1039" s="54" t="n"/>
      <c r="E1039" s="57" t="str">
        <f>IF(D1039="","",IF(A1039="BL",IFERROR(INDEX(cl_name,MATCH(D1039,cl_code,0))&amp;"","Client inconnu"),IF(A1039="BR",IFERROR(INDEX(fo_name,MATCH(D1039,fo_code,0))&amp;"","Fournisseur inconnu"),IF(A1039="BS",IF(ISNA(MATCH(D1039,p_services,0)),"Service inconnu",D1039&amp;""),""))))</f>
        <v/>
      </c>
      <c r="F1039" s="58" t="n"/>
      <c r="G1039" s="58" t="n"/>
      <c r="H1039" s="59" t="n"/>
      <c r="I1039" s="57" t="str">
        <f>IF(H1039="","",IFERROR(INDEX(art_des,MATCH(H1039,art_ref,0))&amp;"","Article inconnu"))</f>
        <v/>
      </c>
      <c r="J1039" s="60" t="str">
        <f>IF(H1039="","",IFERROR(INDEX(art_unit,MATCH(H1039,art_ref,0))&amp;"",""))</f>
        <v/>
      </c>
      <c r="K1039" s="59" t="n"/>
      <c r="L1039" s="59" t="n"/>
      <c r="M1039" s="61" t="str">
        <f>IF(OR(B1039="",NOT(ISNUMBER(K1039)),NOT(ISNUMBER(L1039))),"",IF(OR(K1039&lt;=0,L1039&lt;=0),"",ROUND(L1039-K1039,6)))</f>
        <v/>
      </c>
      <c r="N1039" s="58" t="n"/>
      <c r="O1039" s="62" t="n"/>
      <c r="P1039" s="63" t="str">
        <f>IF(OR(B1039="",NOT(ISNUMBER(L1039))),"",IF(L1039&lt;=0,"",IFERROR(ROUND(L1039*N(INDEX(art_w,MATCH(H1039,art_ref,0))),3),"")))</f>
        <v/>
      </c>
      <c r="Q1039" s="59" t="n"/>
      <c r="R1039" s="54" t="n"/>
      <c r="S1039" s="59" t="n"/>
      <c r="T1039" s="59" t="n"/>
      <c r="U1039" s="64" t="str">
        <f>IF(OR(B1039="",H1039=""),"",IFERROR(IF(A1039="BL",IF(N(INDEX(art_price,MATCH(H1039,art_ref,0)))=0,"",N(INDEX(art_price,MATCH(H1039,art_ref,0)))),IF(N(INDEX(art_cost,MATCH(H1039,art_ref,0)))=0,"",N(INDEX(art_cost,MATCH(H1039,art_ref,0))))),""))</f>
        <v/>
      </c>
      <c r="V1039" s="64" t="str">
        <f>IF(OR(U1039="",NOT(ISNUMBER(L1039))),"",IF(L1039&lt;=0,"",ROUND(L1039*U1039,2)))</f>
        <v/>
      </c>
      <c r="W1039" s="60" t="str">
        <f>IF(AND(B1039&lt;&gt;"",A1039&lt;&gt;"BS",F1039&lt;&gt;"",H1039&lt;&gt;"",ISNUMBER(K1039),ISNUMBER(L1039)),IF(AND(K1039&gt;0,L1039&gt;0,K1039-L1039&gt;0,COUNTIFS(A1040:A$2005,A1039,F1040:F$2005,F1039,H1040:H$2005,H1039,AA1040:AA$2005,"&gt;0")=0),ROUND(K1039-L1039,6),""),"")</f>
        <v/>
      </c>
      <c r="X1039" s="60" t="str">
        <f>IF(AND(A1039="",C1039="",D1039="",H1039="",L1039=""),"",IF(A1039="","Type manquant",IF(AND(A1039&lt;&gt;"BL",A1039&lt;&gt;"BR",A1039&lt;&gt;"BS"),"Type inconnu (BL, BR ou BS)",IF(AG1039=0,"Date manquante ou invalide",IF(D1039="",IF(A1039="BL","Client manquant",IF(A1039="BR","Fournisseur manquant","Service manquant")),IF(IF(A1039="BL",ISNA(MATCH(D1039,cl_code,0)),IF(A1039="BR",ISNA(MATCH(D1039,fo_code,0)),ISNA(MATCH(D1039,p_services,0)))),IF(A1039="BL","Client inconnu",IF(A1039="BR","Fournisseur inconnu","Service inconnu")),IF(H1039="","Article manquant",IF(ISNA(MATCH(H1039,art_ref,0)),"Article inconnu",IF(OR(NOT(ISNUMBER(L1039)),N(L1039)&lt;=0),"Quantité invalide",IF(AND(K1039&lt;&gt;"",OR(NOT(ISNUMBER(K1039)),N(K1039)&lt;=0)),"Qté commandée invalide",IF(AG1039&lt;SUMPRODUCT(MAX((A$6:A1038=A1039)*AG$6:AG1038)),"Date antérieure au bon précédent",IF(AND(A1039&lt;&gt;"BR",ISNUMBER(M1039),N(M1039)&gt;0),IF(A1039="BL","Livré plus que commandé","Sorti plus que demandé"),"OK"))))))))))))</f>
        <v/>
      </c>
      <c r="Y1039" s="57" t="str">
        <f>IF(AND(OR(A1039="BL",A1039="BR",A1039="BS"),AG1039&gt;0,D1039&lt;&gt;""),A1039&amp;"|"&amp;AG1039&amp;"|"&amp;D1039&amp;"|"&amp;F1039,"")</f>
        <v/>
      </c>
      <c r="Z1039" s="57" t="str">
        <f>IF(Y1039="","",IF(COUNTIF(Y$6:Y1038,Y1039)=0,1,0))</f>
        <v/>
      </c>
      <c r="AA1039" s="57" t="str">
        <f>IF(Y1039="","",IF(Z1039=1,COUNTIFS(A$6:A1039,A1039,Z$6:Z1039,1),INDEX(AA$6:AA1038,MATCH(Y1039,Y$6:Y1038,0))))</f>
        <v/>
      </c>
      <c r="AB1039" s="57" t="str">
        <f>IF(B1039="","",COUNTIF(B$6:B1039,B1039))</f>
        <v/>
      </c>
      <c r="AC1039" s="57" t="str">
        <f>IF(B1039="","",B1039&amp;"#"&amp;AB1039)</f>
        <v/>
      </c>
      <c r="AD1039" s="57" t="str">
        <f>IF(Z1039=1,A1039&amp;AA1039,"")</f>
        <v/>
      </c>
      <c r="AE1039" s="57" t="str">
        <f>IF(B1039="","",YEAR(C1039))</f>
        <v/>
      </c>
      <c r="AF1039" s="57" t="str">
        <f>IF(B1039="","",MONTH(C1039))</f>
        <v/>
      </c>
      <c r="AG1039" s="57">
        <f>IF(ISNUMBER(C1039),C1039,0)</f>
        <v>0.0</v>
      </c>
      <c r="AH1039" s="57" t="str">
        <f>IF(N(W1039)&gt;0,COUNTIF(W$6:W1039,"&gt;0"),"")</f>
        <v/>
      </c>
      <c r="AI1039" s="57" t="str">
        <f>IF(Z1039=1,COUNTIF(Z$6:Z1039,1),"")</f>
        <v/>
      </c>
    </row>
    <row r="1040">
      <c r="A1040" s="54" t="n"/>
      <c r="B1040" s="55" t="str">
        <f>IF(AA1040="","",A1040&amp;"-"&amp;RIGHT("000"&amp;AA1040,4))</f>
        <v/>
      </c>
      <c r="C1040" s="56" t="n"/>
      <c r="D1040" s="54" t="n"/>
      <c r="E1040" s="57" t="str">
        <f>IF(D1040="","",IF(A1040="BL",IFERROR(INDEX(cl_name,MATCH(D1040,cl_code,0))&amp;"","Client inconnu"),IF(A1040="BR",IFERROR(INDEX(fo_name,MATCH(D1040,fo_code,0))&amp;"","Fournisseur inconnu"),IF(A1040="BS",IF(ISNA(MATCH(D1040,p_services,0)),"Service inconnu",D1040&amp;""),""))))</f>
        <v/>
      </c>
      <c r="F1040" s="58" t="n"/>
      <c r="G1040" s="58" t="n"/>
      <c r="H1040" s="59" t="n"/>
      <c r="I1040" s="57" t="str">
        <f>IF(H1040="","",IFERROR(INDEX(art_des,MATCH(H1040,art_ref,0))&amp;"","Article inconnu"))</f>
        <v/>
      </c>
      <c r="J1040" s="60" t="str">
        <f>IF(H1040="","",IFERROR(INDEX(art_unit,MATCH(H1040,art_ref,0))&amp;"",""))</f>
        <v/>
      </c>
      <c r="K1040" s="59" t="n"/>
      <c r="L1040" s="59" t="n"/>
      <c r="M1040" s="61" t="str">
        <f>IF(OR(B1040="",NOT(ISNUMBER(K1040)),NOT(ISNUMBER(L1040))),"",IF(OR(K1040&lt;=0,L1040&lt;=0),"",ROUND(L1040-K1040,6)))</f>
        <v/>
      </c>
      <c r="N1040" s="58" t="n"/>
      <c r="O1040" s="62" t="n"/>
      <c r="P1040" s="63" t="str">
        <f>IF(OR(B1040="",NOT(ISNUMBER(L1040))),"",IF(L1040&lt;=0,"",IFERROR(ROUND(L1040*N(INDEX(art_w,MATCH(H1040,art_ref,0))),3),"")))</f>
        <v/>
      </c>
      <c r="Q1040" s="59" t="n"/>
      <c r="R1040" s="54" t="n"/>
      <c r="S1040" s="59" t="n"/>
      <c r="T1040" s="59" t="n"/>
      <c r="U1040" s="64" t="str">
        <f>IF(OR(B1040="",H1040=""),"",IFERROR(IF(A1040="BL",IF(N(INDEX(art_price,MATCH(H1040,art_ref,0)))=0,"",N(INDEX(art_price,MATCH(H1040,art_ref,0)))),IF(N(INDEX(art_cost,MATCH(H1040,art_ref,0)))=0,"",N(INDEX(art_cost,MATCH(H1040,art_ref,0))))),""))</f>
        <v/>
      </c>
      <c r="V1040" s="64" t="str">
        <f>IF(OR(U1040="",NOT(ISNUMBER(L1040))),"",IF(L1040&lt;=0,"",ROUND(L1040*U1040,2)))</f>
        <v/>
      </c>
      <c r="W1040" s="60" t="str">
        <f>IF(AND(B1040&lt;&gt;"",A1040&lt;&gt;"BS",F1040&lt;&gt;"",H1040&lt;&gt;"",ISNUMBER(K1040),ISNUMBER(L1040)),IF(AND(K1040&gt;0,L1040&gt;0,K1040-L1040&gt;0,COUNTIFS(A1041:A$2005,A1040,F1041:F$2005,F1040,H1041:H$2005,H1040,AA1041:AA$2005,"&gt;0")=0),ROUND(K1040-L1040,6),""),"")</f>
        <v/>
      </c>
      <c r="X1040" s="60" t="str">
        <f>IF(AND(A1040="",C1040="",D1040="",H1040="",L1040=""),"",IF(A1040="","Type manquant",IF(AND(A1040&lt;&gt;"BL",A1040&lt;&gt;"BR",A1040&lt;&gt;"BS"),"Type inconnu (BL, BR ou BS)",IF(AG1040=0,"Date manquante ou invalide",IF(D1040="",IF(A1040="BL","Client manquant",IF(A1040="BR","Fournisseur manquant","Service manquant")),IF(IF(A1040="BL",ISNA(MATCH(D1040,cl_code,0)),IF(A1040="BR",ISNA(MATCH(D1040,fo_code,0)),ISNA(MATCH(D1040,p_services,0)))),IF(A1040="BL","Client inconnu",IF(A1040="BR","Fournisseur inconnu","Service inconnu")),IF(H1040="","Article manquant",IF(ISNA(MATCH(H1040,art_ref,0)),"Article inconnu",IF(OR(NOT(ISNUMBER(L1040)),N(L1040)&lt;=0),"Quantité invalide",IF(AND(K1040&lt;&gt;"",OR(NOT(ISNUMBER(K1040)),N(K1040)&lt;=0)),"Qté commandée invalide",IF(AG1040&lt;SUMPRODUCT(MAX((A$6:A1039=A1040)*AG$6:AG1039)),"Date antérieure au bon précédent",IF(AND(A1040&lt;&gt;"BR",ISNUMBER(M1040),N(M1040)&gt;0),IF(A1040="BL","Livré plus que commandé","Sorti plus que demandé"),"OK"))))))))))))</f>
        <v/>
      </c>
      <c r="Y1040" s="57" t="str">
        <f>IF(AND(OR(A1040="BL",A1040="BR",A1040="BS"),AG1040&gt;0,D1040&lt;&gt;""),A1040&amp;"|"&amp;AG1040&amp;"|"&amp;D1040&amp;"|"&amp;F1040,"")</f>
        <v/>
      </c>
      <c r="Z1040" s="57" t="str">
        <f>IF(Y1040="","",IF(COUNTIF(Y$6:Y1039,Y1040)=0,1,0))</f>
        <v/>
      </c>
      <c r="AA1040" s="57" t="str">
        <f>IF(Y1040="","",IF(Z1040=1,COUNTIFS(A$6:A1040,A1040,Z$6:Z1040,1),INDEX(AA$6:AA1039,MATCH(Y1040,Y$6:Y1039,0))))</f>
        <v/>
      </c>
      <c r="AB1040" s="57" t="str">
        <f>IF(B1040="","",COUNTIF(B$6:B1040,B1040))</f>
        <v/>
      </c>
      <c r="AC1040" s="57" t="str">
        <f>IF(B1040="","",B1040&amp;"#"&amp;AB1040)</f>
        <v/>
      </c>
      <c r="AD1040" s="57" t="str">
        <f>IF(Z1040=1,A1040&amp;AA1040,"")</f>
        <v/>
      </c>
      <c r="AE1040" s="57" t="str">
        <f>IF(B1040="","",YEAR(C1040))</f>
        <v/>
      </c>
      <c r="AF1040" s="57" t="str">
        <f>IF(B1040="","",MONTH(C1040))</f>
        <v/>
      </c>
      <c r="AG1040" s="57">
        <f>IF(ISNUMBER(C1040),C1040,0)</f>
        <v>0.0</v>
      </c>
      <c r="AH1040" s="57" t="str">
        <f>IF(N(W1040)&gt;0,COUNTIF(W$6:W1040,"&gt;0"),"")</f>
        <v/>
      </c>
      <c r="AI1040" s="57" t="str">
        <f>IF(Z1040=1,COUNTIF(Z$6:Z1040,1),"")</f>
        <v/>
      </c>
    </row>
    <row r="1041">
      <c r="A1041" s="54" t="n"/>
      <c r="B1041" s="55" t="str">
        <f>IF(AA1041="","",A1041&amp;"-"&amp;RIGHT("000"&amp;AA1041,4))</f>
        <v/>
      </c>
      <c r="C1041" s="56" t="n"/>
      <c r="D1041" s="54" t="n"/>
      <c r="E1041" s="57" t="str">
        <f>IF(D1041="","",IF(A1041="BL",IFERROR(INDEX(cl_name,MATCH(D1041,cl_code,0))&amp;"","Client inconnu"),IF(A1041="BR",IFERROR(INDEX(fo_name,MATCH(D1041,fo_code,0))&amp;"","Fournisseur inconnu"),IF(A1041="BS",IF(ISNA(MATCH(D1041,p_services,0)),"Service inconnu",D1041&amp;""),""))))</f>
        <v/>
      </c>
      <c r="F1041" s="58" t="n"/>
      <c r="G1041" s="58" t="n"/>
      <c r="H1041" s="59" t="n"/>
      <c r="I1041" s="57" t="str">
        <f>IF(H1041="","",IFERROR(INDEX(art_des,MATCH(H1041,art_ref,0))&amp;"","Article inconnu"))</f>
        <v/>
      </c>
      <c r="J1041" s="60" t="str">
        <f>IF(H1041="","",IFERROR(INDEX(art_unit,MATCH(H1041,art_ref,0))&amp;"",""))</f>
        <v/>
      </c>
      <c r="K1041" s="59" t="n"/>
      <c r="L1041" s="59" t="n"/>
      <c r="M1041" s="61" t="str">
        <f>IF(OR(B1041="",NOT(ISNUMBER(K1041)),NOT(ISNUMBER(L1041))),"",IF(OR(K1041&lt;=0,L1041&lt;=0),"",ROUND(L1041-K1041,6)))</f>
        <v/>
      </c>
      <c r="N1041" s="58" t="n"/>
      <c r="O1041" s="62" t="n"/>
      <c r="P1041" s="63" t="str">
        <f>IF(OR(B1041="",NOT(ISNUMBER(L1041))),"",IF(L1041&lt;=0,"",IFERROR(ROUND(L1041*N(INDEX(art_w,MATCH(H1041,art_ref,0))),3),"")))</f>
        <v/>
      </c>
      <c r="Q1041" s="59" t="n"/>
      <c r="R1041" s="54" t="n"/>
      <c r="S1041" s="59" t="n"/>
      <c r="T1041" s="59" t="n"/>
      <c r="U1041" s="64" t="str">
        <f>IF(OR(B1041="",H1041=""),"",IFERROR(IF(A1041="BL",IF(N(INDEX(art_price,MATCH(H1041,art_ref,0)))=0,"",N(INDEX(art_price,MATCH(H1041,art_ref,0)))),IF(N(INDEX(art_cost,MATCH(H1041,art_ref,0)))=0,"",N(INDEX(art_cost,MATCH(H1041,art_ref,0))))),""))</f>
        <v/>
      </c>
      <c r="V1041" s="64" t="str">
        <f>IF(OR(U1041="",NOT(ISNUMBER(L1041))),"",IF(L1041&lt;=0,"",ROUND(L1041*U1041,2)))</f>
        <v/>
      </c>
      <c r="W1041" s="60" t="str">
        <f>IF(AND(B1041&lt;&gt;"",A1041&lt;&gt;"BS",F1041&lt;&gt;"",H1041&lt;&gt;"",ISNUMBER(K1041),ISNUMBER(L1041)),IF(AND(K1041&gt;0,L1041&gt;0,K1041-L1041&gt;0,COUNTIFS(A1042:A$2005,A1041,F1042:F$2005,F1041,H1042:H$2005,H1041,AA1042:AA$2005,"&gt;0")=0),ROUND(K1041-L1041,6),""),"")</f>
        <v/>
      </c>
      <c r="X1041" s="60" t="str">
        <f>IF(AND(A1041="",C1041="",D1041="",H1041="",L1041=""),"",IF(A1041="","Type manquant",IF(AND(A1041&lt;&gt;"BL",A1041&lt;&gt;"BR",A1041&lt;&gt;"BS"),"Type inconnu (BL, BR ou BS)",IF(AG1041=0,"Date manquante ou invalide",IF(D1041="",IF(A1041="BL","Client manquant",IF(A1041="BR","Fournisseur manquant","Service manquant")),IF(IF(A1041="BL",ISNA(MATCH(D1041,cl_code,0)),IF(A1041="BR",ISNA(MATCH(D1041,fo_code,0)),ISNA(MATCH(D1041,p_services,0)))),IF(A1041="BL","Client inconnu",IF(A1041="BR","Fournisseur inconnu","Service inconnu")),IF(H1041="","Article manquant",IF(ISNA(MATCH(H1041,art_ref,0)),"Article inconnu",IF(OR(NOT(ISNUMBER(L1041)),N(L1041)&lt;=0),"Quantité invalide",IF(AND(K1041&lt;&gt;"",OR(NOT(ISNUMBER(K1041)),N(K1041)&lt;=0)),"Qté commandée invalide",IF(AG1041&lt;SUMPRODUCT(MAX((A$6:A1040=A1041)*AG$6:AG1040)),"Date antérieure au bon précédent",IF(AND(A1041&lt;&gt;"BR",ISNUMBER(M1041),N(M1041)&gt;0),IF(A1041="BL","Livré plus que commandé","Sorti plus que demandé"),"OK"))))))))))))</f>
        <v/>
      </c>
      <c r="Y1041" s="57" t="str">
        <f>IF(AND(OR(A1041="BL",A1041="BR",A1041="BS"),AG1041&gt;0,D1041&lt;&gt;""),A1041&amp;"|"&amp;AG1041&amp;"|"&amp;D1041&amp;"|"&amp;F1041,"")</f>
        <v/>
      </c>
      <c r="Z1041" s="57" t="str">
        <f>IF(Y1041="","",IF(COUNTIF(Y$6:Y1040,Y1041)=0,1,0))</f>
        <v/>
      </c>
      <c r="AA1041" s="57" t="str">
        <f>IF(Y1041="","",IF(Z1041=1,COUNTIFS(A$6:A1041,A1041,Z$6:Z1041,1),INDEX(AA$6:AA1040,MATCH(Y1041,Y$6:Y1040,0))))</f>
        <v/>
      </c>
      <c r="AB1041" s="57" t="str">
        <f>IF(B1041="","",COUNTIF(B$6:B1041,B1041))</f>
        <v/>
      </c>
      <c r="AC1041" s="57" t="str">
        <f>IF(B1041="","",B1041&amp;"#"&amp;AB1041)</f>
        <v/>
      </c>
      <c r="AD1041" s="57" t="str">
        <f>IF(Z1041=1,A1041&amp;AA1041,"")</f>
        <v/>
      </c>
      <c r="AE1041" s="57" t="str">
        <f>IF(B1041="","",YEAR(C1041))</f>
        <v/>
      </c>
      <c r="AF1041" s="57" t="str">
        <f>IF(B1041="","",MONTH(C1041))</f>
        <v/>
      </c>
      <c r="AG1041" s="57">
        <f>IF(ISNUMBER(C1041),C1041,0)</f>
        <v>0.0</v>
      </c>
      <c r="AH1041" s="57" t="str">
        <f>IF(N(W1041)&gt;0,COUNTIF(W$6:W1041,"&gt;0"),"")</f>
        <v/>
      </c>
      <c r="AI1041" s="57" t="str">
        <f>IF(Z1041=1,COUNTIF(Z$6:Z1041,1),"")</f>
        <v/>
      </c>
    </row>
    <row r="1042">
      <c r="A1042" s="54" t="n"/>
      <c r="B1042" s="55" t="str">
        <f>IF(AA1042="","",A1042&amp;"-"&amp;RIGHT("000"&amp;AA1042,4))</f>
        <v/>
      </c>
      <c r="C1042" s="56" t="n"/>
      <c r="D1042" s="54" t="n"/>
      <c r="E1042" s="57" t="str">
        <f>IF(D1042="","",IF(A1042="BL",IFERROR(INDEX(cl_name,MATCH(D1042,cl_code,0))&amp;"","Client inconnu"),IF(A1042="BR",IFERROR(INDEX(fo_name,MATCH(D1042,fo_code,0))&amp;"","Fournisseur inconnu"),IF(A1042="BS",IF(ISNA(MATCH(D1042,p_services,0)),"Service inconnu",D1042&amp;""),""))))</f>
        <v/>
      </c>
      <c r="F1042" s="58" t="n"/>
      <c r="G1042" s="58" t="n"/>
      <c r="H1042" s="59" t="n"/>
      <c r="I1042" s="57" t="str">
        <f>IF(H1042="","",IFERROR(INDEX(art_des,MATCH(H1042,art_ref,0))&amp;"","Article inconnu"))</f>
        <v/>
      </c>
      <c r="J1042" s="60" t="str">
        <f>IF(H1042="","",IFERROR(INDEX(art_unit,MATCH(H1042,art_ref,0))&amp;"",""))</f>
        <v/>
      </c>
      <c r="K1042" s="59" t="n"/>
      <c r="L1042" s="59" t="n"/>
      <c r="M1042" s="61" t="str">
        <f>IF(OR(B1042="",NOT(ISNUMBER(K1042)),NOT(ISNUMBER(L1042))),"",IF(OR(K1042&lt;=0,L1042&lt;=0),"",ROUND(L1042-K1042,6)))</f>
        <v/>
      </c>
      <c r="N1042" s="58" t="n"/>
      <c r="O1042" s="62" t="n"/>
      <c r="P1042" s="63" t="str">
        <f>IF(OR(B1042="",NOT(ISNUMBER(L1042))),"",IF(L1042&lt;=0,"",IFERROR(ROUND(L1042*N(INDEX(art_w,MATCH(H1042,art_ref,0))),3),"")))</f>
        <v/>
      </c>
      <c r="Q1042" s="59" t="n"/>
      <c r="R1042" s="54" t="n"/>
      <c r="S1042" s="59" t="n"/>
      <c r="T1042" s="59" t="n"/>
      <c r="U1042" s="64" t="str">
        <f>IF(OR(B1042="",H1042=""),"",IFERROR(IF(A1042="BL",IF(N(INDEX(art_price,MATCH(H1042,art_ref,0)))=0,"",N(INDEX(art_price,MATCH(H1042,art_ref,0)))),IF(N(INDEX(art_cost,MATCH(H1042,art_ref,0)))=0,"",N(INDEX(art_cost,MATCH(H1042,art_ref,0))))),""))</f>
        <v/>
      </c>
      <c r="V1042" s="64" t="str">
        <f>IF(OR(U1042="",NOT(ISNUMBER(L1042))),"",IF(L1042&lt;=0,"",ROUND(L1042*U1042,2)))</f>
        <v/>
      </c>
      <c r="W1042" s="60" t="str">
        <f>IF(AND(B1042&lt;&gt;"",A1042&lt;&gt;"BS",F1042&lt;&gt;"",H1042&lt;&gt;"",ISNUMBER(K1042),ISNUMBER(L1042)),IF(AND(K1042&gt;0,L1042&gt;0,K1042-L1042&gt;0,COUNTIFS(A1043:A$2005,A1042,F1043:F$2005,F1042,H1043:H$2005,H1042,AA1043:AA$2005,"&gt;0")=0),ROUND(K1042-L1042,6),""),"")</f>
        <v/>
      </c>
      <c r="X1042" s="60" t="str">
        <f>IF(AND(A1042="",C1042="",D1042="",H1042="",L1042=""),"",IF(A1042="","Type manquant",IF(AND(A1042&lt;&gt;"BL",A1042&lt;&gt;"BR",A1042&lt;&gt;"BS"),"Type inconnu (BL, BR ou BS)",IF(AG1042=0,"Date manquante ou invalide",IF(D1042="",IF(A1042="BL","Client manquant",IF(A1042="BR","Fournisseur manquant","Service manquant")),IF(IF(A1042="BL",ISNA(MATCH(D1042,cl_code,0)),IF(A1042="BR",ISNA(MATCH(D1042,fo_code,0)),ISNA(MATCH(D1042,p_services,0)))),IF(A1042="BL","Client inconnu",IF(A1042="BR","Fournisseur inconnu","Service inconnu")),IF(H1042="","Article manquant",IF(ISNA(MATCH(H1042,art_ref,0)),"Article inconnu",IF(OR(NOT(ISNUMBER(L1042)),N(L1042)&lt;=0),"Quantité invalide",IF(AND(K1042&lt;&gt;"",OR(NOT(ISNUMBER(K1042)),N(K1042)&lt;=0)),"Qté commandée invalide",IF(AG1042&lt;SUMPRODUCT(MAX((A$6:A1041=A1042)*AG$6:AG1041)),"Date antérieure au bon précédent",IF(AND(A1042&lt;&gt;"BR",ISNUMBER(M1042),N(M1042)&gt;0),IF(A1042="BL","Livré plus que commandé","Sorti plus que demandé"),"OK"))))))))))))</f>
        <v/>
      </c>
      <c r="Y1042" s="57" t="str">
        <f>IF(AND(OR(A1042="BL",A1042="BR",A1042="BS"),AG1042&gt;0,D1042&lt;&gt;""),A1042&amp;"|"&amp;AG1042&amp;"|"&amp;D1042&amp;"|"&amp;F1042,"")</f>
        <v/>
      </c>
      <c r="Z1042" s="57" t="str">
        <f>IF(Y1042="","",IF(COUNTIF(Y$6:Y1041,Y1042)=0,1,0))</f>
        <v/>
      </c>
      <c r="AA1042" s="57" t="str">
        <f>IF(Y1042="","",IF(Z1042=1,COUNTIFS(A$6:A1042,A1042,Z$6:Z1042,1),INDEX(AA$6:AA1041,MATCH(Y1042,Y$6:Y1041,0))))</f>
        <v/>
      </c>
      <c r="AB1042" s="57" t="str">
        <f>IF(B1042="","",COUNTIF(B$6:B1042,B1042))</f>
        <v/>
      </c>
      <c r="AC1042" s="57" t="str">
        <f>IF(B1042="","",B1042&amp;"#"&amp;AB1042)</f>
        <v/>
      </c>
      <c r="AD1042" s="57" t="str">
        <f>IF(Z1042=1,A1042&amp;AA1042,"")</f>
        <v/>
      </c>
      <c r="AE1042" s="57" t="str">
        <f>IF(B1042="","",YEAR(C1042))</f>
        <v/>
      </c>
      <c r="AF1042" s="57" t="str">
        <f>IF(B1042="","",MONTH(C1042))</f>
        <v/>
      </c>
      <c r="AG1042" s="57">
        <f>IF(ISNUMBER(C1042),C1042,0)</f>
        <v>0.0</v>
      </c>
      <c r="AH1042" s="57" t="str">
        <f>IF(N(W1042)&gt;0,COUNTIF(W$6:W1042,"&gt;0"),"")</f>
        <v/>
      </c>
      <c r="AI1042" s="57" t="str">
        <f>IF(Z1042=1,COUNTIF(Z$6:Z1042,1),"")</f>
        <v/>
      </c>
    </row>
    <row r="1043">
      <c r="A1043" s="54" t="n"/>
      <c r="B1043" s="55" t="str">
        <f>IF(AA1043="","",A1043&amp;"-"&amp;RIGHT("000"&amp;AA1043,4))</f>
        <v/>
      </c>
      <c r="C1043" s="56" t="n"/>
      <c r="D1043" s="54" t="n"/>
      <c r="E1043" s="57" t="str">
        <f>IF(D1043="","",IF(A1043="BL",IFERROR(INDEX(cl_name,MATCH(D1043,cl_code,0))&amp;"","Client inconnu"),IF(A1043="BR",IFERROR(INDEX(fo_name,MATCH(D1043,fo_code,0))&amp;"","Fournisseur inconnu"),IF(A1043="BS",IF(ISNA(MATCH(D1043,p_services,0)),"Service inconnu",D1043&amp;""),""))))</f>
        <v/>
      </c>
      <c r="F1043" s="58" t="n"/>
      <c r="G1043" s="58" t="n"/>
      <c r="H1043" s="59" t="n"/>
      <c r="I1043" s="57" t="str">
        <f>IF(H1043="","",IFERROR(INDEX(art_des,MATCH(H1043,art_ref,0))&amp;"","Article inconnu"))</f>
        <v/>
      </c>
      <c r="J1043" s="60" t="str">
        <f>IF(H1043="","",IFERROR(INDEX(art_unit,MATCH(H1043,art_ref,0))&amp;"",""))</f>
        <v/>
      </c>
      <c r="K1043" s="59" t="n"/>
      <c r="L1043" s="59" t="n"/>
      <c r="M1043" s="61" t="str">
        <f>IF(OR(B1043="",NOT(ISNUMBER(K1043)),NOT(ISNUMBER(L1043))),"",IF(OR(K1043&lt;=0,L1043&lt;=0),"",ROUND(L1043-K1043,6)))</f>
        <v/>
      </c>
      <c r="N1043" s="58" t="n"/>
      <c r="O1043" s="62" t="n"/>
      <c r="P1043" s="63" t="str">
        <f>IF(OR(B1043="",NOT(ISNUMBER(L1043))),"",IF(L1043&lt;=0,"",IFERROR(ROUND(L1043*N(INDEX(art_w,MATCH(H1043,art_ref,0))),3),"")))</f>
        <v/>
      </c>
      <c r="Q1043" s="59" t="n"/>
      <c r="R1043" s="54" t="n"/>
      <c r="S1043" s="59" t="n"/>
      <c r="T1043" s="59" t="n"/>
      <c r="U1043" s="64" t="str">
        <f>IF(OR(B1043="",H1043=""),"",IFERROR(IF(A1043="BL",IF(N(INDEX(art_price,MATCH(H1043,art_ref,0)))=0,"",N(INDEX(art_price,MATCH(H1043,art_ref,0)))),IF(N(INDEX(art_cost,MATCH(H1043,art_ref,0)))=0,"",N(INDEX(art_cost,MATCH(H1043,art_ref,0))))),""))</f>
        <v/>
      </c>
      <c r="V1043" s="64" t="str">
        <f>IF(OR(U1043="",NOT(ISNUMBER(L1043))),"",IF(L1043&lt;=0,"",ROUND(L1043*U1043,2)))</f>
        <v/>
      </c>
      <c r="W1043" s="60" t="str">
        <f>IF(AND(B1043&lt;&gt;"",A1043&lt;&gt;"BS",F1043&lt;&gt;"",H1043&lt;&gt;"",ISNUMBER(K1043),ISNUMBER(L1043)),IF(AND(K1043&gt;0,L1043&gt;0,K1043-L1043&gt;0,COUNTIFS(A1044:A$2005,A1043,F1044:F$2005,F1043,H1044:H$2005,H1043,AA1044:AA$2005,"&gt;0")=0),ROUND(K1043-L1043,6),""),"")</f>
        <v/>
      </c>
      <c r="X1043" s="60" t="str">
        <f>IF(AND(A1043="",C1043="",D1043="",H1043="",L1043=""),"",IF(A1043="","Type manquant",IF(AND(A1043&lt;&gt;"BL",A1043&lt;&gt;"BR",A1043&lt;&gt;"BS"),"Type inconnu (BL, BR ou BS)",IF(AG1043=0,"Date manquante ou invalide",IF(D1043="",IF(A1043="BL","Client manquant",IF(A1043="BR","Fournisseur manquant","Service manquant")),IF(IF(A1043="BL",ISNA(MATCH(D1043,cl_code,0)),IF(A1043="BR",ISNA(MATCH(D1043,fo_code,0)),ISNA(MATCH(D1043,p_services,0)))),IF(A1043="BL","Client inconnu",IF(A1043="BR","Fournisseur inconnu","Service inconnu")),IF(H1043="","Article manquant",IF(ISNA(MATCH(H1043,art_ref,0)),"Article inconnu",IF(OR(NOT(ISNUMBER(L1043)),N(L1043)&lt;=0),"Quantité invalide",IF(AND(K1043&lt;&gt;"",OR(NOT(ISNUMBER(K1043)),N(K1043)&lt;=0)),"Qté commandée invalide",IF(AG1043&lt;SUMPRODUCT(MAX((A$6:A1042=A1043)*AG$6:AG1042)),"Date antérieure au bon précédent",IF(AND(A1043&lt;&gt;"BR",ISNUMBER(M1043),N(M1043)&gt;0),IF(A1043="BL","Livré plus que commandé","Sorti plus que demandé"),"OK"))))))))))))</f>
        <v/>
      </c>
      <c r="Y1043" s="57" t="str">
        <f>IF(AND(OR(A1043="BL",A1043="BR",A1043="BS"),AG1043&gt;0,D1043&lt;&gt;""),A1043&amp;"|"&amp;AG1043&amp;"|"&amp;D1043&amp;"|"&amp;F1043,"")</f>
        <v/>
      </c>
      <c r="Z1043" s="57" t="str">
        <f>IF(Y1043="","",IF(COUNTIF(Y$6:Y1042,Y1043)=0,1,0))</f>
        <v/>
      </c>
      <c r="AA1043" s="57" t="str">
        <f>IF(Y1043="","",IF(Z1043=1,COUNTIFS(A$6:A1043,A1043,Z$6:Z1043,1),INDEX(AA$6:AA1042,MATCH(Y1043,Y$6:Y1042,0))))</f>
        <v/>
      </c>
      <c r="AB1043" s="57" t="str">
        <f>IF(B1043="","",COUNTIF(B$6:B1043,B1043))</f>
        <v/>
      </c>
      <c r="AC1043" s="57" t="str">
        <f>IF(B1043="","",B1043&amp;"#"&amp;AB1043)</f>
        <v/>
      </c>
      <c r="AD1043" s="57" t="str">
        <f>IF(Z1043=1,A1043&amp;AA1043,"")</f>
        <v/>
      </c>
      <c r="AE1043" s="57" t="str">
        <f>IF(B1043="","",YEAR(C1043))</f>
        <v/>
      </c>
      <c r="AF1043" s="57" t="str">
        <f>IF(B1043="","",MONTH(C1043))</f>
        <v/>
      </c>
      <c r="AG1043" s="57">
        <f>IF(ISNUMBER(C1043),C1043,0)</f>
        <v>0.0</v>
      </c>
      <c r="AH1043" s="57" t="str">
        <f>IF(N(W1043)&gt;0,COUNTIF(W$6:W1043,"&gt;0"),"")</f>
        <v/>
      </c>
      <c r="AI1043" s="57" t="str">
        <f>IF(Z1043=1,COUNTIF(Z$6:Z1043,1),"")</f>
        <v/>
      </c>
    </row>
    <row r="1044">
      <c r="A1044" s="54" t="n"/>
      <c r="B1044" s="55" t="str">
        <f>IF(AA1044="","",A1044&amp;"-"&amp;RIGHT("000"&amp;AA1044,4))</f>
        <v/>
      </c>
      <c r="C1044" s="56" t="n"/>
      <c r="D1044" s="54" t="n"/>
      <c r="E1044" s="57" t="str">
        <f>IF(D1044="","",IF(A1044="BL",IFERROR(INDEX(cl_name,MATCH(D1044,cl_code,0))&amp;"","Client inconnu"),IF(A1044="BR",IFERROR(INDEX(fo_name,MATCH(D1044,fo_code,0))&amp;"","Fournisseur inconnu"),IF(A1044="BS",IF(ISNA(MATCH(D1044,p_services,0)),"Service inconnu",D1044&amp;""),""))))</f>
        <v/>
      </c>
      <c r="F1044" s="58" t="n"/>
      <c r="G1044" s="58" t="n"/>
      <c r="H1044" s="59" t="n"/>
      <c r="I1044" s="57" t="str">
        <f>IF(H1044="","",IFERROR(INDEX(art_des,MATCH(H1044,art_ref,0))&amp;"","Article inconnu"))</f>
        <v/>
      </c>
      <c r="J1044" s="60" t="str">
        <f>IF(H1044="","",IFERROR(INDEX(art_unit,MATCH(H1044,art_ref,0))&amp;"",""))</f>
        <v/>
      </c>
      <c r="K1044" s="59" t="n"/>
      <c r="L1044" s="59" t="n"/>
      <c r="M1044" s="61" t="str">
        <f>IF(OR(B1044="",NOT(ISNUMBER(K1044)),NOT(ISNUMBER(L1044))),"",IF(OR(K1044&lt;=0,L1044&lt;=0),"",ROUND(L1044-K1044,6)))</f>
        <v/>
      </c>
      <c r="N1044" s="58" t="n"/>
      <c r="O1044" s="62" t="n"/>
      <c r="P1044" s="63" t="str">
        <f>IF(OR(B1044="",NOT(ISNUMBER(L1044))),"",IF(L1044&lt;=0,"",IFERROR(ROUND(L1044*N(INDEX(art_w,MATCH(H1044,art_ref,0))),3),"")))</f>
        <v/>
      </c>
      <c r="Q1044" s="59" t="n"/>
      <c r="R1044" s="54" t="n"/>
      <c r="S1044" s="59" t="n"/>
      <c r="T1044" s="59" t="n"/>
      <c r="U1044" s="64" t="str">
        <f>IF(OR(B1044="",H1044=""),"",IFERROR(IF(A1044="BL",IF(N(INDEX(art_price,MATCH(H1044,art_ref,0)))=0,"",N(INDEX(art_price,MATCH(H1044,art_ref,0)))),IF(N(INDEX(art_cost,MATCH(H1044,art_ref,0)))=0,"",N(INDEX(art_cost,MATCH(H1044,art_ref,0))))),""))</f>
        <v/>
      </c>
      <c r="V1044" s="64" t="str">
        <f>IF(OR(U1044="",NOT(ISNUMBER(L1044))),"",IF(L1044&lt;=0,"",ROUND(L1044*U1044,2)))</f>
        <v/>
      </c>
      <c r="W1044" s="60" t="str">
        <f>IF(AND(B1044&lt;&gt;"",A1044&lt;&gt;"BS",F1044&lt;&gt;"",H1044&lt;&gt;"",ISNUMBER(K1044),ISNUMBER(L1044)),IF(AND(K1044&gt;0,L1044&gt;0,K1044-L1044&gt;0,COUNTIFS(A1045:A$2005,A1044,F1045:F$2005,F1044,H1045:H$2005,H1044,AA1045:AA$2005,"&gt;0")=0),ROUND(K1044-L1044,6),""),"")</f>
        <v/>
      </c>
      <c r="X1044" s="60" t="str">
        <f>IF(AND(A1044="",C1044="",D1044="",H1044="",L1044=""),"",IF(A1044="","Type manquant",IF(AND(A1044&lt;&gt;"BL",A1044&lt;&gt;"BR",A1044&lt;&gt;"BS"),"Type inconnu (BL, BR ou BS)",IF(AG1044=0,"Date manquante ou invalide",IF(D1044="",IF(A1044="BL","Client manquant",IF(A1044="BR","Fournisseur manquant","Service manquant")),IF(IF(A1044="BL",ISNA(MATCH(D1044,cl_code,0)),IF(A1044="BR",ISNA(MATCH(D1044,fo_code,0)),ISNA(MATCH(D1044,p_services,0)))),IF(A1044="BL","Client inconnu",IF(A1044="BR","Fournisseur inconnu","Service inconnu")),IF(H1044="","Article manquant",IF(ISNA(MATCH(H1044,art_ref,0)),"Article inconnu",IF(OR(NOT(ISNUMBER(L1044)),N(L1044)&lt;=0),"Quantité invalide",IF(AND(K1044&lt;&gt;"",OR(NOT(ISNUMBER(K1044)),N(K1044)&lt;=0)),"Qté commandée invalide",IF(AG1044&lt;SUMPRODUCT(MAX((A$6:A1043=A1044)*AG$6:AG1043)),"Date antérieure au bon précédent",IF(AND(A1044&lt;&gt;"BR",ISNUMBER(M1044),N(M1044)&gt;0),IF(A1044="BL","Livré plus que commandé","Sorti plus que demandé"),"OK"))))))))))))</f>
        <v/>
      </c>
      <c r="Y1044" s="57" t="str">
        <f>IF(AND(OR(A1044="BL",A1044="BR",A1044="BS"),AG1044&gt;0,D1044&lt;&gt;""),A1044&amp;"|"&amp;AG1044&amp;"|"&amp;D1044&amp;"|"&amp;F1044,"")</f>
        <v/>
      </c>
      <c r="Z1044" s="57" t="str">
        <f>IF(Y1044="","",IF(COUNTIF(Y$6:Y1043,Y1044)=0,1,0))</f>
        <v/>
      </c>
      <c r="AA1044" s="57" t="str">
        <f>IF(Y1044="","",IF(Z1044=1,COUNTIFS(A$6:A1044,A1044,Z$6:Z1044,1),INDEX(AA$6:AA1043,MATCH(Y1044,Y$6:Y1043,0))))</f>
        <v/>
      </c>
      <c r="AB1044" s="57" t="str">
        <f>IF(B1044="","",COUNTIF(B$6:B1044,B1044))</f>
        <v/>
      </c>
      <c r="AC1044" s="57" t="str">
        <f>IF(B1044="","",B1044&amp;"#"&amp;AB1044)</f>
        <v/>
      </c>
      <c r="AD1044" s="57" t="str">
        <f>IF(Z1044=1,A1044&amp;AA1044,"")</f>
        <v/>
      </c>
      <c r="AE1044" s="57" t="str">
        <f>IF(B1044="","",YEAR(C1044))</f>
        <v/>
      </c>
      <c r="AF1044" s="57" t="str">
        <f>IF(B1044="","",MONTH(C1044))</f>
        <v/>
      </c>
      <c r="AG1044" s="57">
        <f>IF(ISNUMBER(C1044),C1044,0)</f>
        <v>0.0</v>
      </c>
      <c r="AH1044" s="57" t="str">
        <f>IF(N(W1044)&gt;0,COUNTIF(W$6:W1044,"&gt;0"),"")</f>
        <v/>
      </c>
      <c r="AI1044" s="57" t="str">
        <f>IF(Z1044=1,COUNTIF(Z$6:Z1044,1),"")</f>
        <v/>
      </c>
    </row>
    <row r="1045">
      <c r="A1045" s="54" t="n"/>
      <c r="B1045" s="55" t="str">
        <f>IF(AA1045="","",A1045&amp;"-"&amp;RIGHT("000"&amp;AA1045,4))</f>
        <v/>
      </c>
      <c r="C1045" s="56" t="n"/>
      <c r="D1045" s="54" t="n"/>
      <c r="E1045" s="57" t="str">
        <f>IF(D1045="","",IF(A1045="BL",IFERROR(INDEX(cl_name,MATCH(D1045,cl_code,0))&amp;"","Client inconnu"),IF(A1045="BR",IFERROR(INDEX(fo_name,MATCH(D1045,fo_code,0))&amp;"","Fournisseur inconnu"),IF(A1045="BS",IF(ISNA(MATCH(D1045,p_services,0)),"Service inconnu",D1045&amp;""),""))))</f>
        <v/>
      </c>
      <c r="F1045" s="58" t="n"/>
      <c r="G1045" s="58" t="n"/>
      <c r="H1045" s="59" t="n"/>
      <c r="I1045" s="57" t="str">
        <f>IF(H1045="","",IFERROR(INDEX(art_des,MATCH(H1045,art_ref,0))&amp;"","Article inconnu"))</f>
        <v/>
      </c>
      <c r="J1045" s="60" t="str">
        <f>IF(H1045="","",IFERROR(INDEX(art_unit,MATCH(H1045,art_ref,0))&amp;"",""))</f>
        <v/>
      </c>
      <c r="K1045" s="59" t="n"/>
      <c r="L1045" s="59" t="n"/>
      <c r="M1045" s="61" t="str">
        <f>IF(OR(B1045="",NOT(ISNUMBER(K1045)),NOT(ISNUMBER(L1045))),"",IF(OR(K1045&lt;=0,L1045&lt;=0),"",ROUND(L1045-K1045,6)))</f>
        <v/>
      </c>
      <c r="N1045" s="58" t="n"/>
      <c r="O1045" s="62" t="n"/>
      <c r="P1045" s="63" t="str">
        <f>IF(OR(B1045="",NOT(ISNUMBER(L1045))),"",IF(L1045&lt;=0,"",IFERROR(ROUND(L1045*N(INDEX(art_w,MATCH(H1045,art_ref,0))),3),"")))</f>
        <v/>
      </c>
      <c r="Q1045" s="59" t="n"/>
      <c r="R1045" s="54" t="n"/>
      <c r="S1045" s="59" t="n"/>
      <c r="T1045" s="59" t="n"/>
      <c r="U1045" s="64" t="str">
        <f>IF(OR(B1045="",H1045=""),"",IFERROR(IF(A1045="BL",IF(N(INDEX(art_price,MATCH(H1045,art_ref,0)))=0,"",N(INDEX(art_price,MATCH(H1045,art_ref,0)))),IF(N(INDEX(art_cost,MATCH(H1045,art_ref,0)))=0,"",N(INDEX(art_cost,MATCH(H1045,art_ref,0))))),""))</f>
        <v/>
      </c>
      <c r="V1045" s="64" t="str">
        <f>IF(OR(U1045="",NOT(ISNUMBER(L1045))),"",IF(L1045&lt;=0,"",ROUND(L1045*U1045,2)))</f>
        <v/>
      </c>
      <c r="W1045" s="60" t="str">
        <f>IF(AND(B1045&lt;&gt;"",A1045&lt;&gt;"BS",F1045&lt;&gt;"",H1045&lt;&gt;"",ISNUMBER(K1045),ISNUMBER(L1045)),IF(AND(K1045&gt;0,L1045&gt;0,K1045-L1045&gt;0,COUNTIFS(A1046:A$2005,A1045,F1046:F$2005,F1045,H1046:H$2005,H1045,AA1046:AA$2005,"&gt;0")=0),ROUND(K1045-L1045,6),""),"")</f>
        <v/>
      </c>
      <c r="X1045" s="60" t="str">
        <f>IF(AND(A1045="",C1045="",D1045="",H1045="",L1045=""),"",IF(A1045="","Type manquant",IF(AND(A1045&lt;&gt;"BL",A1045&lt;&gt;"BR",A1045&lt;&gt;"BS"),"Type inconnu (BL, BR ou BS)",IF(AG1045=0,"Date manquante ou invalide",IF(D1045="",IF(A1045="BL","Client manquant",IF(A1045="BR","Fournisseur manquant","Service manquant")),IF(IF(A1045="BL",ISNA(MATCH(D1045,cl_code,0)),IF(A1045="BR",ISNA(MATCH(D1045,fo_code,0)),ISNA(MATCH(D1045,p_services,0)))),IF(A1045="BL","Client inconnu",IF(A1045="BR","Fournisseur inconnu","Service inconnu")),IF(H1045="","Article manquant",IF(ISNA(MATCH(H1045,art_ref,0)),"Article inconnu",IF(OR(NOT(ISNUMBER(L1045)),N(L1045)&lt;=0),"Quantité invalide",IF(AND(K1045&lt;&gt;"",OR(NOT(ISNUMBER(K1045)),N(K1045)&lt;=0)),"Qté commandée invalide",IF(AG1045&lt;SUMPRODUCT(MAX((A$6:A1044=A1045)*AG$6:AG1044)),"Date antérieure au bon précédent",IF(AND(A1045&lt;&gt;"BR",ISNUMBER(M1045),N(M1045)&gt;0),IF(A1045="BL","Livré plus que commandé","Sorti plus que demandé"),"OK"))))))))))))</f>
        <v/>
      </c>
      <c r="Y1045" s="57" t="str">
        <f>IF(AND(OR(A1045="BL",A1045="BR",A1045="BS"),AG1045&gt;0,D1045&lt;&gt;""),A1045&amp;"|"&amp;AG1045&amp;"|"&amp;D1045&amp;"|"&amp;F1045,"")</f>
        <v/>
      </c>
      <c r="Z1045" s="57" t="str">
        <f>IF(Y1045="","",IF(COUNTIF(Y$6:Y1044,Y1045)=0,1,0))</f>
        <v/>
      </c>
      <c r="AA1045" s="57" t="str">
        <f>IF(Y1045="","",IF(Z1045=1,COUNTIFS(A$6:A1045,A1045,Z$6:Z1045,1),INDEX(AA$6:AA1044,MATCH(Y1045,Y$6:Y1044,0))))</f>
        <v/>
      </c>
      <c r="AB1045" s="57" t="str">
        <f>IF(B1045="","",COUNTIF(B$6:B1045,B1045))</f>
        <v/>
      </c>
      <c r="AC1045" s="57" t="str">
        <f>IF(B1045="","",B1045&amp;"#"&amp;AB1045)</f>
        <v/>
      </c>
      <c r="AD1045" s="57" t="str">
        <f>IF(Z1045=1,A1045&amp;AA1045,"")</f>
        <v/>
      </c>
      <c r="AE1045" s="57" t="str">
        <f>IF(B1045="","",YEAR(C1045))</f>
        <v/>
      </c>
      <c r="AF1045" s="57" t="str">
        <f>IF(B1045="","",MONTH(C1045))</f>
        <v/>
      </c>
      <c r="AG1045" s="57">
        <f>IF(ISNUMBER(C1045),C1045,0)</f>
        <v>0.0</v>
      </c>
      <c r="AH1045" s="57" t="str">
        <f>IF(N(W1045)&gt;0,COUNTIF(W$6:W1045,"&gt;0"),"")</f>
        <v/>
      </c>
      <c r="AI1045" s="57" t="str">
        <f>IF(Z1045=1,COUNTIF(Z$6:Z1045,1),"")</f>
        <v/>
      </c>
    </row>
    <row r="1046">
      <c r="A1046" s="54" t="n"/>
      <c r="B1046" s="55" t="str">
        <f>IF(AA1046="","",A1046&amp;"-"&amp;RIGHT("000"&amp;AA1046,4))</f>
        <v/>
      </c>
      <c r="C1046" s="56" t="n"/>
      <c r="D1046" s="54" t="n"/>
      <c r="E1046" s="57" t="str">
        <f>IF(D1046="","",IF(A1046="BL",IFERROR(INDEX(cl_name,MATCH(D1046,cl_code,0))&amp;"","Client inconnu"),IF(A1046="BR",IFERROR(INDEX(fo_name,MATCH(D1046,fo_code,0))&amp;"","Fournisseur inconnu"),IF(A1046="BS",IF(ISNA(MATCH(D1046,p_services,0)),"Service inconnu",D1046&amp;""),""))))</f>
        <v/>
      </c>
      <c r="F1046" s="58" t="n"/>
      <c r="G1046" s="58" t="n"/>
      <c r="H1046" s="59" t="n"/>
      <c r="I1046" s="57" t="str">
        <f>IF(H1046="","",IFERROR(INDEX(art_des,MATCH(H1046,art_ref,0))&amp;"","Article inconnu"))</f>
        <v/>
      </c>
      <c r="J1046" s="60" t="str">
        <f>IF(H1046="","",IFERROR(INDEX(art_unit,MATCH(H1046,art_ref,0))&amp;"",""))</f>
        <v/>
      </c>
      <c r="K1046" s="59" t="n"/>
      <c r="L1046" s="59" t="n"/>
      <c r="M1046" s="61" t="str">
        <f>IF(OR(B1046="",NOT(ISNUMBER(K1046)),NOT(ISNUMBER(L1046))),"",IF(OR(K1046&lt;=0,L1046&lt;=0),"",ROUND(L1046-K1046,6)))</f>
        <v/>
      </c>
      <c r="N1046" s="58" t="n"/>
      <c r="O1046" s="62" t="n"/>
      <c r="P1046" s="63" t="str">
        <f>IF(OR(B1046="",NOT(ISNUMBER(L1046))),"",IF(L1046&lt;=0,"",IFERROR(ROUND(L1046*N(INDEX(art_w,MATCH(H1046,art_ref,0))),3),"")))</f>
        <v/>
      </c>
      <c r="Q1046" s="59" t="n"/>
      <c r="R1046" s="54" t="n"/>
      <c r="S1046" s="59" t="n"/>
      <c r="T1046" s="59" t="n"/>
      <c r="U1046" s="64" t="str">
        <f>IF(OR(B1046="",H1046=""),"",IFERROR(IF(A1046="BL",IF(N(INDEX(art_price,MATCH(H1046,art_ref,0)))=0,"",N(INDEX(art_price,MATCH(H1046,art_ref,0)))),IF(N(INDEX(art_cost,MATCH(H1046,art_ref,0)))=0,"",N(INDEX(art_cost,MATCH(H1046,art_ref,0))))),""))</f>
        <v/>
      </c>
      <c r="V1046" s="64" t="str">
        <f>IF(OR(U1046="",NOT(ISNUMBER(L1046))),"",IF(L1046&lt;=0,"",ROUND(L1046*U1046,2)))</f>
        <v/>
      </c>
      <c r="W1046" s="60" t="str">
        <f>IF(AND(B1046&lt;&gt;"",A1046&lt;&gt;"BS",F1046&lt;&gt;"",H1046&lt;&gt;"",ISNUMBER(K1046),ISNUMBER(L1046)),IF(AND(K1046&gt;0,L1046&gt;0,K1046-L1046&gt;0,COUNTIFS(A1047:A$2005,A1046,F1047:F$2005,F1046,H1047:H$2005,H1046,AA1047:AA$2005,"&gt;0")=0),ROUND(K1046-L1046,6),""),"")</f>
        <v/>
      </c>
      <c r="X1046" s="60" t="str">
        <f>IF(AND(A1046="",C1046="",D1046="",H1046="",L1046=""),"",IF(A1046="","Type manquant",IF(AND(A1046&lt;&gt;"BL",A1046&lt;&gt;"BR",A1046&lt;&gt;"BS"),"Type inconnu (BL, BR ou BS)",IF(AG1046=0,"Date manquante ou invalide",IF(D1046="",IF(A1046="BL","Client manquant",IF(A1046="BR","Fournisseur manquant","Service manquant")),IF(IF(A1046="BL",ISNA(MATCH(D1046,cl_code,0)),IF(A1046="BR",ISNA(MATCH(D1046,fo_code,0)),ISNA(MATCH(D1046,p_services,0)))),IF(A1046="BL","Client inconnu",IF(A1046="BR","Fournisseur inconnu","Service inconnu")),IF(H1046="","Article manquant",IF(ISNA(MATCH(H1046,art_ref,0)),"Article inconnu",IF(OR(NOT(ISNUMBER(L1046)),N(L1046)&lt;=0),"Quantité invalide",IF(AND(K1046&lt;&gt;"",OR(NOT(ISNUMBER(K1046)),N(K1046)&lt;=0)),"Qté commandée invalide",IF(AG1046&lt;SUMPRODUCT(MAX((A$6:A1045=A1046)*AG$6:AG1045)),"Date antérieure au bon précédent",IF(AND(A1046&lt;&gt;"BR",ISNUMBER(M1046),N(M1046)&gt;0),IF(A1046="BL","Livré plus que commandé","Sorti plus que demandé"),"OK"))))))))))))</f>
        <v/>
      </c>
      <c r="Y1046" s="57" t="str">
        <f>IF(AND(OR(A1046="BL",A1046="BR",A1046="BS"),AG1046&gt;0,D1046&lt;&gt;""),A1046&amp;"|"&amp;AG1046&amp;"|"&amp;D1046&amp;"|"&amp;F1046,"")</f>
        <v/>
      </c>
      <c r="Z1046" s="57" t="str">
        <f>IF(Y1046="","",IF(COUNTIF(Y$6:Y1045,Y1046)=0,1,0))</f>
        <v/>
      </c>
      <c r="AA1046" s="57" t="str">
        <f>IF(Y1046="","",IF(Z1046=1,COUNTIFS(A$6:A1046,A1046,Z$6:Z1046,1),INDEX(AA$6:AA1045,MATCH(Y1046,Y$6:Y1045,0))))</f>
        <v/>
      </c>
      <c r="AB1046" s="57" t="str">
        <f>IF(B1046="","",COUNTIF(B$6:B1046,B1046))</f>
        <v/>
      </c>
      <c r="AC1046" s="57" t="str">
        <f>IF(B1046="","",B1046&amp;"#"&amp;AB1046)</f>
        <v/>
      </c>
      <c r="AD1046" s="57" t="str">
        <f>IF(Z1046=1,A1046&amp;AA1046,"")</f>
        <v/>
      </c>
      <c r="AE1046" s="57" t="str">
        <f>IF(B1046="","",YEAR(C1046))</f>
        <v/>
      </c>
      <c r="AF1046" s="57" t="str">
        <f>IF(B1046="","",MONTH(C1046))</f>
        <v/>
      </c>
      <c r="AG1046" s="57">
        <f>IF(ISNUMBER(C1046),C1046,0)</f>
        <v>0.0</v>
      </c>
      <c r="AH1046" s="57" t="str">
        <f>IF(N(W1046)&gt;0,COUNTIF(W$6:W1046,"&gt;0"),"")</f>
        <v/>
      </c>
      <c r="AI1046" s="57" t="str">
        <f>IF(Z1046=1,COUNTIF(Z$6:Z1046,1),"")</f>
        <v/>
      </c>
    </row>
    <row r="1047">
      <c r="A1047" s="54" t="n"/>
      <c r="B1047" s="55" t="str">
        <f>IF(AA1047="","",A1047&amp;"-"&amp;RIGHT("000"&amp;AA1047,4))</f>
        <v/>
      </c>
      <c r="C1047" s="56" t="n"/>
      <c r="D1047" s="54" t="n"/>
      <c r="E1047" s="57" t="str">
        <f>IF(D1047="","",IF(A1047="BL",IFERROR(INDEX(cl_name,MATCH(D1047,cl_code,0))&amp;"","Client inconnu"),IF(A1047="BR",IFERROR(INDEX(fo_name,MATCH(D1047,fo_code,0))&amp;"","Fournisseur inconnu"),IF(A1047="BS",IF(ISNA(MATCH(D1047,p_services,0)),"Service inconnu",D1047&amp;""),""))))</f>
        <v/>
      </c>
      <c r="F1047" s="58" t="n"/>
      <c r="G1047" s="58" t="n"/>
      <c r="H1047" s="59" t="n"/>
      <c r="I1047" s="57" t="str">
        <f>IF(H1047="","",IFERROR(INDEX(art_des,MATCH(H1047,art_ref,0))&amp;"","Article inconnu"))</f>
        <v/>
      </c>
      <c r="J1047" s="60" t="str">
        <f>IF(H1047="","",IFERROR(INDEX(art_unit,MATCH(H1047,art_ref,0))&amp;"",""))</f>
        <v/>
      </c>
      <c r="K1047" s="59" t="n"/>
      <c r="L1047" s="59" t="n"/>
      <c r="M1047" s="61" t="str">
        <f>IF(OR(B1047="",NOT(ISNUMBER(K1047)),NOT(ISNUMBER(L1047))),"",IF(OR(K1047&lt;=0,L1047&lt;=0),"",ROUND(L1047-K1047,6)))</f>
        <v/>
      </c>
      <c r="N1047" s="58" t="n"/>
      <c r="O1047" s="62" t="n"/>
      <c r="P1047" s="63" t="str">
        <f>IF(OR(B1047="",NOT(ISNUMBER(L1047))),"",IF(L1047&lt;=0,"",IFERROR(ROUND(L1047*N(INDEX(art_w,MATCH(H1047,art_ref,0))),3),"")))</f>
        <v/>
      </c>
      <c r="Q1047" s="59" t="n"/>
      <c r="R1047" s="54" t="n"/>
      <c r="S1047" s="59" t="n"/>
      <c r="T1047" s="59" t="n"/>
      <c r="U1047" s="64" t="str">
        <f>IF(OR(B1047="",H1047=""),"",IFERROR(IF(A1047="BL",IF(N(INDEX(art_price,MATCH(H1047,art_ref,0)))=0,"",N(INDEX(art_price,MATCH(H1047,art_ref,0)))),IF(N(INDEX(art_cost,MATCH(H1047,art_ref,0)))=0,"",N(INDEX(art_cost,MATCH(H1047,art_ref,0))))),""))</f>
        <v/>
      </c>
      <c r="V1047" s="64" t="str">
        <f>IF(OR(U1047="",NOT(ISNUMBER(L1047))),"",IF(L1047&lt;=0,"",ROUND(L1047*U1047,2)))</f>
        <v/>
      </c>
      <c r="W1047" s="60" t="str">
        <f>IF(AND(B1047&lt;&gt;"",A1047&lt;&gt;"BS",F1047&lt;&gt;"",H1047&lt;&gt;"",ISNUMBER(K1047),ISNUMBER(L1047)),IF(AND(K1047&gt;0,L1047&gt;0,K1047-L1047&gt;0,COUNTIFS(A1048:A$2005,A1047,F1048:F$2005,F1047,H1048:H$2005,H1047,AA1048:AA$2005,"&gt;0")=0),ROUND(K1047-L1047,6),""),"")</f>
        <v/>
      </c>
      <c r="X1047" s="60" t="str">
        <f>IF(AND(A1047="",C1047="",D1047="",H1047="",L1047=""),"",IF(A1047="","Type manquant",IF(AND(A1047&lt;&gt;"BL",A1047&lt;&gt;"BR",A1047&lt;&gt;"BS"),"Type inconnu (BL, BR ou BS)",IF(AG1047=0,"Date manquante ou invalide",IF(D1047="",IF(A1047="BL","Client manquant",IF(A1047="BR","Fournisseur manquant","Service manquant")),IF(IF(A1047="BL",ISNA(MATCH(D1047,cl_code,0)),IF(A1047="BR",ISNA(MATCH(D1047,fo_code,0)),ISNA(MATCH(D1047,p_services,0)))),IF(A1047="BL","Client inconnu",IF(A1047="BR","Fournisseur inconnu","Service inconnu")),IF(H1047="","Article manquant",IF(ISNA(MATCH(H1047,art_ref,0)),"Article inconnu",IF(OR(NOT(ISNUMBER(L1047)),N(L1047)&lt;=0),"Quantité invalide",IF(AND(K1047&lt;&gt;"",OR(NOT(ISNUMBER(K1047)),N(K1047)&lt;=0)),"Qté commandée invalide",IF(AG1047&lt;SUMPRODUCT(MAX((A$6:A1046=A1047)*AG$6:AG1046)),"Date antérieure au bon précédent",IF(AND(A1047&lt;&gt;"BR",ISNUMBER(M1047),N(M1047)&gt;0),IF(A1047="BL","Livré plus que commandé","Sorti plus que demandé"),"OK"))))))))))))</f>
        <v/>
      </c>
      <c r="Y1047" s="57" t="str">
        <f>IF(AND(OR(A1047="BL",A1047="BR",A1047="BS"),AG1047&gt;0,D1047&lt;&gt;""),A1047&amp;"|"&amp;AG1047&amp;"|"&amp;D1047&amp;"|"&amp;F1047,"")</f>
        <v/>
      </c>
      <c r="Z1047" s="57" t="str">
        <f>IF(Y1047="","",IF(COUNTIF(Y$6:Y1046,Y1047)=0,1,0))</f>
        <v/>
      </c>
      <c r="AA1047" s="57" t="str">
        <f>IF(Y1047="","",IF(Z1047=1,COUNTIFS(A$6:A1047,A1047,Z$6:Z1047,1),INDEX(AA$6:AA1046,MATCH(Y1047,Y$6:Y1046,0))))</f>
        <v/>
      </c>
      <c r="AB1047" s="57" t="str">
        <f>IF(B1047="","",COUNTIF(B$6:B1047,B1047))</f>
        <v/>
      </c>
      <c r="AC1047" s="57" t="str">
        <f>IF(B1047="","",B1047&amp;"#"&amp;AB1047)</f>
        <v/>
      </c>
      <c r="AD1047" s="57" t="str">
        <f>IF(Z1047=1,A1047&amp;AA1047,"")</f>
        <v/>
      </c>
      <c r="AE1047" s="57" t="str">
        <f>IF(B1047="","",YEAR(C1047))</f>
        <v/>
      </c>
      <c r="AF1047" s="57" t="str">
        <f>IF(B1047="","",MONTH(C1047))</f>
        <v/>
      </c>
      <c r="AG1047" s="57">
        <f>IF(ISNUMBER(C1047),C1047,0)</f>
        <v>0.0</v>
      </c>
      <c r="AH1047" s="57" t="str">
        <f>IF(N(W1047)&gt;0,COUNTIF(W$6:W1047,"&gt;0"),"")</f>
        <v/>
      </c>
      <c r="AI1047" s="57" t="str">
        <f>IF(Z1047=1,COUNTIF(Z$6:Z1047,1),"")</f>
        <v/>
      </c>
    </row>
    <row r="1048">
      <c r="A1048" s="54" t="n"/>
      <c r="B1048" s="55" t="str">
        <f>IF(AA1048="","",A1048&amp;"-"&amp;RIGHT("000"&amp;AA1048,4))</f>
        <v/>
      </c>
      <c r="C1048" s="56" t="n"/>
      <c r="D1048" s="54" t="n"/>
      <c r="E1048" s="57" t="str">
        <f>IF(D1048="","",IF(A1048="BL",IFERROR(INDEX(cl_name,MATCH(D1048,cl_code,0))&amp;"","Client inconnu"),IF(A1048="BR",IFERROR(INDEX(fo_name,MATCH(D1048,fo_code,0))&amp;"","Fournisseur inconnu"),IF(A1048="BS",IF(ISNA(MATCH(D1048,p_services,0)),"Service inconnu",D1048&amp;""),""))))</f>
        <v/>
      </c>
      <c r="F1048" s="58" t="n"/>
      <c r="G1048" s="58" t="n"/>
      <c r="H1048" s="59" t="n"/>
      <c r="I1048" s="57" t="str">
        <f>IF(H1048="","",IFERROR(INDEX(art_des,MATCH(H1048,art_ref,0))&amp;"","Article inconnu"))</f>
        <v/>
      </c>
      <c r="J1048" s="60" t="str">
        <f>IF(H1048="","",IFERROR(INDEX(art_unit,MATCH(H1048,art_ref,0))&amp;"",""))</f>
        <v/>
      </c>
      <c r="K1048" s="59" t="n"/>
      <c r="L1048" s="59" t="n"/>
      <c r="M1048" s="61" t="str">
        <f>IF(OR(B1048="",NOT(ISNUMBER(K1048)),NOT(ISNUMBER(L1048))),"",IF(OR(K1048&lt;=0,L1048&lt;=0),"",ROUND(L1048-K1048,6)))</f>
        <v/>
      </c>
      <c r="N1048" s="58" t="n"/>
      <c r="O1048" s="62" t="n"/>
      <c r="P1048" s="63" t="str">
        <f>IF(OR(B1048="",NOT(ISNUMBER(L1048))),"",IF(L1048&lt;=0,"",IFERROR(ROUND(L1048*N(INDEX(art_w,MATCH(H1048,art_ref,0))),3),"")))</f>
        <v/>
      </c>
      <c r="Q1048" s="59" t="n"/>
      <c r="R1048" s="54" t="n"/>
      <c r="S1048" s="59" t="n"/>
      <c r="T1048" s="59" t="n"/>
      <c r="U1048" s="64" t="str">
        <f>IF(OR(B1048="",H1048=""),"",IFERROR(IF(A1048="BL",IF(N(INDEX(art_price,MATCH(H1048,art_ref,0)))=0,"",N(INDEX(art_price,MATCH(H1048,art_ref,0)))),IF(N(INDEX(art_cost,MATCH(H1048,art_ref,0)))=0,"",N(INDEX(art_cost,MATCH(H1048,art_ref,0))))),""))</f>
        <v/>
      </c>
      <c r="V1048" s="64" t="str">
        <f>IF(OR(U1048="",NOT(ISNUMBER(L1048))),"",IF(L1048&lt;=0,"",ROUND(L1048*U1048,2)))</f>
        <v/>
      </c>
      <c r="W1048" s="60" t="str">
        <f>IF(AND(B1048&lt;&gt;"",A1048&lt;&gt;"BS",F1048&lt;&gt;"",H1048&lt;&gt;"",ISNUMBER(K1048),ISNUMBER(L1048)),IF(AND(K1048&gt;0,L1048&gt;0,K1048-L1048&gt;0,COUNTIFS(A1049:A$2005,A1048,F1049:F$2005,F1048,H1049:H$2005,H1048,AA1049:AA$2005,"&gt;0")=0),ROUND(K1048-L1048,6),""),"")</f>
        <v/>
      </c>
      <c r="X1048" s="60" t="str">
        <f>IF(AND(A1048="",C1048="",D1048="",H1048="",L1048=""),"",IF(A1048="","Type manquant",IF(AND(A1048&lt;&gt;"BL",A1048&lt;&gt;"BR",A1048&lt;&gt;"BS"),"Type inconnu (BL, BR ou BS)",IF(AG1048=0,"Date manquante ou invalide",IF(D1048="",IF(A1048="BL","Client manquant",IF(A1048="BR","Fournisseur manquant","Service manquant")),IF(IF(A1048="BL",ISNA(MATCH(D1048,cl_code,0)),IF(A1048="BR",ISNA(MATCH(D1048,fo_code,0)),ISNA(MATCH(D1048,p_services,0)))),IF(A1048="BL","Client inconnu",IF(A1048="BR","Fournisseur inconnu","Service inconnu")),IF(H1048="","Article manquant",IF(ISNA(MATCH(H1048,art_ref,0)),"Article inconnu",IF(OR(NOT(ISNUMBER(L1048)),N(L1048)&lt;=0),"Quantité invalide",IF(AND(K1048&lt;&gt;"",OR(NOT(ISNUMBER(K1048)),N(K1048)&lt;=0)),"Qté commandée invalide",IF(AG1048&lt;SUMPRODUCT(MAX((A$6:A1047=A1048)*AG$6:AG1047)),"Date antérieure au bon précédent",IF(AND(A1048&lt;&gt;"BR",ISNUMBER(M1048),N(M1048)&gt;0),IF(A1048="BL","Livré plus que commandé","Sorti plus que demandé"),"OK"))))))))))))</f>
        <v/>
      </c>
      <c r="Y1048" s="57" t="str">
        <f>IF(AND(OR(A1048="BL",A1048="BR",A1048="BS"),AG1048&gt;0,D1048&lt;&gt;""),A1048&amp;"|"&amp;AG1048&amp;"|"&amp;D1048&amp;"|"&amp;F1048,"")</f>
        <v/>
      </c>
      <c r="Z1048" s="57" t="str">
        <f>IF(Y1048="","",IF(COUNTIF(Y$6:Y1047,Y1048)=0,1,0))</f>
        <v/>
      </c>
      <c r="AA1048" s="57" t="str">
        <f>IF(Y1048="","",IF(Z1048=1,COUNTIFS(A$6:A1048,A1048,Z$6:Z1048,1),INDEX(AA$6:AA1047,MATCH(Y1048,Y$6:Y1047,0))))</f>
        <v/>
      </c>
      <c r="AB1048" s="57" t="str">
        <f>IF(B1048="","",COUNTIF(B$6:B1048,B1048))</f>
        <v/>
      </c>
      <c r="AC1048" s="57" t="str">
        <f>IF(B1048="","",B1048&amp;"#"&amp;AB1048)</f>
        <v/>
      </c>
      <c r="AD1048" s="57" t="str">
        <f>IF(Z1048=1,A1048&amp;AA1048,"")</f>
        <v/>
      </c>
      <c r="AE1048" s="57" t="str">
        <f>IF(B1048="","",YEAR(C1048))</f>
        <v/>
      </c>
      <c r="AF1048" s="57" t="str">
        <f>IF(B1048="","",MONTH(C1048))</f>
        <v/>
      </c>
      <c r="AG1048" s="57">
        <f>IF(ISNUMBER(C1048),C1048,0)</f>
        <v>0.0</v>
      </c>
      <c r="AH1048" s="57" t="str">
        <f>IF(N(W1048)&gt;0,COUNTIF(W$6:W1048,"&gt;0"),"")</f>
        <v/>
      </c>
      <c r="AI1048" s="57" t="str">
        <f>IF(Z1048=1,COUNTIF(Z$6:Z1048,1),"")</f>
        <v/>
      </c>
    </row>
    <row r="1049">
      <c r="A1049" s="54" t="n"/>
      <c r="B1049" s="55" t="str">
        <f>IF(AA1049="","",A1049&amp;"-"&amp;RIGHT("000"&amp;AA1049,4))</f>
        <v/>
      </c>
      <c r="C1049" s="56" t="n"/>
      <c r="D1049" s="54" t="n"/>
      <c r="E1049" s="57" t="str">
        <f>IF(D1049="","",IF(A1049="BL",IFERROR(INDEX(cl_name,MATCH(D1049,cl_code,0))&amp;"","Client inconnu"),IF(A1049="BR",IFERROR(INDEX(fo_name,MATCH(D1049,fo_code,0))&amp;"","Fournisseur inconnu"),IF(A1049="BS",IF(ISNA(MATCH(D1049,p_services,0)),"Service inconnu",D1049&amp;""),""))))</f>
        <v/>
      </c>
      <c r="F1049" s="58" t="n"/>
      <c r="G1049" s="58" t="n"/>
      <c r="H1049" s="59" t="n"/>
      <c r="I1049" s="57" t="str">
        <f>IF(H1049="","",IFERROR(INDEX(art_des,MATCH(H1049,art_ref,0))&amp;"","Article inconnu"))</f>
        <v/>
      </c>
      <c r="J1049" s="60" t="str">
        <f>IF(H1049="","",IFERROR(INDEX(art_unit,MATCH(H1049,art_ref,0))&amp;"",""))</f>
        <v/>
      </c>
      <c r="K1049" s="59" t="n"/>
      <c r="L1049" s="59" t="n"/>
      <c r="M1049" s="61" t="str">
        <f>IF(OR(B1049="",NOT(ISNUMBER(K1049)),NOT(ISNUMBER(L1049))),"",IF(OR(K1049&lt;=0,L1049&lt;=0),"",ROUND(L1049-K1049,6)))</f>
        <v/>
      </c>
      <c r="N1049" s="58" t="n"/>
      <c r="O1049" s="62" t="n"/>
      <c r="P1049" s="63" t="str">
        <f>IF(OR(B1049="",NOT(ISNUMBER(L1049))),"",IF(L1049&lt;=0,"",IFERROR(ROUND(L1049*N(INDEX(art_w,MATCH(H1049,art_ref,0))),3),"")))</f>
        <v/>
      </c>
      <c r="Q1049" s="59" t="n"/>
      <c r="R1049" s="54" t="n"/>
      <c r="S1049" s="59" t="n"/>
      <c r="T1049" s="59" t="n"/>
      <c r="U1049" s="64" t="str">
        <f>IF(OR(B1049="",H1049=""),"",IFERROR(IF(A1049="BL",IF(N(INDEX(art_price,MATCH(H1049,art_ref,0)))=0,"",N(INDEX(art_price,MATCH(H1049,art_ref,0)))),IF(N(INDEX(art_cost,MATCH(H1049,art_ref,0)))=0,"",N(INDEX(art_cost,MATCH(H1049,art_ref,0))))),""))</f>
        <v/>
      </c>
      <c r="V1049" s="64" t="str">
        <f>IF(OR(U1049="",NOT(ISNUMBER(L1049))),"",IF(L1049&lt;=0,"",ROUND(L1049*U1049,2)))</f>
        <v/>
      </c>
      <c r="W1049" s="60" t="str">
        <f>IF(AND(B1049&lt;&gt;"",A1049&lt;&gt;"BS",F1049&lt;&gt;"",H1049&lt;&gt;"",ISNUMBER(K1049),ISNUMBER(L1049)),IF(AND(K1049&gt;0,L1049&gt;0,K1049-L1049&gt;0,COUNTIFS(A1050:A$2005,A1049,F1050:F$2005,F1049,H1050:H$2005,H1049,AA1050:AA$2005,"&gt;0")=0),ROUND(K1049-L1049,6),""),"")</f>
        <v/>
      </c>
      <c r="X1049" s="60" t="str">
        <f>IF(AND(A1049="",C1049="",D1049="",H1049="",L1049=""),"",IF(A1049="","Type manquant",IF(AND(A1049&lt;&gt;"BL",A1049&lt;&gt;"BR",A1049&lt;&gt;"BS"),"Type inconnu (BL, BR ou BS)",IF(AG1049=0,"Date manquante ou invalide",IF(D1049="",IF(A1049="BL","Client manquant",IF(A1049="BR","Fournisseur manquant","Service manquant")),IF(IF(A1049="BL",ISNA(MATCH(D1049,cl_code,0)),IF(A1049="BR",ISNA(MATCH(D1049,fo_code,0)),ISNA(MATCH(D1049,p_services,0)))),IF(A1049="BL","Client inconnu",IF(A1049="BR","Fournisseur inconnu","Service inconnu")),IF(H1049="","Article manquant",IF(ISNA(MATCH(H1049,art_ref,0)),"Article inconnu",IF(OR(NOT(ISNUMBER(L1049)),N(L1049)&lt;=0),"Quantité invalide",IF(AND(K1049&lt;&gt;"",OR(NOT(ISNUMBER(K1049)),N(K1049)&lt;=0)),"Qté commandée invalide",IF(AG1049&lt;SUMPRODUCT(MAX((A$6:A1048=A1049)*AG$6:AG1048)),"Date antérieure au bon précédent",IF(AND(A1049&lt;&gt;"BR",ISNUMBER(M1049),N(M1049)&gt;0),IF(A1049="BL","Livré plus que commandé","Sorti plus que demandé"),"OK"))))))))))))</f>
        <v/>
      </c>
      <c r="Y1049" s="57" t="str">
        <f>IF(AND(OR(A1049="BL",A1049="BR",A1049="BS"),AG1049&gt;0,D1049&lt;&gt;""),A1049&amp;"|"&amp;AG1049&amp;"|"&amp;D1049&amp;"|"&amp;F1049,"")</f>
        <v/>
      </c>
      <c r="Z1049" s="57" t="str">
        <f>IF(Y1049="","",IF(COUNTIF(Y$6:Y1048,Y1049)=0,1,0))</f>
        <v/>
      </c>
      <c r="AA1049" s="57" t="str">
        <f>IF(Y1049="","",IF(Z1049=1,COUNTIFS(A$6:A1049,A1049,Z$6:Z1049,1),INDEX(AA$6:AA1048,MATCH(Y1049,Y$6:Y1048,0))))</f>
        <v/>
      </c>
      <c r="AB1049" s="57" t="str">
        <f>IF(B1049="","",COUNTIF(B$6:B1049,B1049))</f>
        <v/>
      </c>
      <c r="AC1049" s="57" t="str">
        <f>IF(B1049="","",B1049&amp;"#"&amp;AB1049)</f>
        <v/>
      </c>
      <c r="AD1049" s="57" t="str">
        <f>IF(Z1049=1,A1049&amp;AA1049,"")</f>
        <v/>
      </c>
      <c r="AE1049" s="57" t="str">
        <f>IF(B1049="","",YEAR(C1049))</f>
        <v/>
      </c>
      <c r="AF1049" s="57" t="str">
        <f>IF(B1049="","",MONTH(C1049))</f>
        <v/>
      </c>
      <c r="AG1049" s="57">
        <f>IF(ISNUMBER(C1049),C1049,0)</f>
        <v>0.0</v>
      </c>
      <c r="AH1049" s="57" t="str">
        <f>IF(N(W1049)&gt;0,COUNTIF(W$6:W1049,"&gt;0"),"")</f>
        <v/>
      </c>
      <c r="AI1049" s="57" t="str">
        <f>IF(Z1049=1,COUNTIF(Z$6:Z1049,1),"")</f>
        <v/>
      </c>
    </row>
    <row r="1050">
      <c r="A1050" s="54" t="n"/>
      <c r="B1050" s="55" t="str">
        <f>IF(AA1050="","",A1050&amp;"-"&amp;RIGHT("000"&amp;AA1050,4))</f>
        <v/>
      </c>
      <c r="C1050" s="56" t="n"/>
      <c r="D1050" s="54" t="n"/>
      <c r="E1050" s="57" t="str">
        <f>IF(D1050="","",IF(A1050="BL",IFERROR(INDEX(cl_name,MATCH(D1050,cl_code,0))&amp;"","Client inconnu"),IF(A1050="BR",IFERROR(INDEX(fo_name,MATCH(D1050,fo_code,0))&amp;"","Fournisseur inconnu"),IF(A1050="BS",IF(ISNA(MATCH(D1050,p_services,0)),"Service inconnu",D1050&amp;""),""))))</f>
        <v/>
      </c>
      <c r="F1050" s="58" t="n"/>
      <c r="G1050" s="58" t="n"/>
      <c r="H1050" s="59" t="n"/>
      <c r="I1050" s="57" t="str">
        <f>IF(H1050="","",IFERROR(INDEX(art_des,MATCH(H1050,art_ref,0))&amp;"","Article inconnu"))</f>
        <v/>
      </c>
      <c r="J1050" s="60" t="str">
        <f>IF(H1050="","",IFERROR(INDEX(art_unit,MATCH(H1050,art_ref,0))&amp;"",""))</f>
        <v/>
      </c>
      <c r="K1050" s="59" t="n"/>
      <c r="L1050" s="59" t="n"/>
      <c r="M1050" s="61" t="str">
        <f>IF(OR(B1050="",NOT(ISNUMBER(K1050)),NOT(ISNUMBER(L1050))),"",IF(OR(K1050&lt;=0,L1050&lt;=0),"",ROUND(L1050-K1050,6)))</f>
        <v/>
      </c>
      <c r="N1050" s="58" t="n"/>
      <c r="O1050" s="62" t="n"/>
      <c r="P1050" s="63" t="str">
        <f>IF(OR(B1050="",NOT(ISNUMBER(L1050))),"",IF(L1050&lt;=0,"",IFERROR(ROUND(L1050*N(INDEX(art_w,MATCH(H1050,art_ref,0))),3),"")))</f>
        <v/>
      </c>
      <c r="Q1050" s="59" t="n"/>
      <c r="R1050" s="54" t="n"/>
      <c r="S1050" s="59" t="n"/>
      <c r="T1050" s="59" t="n"/>
      <c r="U1050" s="64" t="str">
        <f>IF(OR(B1050="",H1050=""),"",IFERROR(IF(A1050="BL",IF(N(INDEX(art_price,MATCH(H1050,art_ref,0)))=0,"",N(INDEX(art_price,MATCH(H1050,art_ref,0)))),IF(N(INDEX(art_cost,MATCH(H1050,art_ref,0)))=0,"",N(INDEX(art_cost,MATCH(H1050,art_ref,0))))),""))</f>
        <v/>
      </c>
      <c r="V1050" s="64" t="str">
        <f>IF(OR(U1050="",NOT(ISNUMBER(L1050))),"",IF(L1050&lt;=0,"",ROUND(L1050*U1050,2)))</f>
        <v/>
      </c>
      <c r="W1050" s="60" t="str">
        <f>IF(AND(B1050&lt;&gt;"",A1050&lt;&gt;"BS",F1050&lt;&gt;"",H1050&lt;&gt;"",ISNUMBER(K1050),ISNUMBER(L1050)),IF(AND(K1050&gt;0,L1050&gt;0,K1050-L1050&gt;0,COUNTIFS(A1051:A$2005,A1050,F1051:F$2005,F1050,H1051:H$2005,H1050,AA1051:AA$2005,"&gt;0")=0),ROUND(K1050-L1050,6),""),"")</f>
        <v/>
      </c>
      <c r="X1050" s="60" t="str">
        <f>IF(AND(A1050="",C1050="",D1050="",H1050="",L1050=""),"",IF(A1050="","Type manquant",IF(AND(A1050&lt;&gt;"BL",A1050&lt;&gt;"BR",A1050&lt;&gt;"BS"),"Type inconnu (BL, BR ou BS)",IF(AG1050=0,"Date manquante ou invalide",IF(D1050="",IF(A1050="BL","Client manquant",IF(A1050="BR","Fournisseur manquant","Service manquant")),IF(IF(A1050="BL",ISNA(MATCH(D1050,cl_code,0)),IF(A1050="BR",ISNA(MATCH(D1050,fo_code,0)),ISNA(MATCH(D1050,p_services,0)))),IF(A1050="BL","Client inconnu",IF(A1050="BR","Fournisseur inconnu","Service inconnu")),IF(H1050="","Article manquant",IF(ISNA(MATCH(H1050,art_ref,0)),"Article inconnu",IF(OR(NOT(ISNUMBER(L1050)),N(L1050)&lt;=0),"Quantité invalide",IF(AND(K1050&lt;&gt;"",OR(NOT(ISNUMBER(K1050)),N(K1050)&lt;=0)),"Qté commandée invalide",IF(AG1050&lt;SUMPRODUCT(MAX((A$6:A1049=A1050)*AG$6:AG1049)),"Date antérieure au bon précédent",IF(AND(A1050&lt;&gt;"BR",ISNUMBER(M1050),N(M1050)&gt;0),IF(A1050="BL","Livré plus que commandé","Sorti plus que demandé"),"OK"))))))))))))</f>
        <v/>
      </c>
      <c r="Y1050" s="57" t="str">
        <f>IF(AND(OR(A1050="BL",A1050="BR",A1050="BS"),AG1050&gt;0,D1050&lt;&gt;""),A1050&amp;"|"&amp;AG1050&amp;"|"&amp;D1050&amp;"|"&amp;F1050,"")</f>
        <v/>
      </c>
      <c r="Z1050" s="57" t="str">
        <f>IF(Y1050="","",IF(COUNTIF(Y$6:Y1049,Y1050)=0,1,0))</f>
        <v/>
      </c>
      <c r="AA1050" s="57" t="str">
        <f>IF(Y1050="","",IF(Z1050=1,COUNTIFS(A$6:A1050,A1050,Z$6:Z1050,1),INDEX(AA$6:AA1049,MATCH(Y1050,Y$6:Y1049,0))))</f>
        <v/>
      </c>
      <c r="AB1050" s="57" t="str">
        <f>IF(B1050="","",COUNTIF(B$6:B1050,B1050))</f>
        <v/>
      </c>
      <c r="AC1050" s="57" t="str">
        <f>IF(B1050="","",B1050&amp;"#"&amp;AB1050)</f>
        <v/>
      </c>
      <c r="AD1050" s="57" t="str">
        <f>IF(Z1050=1,A1050&amp;AA1050,"")</f>
        <v/>
      </c>
      <c r="AE1050" s="57" t="str">
        <f>IF(B1050="","",YEAR(C1050))</f>
        <v/>
      </c>
      <c r="AF1050" s="57" t="str">
        <f>IF(B1050="","",MONTH(C1050))</f>
        <v/>
      </c>
      <c r="AG1050" s="57">
        <f>IF(ISNUMBER(C1050),C1050,0)</f>
        <v>0.0</v>
      </c>
      <c r="AH1050" s="57" t="str">
        <f>IF(N(W1050)&gt;0,COUNTIF(W$6:W1050,"&gt;0"),"")</f>
        <v/>
      </c>
      <c r="AI1050" s="57" t="str">
        <f>IF(Z1050=1,COUNTIF(Z$6:Z1050,1),"")</f>
        <v/>
      </c>
    </row>
    <row r="1051">
      <c r="A1051" s="54" t="n"/>
      <c r="B1051" s="55" t="str">
        <f>IF(AA1051="","",A1051&amp;"-"&amp;RIGHT("000"&amp;AA1051,4))</f>
        <v/>
      </c>
      <c r="C1051" s="56" t="n"/>
      <c r="D1051" s="54" t="n"/>
      <c r="E1051" s="57" t="str">
        <f>IF(D1051="","",IF(A1051="BL",IFERROR(INDEX(cl_name,MATCH(D1051,cl_code,0))&amp;"","Client inconnu"),IF(A1051="BR",IFERROR(INDEX(fo_name,MATCH(D1051,fo_code,0))&amp;"","Fournisseur inconnu"),IF(A1051="BS",IF(ISNA(MATCH(D1051,p_services,0)),"Service inconnu",D1051&amp;""),""))))</f>
        <v/>
      </c>
      <c r="F1051" s="58" t="n"/>
      <c r="G1051" s="58" t="n"/>
      <c r="H1051" s="59" t="n"/>
      <c r="I1051" s="57" t="str">
        <f>IF(H1051="","",IFERROR(INDEX(art_des,MATCH(H1051,art_ref,0))&amp;"","Article inconnu"))</f>
        <v/>
      </c>
      <c r="J1051" s="60" t="str">
        <f>IF(H1051="","",IFERROR(INDEX(art_unit,MATCH(H1051,art_ref,0))&amp;"",""))</f>
        <v/>
      </c>
      <c r="K1051" s="59" t="n"/>
      <c r="L1051" s="59" t="n"/>
      <c r="M1051" s="61" t="str">
        <f>IF(OR(B1051="",NOT(ISNUMBER(K1051)),NOT(ISNUMBER(L1051))),"",IF(OR(K1051&lt;=0,L1051&lt;=0),"",ROUND(L1051-K1051,6)))</f>
        <v/>
      </c>
      <c r="N1051" s="58" t="n"/>
      <c r="O1051" s="62" t="n"/>
      <c r="P1051" s="63" t="str">
        <f>IF(OR(B1051="",NOT(ISNUMBER(L1051))),"",IF(L1051&lt;=0,"",IFERROR(ROUND(L1051*N(INDEX(art_w,MATCH(H1051,art_ref,0))),3),"")))</f>
        <v/>
      </c>
      <c r="Q1051" s="59" t="n"/>
      <c r="R1051" s="54" t="n"/>
      <c r="S1051" s="59" t="n"/>
      <c r="T1051" s="59" t="n"/>
      <c r="U1051" s="64" t="str">
        <f>IF(OR(B1051="",H1051=""),"",IFERROR(IF(A1051="BL",IF(N(INDEX(art_price,MATCH(H1051,art_ref,0)))=0,"",N(INDEX(art_price,MATCH(H1051,art_ref,0)))),IF(N(INDEX(art_cost,MATCH(H1051,art_ref,0)))=0,"",N(INDEX(art_cost,MATCH(H1051,art_ref,0))))),""))</f>
        <v/>
      </c>
      <c r="V1051" s="64" t="str">
        <f>IF(OR(U1051="",NOT(ISNUMBER(L1051))),"",IF(L1051&lt;=0,"",ROUND(L1051*U1051,2)))</f>
        <v/>
      </c>
      <c r="W1051" s="60" t="str">
        <f>IF(AND(B1051&lt;&gt;"",A1051&lt;&gt;"BS",F1051&lt;&gt;"",H1051&lt;&gt;"",ISNUMBER(K1051),ISNUMBER(L1051)),IF(AND(K1051&gt;0,L1051&gt;0,K1051-L1051&gt;0,COUNTIFS(A1052:A$2005,A1051,F1052:F$2005,F1051,H1052:H$2005,H1051,AA1052:AA$2005,"&gt;0")=0),ROUND(K1051-L1051,6),""),"")</f>
        <v/>
      </c>
      <c r="X1051" s="60" t="str">
        <f>IF(AND(A1051="",C1051="",D1051="",H1051="",L1051=""),"",IF(A1051="","Type manquant",IF(AND(A1051&lt;&gt;"BL",A1051&lt;&gt;"BR",A1051&lt;&gt;"BS"),"Type inconnu (BL, BR ou BS)",IF(AG1051=0,"Date manquante ou invalide",IF(D1051="",IF(A1051="BL","Client manquant",IF(A1051="BR","Fournisseur manquant","Service manquant")),IF(IF(A1051="BL",ISNA(MATCH(D1051,cl_code,0)),IF(A1051="BR",ISNA(MATCH(D1051,fo_code,0)),ISNA(MATCH(D1051,p_services,0)))),IF(A1051="BL","Client inconnu",IF(A1051="BR","Fournisseur inconnu","Service inconnu")),IF(H1051="","Article manquant",IF(ISNA(MATCH(H1051,art_ref,0)),"Article inconnu",IF(OR(NOT(ISNUMBER(L1051)),N(L1051)&lt;=0),"Quantité invalide",IF(AND(K1051&lt;&gt;"",OR(NOT(ISNUMBER(K1051)),N(K1051)&lt;=0)),"Qté commandée invalide",IF(AG1051&lt;SUMPRODUCT(MAX((A$6:A1050=A1051)*AG$6:AG1050)),"Date antérieure au bon précédent",IF(AND(A1051&lt;&gt;"BR",ISNUMBER(M1051),N(M1051)&gt;0),IF(A1051="BL","Livré plus que commandé","Sorti plus que demandé"),"OK"))))))))))))</f>
        <v/>
      </c>
      <c r="Y1051" s="57" t="str">
        <f>IF(AND(OR(A1051="BL",A1051="BR",A1051="BS"),AG1051&gt;0,D1051&lt;&gt;""),A1051&amp;"|"&amp;AG1051&amp;"|"&amp;D1051&amp;"|"&amp;F1051,"")</f>
        <v/>
      </c>
      <c r="Z1051" s="57" t="str">
        <f>IF(Y1051="","",IF(COUNTIF(Y$6:Y1050,Y1051)=0,1,0))</f>
        <v/>
      </c>
      <c r="AA1051" s="57" t="str">
        <f>IF(Y1051="","",IF(Z1051=1,COUNTIFS(A$6:A1051,A1051,Z$6:Z1051,1),INDEX(AA$6:AA1050,MATCH(Y1051,Y$6:Y1050,0))))</f>
        <v/>
      </c>
      <c r="AB1051" s="57" t="str">
        <f>IF(B1051="","",COUNTIF(B$6:B1051,B1051))</f>
        <v/>
      </c>
      <c r="AC1051" s="57" t="str">
        <f>IF(B1051="","",B1051&amp;"#"&amp;AB1051)</f>
        <v/>
      </c>
      <c r="AD1051" s="57" t="str">
        <f>IF(Z1051=1,A1051&amp;AA1051,"")</f>
        <v/>
      </c>
      <c r="AE1051" s="57" t="str">
        <f>IF(B1051="","",YEAR(C1051))</f>
        <v/>
      </c>
      <c r="AF1051" s="57" t="str">
        <f>IF(B1051="","",MONTH(C1051))</f>
        <v/>
      </c>
      <c r="AG1051" s="57">
        <f>IF(ISNUMBER(C1051),C1051,0)</f>
        <v>0.0</v>
      </c>
      <c r="AH1051" s="57" t="str">
        <f>IF(N(W1051)&gt;0,COUNTIF(W$6:W1051,"&gt;0"),"")</f>
        <v/>
      </c>
      <c r="AI1051" s="57" t="str">
        <f>IF(Z1051=1,COUNTIF(Z$6:Z1051,1),"")</f>
        <v/>
      </c>
    </row>
    <row r="1052">
      <c r="A1052" s="54" t="n"/>
      <c r="B1052" s="55" t="str">
        <f>IF(AA1052="","",A1052&amp;"-"&amp;RIGHT("000"&amp;AA1052,4))</f>
        <v/>
      </c>
      <c r="C1052" s="56" t="n"/>
      <c r="D1052" s="54" t="n"/>
      <c r="E1052" s="57" t="str">
        <f>IF(D1052="","",IF(A1052="BL",IFERROR(INDEX(cl_name,MATCH(D1052,cl_code,0))&amp;"","Client inconnu"),IF(A1052="BR",IFERROR(INDEX(fo_name,MATCH(D1052,fo_code,0))&amp;"","Fournisseur inconnu"),IF(A1052="BS",IF(ISNA(MATCH(D1052,p_services,0)),"Service inconnu",D1052&amp;""),""))))</f>
        <v/>
      </c>
      <c r="F1052" s="58" t="n"/>
      <c r="G1052" s="58" t="n"/>
      <c r="H1052" s="59" t="n"/>
      <c r="I1052" s="57" t="str">
        <f>IF(H1052="","",IFERROR(INDEX(art_des,MATCH(H1052,art_ref,0))&amp;"","Article inconnu"))</f>
        <v/>
      </c>
      <c r="J1052" s="60" t="str">
        <f>IF(H1052="","",IFERROR(INDEX(art_unit,MATCH(H1052,art_ref,0))&amp;"",""))</f>
        <v/>
      </c>
      <c r="K1052" s="59" t="n"/>
      <c r="L1052" s="59" t="n"/>
      <c r="M1052" s="61" t="str">
        <f>IF(OR(B1052="",NOT(ISNUMBER(K1052)),NOT(ISNUMBER(L1052))),"",IF(OR(K1052&lt;=0,L1052&lt;=0),"",ROUND(L1052-K1052,6)))</f>
        <v/>
      </c>
      <c r="N1052" s="58" t="n"/>
      <c r="O1052" s="62" t="n"/>
      <c r="P1052" s="63" t="str">
        <f>IF(OR(B1052="",NOT(ISNUMBER(L1052))),"",IF(L1052&lt;=0,"",IFERROR(ROUND(L1052*N(INDEX(art_w,MATCH(H1052,art_ref,0))),3),"")))</f>
        <v/>
      </c>
      <c r="Q1052" s="59" t="n"/>
      <c r="R1052" s="54" t="n"/>
      <c r="S1052" s="59" t="n"/>
      <c r="T1052" s="59" t="n"/>
      <c r="U1052" s="64" t="str">
        <f>IF(OR(B1052="",H1052=""),"",IFERROR(IF(A1052="BL",IF(N(INDEX(art_price,MATCH(H1052,art_ref,0)))=0,"",N(INDEX(art_price,MATCH(H1052,art_ref,0)))),IF(N(INDEX(art_cost,MATCH(H1052,art_ref,0)))=0,"",N(INDEX(art_cost,MATCH(H1052,art_ref,0))))),""))</f>
        <v/>
      </c>
      <c r="V1052" s="64" t="str">
        <f>IF(OR(U1052="",NOT(ISNUMBER(L1052))),"",IF(L1052&lt;=0,"",ROUND(L1052*U1052,2)))</f>
        <v/>
      </c>
      <c r="W1052" s="60" t="str">
        <f>IF(AND(B1052&lt;&gt;"",A1052&lt;&gt;"BS",F1052&lt;&gt;"",H1052&lt;&gt;"",ISNUMBER(K1052),ISNUMBER(L1052)),IF(AND(K1052&gt;0,L1052&gt;0,K1052-L1052&gt;0,COUNTIFS(A1053:A$2005,A1052,F1053:F$2005,F1052,H1053:H$2005,H1052,AA1053:AA$2005,"&gt;0")=0),ROUND(K1052-L1052,6),""),"")</f>
        <v/>
      </c>
      <c r="X1052" s="60" t="str">
        <f>IF(AND(A1052="",C1052="",D1052="",H1052="",L1052=""),"",IF(A1052="","Type manquant",IF(AND(A1052&lt;&gt;"BL",A1052&lt;&gt;"BR",A1052&lt;&gt;"BS"),"Type inconnu (BL, BR ou BS)",IF(AG1052=0,"Date manquante ou invalide",IF(D1052="",IF(A1052="BL","Client manquant",IF(A1052="BR","Fournisseur manquant","Service manquant")),IF(IF(A1052="BL",ISNA(MATCH(D1052,cl_code,0)),IF(A1052="BR",ISNA(MATCH(D1052,fo_code,0)),ISNA(MATCH(D1052,p_services,0)))),IF(A1052="BL","Client inconnu",IF(A1052="BR","Fournisseur inconnu","Service inconnu")),IF(H1052="","Article manquant",IF(ISNA(MATCH(H1052,art_ref,0)),"Article inconnu",IF(OR(NOT(ISNUMBER(L1052)),N(L1052)&lt;=0),"Quantité invalide",IF(AND(K1052&lt;&gt;"",OR(NOT(ISNUMBER(K1052)),N(K1052)&lt;=0)),"Qté commandée invalide",IF(AG1052&lt;SUMPRODUCT(MAX((A$6:A1051=A1052)*AG$6:AG1051)),"Date antérieure au bon précédent",IF(AND(A1052&lt;&gt;"BR",ISNUMBER(M1052),N(M1052)&gt;0),IF(A1052="BL","Livré plus que commandé","Sorti plus que demandé"),"OK"))))))))))))</f>
        <v/>
      </c>
      <c r="Y1052" s="57" t="str">
        <f>IF(AND(OR(A1052="BL",A1052="BR",A1052="BS"),AG1052&gt;0,D1052&lt;&gt;""),A1052&amp;"|"&amp;AG1052&amp;"|"&amp;D1052&amp;"|"&amp;F1052,"")</f>
        <v/>
      </c>
      <c r="Z1052" s="57" t="str">
        <f>IF(Y1052="","",IF(COUNTIF(Y$6:Y1051,Y1052)=0,1,0))</f>
        <v/>
      </c>
      <c r="AA1052" s="57" t="str">
        <f>IF(Y1052="","",IF(Z1052=1,COUNTIFS(A$6:A1052,A1052,Z$6:Z1052,1),INDEX(AA$6:AA1051,MATCH(Y1052,Y$6:Y1051,0))))</f>
        <v/>
      </c>
      <c r="AB1052" s="57" t="str">
        <f>IF(B1052="","",COUNTIF(B$6:B1052,B1052))</f>
        <v/>
      </c>
      <c r="AC1052" s="57" t="str">
        <f>IF(B1052="","",B1052&amp;"#"&amp;AB1052)</f>
        <v/>
      </c>
      <c r="AD1052" s="57" t="str">
        <f>IF(Z1052=1,A1052&amp;AA1052,"")</f>
        <v/>
      </c>
      <c r="AE1052" s="57" t="str">
        <f>IF(B1052="","",YEAR(C1052))</f>
        <v/>
      </c>
      <c r="AF1052" s="57" t="str">
        <f>IF(B1052="","",MONTH(C1052))</f>
        <v/>
      </c>
      <c r="AG1052" s="57">
        <f>IF(ISNUMBER(C1052),C1052,0)</f>
        <v>0.0</v>
      </c>
      <c r="AH1052" s="57" t="str">
        <f>IF(N(W1052)&gt;0,COUNTIF(W$6:W1052,"&gt;0"),"")</f>
        <v/>
      </c>
      <c r="AI1052" s="57" t="str">
        <f>IF(Z1052=1,COUNTIF(Z$6:Z1052,1),"")</f>
        <v/>
      </c>
    </row>
    <row r="1053">
      <c r="A1053" s="54" t="n"/>
      <c r="B1053" s="55" t="str">
        <f>IF(AA1053="","",A1053&amp;"-"&amp;RIGHT("000"&amp;AA1053,4))</f>
        <v/>
      </c>
      <c r="C1053" s="56" t="n"/>
      <c r="D1053" s="54" t="n"/>
      <c r="E1053" s="57" t="str">
        <f>IF(D1053="","",IF(A1053="BL",IFERROR(INDEX(cl_name,MATCH(D1053,cl_code,0))&amp;"","Client inconnu"),IF(A1053="BR",IFERROR(INDEX(fo_name,MATCH(D1053,fo_code,0))&amp;"","Fournisseur inconnu"),IF(A1053="BS",IF(ISNA(MATCH(D1053,p_services,0)),"Service inconnu",D1053&amp;""),""))))</f>
        <v/>
      </c>
      <c r="F1053" s="58" t="n"/>
      <c r="G1053" s="58" t="n"/>
      <c r="H1053" s="59" t="n"/>
      <c r="I1053" s="57" t="str">
        <f>IF(H1053="","",IFERROR(INDEX(art_des,MATCH(H1053,art_ref,0))&amp;"","Article inconnu"))</f>
        <v/>
      </c>
      <c r="J1053" s="60" t="str">
        <f>IF(H1053="","",IFERROR(INDEX(art_unit,MATCH(H1053,art_ref,0))&amp;"",""))</f>
        <v/>
      </c>
      <c r="K1053" s="59" t="n"/>
      <c r="L1053" s="59" t="n"/>
      <c r="M1053" s="61" t="str">
        <f>IF(OR(B1053="",NOT(ISNUMBER(K1053)),NOT(ISNUMBER(L1053))),"",IF(OR(K1053&lt;=0,L1053&lt;=0),"",ROUND(L1053-K1053,6)))</f>
        <v/>
      </c>
      <c r="N1053" s="58" t="n"/>
      <c r="O1053" s="62" t="n"/>
      <c r="P1053" s="63" t="str">
        <f>IF(OR(B1053="",NOT(ISNUMBER(L1053))),"",IF(L1053&lt;=0,"",IFERROR(ROUND(L1053*N(INDEX(art_w,MATCH(H1053,art_ref,0))),3),"")))</f>
        <v/>
      </c>
      <c r="Q1053" s="59" t="n"/>
      <c r="R1053" s="54" t="n"/>
      <c r="S1053" s="59" t="n"/>
      <c r="T1053" s="59" t="n"/>
      <c r="U1053" s="64" t="str">
        <f>IF(OR(B1053="",H1053=""),"",IFERROR(IF(A1053="BL",IF(N(INDEX(art_price,MATCH(H1053,art_ref,0)))=0,"",N(INDEX(art_price,MATCH(H1053,art_ref,0)))),IF(N(INDEX(art_cost,MATCH(H1053,art_ref,0)))=0,"",N(INDEX(art_cost,MATCH(H1053,art_ref,0))))),""))</f>
        <v/>
      </c>
      <c r="V1053" s="64" t="str">
        <f>IF(OR(U1053="",NOT(ISNUMBER(L1053))),"",IF(L1053&lt;=0,"",ROUND(L1053*U1053,2)))</f>
        <v/>
      </c>
      <c r="W1053" s="60" t="str">
        <f>IF(AND(B1053&lt;&gt;"",A1053&lt;&gt;"BS",F1053&lt;&gt;"",H1053&lt;&gt;"",ISNUMBER(K1053),ISNUMBER(L1053)),IF(AND(K1053&gt;0,L1053&gt;0,K1053-L1053&gt;0,COUNTIFS(A1054:A$2005,A1053,F1054:F$2005,F1053,H1054:H$2005,H1053,AA1054:AA$2005,"&gt;0")=0),ROUND(K1053-L1053,6),""),"")</f>
        <v/>
      </c>
      <c r="X1053" s="60" t="str">
        <f>IF(AND(A1053="",C1053="",D1053="",H1053="",L1053=""),"",IF(A1053="","Type manquant",IF(AND(A1053&lt;&gt;"BL",A1053&lt;&gt;"BR",A1053&lt;&gt;"BS"),"Type inconnu (BL, BR ou BS)",IF(AG1053=0,"Date manquante ou invalide",IF(D1053="",IF(A1053="BL","Client manquant",IF(A1053="BR","Fournisseur manquant","Service manquant")),IF(IF(A1053="BL",ISNA(MATCH(D1053,cl_code,0)),IF(A1053="BR",ISNA(MATCH(D1053,fo_code,0)),ISNA(MATCH(D1053,p_services,0)))),IF(A1053="BL","Client inconnu",IF(A1053="BR","Fournisseur inconnu","Service inconnu")),IF(H1053="","Article manquant",IF(ISNA(MATCH(H1053,art_ref,0)),"Article inconnu",IF(OR(NOT(ISNUMBER(L1053)),N(L1053)&lt;=0),"Quantité invalide",IF(AND(K1053&lt;&gt;"",OR(NOT(ISNUMBER(K1053)),N(K1053)&lt;=0)),"Qté commandée invalide",IF(AG1053&lt;SUMPRODUCT(MAX((A$6:A1052=A1053)*AG$6:AG1052)),"Date antérieure au bon précédent",IF(AND(A1053&lt;&gt;"BR",ISNUMBER(M1053),N(M1053)&gt;0),IF(A1053="BL","Livré plus que commandé","Sorti plus que demandé"),"OK"))))))))))))</f>
        <v/>
      </c>
      <c r="Y1053" s="57" t="str">
        <f>IF(AND(OR(A1053="BL",A1053="BR",A1053="BS"),AG1053&gt;0,D1053&lt;&gt;""),A1053&amp;"|"&amp;AG1053&amp;"|"&amp;D1053&amp;"|"&amp;F1053,"")</f>
        <v/>
      </c>
      <c r="Z1053" s="57" t="str">
        <f>IF(Y1053="","",IF(COUNTIF(Y$6:Y1052,Y1053)=0,1,0))</f>
        <v/>
      </c>
      <c r="AA1053" s="57" t="str">
        <f>IF(Y1053="","",IF(Z1053=1,COUNTIFS(A$6:A1053,A1053,Z$6:Z1053,1),INDEX(AA$6:AA1052,MATCH(Y1053,Y$6:Y1052,0))))</f>
        <v/>
      </c>
      <c r="AB1053" s="57" t="str">
        <f>IF(B1053="","",COUNTIF(B$6:B1053,B1053))</f>
        <v/>
      </c>
      <c r="AC1053" s="57" t="str">
        <f>IF(B1053="","",B1053&amp;"#"&amp;AB1053)</f>
        <v/>
      </c>
      <c r="AD1053" s="57" t="str">
        <f>IF(Z1053=1,A1053&amp;AA1053,"")</f>
        <v/>
      </c>
      <c r="AE1053" s="57" t="str">
        <f>IF(B1053="","",YEAR(C1053))</f>
        <v/>
      </c>
      <c r="AF1053" s="57" t="str">
        <f>IF(B1053="","",MONTH(C1053))</f>
        <v/>
      </c>
      <c r="AG1053" s="57">
        <f>IF(ISNUMBER(C1053),C1053,0)</f>
        <v>0.0</v>
      </c>
      <c r="AH1053" s="57" t="str">
        <f>IF(N(W1053)&gt;0,COUNTIF(W$6:W1053,"&gt;0"),"")</f>
        <v/>
      </c>
      <c r="AI1053" s="57" t="str">
        <f>IF(Z1053=1,COUNTIF(Z$6:Z1053,1),"")</f>
        <v/>
      </c>
    </row>
    <row r="1054">
      <c r="A1054" s="54" t="n"/>
      <c r="B1054" s="55" t="str">
        <f>IF(AA1054="","",A1054&amp;"-"&amp;RIGHT("000"&amp;AA1054,4))</f>
        <v/>
      </c>
      <c r="C1054" s="56" t="n"/>
      <c r="D1054" s="54" t="n"/>
      <c r="E1054" s="57" t="str">
        <f>IF(D1054="","",IF(A1054="BL",IFERROR(INDEX(cl_name,MATCH(D1054,cl_code,0))&amp;"","Client inconnu"),IF(A1054="BR",IFERROR(INDEX(fo_name,MATCH(D1054,fo_code,0))&amp;"","Fournisseur inconnu"),IF(A1054="BS",IF(ISNA(MATCH(D1054,p_services,0)),"Service inconnu",D1054&amp;""),""))))</f>
        <v/>
      </c>
      <c r="F1054" s="58" t="n"/>
      <c r="G1054" s="58" t="n"/>
      <c r="H1054" s="59" t="n"/>
      <c r="I1054" s="57" t="str">
        <f>IF(H1054="","",IFERROR(INDEX(art_des,MATCH(H1054,art_ref,0))&amp;"","Article inconnu"))</f>
        <v/>
      </c>
      <c r="J1054" s="60" t="str">
        <f>IF(H1054="","",IFERROR(INDEX(art_unit,MATCH(H1054,art_ref,0))&amp;"",""))</f>
        <v/>
      </c>
      <c r="K1054" s="59" t="n"/>
      <c r="L1054" s="59" t="n"/>
      <c r="M1054" s="61" t="str">
        <f>IF(OR(B1054="",NOT(ISNUMBER(K1054)),NOT(ISNUMBER(L1054))),"",IF(OR(K1054&lt;=0,L1054&lt;=0),"",ROUND(L1054-K1054,6)))</f>
        <v/>
      </c>
      <c r="N1054" s="58" t="n"/>
      <c r="O1054" s="62" t="n"/>
      <c r="P1054" s="63" t="str">
        <f>IF(OR(B1054="",NOT(ISNUMBER(L1054))),"",IF(L1054&lt;=0,"",IFERROR(ROUND(L1054*N(INDEX(art_w,MATCH(H1054,art_ref,0))),3),"")))</f>
        <v/>
      </c>
      <c r="Q1054" s="59" t="n"/>
      <c r="R1054" s="54" t="n"/>
      <c r="S1054" s="59" t="n"/>
      <c r="T1054" s="59" t="n"/>
      <c r="U1054" s="64" t="str">
        <f>IF(OR(B1054="",H1054=""),"",IFERROR(IF(A1054="BL",IF(N(INDEX(art_price,MATCH(H1054,art_ref,0)))=0,"",N(INDEX(art_price,MATCH(H1054,art_ref,0)))),IF(N(INDEX(art_cost,MATCH(H1054,art_ref,0)))=0,"",N(INDEX(art_cost,MATCH(H1054,art_ref,0))))),""))</f>
        <v/>
      </c>
      <c r="V1054" s="64" t="str">
        <f>IF(OR(U1054="",NOT(ISNUMBER(L1054))),"",IF(L1054&lt;=0,"",ROUND(L1054*U1054,2)))</f>
        <v/>
      </c>
      <c r="W1054" s="60" t="str">
        <f>IF(AND(B1054&lt;&gt;"",A1054&lt;&gt;"BS",F1054&lt;&gt;"",H1054&lt;&gt;"",ISNUMBER(K1054),ISNUMBER(L1054)),IF(AND(K1054&gt;0,L1054&gt;0,K1054-L1054&gt;0,COUNTIFS(A1055:A$2005,A1054,F1055:F$2005,F1054,H1055:H$2005,H1054,AA1055:AA$2005,"&gt;0")=0),ROUND(K1054-L1054,6),""),"")</f>
        <v/>
      </c>
      <c r="X1054" s="60" t="str">
        <f>IF(AND(A1054="",C1054="",D1054="",H1054="",L1054=""),"",IF(A1054="","Type manquant",IF(AND(A1054&lt;&gt;"BL",A1054&lt;&gt;"BR",A1054&lt;&gt;"BS"),"Type inconnu (BL, BR ou BS)",IF(AG1054=0,"Date manquante ou invalide",IF(D1054="",IF(A1054="BL","Client manquant",IF(A1054="BR","Fournisseur manquant","Service manquant")),IF(IF(A1054="BL",ISNA(MATCH(D1054,cl_code,0)),IF(A1054="BR",ISNA(MATCH(D1054,fo_code,0)),ISNA(MATCH(D1054,p_services,0)))),IF(A1054="BL","Client inconnu",IF(A1054="BR","Fournisseur inconnu","Service inconnu")),IF(H1054="","Article manquant",IF(ISNA(MATCH(H1054,art_ref,0)),"Article inconnu",IF(OR(NOT(ISNUMBER(L1054)),N(L1054)&lt;=0),"Quantité invalide",IF(AND(K1054&lt;&gt;"",OR(NOT(ISNUMBER(K1054)),N(K1054)&lt;=0)),"Qté commandée invalide",IF(AG1054&lt;SUMPRODUCT(MAX((A$6:A1053=A1054)*AG$6:AG1053)),"Date antérieure au bon précédent",IF(AND(A1054&lt;&gt;"BR",ISNUMBER(M1054),N(M1054)&gt;0),IF(A1054="BL","Livré plus que commandé","Sorti plus que demandé"),"OK"))))))))))))</f>
        <v/>
      </c>
      <c r="Y1054" s="57" t="str">
        <f>IF(AND(OR(A1054="BL",A1054="BR",A1054="BS"),AG1054&gt;0,D1054&lt;&gt;""),A1054&amp;"|"&amp;AG1054&amp;"|"&amp;D1054&amp;"|"&amp;F1054,"")</f>
        <v/>
      </c>
      <c r="Z1054" s="57" t="str">
        <f>IF(Y1054="","",IF(COUNTIF(Y$6:Y1053,Y1054)=0,1,0))</f>
        <v/>
      </c>
      <c r="AA1054" s="57" t="str">
        <f>IF(Y1054="","",IF(Z1054=1,COUNTIFS(A$6:A1054,A1054,Z$6:Z1054,1),INDEX(AA$6:AA1053,MATCH(Y1054,Y$6:Y1053,0))))</f>
        <v/>
      </c>
      <c r="AB1054" s="57" t="str">
        <f>IF(B1054="","",COUNTIF(B$6:B1054,B1054))</f>
        <v/>
      </c>
      <c r="AC1054" s="57" t="str">
        <f>IF(B1054="","",B1054&amp;"#"&amp;AB1054)</f>
        <v/>
      </c>
      <c r="AD1054" s="57" t="str">
        <f>IF(Z1054=1,A1054&amp;AA1054,"")</f>
        <v/>
      </c>
      <c r="AE1054" s="57" t="str">
        <f>IF(B1054="","",YEAR(C1054))</f>
        <v/>
      </c>
      <c r="AF1054" s="57" t="str">
        <f>IF(B1054="","",MONTH(C1054))</f>
        <v/>
      </c>
      <c r="AG1054" s="57">
        <f>IF(ISNUMBER(C1054),C1054,0)</f>
        <v>0.0</v>
      </c>
      <c r="AH1054" s="57" t="str">
        <f>IF(N(W1054)&gt;0,COUNTIF(W$6:W1054,"&gt;0"),"")</f>
        <v/>
      </c>
      <c r="AI1054" s="57" t="str">
        <f>IF(Z1054=1,COUNTIF(Z$6:Z1054,1),"")</f>
        <v/>
      </c>
    </row>
    <row r="1055">
      <c r="A1055" s="54" t="n"/>
      <c r="B1055" s="55" t="str">
        <f>IF(AA1055="","",A1055&amp;"-"&amp;RIGHT("000"&amp;AA1055,4))</f>
        <v/>
      </c>
      <c r="C1055" s="56" t="n"/>
      <c r="D1055" s="54" t="n"/>
      <c r="E1055" s="57" t="str">
        <f>IF(D1055="","",IF(A1055="BL",IFERROR(INDEX(cl_name,MATCH(D1055,cl_code,0))&amp;"","Client inconnu"),IF(A1055="BR",IFERROR(INDEX(fo_name,MATCH(D1055,fo_code,0))&amp;"","Fournisseur inconnu"),IF(A1055="BS",IF(ISNA(MATCH(D1055,p_services,0)),"Service inconnu",D1055&amp;""),""))))</f>
        <v/>
      </c>
      <c r="F1055" s="58" t="n"/>
      <c r="G1055" s="58" t="n"/>
      <c r="H1055" s="59" t="n"/>
      <c r="I1055" s="57" t="str">
        <f>IF(H1055="","",IFERROR(INDEX(art_des,MATCH(H1055,art_ref,0))&amp;"","Article inconnu"))</f>
        <v/>
      </c>
      <c r="J1055" s="60" t="str">
        <f>IF(H1055="","",IFERROR(INDEX(art_unit,MATCH(H1055,art_ref,0))&amp;"",""))</f>
        <v/>
      </c>
      <c r="K1055" s="59" t="n"/>
      <c r="L1055" s="59" t="n"/>
      <c r="M1055" s="61" t="str">
        <f>IF(OR(B1055="",NOT(ISNUMBER(K1055)),NOT(ISNUMBER(L1055))),"",IF(OR(K1055&lt;=0,L1055&lt;=0),"",ROUND(L1055-K1055,6)))</f>
        <v/>
      </c>
      <c r="N1055" s="58" t="n"/>
      <c r="O1055" s="62" t="n"/>
      <c r="P1055" s="63" t="str">
        <f>IF(OR(B1055="",NOT(ISNUMBER(L1055))),"",IF(L1055&lt;=0,"",IFERROR(ROUND(L1055*N(INDEX(art_w,MATCH(H1055,art_ref,0))),3),"")))</f>
        <v/>
      </c>
      <c r="Q1055" s="59" t="n"/>
      <c r="R1055" s="54" t="n"/>
      <c r="S1055" s="59" t="n"/>
      <c r="T1055" s="59" t="n"/>
      <c r="U1055" s="64" t="str">
        <f>IF(OR(B1055="",H1055=""),"",IFERROR(IF(A1055="BL",IF(N(INDEX(art_price,MATCH(H1055,art_ref,0)))=0,"",N(INDEX(art_price,MATCH(H1055,art_ref,0)))),IF(N(INDEX(art_cost,MATCH(H1055,art_ref,0)))=0,"",N(INDEX(art_cost,MATCH(H1055,art_ref,0))))),""))</f>
        <v/>
      </c>
      <c r="V1055" s="64" t="str">
        <f>IF(OR(U1055="",NOT(ISNUMBER(L1055))),"",IF(L1055&lt;=0,"",ROUND(L1055*U1055,2)))</f>
        <v/>
      </c>
      <c r="W1055" s="60" t="str">
        <f>IF(AND(B1055&lt;&gt;"",A1055&lt;&gt;"BS",F1055&lt;&gt;"",H1055&lt;&gt;"",ISNUMBER(K1055),ISNUMBER(L1055)),IF(AND(K1055&gt;0,L1055&gt;0,K1055-L1055&gt;0,COUNTIFS(A1056:A$2005,A1055,F1056:F$2005,F1055,H1056:H$2005,H1055,AA1056:AA$2005,"&gt;0")=0),ROUND(K1055-L1055,6),""),"")</f>
        <v/>
      </c>
      <c r="X1055" s="60" t="str">
        <f>IF(AND(A1055="",C1055="",D1055="",H1055="",L1055=""),"",IF(A1055="","Type manquant",IF(AND(A1055&lt;&gt;"BL",A1055&lt;&gt;"BR",A1055&lt;&gt;"BS"),"Type inconnu (BL, BR ou BS)",IF(AG1055=0,"Date manquante ou invalide",IF(D1055="",IF(A1055="BL","Client manquant",IF(A1055="BR","Fournisseur manquant","Service manquant")),IF(IF(A1055="BL",ISNA(MATCH(D1055,cl_code,0)),IF(A1055="BR",ISNA(MATCH(D1055,fo_code,0)),ISNA(MATCH(D1055,p_services,0)))),IF(A1055="BL","Client inconnu",IF(A1055="BR","Fournisseur inconnu","Service inconnu")),IF(H1055="","Article manquant",IF(ISNA(MATCH(H1055,art_ref,0)),"Article inconnu",IF(OR(NOT(ISNUMBER(L1055)),N(L1055)&lt;=0),"Quantité invalide",IF(AND(K1055&lt;&gt;"",OR(NOT(ISNUMBER(K1055)),N(K1055)&lt;=0)),"Qté commandée invalide",IF(AG1055&lt;SUMPRODUCT(MAX((A$6:A1054=A1055)*AG$6:AG1054)),"Date antérieure au bon précédent",IF(AND(A1055&lt;&gt;"BR",ISNUMBER(M1055),N(M1055)&gt;0),IF(A1055="BL","Livré plus que commandé","Sorti plus que demandé"),"OK"))))))))))))</f>
        <v/>
      </c>
      <c r="Y1055" s="57" t="str">
        <f>IF(AND(OR(A1055="BL",A1055="BR",A1055="BS"),AG1055&gt;0,D1055&lt;&gt;""),A1055&amp;"|"&amp;AG1055&amp;"|"&amp;D1055&amp;"|"&amp;F1055,"")</f>
        <v/>
      </c>
      <c r="Z1055" s="57" t="str">
        <f>IF(Y1055="","",IF(COUNTIF(Y$6:Y1054,Y1055)=0,1,0))</f>
        <v/>
      </c>
      <c r="AA1055" s="57" t="str">
        <f>IF(Y1055="","",IF(Z1055=1,COUNTIFS(A$6:A1055,A1055,Z$6:Z1055,1),INDEX(AA$6:AA1054,MATCH(Y1055,Y$6:Y1054,0))))</f>
        <v/>
      </c>
      <c r="AB1055" s="57" t="str">
        <f>IF(B1055="","",COUNTIF(B$6:B1055,B1055))</f>
        <v/>
      </c>
      <c r="AC1055" s="57" t="str">
        <f>IF(B1055="","",B1055&amp;"#"&amp;AB1055)</f>
        <v/>
      </c>
      <c r="AD1055" s="57" t="str">
        <f>IF(Z1055=1,A1055&amp;AA1055,"")</f>
        <v/>
      </c>
      <c r="AE1055" s="57" t="str">
        <f>IF(B1055="","",YEAR(C1055))</f>
        <v/>
      </c>
      <c r="AF1055" s="57" t="str">
        <f>IF(B1055="","",MONTH(C1055))</f>
        <v/>
      </c>
      <c r="AG1055" s="57">
        <f>IF(ISNUMBER(C1055),C1055,0)</f>
        <v>0.0</v>
      </c>
      <c r="AH1055" s="57" t="str">
        <f>IF(N(W1055)&gt;0,COUNTIF(W$6:W1055,"&gt;0"),"")</f>
        <v/>
      </c>
      <c r="AI1055" s="57" t="str">
        <f>IF(Z1055=1,COUNTIF(Z$6:Z1055,1),"")</f>
        <v/>
      </c>
    </row>
    <row r="1056">
      <c r="A1056" s="54" t="n"/>
      <c r="B1056" s="55" t="str">
        <f>IF(AA1056="","",A1056&amp;"-"&amp;RIGHT("000"&amp;AA1056,4))</f>
        <v/>
      </c>
      <c r="C1056" s="56" t="n"/>
      <c r="D1056" s="54" t="n"/>
      <c r="E1056" s="57" t="str">
        <f>IF(D1056="","",IF(A1056="BL",IFERROR(INDEX(cl_name,MATCH(D1056,cl_code,0))&amp;"","Client inconnu"),IF(A1056="BR",IFERROR(INDEX(fo_name,MATCH(D1056,fo_code,0))&amp;"","Fournisseur inconnu"),IF(A1056="BS",IF(ISNA(MATCH(D1056,p_services,0)),"Service inconnu",D1056&amp;""),""))))</f>
        <v/>
      </c>
      <c r="F1056" s="58" t="n"/>
      <c r="G1056" s="58" t="n"/>
      <c r="H1056" s="59" t="n"/>
      <c r="I1056" s="57" t="str">
        <f>IF(H1056="","",IFERROR(INDEX(art_des,MATCH(H1056,art_ref,0))&amp;"","Article inconnu"))</f>
        <v/>
      </c>
      <c r="J1056" s="60" t="str">
        <f>IF(H1056="","",IFERROR(INDEX(art_unit,MATCH(H1056,art_ref,0))&amp;"",""))</f>
        <v/>
      </c>
      <c r="K1056" s="59" t="n"/>
      <c r="L1056" s="59" t="n"/>
      <c r="M1056" s="61" t="str">
        <f>IF(OR(B1056="",NOT(ISNUMBER(K1056)),NOT(ISNUMBER(L1056))),"",IF(OR(K1056&lt;=0,L1056&lt;=0),"",ROUND(L1056-K1056,6)))</f>
        <v/>
      </c>
      <c r="N1056" s="58" t="n"/>
      <c r="O1056" s="62" t="n"/>
      <c r="P1056" s="63" t="str">
        <f>IF(OR(B1056="",NOT(ISNUMBER(L1056))),"",IF(L1056&lt;=0,"",IFERROR(ROUND(L1056*N(INDEX(art_w,MATCH(H1056,art_ref,0))),3),"")))</f>
        <v/>
      </c>
      <c r="Q1056" s="59" t="n"/>
      <c r="R1056" s="54" t="n"/>
      <c r="S1056" s="59" t="n"/>
      <c r="T1056" s="59" t="n"/>
      <c r="U1056" s="64" t="str">
        <f>IF(OR(B1056="",H1056=""),"",IFERROR(IF(A1056="BL",IF(N(INDEX(art_price,MATCH(H1056,art_ref,0)))=0,"",N(INDEX(art_price,MATCH(H1056,art_ref,0)))),IF(N(INDEX(art_cost,MATCH(H1056,art_ref,0)))=0,"",N(INDEX(art_cost,MATCH(H1056,art_ref,0))))),""))</f>
        <v/>
      </c>
      <c r="V1056" s="64" t="str">
        <f>IF(OR(U1056="",NOT(ISNUMBER(L1056))),"",IF(L1056&lt;=0,"",ROUND(L1056*U1056,2)))</f>
        <v/>
      </c>
      <c r="W1056" s="60" t="str">
        <f>IF(AND(B1056&lt;&gt;"",A1056&lt;&gt;"BS",F1056&lt;&gt;"",H1056&lt;&gt;"",ISNUMBER(K1056),ISNUMBER(L1056)),IF(AND(K1056&gt;0,L1056&gt;0,K1056-L1056&gt;0,COUNTIFS(A1057:A$2005,A1056,F1057:F$2005,F1056,H1057:H$2005,H1056,AA1057:AA$2005,"&gt;0")=0),ROUND(K1056-L1056,6),""),"")</f>
        <v/>
      </c>
      <c r="X1056" s="60" t="str">
        <f>IF(AND(A1056="",C1056="",D1056="",H1056="",L1056=""),"",IF(A1056="","Type manquant",IF(AND(A1056&lt;&gt;"BL",A1056&lt;&gt;"BR",A1056&lt;&gt;"BS"),"Type inconnu (BL, BR ou BS)",IF(AG1056=0,"Date manquante ou invalide",IF(D1056="",IF(A1056="BL","Client manquant",IF(A1056="BR","Fournisseur manquant","Service manquant")),IF(IF(A1056="BL",ISNA(MATCH(D1056,cl_code,0)),IF(A1056="BR",ISNA(MATCH(D1056,fo_code,0)),ISNA(MATCH(D1056,p_services,0)))),IF(A1056="BL","Client inconnu",IF(A1056="BR","Fournisseur inconnu","Service inconnu")),IF(H1056="","Article manquant",IF(ISNA(MATCH(H1056,art_ref,0)),"Article inconnu",IF(OR(NOT(ISNUMBER(L1056)),N(L1056)&lt;=0),"Quantité invalide",IF(AND(K1056&lt;&gt;"",OR(NOT(ISNUMBER(K1056)),N(K1056)&lt;=0)),"Qté commandée invalide",IF(AG1056&lt;SUMPRODUCT(MAX((A$6:A1055=A1056)*AG$6:AG1055)),"Date antérieure au bon précédent",IF(AND(A1056&lt;&gt;"BR",ISNUMBER(M1056),N(M1056)&gt;0),IF(A1056="BL","Livré plus que commandé","Sorti plus que demandé"),"OK"))))))))))))</f>
        <v/>
      </c>
      <c r="Y1056" s="57" t="str">
        <f>IF(AND(OR(A1056="BL",A1056="BR",A1056="BS"),AG1056&gt;0,D1056&lt;&gt;""),A1056&amp;"|"&amp;AG1056&amp;"|"&amp;D1056&amp;"|"&amp;F1056,"")</f>
        <v/>
      </c>
      <c r="Z1056" s="57" t="str">
        <f>IF(Y1056="","",IF(COUNTIF(Y$6:Y1055,Y1056)=0,1,0))</f>
        <v/>
      </c>
      <c r="AA1056" s="57" t="str">
        <f>IF(Y1056="","",IF(Z1056=1,COUNTIFS(A$6:A1056,A1056,Z$6:Z1056,1),INDEX(AA$6:AA1055,MATCH(Y1056,Y$6:Y1055,0))))</f>
        <v/>
      </c>
      <c r="AB1056" s="57" t="str">
        <f>IF(B1056="","",COUNTIF(B$6:B1056,B1056))</f>
        <v/>
      </c>
      <c r="AC1056" s="57" t="str">
        <f>IF(B1056="","",B1056&amp;"#"&amp;AB1056)</f>
        <v/>
      </c>
      <c r="AD1056" s="57" t="str">
        <f>IF(Z1056=1,A1056&amp;AA1056,"")</f>
        <v/>
      </c>
      <c r="AE1056" s="57" t="str">
        <f>IF(B1056="","",YEAR(C1056))</f>
        <v/>
      </c>
      <c r="AF1056" s="57" t="str">
        <f>IF(B1056="","",MONTH(C1056))</f>
        <v/>
      </c>
      <c r="AG1056" s="57">
        <f>IF(ISNUMBER(C1056),C1056,0)</f>
        <v>0.0</v>
      </c>
      <c r="AH1056" s="57" t="str">
        <f>IF(N(W1056)&gt;0,COUNTIF(W$6:W1056,"&gt;0"),"")</f>
        <v/>
      </c>
      <c r="AI1056" s="57" t="str">
        <f>IF(Z1056=1,COUNTIF(Z$6:Z1056,1),"")</f>
        <v/>
      </c>
    </row>
    <row r="1057">
      <c r="A1057" s="54" t="n"/>
      <c r="B1057" s="55" t="str">
        <f>IF(AA1057="","",A1057&amp;"-"&amp;RIGHT("000"&amp;AA1057,4))</f>
        <v/>
      </c>
      <c r="C1057" s="56" t="n"/>
      <c r="D1057" s="54" t="n"/>
      <c r="E1057" s="57" t="str">
        <f>IF(D1057="","",IF(A1057="BL",IFERROR(INDEX(cl_name,MATCH(D1057,cl_code,0))&amp;"","Client inconnu"),IF(A1057="BR",IFERROR(INDEX(fo_name,MATCH(D1057,fo_code,0))&amp;"","Fournisseur inconnu"),IF(A1057="BS",IF(ISNA(MATCH(D1057,p_services,0)),"Service inconnu",D1057&amp;""),""))))</f>
        <v/>
      </c>
      <c r="F1057" s="58" t="n"/>
      <c r="G1057" s="58" t="n"/>
      <c r="H1057" s="59" t="n"/>
      <c r="I1057" s="57" t="str">
        <f>IF(H1057="","",IFERROR(INDEX(art_des,MATCH(H1057,art_ref,0))&amp;"","Article inconnu"))</f>
        <v/>
      </c>
      <c r="J1057" s="60" t="str">
        <f>IF(H1057="","",IFERROR(INDEX(art_unit,MATCH(H1057,art_ref,0))&amp;"",""))</f>
        <v/>
      </c>
      <c r="K1057" s="59" t="n"/>
      <c r="L1057" s="59" t="n"/>
      <c r="M1057" s="61" t="str">
        <f>IF(OR(B1057="",NOT(ISNUMBER(K1057)),NOT(ISNUMBER(L1057))),"",IF(OR(K1057&lt;=0,L1057&lt;=0),"",ROUND(L1057-K1057,6)))</f>
        <v/>
      </c>
      <c r="N1057" s="58" t="n"/>
      <c r="O1057" s="62" t="n"/>
      <c r="P1057" s="63" t="str">
        <f>IF(OR(B1057="",NOT(ISNUMBER(L1057))),"",IF(L1057&lt;=0,"",IFERROR(ROUND(L1057*N(INDEX(art_w,MATCH(H1057,art_ref,0))),3),"")))</f>
        <v/>
      </c>
      <c r="Q1057" s="59" t="n"/>
      <c r="R1057" s="54" t="n"/>
      <c r="S1057" s="59" t="n"/>
      <c r="T1057" s="59" t="n"/>
      <c r="U1057" s="64" t="str">
        <f>IF(OR(B1057="",H1057=""),"",IFERROR(IF(A1057="BL",IF(N(INDEX(art_price,MATCH(H1057,art_ref,0)))=0,"",N(INDEX(art_price,MATCH(H1057,art_ref,0)))),IF(N(INDEX(art_cost,MATCH(H1057,art_ref,0)))=0,"",N(INDEX(art_cost,MATCH(H1057,art_ref,0))))),""))</f>
        <v/>
      </c>
      <c r="V1057" s="64" t="str">
        <f>IF(OR(U1057="",NOT(ISNUMBER(L1057))),"",IF(L1057&lt;=0,"",ROUND(L1057*U1057,2)))</f>
        <v/>
      </c>
      <c r="W1057" s="60" t="str">
        <f>IF(AND(B1057&lt;&gt;"",A1057&lt;&gt;"BS",F1057&lt;&gt;"",H1057&lt;&gt;"",ISNUMBER(K1057),ISNUMBER(L1057)),IF(AND(K1057&gt;0,L1057&gt;0,K1057-L1057&gt;0,COUNTIFS(A1058:A$2005,A1057,F1058:F$2005,F1057,H1058:H$2005,H1057,AA1058:AA$2005,"&gt;0")=0),ROUND(K1057-L1057,6),""),"")</f>
        <v/>
      </c>
      <c r="X1057" s="60" t="str">
        <f>IF(AND(A1057="",C1057="",D1057="",H1057="",L1057=""),"",IF(A1057="","Type manquant",IF(AND(A1057&lt;&gt;"BL",A1057&lt;&gt;"BR",A1057&lt;&gt;"BS"),"Type inconnu (BL, BR ou BS)",IF(AG1057=0,"Date manquante ou invalide",IF(D1057="",IF(A1057="BL","Client manquant",IF(A1057="BR","Fournisseur manquant","Service manquant")),IF(IF(A1057="BL",ISNA(MATCH(D1057,cl_code,0)),IF(A1057="BR",ISNA(MATCH(D1057,fo_code,0)),ISNA(MATCH(D1057,p_services,0)))),IF(A1057="BL","Client inconnu",IF(A1057="BR","Fournisseur inconnu","Service inconnu")),IF(H1057="","Article manquant",IF(ISNA(MATCH(H1057,art_ref,0)),"Article inconnu",IF(OR(NOT(ISNUMBER(L1057)),N(L1057)&lt;=0),"Quantité invalide",IF(AND(K1057&lt;&gt;"",OR(NOT(ISNUMBER(K1057)),N(K1057)&lt;=0)),"Qté commandée invalide",IF(AG1057&lt;SUMPRODUCT(MAX((A$6:A1056=A1057)*AG$6:AG1056)),"Date antérieure au bon précédent",IF(AND(A1057&lt;&gt;"BR",ISNUMBER(M1057),N(M1057)&gt;0),IF(A1057="BL","Livré plus que commandé","Sorti plus que demandé"),"OK"))))))))))))</f>
        <v/>
      </c>
      <c r="Y1057" s="57" t="str">
        <f>IF(AND(OR(A1057="BL",A1057="BR",A1057="BS"),AG1057&gt;0,D1057&lt;&gt;""),A1057&amp;"|"&amp;AG1057&amp;"|"&amp;D1057&amp;"|"&amp;F1057,"")</f>
        <v/>
      </c>
      <c r="Z1057" s="57" t="str">
        <f>IF(Y1057="","",IF(COUNTIF(Y$6:Y1056,Y1057)=0,1,0))</f>
        <v/>
      </c>
      <c r="AA1057" s="57" t="str">
        <f>IF(Y1057="","",IF(Z1057=1,COUNTIFS(A$6:A1057,A1057,Z$6:Z1057,1),INDEX(AA$6:AA1056,MATCH(Y1057,Y$6:Y1056,0))))</f>
        <v/>
      </c>
      <c r="AB1057" s="57" t="str">
        <f>IF(B1057="","",COUNTIF(B$6:B1057,B1057))</f>
        <v/>
      </c>
      <c r="AC1057" s="57" t="str">
        <f>IF(B1057="","",B1057&amp;"#"&amp;AB1057)</f>
        <v/>
      </c>
      <c r="AD1057" s="57" t="str">
        <f>IF(Z1057=1,A1057&amp;AA1057,"")</f>
        <v/>
      </c>
      <c r="AE1057" s="57" t="str">
        <f>IF(B1057="","",YEAR(C1057))</f>
        <v/>
      </c>
      <c r="AF1057" s="57" t="str">
        <f>IF(B1057="","",MONTH(C1057))</f>
        <v/>
      </c>
      <c r="AG1057" s="57">
        <f>IF(ISNUMBER(C1057),C1057,0)</f>
        <v>0.0</v>
      </c>
      <c r="AH1057" s="57" t="str">
        <f>IF(N(W1057)&gt;0,COUNTIF(W$6:W1057,"&gt;0"),"")</f>
        <v/>
      </c>
      <c r="AI1057" s="57" t="str">
        <f>IF(Z1057=1,COUNTIF(Z$6:Z1057,1),"")</f>
        <v/>
      </c>
    </row>
    <row r="1058">
      <c r="A1058" s="54" t="n"/>
      <c r="B1058" s="55" t="str">
        <f>IF(AA1058="","",A1058&amp;"-"&amp;RIGHT("000"&amp;AA1058,4))</f>
        <v/>
      </c>
      <c r="C1058" s="56" t="n"/>
      <c r="D1058" s="54" t="n"/>
      <c r="E1058" s="57" t="str">
        <f>IF(D1058="","",IF(A1058="BL",IFERROR(INDEX(cl_name,MATCH(D1058,cl_code,0))&amp;"","Client inconnu"),IF(A1058="BR",IFERROR(INDEX(fo_name,MATCH(D1058,fo_code,0))&amp;"","Fournisseur inconnu"),IF(A1058="BS",IF(ISNA(MATCH(D1058,p_services,0)),"Service inconnu",D1058&amp;""),""))))</f>
        <v/>
      </c>
      <c r="F1058" s="58" t="n"/>
      <c r="G1058" s="58" t="n"/>
      <c r="H1058" s="59" t="n"/>
      <c r="I1058" s="57" t="str">
        <f>IF(H1058="","",IFERROR(INDEX(art_des,MATCH(H1058,art_ref,0))&amp;"","Article inconnu"))</f>
        <v/>
      </c>
      <c r="J1058" s="60" t="str">
        <f>IF(H1058="","",IFERROR(INDEX(art_unit,MATCH(H1058,art_ref,0))&amp;"",""))</f>
        <v/>
      </c>
      <c r="K1058" s="59" t="n"/>
      <c r="L1058" s="59" t="n"/>
      <c r="M1058" s="61" t="str">
        <f>IF(OR(B1058="",NOT(ISNUMBER(K1058)),NOT(ISNUMBER(L1058))),"",IF(OR(K1058&lt;=0,L1058&lt;=0),"",ROUND(L1058-K1058,6)))</f>
        <v/>
      </c>
      <c r="N1058" s="58" t="n"/>
      <c r="O1058" s="62" t="n"/>
      <c r="P1058" s="63" t="str">
        <f>IF(OR(B1058="",NOT(ISNUMBER(L1058))),"",IF(L1058&lt;=0,"",IFERROR(ROUND(L1058*N(INDEX(art_w,MATCH(H1058,art_ref,0))),3),"")))</f>
        <v/>
      </c>
      <c r="Q1058" s="59" t="n"/>
      <c r="R1058" s="54" t="n"/>
      <c r="S1058" s="59" t="n"/>
      <c r="T1058" s="59" t="n"/>
      <c r="U1058" s="64" t="str">
        <f>IF(OR(B1058="",H1058=""),"",IFERROR(IF(A1058="BL",IF(N(INDEX(art_price,MATCH(H1058,art_ref,0)))=0,"",N(INDEX(art_price,MATCH(H1058,art_ref,0)))),IF(N(INDEX(art_cost,MATCH(H1058,art_ref,0)))=0,"",N(INDEX(art_cost,MATCH(H1058,art_ref,0))))),""))</f>
        <v/>
      </c>
      <c r="V1058" s="64" t="str">
        <f>IF(OR(U1058="",NOT(ISNUMBER(L1058))),"",IF(L1058&lt;=0,"",ROUND(L1058*U1058,2)))</f>
        <v/>
      </c>
      <c r="W1058" s="60" t="str">
        <f>IF(AND(B1058&lt;&gt;"",A1058&lt;&gt;"BS",F1058&lt;&gt;"",H1058&lt;&gt;"",ISNUMBER(K1058),ISNUMBER(L1058)),IF(AND(K1058&gt;0,L1058&gt;0,K1058-L1058&gt;0,COUNTIFS(A1059:A$2005,A1058,F1059:F$2005,F1058,H1059:H$2005,H1058,AA1059:AA$2005,"&gt;0")=0),ROUND(K1058-L1058,6),""),"")</f>
        <v/>
      </c>
      <c r="X1058" s="60" t="str">
        <f>IF(AND(A1058="",C1058="",D1058="",H1058="",L1058=""),"",IF(A1058="","Type manquant",IF(AND(A1058&lt;&gt;"BL",A1058&lt;&gt;"BR",A1058&lt;&gt;"BS"),"Type inconnu (BL, BR ou BS)",IF(AG1058=0,"Date manquante ou invalide",IF(D1058="",IF(A1058="BL","Client manquant",IF(A1058="BR","Fournisseur manquant","Service manquant")),IF(IF(A1058="BL",ISNA(MATCH(D1058,cl_code,0)),IF(A1058="BR",ISNA(MATCH(D1058,fo_code,0)),ISNA(MATCH(D1058,p_services,0)))),IF(A1058="BL","Client inconnu",IF(A1058="BR","Fournisseur inconnu","Service inconnu")),IF(H1058="","Article manquant",IF(ISNA(MATCH(H1058,art_ref,0)),"Article inconnu",IF(OR(NOT(ISNUMBER(L1058)),N(L1058)&lt;=0),"Quantité invalide",IF(AND(K1058&lt;&gt;"",OR(NOT(ISNUMBER(K1058)),N(K1058)&lt;=0)),"Qté commandée invalide",IF(AG1058&lt;SUMPRODUCT(MAX((A$6:A1057=A1058)*AG$6:AG1057)),"Date antérieure au bon précédent",IF(AND(A1058&lt;&gt;"BR",ISNUMBER(M1058),N(M1058)&gt;0),IF(A1058="BL","Livré plus que commandé","Sorti plus que demandé"),"OK"))))))))))))</f>
        <v/>
      </c>
      <c r="Y1058" s="57" t="str">
        <f>IF(AND(OR(A1058="BL",A1058="BR",A1058="BS"),AG1058&gt;0,D1058&lt;&gt;""),A1058&amp;"|"&amp;AG1058&amp;"|"&amp;D1058&amp;"|"&amp;F1058,"")</f>
        <v/>
      </c>
      <c r="Z1058" s="57" t="str">
        <f>IF(Y1058="","",IF(COUNTIF(Y$6:Y1057,Y1058)=0,1,0))</f>
        <v/>
      </c>
      <c r="AA1058" s="57" t="str">
        <f>IF(Y1058="","",IF(Z1058=1,COUNTIFS(A$6:A1058,A1058,Z$6:Z1058,1),INDEX(AA$6:AA1057,MATCH(Y1058,Y$6:Y1057,0))))</f>
        <v/>
      </c>
      <c r="AB1058" s="57" t="str">
        <f>IF(B1058="","",COUNTIF(B$6:B1058,B1058))</f>
        <v/>
      </c>
      <c r="AC1058" s="57" t="str">
        <f>IF(B1058="","",B1058&amp;"#"&amp;AB1058)</f>
        <v/>
      </c>
      <c r="AD1058" s="57" t="str">
        <f>IF(Z1058=1,A1058&amp;AA1058,"")</f>
        <v/>
      </c>
      <c r="AE1058" s="57" t="str">
        <f>IF(B1058="","",YEAR(C1058))</f>
        <v/>
      </c>
      <c r="AF1058" s="57" t="str">
        <f>IF(B1058="","",MONTH(C1058))</f>
        <v/>
      </c>
      <c r="AG1058" s="57">
        <f>IF(ISNUMBER(C1058),C1058,0)</f>
        <v>0.0</v>
      </c>
      <c r="AH1058" s="57" t="str">
        <f>IF(N(W1058)&gt;0,COUNTIF(W$6:W1058,"&gt;0"),"")</f>
        <v/>
      </c>
      <c r="AI1058" s="57" t="str">
        <f>IF(Z1058=1,COUNTIF(Z$6:Z1058,1),"")</f>
        <v/>
      </c>
    </row>
    <row r="1059">
      <c r="A1059" s="54" t="n"/>
      <c r="B1059" s="55" t="str">
        <f>IF(AA1059="","",A1059&amp;"-"&amp;RIGHT("000"&amp;AA1059,4))</f>
        <v/>
      </c>
      <c r="C1059" s="56" t="n"/>
      <c r="D1059" s="54" t="n"/>
      <c r="E1059" s="57" t="str">
        <f>IF(D1059="","",IF(A1059="BL",IFERROR(INDEX(cl_name,MATCH(D1059,cl_code,0))&amp;"","Client inconnu"),IF(A1059="BR",IFERROR(INDEX(fo_name,MATCH(D1059,fo_code,0))&amp;"","Fournisseur inconnu"),IF(A1059="BS",IF(ISNA(MATCH(D1059,p_services,0)),"Service inconnu",D1059&amp;""),""))))</f>
        <v/>
      </c>
      <c r="F1059" s="58" t="n"/>
      <c r="G1059" s="58" t="n"/>
      <c r="H1059" s="59" t="n"/>
      <c r="I1059" s="57" t="str">
        <f>IF(H1059="","",IFERROR(INDEX(art_des,MATCH(H1059,art_ref,0))&amp;"","Article inconnu"))</f>
        <v/>
      </c>
      <c r="J1059" s="60" t="str">
        <f>IF(H1059="","",IFERROR(INDEX(art_unit,MATCH(H1059,art_ref,0))&amp;"",""))</f>
        <v/>
      </c>
      <c r="K1059" s="59" t="n"/>
      <c r="L1059" s="59" t="n"/>
      <c r="M1059" s="61" t="str">
        <f>IF(OR(B1059="",NOT(ISNUMBER(K1059)),NOT(ISNUMBER(L1059))),"",IF(OR(K1059&lt;=0,L1059&lt;=0),"",ROUND(L1059-K1059,6)))</f>
        <v/>
      </c>
      <c r="N1059" s="58" t="n"/>
      <c r="O1059" s="62" t="n"/>
      <c r="P1059" s="63" t="str">
        <f>IF(OR(B1059="",NOT(ISNUMBER(L1059))),"",IF(L1059&lt;=0,"",IFERROR(ROUND(L1059*N(INDEX(art_w,MATCH(H1059,art_ref,0))),3),"")))</f>
        <v/>
      </c>
      <c r="Q1059" s="59" t="n"/>
      <c r="R1059" s="54" t="n"/>
      <c r="S1059" s="59" t="n"/>
      <c r="T1059" s="59" t="n"/>
      <c r="U1059" s="64" t="str">
        <f>IF(OR(B1059="",H1059=""),"",IFERROR(IF(A1059="BL",IF(N(INDEX(art_price,MATCH(H1059,art_ref,0)))=0,"",N(INDEX(art_price,MATCH(H1059,art_ref,0)))),IF(N(INDEX(art_cost,MATCH(H1059,art_ref,0)))=0,"",N(INDEX(art_cost,MATCH(H1059,art_ref,0))))),""))</f>
        <v/>
      </c>
      <c r="V1059" s="64" t="str">
        <f>IF(OR(U1059="",NOT(ISNUMBER(L1059))),"",IF(L1059&lt;=0,"",ROUND(L1059*U1059,2)))</f>
        <v/>
      </c>
      <c r="W1059" s="60" t="str">
        <f>IF(AND(B1059&lt;&gt;"",A1059&lt;&gt;"BS",F1059&lt;&gt;"",H1059&lt;&gt;"",ISNUMBER(K1059),ISNUMBER(L1059)),IF(AND(K1059&gt;0,L1059&gt;0,K1059-L1059&gt;0,COUNTIFS(A1060:A$2005,A1059,F1060:F$2005,F1059,H1060:H$2005,H1059,AA1060:AA$2005,"&gt;0")=0),ROUND(K1059-L1059,6),""),"")</f>
        <v/>
      </c>
      <c r="X1059" s="60" t="str">
        <f>IF(AND(A1059="",C1059="",D1059="",H1059="",L1059=""),"",IF(A1059="","Type manquant",IF(AND(A1059&lt;&gt;"BL",A1059&lt;&gt;"BR",A1059&lt;&gt;"BS"),"Type inconnu (BL, BR ou BS)",IF(AG1059=0,"Date manquante ou invalide",IF(D1059="",IF(A1059="BL","Client manquant",IF(A1059="BR","Fournisseur manquant","Service manquant")),IF(IF(A1059="BL",ISNA(MATCH(D1059,cl_code,0)),IF(A1059="BR",ISNA(MATCH(D1059,fo_code,0)),ISNA(MATCH(D1059,p_services,0)))),IF(A1059="BL","Client inconnu",IF(A1059="BR","Fournisseur inconnu","Service inconnu")),IF(H1059="","Article manquant",IF(ISNA(MATCH(H1059,art_ref,0)),"Article inconnu",IF(OR(NOT(ISNUMBER(L1059)),N(L1059)&lt;=0),"Quantité invalide",IF(AND(K1059&lt;&gt;"",OR(NOT(ISNUMBER(K1059)),N(K1059)&lt;=0)),"Qté commandée invalide",IF(AG1059&lt;SUMPRODUCT(MAX((A$6:A1058=A1059)*AG$6:AG1058)),"Date antérieure au bon précédent",IF(AND(A1059&lt;&gt;"BR",ISNUMBER(M1059),N(M1059)&gt;0),IF(A1059="BL","Livré plus que commandé","Sorti plus que demandé"),"OK"))))))))))))</f>
        <v/>
      </c>
      <c r="Y1059" s="57" t="str">
        <f>IF(AND(OR(A1059="BL",A1059="BR",A1059="BS"),AG1059&gt;0,D1059&lt;&gt;""),A1059&amp;"|"&amp;AG1059&amp;"|"&amp;D1059&amp;"|"&amp;F1059,"")</f>
        <v/>
      </c>
      <c r="Z1059" s="57" t="str">
        <f>IF(Y1059="","",IF(COUNTIF(Y$6:Y1058,Y1059)=0,1,0))</f>
        <v/>
      </c>
      <c r="AA1059" s="57" t="str">
        <f>IF(Y1059="","",IF(Z1059=1,COUNTIFS(A$6:A1059,A1059,Z$6:Z1059,1),INDEX(AA$6:AA1058,MATCH(Y1059,Y$6:Y1058,0))))</f>
        <v/>
      </c>
      <c r="AB1059" s="57" t="str">
        <f>IF(B1059="","",COUNTIF(B$6:B1059,B1059))</f>
        <v/>
      </c>
      <c r="AC1059" s="57" t="str">
        <f>IF(B1059="","",B1059&amp;"#"&amp;AB1059)</f>
        <v/>
      </c>
      <c r="AD1059" s="57" t="str">
        <f>IF(Z1059=1,A1059&amp;AA1059,"")</f>
        <v/>
      </c>
      <c r="AE1059" s="57" t="str">
        <f>IF(B1059="","",YEAR(C1059))</f>
        <v/>
      </c>
      <c r="AF1059" s="57" t="str">
        <f>IF(B1059="","",MONTH(C1059))</f>
        <v/>
      </c>
      <c r="AG1059" s="57">
        <f>IF(ISNUMBER(C1059),C1059,0)</f>
        <v>0.0</v>
      </c>
      <c r="AH1059" s="57" t="str">
        <f>IF(N(W1059)&gt;0,COUNTIF(W$6:W1059,"&gt;0"),"")</f>
        <v/>
      </c>
      <c r="AI1059" s="57" t="str">
        <f>IF(Z1059=1,COUNTIF(Z$6:Z1059,1),"")</f>
        <v/>
      </c>
    </row>
    <row r="1060">
      <c r="A1060" s="54" t="n"/>
      <c r="B1060" s="55" t="str">
        <f>IF(AA1060="","",A1060&amp;"-"&amp;RIGHT("000"&amp;AA1060,4))</f>
        <v/>
      </c>
      <c r="C1060" s="56" t="n"/>
      <c r="D1060" s="54" t="n"/>
      <c r="E1060" s="57" t="str">
        <f>IF(D1060="","",IF(A1060="BL",IFERROR(INDEX(cl_name,MATCH(D1060,cl_code,0))&amp;"","Client inconnu"),IF(A1060="BR",IFERROR(INDEX(fo_name,MATCH(D1060,fo_code,0))&amp;"","Fournisseur inconnu"),IF(A1060="BS",IF(ISNA(MATCH(D1060,p_services,0)),"Service inconnu",D1060&amp;""),""))))</f>
        <v/>
      </c>
      <c r="F1060" s="58" t="n"/>
      <c r="G1060" s="58" t="n"/>
      <c r="H1060" s="59" t="n"/>
      <c r="I1060" s="57" t="str">
        <f>IF(H1060="","",IFERROR(INDEX(art_des,MATCH(H1060,art_ref,0))&amp;"","Article inconnu"))</f>
        <v/>
      </c>
      <c r="J1060" s="60" t="str">
        <f>IF(H1060="","",IFERROR(INDEX(art_unit,MATCH(H1060,art_ref,0))&amp;"",""))</f>
        <v/>
      </c>
      <c r="K1060" s="59" t="n"/>
      <c r="L1060" s="59" t="n"/>
      <c r="M1060" s="61" t="str">
        <f>IF(OR(B1060="",NOT(ISNUMBER(K1060)),NOT(ISNUMBER(L1060))),"",IF(OR(K1060&lt;=0,L1060&lt;=0),"",ROUND(L1060-K1060,6)))</f>
        <v/>
      </c>
      <c r="N1060" s="58" t="n"/>
      <c r="O1060" s="62" t="n"/>
      <c r="P1060" s="63" t="str">
        <f>IF(OR(B1060="",NOT(ISNUMBER(L1060))),"",IF(L1060&lt;=0,"",IFERROR(ROUND(L1060*N(INDEX(art_w,MATCH(H1060,art_ref,0))),3),"")))</f>
        <v/>
      </c>
      <c r="Q1060" s="59" t="n"/>
      <c r="R1060" s="54" t="n"/>
      <c r="S1060" s="59" t="n"/>
      <c r="T1060" s="59" t="n"/>
      <c r="U1060" s="64" t="str">
        <f>IF(OR(B1060="",H1060=""),"",IFERROR(IF(A1060="BL",IF(N(INDEX(art_price,MATCH(H1060,art_ref,0)))=0,"",N(INDEX(art_price,MATCH(H1060,art_ref,0)))),IF(N(INDEX(art_cost,MATCH(H1060,art_ref,0)))=0,"",N(INDEX(art_cost,MATCH(H1060,art_ref,0))))),""))</f>
        <v/>
      </c>
      <c r="V1060" s="64" t="str">
        <f>IF(OR(U1060="",NOT(ISNUMBER(L1060))),"",IF(L1060&lt;=0,"",ROUND(L1060*U1060,2)))</f>
        <v/>
      </c>
      <c r="W1060" s="60" t="str">
        <f>IF(AND(B1060&lt;&gt;"",A1060&lt;&gt;"BS",F1060&lt;&gt;"",H1060&lt;&gt;"",ISNUMBER(K1060),ISNUMBER(L1060)),IF(AND(K1060&gt;0,L1060&gt;0,K1060-L1060&gt;0,COUNTIFS(A1061:A$2005,A1060,F1061:F$2005,F1060,H1061:H$2005,H1060,AA1061:AA$2005,"&gt;0")=0),ROUND(K1060-L1060,6),""),"")</f>
        <v/>
      </c>
      <c r="X1060" s="60" t="str">
        <f>IF(AND(A1060="",C1060="",D1060="",H1060="",L1060=""),"",IF(A1060="","Type manquant",IF(AND(A1060&lt;&gt;"BL",A1060&lt;&gt;"BR",A1060&lt;&gt;"BS"),"Type inconnu (BL, BR ou BS)",IF(AG1060=0,"Date manquante ou invalide",IF(D1060="",IF(A1060="BL","Client manquant",IF(A1060="BR","Fournisseur manquant","Service manquant")),IF(IF(A1060="BL",ISNA(MATCH(D1060,cl_code,0)),IF(A1060="BR",ISNA(MATCH(D1060,fo_code,0)),ISNA(MATCH(D1060,p_services,0)))),IF(A1060="BL","Client inconnu",IF(A1060="BR","Fournisseur inconnu","Service inconnu")),IF(H1060="","Article manquant",IF(ISNA(MATCH(H1060,art_ref,0)),"Article inconnu",IF(OR(NOT(ISNUMBER(L1060)),N(L1060)&lt;=0),"Quantité invalide",IF(AND(K1060&lt;&gt;"",OR(NOT(ISNUMBER(K1060)),N(K1060)&lt;=0)),"Qté commandée invalide",IF(AG1060&lt;SUMPRODUCT(MAX((A$6:A1059=A1060)*AG$6:AG1059)),"Date antérieure au bon précédent",IF(AND(A1060&lt;&gt;"BR",ISNUMBER(M1060),N(M1060)&gt;0),IF(A1060="BL","Livré plus que commandé","Sorti plus que demandé"),"OK"))))))))))))</f>
        <v/>
      </c>
      <c r="Y1060" s="57" t="str">
        <f>IF(AND(OR(A1060="BL",A1060="BR",A1060="BS"),AG1060&gt;0,D1060&lt;&gt;""),A1060&amp;"|"&amp;AG1060&amp;"|"&amp;D1060&amp;"|"&amp;F1060,"")</f>
        <v/>
      </c>
      <c r="Z1060" s="57" t="str">
        <f>IF(Y1060="","",IF(COUNTIF(Y$6:Y1059,Y1060)=0,1,0))</f>
        <v/>
      </c>
      <c r="AA1060" s="57" t="str">
        <f>IF(Y1060="","",IF(Z1060=1,COUNTIFS(A$6:A1060,A1060,Z$6:Z1060,1),INDEX(AA$6:AA1059,MATCH(Y1060,Y$6:Y1059,0))))</f>
        <v/>
      </c>
      <c r="AB1060" s="57" t="str">
        <f>IF(B1060="","",COUNTIF(B$6:B1060,B1060))</f>
        <v/>
      </c>
      <c r="AC1060" s="57" t="str">
        <f>IF(B1060="","",B1060&amp;"#"&amp;AB1060)</f>
        <v/>
      </c>
      <c r="AD1060" s="57" t="str">
        <f>IF(Z1060=1,A1060&amp;AA1060,"")</f>
        <v/>
      </c>
      <c r="AE1060" s="57" t="str">
        <f>IF(B1060="","",YEAR(C1060))</f>
        <v/>
      </c>
      <c r="AF1060" s="57" t="str">
        <f>IF(B1060="","",MONTH(C1060))</f>
        <v/>
      </c>
      <c r="AG1060" s="57">
        <f>IF(ISNUMBER(C1060),C1060,0)</f>
        <v>0.0</v>
      </c>
      <c r="AH1060" s="57" t="str">
        <f>IF(N(W1060)&gt;0,COUNTIF(W$6:W1060,"&gt;0"),"")</f>
        <v/>
      </c>
      <c r="AI1060" s="57" t="str">
        <f>IF(Z1060=1,COUNTIF(Z$6:Z1060,1),"")</f>
        <v/>
      </c>
    </row>
    <row r="1061">
      <c r="A1061" s="54" t="n"/>
      <c r="B1061" s="55" t="str">
        <f>IF(AA1061="","",A1061&amp;"-"&amp;RIGHT("000"&amp;AA1061,4))</f>
        <v/>
      </c>
      <c r="C1061" s="56" t="n"/>
      <c r="D1061" s="54" t="n"/>
      <c r="E1061" s="57" t="str">
        <f>IF(D1061="","",IF(A1061="BL",IFERROR(INDEX(cl_name,MATCH(D1061,cl_code,0))&amp;"","Client inconnu"),IF(A1061="BR",IFERROR(INDEX(fo_name,MATCH(D1061,fo_code,0))&amp;"","Fournisseur inconnu"),IF(A1061="BS",IF(ISNA(MATCH(D1061,p_services,0)),"Service inconnu",D1061&amp;""),""))))</f>
        <v/>
      </c>
      <c r="F1061" s="58" t="n"/>
      <c r="G1061" s="58" t="n"/>
      <c r="H1061" s="59" t="n"/>
      <c r="I1061" s="57" t="str">
        <f>IF(H1061="","",IFERROR(INDEX(art_des,MATCH(H1061,art_ref,0))&amp;"","Article inconnu"))</f>
        <v/>
      </c>
      <c r="J1061" s="60" t="str">
        <f>IF(H1061="","",IFERROR(INDEX(art_unit,MATCH(H1061,art_ref,0))&amp;"",""))</f>
        <v/>
      </c>
      <c r="K1061" s="59" t="n"/>
      <c r="L1061" s="59" t="n"/>
      <c r="M1061" s="61" t="str">
        <f>IF(OR(B1061="",NOT(ISNUMBER(K1061)),NOT(ISNUMBER(L1061))),"",IF(OR(K1061&lt;=0,L1061&lt;=0),"",ROUND(L1061-K1061,6)))</f>
        <v/>
      </c>
      <c r="N1061" s="58" t="n"/>
      <c r="O1061" s="62" t="n"/>
      <c r="P1061" s="63" t="str">
        <f>IF(OR(B1061="",NOT(ISNUMBER(L1061))),"",IF(L1061&lt;=0,"",IFERROR(ROUND(L1061*N(INDEX(art_w,MATCH(H1061,art_ref,0))),3),"")))</f>
        <v/>
      </c>
      <c r="Q1061" s="59" t="n"/>
      <c r="R1061" s="54" t="n"/>
      <c r="S1061" s="59" t="n"/>
      <c r="T1061" s="59" t="n"/>
      <c r="U1061" s="64" t="str">
        <f>IF(OR(B1061="",H1061=""),"",IFERROR(IF(A1061="BL",IF(N(INDEX(art_price,MATCH(H1061,art_ref,0)))=0,"",N(INDEX(art_price,MATCH(H1061,art_ref,0)))),IF(N(INDEX(art_cost,MATCH(H1061,art_ref,0)))=0,"",N(INDEX(art_cost,MATCH(H1061,art_ref,0))))),""))</f>
        <v/>
      </c>
      <c r="V1061" s="64" t="str">
        <f>IF(OR(U1061="",NOT(ISNUMBER(L1061))),"",IF(L1061&lt;=0,"",ROUND(L1061*U1061,2)))</f>
        <v/>
      </c>
      <c r="W1061" s="60" t="str">
        <f>IF(AND(B1061&lt;&gt;"",A1061&lt;&gt;"BS",F1061&lt;&gt;"",H1061&lt;&gt;"",ISNUMBER(K1061),ISNUMBER(L1061)),IF(AND(K1061&gt;0,L1061&gt;0,K1061-L1061&gt;0,COUNTIFS(A1062:A$2005,A1061,F1062:F$2005,F1061,H1062:H$2005,H1061,AA1062:AA$2005,"&gt;0")=0),ROUND(K1061-L1061,6),""),"")</f>
        <v/>
      </c>
      <c r="X1061" s="60" t="str">
        <f>IF(AND(A1061="",C1061="",D1061="",H1061="",L1061=""),"",IF(A1061="","Type manquant",IF(AND(A1061&lt;&gt;"BL",A1061&lt;&gt;"BR",A1061&lt;&gt;"BS"),"Type inconnu (BL, BR ou BS)",IF(AG1061=0,"Date manquante ou invalide",IF(D1061="",IF(A1061="BL","Client manquant",IF(A1061="BR","Fournisseur manquant","Service manquant")),IF(IF(A1061="BL",ISNA(MATCH(D1061,cl_code,0)),IF(A1061="BR",ISNA(MATCH(D1061,fo_code,0)),ISNA(MATCH(D1061,p_services,0)))),IF(A1061="BL","Client inconnu",IF(A1061="BR","Fournisseur inconnu","Service inconnu")),IF(H1061="","Article manquant",IF(ISNA(MATCH(H1061,art_ref,0)),"Article inconnu",IF(OR(NOT(ISNUMBER(L1061)),N(L1061)&lt;=0),"Quantité invalide",IF(AND(K1061&lt;&gt;"",OR(NOT(ISNUMBER(K1061)),N(K1061)&lt;=0)),"Qté commandée invalide",IF(AG1061&lt;SUMPRODUCT(MAX((A$6:A1060=A1061)*AG$6:AG1060)),"Date antérieure au bon précédent",IF(AND(A1061&lt;&gt;"BR",ISNUMBER(M1061),N(M1061)&gt;0),IF(A1061="BL","Livré plus que commandé","Sorti plus que demandé"),"OK"))))))))))))</f>
        <v/>
      </c>
      <c r="Y1061" s="57" t="str">
        <f>IF(AND(OR(A1061="BL",A1061="BR",A1061="BS"),AG1061&gt;0,D1061&lt;&gt;""),A1061&amp;"|"&amp;AG1061&amp;"|"&amp;D1061&amp;"|"&amp;F1061,"")</f>
        <v/>
      </c>
      <c r="Z1061" s="57" t="str">
        <f>IF(Y1061="","",IF(COUNTIF(Y$6:Y1060,Y1061)=0,1,0))</f>
        <v/>
      </c>
      <c r="AA1061" s="57" t="str">
        <f>IF(Y1061="","",IF(Z1061=1,COUNTIFS(A$6:A1061,A1061,Z$6:Z1061,1),INDEX(AA$6:AA1060,MATCH(Y1061,Y$6:Y1060,0))))</f>
        <v/>
      </c>
      <c r="AB1061" s="57" t="str">
        <f>IF(B1061="","",COUNTIF(B$6:B1061,B1061))</f>
        <v/>
      </c>
      <c r="AC1061" s="57" t="str">
        <f>IF(B1061="","",B1061&amp;"#"&amp;AB1061)</f>
        <v/>
      </c>
      <c r="AD1061" s="57" t="str">
        <f>IF(Z1061=1,A1061&amp;AA1061,"")</f>
        <v/>
      </c>
      <c r="AE1061" s="57" t="str">
        <f>IF(B1061="","",YEAR(C1061))</f>
        <v/>
      </c>
      <c r="AF1061" s="57" t="str">
        <f>IF(B1061="","",MONTH(C1061))</f>
        <v/>
      </c>
      <c r="AG1061" s="57">
        <f>IF(ISNUMBER(C1061),C1061,0)</f>
        <v>0.0</v>
      </c>
      <c r="AH1061" s="57" t="str">
        <f>IF(N(W1061)&gt;0,COUNTIF(W$6:W1061,"&gt;0"),"")</f>
        <v/>
      </c>
      <c r="AI1061" s="57" t="str">
        <f>IF(Z1061=1,COUNTIF(Z$6:Z1061,1),"")</f>
        <v/>
      </c>
    </row>
    <row r="1062">
      <c r="A1062" s="54" t="n"/>
      <c r="B1062" s="55" t="str">
        <f>IF(AA1062="","",A1062&amp;"-"&amp;RIGHT("000"&amp;AA1062,4))</f>
        <v/>
      </c>
      <c r="C1062" s="56" t="n"/>
      <c r="D1062" s="54" t="n"/>
      <c r="E1062" s="57" t="str">
        <f>IF(D1062="","",IF(A1062="BL",IFERROR(INDEX(cl_name,MATCH(D1062,cl_code,0))&amp;"","Client inconnu"),IF(A1062="BR",IFERROR(INDEX(fo_name,MATCH(D1062,fo_code,0))&amp;"","Fournisseur inconnu"),IF(A1062="BS",IF(ISNA(MATCH(D1062,p_services,0)),"Service inconnu",D1062&amp;""),""))))</f>
        <v/>
      </c>
      <c r="F1062" s="58" t="n"/>
      <c r="G1062" s="58" t="n"/>
      <c r="H1062" s="59" t="n"/>
      <c r="I1062" s="57" t="str">
        <f>IF(H1062="","",IFERROR(INDEX(art_des,MATCH(H1062,art_ref,0))&amp;"","Article inconnu"))</f>
        <v/>
      </c>
      <c r="J1062" s="60" t="str">
        <f>IF(H1062="","",IFERROR(INDEX(art_unit,MATCH(H1062,art_ref,0))&amp;"",""))</f>
        <v/>
      </c>
      <c r="K1062" s="59" t="n"/>
      <c r="L1062" s="59" t="n"/>
      <c r="M1062" s="61" t="str">
        <f>IF(OR(B1062="",NOT(ISNUMBER(K1062)),NOT(ISNUMBER(L1062))),"",IF(OR(K1062&lt;=0,L1062&lt;=0),"",ROUND(L1062-K1062,6)))</f>
        <v/>
      </c>
      <c r="N1062" s="58" t="n"/>
      <c r="O1062" s="62" t="n"/>
      <c r="P1062" s="63" t="str">
        <f>IF(OR(B1062="",NOT(ISNUMBER(L1062))),"",IF(L1062&lt;=0,"",IFERROR(ROUND(L1062*N(INDEX(art_w,MATCH(H1062,art_ref,0))),3),"")))</f>
        <v/>
      </c>
      <c r="Q1062" s="59" t="n"/>
      <c r="R1062" s="54" t="n"/>
      <c r="S1062" s="59" t="n"/>
      <c r="T1062" s="59" t="n"/>
      <c r="U1062" s="64" t="str">
        <f>IF(OR(B1062="",H1062=""),"",IFERROR(IF(A1062="BL",IF(N(INDEX(art_price,MATCH(H1062,art_ref,0)))=0,"",N(INDEX(art_price,MATCH(H1062,art_ref,0)))),IF(N(INDEX(art_cost,MATCH(H1062,art_ref,0)))=0,"",N(INDEX(art_cost,MATCH(H1062,art_ref,0))))),""))</f>
        <v/>
      </c>
      <c r="V1062" s="64" t="str">
        <f>IF(OR(U1062="",NOT(ISNUMBER(L1062))),"",IF(L1062&lt;=0,"",ROUND(L1062*U1062,2)))</f>
        <v/>
      </c>
      <c r="W1062" s="60" t="str">
        <f>IF(AND(B1062&lt;&gt;"",A1062&lt;&gt;"BS",F1062&lt;&gt;"",H1062&lt;&gt;"",ISNUMBER(K1062),ISNUMBER(L1062)),IF(AND(K1062&gt;0,L1062&gt;0,K1062-L1062&gt;0,COUNTIFS(A1063:A$2005,A1062,F1063:F$2005,F1062,H1063:H$2005,H1062,AA1063:AA$2005,"&gt;0")=0),ROUND(K1062-L1062,6),""),"")</f>
        <v/>
      </c>
      <c r="X1062" s="60" t="str">
        <f>IF(AND(A1062="",C1062="",D1062="",H1062="",L1062=""),"",IF(A1062="","Type manquant",IF(AND(A1062&lt;&gt;"BL",A1062&lt;&gt;"BR",A1062&lt;&gt;"BS"),"Type inconnu (BL, BR ou BS)",IF(AG1062=0,"Date manquante ou invalide",IF(D1062="",IF(A1062="BL","Client manquant",IF(A1062="BR","Fournisseur manquant","Service manquant")),IF(IF(A1062="BL",ISNA(MATCH(D1062,cl_code,0)),IF(A1062="BR",ISNA(MATCH(D1062,fo_code,0)),ISNA(MATCH(D1062,p_services,0)))),IF(A1062="BL","Client inconnu",IF(A1062="BR","Fournisseur inconnu","Service inconnu")),IF(H1062="","Article manquant",IF(ISNA(MATCH(H1062,art_ref,0)),"Article inconnu",IF(OR(NOT(ISNUMBER(L1062)),N(L1062)&lt;=0),"Quantité invalide",IF(AND(K1062&lt;&gt;"",OR(NOT(ISNUMBER(K1062)),N(K1062)&lt;=0)),"Qté commandée invalide",IF(AG1062&lt;SUMPRODUCT(MAX((A$6:A1061=A1062)*AG$6:AG1061)),"Date antérieure au bon précédent",IF(AND(A1062&lt;&gt;"BR",ISNUMBER(M1062),N(M1062)&gt;0),IF(A1062="BL","Livré plus que commandé","Sorti plus que demandé"),"OK"))))))))))))</f>
        <v/>
      </c>
      <c r="Y1062" s="57" t="str">
        <f>IF(AND(OR(A1062="BL",A1062="BR",A1062="BS"),AG1062&gt;0,D1062&lt;&gt;""),A1062&amp;"|"&amp;AG1062&amp;"|"&amp;D1062&amp;"|"&amp;F1062,"")</f>
        <v/>
      </c>
      <c r="Z1062" s="57" t="str">
        <f>IF(Y1062="","",IF(COUNTIF(Y$6:Y1061,Y1062)=0,1,0))</f>
        <v/>
      </c>
      <c r="AA1062" s="57" t="str">
        <f>IF(Y1062="","",IF(Z1062=1,COUNTIFS(A$6:A1062,A1062,Z$6:Z1062,1),INDEX(AA$6:AA1061,MATCH(Y1062,Y$6:Y1061,0))))</f>
        <v/>
      </c>
      <c r="AB1062" s="57" t="str">
        <f>IF(B1062="","",COUNTIF(B$6:B1062,B1062))</f>
        <v/>
      </c>
      <c r="AC1062" s="57" t="str">
        <f>IF(B1062="","",B1062&amp;"#"&amp;AB1062)</f>
        <v/>
      </c>
      <c r="AD1062" s="57" t="str">
        <f>IF(Z1062=1,A1062&amp;AA1062,"")</f>
        <v/>
      </c>
      <c r="AE1062" s="57" t="str">
        <f>IF(B1062="","",YEAR(C1062))</f>
        <v/>
      </c>
      <c r="AF1062" s="57" t="str">
        <f>IF(B1062="","",MONTH(C1062))</f>
        <v/>
      </c>
      <c r="AG1062" s="57">
        <f>IF(ISNUMBER(C1062),C1062,0)</f>
        <v>0.0</v>
      </c>
      <c r="AH1062" s="57" t="str">
        <f>IF(N(W1062)&gt;0,COUNTIF(W$6:W1062,"&gt;0"),"")</f>
        <v/>
      </c>
      <c r="AI1062" s="57" t="str">
        <f>IF(Z1062=1,COUNTIF(Z$6:Z1062,1),"")</f>
        <v/>
      </c>
    </row>
    <row r="1063">
      <c r="A1063" s="54" t="n"/>
      <c r="B1063" s="55" t="str">
        <f>IF(AA1063="","",A1063&amp;"-"&amp;RIGHT("000"&amp;AA1063,4))</f>
        <v/>
      </c>
      <c r="C1063" s="56" t="n"/>
      <c r="D1063" s="54" t="n"/>
      <c r="E1063" s="57" t="str">
        <f>IF(D1063="","",IF(A1063="BL",IFERROR(INDEX(cl_name,MATCH(D1063,cl_code,0))&amp;"","Client inconnu"),IF(A1063="BR",IFERROR(INDEX(fo_name,MATCH(D1063,fo_code,0))&amp;"","Fournisseur inconnu"),IF(A1063="BS",IF(ISNA(MATCH(D1063,p_services,0)),"Service inconnu",D1063&amp;""),""))))</f>
        <v/>
      </c>
      <c r="F1063" s="58" t="n"/>
      <c r="G1063" s="58" t="n"/>
      <c r="H1063" s="59" t="n"/>
      <c r="I1063" s="57" t="str">
        <f>IF(H1063="","",IFERROR(INDEX(art_des,MATCH(H1063,art_ref,0))&amp;"","Article inconnu"))</f>
        <v/>
      </c>
      <c r="J1063" s="60" t="str">
        <f>IF(H1063="","",IFERROR(INDEX(art_unit,MATCH(H1063,art_ref,0))&amp;"",""))</f>
        <v/>
      </c>
      <c r="K1063" s="59" t="n"/>
      <c r="L1063" s="59" t="n"/>
      <c r="M1063" s="61" t="str">
        <f>IF(OR(B1063="",NOT(ISNUMBER(K1063)),NOT(ISNUMBER(L1063))),"",IF(OR(K1063&lt;=0,L1063&lt;=0),"",ROUND(L1063-K1063,6)))</f>
        <v/>
      </c>
      <c r="N1063" s="58" t="n"/>
      <c r="O1063" s="62" t="n"/>
      <c r="P1063" s="63" t="str">
        <f>IF(OR(B1063="",NOT(ISNUMBER(L1063))),"",IF(L1063&lt;=0,"",IFERROR(ROUND(L1063*N(INDEX(art_w,MATCH(H1063,art_ref,0))),3),"")))</f>
        <v/>
      </c>
      <c r="Q1063" s="59" t="n"/>
      <c r="R1063" s="54" t="n"/>
      <c r="S1063" s="59" t="n"/>
      <c r="T1063" s="59" t="n"/>
      <c r="U1063" s="64" t="str">
        <f>IF(OR(B1063="",H1063=""),"",IFERROR(IF(A1063="BL",IF(N(INDEX(art_price,MATCH(H1063,art_ref,0)))=0,"",N(INDEX(art_price,MATCH(H1063,art_ref,0)))),IF(N(INDEX(art_cost,MATCH(H1063,art_ref,0)))=0,"",N(INDEX(art_cost,MATCH(H1063,art_ref,0))))),""))</f>
        <v/>
      </c>
      <c r="V1063" s="64" t="str">
        <f>IF(OR(U1063="",NOT(ISNUMBER(L1063))),"",IF(L1063&lt;=0,"",ROUND(L1063*U1063,2)))</f>
        <v/>
      </c>
      <c r="W1063" s="60" t="str">
        <f>IF(AND(B1063&lt;&gt;"",A1063&lt;&gt;"BS",F1063&lt;&gt;"",H1063&lt;&gt;"",ISNUMBER(K1063),ISNUMBER(L1063)),IF(AND(K1063&gt;0,L1063&gt;0,K1063-L1063&gt;0,COUNTIFS(A1064:A$2005,A1063,F1064:F$2005,F1063,H1064:H$2005,H1063,AA1064:AA$2005,"&gt;0")=0),ROUND(K1063-L1063,6),""),"")</f>
        <v/>
      </c>
      <c r="X1063" s="60" t="str">
        <f>IF(AND(A1063="",C1063="",D1063="",H1063="",L1063=""),"",IF(A1063="","Type manquant",IF(AND(A1063&lt;&gt;"BL",A1063&lt;&gt;"BR",A1063&lt;&gt;"BS"),"Type inconnu (BL, BR ou BS)",IF(AG1063=0,"Date manquante ou invalide",IF(D1063="",IF(A1063="BL","Client manquant",IF(A1063="BR","Fournisseur manquant","Service manquant")),IF(IF(A1063="BL",ISNA(MATCH(D1063,cl_code,0)),IF(A1063="BR",ISNA(MATCH(D1063,fo_code,0)),ISNA(MATCH(D1063,p_services,0)))),IF(A1063="BL","Client inconnu",IF(A1063="BR","Fournisseur inconnu","Service inconnu")),IF(H1063="","Article manquant",IF(ISNA(MATCH(H1063,art_ref,0)),"Article inconnu",IF(OR(NOT(ISNUMBER(L1063)),N(L1063)&lt;=0),"Quantité invalide",IF(AND(K1063&lt;&gt;"",OR(NOT(ISNUMBER(K1063)),N(K1063)&lt;=0)),"Qté commandée invalide",IF(AG1063&lt;SUMPRODUCT(MAX((A$6:A1062=A1063)*AG$6:AG1062)),"Date antérieure au bon précédent",IF(AND(A1063&lt;&gt;"BR",ISNUMBER(M1063),N(M1063)&gt;0),IF(A1063="BL","Livré plus que commandé","Sorti plus que demandé"),"OK"))))))))))))</f>
        <v/>
      </c>
      <c r="Y1063" s="57" t="str">
        <f>IF(AND(OR(A1063="BL",A1063="BR",A1063="BS"),AG1063&gt;0,D1063&lt;&gt;""),A1063&amp;"|"&amp;AG1063&amp;"|"&amp;D1063&amp;"|"&amp;F1063,"")</f>
        <v/>
      </c>
      <c r="Z1063" s="57" t="str">
        <f>IF(Y1063="","",IF(COUNTIF(Y$6:Y1062,Y1063)=0,1,0))</f>
        <v/>
      </c>
      <c r="AA1063" s="57" t="str">
        <f>IF(Y1063="","",IF(Z1063=1,COUNTIFS(A$6:A1063,A1063,Z$6:Z1063,1),INDEX(AA$6:AA1062,MATCH(Y1063,Y$6:Y1062,0))))</f>
        <v/>
      </c>
      <c r="AB1063" s="57" t="str">
        <f>IF(B1063="","",COUNTIF(B$6:B1063,B1063))</f>
        <v/>
      </c>
      <c r="AC1063" s="57" t="str">
        <f>IF(B1063="","",B1063&amp;"#"&amp;AB1063)</f>
        <v/>
      </c>
      <c r="AD1063" s="57" t="str">
        <f>IF(Z1063=1,A1063&amp;AA1063,"")</f>
        <v/>
      </c>
      <c r="AE1063" s="57" t="str">
        <f>IF(B1063="","",YEAR(C1063))</f>
        <v/>
      </c>
      <c r="AF1063" s="57" t="str">
        <f>IF(B1063="","",MONTH(C1063))</f>
        <v/>
      </c>
      <c r="AG1063" s="57">
        <f>IF(ISNUMBER(C1063),C1063,0)</f>
        <v>0.0</v>
      </c>
      <c r="AH1063" s="57" t="str">
        <f>IF(N(W1063)&gt;0,COUNTIF(W$6:W1063,"&gt;0"),"")</f>
        <v/>
      </c>
      <c r="AI1063" s="57" t="str">
        <f>IF(Z1063=1,COUNTIF(Z$6:Z1063,1),"")</f>
        <v/>
      </c>
    </row>
    <row r="1064">
      <c r="A1064" s="54" t="n"/>
      <c r="B1064" s="55" t="str">
        <f>IF(AA1064="","",A1064&amp;"-"&amp;RIGHT("000"&amp;AA1064,4))</f>
        <v/>
      </c>
      <c r="C1064" s="56" t="n"/>
      <c r="D1064" s="54" t="n"/>
      <c r="E1064" s="57" t="str">
        <f>IF(D1064="","",IF(A1064="BL",IFERROR(INDEX(cl_name,MATCH(D1064,cl_code,0))&amp;"","Client inconnu"),IF(A1064="BR",IFERROR(INDEX(fo_name,MATCH(D1064,fo_code,0))&amp;"","Fournisseur inconnu"),IF(A1064="BS",IF(ISNA(MATCH(D1064,p_services,0)),"Service inconnu",D1064&amp;""),""))))</f>
        <v/>
      </c>
      <c r="F1064" s="58" t="n"/>
      <c r="G1064" s="58" t="n"/>
      <c r="H1064" s="59" t="n"/>
      <c r="I1064" s="57" t="str">
        <f>IF(H1064="","",IFERROR(INDEX(art_des,MATCH(H1064,art_ref,0))&amp;"","Article inconnu"))</f>
        <v/>
      </c>
      <c r="J1064" s="60" t="str">
        <f>IF(H1064="","",IFERROR(INDEX(art_unit,MATCH(H1064,art_ref,0))&amp;"",""))</f>
        <v/>
      </c>
      <c r="K1064" s="59" t="n"/>
      <c r="L1064" s="59" t="n"/>
      <c r="M1064" s="61" t="str">
        <f>IF(OR(B1064="",NOT(ISNUMBER(K1064)),NOT(ISNUMBER(L1064))),"",IF(OR(K1064&lt;=0,L1064&lt;=0),"",ROUND(L1064-K1064,6)))</f>
        <v/>
      </c>
      <c r="N1064" s="58" t="n"/>
      <c r="O1064" s="62" t="n"/>
      <c r="P1064" s="63" t="str">
        <f>IF(OR(B1064="",NOT(ISNUMBER(L1064))),"",IF(L1064&lt;=0,"",IFERROR(ROUND(L1064*N(INDEX(art_w,MATCH(H1064,art_ref,0))),3),"")))</f>
        <v/>
      </c>
      <c r="Q1064" s="59" t="n"/>
      <c r="R1064" s="54" t="n"/>
      <c r="S1064" s="59" t="n"/>
      <c r="T1064" s="59" t="n"/>
      <c r="U1064" s="64" t="str">
        <f>IF(OR(B1064="",H1064=""),"",IFERROR(IF(A1064="BL",IF(N(INDEX(art_price,MATCH(H1064,art_ref,0)))=0,"",N(INDEX(art_price,MATCH(H1064,art_ref,0)))),IF(N(INDEX(art_cost,MATCH(H1064,art_ref,0)))=0,"",N(INDEX(art_cost,MATCH(H1064,art_ref,0))))),""))</f>
        <v/>
      </c>
      <c r="V1064" s="64" t="str">
        <f>IF(OR(U1064="",NOT(ISNUMBER(L1064))),"",IF(L1064&lt;=0,"",ROUND(L1064*U1064,2)))</f>
        <v/>
      </c>
      <c r="W1064" s="60" t="str">
        <f>IF(AND(B1064&lt;&gt;"",A1064&lt;&gt;"BS",F1064&lt;&gt;"",H1064&lt;&gt;"",ISNUMBER(K1064),ISNUMBER(L1064)),IF(AND(K1064&gt;0,L1064&gt;0,K1064-L1064&gt;0,COUNTIFS(A1065:A$2005,A1064,F1065:F$2005,F1064,H1065:H$2005,H1064,AA1065:AA$2005,"&gt;0")=0),ROUND(K1064-L1064,6),""),"")</f>
        <v/>
      </c>
      <c r="X1064" s="60" t="str">
        <f>IF(AND(A1064="",C1064="",D1064="",H1064="",L1064=""),"",IF(A1064="","Type manquant",IF(AND(A1064&lt;&gt;"BL",A1064&lt;&gt;"BR",A1064&lt;&gt;"BS"),"Type inconnu (BL, BR ou BS)",IF(AG1064=0,"Date manquante ou invalide",IF(D1064="",IF(A1064="BL","Client manquant",IF(A1064="BR","Fournisseur manquant","Service manquant")),IF(IF(A1064="BL",ISNA(MATCH(D1064,cl_code,0)),IF(A1064="BR",ISNA(MATCH(D1064,fo_code,0)),ISNA(MATCH(D1064,p_services,0)))),IF(A1064="BL","Client inconnu",IF(A1064="BR","Fournisseur inconnu","Service inconnu")),IF(H1064="","Article manquant",IF(ISNA(MATCH(H1064,art_ref,0)),"Article inconnu",IF(OR(NOT(ISNUMBER(L1064)),N(L1064)&lt;=0),"Quantité invalide",IF(AND(K1064&lt;&gt;"",OR(NOT(ISNUMBER(K1064)),N(K1064)&lt;=0)),"Qté commandée invalide",IF(AG1064&lt;SUMPRODUCT(MAX((A$6:A1063=A1064)*AG$6:AG1063)),"Date antérieure au bon précédent",IF(AND(A1064&lt;&gt;"BR",ISNUMBER(M1064),N(M1064)&gt;0),IF(A1064="BL","Livré plus que commandé","Sorti plus que demandé"),"OK"))))))))))))</f>
        <v/>
      </c>
      <c r="Y1064" s="57" t="str">
        <f>IF(AND(OR(A1064="BL",A1064="BR",A1064="BS"),AG1064&gt;0,D1064&lt;&gt;""),A1064&amp;"|"&amp;AG1064&amp;"|"&amp;D1064&amp;"|"&amp;F1064,"")</f>
        <v/>
      </c>
      <c r="Z1064" s="57" t="str">
        <f>IF(Y1064="","",IF(COUNTIF(Y$6:Y1063,Y1064)=0,1,0))</f>
        <v/>
      </c>
      <c r="AA1064" s="57" t="str">
        <f>IF(Y1064="","",IF(Z1064=1,COUNTIFS(A$6:A1064,A1064,Z$6:Z1064,1),INDEX(AA$6:AA1063,MATCH(Y1064,Y$6:Y1063,0))))</f>
        <v/>
      </c>
      <c r="AB1064" s="57" t="str">
        <f>IF(B1064="","",COUNTIF(B$6:B1064,B1064))</f>
        <v/>
      </c>
      <c r="AC1064" s="57" t="str">
        <f>IF(B1064="","",B1064&amp;"#"&amp;AB1064)</f>
        <v/>
      </c>
      <c r="AD1064" s="57" t="str">
        <f>IF(Z1064=1,A1064&amp;AA1064,"")</f>
        <v/>
      </c>
      <c r="AE1064" s="57" t="str">
        <f>IF(B1064="","",YEAR(C1064))</f>
        <v/>
      </c>
      <c r="AF1064" s="57" t="str">
        <f>IF(B1064="","",MONTH(C1064))</f>
        <v/>
      </c>
      <c r="AG1064" s="57">
        <f>IF(ISNUMBER(C1064),C1064,0)</f>
        <v>0.0</v>
      </c>
      <c r="AH1064" s="57" t="str">
        <f>IF(N(W1064)&gt;0,COUNTIF(W$6:W1064,"&gt;0"),"")</f>
        <v/>
      </c>
      <c r="AI1064" s="57" t="str">
        <f>IF(Z1064=1,COUNTIF(Z$6:Z1064,1),"")</f>
        <v/>
      </c>
    </row>
    <row r="1065">
      <c r="A1065" s="54" t="n"/>
      <c r="B1065" s="55" t="str">
        <f>IF(AA1065="","",A1065&amp;"-"&amp;RIGHT("000"&amp;AA1065,4))</f>
        <v/>
      </c>
      <c r="C1065" s="56" t="n"/>
      <c r="D1065" s="54" t="n"/>
      <c r="E1065" s="57" t="str">
        <f>IF(D1065="","",IF(A1065="BL",IFERROR(INDEX(cl_name,MATCH(D1065,cl_code,0))&amp;"","Client inconnu"),IF(A1065="BR",IFERROR(INDEX(fo_name,MATCH(D1065,fo_code,0))&amp;"","Fournisseur inconnu"),IF(A1065="BS",IF(ISNA(MATCH(D1065,p_services,0)),"Service inconnu",D1065&amp;""),""))))</f>
        <v/>
      </c>
      <c r="F1065" s="58" t="n"/>
      <c r="G1065" s="58" t="n"/>
      <c r="H1065" s="59" t="n"/>
      <c r="I1065" s="57" t="str">
        <f>IF(H1065="","",IFERROR(INDEX(art_des,MATCH(H1065,art_ref,0))&amp;"","Article inconnu"))</f>
        <v/>
      </c>
      <c r="J1065" s="60" t="str">
        <f>IF(H1065="","",IFERROR(INDEX(art_unit,MATCH(H1065,art_ref,0))&amp;"",""))</f>
        <v/>
      </c>
      <c r="K1065" s="59" t="n"/>
      <c r="L1065" s="59" t="n"/>
      <c r="M1065" s="61" t="str">
        <f>IF(OR(B1065="",NOT(ISNUMBER(K1065)),NOT(ISNUMBER(L1065))),"",IF(OR(K1065&lt;=0,L1065&lt;=0),"",ROUND(L1065-K1065,6)))</f>
        <v/>
      </c>
      <c r="N1065" s="58" t="n"/>
      <c r="O1065" s="62" t="n"/>
      <c r="P1065" s="63" t="str">
        <f>IF(OR(B1065="",NOT(ISNUMBER(L1065))),"",IF(L1065&lt;=0,"",IFERROR(ROUND(L1065*N(INDEX(art_w,MATCH(H1065,art_ref,0))),3),"")))</f>
        <v/>
      </c>
      <c r="Q1065" s="59" t="n"/>
      <c r="R1065" s="54" t="n"/>
      <c r="S1065" s="59" t="n"/>
      <c r="T1065" s="59" t="n"/>
      <c r="U1065" s="64" t="str">
        <f>IF(OR(B1065="",H1065=""),"",IFERROR(IF(A1065="BL",IF(N(INDEX(art_price,MATCH(H1065,art_ref,0)))=0,"",N(INDEX(art_price,MATCH(H1065,art_ref,0)))),IF(N(INDEX(art_cost,MATCH(H1065,art_ref,0)))=0,"",N(INDEX(art_cost,MATCH(H1065,art_ref,0))))),""))</f>
        <v/>
      </c>
      <c r="V1065" s="64" t="str">
        <f>IF(OR(U1065="",NOT(ISNUMBER(L1065))),"",IF(L1065&lt;=0,"",ROUND(L1065*U1065,2)))</f>
        <v/>
      </c>
      <c r="W1065" s="60" t="str">
        <f>IF(AND(B1065&lt;&gt;"",A1065&lt;&gt;"BS",F1065&lt;&gt;"",H1065&lt;&gt;"",ISNUMBER(K1065),ISNUMBER(L1065)),IF(AND(K1065&gt;0,L1065&gt;0,K1065-L1065&gt;0,COUNTIFS(A1066:A$2005,A1065,F1066:F$2005,F1065,H1066:H$2005,H1065,AA1066:AA$2005,"&gt;0")=0),ROUND(K1065-L1065,6),""),"")</f>
        <v/>
      </c>
      <c r="X1065" s="60" t="str">
        <f>IF(AND(A1065="",C1065="",D1065="",H1065="",L1065=""),"",IF(A1065="","Type manquant",IF(AND(A1065&lt;&gt;"BL",A1065&lt;&gt;"BR",A1065&lt;&gt;"BS"),"Type inconnu (BL, BR ou BS)",IF(AG1065=0,"Date manquante ou invalide",IF(D1065="",IF(A1065="BL","Client manquant",IF(A1065="BR","Fournisseur manquant","Service manquant")),IF(IF(A1065="BL",ISNA(MATCH(D1065,cl_code,0)),IF(A1065="BR",ISNA(MATCH(D1065,fo_code,0)),ISNA(MATCH(D1065,p_services,0)))),IF(A1065="BL","Client inconnu",IF(A1065="BR","Fournisseur inconnu","Service inconnu")),IF(H1065="","Article manquant",IF(ISNA(MATCH(H1065,art_ref,0)),"Article inconnu",IF(OR(NOT(ISNUMBER(L1065)),N(L1065)&lt;=0),"Quantité invalide",IF(AND(K1065&lt;&gt;"",OR(NOT(ISNUMBER(K1065)),N(K1065)&lt;=0)),"Qté commandée invalide",IF(AG1065&lt;SUMPRODUCT(MAX((A$6:A1064=A1065)*AG$6:AG1064)),"Date antérieure au bon précédent",IF(AND(A1065&lt;&gt;"BR",ISNUMBER(M1065),N(M1065)&gt;0),IF(A1065="BL","Livré plus que commandé","Sorti plus que demandé"),"OK"))))))))))))</f>
        <v/>
      </c>
      <c r="Y1065" s="57" t="str">
        <f>IF(AND(OR(A1065="BL",A1065="BR",A1065="BS"),AG1065&gt;0,D1065&lt;&gt;""),A1065&amp;"|"&amp;AG1065&amp;"|"&amp;D1065&amp;"|"&amp;F1065,"")</f>
        <v/>
      </c>
      <c r="Z1065" s="57" t="str">
        <f>IF(Y1065="","",IF(COUNTIF(Y$6:Y1064,Y1065)=0,1,0))</f>
        <v/>
      </c>
      <c r="AA1065" s="57" t="str">
        <f>IF(Y1065="","",IF(Z1065=1,COUNTIFS(A$6:A1065,A1065,Z$6:Z1065,1),INDEX(AA$6:AA1064,MATCH(Y1065,Y$6:Y1064,0))))</f>
        <v/>
      </c>
      <c r="AB1065" s="57" t="str">
        <f>IF(B1065="","",COUNTIF(B$6:B1065,B1065))</f>
        <v/>
      </c>
      <c r="AC1065" s="57" t="str">
        <f>IF(B1065="","",B1065&amp;"#"&amp;AB1065)</f>
        <v/>
      </c>
      <c r="AD1065" s="57" t="str">
        <f>IF(Z1065=1,A1065&amp;AA1065,"")</f>
        <v/>
      </c>
      <c r="AE1065" s="57" t="str">
        <f>IF(B1065="","",YEAR(C1065))</f>
        <v/>
      </c>
      <c r="AF1065" s="57" t="str">
        <f>IF(B1065="","",MONTH(C1065))</f>
        <v/>
      </c>
      <c r="AG1065" s="57">
        <f>IF(ISNUMBER(C1065),C1065,0)</f>
        <v>0.0</v>
      </c>
      <c r="AH1065" s="57" t="str">
        <f>IF(N(W1065)&gt;0,COUNTIF(W$6:W1065,"&gt;0"),"")</f>
        <v/>
      </c>
      <c r="AI1065" s="57" t="str">
        <f>IF(Z1065=1,COUNTIF(Z$6:Z1065,1),"")</f>
        <v/>
      </c>
    </row>
    <row r="1066">
      <c r="A1066" s="54" t="n"/>
      <c r="B1066" s="55" t="str">
        <f>IF(AA1066="","",A1066&amp;"-"&amp;RIGHT("000"&amp;AA1066,4))</f>
        <v/>
      </c>
      <c r="C1066" s="56" t="n"/>
      <c r="D1066" s="54" t="n"/>
      <c r="E1066" s="57" t="str">
        <f>IF(D1066="","",IF(A1066="BL",IFERROR(INDEX(cl_name,MATCH(D1066,cl_code,0))&amp;"","Client inconnu"),IF(A1066="BR",IFERROR(INDEX(fo_name,MATCH(D1066,fo_code,0))&amp;"","Fournisseur inconnu"),IF(A1066="BS",IF(ISNA(MATCH(D1066,p_services,0)),"Service inconnu",D1066&amp;""),""))))</f>
        <v/>
      </c>
      <c r="F1066" s="58" t="n"/>
      <c r="G1066" s="58" t="n"/>
      <c r="H1066" s="59" t="n"/>
      <c r="I1066" s="57" t="str">
        <f>IF(H1066="","",IFERROR(INDEX(art_des,MATCH(H1066,art_ref,0))&amp;"","Article inconnu"))</f>
        <v/>
      </c>
      <c r="J1066" s="60" t="str">
        <f>IF(H1066="","",IFERROR(INDEX(art_unit,MATCH(H1066,art_ref,0))&amp;"",""))</f>
        <v/>
      </c>
      <c r="K1066" s="59" t="n"/>
      <c r="L1066" s="59" t="n"/>
      <c r="M1066" s="61" t="str">
        <f>IF(OR(B1066="",NOT(ISNUMBER(K1066)),NOT(ISNUMBER(L1066))),"",IF(OR(K1066&lt;=0,L1066&lt;=0),"",ROUND(L1066-K1066,6)))</f>
        <v/>
      </c>
      <c r="N1066" s="58" t="n"/>
      <c r="O1066" s="62" t="n"/>
      <c r="P1066" s="63" t="str">
        <f>IF(OR(B1066="",NOT(ISNUMBER(L1066))),"",IF(L1066&lt;=0,"",IFERROR(ROUND(L1066*N(INDEX(art_w,MATCH(H1066,art_ref,0))),3),"")))</f>
        <v/>
      </c>
      <c r="Q1066" s="59" t="n"/>
      <c r="R1066" s="54" t="n"/>
      <c r="S1066" s="59" t="n"/>
      <c r="T1066" s="59" t="n"/>
      <c r="U1066" s="64" t="str">
        <f>IF(OR(B1066="",H1066=""),"",IFERROR(IF(A1066="BL",IF(N(INDEX(art_price,MATCH(H1066,art_ref,0)))=0,"",N(INDEX(art_price,MATCH(H1066,art_ref,0)))),IF(N(INDEX(art_cost,MATCH(H1066,art_ref,0)))=0,"",N(INDEX(art_cost,MATCH(H1066,art_ref,0))))),""))</f>
        <v/>
      </c>
      <c r="V1066" s="64" t="str">
        <f>IF(OR(U1066="",NOT(ISNUMBER(L1066))),"",IF(L1066&lt;=0,"",ROUND(L1066*U1066,2)))</f>
        <v/>
      </c>
      <c r="W1066" s="60" t="str">
        <f>IF(AND(B1066&lt;&gt;"",A1066&lt;&gt;"BS",F1066&lt;&gt;"",H1066&lt;&gt;"",ISNUMBER(K1066),ISNUMBER(L1066)),IF(AND(K1066&gt;0,L1066&gt;0,K1066-L1066&gt;0,COUNTIFS(A1067:A$2005,A1066,F1067:F$2005,F1066,H1067:H$2005,H1066,AA1067:AA$2005,"&gt;0")=0),ROUND(K1066-L1066,6),""),"")</f>
        <v/>
      </c>
      <c r="X1066" s="60" t="str">
        <f>IF(AND(A1066="",C1066="",D1066="",H1066="",L1066=""),"",IF(A1066="","Type manquant",IF(AND(A1066&lt;&gt;"BL",A1066&lt;&gt;"BR",A1066&lt;&gt;"BS"),"Type inconnu (BL, BR ou BS)",IF(AG1066=0,"Date manquante ou invalide",IF(D1066="",IF(A1066="BL","Client manquant",IF(A1066="BR","Fournisseur manquant","Service manquant")),IF(IF(A1066="BL",ISNA(MATCH(D1066,cl_code,0)),IF(A1066="BR",ISNA(MATCH(D1066,fo_code,0)),ISNA(MATCH(D1066,p_services,0)))),IF(A1066="BL","Client inconnu",IF(A1066="BR","Fournisseur inconnu","Service inconnu")),IF(H1066="","Article manquant",IF(ISNA(MATCH(H1066,art_ref,0)),"Article inconnu",IF(OR(NOT(ISNUMBER(L1066)),N(L1066)&lt;=0),"Quantité invalide",IF(AND(K1066&lt;&gt;"",OR(NOT(ISNUMBER(K1066)),N(K1066)&lt;=0)),"Qté commandée invalide",IF(AG1066&lt;SUMPRODUCT(MAX((A$6:A1065=A1066)*AG$6:AG1065)),"Date antérieure au bon précédent",IF(AND(A1066&lt;&gt;"BR",ISNUMBER(M1066),N(M1066)&gt;0),IF(A1066="BL","Livré plus que commandé","Sorti plus que demandé"),"OK"))))))))))))</f>
        <v/>
      </c>
      <c r="Y1066" s="57" t="str">
        <f>IF(AND(OR(A1066="BL",A1066="BR",A1066="BS"),AG1066&gt;0,D1066&lt;&gt;""),A1066&amp;"|"&amp;AG1066&amp;"|"&amp;D1066&amp;"|"&amp;F1066,"")</f>
        <v/>
      </c>
      <c r="Z1066" s="57" t="str">
        <f>IF(Y1066="","",IF(COUNTIF(Y$6:Y1065,Y1066)=0,1,0))</f>
        <v/>
      </c>
      <c r="AA1066" s="57" t="str">
        <f>IF(Y1066="","",IF(Z1066=1,COUNTIFS(A$6:A1066,A1066,Z$6:Z1066,1),INDEX(AA$6:AA1065,MATCH(Y1066,Y$6:Y1065,0))))</f>
        <v/>
      </c>
      <c r="AB1066" s="57" t="str">
        <f>IF(B1066="","",COUNTIF(B$6:B1066,B1066))</f>
        <v/>
      </c>
      <c r="AC1066" s="57" t="str">
        <f>IF(B1066="","",B1066&amp;"#"&amp;AB1066)</f>
        <v/>
      </c>
      <c r="AD1066" s="57" t="str">
        <f>IF(Z1066=1,A1066&amp;AA1066,"")</f>
        <v/>
      </c>
      <c r="AE1066" s="57" t="str">
        <f>IF(B1066="","",YEAR(C1066))</f>
        <v/>
      </c>
      <c r="AF1066" s="57" t="str">
        <f>IF(B1066="","",MONTH(C1066))</f>
        <v/>
      </c>
      <c r="AG1066" s="57">
        <f>IF(ISNUMBER(C1066),C1066,0)</f>
        <v>0.0</v>
      </c>
      <c r="AH1066" s="57" t="str">
        <f>IF(N(W1066)&gt;0,COUNTIF(W$6:W1066,"&gt;0"),"")</f>
        <v/>
      </c>
      <c r="AI1066" s="57" t="str">
        <f>IF(Z1066=1,COUNTIF(Z$6:Z1066,1),"")</f>
        <v/>
      </c>
    </row>
    <row r="1067">
      <c r="A1067" s="54" t="n"/>
      <c r="B1067" s="55" t="str">
        <f>IF(AA1067="","",A1067&amp;"-"&amp;RIGHT("000"&amp;AA1067,4))</f>
        <v/>
      </c>
      <c r="C1067" s="56" t="n"/>
      <c r="D1067" s="54" t="n"/>
      <c r="E1067" s="57" t="str">
        <f>IF(D1067="","",IF(A1067="BL",IFERROR(INDEX(cl_name,MATCH(D1067,cl_code,0))&amp;"","Client inconnu"),IF(A1067="BR",IFERROR(INDEX(fo_name,MATCH(D1067,fo_code,0))&amp;"","Fournisseur inconnu"),IF(A1067="BS",IF(ISNA(MATCH(D1067,p_services,0)),"Service inconnu",D1067&amp;""),""))))</f>
        <v/>
      </c>
      <c r="F1067" s="58" t="n"/>
      <c r="G1067" s="58" t="n"/>
      <c r="H1067" s="59" t="n"/>
      <c r="I1067" s="57" t="str">
        <f>IF(H1067="","",IFERROR(INDEX(art_des,MATCH(H1067,art_ref,0))&amp;"","Article inconnu"))</f>
        <v/>
      </c>
      <c r="J1067" s="60" t="str">
        <f>IF(H1067="","",IFERROR(INDEX(art_unit,MATCH(H1067,art_ref,0))&amp;"",""))</f>
        <v/>
      </c>
      <c r="K1067" s="59" t="n"/>
      <c r="L1067" s="59" t="n"/>
      <c r="M1067" s="61" t="str">
        <f>IF(OR(B1067="",NOT(ISNUMBER(K1067)),NOT(ISNUMBER(L1067))),"",IF(OR(K1067&lt;=0,L1067&lt;=0),"",ROUND(L1067-K1067,6)))</f>
        <v/>
      </c>
      <c r="N1067" s="58" t="n"/>
      <c r="O1067" s="62" t="n"/>
      <c r="P1067" s="63" t="str">
        <f>IF(OR(B1067="",NOT(ISNUMBER(L1067))),"",IF(L1067&lt;=0,"",IFERROR(ROUND(L1067*N(INDEX(art_w,MATCH(H1067,art_ref,0))),3),"")))</f>
        <v/>
      </c>
      <c r="Q1067" s="59" t="n"/>
      <c r="R1067" s="54" t="n"/>
      <c r="S1067" s="59" t="n"/>
      <c r="T1067" s="59" t="n"/>
      <c r="U1067" s="64" t="str">
        <f>IF(OR(B1067="",H1067=""),"",IFERROR(IF(A1067="BL",IF(N(INDEX(art_price,MATCH(H1067,art_ref,0)))=0,"",N(INDEX(art_price,MATCH(H1067,art_ref,0)))),IF(N(INDEX(art_cost,MATCH(H1067,art_ref,0)))=0,"",N(INDEX(art_cost,MATCH(H1067,art_ref,0))))),""))</f>
        <v/>
      </c>
      <c r="V1067" s="64" t="str">
        <f>IF(OR(U1067="",NOT(ISNUMBER(L1067))),"",IF(L1067&lt;=0,"",ROUND(L1067*U1067,2)))</f>
        <v/>
      </c>
      <c r="W1067" s="60" t="str">
        <f>IF(AND(B1067&lt;&gt;"",A1067&lt;&gt;"BS",F1067&lt;&gt;"",H1067&lt;&gt;"",ISNUMBER(K1067),ISNUMBER(L1067)),IF(AND(K1067&gt;0,L1067&gt;0,K1067-L1067&gt;0,COUNTIFS(A1068:A$2005,A1067,F1068:F$2005,F1067,H1068:H$2005,H1067,AA1068:AA$2005,"&gt;0")=0),ROUND(K1067-L1067,6),""),"")</f>
        <v/>
      </c>
      <c r="X1067" s="60" t="str">
        <f>IF(AND(A1067="",C1067="",D1067="",H1067="",L1067=""),"",IF(A1067="","Type manquant",IF(AND(A1067&lt;&gt;"BL",A1067&lt;&gt;"BR",A1067&lt;&gt;"BS"),"Type inconnu (BL, BR ou BS)",IF(AG1067=0,"Date manquante ou invalide",IF(D1067="",IF(A1067="BL","Client manquant",IF(A1067="BR","Fournisseur manquant","Service manquant")),IF(IF(A1067="BL",ISNA(MATCH(D1067,cl_code,0)),IF(A1067="BR",ISNA(MATCH(D1067,fo_code,0)),ISNA(MATCH(D1067,p_services,0)))),IF(A1067="BL","Client inconnu",IF(A1067="BR","Fournisseur inconnu","Service inconnu")),IF(H1067="","Article manquant",IF(ISNA(MATCH(H1067,art_ref,0)),"Article inconnu",IF(OR(NOT(ISNUMBER(L1067)),N(L1067)&lt;=0),"Quantité invalide",IF(AND(K1067&lt;&gt;"",OR(NOT(ISNUMBER(K1067)),N(K1067)&lt;=0)),"Qté commandée invalide",IF(AG1067&lt;SUMPRODUCT(MAX((A$6:A1066=A1067)*AG$6:AG1066)),"Date antérieure au bon précédent",IF(AND(A1067&lt;&gt;"BR",ISNUMBER(M1067),N(M1067)&gt;0),IF(A1067="BL","Livré plus que commandé","Sorti plus que demandé"),"OK"))))))))))))</f>
        <v/>
      </c>
      <c r="Y1067" s="57" t="str">
        <f>IF(AND(OR(A1067="BL",A1067="BR",A1067="BS"),AG1067&gt;0,D1067&lt;&gt;""),A1067&amp;"|"&amp;AG1067&amp;"|"&amp;D1067&amp;"|"&amp;F1067,"")</f>
        <v/>
      </c>
      <c r="Z1067" s="57" t="str">
        <f>IF(Y1067="","",IF(COUNTIF(Y$6:Y1066,Y1067)=0,1,0))</f>
        <v/>
      </c>
      <c r="AA1067" s="57" t="str">
        <f>IF(Y1067="","",IF(Z1067=1,COUNTIFS(A$6:A1067,A1067,Z$6:Z1067,1),INDEX(AA$6:AA1066,MATCH(Y1067,Y$6:Y1066,0))))</f>
        <v/>
      </c>
      <c r="AB1067" s="57" t="str">
        <f>IF(B1067="","",COUNTIF(B$6:B1067,B1067))</f>
        <v/>
      </c>
      <c r="AC1067" s="57" t="str">
        <f>IF(B1067="","",B1067&amp;"#"&amp;AB1067)</f>
        <v/>
      </c>
      <c r="AD1067" s="57" t="str">
        <f>IF(Z1067=1,A1067&amp;AA1067,"")</f>
        <v/>
      </c>
      <c r="AE1067" s="57" t="str">
        <f>IF(B1067="","",YEAR(C1067))</f>
        <v/>
      </c>
      <c r="AF1067" s="57" t="str">
        <f>IF(B1067="","",MONTH(C1067))</f>
        <v/>
      </c>
      <c r="AG1067" s="57">
        <f>IF(ISNUMBER(C1067),C1067,0)</f>
        <v>0.0</v>
      </c>
      <c r="AH1067" s="57" t="str">
        <f>IF(N(W1067)&gt;0,COUNTIF(W$6:W1067,"&gt;0"),"")</f>
        <v/>
      </c>
      <c r="AI1067" s="57" t="str">
        <f>IF(Z1067=1,COUNTIF(Z$6:Z1067,1),"")</f>
        <v/>
      </c>
    </row>
    <row r="1068">
      <c r="A1068" s="54" t="n"/>
      <c r="B1068" s="55" t="str">
        <f>IF(AA1068="","",A1068&amp;"-"&amp;RIGHT("000"&amp;AA1068,4))</f>
        <v/>
      </c>
      <c r="C1068" s="56" t="n"/>
      <c r="D1068" s="54" t="n"/>
      <c r="E1068" s="57" t="str">
        <f>IF(D1068="","",IF(A1068="BL",IFERROR(INDEX(cl_name,MATCH(D1068,cl_code,0))&amp;"","Client inconnu"),IF(A1068="BR",IFERROR(INDEX(fo_name,MATCH(D1068,fo_code,0))&amp;"","Fournisseur inconnu"),IF(A1068="BS",IF(ISNA(MATCH(D1068,p_services,0)),"Service inconnu",D1068&amp;""),""))))</f>
        <v/>
      </c>
      <c r="F1068" s="58" t="n"/>
      <c r="G1068" s="58" t="n"/>
      <c r="H1068" s="59" t="n"/>
      <c r="I1068" s="57" t="str">
        <f>IF(H1068="","",IFERROR(INDEX(art_des,MATCH(H1068,art_ref,0))&amp;"","Article inconnu"))</f>
        <v/>
      </c>
      <c r="J1068" s="60" t="str">
        <f>IF(H1068="","",IFERROR(INDEX(art_unit,MATCH(H1068,art_ref,0))&amp;"",""))</f>
        <v/>
      </c>
      <c r="K1068" s="59" t="n"/>
      <c r="L1068" s="59" t="n"/>
      <c r="M1068" s="61" t="str">
        <f>IF(OR(B1068="",NOT(ISNUMBER(K1068)),NOT(ISNUMBER(L1068))),"",IF(OR(K1068&lt;=0,L1068&lt;=0),"",ROUND(L1068-K1068,6)))</f>
        <v/>
      </c>
      <c r="N1068" s="58" t="n"/>
      <c r="O1068" s="62" t="n"/>
      <c r="P1068" s="63" t="str">
        <f>IF(OR(B1068="",NOT(ISNUMBER(L1068))),"",IF(L1068&lt;=0,"",IFERROR(ROUND(L1068*N(INDEX(art_w,MATCH(H1068,art_ref,0))),3),"")))</f>
        <v/>
      </c>
      <c r="Q1068" s="59" t="n"/>
      <c r="R1068" s="54" t="n"/>
      <c r="S1068" s="59" t="n"/>
      <c r="T1068" s="59" t="n"/>
      <c r="U1068" s="64" t="str">
        <f>IF(OR(B1068="",H1068=""),"",IFERROR(IF(A1068="BL",IF(N(INDEX(art_price,MATCH(H1068,art_ref,0)))=0,"",N(INDEX(art_price,MATCH(H1068,art_ref,0)))),IF(N(INDEX(art_cost,MATCH(H1068,art_ref,0)))=0,"",N(INDEX(art_cost,MATCH(H1068,art_ref,0))))),""))</f>
        <v/>
      </c>
      <c r="V1068" s="64" t="str">
        <f>IF(OR(U1068="",NOT(ISNUMBER(L1068))),"",IF(L1068&lt;=0,"",ROUND(L1068*U1068,2)))</f>
        <v/>
      </c>
      <c r="W1068" s="60" t="str">
        <f>IF(AND(B1068&lt;&gt;"",A1068&lt;&gt;"BS",F1068&lt;&gt;"",H1068&lt;&gt;"",ISNUMBER(K1068),ISNUMBER(L1068)),IF(AND(K1068&gt;0,L1068&gt;0,K1068-L1068&gt;0,COUNTIFS(A1069:A$2005,A1068,F1069:F$2005,F1068,H1069:H$2005,H1068,AA1069:AA$2005,"&gt;0")=0),ROUND(K1068-L1068,6),""),"")</f>
        <v/>
      </c>
      <c r="X1068" s="60" t="str">
        <f>IF(AND(A1068="",C1068="",D1068="",H1068="",L1068=""),"",IF(A1068="","Type manquant",IF(AND(A1068&lt;&gt;"BL",A1068&lt;&gt;"BR",A1068&lt;&gt;"BS"),"Type inconnu (BL, BR ou BS)",IF(AG1068=0,"Date manquante ou invalide",IF(D1068="",IF(A1068="BL","Client manquant",IF(A1068="BR","Fournisseur manquant","Service manquant")),IF(IF(A1068="BL",ISNA(MATCH(D1068,cl_code,0)),IF(A1068="BR",ISNA(MATCH(D1068,fo_code,0)),ISNA(MATCH(D1068,p_services,0)))),IF(A1068="BL","Client inconnu",IF(A1068="BR","Fournisseur inconnu","Service inconnu")),IF(H1068="","Article manquant",IF(ISNA(MATCH(H1068,art_ref,0)),"Article inconnu",IF(OR(NOT(ISNUMBER(L1068)),N(L1068)&lt;=0),"Quantité invalide",IF(AND(K1068&lt;&gt;"",OR(NOT(ISNUMBER(K1068)),N(K1068)&lt;=0)),"Qté commandée invalide",IF(AG1068&lt;SUMPRODUCT(MAX((A$6:A1067=A1068)*AG$6:AG1067)),"Date antérieure au bon précédent",IF(AND(A1068&lt;&gt;"BR",ISNUMBER(M1068),N(M1068)&gt;0),IF(A1068="BL","Livré plus que commandé","Sorti plus que demandé"),"OK"))))))))))))</f>
        <v/>
      </c>
      <c r="Y1068" s="57" t="str">
        <f>IF(AND(OR(A1068="BL",A1068="BR",A1068="BS"),AG1068&gt;0,D1068&lt;&gt;""),A1068&amp;"|"&amp;AG1068&amp;"|"&amp;D1068&amp;"|"&amp;F1068,"")</f>
        <v/>
      </c>
      <c r="Z1068" s="57" t="str">
        <f>IF(Y1068="","",IF(COUNTIF(Y$6:Y1067,Y1068)=0,1,0))</f>
        <v/>
      </c>
      <c r="AA1068" s="57" t="str">
        <f>IF(Y1068="","",IF(Z1068=1,COUNTIFS(A$6:A1068,A1068,Z$6:Z1068,1),INDEX(AA$6:AA1067,MATCH(Y1068,Y$6:Y1067,0))))</f>
        <v/>
      </c>
      <c r="AB1068" s="57" t="str">
        <f>IF(B1068="","",COUNTIF(B$6:B1068,B1068))</f>
        <v/>
      </c>
      <c r="AC1068" s="57" t="str">
        <f>IF(B1068="","",B1068&amp;"#"&amp;AB1068)</f>
        <v/>
      </c>
      <c r="AD1068" s="57" t="str">
        <f>IF(Z1068=1,A1068&amp;AA1068,"")</f>
        <v/>
      </c>
      <c r="AE1068" s="57" t="str">
        <f>IF(B1068="","",YEAR(C1068))</f>
        <v/>
      </c>
      <c r="AF1068" s="57" t="str">
        <f>IF(B1068="","",MONTH(C1068))</f>
        <v/>
      </c>
      <c r="AG1068" s="57">
        <f>IF(ISNUMBER(C1068),C1068,0)</f>
        <v>0.0</v>
      </c>
      <c r="AH1068" s="57" t="str">
        <f>IF(N(W1068)&gt;0,COUNTIF(W$6:W1068,"&gt;0"),"")</f>
        <v/>
      </c>
      <c r="AI1068" s="57" t="str">
        <f>IF(Z1068=1,COUNTIF(Z$6:Z1068,1),"")</f>
        <v/>
      </c>
    </row>
    <row r="1069">
      <c r="A1069" s="54" t="n"/>
      <c r="B1069" s="55" t="str">
        <f>IF(AA1069="","",A1069&amp;"-"&amp;RIGHT("000"&amp;AA1069,4))</f>
        <v/>
      </c>
      <c r="C1069" s="56" t="n"/>
      <c r="D1069" s="54" t="n"/>
      <c r="E1069" s="57" t="str">
        <f>IF(D1069="","",IF(A1069="BL",IFERROR(INDEX(cl_name,MATCH(D1069,cl_code,0))&amp;"","Client inconnu"),IF(A1069="BR",IFERROR(INDEX(fo_name,MATCH(D1069,fo_code,0))&amp;"","Fournisseur inconnu"),IF(A1069="BS",IF(ISNA(MATCH(D1069,p_services,0)),"Service inconnu",D1069&amp;""),""))))</f>
        <v/>
      </c>
      <c r="F1069" s="58" t="n"/>
      <c r="G1069" s="58" t="n"/>
      <c r="H1069" s="59" t="n"/>
      <c r="I1069" s="57" t="str">
        <f>IF(H1069="","",IFERROR(INDEX(art_des,MATCH(H1069,art_ref,0))&amp;"","Article inconnu"))</f>
        <v/>
      </c>
      <c r="J1069" s="60" t="str">
        <f>IF(H1069="","",IFERROR(INDEX(art_unit,MATCH(H1069,art_ref,0))&amp;"",""))</f>
        <v/>
      </c>
      <c r="K1069" s="59" t="n"/>
      <c r="L1069" s="59" t="n"/>
      <c r="M1069" s="61" t="str">
        <f>IF(OR(B1069="",NOT(ISNUMBER(K1069)),NOT(ISNUMBER(L1069))),"",IF(OR(K1069&lt;=0,L1069&lt;=0),"",ROUND(L1069-K1069,6)))</f>
        <v/>
      </c>
      <c r="N1069" s="58" t="n"/>
      <c r="O1069" s="62" t="n"/>
      <c r="P1069" s="63" t="str">
        <f>IF(OR(B1069="",NOT(ISNUMBER(L1069))),"",IF(L1069&lt;=0,"",IFERROR(ROUND(L1069*N(INDEX(art_w,MATCH(H1069,art_ref,0))),3),"")))</f>
        <v/>
      </c>
      <c r="Q1069" s="59" t="n"/>
      <c r="R1069" s="54" t="n"/>
      <c r="S1069" s="59" t="n"/>
      <c r="T1069" s="59" t="n"/>
      <c r="U1069" s="64" t="str">
        <f>IF(OR(B1069="",H1069=""),"",IFERROR(IF(A1069="BL",IF(N(INDEX(art_price,MATCH(H1069,art_ref,0)))=0,"",N(INDEX(art_price,MATCH(H1069,art_ref,0)))),IF(N(INDEX(art_cost,MATCH(H1069,art_ref,0)))=0,"",N(INDEX(art_cost,MATCH(H1069,art_ref,0))))),""))</f>
        <v/>
      </c>
      <c r="V1069" s="64" t="str">
        <f>IF(OR(U1069="",NOT(ISNUMBER(L1069))),"",IF(L1069&lt;=0,"",ROUND(L1069*U1069,2)))</f>
        <v/>
      </c>
      <c r="W1069" s="60" t="str">
        <f>IF(AND(B1069&lt;&gt;"",A1069&lt;&gt;"BS",F1069&lt;&gt;"",H1069&lt;&gt;"",ISNUMBER(K1069),ISNUMBER(L1069)),IF(AND(K1069&gt;0,L1069&gt;0,K1069-L1069&gt;0,COUNTIFS(A1070:A$2005,A1069,F1070:F$2005,F1069,H1070:H$2005,H1069,AA1070:AA$2005,"&gt;0")=0),ROUND(K1069-L1069,6),""),"")</f>
        <v/>
      </c>
      <c r="X1069" s="60" t="str">
        <f>IF(AND(A1069="",C1069="",D1069="",H1069="",L1069=""),"",IF(A1069="","Type manquant",IF(AND(A1069&lt;&gt;"BL",A1069&lt;&gt;"BR",A1069&lt;&gt;"BS"),"Type inconnu (BL, BR ou BS)",IF(AG1069=0,"Date manquante ou invalide",IF(D1069="",IF(A1069="BL","Client manquant",IF(A1069="BR","Fournisseur manquant","Service manquant")),IF(IF(A1069="BL",ISNA(MATCH(D1069,cl_code,0)),IF(A1069="BR",ISNA(MATCH(D1069,fo_code,0)),ISNA(MATCH(D1069,p_services,0)))),IF(A1069="BL","Client inconnu",IF(A1069="BR","Fournisseur inconnu","Service inconnu")),IF(H1069="","Article manquant",IF(ISNA(MATCH(H1069,art_ref,0)),"Article inconnu",IF(OR(NOT(ISNUMBER(L1069)),N(L1069)&lt;=0),"Quantité invalide",IF(AND(K1069&lt;&gt;"",OR(NOT(ISNUMBER(K1069)),N(K1069)&lt;=0)),"Qté commandée invalide",IF(AG1069&lt;SUMPRODUCT(MAX((A$6:A1068=A1069)*AG$6:AG1068)),"Date antérieure au bon précédent",IF(AND(A1069&lt;&gt;"BR",ISNUMBER(M1069),N(M1069)&gt;0),IF(A1069="BL","Livré plus que commandé","Sorti plus que demandé"),"OK"))))))))))))</f>
        <v/>
      </c>
      <c r="Y1069" s="57" t="str">
        <f>IF(AND(OR(A1069="BL",A1069="BR",A1069="BS"),AG1069&gt;0,D1069&lt;&gt;""),A1069&amp;"|"&amp;AG1069&amp;"|"&amp;D1069&amp;"|"&amp;F1069,"")</f>
        <v/>
      </c>
      <c r="Z1069" s="57" t="str">
        <f>IF(Y1069="","",IF(COUNTIF(Y$6:Y1068,Y1069)=0,1,0))</f>
        <v/>
      </c>
      <c r="AA1069" s="57" t="str">
        <f>IF(Y1069="","",IF(Z1069=1,COUNTIFS(A$6:A1069,A1069,Z$6:Z1069,1),INDEX(AA$6:AA1068,MATCH(Y1069,Y$6:Y1068,0))))</f>
        <v/>
      </c>
      <c r="AB1069" s="57" t="str">
        <f>IF(B1069="","",COUNTIF(B$6:B1069,B1069))</f>
        <v/>
      </c>
      <c r="AC1069" s="57" t="str">
        <f>IF(B1069="","",B1069&amp;"#"&amp;AB1069)</f>
        <v/>
      </c>
      <c r="AD1069" s="57" t="str">
        <f>IF(Z1069=1,A1069&amp;AA1069,"")</f>
        <v/>
      </c>
      <c r="AE1069" s="57" t="str">
        <f>IF(B1069="","",YEAR(C1069))</f>
        <v/>
      </c>
      <c r="AF1069" s="57" t="str">
        <f>IF(B1069="","",MONTH(C1069))</f>
        <v/>
      </c>
      <c r="AG1069" s="57">
        <f>IF(ISNUMBER(C1069),C1069,0)</f>
        <v>0.0</v>
      </c>
      <c r="AH1069" s="57" t="str">
        <f>IF(N(W1069)&gt;0,COUNTIF(W$6:W1069,"&gt;0"),"")</f>
        <v/>
      </c>
      <c r="AI1069" s="57" t="str">
        <f>IF(Z1069=1,COUNTIF(Z$6:Z1069,1),"")</f>
        <v/>
      </c>
    </row>
    <row r="1070">
      <c r="A1070" s="54" t="n"/>
      <c r="B1070" s="55" t="str">
        <f>IF(AA1070="","",A1070&amp;"-"&amp;RIGHT("000"&amp;AA1070,4))</f>
        <v/>
      </c>
      <c r="C1070" s="56" t="n"/>
      <c r="D1070" s="54" t="n"/>
      <c r="E1070" s="57" t="str">
        <f>IF(D1070="","",IF(A1070="BL",IFERROR(INDEX(cl_name,MATCH(D1070,cl_code,0))&amp;"","Client inconnu"),IF(A1070="BR",IFERROR(INDEX(fo_name,MATCH(D1070,fo_code,0))&amp;"","Fournisseur inconnu"),IF(A1070="BS",IF(ISNA(MATCH(D1070,p_services,0)),"Service inconnu",D1070&amp;""),""))))</f>
        <v/>
      </c>
      <c r="F1070" s="58" t="n"/>
      <c r="G1070" s="58" t="n"/>
      <c r="H1070" s="59" t="n"/>
      <c r="I1070" s="57" t="str">
        <f>IF(H1070="","",IFERROR(INDEX(art_des,MATCH(H1070,art_ref,0))&amp;"","Article inconnu"))</f>
        <v/>
      </c>
      <c r="J1070" s="60" t="str">
        <f>IF(H1070="","",IFERROR(INDEX(art_unit,MATCH(H1070,art_ref,0))&amp;"",""))</f>
        <v/>
      </c>
      <c r="K1070" s="59" t="n"/>
      <c r="L1070" s="59" t="n"/>
      <c r="M1070" s="61" t="str">
        <f>IF(OR(B1070="",NOT(ISNUMBER(K1070)),NOT(ISNUMBER(L1070))),"",IF(OR(K1070&lt;=0,L1070&lt;=0),"",ROUND(L1070-K1070,6)))</f>
        <v/>
      </c>
      <c r="N1070" s="58" t="n"/>
      <c r="O1070" s="62" t="n"/>
      <c r="P1070" s="63" t="str">
        <f>IF(OR(B1070="",NOT(ISNUMBER(L1070))),"",IF(L1070&lt;=0,"",IFERROR(ROUND(L1070*N(INDEX(art_w,MATCH(H1070,art_ref,0))),3),"")))</f>
        <v/>
      </c>
      <c r="Q1070" s="59" t="n"/>
      <c r="R1070" s="54" t="n"/>
      <c r="S1070" s="59" t="n"/>
      <c r="T1070" s="59" t="n"/>
      <c r="U1070" s="64" t="str">
        <f>IF(OR(B1070="",H1070=""),"",IFERROR(IF(A1070="BL",IF(N(INDEX(art_price,MATCH(H1070,art_ref,0)))=0,"",N(INDEX(art_price,MATCH(H1070,art_ref,0)))),IF(N(INDEX(art_cost,MATCH(H1070,art_ref,0)))=0,"",N(INDEX(art_cost,MATCH(H1070,art_ref,0))))),""))</f>
        <v/>
      </c>
      <c r="V1070" s="64" t="str">
        <f>IF(OR(U1070="",NOT(ISNUMBER(L1070))),"",IF(L1070&lt;=0,"",ROUND(L1070*U1070,2)))</f>
        <v/>
      </c>
      <c r="W1070" s="60" t="str">
        <f>IF(AND(B1070&lt;&gt;"",A1070&lt;&gt;"BS",F1070&lt;&gt;"",H1070&lt;&gt;"",ISNUMBER(K1070),ISNUMBER(L1070)),IF(AND(K1070&gt;0,L1070&gt;0,K1070-L1070&gt;0,COUNTIFS(A1071:A$2005,A1070,F1071:F$2005,F1070,H1071:H$2005,H1070,AA1071:AA$2005,"&gt;0")=0),ROUND(K1070-L1070,6),""),"")</f>
        <v/>
      </c>
      <c r="X1070" s="60" t="str">
        <f>IF(AND(A1070="",C1070="",D1070="",H1070="",L1070=""),"",IF(A1070="","Type manquant",IF(AND(A1070&lt;&gt;"BL",A1070&lt;&gt;"BR",A1070&lt;&gt;"BS"),"Type inconnu (BL, BR ou BS)",IF(AG1070=0,"Date manquante ou invalide",IF(D1070="",IF(A1070="BL","Client manquant",IF(A1070="BR","Fournisseur manquant","Service manquant")),IF(IF(A1070="BL",ISNA(MATCH(D1070,cl_code,0)),IF(A1070="BR",ISNA(MATCH(D1070,fo_code,0)),ISNA(MATCH(D1070,p_services,0)))),IF(A1070="BL","Client inconnu",IF(A1070="BR","Fournisseur inconnu","Service inconnu")),IF(H1070="","Article manquant",IF(ISNA(MATCH(H1070,art_ref,0)),"Article inconnu",IF(OR(NOT(ISNUMBER(L1070)),N(L1070)&lt;=0),"Quantité invalide",IF(AND(K1070&lt;&gt;"",OR(NOT(ISNUMBER(K1070)),N(K1070)&lt;=0)),"Qté commandée invalide",IF(AG1070&lt;SUMPRODUCT(MAX((A$6:A1069=A1070)*AG$6:AG1069)),"Date antérieure au bon précédent",IF(AND(A1070&lt;&gt;"BR",ISNUMBER(M1070),N(M1070)&gt;0),IF(A1070="BL","Livré plus que commandé","Sorti plus que demandé"),"OK"))))))))))))</f>
        <v/>
      </c>
      <c r="Y1070" s="57" t="str">
        <f>IF(AND(OR(A1070="BL",A1070="BR",A1070="BS"),AG1070&gt;0,D1070&lt;&gt;""),A1070&amp;"|"&amp;AG1070&amp;"|"&amp;D1070&amp;"|"&amp;F1070,"")</f>
        <v/>
      </c>
      <c r="Z1070" s="57" t="str">
        <f>IF(Y1070="","",IF(COUNTIF(Y$6:Y1069,Y1070)=0,1,0))</f>
        <v/>
      </c>
      <c r="AA1070" s="57" t="str">
        <f>IF(Y1070="","",IF(Z1070=1,COUNTIFS(A$6:A1070,A1070,Z$6:Z1070,1),INDEX(AA$6:AA1069,MATCH(Y1070,Y$6:Y1069,0))))</f>
        <v/>
      </c>
      <c r="AB1070" s="57" t="str">
        <f>IF(B1070="","",COUNTIF(B$6:B1070,B1070))</f>
        <v/>
      </c>
      <c r="AC1070" s="57" t="str">
        <f>IF(B1070="","",B1070&amp;"#"&amp;AB1070)</f>
        <v/>
      </c>
      <c r="AD1070" s="57" t="str">
        <f>IF(Z1070=1,A1070&amp;AA1070,"")</f>
        <v/>
      </c>
      <c r="AE1070" s="57" t="str">
        <f>IF(B1070="","",YEAR(C1070))</f>
        <v/>
      </c>
      <c r="AF1070" s="57" t="str">
        <f>IF(B1070="","",MONTH(C1070))</f>
        <v/>
      </c>
      <c r="AG1070" s="57">
        <f>IF(ISNUMBER(C1070),C1070,0)</f>
        <v>0.0</v>
      </c>
      <c r="AH1070" s="57" t="str">
        <f>IF(N(W1070)&gt;0,COUNTIF(W$6:W1070,"&gt;0"),"")</f>
        <v/>
      </c>
      <c r="AI1070" s="57" t="str">
        <f>IF(Z1070=1,COUNTIF(Z$6:Z1070,1),"")</f>
        <v/>
      </c>
    </row>
    <row r="1071">
      <c r="A1071" s="54" t="n"/>
      <c r="B1071" s="55" t="str">
        <f>IF(AA1071="","",A1071&amp;"-"&amp;RIGHT("000"&amp;AA1071,4))</f>
        <v/>
      </c>
      <c r="C1071" s="56" t="n"/>
      <c r="D1071" s="54" t="n"/>
      <c r="E1071" s="57" t="str">
        <f>IF(D1071="","",IF(A1071="BL",IFERROR(INDEX(cl_name,MATCH(D1071,cl_code,0))&amp;"","Client inconnu"),IF(A1071="BR",IFERROR(INDEX(fo_name,MATCH(D1071,fo_code,0))&amp;"","Fournisseur inconnu"),IF(A1071="BS",IF(ISNA(MATCH(D1071,p_services,0)),"Service inconnu",D1071&amp;""),""))))</f>
        <v/>
      </c>
      <c r="F1071" s="58" t="n"/>
      <c r="G1071" s="58" t="n"/>
      <c r="H1071" s="59" t="n"/>
      <c r="I1071" s="57" t="str">
        <f>IF(H1071="","",IFERROR(INDEX(art_des,MATCH(H1071,art_ref,0))&amp;"","Article inconnu"))</f>
        <v/>
      </c>
      <c r="J1071" s="60" t="str">
        <f>IF(H1071="","",IFERROR(INDEX(art_unit,MATCH(H1071,art_ref,0))&amp;"",""))</f>
        <v/>
      </c>
      <c r="K1071" s="59" t="n"/>
      <c r="L1071" s="59" t="n"/>
      <c r="M1071" s="61" t="str">
        <f>IF(OR(B1071="",NOT(ISNUMBER(K1071)),NOT(ISNUMBER(L1071))),"",IF(OR(K1071&lt;=0,L1071&lt;=0),"",ROUND(L1071-K1071,6)))</f>
        <v/>
      </c>
      <c r="N1071" s="58" t="n"/>
      <c r="O1071" s="62" t="n"/>
      <c r="P1071" s="63" t="str">
        <f>IF(OR(B1071="",NOT(ISNUMBER(L1071))),"",IF(L1071&lt;=0,"",IFERROR(ROUND(L1071*N(INDEX(art_w,MATCH(H1071,art_ref,0))),3),"")))</f>
        <v/>
      </c>
      <c r="Q1071" s="59" t="n"/>
      <c r="R1071" s="54" t="n"/>
      <c r="S1071" s="59" t="n"/>
      <c r="T1071" s="59" t="n"/>
      <c r="U1071" s="64" t="str">
        <f>IF(OR(B1071="",H1071=""),"",IFERROR(IF(A1071="BL",IF(N(INDEX(art_price,MATCH(H1071,art_ref,0)))=0,"",N(INDEX(art_price,MATCH(H1071,art_ref,0)))),IF(N(INDEX(art_cost,MATCH(H1071,art_ref,0)))=0,"",N(INDEX(art_cost,MATCH(H1071,art_ref,0))))),""))</f>
        <v/>
      </c>
      <c r="V1071" s="64" t="str">
        <f>IF(OR(U1071="",NOT(ISNUMBER(L1071))),"",IF(L1071&lt;=0,"",ROUND(L1071*U1071,2)))</f>
        <v/>
      </c>
      <c r="W1071" s="60" t="str">
        <f>IF(AND(B1071&lt;&gt;"",A1071&lt;&gt;"BS",F1071&lt;&gt;"",H1071&lt;&gt;"",ISNUMBER(K1071),ISNUMBER(L1071)),IF(AND(K1071&gt;0,L1071&gt;0,K1071-L1071&gt;0,COUNTIFS(A1072:A$2005,A1071,F1072:F$2005,F1071,H1072:H$2005,H1071,AA1072:AA$2005,"&gt;0")=0),ROUND(K1071-L1071,6),""),"")</f>
        <v/>
      </c>
      <c r="X1071" s="60" t="str">
        <f>IF(AND(A1071="",C1071="",D1071="",H1071="",L1071=""),"",IF(A1071="","Type manquant",IF(AND(A1071&lt;&gt;"BL",A1071&lt;&gt;"BR",A1071&lt;&gt;"BS"),"Type inconnu (BL, BR ou BS)",IF(AG1071=0,"Date manquante ou invalide",IF(D1071="",IF(A1071="BL","Client manquant",IF(A1071="BR","Fournisseur manquant","Service manquant")),IF(IF(A1071="BL",ISNA(MATCH(D1071,cl_code,0)),IF(A1071="BR",ISNA(MATCH(D1071,fo_code,0)),ISNA(MATCH(D1071,p_services,0)))),IF(A1071="BL","Client inconnu",IF(A1071="BR","Fournisseur inconnu","Service inconnu")),IF(H1071="","Article manquant",IF(ISNA(MATCH(H1071,art_ref,0)),"Article inconnu",IF(OR(NOT(ISNUMBER(L1071)),N(L1071)&lt;=0),"Quantité invalide",IF(AND(K1071&lt;&gt;"",OR(NOT(ISNUMBER(K1071)),N(K1071)&lt;=0)),"Qté commandée invalide",IF(AG1071&lt;SUMPRODUCT(MAX((A$6:A1070=A1071)*AG$6:AG1070)),"Date antérieure au bon précédent",IF(AND(A1071&lt;&gt;"BR",ISNUMBER(M1071),N(M1071)&gt;0),IF(A1071="BL","Livré plus que commandé","Sorti plus que demandé"),"OK"))))))))))))</f>
        <v/>
      </c>
      <c r="Y1071" s="57" t="str">
        <f>IF(AND(OR(A1071="BL",A1071="BR",A1071="BS"),AG1071&gt;0,D1071&lt;&gt;""),A1071&amp;"|"&amp;AG1071&amp;"|"&amp;D1071&amp;"|"&amp;F1071,"")</f>
        <v/>
      </c>
      <c r="Z1071" s="57" t="str">
        <f>IF(Y1071="","",IF(COUNTIF(Y$6:Y1070,Y1071)=0,1,0))</f>
        <v/>
      </c>
      <c r="AA1071" s="57" t="str">
        <f>IF(Y1071="","",IF(Z1071=1,COUNTIFS(A$6:A1071,A1071,Z$6:Z1071,1),INDEX(AA$6:AA1070,MATCH(Y1071,Y$6:Y1070,0))))</f>
        <v/>
      </c>
      <c r="AB1071" s="57" t="str">
        <f>IF(B1071="","",COUNTIF(B$6:B1071,B1071))</f>
        <v/>
      </c>
      <c r="AC1071" s="57" t="str">
        <f>IF(B1071="","",B1071&amp;"#"&amp;AB1071)</f>
        <v/>
      </c>
      <c r="AD1071" s="57" t="str">
        <f>IF(Z1071=1,A1071&amp;AA1071,"")</f>
        <v/>
      </c>
      <c r="AE1071" s="57" t="str">
        <f>IF(B1071="","",YEAR(C1071))</f>
        <v/>
      </c>
      <c r="AF1071" s="57" t="str">
        <f>IF(B1071="","",MONTH(C1071))</f>
        <v/>
      </c>
      <c r="AG1071" s="57">
        <f>IF(ISNUMBER(C1071),C1071,0)</f>
        <v>0.0</v>
      </c>
      <c r="AH1071" s="57" t="str">
        <f>IF(N(W1071)&gt;0,COUNTIF(W$6:W1071,"&gt;0"),"")</f>
        <v/>
      </c>
      <c r="AI1071" s="57" t="str">
        <f>IF(Z1071=1,COUNTIF(Z$6:Z1071,1),"")</f>
        <v/>
      </c>
    </row>
    <row r="1072">
      <c r="A1072" s="54" t="n"/>
      <c r="B1072" s="55" t="str">
        <f>IF(AA1072="","",A1072&amp;"-"&amp;RIGHT("000"&amp;AA1072,4))</f>
        <v/>
      </c>
      <c r="C1072" s="56" t="n"/>
      <c r="D1072" s="54" t="n"/>
      <c r="E1072" s="57" t="str">
        <f>IF(D1072="","",IF(A1072="BL",IFERROR(INDEX(cl_name,MATCH(D1072,cl_code,0))&amp;"","Client inconnu"),IF(A1072="BR",IFERROR(INDEX(fo_name,MATCH(D1072,fo_code,0))&amp;"","Fournisseur inconnu"),IF(A1072="BS",IF(ISNA(MATCH(D1072,p_services,0)),"Service inconnu",D1072&amp;""),""))))</f>
        <v/>
      </c>
      <c r="F1072" s="58" t="n"/>
      <c r="G1072" s="58" t="n"/>
      <c r="H1072" s="59" t="n"/>
      <c r="I1072" s="57" t="str">
        <f>IF(H1072="","",IFERROR(INDEX(art_des,MATCH(H1072,art_ref,0))&amp;"","Article inconnu"))</f>
        <v/>
      </c>
      <c r="J1072" s="60" t="str">
        <f>IF(H1072="","",IFERROR(INDEX(art_unit,MATCH(H1072,art_ref,0))&amp;"",""))</f>
        <v/>
      </c>
      <c r="K1072" s="59" t="n"/>
      <c r="L1072" s="59" t="n"/>
      <c r="M1072" s="61" t="str">
        <f>IF(OR(B1072="",NOT(ISNUMBER(K1072)),NOT(ISNUMBER(L1072))),"",IF(OR(K1072&lt;=0,L1072&lt;=0),"",ROUND(L1072-K1072,6)))</f>
        <v/>
      </c>
      <c r="N1072" s="58" t="n"/>
      <c r="O1072" s="62" t="n"/>
      <c r="P1072" s="63" t="str">
        <f>IF(OR(B1072="",NOT(ISNUMBER(L1072))),"",IF(L1072&lt;=0,"",IFERROR(ROUND(L1072*N(INDEX(art_w,MATCH(H1072,art_ref,0))),3),"")))</f>
        <v/>
      </c>
      <c r="Q1072" s="59" t="n"/>
      <c r="R1072" s="54" t="n"/>
      <c r="S1072" s="59" t="n"/>
      <c r="T1072" s="59" t="n"/>
      <c r="U1072" s="64" t="str">
        <f>IF(OR(B1072="",H1072=""),"",IFERROR(IF(A1072="BL",IF(N(INDEX(art_price,MATCH(H1072,art_ref,0)))=0,"",N(INDEX(art_price,MATCH(H1072,art_ref,0)))),IF(N(INDEX(art_cost,MATCH(H1072,art_ref,0)))=0,"",N(INDEX(art_cost,MATCH(H1072,art_ref,0))))),""))</f>
        <v/>
      </c>
      <c r="V1072" s="64" t="str">
        <f>IF(OR(U1072="",NOT(ISNUMBER(L1072))),"",IF(L1072&lt;=0,"",ROUND(L1072*U1072,2)))</f>
        <v/>
      </c>
      <c r="W1072" s="60" t="str">
        <f>IF(AND(B1072&lt;&gt;"",A1072&lt;&gt;"BS",F1072&lt;&gt;"",H1072&lt;&gt;"",ISNUMBER(K1072),ISNUMBER(L1072)),IF(AND(K1072&gt;0,L1072&gt;0,K1072-L1072&gt;0,COUNTIFS(A1073:A$2005,A1072,F1073:F$2005,F1072,H1073:H$2005,H1072,AA1073:AA$2005,"&gt;0")=0),ROUND(K1072-L1072,6),""),"")</f>
        <v/>
      </c>
      <c r="X1072" s="60" t="str">
        <f>IF(AND(A1072="",C1072="",D1072="",H1072="",L1072=""),"",IF(A1072="","Type manquant",IF(AND(A1072&lt;&gt;"BL",A1072&lt;&gt;"BR",A1072&lt;&gt;"BS"),"Type inconnu (BL, BR ou BS)",IF(AG1072=0,"Date manquante ou invalide",IF(D1072="",IF(A1072="BL","Client manquant",IF(A1072="BR","Fournisseur manquant","Service manquant")),IF(IF(A1072="BL",ISNA(MATCH(D1072,cl_code,0)),IF(A1072="BR",ISNA(MATCH(D1072,fo_code,0)),ISNA(MATCH(D1072,p_services,0)))),IF(A1072="BL","Client inconnu",IF(A1072="BR","Fournisseur inconnu","Service inconnu")),IF(H1072="","Article manquant",IF(ISNA(MATCH(H1072,art_ref,0)),"Article inconnu",IF(OR(NOT(ISNUMBER(L1072)),N(L1072)&lt;=0),"Quantité invalide",IF(AND(K1072&lt;&gt;"",OR(NOT(ISNUMBER(K1072)),N(K1072)&lt;=0)),"Qté commandée invalide",IF(AG1072&lt;SUMPRODUCT(MAX((A$6:A1071=A1072)*AG$6:AG1071)),"Date antérieure au bon précédent",IF(AND(A1072&lt;&gt;"BR",ISNUMBER(M1072),N(M1072)&gt;0),IF(A1072="BL","Livré plus que commandé","Sorti plus que demandé"),"OK"))))))))))))</f>
        <v/>
      </c>
      <c r="Y1072" s="57" t="str">
        <f>IF(AND(OR(A1072="BL",A1072="BR",A1072="BS"),AG1072&gt;0,D1072&lt;&gt;""),A1072&amp;"|"&amp;AG1072&amp;"|"&amp;D1072&amp;"|"&amp;F1072,"")</f>
        <v/>
      </c>
      <c r="Z1072" s="57" t="str">
        <f>IF(Y1072="","",IF(COUNTIF(Y$6:Y1071,Y1072)=0,1,0))</f>
        <v/>
      </c>
      <c r="AA1072" s="57" t="str">
        <f>IF(Y1072="","",IF(Z1072=1,COUNTIFS(A$6:A1072,A1072,Z$6:Z1072,1),INDEX(AA$6:AA1071,MATCH(Y1072,Y$6:Y1071,0))))</f>
        <v/>
      </c>
      <c r="AB1072" s="57" t="str">
        <f>IF(B1072="","",COUNTIF(B$6:B1072,B1072))</f>
        <v/>
      </c>
      <c r="AC1072" s="57" t="str">
        <f>IF(B1072="","",B1072&amp;"#"&amp;AB1072)</f>
        <v/>
      </c>
      <c r="AD1072" s="57" t="str">
        <f>IF(Z1072=1,A1072&amp;AA1072,"")</f>
        <v/>
      </c>
      <c r="AE1072" s="57" t="str">
        <f>IF(B1072="","",YEAR(C1072))</f>
        <v/>
      </c>
      <c r="AF1072" s="57" t="str">
        <f>IF(B1072="","",MONTH(C1072))</f>
        <v/>
      </c>
      <c r="AG1072" s="57">
        <f>IF(ISNUMBER(C1072),C1072,0)</f>
        <v>0.0</v>
      </c>
      <c r="AH1072" s="57" t="str">
        <f>IF(N(W1072)&gt;0,COUNTIF(W$6:W1072,"&gt;0"),"")</f>
        <v/>
      </c>
      <c r="AI1072" s="57" t="str">
        <f>IF(Z1072=1,COUNTIF(Z$6:Z1072,1),"")</f>
        <v/>
      </c>
    </row>
    <row r="1073">
      <c r="A1073" s="54" t="n"/>
      <c r="B1073" s="55" t="str">
        <f>IF(AA1073="","",A1073&amp;"-"&amp;RIGHT("000"&amp;AA1073,4))</f>
        <v/>
      </c>
      <c r="C1073" s="56" t="n"/>
      <c r="D1073" s="54" t="n"/>
      <c r="E1073" s="57" t="str">
        <f>IF(D1073="","",IF(A1073="BL",IFERROR(INDEX(cl_name,MATCH(D1073,cl_code,0))&amp;"","Client inconnu"),IF(A1073="BR",IFERROR(INDEX(fo_name,MATCH(D1073,fo_code,0))&amp;"","Fournisseur inconnu"),IF(A1073="BS",IF(ISNA(MATCH(D1073,p_services,0)),"Service inconnu",D1073&amp;""),""))))</f>
        <v/>
      </c>
      <c r="F1073" s="58" t="n"/>
      <c r="G1073" s="58" t="n"/>
      <c r="H1073" s="59" t="n"/>
      <c r="I1073" s="57" t="str">
        <f>IF(H1073="","",IFERROR(INDEX(art_des,MATCH(H1073,art_ref,0))&amp;"","Article inconnu"))</f>
        <v/>
      </c>
      <c r="J1073" s="60" t="str">
        <f>IF(H1073="","",IFERROR(INDEX(art_unit,MATCH(H1073,art_ref,0))&amp;"",""))</f>
        <v/>
      </c>
      <c r="K1073" s="59" t="n"/>
      <c r="L1073" s="59" t="n"/>
      <c r="M1073" s="61" t="str">
        <f>IF(OR(B1073="",NOT(ISNUMBER(K1073)),NOT(ISNUMBER(L1073))),"",IF(OR(K1073&lt;=0,L1073&lt;=0),"",ROUND(L1073-K1073,6)))</f>
        <v/>
      </c>
      <c r="N1073" s="58" t="n"/>
      <c r="O1073" s="62" t="n"/>
      <c r="P1073" s="63" t="str">
        <f>IF(OR(B1073="",NOT(ISNUMBER(L1073))),"",IF(L1073&lt;=0,"",IFERROR(ROUND(L1073*N(INDEX(art_w,MATCH(H1073,art_ref,0))),3),"")))</f>
        <v/>
      </c>
      <c r="Q1073" s="59" t="n"/>
      <c r="R1073" s="54" t="n"/>
      <c r="S1073" s="59" t="n"/>
      <c r="T1073" s="59" t="n"/>
      <c r="U1073" s="64" t="str">
        <f>IF(OR(B1073="",H1073=""),"",IFERROR(IF(A1073="BL",IF(N(INDEX(art_price,MATCH(H1073,art_ref,0)))=0,"",N(INDEX(art_price,MATCH(H1073,art_ref,0)))),IF(N(INDEX(art_cost,MATCH(H1073,art_ref,0)))=0,"",N(INDEX(art_cost,MATCH(H1073,art_ref,0))))),""))</f>
        <v/>
      </c>
      <c r="V1073" s="64" t="str">
        <f>IF(OR(U1073="",NOT(ISNUMBER(L1073))),"",IF(L1073&lt;=0,"",ROUND(L1073*U1073,2)))</f>
        <v/>
      </c>
      <c r="W1073" s="60" t="str">
        <f>IF(AND(B1073&lt;&gt;"",A1073&lt;&gt;"BS",F1073&lt;&gt;"",H1073&lt;&gt;"",ISNUMBER(K1073),ISNUMBER(L1073)),IF(AND(K1073&gt;0,L1073&gt;0,K1073-L1073&gt;0,COUNTIFS(A1074:A$2005,A1073,F1074:F$2005,F1073,H1074:H$2005,H1073,AA1074:AA$2005,"&gt;0")=0),ROUND(K1073-L1073,6),""),"")</f>
        <v/>
      </c>
      <c r="X1073" s="60" t="str">
        <f>IF(AND(A1073="",C1073="",D1073="",H1073="",L1073=""),"",IF(A1073="","Type manquant",IF(AND(A1073&lt;&gt;"BL",A1073&lt;&gt;"BR",A1073&lt;&gt;"BS"),"Type inconnu (BL, BR ou BS)",IF(AG1073=0,"Date manquante ou invalide",IF(D1073="",IF(A1073="BL","Client manquant",IF(A1073="BR","Fournisseur manquant","Service manquant")),IF(IF(A1073="BL",ISNA(MATCH(D1073,cl_code,0)),IF(A1073="BR",ISNA(MATCH(D1073,fo_code,0)),ISNA(MATCH(D1073,p_services,0)))),IF(A1073="BL","Client inconnu",IF(A1073="BR","Fournisseur inconnu","Service inconnu")),IF(H1073="","Article manquant",IF(ISNA(MATCH(H1073,art_ref,0)),"Article inconnu",IF(OR(NOT(ISNUMBER(L1073)),N(L1073)&lt;=0),"Quantité invalide",IF(AND(K1073&lt;&gt;"",OR(NOT(ISNUMBER(K1073)),N(K1073)&lt;=0)),"Qté commandée invalide",IF(AG1073&lt;SUMPRODUCT(MAX((A$6:A1072=A1073)*AG$6:AG1072)),"Date antérieure au bon précédent",IF(AND(A1073&lt;&gt;"BR",ISNUMBER(M1073),N(M1073)&gt;0),IF(A1073="BL","Livré plus que commandé","Sorti plus que demandé"),"OK"))))))))))))</f>
        <v/>
      </c>
      <c r="Y1073" s="57" t="str">
        <f>IF(AND(OR(A1073="BL",A1073="BR",A1073="BS"),AG1073&gt;0,D1073&lt;&gt;""),A1073&amp;"|"&amp;AG1073&amp;"|"&amp;D1073&amp;"|"&amp;F1073,"")</f>
        <v/>
      </c>
      <c r="Z1073" s="57" t="str">
        <f>IF(Y1073="","",IF(COUNTIF(Y$6:Y1072,Y1073)=0,1,0))</f>
        <v/>
      </c>
      <c r="AA1073" s="57" t="str">
        <f>IF(Y1073="","",IF(Z1073=1,COUNTIFS(A$6:A1073,A1073,Z$6:Z1073,1),INDEX(AA$6:AA1072,MATCH(Y1073,Y$6:Y1072,0))))</f>
        <v/>
      </c>
      <c r="AB1073" s="57" t="str">
        <f>IF(B1073="","",COUNTIF(B$6:B1073,B1073))</f>
        <v/>
      </c>
      <c r="AC1073" s="57" t="str">
        <f>IF(B1073="","",B1073&amp;"#"&amp;AB1073)</f>
        <v/>
      </c>
      <c r="AD1073" s="57" t="str">
        <f>IF(Z1073=1,A1073&amp;AA1073,"")</f>
        <v/>
      </c>
      <c r="AE1073" s="57" t="str">
        <f>IF(B1073="","",YEAR(C1073))</f>
        <v/>
      </c>
      <c r="AF1073" s="57" t="str">
        <f>IF(B1073="","",MONTH(C1073))</f>
        <v/>
      </c>
      <c r="AG1073" s="57">
        <f>IF(ISNUMBER(C1073),C1073,0)</f>
        <v>0.0</v>
      </c>
      <c r="AH1073" s="57" t="str">
        <f>IF(N(W1073)&gt;0,COUNTIF(W$6:W1073,"&gt;0"),"")</f>
        <v/>
      </c>
      <c r="AI1073" s="57" t="str">
        <f>IF(Z1073=1,COUNTIF(Z$6:Z1073,1),"")</f>
        <v/>
      </c>
    </row>
    <row r="1074">
      <c r="A1074" s="54" t="n"/>
      <c r="B1074" s="55" t="str">
        <f>IF(AA1074="","",A1074&amp;"-"&amp;RIGHT("000"&amp;AA1074,4))</f>
        <v/>
      </c>
      <c r="C1074" s="56" t="n"/>
      <c r="D1074" s="54" t="n"/>
      <c r="E1074" s="57" t="str">
        <f>IF(D1074="","",IF(A1074="BL",IFERROR(INDEX(cl_name,MATCH(D1074,cl_code,0))&amp;"","Client inconnu"),IF(A1074="BR",IFERROR(INDEX(fo_name,MATCH(D1074,fo_code,0))&amp;"","Fournisseur inconnu"),IF(A1074="BS",IF(ISNA(MATCH(D1074,p_services,0)),"Service inconnu",D1074&amp;""),""))))</f>
        <v/>
      </c>
      <c r="F1074" s="58" t="n"/>
      <c r="G1074" s="58" t="n"/>
      <c r="H1074" s="59" t="n"/>
      <c r="I1074" s="57" t="str">
        <f>IF(H1074="","",IFERROR(INDEX(art_des,MATCH(H1074,art_ref,0))&amp;"","Article inconnu"))</f>
        <v/>
      </c>
      <c r="J1074" s="60" t="str">
        <f>IF(H1074="","",IFERROR(INDEX(art_unit,MATCH(H1074,art_ref,0))&amp;"",""))</f>
        <v/>
      </c>
      <c r="K1074" s="59" t="n"/>
      <c r="L1074" s="59" t="n"/>
      <c r="M1074" s="61" t="str">
        <f>IF(OR(B1074="",NOT(ISNUMBER(K1074)),NOT(ISNUMBER(L1074))),"",IF(OR(K1074&lt;=0,L1074&lt;=0),"",ROUND(L1074-K1074,6)))</f>
        <v/>
      </c>
      <c r="N1074" s="58" t="n"/>
      <c r="O1074" s="62" t="n"/>
      <c r="P1074" s="63" t="str">
        <f>IF(OR(B1074="",NOT(ISNUMBER(L1074))),"",IF(L1074&lt;=0,"",IFERROR(ROUND(L1074*N(INDEX(art_w,MATCH(H1074,art_ref,0))),3),"")))</f>
        <v/>
      </c>
      <c r="Q1074" s="59" t="n"/>
      <c r="R1074" s="54" t="n"/>
      <c r="S1074" s="59" t="n"/>
      <c r="T1074" s="59" t="n"/>
      <c r="U1074" s="64" t="str">
        <f>IF(OR(B1074="",H1074=""),"",IFERROR(IF(A1074="BL",IF(N(INDEX(art_price,MATCH(H1074,art_ref,0)))=0,"",N(INDEX(art_price,MATCH(H1074,art_ref,0)))),IF(N(INDEX(art_cost,MATCH(H1074,art_ref,0)))=0,"",N(INDEX(art_cost,MATCH(H1074,art_ref,0))))),""))</f>
        <v/>
      </c>
      <c r="V1074" s="64" t="str">
        <f>IF(OR(U1074="",NOT(ISNUMBER(L1074))),"",IF(L1074&lt;=0,"",ROUND(L1074*U1074,2)))</f>
        <v/>
      </c>
      <c r="W1074" s="60" t="str">
        <f>IF(AND(B1074&lt;&gt;"",A1074&lt;&gt;"BS",F1074&lt;&gt;"",H1074&lt;&gt;"",ISNUMBER(K1074),ISNUMBER(L1074)),IF(AND(K1074&gt;0,L1074&gt;0,K1074-L1074&gt;0,COUNTIFS(A1075:A$2005,A1074,F1075:F$2005,F1074,H1075:H$2005,H1074,AA1075:AA$2005,"&gt;0")=0),ROUND(K1074-L1074,6),""),"")</f>
        <v/>
      </c>
      <c r="X1074" s="60" t="str">
        <f>IF(AND(A1074="",C1074="",D1074="",H1074="",L1074=""),"",IF(A1074="","Type manquant",IF(AND(A1074&lt;&gt;"BL",A1074&lt;&gt;"BR",A1074&lt;&gt;"BS"),"Type inconnu (BL, BR ou BS)",IF(AG1074=0,"Date manquante ou invalide",IF(D1074="",IF(A1074="BL","Client manquant",IF(A1074="BR","Fournisseur manquant","Service manquant")),IF(IF(A1074="BL",ISNA(MATCH(D1074,cl_code,0)),IF(A1074="BR",ISNA(MATCH(D1074,fo_code,0)),ISNA(MATCH(D1074,p_services,0)))),IF(A1074="BL","Client inconnu",IF(A1074="BR","Fournisseur inconnu","Service inconnu")),IF(H1074="","Article manquant",IF(ISNA(MATCH(H1074,art_ref,0)),"Article inconnu",IF(OR(NOT(ISNUMBER(L1074)),N(L1074)&lt;=0),"Quantité invalide",IF(AND(K1074&lt;&gt;"",OR(NOT(ISNUMBER(K1074)),N(K1074)&lt;=0)),"Qté commandée invalide",IF(AG1074&lt;SUMPRODUCT(MAX((A$6:A1073=A1074)*AG$6:AG1073)),"Date antérieure au bon précédent",IF(AND(A1074&lt;&gt;"BR",ISNUMBER(M1074),N(M1074)&gt;0),IF(A1074="BL","Livré plus que commandé","Sorti plus que demandé"),"OK"))))))))))))</f>
        <v/>
      </c>
      <c r="Y1074" s="57" t="str">
        <f>IF(AND(OR(A1074="BL",A1074="BR",A1074="BS"),AG1074&gt;0,D1074&lt;&gt;""),A1074&amp;"|"&amp;AG1074&amp;"|"&amp;D1074&amp;"|"&amp;F1074,"")</f>
        <v/>
      </c>
      <c r="Z1074" s="57" t="str">
        <f>IF(Y1074="","",IF(COUNTIF(Y$6:Y1073,Y1074)=0,1,0))</f>
        <v/>
      </c>
      <c r="AA1074" s="57" t="str">
        <f>IF(Y1074="","",IF(Z1074=1,COUNTIFS(A$6:A1074,A1074,Z$6:Z1074,1),INDEX(AA$6:AA1073,MATCH(Y1074,Y$6:Y1073,0))))</f>
        <v/>
      </c>
      <c r="AB1074" s="57" t="str">
        <f>IF(B1074="","",COUNTIF(B$6:B1074,B1074))</f>
        <v/>
      </c>
      <c r="AC1074" s="57" t="str">
        <f>IF(B1074="","",B1074&amp;"#"&amp;AB1074)</f>
        <v/>
      </c>
      <c r="AD1074" s="57" t="str">
        <f>IF(Z1074=1,A1074&amp;AA1074,"")</f>
        <v/>
      </c>
      <c r="AE1074" s="57" t="str">
        <f>IF(B1074="","",YEAR(C1074))</f>
        <v/>
      </c>
      <c r="AF1074" s="57" t="str">
        <f>IF(B1074="","",MONTH(C1074))</f>
        <v/>
      </c>
      <c r="AG1074" s="57">
        <f>IF(ISNUMBER(C1074),C1074,0)</f>
        <v>0.0</v>
      </c>
      <c r="AH1074" s="57" t="str">
        <f>IF(N(W1074)&gt;0,COUNTIF(W$6:W1074,"&gt;0"),"")</f>
        <v/>
      </c>
      <c r="AI1074" s="57" t="str">
        <f>IF(Z1074=1,COUNTIF(Z$6:Z1074,1),"")</f>
        <v/>
      </c>
    </row>
    <row r="1075">
      <c r="A1075" s="54" t="n"/>
      <c r="B1075" s="55" t="str">
        <f>IF(AA1075="","",A1075&amp;"-"&amp;RIGHT("000"&amp;AA1075,4))</f>
        <v/>
      </c>
      <c r="C1075" s="56" t="n"/>
      <c r="D1075" s="54" t="n"/>
      <c r="E1075" s="57" t="str">
        <f>IF(D1075="","",IF(A1075="BL",IFERROR(INDEX(cl_name,MATCH(D1075,cl_code,0))&amp;"","Client inconnu"),IF(A1075="BR",IFERROR(INDEX(fo_name,MATCH(D1075,fo_code,0))&amp;"","Fournisseur inconnu"),IF(A1075="BS",IF(ISNA(MATCH(D1075,p_services,0)),"Service inconnu",D1075&amp;""),""))))</f>
        <v/>
      </c>
      <c r="F1075" s="58" t="n"/>
      <c r="G1075" s="58" t="n"/>
      <c r="H1075" s="59" t="n"/>
      <c r="I1075" s="57" t="str">
        <f>IF(H1075="","",IFERROR(INDEX(art_des,MATCH(H1075,art_ref,0))&amp;"","Article inconnu"))</f>
        <v/>
      </c>
      <c r="J1075" s="60" t="str">
        <f>IF(H1075="","",IFERROR(INDEX(art_unit,MATCH(H1075,art_ref,0))&amp;"",""))</f>
        <v/>
      </c>
      <c r="K1075" s="59" t="n"/>
      <c r="L1075" s="59" t="n"/>
      <c r="M1075" s="61" t="str">
        <f>IF(OR(B1075="",NOT(ISNUMBER(K1075)),NOT(ISNUMBER(L1075))),"",IF(OR(K1075&lt;=0,L1075&lt;=0),"",ROUND(L1075-K1075,6)))</f>
        <v/>
      </c>
      <c r="N1075" s="58" t="n"/>
      <c r="O1075" s="62" t="n"/>
      <c r="P1075" s="63" t="str">
        <f>IF(OR(B1075="",NOT(ISNUMBER(L1075))),"",IF(L1075&lt;=0,"",IFERROR(ROUND(L1075*N(INDEX(art_w,MATCH(H1075,art_ref,0))),3),"")))</f>
        <v/>
      </c>
      <c r="Q1075" s="59" t="n"/>
      <c r="R1075" s="54" t="n"/>
      <c r="S1075" s="59" t="n"/>
      <c r="T1075" s="59" t="n"/>
      <c r="U1075" s="64" t="str">
        <f>IF(OR(B1075="",H1075=""),"",IFERROR(IF(A1075="BL",IF(N(INDEX(art_price,MATCH(H1075,art_ref,0)))=0,"",N(INDEX(art_price,MATCH(H1075,art_ref,0)))),IF(N(INDEX(art_cost,MATCH(H1075,art_ref,0)))=0,"",N(INDEX(art_cost,MATCH(H1075,art_ref,0))))),""))</f>
        <v/>
      </c>
      <c r="V1075" s="64" t="str">
        <f>IF(OR(U1075="",NOT(ISNUMBER(L1075))),"",IF(L1075&lt;=0,"",ROUND(L1075*U1075,2)))</f>
        <v/>
      </c>
      <c r="W1075" s="60" t="str">
        <f>IF(AND(B1075&lt;&gt;"",A1075&lt;&gt;"BS",F1075&lt;&gt;"",H1075&lt;&gt;"",ISNUMBER(K1075),ISNUMBER(L1075)),IF(AND(K1075&gt;0,L1075&gt;0,K1075-L1075&gt;0,COUNTIFS(A1076:A$2005,A1075,F1076:F$2005,F1075,H1076:H$2005,H1075,AA1076:AA$2005,"&gt;0")=0),ROUND(K1075-L1075,6),""),"")</f>
        <v/>
      </c>
      <c r="X1075" s="60" t="str">
        <f>IF(AND(A1075="",C1075="",D1075="",H1075="",L1075=""),"",IF(A1075="","Type manquant",IF(AND(A1075&lt;&gt;"BL",A1075&lt;&gt;"BR",A1075&lt;&gt;"BS"),"Type inconnu (BL, BR ou BS)",IF(AG1075=0,"Date manquante ou invalide",IF(D1075="",IF(A1075="BL","Client manquant",IF(A1075="BR","Fournisseur manquant","Service manquant")),IF(IF(A1075="BL",ISNA(MATCH(D1075,cl_code,0)),IF(A1075="BR",ISNA(MATCH(D1075,fo_code,0)),ISNA(MATCH(D1075,p_services,0)))),IF(A1075="BL","Client inconnu",IF(A1075="BR","Fournisseur inconnu","Service inconnu")),IF(H1075="","Article manquant",IF(ISNA(MATCH(H1075,art_ref,0)),"Article inconnu",IF(OR(NOT(ISNUMBER(L1075)),N(L1075)&lt;=0),"Quantité invalide",IF(AND(K1075&lt;&gt;"",OR(NOT(ISNUMBER(K1075)),N(K1075)&lt;=0)),"Qté commandée invalide",IF(AG1075&lt;SUMPRODUCT(MAX((A$6:A1074=A1075)*AG$6:AG1074)),"Date antérieure au bon précédent",IF(AND(A1075&lt;&gt;"BR",ISNUMBER(M1075),N(M1075)&gt;0),IF(A1075="BL","Livré plus que commandé","Sorti plus que demandé"),"OK"))))))))))))</f>
        <v/>
      </c>
      <c r="Y1075" s="57" t="str">
        <f>IF(AND(OR(A1075="BL",A1075="BR",A1075="BS"),AG1075&gt;0,D1075&lt;&gt;""),A1075&amp;"|"&amp;AG1075&amp;"|"&amp;D1075&amp;"|"&amp;F1075,"")</f>
        <v/>
      </c>
      <c r="Z1075" s="57" t="str">
        <f>IF(Y1075="","",IF(COUNTIF(Y$6:Y1074,Y1075)=0,1,0))</f>
        <v/>
      </c>
      <c r="AA1075" s="57" t="str">
        <f>IF(Y1075="","",IF(Z1075=1,COUNTIFS(A$6:A1075,A1075,Z$6:Z1075,1),INDEX(AA$6:AA1074,MATCH(Y1075,Y$6:Y1074,0))))</f>
        <v/>
      </c>
      <c r="AB1075" s="57" t="str">
        <f>IF(B1075="","",COUNTIF(B$6:B1075,B1075))</f>
        <v/>
      </c>
      <c r="AC1075" s="57" t="str">
        <f>IF(B1075="","",B1075&amp;"#"&amp;AB1075)</f>
        <v/>
      </c>
      <c r="AD1075" s="57" t="str">
        <f>IF(Z1075=1,A1075&amp;AA1075,"")</f>
        <v/>
      </c>
      <c r="AE1075" s="57" t="str">
        <f>IF(B1075="","",YEAR(C1075))</f>
        <v/>
      </c>
      <c r="AF1075" s="57" t="str">
        <f>IF(B1075="","",MONTH(C1075))</f>
        <v/>
      </c>
      <c r="AG1075" s="57">
        <f>IF(ISNUMBER(C1075),C1075,0)</f>
        <v>0.0</v>
      </c>
      <c r="AH1075" s="57" t="str">
        <f>IF(N(W1075)&gt;0,COUNTIF(W$6:W1075,"&gt;0"),"")</f>
        <v/>
      </c>
      <c r="AI1075" s="57" t="str">
        <f>IF(Z1075=1,COUNTIF(Z$6:Z1075,1),"")</f>
        <v/>
      </c>
    </row>
    <row r="1076">
      <c r="A1076" s="54" t="n"/>
      <c r="B1076" s="55" t="str">
        <f>IF(AA1076="","",A1076&amp;"-"&amp;RIGHT("000"&amp;AA1076,4))</f>
        <v/>
      </c>
      <c r="C1076" s="56" t="n"/>
      <c r="D1076" s="54" t="n"/>
      <c r="E1076" s="57" t="str">
        <f>IF(D1076="","",IF(A1076="BL",IFERROR(INDEX(cl_name,MATCH(D1076,cl_code,0))&amp;"","Client inconnu"),IF(A1076="BR",IFERROR(INDEX(fo_name,MATCH(D1076,fo_code,0))&amp;"","Fournisseur inconnu"),IF(A1076="BS",IF(ISNA(MATCH(D1076,p_services,0)),"Service inconnu",D1076&amp;""),""))))</f>
        <v/>
      </c>
      <c r="F1076" s="58" t="n"/>
      <c r="G1076" s="58" t="n"/>
      <c r="H1076" s="59" t="n"/>
      <c r="I1076" s="57" t="str">
        <f>IF(H1076="","",IFERROR(INDEX(art_des,MATCH(H1076,art_ref,0))&amp;"","Article inconnu"))</f>
        <v/>
      </c>
      <c r="J1076" s="60" t="str">
        <f>IF(H1076="","",IFERROR(INDEX(art_unit,MATCH(H1076,art_ref,0))&amp;"",""))</f>
        <v/>
      </c>
      <c r="K1076" s="59" t="n"/>
      <c r="L1076" s="59" t="n"/>
      <c r="M1076" s="61" t="str">
        <f>IF(OR(B1076="",NOT(ISNUMBER(K1076)),NOT(ISNUMBER(L1076))),"",IF(OR(K1076&lt;=0,L1076&lt;=0),"",ROUND(L1076-K1076,6)))</f>
        <v/>
      </c>
      <c r="N1076" s="58" t="n"/>
      <c r="O1076" s="62" t="n"/>
      <c r="P1076" s="63" t="str">
        <f>IF(OR(B1076="",NOT(ISNUMBER(L1076))),"",IF(L1076&lt;=0,"",IFERROR(ROUND(L1076*N(INDEX(art_w,MATCH(H1076,art_ref,0))),3),"")))</f>
        <v/>
      </c>
      <c r="Q1076" s="59" t="n"/>
      <c r="R1076" s="54" t="n"/>
      <c r="S1076" s="59" t="n"/>
      <c r="T1076" s="59" t="n"/>
      <c r="U1076" s="64" t="str">
        <f>IF(OR(B1076="",H1076=""),"",IFERROR(IF(A1076="BL",IF(N(INDEX(art_price,MATCH(H1076,art_ref,0)))=0,"",N(INDEX(art_price,MATCH(H1076,art_ref,0)))),IF(N(INDEX(art_cost,MATCH(H1076,art_ref,0)))=0,"",N(INDEX(art_cost,MATCH(H1076,art_ref,0))))),""))</f>
        <v/>
      </c>
      <c r="V1076" s="64" t="str">
        <f>IF(OR(U1076="",NOT(ISNUMBER(L1076))),"",IF(L1076&lt;=0,"",ROUND(L1076*U1076,2)))</f>
        <v/>
      </c>
      <c r="W1076" s="60" t="str">
        <f>IF(AND(B1076&lt;&gt;"",A1076&lt;&gt;"BS",F1076&lt;&gt;"",H1076&lt;&gt;"",ISNUMBER(K1076),ISNUMBER(L1076)),IF(AND(K1076&gt;0,L1076&gt;0,K1076-L1076&gt;0,COUNTIFS(A1077:A$2005,A1076,F1077:F$2005,F1076,H1077:H$2005,H1076,AA1077:AA$2005,"&gt;0")=0),ROUND(K1076-L1076,6),""),"")</f>
        <v/>
      </c>
      <c r="X1076" s="60" t="str">
        <f>IF(AND(A1076="",C1076="",D1076="",H1076="",L1076=""),"",IF(A1076="","Type manquant",IF(AND(A1076&lt;&gt;"BL",A1076&lt;&gt;"BR",A1076&lt;&gt;"BS"),"Type inconnu (BL, BR ou BS)",IF(AG1076=0,"Date manquante ou invalide",IF(D1076="",IF(A1076="BL","Client manquant",IF(A1076="BR","Fournisseur manquant","Service manquant")),IF(IF(A1076="BL",ISNA(MATCH(D1076,cl_code,0)),IF(A1076="BR",ISNA(MATCH(D1076,fo_code,0)),ISNA(MATCH(D1076,p_services,0)))),IF(A1076="BL","Client inconnu",IF(A1076="BR","Fournisseur inconnu","Service inconnu")),IF(H1076="","Article manquant",IF(ISNA(MATCH(H1076,art_ref,0)),"Article inconnu",IF(OR(NOT(ISNUMBER(L1076)),N(L1076)&lt;=0),"Quantité invalide",IF(AND(K1076&lt;&gt;"",OR(NOT(ISNUMBER(K1076)),N(K1076)&lt;=0)),"Qté commandée invalide",IF(AG1076&lt;SUMPRODUCT(MAX((A$6:A1075=A1076)*AG$6:AG1075)),"Date antérieure au bon précédent",IF(AND(A1076&lt;&gt;"BR",ISNUMBER(M1076),N(M1076)&gt;0),IF(A1076="BL","Livré plus que commandé","Sorti plus que demandé"),"OK"))))))))))))</f>
        <v/>
      </c>
      <c r="Y1076" s="57" t="str">
        <f>IF(AND(OR(A1076="BL",A1076="BR",A1076="BS"),AG1076&gt;0,D1076&lt;&gt;""),A1076&amp;"|"&amp;AG1076&amp;"|"&amp;D1076&amp;"|"&amp;F1076,"")</f>
        <v/>
      </c>
      <c r="Z1076" s="57" t="str">
        <f>IF(Y1076="","",IF(COUNTIF(Y$6:Y1075,Y1076)=0,1,0))</f>
        <v/>
      </c>
      <c r="AA1076" s="57" t="str">
        <f>IF(Y1076="","",IF(Z1076=1,COUNTIFS(A$6:A1076,A1076,Z$6:Z1076,1),INDEX(AA$6:AA1075,MATCH(Y1076,Y$6:Y1075,0))))</f>
        <v/>
      </c>
      <c r="AB1076" s="57" t="str">
        <f>IF(B1076="","",COUNTIF(B$6:B1076,B1076))</f>
        <v/>
      </c>
      <c r="AC1076" s="57" t="str">
        <f>IF(B1076="","",B1076&amp;"#"&amp;AB1076)</f>
        <v/>
      </c>
      <c r="AD1076" s="57" t="str">
        <f>IF(Z1076=1,A1076&amp;AA1076,"")</f>
        <v/>
      </c>
      <c r="AE1076" s="57" t="str">
        <f>IF(B1076="","",YEAR(C1076))</f>
        <v/>
      </c>
      <c r="AF1076" s="57" t="str">
        <f>IF(B1076="","",MONTH(C1076))</f>
        <v/>
      </c>
      <c r="AG1076" s="57">
        <f>IF(ISNUMBER(C1076),C1076,0)</f>
        <v>0.0</v>
      </c>
      <c r="AH1076" s="57" t="str">
        <f>IF(N(W1076)&gt;0,COUNTIF(W$6:W1076,"&gt;0"),"")</f>
        <v/>
      </c>
      <c r="AI1076" s="57" t="str">
        <f>IF(Z1076=1,COUNTIF(Z$6:Z1076,1),"")</f>
        <v/>
      </c>
    </row>
    <row r="1077">
      <c r="A1077" s="54" t="n"/>
      <c r="B1077" s="55" t="str">
        <f>IF(AA1077="","",A1077&amp;"-"&amp;RIGHT("000"&amp;AA1077,4))</f>
        <v/>
      </c>
      <c r="C1077" s="56" t="n"/>
      <c r="D1077" s="54" t="n"/>
      <c r="E1077" s="57" t="str">
        <f>IF(D1077="","",IF(A1077="BL",IFERROR(INDEX(cl_name,MATCH(D1077,cl_code,0))&amp;"","Client inconnu"),IF(A1077="BR",IFERROR(INDEX(fo_name,MATCH(D1077,fo_code,0))&amp;"","Fournisseur inconnu"),IF(A1077="BS",IF(ISNA(MATCH(D1077,p_services,0)),"Service inconnu",D1077&amp;""),""))))</f>
        <v/>
      </c>
      <c r="F1077" s="58" t="n"/>
      <c r="G1077" s="58" t="n"/>
      <c r="H1077" s="59" t="n"/>
      <c r="I1077" s="57" t="str">
        <f>IF(H1077="","",IFERROR(INDEX(art_des,MATCH(H1077,art_ref,0))&amp;"","Article inconnu"))</f>
        <v/>
      </c>
      <c r="J1077" s="60" t="str">
        <f>IF(H1077="","",IFERROR(INDEX(art_unit,MATCH(H1077,art_ref,0))&amp;"",""))</f>
        <v/>
      </c>
      <c r="K1077" s="59" t="n"/>
      <c r="L1077" s="59" t="n"/>
      <c r="M1077" s="61" t="str">
        <f>IF(OR(B1077="",NOT(ISNUMBER(K1077)),NOT(ISNUMBER(L1077))),"",IF(OR(K1077&lt;=0,L1077&lt;=0),"",ROUND(L1077-K1077,6)))</f>
        <v/>
      </c>
      <c r="N1077" s="58" t="n"/>
      <c r="O1077" s="62" t="n"/>
      <c r="P1077" s="63" t="str">
        <f>IF(OR(B1077="",NOT(ISNUMBER(L1077))),"",IF(L1077&lt;=0,"",IFERROR(ROUND(L1077*N(INDEX(art_w,MATCH(H1077,art_ref,0))),3),"")))</f>
        <v/>
      </c>
      <c r="Q1077" s="59" t="n"/>
      <c r="R1077" s="54" t="n"/>
      <c r="S1077" s="59" t="n"/>
      <c r="T1077" s="59" t="n"/>
      <c r="U1077" s="64" t="str">
        <f>IF(OR(B1077="",H1077=""),"",IFERROR(IF(A1077="BL",IF(N(INDEX(art_price,MATCH(H1077,art_ref,0)))=0,"",N(INDEX(art_price,MATCH(H1077,art_ref,0)))),IF(N(INDEX(art_cost,MATCH(H1077,art_ref,0)))=0,"",N(INDEX(art_cost,MATCH(H1077,art_ref,0))))),""))</f>
        <v/>
      </c>
      <c r="V1077" s="64" t="str">
        <f>IF(OR(U1077="",NOT(ISNUMBER(L1077))),"",IF(L1077&lt;=0,"",ROUND(L1077*U1077,2)))</f>
        <v/>
      </c>
      <c r="W1077" s="60" t="str">
        <f>IF(AND(B1077&lt;&gt;"",A1077&lt;&gt;"BS",F1077&lt;&gt;"",H1077&lt;&gt;"",ISNUMBER(K1077),ISNUMBER(L1077)),IF(AND(K1077&gt;0,L1077&gt;0,K1077-L1077&gt;0,COUNTIFS(A1078:A$2005,A1077,F1078:F$2005,F1077,H1078:H$2005,H1077,AA1078:AA$2005,"&gt;0")=0),ROUND(K1077-L1077,6),""),"")</f>
        <v/>
      </c>
      <c r="X1077" s="60" t="str">
        <f>IF(AND(A1077="",C1077="",D1077="",H1077="",L1077=""),"",IF(A1077="","Type manquant",IF(AND(A1077&lt;&gt;"BL",A1077&lt;&gt;"BR",A1077&lt;&gt;"BS"),"Type inconnu (BL, BR ou BS)",IF(AG1077=0,"Date manquante ou invalide",IF(D1077="",IF(A1077="BL","Client manquant",IF(A1077="BR","Fournisseur manquant","Service manquant")),IF(IF(A1077="BL",ISNA(MATCH(D1077,cl_code,0)),IF(A1077="BR",ISNA(MATCH(D1077,fo_code,0)),ISNA(MATCH(D1077,p_services,0)))),IF(A1077="BL","Client inconnu",IF(A1077="BR","Fournisseur inconnu","Service inconnu")),IF(H1077="","Article manquant",IF(ISNA(MATCH(H1077,art_ref,0)),"Article inconnu",IF(OR(NOT(ISNUMBER(L1077)),N(L1077)&lt;=0),"Quantité invalide",IF(AND(K1077&lt;&gt;"",OR(NOT(ISNUMBER(K1077)),N(K1077)&lt;=0)),"Qté commandée invalide",IF(AG1077&lt;SUMPRODUCT(MAX((A$6:A1076=A1077)*AG$6:AG1076)),"Date antérieure au bon précédent",IF(AND(A1077&lt;&gt;"BR",ISNUMBER(M1077),N(M1077)&gt;0),IF(A1077="BL","Livré plus que commandé","Sorti plus que demandé"),"OK"))))))))))))</f>
        <v/>
      </c>
      <c r="Y1077" s="57" t="str">
        <f>IF(AND(OR(A1077="BL",A1077="BR",A1077="BS"),AG1077&gt;0,D1077&lt;&gt;""),A1077&amp;"|"&amp;AG1077&amp;"|"&amp;D1077&amp;"|"&amp;F1077,"")</f>
        <v/>
      </c>
      <c r="Z1077" s="57" t="str">
        <f>IF(Y1077="","",IF(COUNTIF(Y$6:Y1076,Y1077)=0,1,0))</f>
        <v/>
      </c>
      <c r="AA1077" s="57" t="str">
        <f>IF(Y1077="","",IF(Z1077=1,COUNTIFS(A$6:A1077,A1077,Z$6:Z1077,1),INDEX(AA$6:AA1076,MATCH(Y1077,Y$6:Y1076,0))))</f>
        <v/>
      </c>
      <c r="AB1077" s="57" t="str">
        <f>IF(B1077="","",COUNTIF(B$6:B1077,B1077))</f>
        <v/>
      </c>
      <c r="AC1077" s="57" t="str">
        <f>IF(B1077="","",B1077&amp;"#"&amp;AB1077)</f>
        <v/>
      </c>
      <c r="AD1077" s="57" t="str">
        <f>IF(Z1077=1,A1077&amp;AA1077,"")</f>
        <v/>
      </c>
      <c r="AE1077" s="57" t="str">
        <f>IF(B1077="","",YEAR(C1077))</f>
        <v/>
      </c>
      <c r="AF1077" s="57" t="str">
        <f>IF(B1077="","",MONTH(C1077))</f>
        <v/>
      </c>
      <c r="AG1077" s="57">
        <f>IF(ISNUMBER(C1077),C1077,0)</f>
        <v>0.0</v>
      </c>
      <c r="AH1077" s="57" t="str">
        <f>IF(N(W1077)&gt;0,COUNTIF(W$6:W1077,"&gt;0"),"")</f>
        <v/>
      </c>
      <c r="AI1077" s="57" t="str">
        <f>IF(Z1077=1,COUNTIF(Z$6:Z1077,1),"")</f>
        <v/>
      </c>
    </row>
    <row r="1078">
      <c r="A1078" s="54" t="n"/>
      <c r="B1078" s="55" t="str">
        <f>IF(AA1078="","",A1078&amp;"-"&amp;RIGHT("000"&amp;AA1078,4))</f>
        <v/>
      </c>
      <c r="C1078" s="56" t="n"/>
      <c r="D1078" s="54" t="n"/>
      <c r="E1078" s="57" t="str">
        <f>IF(D1078="","",IF(A1078="BL",IFERROR(INDEX(cl_name,MATCH(D1078,cl_code,0))&amp;"","Client inconnu"),IF(A1078="BR",IFERROR(INDEX(fo_name,MATCH(D1078,fo_code,0))&amp;"","Fournisseur inconnu"),IF(A1078="BS",IF(ISNA(MATCH(D1078,p_services,0)),"Service inconnu",D1078&amp;""),""))))</f>
        <v/>
      </c>
      <c r="F1078" s="58" t="n"/>
      <c r="G1078" s="58" t="n"/>
      <c r="H1078" s="59" t="n"/>
      <c r="I1078" s="57" t="str">
        <f>IF(H1078="","",IFERROR(INDEX(art_des,MATCH(H1078,art_ref,0))&amp;"","Article inconnu"))</f>
        <v/>
      </c>
      <c r="J1078" s="60" t="str">
        <f>IF(H1078="","",IFERROR(INDEX(art_unit,MATCH(H1078,art_ref,0))&amp;"",""))</f>
        <v/>
      </c>
      <c r="K1078" s="59" t="n"/>
      <c r="L1078" s="59" t="n"/>
      <c r="M1078" s="61" t="str">
        <f>IF(OR(B1078="",NOT(ISNUMBER(K1078)),NOT(ISNUMBER(L1078))),"",IF(OR(K1078&lt;=0,L1078&lt;=0),"",ROUND(L1078-K1078,6)))</f>
        <v/>
      </c>
      <c r="N1078" s="58" t="n"/>
      <c r="O1078" s="62" t="n"/>
      <c r="P1078" s="63" t="str">
        <f>IF(OR(B1078="",NOT(ISNUMBER(L1078))),"",IF(L1078&lt;=0,"",IFERROR(ROUND(L1078*N(INDEX(art_w,MATCH(H1078,art_ref,0))),3),"")))</f>
        <v/>
      </c>
      <c r="Q1078" s="59" t="n"/>
      <c r="R1078" s="54" t="n"/>
      <c r="S1078" s="59" t="n"/>
      <c r="T1078" s="59" t="n"/>
      <c r="U1078" s="64" t="str">
        <f>IF(OR(B1078="",H1078=""),"",IFERROR(IF(A1078="BL",IF(N(INDEX(art_price,MATCH(H1078,art_ref,0)))=0,"",N(INDEX(art_price,MATCH(H1078,art_ref,0)))),IF(N(INDEX(art_cost,MATCH(H1078,art_ref,0)))=0,"",N(INDEX(art_cost,MATCH(H1078,art_ref,0))))),""))</f>
        <v/>
      </c>
      <c r="V1078" s="64" t="str">
        <f>IF(OR(U1078="",NOT(ISNUMBER(L1078))),"",IF(L1078&lt;=0,"",ROUND(L1078*U1078,2)))</f>
        <v/>
      </c>
      <c r="W1078" s="60" t="str">
        <f>IF(AND(B1078&lt;&gt;"",A1078&lt;&gt;"BS",F1078&lt;&gt;"",H1078&lt;&gt;"",ISNUMBER(K1078),ISNUMBER(L1078)),IF(AND(K1078&gt;0,L1078&gt;0,K1078-L1078&gt;0,COUNTIFS(A1079:A$2005,A1078,F1079:F$2005,F1078,H1079:H$2005,H1078,AA1079:AA$2005,"&gt;0")=0),ROUND(K1078-L1078,6),""),"")</f>
        <v/>
      </c>
      <c r="X1078" s="60" t="str">
        <f>IF(AND(A1078="",C1078="",D1078="",H1078="",L1078=""),"",IF(A1078="","Type manquant",IF(AND(A1078&lt;&gt;"BL",A1078&lt;&gt;"BR",A1078&lt;&gt;"BS"),"Type inconnu (BL, BR ou BS)",IF(AG1078=0,"Date manquante ou invalide",IF(D1078="",IF(A1078="BL","Client manquant",IF(A1078="BR","Fournisseur manquant","Service manquant")),IF(IF(A1078="BL",ISNA(MATCH(D1078,cl_code,0)),IF(A1078="BR",ISNA(MATCH(D1078,fo_code,0)),ISNA(MATCH(D1078,p_services,0)))),IF(A1078="BL","Client inconnu",IF(A1078="BR","Fournisseur inconnu","Service inconnu")),IF(H1078="","Article manquant",IF(ISNA(MATCH(H1078,art_ref,0)),"Article inconnu",IF(OR(NOT(ISNUMBER(L1078)),N(L1078)&lt;=0),"Quantité invalide",IF(AND(K1078&lt;&gt;"",OR(NOT(ISNUMBER(K1078)),N(K1078)&lt;=0)),"Qté commandée invalide",IF(AG1078&lt;SUMPRODUCT(MAX((A$6:A1077=A1078)*AG$6:AG1077)),"Date antérieure au bon précédent",IF(AND(A1078&lt;&gt;"BR",ISNUMBER(M1078),N(M1078)&gt;0),IF(A1078="BL","Livré plus que commandé","Sorti plus que demandé"),"OK"))))))))))))</f>
        <v/>
      </c>
      <c r="Y1078" s="57" t="str">
        <f>IF(AND(OR(A1078="BL",A1078="BR",A1078="BS"),AG1078&gt;0,D1078&lt;&gt;""),A1078&amp;"|"&amp;AG1078&amp;"|"&amp;D1078&amp;"|"&amp;F1078,"")</f>
        <v/>
      </c>
      <c r="Z1078" s="57" t="str">
        <f>IF(Y1078="","",IF(COUNTIF(Y$6:Y1077,Y1078)=0,1,0))</f>
        <v/>
      </c>
      <c r="AA1078" s="57" t="str">
        <f>IF(Y1078="","",IF(Z1078=1,COUNTIFS(A$6:A1078,A1078,Z$6:Z1078,1),INDEX(AA$6:AA1077,MATCH(Y1078,Y$6:Y1077,0))))</f>
        <v/>
      </c>
      <c r="AB1078" s="57" t="str">
        <f>IF(B1078="","",COUNTIF(B$6:B1078,B1078))</f>
        <v/>
      </c>
      <c r="AC1078" s="57" t="str">
        <f>IF(B1078="","",B1078&amp;"#"&amp;AB1078)</f>
        <v/>
      </c>
      <c r="AD1078" s="57" t="str">
        <f>IF(Z1078=1,A1078&amp;AA1078,"")</f>
        <v/>
      </c>
      <c r="AE1078" s="57" t="str">
        <f>IF(B1078="","",YEAR(C1078))</f>
        <v/>
      </c>
      <c r="AF1078" s="57" t="str">
        <f>IF(B1078="","",MONTH(C1078))</f>
        <v/>
      </c>
      <c r="AG1078" s="57">
        <f>IF(ISNUMBER(C1078),C1078,0)</f>
        <v>0.0</v>
      </c>
      <c r="AH1078" s="57" t="str">
        <f>IF(N(W1078)&gt;0,COUNTIF(W$6:W1078,"&gt;0"),"")</f>
        <v/>
      </c>
      <c r="AI1078" s="57" t="str">
        <f>IF(Z1078=1,COUNTIF(Z$6:Z1078,1),"")</f>
        <v/>
      </c>
    </row>
    <row r="1079">
      <c r="A1079" s="54" t="n"/>
      <c r="B1079" s="55" t="str">
        <f>IF(AA1079="","",A1079&amp;"-"&amp;RIGHT("000"&amp;AA1079,4))</f>
        <v/>
      </c>
      <c r="C1079" s="56" t="n"/>
      <c r="D1079" s="54" t="n"/>
      <c r="E1079" s="57" t="str">
        <f>IF(D1079="","",IF(A1079="BL",IFERROR(INDEX(cl_name,MATCH(D1079,cl_code,0))&amp;"","Client inconnu"),IF(A1079="BR",IFERROR(INDEX(fo_name,MATCH(D1079,fo_code,0))&amp;"","Fournisseur inconnu"),IF(A1079="BS",IF(ISNA(MATCH(D1079,p_services,0)),"Service inconnu",D1079&amp;""),""))))</f>
        <v/>
      </c>
      <c r="F1079" s="58" t="n"/>
      <c r="G1079" s="58" t="n"/>
      <c r="H1079" s="59" t="n"/>
      <c r="I1079" s="57" t="str">
        <f>IF(H1079="","",IFERROR(INDEX(art_des,MATCH(H1079,art_ref,0))&amp;"","Article inconnu"))</f>
        <v/>
      </c>
      <c r="J1079" s="60" t="str">
        <f>IF(H1079="","",IFERROR(INDEX(art_unit,MATCH(H1079,art_ref,0))&amp;"",""))</f>
        <v/>
      </c>
      <c r="K1079" s="59" t="n"/>
      <c r="L1079" s="59" t="n"/>
      <c r="M1079" s="61" t="str">
        <f>IF(OR(B1079="",NOT(ISNUMBER(K1079)),NOT(ISNUMBER(L1079))),"",IF(OR(K1079&lt;=0,L1079&lt;=0),"",ROUND(L1079-K1079,6)))</f>
        <v/>
      </c>
      <c r="N1079" s="58" t="n"/>
      <c r="O1079" s="62" t="n"/>
      <c r="P1079" s="63" t="str">
        <f>IF(OR(B1079="",NOT(ISNUMBER(L1079))),"",IF(L1079&lt;=0,"",IFERROR(ROUND(L1079*N(INDEX(art_w,MATCH(H1079,art_ref,0))),3),"")))</f>
        <v/>
      </c>
      <c r="Q1079" s="59" t="n"/>
      <c r="R1079" s="54" t="n"/>
      <c r="S1079" s="59" t="n"/>
      <c r="T1079" s="59" t="n"/>
      <c r="U1079" s="64" t="str">
        <f>IF(OR(B1079="",H1079=""),"",IFERROR(IF(A1079="BL",IF(N(INDEX(art_price,MATCH(H1079,art_ref,0)))=0,"",N(INDEX(art_price,MATCH(H1079,art_ref,0)))),IF(N(INDEX(art_cost,MATCH(H1079,art_ref,0)))=0,"",N(INDEX(art_cost,MATCH(H1079,art_ref,0))))),""))</f>
        <v/>
      </c>
      <c r="V1079" s="64" t="str">
        <f>IF(OR(U1079="",NOT(ISNUMBER(L1079))),"",IF(L1079&lt;=0,"",ROUND(L1079*U1079,2)))</f>
        <v/>
      </c>
      <c r="W1079" s="60" t="str">
        <f>IF(AND(B1079&lt;&gt;"",A1079&lt;&gt;"BS",F1079&lt;&gt;"",H1079&lt;&gt;"",ISNUMBER(K1079),ISNUMBER(L1079)),IF(AND(K1079&gt;0,L1079&gt;0,K1079-L1079&gt;0,COUNTIFS(A1080:A$2005,A1079,F1080:F$2005,F1079,H1080:H$2005,H1079,AA1080:AA$2005,"&gt;0")=0),ROUND(K1079-L1079,6),""),"")</f>
        <v/>
      </c>
      <c r="X1079" s="60" t="str">
        <f>IF(AND(A1079="",C1079="",D1079="",H1079="",L1079=""),"",IF(A1079="","Type manquant",IF(AND(A1079&lt;&gt;"BL",A1079&lt;&gt;"BR",A1079&lt;&gt;"BS"),"Type inconnu (BL, BR ou BS)",IF(AG1079=0,"Date manquante ou invalide",IF(D1079="",IF(A1079="BL","Client manquant",IF(A1079="BR","Fournisseur manquant","Service manquant")),IF(IF(A1079="BL",ISNA(MATCH(D1079,cl_code,0)),IF(A1079="BR",ISNA(MATCH(D1079,fo_code,0)),ISNA(MATCH(D1079,p_services,0)))),IF(A1079="BL","Client inconnu",IF(A1079="BR","Fournisseur inconnu","Service inconnu")),IF(H1079="","Article manquant",IF(ISNA(MATCH(H1079,art_ref,0)),"Article inconnu",IF(OR(NOT(ISNUMBER(L1079)),N(L1079)&lt;=0),"Quantité invalide",IF(AND(K1079&lt;&gt;"",OR(NOT(ISNUMBER(K1079)),N(K1079)&lt;=0)),"Qté commandée invalide",IF(AG1079&lt;SUMPRODUCT(MAX((A$6:A1078=A1079)*AG$6:AG1078)),"Date antérieure au bon précédent",IF(AND(A1079&lt;&gt;"BR",ISNUMBER(M1079),N(M1079)&gt;0),IF(A1079="BL","Livré plus que commandé","Sorti plus que demandé"),"OK"))))))))))))</f>
        <v/>
      </c>
      <c r="Y1079" s="57" t="str">
        <f>IF(AND(OR(A1079="BL",A1079="BR",A1079="BS"),AG1079&gt;0,D1079&lt;&gt;""),A1079&amp;"|"&amp;AG1079&amp;"|"&amp;D1079&amp;"|"&amp;F1079,"")</f>
        <v/>
      </c>
      <c r="Z1079" s="57" t="str">
        <f>IF(Y1079="","",IF(COUNTIF(Y$6:Y1078,Y1079)=0,1,0))</f>
        <v/>
      </c>
      <c r="AA1079" s="57" t="str">
        <f>IF(Y1079="","",IF(Z1079=1,COUNTIFS(A$6:A1079,A1079,Z$6:Z1079,1),INDEX(AA$6:AA1078,MATCH(Y1079,Y$6:Y1078,0))))</f>
        <v/>
      </c>
      <c r="AB1079" s="57" t="str">
        <f>IF(B1079="","",COUNTIF(B$6:B1079,B1079))</f>
        <v/>
      </c>
      <c r="AC1079" s="57" t="str">
        <f>IF(B1079="","",B1079&amp;"#"&amp;AB1079)</f>
        <v/>
      </c>
      <c r="AD1079" s="57" t="str">
        <f>IF(Z1079=1,A1079&amp;AA1079,"")</f>
        <v/>
      </c>
      <c r="AE1079" s="57" t="str">
        <f>IF(B1079="","",YEAR(C1079))</f>
        <v/>
      </c>
      <c r="AF1079" s="57" t="str">
        <f>IF(B1079="","",MONTH(C1079))</f>
        <v/>
      </c>
      <c r="AG1079" s="57">
        <f>IF(ISNUMBER(C1079),C1079,0)</f>
        <v>0.0</v>
      </c>
      <c r="AH1079" s="57" t="str">
        <f>IF(N(W1079)&gt;0,COUNTIF(W$6:W1079,"&gt;0"),"")</f>
        <v/>
      </c>
      <c r="AI1079" s="57" t="str">
        <f>IF(Z1079=1,COUNTIF(Z$6:Z1079,1),"")</f>
        <v/>
      </c>
    </row>
    <row r="1080">
      <c r="A1080" s="54" t="n"/>
      <c r="B1080" s="55" t="str">
        <f>IF(AA1080="","",A1080&amp;"-"&amp;RIGHT("000"&amp;AA1080,4))</f>
        <v/>
      </c>
      <c r="C1080" s="56" t="n"/>
      <c r="D1080" s="54" t="n"/>
      <c r="E1080" s="57" t="str">
        <f>IF(D1080="","",IF(A1080="BL",IFERROR(INDEX(cl_name,MATCH(D1080,cl_code,0))&amp;"","Client inconnu"),IF(A1080="BR",IFERROR(INDEX(fo_name,MATCH(D1080,fo_code,0))&amp;"","Fournisseur inconnu"),IF(A1080="BS",IF(ISNA(MATCH(D1080,p_services,0)),"Service inconnu",D1080&amp;""),""))))</f>
        <v/>
      </c>
      <c r="F1080" s="58" t="n"/>
      <c r="G1080" s="58" t="n"/>
      <c r="H1080" s="59" t="n"/>
      <c r="I1080" s="57" t="str">
        <f>IF(H1080="","",IFERROR(INDEX(art_des,MATCH(H1080,art_ref,0))&amp;"","Article inconnu"))</f>
        <v/>
      </c>
      <c r="J1080" s="60" t="str">
        <f>IF(H1080="","",IFERROR(INDEX(art_unit,MATCH(H1080,art_ref,0))&amp;"",""))</f>
        <v/>
      </c>
      <c r="K1080" s="59" t="n"/>
      <c r="L1080" s="59" t="n"/>
      <c r="M1080" s="61" t="str">
        <f>IF(OR(B1080="",NOT(ISNUMBER(K1080)),NOT(ISNUMBER(L1080))),"",IF(OR(K1080&lt;=0,L1080&lt;=0),"",ROUND(L1080-K1080,6)))</f>
        <v/>
      </c>
      <c r="N1080" s="58" t="n"/>
      <c r="O1080" s="62" t="n"/>
      <c r="P1080" s="63" t="str">
        <f>IF(OR(B1080="",NOT(ISNUMBER(L1080))),"",IF(L1080&lt;=0,"",IFERROR(ROUND(L1080*N(INDEX(art_w,MATCH(H1080,art_ref,0))),3),"")))</f>
        <v/>
      </c>
      <c r="Q1080" s="59" t="n"/>
      <c r="R1080" s="54" t="n"/>
      <c r="S1080" s="59" t="n"/>
      <c r="T1080" s="59" t="n"/>
      <c r="U1080" s="64" t="str">
        <f>IF(OR(B1080="",H1080=""),"",IFERROR(IF(A1080="BL",IF(N(INDEX(art_price,MATCH(H1080,art_ref,0)))=0,"",N(INDEX(art_price,MATCH(H1080,art_ref,0)))),IF(N(INDEX(art_cost,MATCH(H1080,art_ref,0)))=0,"",N(INDEX(art_cost,MATCH(H1080,art_ref,0))))),""))</f>
        <v/>
      </c>
      <c r="V1080" s="64" t="str">
        <f>IF(OR(U1080="",NOT(ISNUMBER(L1080))),"",IF(L1080&lt;=0,"",ROUND(L1080*U1080,2)))</f>
        <v/>
      </c>
      <c r="W1080" s="60" t="str">
        <f>IF(AND(B1080&lt;&gt;"",A1080&lt;&gt;"BS",F1080&lt;&gt;"",H1080&lt;&gt;"",ISNUMBER(K1080),ISNUMBER(L1080)),IF(AND(K1080&gt;0,L1080&gt;0,K1080-L1080&gt;0,COUNTIFS(A1081:A$2005,A1080,F1081:F$2005,F1080,H1081:H$2005,H1080,AA1081:AA$2005,"&gt;0")=0),ROUND(K1080-L1080,6),""),"")</f>
        <v/>
      </c>
      <c r="X1080" s="60" t="str">
        <f>IF(AND(A1080="",C1080="",D1080="",H1080="",L1080=""),"",IF(A1080="","Type manquant",IF(AND(A1080&lt;&gt;"BL",A1080&lt;&gt;"BR",A1080&lt;&gt;"BS"),"Type inconnu (BL, BR ou BS)",IF(AG1080=0,"Date manquante ou invalide",IF(D1080="",IF(A1080="BL","Client manquant",IF(A1080="BR","Fournisseur manquant","Service manquant")),IF(IF(A1080="BL",ISNA(MATCH(D1080,cl_code,0)),IF(A1080="BR",ISNA(MATCH(D1080,fo_code,0)),ISNA(MATCH(D1080,p_services,0)))),IF(A1080="BL","Client inconnu",IF(A1080="BR","Fournisseur inconnu","Service inconnu")),IF(H1080="","Article manquant",IF(ISNA(MATCH(H1080,art_ref,0)),"Article inconnu",IF(OR(NOT(ISNUMBER(L1080)),N(L1080)&lt;=0),"Quantité invalide",IF(AND(K1080&lt;&gt;"",OR(NOT(ISNUMBER(K1080)),N(K1080)&lt;=0)),"Qté commandée invalide",IF(AG1080&lt;SUMPRODUCT(MAX((A$6:A1079=A1080)*AG$6:AG1079)),"Date antérieure au bon précédent",IF(AND(A1080&lt;&gt;"BR",ISNUMBER(M1080),N(M1080)&gt;0),IF(A1080="BL","Livré plus que commandé","Sorti plus que demandé"),"OK"))))))))))))</f>
        <v/>
      </c>
      <c r="Y1080" s="57" t="str">
        <f>IF(AND(OR(A1080="BL",A1080="BR",A1080="BS"),AG1080&gt;0,D1080&lt;&gt;""),A1080&amp;"|"&amp;AG1080&amp;"|"&amp;D1080&amp;"|"&amp;F1080,"")</f>
        <v/>
      </c>
      <c r="Z1080" s="57" t="str">
        <f>IF(Y1080="","",IF(COUNTIF(Y$6:Y1079,Y1080)=0,1,0))</f>
        <v/>
      </c>
      <c r="AA1080" s="57" t="str">
        <f>IF(Y1080="","",IF(Z1080=1,COUNTIFS(A$6:A1080,A1080,Z$6:Z1080,1),INDEX(AA$6:AA1079,MATCH(Y1080,Y$6:Y1079,0))))</f>
        <v/>
      </c>
      <c r="AB1080" s="57" t="str">
        <f>IF(B1080="","",COUNTIF(B$6:B1080,B1080))</f>
        <v/>
      </c>
      <c r="AC1080" s="57" t="str">
        <f>IF(B1080="","",B1080&amp;"#"&amp;AB1080)</f>
        <v/>
      </c>
      <c r="AD1080" s="57" t="str">
        <f>IF(Z1080=1,A1080&amp;AA1080,"")</f>
        <v/>
      </c>
      <c r="AE1080" s="57" t="str">
        <f>IF(B1080="","",YEAR(C1080))</f>
        <v/>
      </c>
      <c r="AF1080" s="57" t="str">
        <f>IF(B1080="","",MONTH(C1080))</f>
        <v/>
      </c>
      <c r="AG1080" s="57">
        <f>IF(ISNUMBER(C1080),C1080,0)</f>
        <v>0.0</v>
      </c>
      <c r="AH1080" s="57" t="str">
        <f>IF(N(W1080)&gt;0,COUNTIF(W$6:W1080,"&gt;0"),"")</f>
        <v/>
      </c>
      <c r="AI1080" s="57" t="str">
        <f>IF(Z1080=1,COUNTIF(Z$6:Z1080,1),"")</f>
        <v/>
      </c>
    </row>
    <row r="1081">
      <c r="A1081" s="54" t="n"/>
      <c r="B1081" s="55" t="str">
        <f>IF(AA1081="","",A1081&amp;"-"&amp;RIGHT("000"&amp;AA1081,4))</f>
        <v/>
      </c>
      <c r="C1081" s="56" t="n"/>
      <c r="D1081" s="54" t="n"/>
      <c r="E1081" s="57" t="str">
        <f>IF(D1081="","",IF(A1081="BL",IFERROR(INDEX(cl_name,MATCH(D1081,cl_code,0))&amp;"","Client inconnu"),IF(A1081="BR",IFERROR(INDEX(fo_name,MATCH(D1081,fo_code,0))&amp;"","Fournisseur inconnu"),IF(A1081="BS",IF(ISNA(MATCH(D1081,p_services,0)),"Service inconnu",D1081&amp;""),""))))</f>
        <v/>
      </c>
      <c r="F1081" s="58" t="n"/>
      <c r="G1081" s="58" t="n"/>
      <c r="H1081" s="59" t="n"/>
      <c r="I1081" s="57" t="str">
        <f>IF(H1081="","",IFERROR(INDEX(art_des,MATCH(H1081,art_ref,0))&amp;"","Article inconnu"))</f>
        <v/>
      </c>
      <c r="J1081" s="60" t="str">
        <f>IF(H1081="","",IFERROR(INDEX(art_unit,MATCH(H1081,art_ref,0))&amp;"",""))</f>
        <v/>
      </c>
      <c r="K1081" s="59" t="n"/>
      <c r="L1081" s="59" t="n"/>
      <c r="M1081" s="61" t="str">
        <f>IF(OR(B1081="",NOT(ISNUMBER(K1081)),NOT(ISNUMBER(L1081))),"",IF(OR(K1081&lt;=0,L1081&lt;=0),"",ROUND(L1081-K1081,6)))</f>
        <v/>
      </c>
      <c r="N1081" s="58" t="n"/>
      <c r="O1081" s="62" t="n"/>
      <c r="P1081" s="63" t="str">
        <f>IF(OR(B1081="",NOT(ISNUMBER(L1081))),"",IF(L1081&lt;=0,"",IFERROR(ROUND(L1081*N(INDEX(art_w,MATCH(H1081,art_ref,0))),3),"")))</f>
        <v/>
      </c>
      <c r="Q1081" s="59" t="n"/>
      <c r="R1081" s="54" t="n"/>
      <c r="S1081" s="59" t="n"/>
      <c r="T1081" s="59" t="n"/>
      <c r="U1081" s="64" t="str">
        <f>IF(OR(B1081="",H1081=""),"",IFERROR(IF(A1081="BL",IF(N(INDEX(art_price,MATCH(H1081,art_ref,0)))=0,"",N(INDEX(art_price,MATCH(H1081,art_ref,0)))),IF(N(INDEX(art_cost,MATCH(H1081,art_ref,0)))=0,"",N(INDEX(art_cost,MATCH(H1081,art_ref,0))))),""))</f>
        <v/>
      </c>
      <c r="V1081" s="64" t="str">
        <f>IF(OR(U1081="",NOT(ISNUMBER(L1081))),"",IF(L1081&lt;=0,"",ROUND(L1081*U1081,2)))</f>
        <v/>
      </c>
      <c r="W1081" s="60" t="str">
        <f>IF(AND(B1081&lt;&gt;"",A1081&lt;&gt;"BS",F1081&lt;&gt;"",H1081&lt;&gt;"",ISNUMBER(K1081),ISNUMBER(L1081)),IF(AND(K1081&gt;0,L1081&gt;0,K1081-L1081&gt;0,COUNTIFS(A1082:A$2005,A1081,F1082:F$2005,F1081,H1082:H$2005,H1081,AA1082:AA$2005,"&gt;0")=0),ROUND(K1081-L1081,6),""),"")</f>
        <v/>
      </c>
      <c r="X1081" s="60" t="str">
        <f>IF(AND(A1081="",C1081="",D1081="",H1081="",L1081=""),"",IF(A1081="","Type manquant",IF(AND(A1081&lt;&gt;"BL",A1081&lt;&gt;"BR",A1081&lt;&gt;"BS"),"Type inconnu (BL, BR ou BS)",IF(AG1081=0,"Date manquante ou invalide",IF(D1081="",IF(A1081="BL","Client manquant",IF(A1081="BR","Fournisseur manquant","Service manquant")),IF(IF(A1081="BL",ISNA(MATCH(D1081,cl_code,0)),IF(A1081="BR",ISNA(MATCH(D1081,fo_code,0)),ISNA(MATCH(D1081,p_services,0)))),IF(A1081="BL","Client inconnu",IF(A1081="BR","Fournisseur inconnu","Service inconnu")),IF(H1081="","Article manquant",IF(ISNA(MATCH(H1081,art_ref,0)),"Article inconnu",IF(OR(NOT(ISNUMBER(L1081)),N(L1081)&lt;=0),"Quantité invalide",IF(AND(K1081&lt;&gt;"",OR(NOT(ISNUMBER(K1081)),N(K1081)&lt;=0)),"Qté commandée invalide",IF(AG1081&lt;SUMPRODUCT(MAX((A$6:A1080=A1081)*AG$6:AG1080)),"Date antérieure au bon précédent",IF(AND(A1081&lt;&gt;"BR",ISNUMBER(M1081),N(M1081)&gt;0),IF(A1081="BL","Livré plus que commandé","Sorti plus que demandé"),"OK"))))))))))))</f>
        <v/>
      </c>
      <c r="Y1081" s="57" t="str">
        <f>IF(AND(OR(A1081="BL",A1081="BR",A1081="BS"),AG1081&gt;0,D1081&lt;&gt;""),A1081&amp;"|"&amp;AG1081&amp;"|"&amp;D1081&amp;"|"&amp;F1081,"")</f>
        <v/>
      </c>
      <c r="Z1081" s="57" t="str">
        <f>IF(Y1081="","",IF(COUNTIF(Y$6:Y1080,Y1081)=0,1,0))</f>
        <v/>
      </c>
      <c r="AA1081" s="57" t="str">
        <f>IF(Y1081="","",IF(Z1081=1,COUNTIFS(A$6:A1081,A1081,Z$6:Z1081,1),INDEX(AA$6:AA1080,MATCH(Y1081,Y$6:Y1080,0))))</f>
        <v/>
      </c>
      <c r="AB1081" s="57" t="str">
        <f>IF(B1081="","",COUNTIF(B$6:B1081,B1081))</f>
        <v/>
      </c>
      <c r="AC1081" s="57" t="str">
        <f>IF(B1081="","",B1081&amp;"#"&amp;AB1081)</f>
        <v/>
      </c>
      <c r="AD1081" s="57" t="str">
        <f>IF(Z1081=1,A1081&amp;AA1081,"")</f>
        <v/>
      </c>
      <c r="AE1081" s="57" t="str">
        <f>IF(B1081="","",YEAR(C1081))</f>
        <v/>
      </c>
      <c r="AF1081" s="57" t="str">
        <f>IF(B1081="","",MONTH(C1081))</f>
        <v/>
      </c>
      <c r="AG1081" s="57">
        <f>IF(ISNUMBER(C1081),C1081,0)</f>
        <v>0.0</v>
      </c>
      <c r="AH1081" s="57" t="str">
        <f>IF(N(W1081)&gt;0,COUNTIF(W$6:W1081,"&gt;0"),"")</f>
        <v/>
      </c>
      <c r="AI1081" s="57" t="str">
        <f>IF(Z1081=1,COUNTIF(Z$6:Z1081,1),"")</f>
        <v/>
      </c>
    </row>
    <row r="1082">
      <c r="A1082" s="54" t="n"/>
      <c r="B1082" s="55" t="str">
        <f>IF(AA1082="","",A1082&amp;"-"&amp;RIGHT("000"&amp;AA1082,4))</f>
        <v/>
      </c>
      <c r="C1082" s="56" t="n"/>
      <c r="D1082" s="54" t="n"/>
      <c r="E1082" s="57" t="str">
        <f>IF(D1082="","",IF(A1082="BL",IFERROR(INDEX(cl_name,MATCH(D1082,cl_code,0))&amp;"","Client inconnu"),IF(A1082="BR",IFERROR(INDEX(fo_name,MATCH(D1082,fo_code,0))&amp;"","Fournisseur inconnu"),IF(A1082="BS",IF(ISNA(MATCH(D1082,p_services,0)),"Service inconnu",D1082&amp;""),""))))</f>
        <v/>
      </c>
      <c r="F1082" s="58" t="n"/>
      <c r="G1082" s="58" t="n"/>
      <c r="H1082" s="59" t="n"/>
      <c r="I1082" s="57" t="str">
        <f>IF(H1082="","",IFERROR(INDEX(art_des,MATCH(H1082,art_ref,0))&amp;"","Article inconnu"))</f>
        <v/>
      </c>
      <c r="J1082" s="60" t="str">
        <f>IF(H1082="","",IFERROR(INDEX(art_unit,MATCH(H1082,art_ref,0))&amp;"",""))</f>
        <v/>
      </c>
      <c r="K1082" s="59" t="n"/>
      <c r="L1082" s="59" t="n"/>
      <c r="M1082" s="61" t="str">
        <f>IF(OR(B1082="",NOT(ISNUMBER(K1082)),NOT(ISNUMBER(L1082))),"",IF(OR(K1082&lt;=0,L1082&lt;=0),"",ROUND(L1082-K1082,6)))</f>
        <v/>
      </c>
      <c r="N1082" s="58" t="n"/>
      <c r="O1082" s="62" t="n"/>
      <c r="P1082" s="63" t="str">
        <f>IF(OR(B1082="",NOT(ISNUMBER(L1082))),"",IF(L1082&lt;=0,"",IFERROR(ROUND(L1082*N(INDEX(art_w,MATCH(H1082,art_ref,0))),3),"")))</f>
        <v/>
      </c>
      <c r="Q1082" s="59" t="n"/>
      <c r="R1082" s="54" t="n"/>
      <c r="S1082" s="59" t="n"/>
      <c r="T1082" s="59" t="n"/>
      <c r="U1082" s="64" t="str">
        <f>IF(OR(B1082="",H1082=""),"",IFERROR(IF(A1082="BL",IF(N(INDEX(art_price,MATCH(H1082,art_ref,0)))=0,"",N(INDEX(art_price,MATCH(H1082,art_ref,0)))),IF(N(INDEX(art_cost,MATCH(H1082,art_ref,0)))=0,"",N(INDEX(art_cost,MATCH(H1082,art_ref,0))))),""))</f>
        <v/>
      </c>
      <c r="V1082" s="64" t="str">
        <f>IF(OR(U1082="",NOT(ISNUMBER(L1082))),"",IF(L1082&lt;=0,"",ROUND(L1082*U1082,2)))</f>
        <v/>
      </c>
      <c r="W1082" s="60" t="str">
        <f>IF(AND(B1082&lt;&gt;"",A1082&lt;&gt;"BS",F1082&lt;&gt;"",H1082&lt;&gt;"",ISNUMBER(K1082),ISNUMBER(L1082)),IF(AND(K1082&gt;0,L1082&gt;0,K1082-L1082&gt;0,COUNTIFS(A1083:A$2005,A1082,F1083:F$2005,F1082,H1083:H$2005,H1082,AA1083:AA$2005,"&gt;0")=0),ROUND(K1082-L1082,6),""),"")</f>
        <v/>
      </c>
      <c r="X1082" s="60" t="str">
        <f>IF(AND(A1082="",C1082="",D1082="",H1082="",L1082=""),"",IF(A1082="","Type manquant",IF(AND(A1082&lt;&gt;"BL",A1082&lt;&gt;"BR",A1082&lt;&gt;"BS"),"Type inconnu (BL, BR ou BS)",IF(AG1082=0,"Date manquante ou invalide",IF(D1082="",IF(A1082="BL","Client manquant",IF(A1082="BR","Fournisseur manquant","Service manquant")),IF(IF(A1082="BL",ISNA(MATCH(D1082,cl_code,0)),IF(A1082="BR",ISNA(MATCH(D1082,fo_code,0)),ISNA(MATCH(D1082,p_services,0)))),IF(A1082="BL","Client inconnu",IF(A1082="BR","Fournisseur inconnu","Service inconnu")),IF(H1082="","Article manquant",IF(ISNA(MATCH(H1082,art_ref,0)),"Article inconnu",IF(OR(NOT(ISNUMBER(L1082)),N(L1082)&lt;=0),"Quantité invalide",IF(AND(K1082&lt;&gt;"",OR(NOT(ISNUMBER(K1082)),N(K1082)&lt;=0)),"Qté commandée invalide",IF(AG1082&lt;SUMPRODUCT(MAX((A$6:A1081=A1082)*AG$6:AG1081)),"Date antérieure au bon précédent",IF(AND(A1082&lt;&gt;"BR",ISNUMBER(M1082),N(M1082)&gt;0),IF(A1082="BL","Livré plus que commandé","Sorti plus que demandé"),"OK"))))))))))))</f>
        <v/>
      </c>
      <c r="Y1082" s="57" t="str">
        <f>IF(AND(OR(A1082="BL",A1082="BR",A1082="BS"),AG1082&gt;0,D1082&lt;&gt;""),A1082&amp;"|"&amp;AG1082&amp;"|"&amp;D1082&amp;"|"&amp;F1082,"")</f>
        <v/>
      </c>
      <c r="Z1082" s="57" t="str">
        <f>IF(Y1082="","",IF(COUNTIF(Y$6:Y1081,Y1082)=0,1,0))</f>
        <v/>
      </c>
      <c r="AA1082" s="57" t="str">
        <f>IF(Y1082="","",IF(Z1082=1,COUNTIFS(A$6:A1082,A1082,Z$6:Z1082,1),INDEX(AA$6:AA1081,MATCH(Y1082,Y$6:Y1081,0))))</f>
        <v/>
      </c>
      <c r="AB1082" s="57" t="str">
        <f>IF(B1082="","",COUNTIF(B$6:B1082,B1082))</f>
        <v/>
      </c>
      <c r="AC1082" s="57" t="str">
        <f>IF(B1082="","",B1082&amp;"#"&amp;AB1082)</f>
        <v/>
      </c>
      <c r="AD1082" s="57" t="str">
        <f>IF(Z1082=1,A1082&amp;AA1082,"")</f>
        <v/>
      </c>
      <c r="AE1082" s="57" t="str">
        <f>IF(B1082="","",YEAR(C1082))</f>
        <v/>
      </c>
      <c r="AF1082" s="57" t="str">
        <f>IF(B1082="","",MONTH(C1082))</f>
        <v/>
      </c>
      <c r="AG1082" s="57">
        <f>IF(ISNUMBER(C1082),C1082,0)</f>
        <v>0.0</v>
      </c>
      <c r="AH1082" s="57" t="str">
        <f>IF(N(W1082)&gt;0,COUNTIF(W$6:W1082,"&gt;0"),"")</f>
        <v/>
      </c>
      <c r="AI1082" s="57" t="str">
        <f>IF(Z1082=1,COUNTIF(Z$6:Z1082,1),"")</f>
        <v/>
      </c>
    </row>
    <row r="1083">
      <c r="A1083" s="54" t="n"/>
      <c r="B1083" s="55" t="str">
        <f>IF(AA1083="","",A1083&amp;"-"&amp;RIGHT("000"&amp;AA1083,4))</f>
        <v/>
      </c>
      <c r="C1083" s="56" t="n"/>
      <c r="D1083" s="54" t="n"/>
      <c r="E1083" s="57" t="str">
        <f>IF(D1083="","",IF(A1083="BL",IFERROR(INDEX(cl_name,MATCH(D1083,cl_code,0))&amp;"","Client inconnu"),IF(A1083="BR",IFERROR(INDEX(fo_name,MATCH(D1083,fo_code,0))&amp;"","Fournisseur inconnu"),IF(A1083="BS",IF(ISNA(MATCH(D1083,p_services,0)),"Service inconnu",D1083&amp;""),""))))</f>
        <v/>
      </c>
      <c r="F1083" s="58" t="n"/>
      <c r="G1083" s="58" t="n"/>
      <c r="H1083" s="59" t="n"/>
      <c r="I1083" s="57" t="str">
        <f>IF(H1083="","",IFERROR(INDEX(art_des,MATCH(H1083,art_ref,0))&amp;"","Article inconnu"))</f>
        <v/>
      </c>
      <c r="J1083" s="60" t="str">
        <f>IF(H1083="","",IFERROR(INDEX(art_unit,MATCH(H1083,art_ref,0))&amp;"",""))</f>
        <v/>
      </c>
      <c r="K1083" s="59" t="n"/>
      <c r="L1083" s="59" t="n"/>
      <c r="M1083" s="61" t="str">
        <f>IF(OR(B1083="",NOT(ISNUMBER(K1083)),NOT(ISNUMBER(L1083))),"",IF(OR(K1083&lt;=0,L1083&lt;=0),"",ROUND(L1083-K1083,6)))</f>
        <v/>
      </c>
      <c r="N1083" s="58" t="n"/>
      <c r="O1083" s="62" t="n"/>
      <c r="P1083" s="63" t="str">
        <f>IF(OR(B1083="",NOT(ISNUMBER(L1083))),"",IF(L1083&lt;=0,"",IFERROR(ROUND(L1083*N(INDEX(art_w,MATCH(H1083,art_ref,0))),3),"")))</f>
        <v/>
      </c>
      <c r="Q1083" s="59" t="n"/>
      <c r="R1083" s="54" t="n"/>
      <c r="S1083" s="59" t="n"/>
      <c r="T1083" s="59" t="n"/>
      <c r="U1083" s="64" t="str">
        <f>IF(OR(B1083="",H1083=""),"",IFERROR(IF(A1083="BL",IF(N(INDEX(art_price,MATCH(H1083,art_ref,0)))=0,"",N(INDEX(art_price,MATCH(H1083,art_ref,0)))),IF(N(INDEX(art_cost,MATCH(H1083,art_ref,0)))=0,"",N(INDEX(art_cost,MATCH(H1083,art_ref,0))))),""))</f>
        <v/>
      </c>
      <c r="V1083" s="64" t="str">
        <f>IF(OR(U1083="",NOT(ISNUMBER(L1083))),"",IF(L1083&lt;=0,"",ROUND(L1083*U1083,2)))</f>
        <v/>
      </c>
      <c r="W1083" s="60" t="str">
        <f>IF(AND(B1083&lt;&gt;"",A1083&lt;&gt;"BS",F1083&lt;&gt;"",H1083&lt;&gt;"",ISNUMBER(K1083),ISNUMBER(L1083)),IF(AND(K1083&gt;0,L1083&gt;0,K1083-L1083&gt;0,COUNTIFS(A1084:A$2005,A1083,F1084:F$2005,F1083,H1084:H$2005,H1083,AA1084:AA$2005,"&gt;0")=0),ROUND(K1083-L1083,6),""),"")</f>
        <v/>
      </c>
      <c r="X1083" s="60" t="str">
        <f>IF(AND(A1083="",C1083="",D1083="",H1083="",L1083=""),"",IF(A1083="","Type manquant",IF(AND(A1083&lt;&gt;"BL",A1083&lt;&gt;"BR",A1083&lt;&gt;"BS"),"Type inconnu (BL, BR ou BS)",IF(AG1083=0,"Date manquante ou invalide",IF(D1083="",IF(A1083="BL","Client manquant",IF(A1083="BR","Fournisseur manquant","Service manquant")),IF(IF(A1083="BL",ISNA(MATCH(D1083,cl_code,0)),IF(A1083="BR",ISNA(MATCH(D1083,fo_code,0)),ISNA(MATCH(D1083,p_services,0)))),IF(A1083="BL","Client inconnu",IF(A1083="BR","Fournisseur inconnu","Service inconnu")),IF(H1083="","Article manquant",IF(ISNA(MATCH(H1083,art_ref,0)),"Article inconnu",IF(OR(NOT(ISNUMBER(L1083)),N(L1083)&lt;=0),"Quantité invalide",IF(AND(K1083&lt;&gt;"",OR(NOT(ISNUMBER(K1083)),N(K1083)&lt;=0)),"Qté commandée invalide",IF(AG1083&lt;SUMPRODUCT(MAX((A$6:A1082=A1083)*AG$6:AG1082)),"Date antérieure au bon précédent",IF(AND(A1083&lt;&gt;"BR",ISNUMBER(M1083),N(M1083)&gt;0),IF(A1083="BL","Livré plus que commandé","Sorti plus que demandé"),"OK"))))))))))))</f>
        <v/>
      </c>
      <c r="Y1083" s="57" t="str">
        <f>IF(AND(OR(A1083="BL",A1083="BR",A1083="BS"),AG1083&gt;0,D1083&lt;&gt;""),A1083&amp;"|"&amp;AG1083&amp;"|"&amp;D1083&amp;"|"&amp;F1083,"")</f>
        <v/>
      </c>
      <c r="Z1083" s="57" t="str">
        <f>IF(Y1083="","",IF(COUNTIF(Y$6:Y1082,Y1083)=0,1,0))</f>
        <v/>
      </c>
      <c r="AA1083" s="57" t="str">
        <f>IF(Y1083="","",IF(Z1083=1,COUNTIFS(A$6:A1083,A1083,Z$6:Z1083,1),INDEX(AA$6:AA1082,MATCH(Y1083,Y$6:Y1082,0))))</f>
        <v/>
      </c>
      <c r="AB1083" s="57" t="str">
        <f>IF(B1083="","",COUNTIF(B$6:B1083,B1083))</f>
        <v/>
      </c>
      <c r="AC1083" s="57" t="str">
        <f>IF(B1083="","",B1083&amp;"#"&amp;AB1083)</f>
        <v/>
      </c>
      <c r="AD1083" s="57" t="str">
        <f>IF(Z1083=1,A1083&amp;AA1083,"")</f>
        <v/>
      </c>
      <c r="AE1083" s="57" t="str">
        <f>IF(B1083="","",YEAR(C1083))</f>
        <v/>
      </c>
      <c r="AF1083" s="57" t="str">
        <f>IF(B1083="","",MONTH(C1083))</f>
        <v/>
      </c>
      <c r="AG1083" s="57">
        <f>IF(ISNUMBER(C1083),C1083,0)</f>
        <v>0.0</v>
      </c>
      <c r="AH1083" s="57" t="str">
        <f>IF(N(W1083)&gt;0,COUNTIF(W$6:W1083,"&gt;0"),"")</f>
        <v/>
      </c>
      <c r="AI1083" s="57" t="str">
        <f>IF(Z1083=1,COUNTIF(Z$6:Z1083,1),"")</f>
        <v/>
      </c>
    </row>
    <row r="1084">
      <c r="A1084" s="54" t="n"/>
      <c r="B1084" s="55" t="str">
        <f>IF(AA1084="","",A1084&amp;"-"&amp;RIGHT("000"&amp;AA1084,4))</f>
        <v/>
      </c>
      <c r="C1084" s="56" t="n"/>
      <c r="D1084" s="54" t="n"/>
      <c r="E1084" s="57" t="str">
        <f>IF(D1084="","",IF(A1084="BL",IFERROR(INDEX(cl_name,MATCH(D1084,cl_code,0))&amp;"","Client inconnu"),IF(A1084="BR",IFERROR(INDEX(fo_name,MATCH(D1084,fo_code,0))&amp;"","Fournisseur inconnu"),IF(A1084="BS",IF(ISNA(MATCH(D1084,p_services,0)),"Service inconnu",D1084&amp;""),""))))</f>
        <v/>
      </c>
      <c r="F1084" s="58" t="n"/>
      <c r="G1084" s="58" t="n"/>
      <c r="H1084" s="59" t="n"/>
      <c r="I1084" s="57" t="str">
        <f>IF(H1084="","",IFERROR(INDEX(art_des,MATCH(H1084,art_ref,0))&amp;"","Article inconnu"))</f>
        <v/>
      </c>
      <c r="J1084" s="60" t="str">
        <f>IF(H1084="","",IFERROR(INDEX(art_unit,MATCH(H1084,art_ref,0))&amp;"",""))</f>
        <v/>
      </c>
      <c r="K1084" s="59" t="n"/>
      <c r="L1084" s="59" t="n"/>
      <c r="M1084" s="61" t="str">
        <f>IF(OR(B1084="",NOT(ISNUMBER(K1084)),NOT(ISNUMBER(L1084))),"",IF(OR(K1084&lt;=0,L1084&lt;=0),"",ROUND(L1084-K1084,6)))</f>
        <v/>
      </c>
      <c r="N1084" s="58" t="n"/>
      <c r="O1084" s="62" t="n"/>
      <c r="P1084" s="63" t="str">
        <f>IF(OR(B1084="",NOT(ISNUMBER(L1084))),"",IF(L1084&lt;=0,"",IFERROR(ROUND(L1084*N(INDEX(art_w,MATCH(H1084,art_ref,0))),3),"")))</f>
        <v/>
      </c>
      <c r="Q1084" s="59" t="n"/>
      <c r="R1084" s="54" t="n"/>
      <c r="S1084" s="59" t="n"/>
      <c r="T1084" s="59" t="n"/>
      <c r="U1084" s="64" t="str">
        <f>IF(OR(B1084="",H1084=""),"",IFERROR(IF(A1084="BL",IF(N(INDEX(art_price,MATCH(H1084,art_ref,0)))=0,"",N(INDEX(art_price,MATCH(H1084,art_ref,0)))),IF(N(INDEX(art_cost,MATCH(H1084,art_ref,0)))=0,"",N(INDEX(art_cost,MATCH(H1084,art_ref,0))))),""))</f>
        <v/>
      </c>
      <c r="V1084" s="64" t="str">
        <f>IF(OR(U1084="",NOT(ISNUMBER(L1084))),"",IF(L1084&lt;=0,"",ROUND(L1084*U1084,2)))</f>
        <v/>
      </c>
      <c r="W1084" s="60" t="str">
        <f>IF(AND(B1084&lt;&gt;"",A1084&lt;&gt;"BS",F1084&lt;&gt;"",H1084&lt;&gt;"",ISNUMBER(K1084),ISNUMBER(L1084)),IF(AND(K1084&gt;0,L1084&gt;0,K1084-L1084&gt;0,COUNTIFS(A1085:A$2005,A1084,F1085:F$2005,F1084,H1085:H$2005,H1084,AA1085:AA$2005,"&gt;0")=0),ROUND(K1084-L1084,6),""),"")</f>
        <v/>
      </c>
      <c r="X1084" s="60" t="str">
        <f>IF(AND(A1084="",C1084="",D1084="",H1084="",L1084=""),"",IF(A1084="","Type manquant",IF(AND(A1084&lt;&gt;"BL",A1084&lt;&gt;"BR",A1084&lt;&gt;"BS"),"Type inconnu (BL, BR ou BS)",IF(AG1084=0,"Date manquante ou invalide",IF(D1084="",IF(A1084="BL","Client manquant",IF(A1084="BR","Fournisseur manquant","Service manquant")),IF(IF(A1084="BL",ISNA(MATCH(D1084,cl_code,0)),IF(A1084="BR",ISNA(MATCH(D1084,fo_code,0)),ISNA(MATCH(D1084,p_services,0)))),IF(A1084="BL","Client inconnu",IF(A1084="BR","Fournisseur inconnu","Service inconnu")),IF(H1084="","Article manquant",IF(ISNA(MATCH(H1084,art_ref,0)),"Article inconnu",IF(OR(NOT(ISNUMBER(L1084)),N(L1084)&lt;=0),"Quantité invalide",IF(AND(K1084&lt;&gt;"",OR(NOT(ISNUMBER(K1084)),N(K1084)&lt;=0)),"Qté commandée invalide",IF(AG1084&lt;SUMPRODUCT(MAX((A$6:A1083=A1084)*AG$6:AG1083)),"Date antérieure au bon précédent",IF(AND(A1084&lt;&gt;"BR",ISNUMBER(M1084),N(M1084)&gt;0),IF(A1084="BL","Livré plus que commandé","Sorti plus que demandé"),"OK"))))))))))))</f>
        <v/>
      </c>
      <c r="Y1084" s="57" t="str">
        <f>IF(AND(OR(A1084="BL",A1084="BR",A1084="BS"),AG1084&gt;0,D1084&lt;&gt;""),A1084&amp;"|"&amp;AG1084&amp;"|"&amp;D1084&amp;"|"&amp;F1084,"")</f>
        <v/>
      </c>
      <c r="Z1084" s="57" t="str">
        <f>IF(Y1084="","",IF(COUNTIF(Y$6:Y1083,Y1084)=0,1,0))</f>
        <v/>
      </c>
      <c r="AA1084" s="57" t="str">
        <f>IF(Y1084="","",IF(Z1084=1,COUNTIFS(A$6:A1084,A1084,Z$6:Z1084,1),INDEX(AA$6:AA1083,MATCH(Y1084,Y$6:Y1083,0))))</f>
        <v/>
      </c>
      <c r="AB1084" s="57" t="str">
        <f>IF(B1084="","",COUNTIF(B$6:B1084,B1084))</f>
        <v/>
      </c>
      <c r="AC1084" s="57" t="str">
        <f>IF(B1084="","",B1084&amp;"#"&amp;AB1084)</f>
        <v/>
      </c>
      <c r="AD1084" s="57" t="str">
        <f>IF(Z1084=1,A1084&amp;AA1084,"")</f>
        <v/>
      </c>
      <c r="AE1084" s="57" t="str">
        <f>IF(B1084="","",YEAR(C1084))</f>
        <v/>
      </c>
      <c r="AF1084" s="57" t="str">
        <f>IF(B1084="","",MONTH(C1084))</f>
        <v/>
      </c>
      <c r="AG1084" s="57">
        <f>IF(ISNUMBER(C1084),C1084,0)</f>
        <v>0.0</v>
      </c>
      <c r="AH1084" s="57" t="str">
        <f>IF(N(W1084)&gt;0,COUNTIF(W$6:W1084,"&gt;0"),"")</f>
        <v/>
      </c>
      <c r="AI1084" s="57" t="str">
        <f>IF(Z1084=1,COUNTIF(Z$6:Z1084,1),"")</f>
        <v/>
      </c>
    </row>
    <row r="1085">
      <c r="A1085" s="54" t="n"/>
      <c r="B1085" s="55" t="str">
        <f>IF(AA1085="","",A1085&amp;"-"&amp;RIGHT("000"&amp;AA1085,4))</f>
        <v/>
      </c>
      <c r="C1085" s="56" t="n"/>
      <c r="D1085" s="54" t="n"/>
      <c r="E1085" s="57" t="str">
        <f>IF(D1085="","",IF(A1085="BL",IFERROR(INDEX(cl_name,MATCH(D1085,cl_code,0))&amp;"","Client inconnu"),IF(A1085="BR",IFERROR(INDEX(fo_name,MATCH(D1085,fo_code,0))&amp;"","Fournisseur inconnu"),IF(A1085="BS",IF(ISNA(MATCH(D1085,p_services,0)),"Service inconnu",D1085&amp;""),""))))</f>
        <v/>
      </c>
      <c r="F1085" s="58" t="n"/>
      <c r="G1085" s="58" t="n"/>
      <c r="H1085" s="59" t="n"/>
      <c r="I1085" s="57" t="str">
        <f>IF(H1085="","",IFERROR(INDEX(art_des,MATCH(H1085,art_ref,0))&amp;"","Article inconnu"))</f>
        <v/>
      </c>
      <c r="J1085" s="60" t="str">
        <f>IF(H1085="","",IFERROR(INDEX(art_unit,MATCH(H1085,art_ref,0))&amp;"",""))</f>
        <v/>
      </c>
      <c r="K1085" s="59" t="n"/>
      <c r="L1085" s="59" t="n"/>
      <c r="M1085" s="61" t="str">
        <f>IF(OR(B1085="",NOT(ISNUMBER(K1085)),NOT(ISNUMBER(L1085))),"",IF(OR(K1085&lt;=0,L1085&lt;=0),"",ROUND(L1085-K1085,6)))</f>
        <v/>
      </c>
      <c r="N1085" s="58" t="n"/>
      <c r="O1085" s="62" t="n"/>
      <c r="P1085" s="63" t="str">
        <f>IF(OR(B1085="",NOT(ISNUMBER(L1085))),"",IF(L1085&lt;=0,"",IFERROR(ROUND(L1085*N(INDEX(art_w,MATCH(H1085,art_ref,0))),3),"")))</f>
        <v/>
      </c>
      <c r="Q1085" s="59" t="n"/>
      <c r="R1085" s="54" t="n"/>
      <c r="S1085" s="59" t="n"/>
      <c r="T1085" s="59" t="n"/>
      <c r="U1085" s="64" t="str">
        <f>IF(OR(B1085="",H1085=""),"",IFERROR(IF(A1085="BL",IF(N(INDEX(art_price,MATCH(H1085,art_ref,0)))=0,"",N(INDEX(art_price,MATCH(H1085,art_ref,0)))),IF(N(INDEX(art_cost,MATCH(H1085,art_ref,0)))=0,"",N(INDEX(art_cost,MATCH(H1085,art_ref,0))))),""))</f>
        <v/>
      </c>
      <c r="V1085" s="64" t="str">
        <f>IF(OR(U1085="",NOT(ISNUMBER(L1085))),"",IF(L1085&lt;=0,"",ROUND(L1085*U1085,2)))</f>
        <v/>
      </c>
      <c r="W1085" s="60" t="str">
        <f>IF(AND(B1085&lt;&gt;"",A1085&lt;&gt;"BS",F1085&lt;&gt;"",H1085&lt;&gt;"",ISNUMBER(K1085),ISNUMBER(L1085)),IF(AND(K1085&gt;0,L1085&gt;0,K1085-L1085&gt;0,COUNTIFS(A1086:A$2005,A1085,F1086:F$2005,F1085,H1086:H$2005,H1085,AA1086:AA$2005,"&gt;0")=0),ROUND(K1085-L1085,6),""),"")</f>
        <v/>
      </c>
      <c r="X1085" s="60" t="str">
        <f>IF(AND(A1085="",C1085="",D1085="",H1085="",L1085=""),"",IF(A1085="","Type manquant",IF(AND(A1085&lt;&gt;"BL",A1085&lt;&gt;"BR",A1085&lt;&gt;"BS"),"Type inconnu (BL, BR ou BS)",IF(AG1085=0,"Date manquante ou invalide",IF(D1085="",IF(A1085="BL","Client manquant",IF(A1085="BR","Fournisseur manquant","Service manquant")),IF(IF(A1085="BL",ISNA(MATCH(D1085,cl_code,0)),IF(A1085="BR",ISNA(MATCH(D1085,fo_code,0)),ISNA(MATCH(D1085,p_services,0)))),IF(A1085="BL","Client inconnu",IF(A1085="BR","Fournisseur inconnu","Service inconnu")),IF(H1085="","Article manquant",IF(ISNA(MATCH(H1085,art_ref,0)),"Article inconnu",IF(OR(NOT(ISNUMBER(L1085)),N(L1085)&lt;=0),"Quantité invalide",IF(AND(K1085&lt;&gt;"",OR(NOT(ISNUMBER(K1085)),N(K1085)&lt;=0)),"Qté commandée invalide",IF(AG1085&lt;SUMPRODUCT(MAX((A$6:A1084=A1085)*AG$6:AG1084)),"Date antérieure au bon précédent",IF(AND(A1085&lt;&gt;"BR",ISNUMBER(M1085),N(M1085)&gt;0),IF(A1085="BL","Livré plus que commandé","Sorti plus que demandé"),"OK"))))))))))))</f>
        <v/>
      </c>
      <c r="Y1085" s="57" t="str">
        <f>IF(AND(OR(A1085="BL",A1085="BR",A1085="BS"),AG1085&gt;0,D1085&lt;&gt;""),A1085&amp;"|"&amp;AG1085&amp;"|"&amp;D1085&amp;"|"&amp;F1085,"")</f>
        <v/>
      </c>
      <c r="Z1085" s="57" t="str">
        <f>IF(Y1085="","",IF(COUNTIF(Y$6:Y1084,Y1085)=0,1,0))</f>
        <v/>
      </c>
      <c r="AA1085" s="57" t="str">
        <f>IF(Y1085="","",IF(Z1085=1,COUNTIFS(A$6:A1085,A1085,Z$6:Z1085,1),INDEX(AA$6:AA1084,MATCH(Y1085,Y$6:Y1084,0))))</f>
        <v/>
      </c>
      <c r="AB1085" s="57" t="str">
        <f>IF(B1085="","",COUNTIF(B$6:B1085,B1085))</f>
        <v/>
      </c>
      <c r="AC1085" s="57" t="str">
        <f>IF(B1085="","",B1085&amp;"#"&amp;AB1085)</f>
        <v/>
      </c>
      <c r="AD1085" s="57" t="str">
        <f>IF(Z1085=1,A1085&amp;AA1085,"")</f>
        <v/>
      </c>
      <c r="AE1085" s="57" t="str">
        <f>IF(B1085="","",YEAR(C1085))</f>
        <v/>
      </c>
      <c r="AF1085" s="57" t="str">
        <f>IF(B1085="","",MONTH(C1085))</f>
        <v/>
      </c>
      <c r="AG1085" s="57">
        <f>IF(ISNUMBER(C1085),C1085,0)</f>
        <v>0.0</v>
      </c>
      <c r="AH1085" s="57" t="str">
        <f>IF(N(W1085)&gt;0,COUNTIF(W$6:W1085,"&gt;0"),"")</f>
        <v/>
      </c>
      <c r="AI1085" s="57" t="str">
        <f>IF(Z1085=1,COUNTIF(Z$6:Z1085,1),"")</f>
        <v/>
      </c>
    </row>
    <row r="1086">
      <c r="A1086" s="54" t="n"/>
      <c r="B1086" s="55" t="str">
        <f>IF(AA1086="","",A1086&amp;"-"&amp;RIGHT("000"&amp;AA1086,4))</f>
        <v/>
      </c>
      <c r="C1086" s="56" t="n"/>
      <c r="D1086" s="54" t="n"/>
      <c r="E1086" s="57" t="str">
        <f>IF(D1086="","",IF(A1086="BL",IFERROR(INDEX(cl_name,MATCH(D1086,cl_code,0))&amp;"","Client inconnu"),IF(A1086="BR",IFERROR(INDEX(fo_name,MATCH(D1086,fo_code,0))&amp;"","Fournisseur inconnu"),IF(A1086="BS",IF(ISNA(MATCH(D1086,p_services,0)),"Service inconnu",D1086&amp;""),""))))</f>
        <v/>
      </c>
      <c r="F1086" s="58" t="n"/>
      <c r="G1086" s="58" t="n"/>
      <c r="H1086" s="59" t="n"/>
      <c r="I1086" s="57" t="str">
        <f>IF(H1086="","",IFERROR(INDEX(art_des,MATCH(H1086,art_ref,0))&amp;"","Article inconnu"))</f>
        <v/>
      </c>
      <c r="J1086" s="60" t="str">
        <f>IF(H1086="","",IFERROR(INDEX(art_unit,MATCH(H1086,art_ref,0))&amp;"",""))</f>
        <v/>
      </c>
      <c r="K1086" s="59" t="n"/>
      <c r="L1086" s="59" t="n"/>
      <c r="M1086" s="61" t="str">
        <f>IF(OR(B1086="",NOT(ISNUMBER(K1086)),NOT(ISNUMBER(L1086))),"",IF(OR(K1086&lt;=0,L1086&lt;=0),"",ROUND(L1086-K1086,6)))</f>
        <v/>
      </c>
      <c r="N1086" s="58" t="n"/>
      <c r="O1086" s="62" t="n"/>
      <c r="P1086" s="63" t="str">
        <f>IF(OR(B1086="",NOT(ISNUMBER(L1086))),"",IF(L1086&lt;=0,"",IFERROR(ROUND(L1086*N(INDEX(art_w,MATCH(H1086,art_ref,0))),3),"")))</f>
        <v/>
      </c>
      <c r="Q1086" s="59" t="n"/>
      <c r="R1086" s="54" t="n"/>
      <c r="S1086" s="59" t="n"/>
      <c r="T1086" s="59" t="n"/>
      <c r="U1086" s="64" t="str">
        <f>IF(OR(B1086="",H1086=""),"",IFERROR(IF(A1086="BL",IF(N(INDEX(art_price,MATCH(H1086,art_ref,0)))=0,"",N(INDEX(art_price,MATCH(H1086,art_ref,0)))),IF(N(INDEX(art_cost,MATCH(H1086,art_ref,0)))=0,"",N(INDEX(art_cost,MATCH(H1086,art_ref,0))))),""))</f>
        <v/>
      </c>
      <c r="V1086" s="64" t="str">
        <f>IF(OR(U1086="",NOT(ISNUMBER(L1086))),"",IF(L1086&lt;=0,"",ROUND(L1086*U1086,2)))</f>
        <v/>
      </c>
      <c r="W1086" s="60" t="str">
        <f>IF(AND(B1086&lt;&gt;"",A1086&lt;&gt;"BS",F1086&lt;&gt;"",H1086&lt;&gt;"",ISNUMBER(K1086),ISNUMBER(L1086)),IF(AND(K1086&gt;0,L1086&gt;0,K1086-L1086&gt;0,COUNTIFS(A1087:A$2005,A1086,F1087:F$2005,F1086,H1087:H$2005,H1086,AA1087:AA$2005,"&gt;0")=0),ROUND(K1086-L1086,6),""),"")</f>
        <v/>
      </c>
      <c r="X1086" s="60" t="str">
        <f>IF(AND(A1086="",C1086="",D1086="",H1086="",L1086=""),"",IF(A1086="","Type manquant",IF(AND(A1086&lt;&gt;"BL",A1086&lt;&gt;"BR",A1086&lt;&gt;"BS"),"Type inconnu (BL, BR ou BS)",IF(AG1086=0,"Date manquante ou invalide",IF(D1086="",IF(A1086="BL","Client manquant",IF(A1086="BR","Fournisseur manquant","Service manquant")),IF(IF(A1086="BL",ISNA(MATCH(D1086,cl_code,0)),IF(A1086="BR",ISNA(MATCH(D1086,fo_code,0)),ISNA(MATCH(D1086,p_services,0)))),IF(A1086="BL","Client inconnu",IF(A1086="BR","Fournisseur inconnu","Service inconnu")),IF(H1086="","Article manquant",IF(ISNA(MATCH(H1086,art_ref,0)),"Article inconnu",IF(OR(NOT(ISNUMBER(L1086)),N(L1086)&lt;=0),"Quantité invalide",IF(AND(K1086&lt;&gt;"",OR(NOT(ISNUMBER(K1086)),N(K1086)&lt;=0)),"Qté commandée invalide",IF(AG1086&lt;SUMPRODUCT(MAX((A$6:A1085=A1086)*AG$6:AG1085)),"Date antérieure au bon précédent",IF(AND(A1086&lt;&gt;"BR",ISNUMBER(M1086),N(M1086)&gt;0),IF(A1086="BL","Livré plus que commandé","Sorti plus que demandé"),"OK"))))))))))))</f>
        <v/>
      </c>
      <c r="Y1086" s="57" t="str">
        <f>IF(AND(OR(A1086="BL",A1086="BR",A1086="BS"),AG1086&gt;0,D1086&lt;&gt;""),A1086&amp;"|"&amp;AG1086&amp;"|"&amp;D1086&amp;"|"&amp;F1086,"")</f>
        <v/>
      </c>
      <c r="Z1086" s="57" t="str">
        <f>IF(Y1086="","",IF(COUNTIF(Y$6:Y1085,Y1086)=0,1,0))</f>
        <v/>
      </c>
      <c r="AA1086" s="57" t="str">
        <f>IF(Y1086="","",IF(Z1086=1,COUNTIFS(A$6:A1086,A1086,Z$6:Z1086,1),INDEX(AA$6:AA1085,MATCH(Y1086,Y$6:Y1085,0))))</f>
        <v/>
      </c>
      <c r="AB1086" s="57" t="str">
        <f>IF(B1086="","",COUNTIF(B$6:B1086,B1086))</f>
        <v/>
      </c>
      <c r="AC1086" s="57" t="str">
        <f>IF(B1086="","",B1086&amp;"#"&amp;AB1086)</f>
        <v/>
      </c>
      <c r="AD1086" s="57" t="str">
        <f>IF(Z1086=1,A1086&amp;AA1086,"")</f>
        <v/>
      </c>
      <c r="AE1086" s="57" t="str">
        <f>IF(B1086="","",YEAR(C1086))</f>
        <v/>
      </c>
      <c r="AF1086" s="57" t="str">
        <f>IF(B1086="","",MONTH(C1086))</f>
        <v/>
      </c>
      <c r="AG1086" s="57">
        <f>IF(ISNUMBER(C1086),C1086,0)</f>
        <v>0.0</v>
      </c>
      <c r="AH1086" s="57" t="str">
        <f>IF(N(W1086)&gt;0,COUNTIF(W$6:W1086,"&gt;0"),"")</f>
        <v/>
      </c>
      <c r="AI1086" s="57" t="str">
        <f>IF(Z1086=1,COUNTIF(Z$6:Z1086,1),"")</f>
        <v/>
      </c>
    </row>
    <row r="1087">
      <c r="A1087" s="54" t="n"/>
      <c r="B1087" s="55" t="str">
        <f>IF(AA1087="","",A1087&amp;"-"&amp;RIGHT("000"&amp;AA1087,4))</f>
        <v/>
      </c>
      <c r="C1087" s="56" t="n"/>
      <c r="D1087" s="54" t="n"/>
      <c r="E1087" s="57" t="str">
        <f>IF(D1087="","",IF(A1087="BL",IFERROR(INDEX(cl_name,MATCH(D1087,cl_code,0))&amp;"","Client inconnu"),IF(A1087="BR",IFERROR(INDEX(fo_name,MATCH(D1087,fo_code,0))&amp;"","Fournisseur inconnu"),IF(A1087="BS",IF(ISNA(MATCH(D1087,p_services,0)),"Service inconnu",D1087&amp;""),""))))</f>
        <v/>
      </c>
      <c r="F1087" s="58" t="n"/>
      <c r="G1087" s="58" t="n"/>
      <c r="H1087" s="59" t="n"/>
      <c r="I1087" s="57" t="str">
        <f>IF(H1087="","",IFERROR(INDEX(art_des,MATCH(H1087,art_ref,0))&amp;"","Article inconnu"))</f>
        <v/>
      </c>
      <c r="J1087" s="60" t="str">
        <f>IF(H1087="","",IFERROR(INDEX(art_unit,MATCH(H1087,art_ref,0))&amp;"",""))</f>
        <v/>
      </c>
      <c r="K1087" s="59" t="n"/>
      <c r="L1087" s="59" t="n"/>
      <c r="M1087" s="61" t="str">
        <f>IF(OR(B1087="",NOT(ISNUMBER(K1087)),NOT(ISNUMBER(L1087))),"",IF(OR(K1087&lt;=0,L1087&lt;=0),"",ROUND(L1087-K1087,6)))</f>
        <v/>
      </c>
      <c r="N1087" s="58" t="n"/>
      <c r="O1087" s="62" t="n"/>
      <c r="P1087" s="63" t="str">
        <f>IF(OR(B1087="",NOT(ISNUMBER(L1087))),"",IF(L1087&lt;=0,"",IFERROR(ROUND(L1087*N(INDEX(art_w,MATCH(H1087,art_ref,0))),3),"")))</f>
        <v/>
      </c>
      <c r="Q1087" s="59" t="n"/>
      <c r="R1087" s="54" t="n"/>
      <c r="S1087" s="59" t="n"/>
      <c r="T1087" s="59" t="n"/>
      <c r="U1087" s="64" t="str">
        <f>IF(OR(B1087="",H1087=""),"",IFERROR(IF(A1087="BL",IF(N(INDEX(art_price,MATCH(H1087,art_ref,0)))=0,"",N(INDEX(art_price,MATCH(H1087,art_ref,0)))),IF(N(INDEX(art_cost,MATCH(H1087,art_ref,0)))=0,"",N(INDEX(art_cost,MATCH(H1087,art_ref,0))))),""))</f>
        <v/>
      </c>
      <c r="V1087" s="64" t="str">
        <f>IF(OR(U1087="",NOT(ISNUMBER(L1087))),"",IF(L1087&lt;=0,"",ROUND(L1087*U1087,2)))</f>
        <v/>
      </c>
      <c r="W1087" s="60" t="str">
        <f>IF(AND(B1087&lt;&gt;"",A1087&lt;&gt;"BS",F1087&lt;&gt;"",H1087&lt;&gt;"",ISNUMBER(K1087),ISNUMBER(L1087)),IF(AND(K1087&gt;0,L1087&gt;0,K1087-L1087&gt;0,COUNTIFS(A1088:A$2005,A1087,F1088:F$2005,F1087,H1088:H$2005,H1087,AA1088:AA$2005,"&gt;0")=0),ROUND(K1087-L1087,6),""),"")</f>
        <v/>
      </c>
      <c r="X1087" s="60" t="str">
        <f>IF(AND(A1087="",C1087="",D1087="",H1087="",L1087=""),"",IF(A1087="","Type manquant",IF(AND(A1087&lt;&gt;"BL",A1087&lt;&gt;"BR",A1087&lt;&gt;"BS"),"Type inconnu (BL, BR ou BS)",IF(AG1087=0,"Date manquante ou invalide",IF(D1087="",IF(A1087="BL","Client manquant",IF(A1087="BR","Fournisseur manquant","Service manquant")),IF(IF(A1087="BL",ISNA(MATCH(D1087,cl_code,0)),IF(A1087="BR",ISNA(MATCH(D1087,fo_code,0)),ISNA(MATCH(D1087,p_services,0)))),IF(A1087="BL","Client inconnu",IF(A1087="BR","Fournisseur inconnu","Service inconnu")),IF(H1087="","Article manquant",IF(ISNA(MATCH(H1087,art_ref,0)),"Article inconnu",IF(OR(NOT(ISNUMBER(L1087)),N(L1087)&lt;=0),"Quantité invalide",IF(AND(K1087&lt;&gt;"",OR(NOT(ISNUMBER(K1087)),N(K1087)&lt;=0)),"Qté commandée invalide",IF(AG1087&lt;SUMPRODUCT(MAX((A$6:A1086=A1087)*AG$6:AG1086)),"Date antérieure au bon précédent",IF(AND(A1087&lt;&gt;"BR",ISNUMBER(M1087),N(M1087)&gt;0),IF(A1087="BL","Livré plus que commandé","Sorti plus que demandé"),"OK"))))))))))))</f>
        <v/>
      </c>
      <c r="Y1087" s="57" t="str">
        <f>IF(AND(OR(A1087="BL",A1087="BR",A1087="BS"),AG1087&gt;0,D1087&lt;&gt;""),A1087&amp;"|"&amp;AG1087&amp;"|"&amp;D1087&amp;"|"&amp;F1087,"")</f>
        <v/>
      </c>
      <c r="Z1087" s="57" t="str">
        <f>IF(Y1087="","",IF(COUNTIF(Y$6:Y1086,Y1087)=0,1,0))</f>
        <v/>
      </c>
      <c r="AA1087" s="57" t="str">
        <f>IF(Y1087="","",IF(Z1087=1,COUNTIFS(A$6:A1087,A1087,Z$6:Z1087,1),INDEX(AA$6:AA1086,MATCH(Y1087,Y$6:Y1086,0))))</f>
        <v/>
      </c>
      <c r="AB1087" s="57" t="str">
        <f>IF(B1087="","",COUNTIF(B$6:B1087,B1087))</f>
        <v/>
      </c>
      <c r="AC1087" s="57" t="str">
        <f>IF(B1087="","",B1087&amp;"#"&amp;AB1087)</f>
        <v/>
      </c>
      <c r="AD1087" s="57" t="str">
        <f>IF(Z1087=1,A1087&amp;AA1087,"")</f>
        <v/>
      </c>
      <c r="AE1087" s="57" t="str">
        <f>IF(B1087="","",YEAR(C1087))</f>
        <v/>
      </c>
      <c r="AF1087" s="57" t="str">
        <f>IF(B1087="","",MONTH(C1087))</f>
        <v/>
      </c>
      <c r="AG1087" s="57">
        <f>IF(ISNUMBER(C1087),C1087,0)</f>
        <v>0.0</v>
      </c>
      <c r="AH1087" s="57" t="str">
        <f>IF(N(W1087)&gt;0,COUNTIF(W$6:W1087,"&gt;0"),"")</f>
        <v/>
      </c>
      <c r="AI1087" s="57" t="str">
        <f>IF(Z1087=1,COUNTIF(Z$6:Z1087,1),"")</f>
        <v/>
      </c>
    </row>
    <row r="1088">
      <c r="A1088" s="54" t="n"/>
      <c r="B1088" s="55" t="str">
        <f>IF(AA1088="","",A1088&amp;"-"&amp;RIGHT("000"&amp;AA1088,4))</f>
        <v/>
      </c>
      <c r="C1088" s="56" t="n"/>
      <c r="D1088" s="54" t="n"/>
      <c r="E1088" s="57" t="str">
        <f>IF(D1088="","",IF(A1088="BL",IFERROR(INDEX(cl_name,MATCH(D1088,cl_code,0))&amp;"","Client inconnu"),IF(A1088="BR",IFERROR(INDEX(fo_name,MATCH(D1088,fo_code,0))&amp;"","Fournisseur inconnu"),IF(A1088="BS",IF(ISNA(MATCH(D1088,p_services,0)),"Service inconnu",D1088&amp;""),""))))</f>
        <v/>
      </c>
      <c r="F1088" s="58" t="n"/>
      <c r="G1088" s="58" t="n"/>
      <c r="H1088" s="59" t="n"/>
      <c r="I1088" s="57" t="str">
        <f>IF(H1088="","",IFERROR(INDEX(art_des,MATCH(H1088,art_ref,0))&amp;"","Article inconnu"))</f>
        <v/>
      </c>
      <c r="J1088" s="60" t="str">
        <f>IF(H1088="","",IFERROR(INDEX(art_unit,MATCH(H1088,art_ref,0))&amp;"",""))</f>
        <v/>
      </c>
      <c r="K1088" s="59" t="n"/>
      <c r="L1088" s="59" t="n"/>
      <c r="M1088" s="61" t="str">
        <f>IF(OR(B1088="",NOT(ISNUMBER(K1088)),NOT(ISNUMBER(L1088))),"",IF(OR(K1088&lt;=0,L1088&lt;=0),"",ROUND(L1088-K1088,6)))</f>
        <v/>
      </c>
      <c r="N1088" s="58" t="n"/>
      <c r="O1088" s="62" t="n"/>
      <c r="P1088" s="63" t="str">
        <f>IF(OR(B1088="",NOT(ISNUMBER(L1088))),"",IF(L1088&lt;=0,"",IFERROR(ROUND(L1088*N(INDEX(art_w,MATCH(H1088,art_ref,0))),3),"")))</f>
        <v/>
      </c>
      <c r="Q1088" s="59" t="n"/>
      <c r="R1088" s="54" t="n"/>
      <c r="S1088" s="59" t="n"/>
      <c r="T1088" s="59" t="n"/>
      <c r="U1088" s="64" t="str">
        <f>IF(OR(B1088="",H1088=""),"",IFERROR(IF(A1088="BL",IF(N(INDEX(art_price,MATCH(H1088,art_ref,0)))=0,"",N(INDEX(art_price,MATCH(H1088,art_ref,0)))),IF(N(INDEX(art_cost,MATCH(H1088,art_ref,0)))=0,"",N(INDEX(art_cost,MATCH(H1088,art_ref,0))))),""))</f>
        <v/>
      </c>
      <c r="V1088" s="64" t="str">
        <f>IF(OR(U1088="",NOT(ISNUMBER(L1088))),"",IF(L1088&lt;=0,"",ROUND(L1088*U1088,2)))</f>
        <v/>
      </c>
      <c r="W1088" s="60" t="str">
        <f>IF(AND(B1088&lt;&gt;"",A1088&lt;&gt;"BS",F1088&lt;&gt;"",H1088&lt;&gt;"",ISNUMBER(K1088),ISNUMBER(L1088)),IF(AND(K1088&gt;0,L1088&gt;0,K1088-L1088&gt;0,COUNTIFS(A1089:A$2005,A1088,F1089:F$2005,F1088,H1089:H$2005,H1088,AA1089:AA$2005,"&gt;0")=0),ROUND(K1088-L1088,6),""),"")</f>
        <v/>
      </c>
      <c r="X1088" s="60" t="str">
        <f>IF(AND(A1088="",C1088="",D1088="",H1088="",L1088=""),"",IF(A1088="","Type manquant",IF(AND(A1088&lt;&gt;"BL",A1088&lt;&gt;"BR",A1088&lt;&gt;"BS"),"Type inconnu (BL, BR ou BS)",IF(AG1088=0,"Date manquante ou invalide",IF(D1088="",IF(A1088="BL","Client manquant",IF(A1088="BR","Fournisseur manquant","Service manquant")),IF(IF(A1088="BL",ISNA(MATCH(D1088,cl_code,0)),IF(A1088="BR",ISNA(MATCH(D1088,fo_code,0)),ISNA(MATCH(D1088,p_services,0)))),IF(A1088="BL","Client inconnu",IF(A1088="BR","Fournisseur inconnu","Service inconnu")),IF(H1088="","Article manquant",IF(ISNA(MATCH(H1088,art_ref,0)),"Article inconnu",IF(OR(NOT(ISNUMBER(L1088)),N(L1088)&lt;=0),"Quantité invalide",IF(AND(K1088&lt;&gt;"",OR(NOT(ISNUMBER(K1088)),N(K1088)&lt;=0)),"Qté commandée invalide",IF(AG1088&lt;SUMPRODUCT(MAX((A$6:A1087=A1088)*AG$6:AG1087)),"Date antérieure au bon précédent",IF(AND(A1088&lt;&gt;"BR",ISNUMBER(M1088),N(M1088)&gt;0),IF(A1088="BL","Livré plus que commandé","Sorti plus que demandé"),"OK"))))))))))))</f>
        <v/>
      </c>
      <c r="Y1088" s="57" t="str">
        <f>IF(AND(OR(A1088="BL",A1088="BR",A1088="BS"),AG1088&gt;0,D1088&lt;&gt;""),A1088&amp;"|"&amp;AG1088&amp;"|"&amp;D1088&amp;"|"&amp;F1088,"")</f>
        <v/>
      </c>
      <c r="Z1088" s="57" t="str">
        <f>IF(Y1088="","",IF(COUNTIF(Y$6:Y1087,Y1088)=0,1,0))</f>
        <v/>
      </c>
      <c r="AA1088" s="57" t="str">
        <f>IF(Y1088="","",IF(Z1088=1,COUNTIFS(A$6:A1088,A1088,Z$6:Z1088,1),INDEX(AA$6:AA1087,MATCH(Y1088,Y$6:Y1087,0))))</f>
        <v/>
      </c>
      <c r="AB1088" s="57" t="str">
        <f>IF(B1088="","",COUNTIF(B$6:B1088,B1088))</f>
        <v/>
      </c>
      <c r="AC1088" s="57" t="str">
        <f>IF(B1088="","",B1088&amp;"#"&amp;AB1088)</f>
        <v/>
      </c>
      <c r="AD1088" s="57" t="str">
        <f>IF(Z1088=1,A1088&amp;AA1088,"")</f>
        <v/>
      </c>
      <c r="AE1088" s="57" t="str">
        <f>IF(B1088="","",YEAR(C1088))</f>
        <v/>
      </c>
      <c r="AF1088" s="57" t="str">
        <f>IF(B1088="","",MONTH(C1088))</f>
        <v/>
      </c>
      <c r="AG1088" s="57">
        <f>IF(ISNUMBER(C1088),C1088,0)</f>
        <v>0.0</v>
      </c>
      <c r="AH1088" s="57" t="str">
        <f>IF(N(W1088)&gt;0,COUNTIF(W$6:W1088,"&gt;0"),"")</f>
        <v/>
      </c>
      <c r="AI1088" s="57" t="str">
        <f>IF(Z1088=1,COUNTIF(Z$6:Z1088,1),"")</f>
        <v/>
      </c>
    </row>
    <row r="1089">
      <c r="A1089" s="54" t="n"/>
      <c r="B1089" s="55" t="str">
        <f>IF(AA1089="","",A1089&amp;"-"&amp;RIGHT("000"&amp;AA1089,4))</f>
        <v/>
      </c>
      <c r="C1089" s="56" t="n"/>
      <c r="D1089" s="54" t="n"/>
      <c r="E1089" s="57" t="str">
        <f>IF(D1089="","",IF(A1089="BL",IFERROR(INDEX(cl_name,MATCH(D1089,cl_code,0))&amp;"","Client inconnu"),IF(A1089="BR",IFERROR(INDEX(fo_name,MATCH(D1089,fo_code,0))&amp;"","Fournisseur inconnu"),IF(A1089="BS",IF(ISNA(MATCH(D1089,p_services,0)),"Service inconnu",D1089&amp;""),""))))</f>
        <v/>
      </c>
      <c r="F1089" s="58" t="n"/>
      <c r="G1089" s="58" t="n"/>
      <c r="H1089" s="59" t="n"/>
      <c r="I1089" s="57" t="str">
        <f>IF(H1089="","",IFERROR(INDEX(art_des,MATCH(H1089,art_ref,0))&amp;"","Article inconnu"))</f>
        <v/>
      </c>
      <c r="J1089" s="60" t="str">
        <f>IF(H1089="","",IFERROR(INDEX(art_unit,MATCH(H1089,art_ref,0))&amp;"",""))</f>
        <v/>
      </c>
      <c r="K1089" s="59" t="n"/>
      <c r="L1089" s="59" t="n"/>
      <c r="M1089" s="61" t="str">
        <f>IF(OR(B1089="",NOT(ISNUMBER(K1089)),NOT(ISNUMBER(L1089))),"",IF(OR(K1089&lt;=0,L1089&lt;=0),"",ROUND(L1089-K1089,6)))</f>
        <v/>
      </c>
      <c r="N1089" s="58" t="n"/>
      <c r="O1089" s="62" t="n"/>
      <c r="P1089" s="63" t="str">
        <f>IF(OR(B1089="",NOT(ISNUMBER(L1089))),"",IF(L1089&lt;=0,"",IFERROR(ROUND(L1089*N(INDEX(art_w,MATCH(H1089,art_ref,0))),3),"")))</f>
        <v/>
      </c>
      <c r="Q1089" s="59" t="n"/>
      <c r="R1089" s="54" t="n"/>
      <c r="S1089" s="59" t="n"/>
      <c r="T1089" s="59" t="n"/>
      <c r="U1089" s="64" t="str">
        <f>IF(OR(B1089="",H1089=""),"",IFERROR(IF(A1089="BL",IF(N(INDEX(art_price,MATCH(H1089,art_ref,0)))=0,"",N(INDEX(art_price,MATCH(H1089,art_ref,0)))),IF(N(INDEX(art_cost,MATCH(H1089,art_ref,0)))=0,"",N(INDEX(art_cost,MATCH(H1089,art_ref,0))))),""))</f>
        <v/>
      </c>
      <c r="V1089" s="64" t="str">
        <f>IF(OR(U1089="",NOT(ISNUMBER(L1089))),"",IF(L1089&lt;=0,"",ROUND(L1089*U1089,2)))</f>
        <v/>
      </c>
      <c r="W1089" s="60" t="str">
        <f>IF(AND(B1089&lt;&gt;"",A1089&lt;&gt;"BS",F1089&lt;&gt;"",H1089&lt;&gt;"",ISNUMBER(K1089),ISNUMBER(L1089)),IF(AND(K1089&gt;0,L1089&gt;0,K1089-L1089&gt;0,COUNTIFS(A1090:A$2005,A1089,F1090:F$2005,F1089,H1090:H$2005,H1089,AA1090:AA$2005,"&gt;0")=0),ROUND(K1089-L1089,6),""),"")</f>
        <v/>
      </c>
      <c r="X1089" s="60" t="str">
        <f>IF(AND(A1089="",C1089="",D1089="",H1089="",L1089=""),"",IF(A1089="","Type manquant",IF(AND(A1089&lt;&gt;"BL",A1089&lt;&gt;"BR",A1089&lt;&gt;"BS"),"Type inconnu (BL, BR ou BS)",IF(AG1089=0,"Date manquante ou invalide",IF(D1089="",IF(A1089="BL","Client manquant",IF(A1089="BR","Fournisseur manquant","Service manquant")),IF(IF(A1089="BL",ISNA(MATCH(D1089,cl_code,0)),IF(A1089="BR",ISNA(MATCH(D1089,fo_code,0)),ISNA(MATCH(D1089,p_services,0)))),IF(A1089="BL","Client inconnu",IF(A1089="BR","Fournisseur inconnu","Service inconnu")),IF(H1089="","Article manquant",IF(ISNA(MATCH(H1089,art_ref,0)),"Article inconnu",IF(OR(NOT(ISNUMBER(L1089)),N(L1089)&lt;=0),"Quantité invalide",IF(AND(K1089&lt;&gt;"",OR(NOT(ISNUMBER(K1089)),N(K1089)&lt;=0)),"Qté commandée invalide",IF(AG1089&lt;SUMPRODUCT(MAX((A$6:A1088=A1089)*AG$6:AG1088)),"Date antérieure au bon précédent",IF(AND(A1089&lt;&gt;"BR",ISNUMBER(M1089),N(M1089)&gt;0),IF(A1089="BL","Livré plus que commandé","Sorti plus que demandé"),"OK"))))))))))))</f>
        <v/>
      </c>
      <c r="Y1089" s="57" t="str">
        <f>IF(AND(OR(A1089="BL",A1089="BR",A1089="BS"),AG1089&gt;0,D1089&lt;&gt;""),A1089&amp;"|"&amp;AG1089&amp;"|"&amp;D1089&amp;"|"&amp;F1089,"")</f>
        <v/>
      </c>
      <c r="Z1089" s="57" t="str">
        <f>IF(Y1089="","",IF(COUNTIF(Y$6:Y1088,Y1089)=0,1,0))</f>
        <v/>
      </c>
      <c r="AA1089" s="57" t="str">
        <f>IF(Y1089="","",IF(Z1089=1,COUNTIFS(A$6:A1089,A1089,Z$6:Z1089,1),INDEX(AA$6:AA1088,MATCH(Y1089,Y$6:Y1088,0))))</f>
        <v/>
      </c>
      <c r="AB1089" s="57" t="str">
        <f>IF(B1089="","",COUNTIF(B$6:B1089,B1089))</f>
        <v/>
      </c>
      <c r="AC1089" s="57" t="str">
        <f>IF(B1089="","",B1089&amp;"#"&amp;AB1089)</f>
        <v/>
      </c>
      <c r="AD1089" s="57" t="str">
        <f>IF(Z1089=1,A1089&amp;AA1089,"")</f>
        <v/>
      </c>
      <c r="AE1089" s="57" t="str">
        <f>IF(B1089="","",YEAR(C1089))</f>
        <v/>
      </c>
      <c r="AF1089" s="57" t="str">
        <f>IF(B1089="","",MONTH(C1089))</f>
        <v/>
      </c>
      <c r="AG1089" s="57">
        <f>IF(ISNUMBER(C1089),C1089,0)</f>
        <v>0.0</v>
      </c>
      <c r="AH1089" s="57" t="str">
        <f>IF(N(W1089)&gt;0,COUNTIF(W$6:W1089,"&gt;0"),"")</f>
        <v/>
      </c>
      <c r="AI1089" s="57" t="str">
        <f>IF(Z1089=1,COUNTIF(Z$6:Z1089,1),"")</f>
        <v/>
      </c>
    </row>
    <row r="1090">
      <c r="A1090" s="54" t="n"/>
      <c r="B1090" s="55" t="str">
        <f>IF(AA1090="","",A1090&amp;"-"&amp;RIGHT("000"&amp;AA1090,4))</f>
        <v/>
      </c>
      <c r="C1090" s="56" t="n"/>
      <c r="D1090" s="54" t="n"/>
      <c r="E1090" s="57" t="str">
        <f>IF(D1090="","",IF(A1090="BL",IFERROR(INDEX(cl_name,MATCH(D1090,cl_code,0))&amp;"","Client inconnu"),IF(A1090="BR",IFERROR(INDEX(fo_name,MATCH(D1090,fo_code,0))&amp;"","Fournisseur inconnu"),IF(A1090="BS",IF(ISNA(MATCH(D1090,p_services,0)),"Service inconnu",D1090&amp;""),""))))</f>
        <v/>
      </c>
      <c r="F1090" s="58" t="n"/>
      <c r="G1090" s="58" t="n"/>
      <c r="H1090" s="59" t="n"/>
      <c r="I1090" s="57" t="str">
        <f>IF(H1090="","",IFERROR(INDEX(art_des,MATCH(H1090,art_ref,0))&amp;"","Article inconnu"))</f>
        <v/>
      </c>
      <c r="J1090" s="60" t="str">
        <f>IF(H1090="","",IFERROR(INDEX(art_unit,MATCH(H1090,art_ref,0))&amp;"",""))</f>
        <v/>
      </c>
      <c r="K1090" s="59" t="n"/>
      <c r="L1090" s="59" t="n"/>
      <c r="M1090" s="61" t="str">
        <f>IF(OR(B1090="",NOT(ISNUMBER(K1090)),NOT(ISNUMBER(L1090))),"",IF(OR(K1090&lt;=0,L1090&lt;=0),"",ROUND(L1090-K1090,6)))</f>
        <v/>
      </c>
      <c r="N1090" s="58" t="n"/>
      <c r="O1090" s="62" t="n"/>
      <c r="P1090" s="63" t="str">
        <f>IF(OR(B1090="",NOT(ISNUMBER(L1090))),"",IF(L1090&lt;=0,"",IFERROR(ROUND(L1090*N(INDEX(art_w,MATCH(H1090,art_ref,0))),3),"")))</f>
        <v/>
      </c>
      <c r="Q1090" s="59" t="n"/>
      <c r="R1090" s="54" t="n"/>
      <c r="S1090" s="59" t="n"/>
      <c r="T1090" s="59" t="n"/>
      <c r="U1090" s="64" t="str">
        <f>IF(OR(B1090="",H1090=""),"",IFERROR(IF(A1090="BL",IF(N(INDEX(art_price,MATCH(H1090,art_ref,0)))=0,"",N(INDEX(art_price,MATCH(H1090,art_ref,0)))),IF(N(INDEX(art_cost,MATCH(H1090,art_ref,0)))=0,"",N(INDEX(art_cost,MATCH(H1090,art_ref,0))))),""))</f>
        <v/>
      </c>
      <c r="V1090" s="64" t="str">
        <f>IF(OR(U1090="",NOT(ISNUMBER(L1090))),"",IF(L1090&lt;=0,"",ROUND(L1090*U1090,2)))</f>
        <v/>
      </c>
      <c r="W1090" s="60" t="str">
        <f>IF(AND(B1090&lt;&gt;"",A1090&lt;&gt;"BS",F1090&lt;&gt;"",H1090&lt;&gt;"",ISNUMBER(K1090),ISNUMBER(L1090)),IF(AND(K1090&gt;0,L1090&gt;0,K1090-L1090&gt;0,COUNTIFS(A1091:A$2005,A1090,F1091:F$2005,F1090,H1091:H$2005,H1090,AA1091:AA$2005,"&gt;0")=0),ROUND(K1090-L1090,6),""),"")</f>
        <v/>
      </c>
      <c r="X1090" s="60" t="str">
        <f>IF(AND(A1090="",C1090="",D1090="",H1090="",L1090=""),"",IF(A1090="","Type manquant",IF(AND(A1090&lt;&gt;"BL",A1090&lt;&gt;"BR",A1090&lt;&gt;"BS"),"Type inconnu (BL, BR ou BS)",IF(AG1090=0,"Date manquante ou invalide",IF(D1090="",IF(A1090="BL","Client manquant",IF(A1090="BR","Fournisseur manquant","Service manquant")),IF(IF(A1090="BL",ISNA(MATCH(D1090,cl_code,0)),IF(A1090="BR",ISNA(MATCH(D1090,fo_code,0)),ISNA(MATCH(D1090,p_services,0)))),IF(A1090="BL","Client inconnu",IF(A1090="BR","Fournisseur inconnu","Service inconnu")),IF(H1090="","Article manquant",IF(ISNA(MATCH(H1090,art_ref,0)),"Article inconnu",IF(OR(NOT(ISNUMBER(L1090)),N(L1090)&lt;=0),"Quantité invalide",IF(AND(K1090&lt;&gt;"",OR(NOT(ISNUMBER(K1090)),N(K1090)&lt;=0)),"Qté commandée invalide",IF(AG1090&lt;SUMPRODUCT(MAX((A$6:A1089=A1090)*AG$6:AG1089)),"Date antérieure au bon précédent",IF(AND(A1090&lt;&gt;"BR",ISNUMBER(M1090),N(M1090)&gt;0),IF(A1090="BL","Livré plus que commandé","Sorti plus que demandé"),"OK"))))))))))))</f>
        <v/>
      </c>
      <c r="Y1090" s="57" t="str">
        <f>IF(AND(OR(A1090="BL",A1090="BR",A1090="BS"),AG1090&gt;0,D1090&lt;&gt;""),A1090&amp;"|"&amp;AG1090&amp;"|"&amp;D1090&amp;"|"&amp;F1090,"")</f>
        <v/>
      </c>
      <c r="Z1090" s="57" t="str">
        <f>IF(Y1090="","",IF(COUNTIF(Y$6:Y1089,Y1090)=0,1,0))</f>
        <v/>
      </c>
      <c r="AA1090" s="57" t="str">
        <f>IF(Y1090="","",IF(Z1090=1,COUNTIFS(A$6:A1090,A1090,Z$6:Z1090,1),INDEX(AA$6:AA1089,MATCH(Y1090,Y$6:Y1089,0))))</f>
        <v/>
      </c>
      <c r="AB1090" s="57" t="str">
        <f>IF(B1090="","",COUNTIF(B$6:B1090,B1090))</f>
        <v/>
      </c>
      <c r="AC1090" s="57" t="str">
        <f>IF(B1090="","",B1090&amp;"#"&amp;AB1090)</f>
        <v/>
      </c>
      <c r="AD1090" s="57" t="str">
        <f>IF(Z1090=1,A1090&amp;AA1090,"")</f>
        <v/>
      </c>
      <c r="AE1090" s="57" t="str">
        <f>IF(B1090="","",YEAR(C1090))</f>
        <v/>
      </c>
      <c r="AF1090" s="57" t="str">
        <f>IF(B1090="","",MONTH(C1090))</f>
        <v/>
      </c>
      <c r="AG1090" s="57">
        <f>IF(ISNUMBER(C1090),C1090,0)</f>
        <v>0.0</v>
      </c>
      <c r="AH1090" s="57" t="str">
        <f>IF(N(W1090)&gt;0,COUNTIF(W$6:W1090,"&gt;0"),"")</f>
        <v/>
      </c>
      <c r="AI1090" s="57" t="str">
        <f>IF(Z1090=1,COUNTIF(Z$6:Z1090,1),"")</f>
        <v/>
      </c>
    </row>
    <row r="1091">
      <c r="A1091" s="54" t="n"/>
      <c r="B1091" s="55" t="str">
        <f>IF(AA1091="","",A1091&amp;"-"&amp;RIGHT("000"&amp;AA1091,4))</f>
        <v/>
      </c>
      <c r="C1091" s="56" t="n"/>
      <c r="D1091" s="54" t="n"/>
      <c r="E1091" s="57" t="str">
        <f>IF(D1091="","",IF(A1091="BL",IFERROR(INDEX(cl_name,MATCH(D1091,cl_code,0))&amp;"","Client inconnu"),IF(A1091="BR",IFERROR(INDEX(fo_name,MATCH(D1091,fo_code,0))&amp;"","Fournisseur inconnu"),IF(A1091="BS",IF(ISNA(MATCH(D1091,p_services,0)),"Service inconnu",D1091&amp;""),""))))</f>
        <v/>
      </c>
      <c r="F1091" s="58" t="n"/>
      <c r="G1091" s="58" t="n"/>
      <c r="H1091" s="59" t="n"/>
      <c r="I1091" s="57" t="str">
        <f>IF(H1091="","",IFERROR(INDEX(art_des,MATCH(H1091,art_ref,0))&amp;"","Article inconnu"))</f>
        <v/>
      </c>
      <c r="J1091" s="60" t="str">
        <f>IF(H1091="","",IFERROR(INDEX(art_unit,MATCH(H1091,art_ref,0))&amp;"",""))</f>
        <v/>
      </c>
      <c r="K1091" s="59" t="n"/>
      <c r="L1091" s="59" t="n"/>
      <c r="M1091" s="61" t="str">
        <f>IF(OR(B1091="",NOT(ISNUMBER(K1091)),NOT(ISNUMBER(L1091))),"",IF(OR(K1091&lt;=0,L1091&lt;=0),"",ROUND(L1091-K1091,6)))</f>
        <v/>
      </c>
      <c r="N1091" s="58" t="n"/>
      <c r="O1091" s="62" t="n"/>
      <c r="P1091" s="63" t="str">
        <f>IF(OR(B1091="",NOT(ISNUMBER(L1091))),"",IF(L1091&lt;=0,"",IFERROR(ROUND(L1091*N(INDEX(art_w,MATCH(H1091,art_ref,0))),3),"")))</f>
        <v/>
      </c>
      <c r="Q1091" s="59" t="n"/>
      <c r="R1091" s="54" t="n"/>
      <c r="S1091" s="59" t="n"/>
      <c r="T1091" s="59" t="n"/>
      <c r="U1091" s="64" t="str">
        <f>IF(OR(B1091="",H1091=""),"",IFERROR(IF(A1091="BL",IF(N(INDEX(art_price,MATCH(H1091,art_ref,0)))=0,"",N(INDEX(art_price,MATCH(H1091,art_ref,0)))),IF(N(INDEX(art_cost,MATCH(H1091,art_ref,0)))=0,"",N(INDEX(art_cost,MATCH(H1091,art_ref,0))))),""))</f>
        <v/>
      </c>
      <c r="V1091" s="64" t="str">
        <f>IF(OR(U1091="",NOT(ISNUMBER(L1091))),"",IF(L1091&lt;=0,"",ROUND(L1091*U1091,2)))</f>
        <v/>
      </c>
      <c r="W1091" s="60" t="str">
        <f>IF(AND(B1091&lt;&gt;"",A1091&lt;&gt;"BS",F1091&lt;&gt;"",H1091&lt;&gt;"",ISNUMBER(K1091),ISNUMBER(L1091)),IF(AND(K1091&gt;0,L1091&gt;0,K1091-L1091&gt;0,COUNTIFS(A1092:A$2005,A1091,F1092:F$2005,F1091,H1092:H$2005,H1091,AA1092:AA$2005,"&gt;0")=0),ROUND(K1091-L1091,6),""),"")</f>
        <v/>
      </c>
      <c r="X1091" s="60" t="str">
        <f>IF(AND(A1091="",C1091="",D1091="",H1091="",L1091=""),"",IF(A1091="","Type manquant",IF(AND(A1091&lt;&gt;"BL",A1091&lt;&gt;"BR",A1091&lt;&gt;"BS"),"Type inconnu (BL, BR ou BS)",IF(AG1091=0,"Date manquante ou invalide",IF(D1091="",IF(A1091="BL","Client manquant",IF(A1091="BR","Fournisseur manquant","Service manquant")),IF(IF(A1091="BL",ISNA(MATCH(D1091,cl_code,0)),IF(A1091="BR",ISNA(MATCH(D1091,fo_code,0)),ISNA(MATCH(D1091,p_services,0)))),IF(A1091="BL","Client inconnu",IF(A1091="BR","Fournisseur inconnu","Service inconnu")),IF(H1091="","Article manquant",IF(ISNA(MATCH(H1091,art_ref,0)),"Article inconnu",IF(OR(NOT(ISNUMBER(L1091)),N(L1091)&lt;=0),"Quantité invalide",IF(AND(K1091&lt;&gt;"",OR(NOT(ISNUMBER(K1091)),N(K1091)&lt;=0)),"Qté commandée invalide",IF(AG1091&lt;SUMPRODUCT(MAX((A$6:A1090=A1091)*AG$6:AG1090)),"Date antérieure au bon précédent",IF(AND(A1091&lt;&gt;"BR",ISNUMBER(M1091),N(M1091)&gt;0),IF(A1091="BL","Livré plus que commandé","Sorti plus que demandé"),"OK"))))))))))))</f>
        <v/>
      </c>
      <c r="Y1091" s="57" t="str">
        <f>IF(AND(OR(A1091="BL",A1091="BR",A1091="BS"),AG1091&gt;0,D1091&lt;&gt;""),A1091&amp;"|"&amp;AG1091&amp;"|"&amp;D1091&amp;"|"&amp;F1091,"")</f>
        <v/>
      </c>
      <c r="Z1091" s="57" t="str">
        <f>IF(Y1091="","",IF(COUNTIF(Y$6:Y1090,Y1091)=0,1,0))</f>
        <v/>
      </c>
      <c r="AA1091" s="57" t="str">
        <f>IF(Y1091="","",IF(Z1091=1,COUNTIFS(A$6:A1091,A1091,Z$6:Z1091,1),INDEX(AA$6:AA1090,MATCH(Y1091,Y$6:Y1090,0))))</f>
        <v/>
      </c>
      <c r="AB1091" s="57" t="str">
        <f>IF(B1091="","",COUNTIF(B$6:B1091,B1091))</f>
        <v/>
      </c>
      <c r="AC1091" s="57" t="str">
        <f>IF(B1091="","",B1091&amp;"#"&amp;AB1091)</f>
        <v/>
      </c>
      <c r="AD1091" s="57" t="str">
        <f>IF(Z1091=1,A1091&amp;AA1091,"")</f>
        <v/>
      </c>
      <c r="AE1091" s="57" t="str">
        <f>IF(B1091="","",YEAR(C1091))</f>
        <v/>
      </c>
      <c r="AF1091" s="57" t="str">
        <f>IF(B1091="","",MONTH(C1091))</f>
        <v/>
      </c>
      <c r="AG1091" s="57">
        <f>IF(ISNUMBER(C1091),C1091,0)</f>
        <v>0.0</v>
      </c>
      <c r="AH1091" s="57" t="str">
        <f>IF(N(W1091)&gt;0,COUNTIF(W$6:W1091,"&gt;0"),"")</f>
        <v/>
      </c>
      <c r="AI1091" s="57" t="str">
        <f>IF(Z1091=1,COUNTIF(Z$6:Z1091,1),"")</f>
        <v/>
      </c>
    </row>
    <row r="1092">
      <c r="A1092" s="54" t="n"/>
      <c r="B1092" s="55" t="str">
        <f>IF(AA1092="","",A1092&amp;"-"&amp;RIGHT("000"&amp;AA1092,4))</f>
        <v/>
      </c>
      <c r="C1092" s="56" t="n"/>
      <c r="D1092" s="54" t="n"/>
      <c r="E1092" s="57" t="str">
        <f>IF(D1092="","",IF(A1092="BL",IFERROR(INDEX(cl_name,MATCH(D1092,cl_code,0))&amp;"","Client inconnu"),IF(A1092="BR",IFERROR(INDEX(fo_name,MATCH(D1092,fo_code,0))&amp;"","Fournisseur inconnu"),IF(A1092="BS",IF(ISNA(MATCH(D1092,p_services,0)),"Service inconnu",D1092&amp;""),""))))</f>
        <v/>
      </c>
      <c r="F1092" s="58" t="n"/>
      <c r="G1092" s="58" t="n"/>
      <c r="H1092" s="59" t="n"/>
      <c r="I1092" s="57" t="str">
        <f>IF(H1092="","",IFERROR(INDEX(art_des,MATCH(H1092,art_ref,0))&amp;"","Article inconnu"))</f>
        <v/>
      </c>
      <c r="J1092" s="60" t="str">
        <f>IF(H1092="","",IFERROR(INDEX(art_unit,MATCH(H1092,art_ref,0))&amp;"",""))</f>
        <v/>
      </c>
      <c r="K1092" s="59" t="n"/>
      <c r="L1092" s="59" t="n"/>
      <c r="M1092" s="61" t="str">
        <f>IF(OR(B1092="",NOT(ISNUMBER(K1092)),NOT(ISNUMBER(L1092))),"",IF(OR(K1092&lt;=0,L1092&lt;=0),"",ROUND(L1092-K1092,6)))</f>
        <v/>
      </c>
      <c r="N1092" s="58" t="n"/>
      <c r="O1092" s="62" t="n"/>
      <c r="P1092" s="63" t="str">
        <f>IF(OR(B1092="",NOT(ISNUMBER(L1092))),"",IF(L1092&lt;=0,"",IFERROR(ROUND(L1092*N(INDEX(art_w,MATCH(H1092,art_ref,0))),3),"")))</f>
        <v/>
      </c>
      <c r="Q1092" s="59" t="n"/>
      <c r="R1092" s="54" t="n"/>
      <c r="S1092" s="59" t="n"/>
      <c r="T1092" s="59" t="n"/>
      <c r="U1092" s="64" t="str">
        <f>IF(OR(B1092="",H1092=""),"",IFERROR(IF(A1092="BL",IF(N(INDEX(art_price,MATCH(H1092,art_ref,0)))=0,"",N(INDEX(art_price,MATCH(H1092,art_ref,0)))),IF(N(INDEX(art_cost,MATCH(H1092,art_ref,0)))=0,"",N(INDEX(art_cost,MATCH(H1092,art_ref,0))))),""))</f>
        <v/>
      </c>
      <c r="V1092" s="64" t="str">
        <f>IF(OR(U1092="",NOT(ISNUMBER(L1092))),"",IF(L1092&lt;=0,"",ROUND(L1092*U1092,2)))</f>
        <v/>
      </c>
      <c r="W1092" s="60" t="str">
        <f>IF(AND(B1092&lt;&gt;"",A1092&lt;&gt;"BS",F1092&lt;&gt;"",H1092&lt;&gt;"",ISNUMBER(K1092),ISNUMBER(L1092)),IF(AND(K1092&gt;0,L1092&gt;0,K1092-L1092&gt;0,COUNTIFS(A1093:A$2005,A1092,F1093:F$2005,F1092,H1093:H$2005,H1092,AA1093:AA$2005,"&gt;0")=0),ROUND(K1092-L1092,6),""),"")</f>
        <v/>
      </c>
      <c r="X1092" s="60" t="str">
        <f>IF(AND(A1092="",C1092="",D1092="",H1092="",L1092=""),"",IF(A1092="","Type manquant",IF(AND(A1092&lt;&gt;"BL",A1092&lt;&gt;"BR",A1092&lt;&gt;"BS"),"Type inconnu (BL, BR ou BS)",IF(AG1092=0,"Date manquante ou invalide",IF(D1092="",IF(A1092="BL","Client manquant",IF(A1092="BR","Fournisseur manquant","Service manquant")),IF(IF(A1092="BL",ISNA(MATCH(D1092,cl_code,0)),IF(A1092="BR",ISNA(MATCH(D1092,fo_code,0)),ISNA(MATCH(D1092,p_services,0)))),IF(A1092="BL","Client inconnu",IF(A1092="BR","Fournisseur inconnu","Service inconnu")),IF(H1092="","Article manquant",IF(ISNA(MATCH(H1092,art_ref,0)),"Article inconnu",IF(OR(NOT(ISNUMBER(L1092)),N(L1092)&lt;=0),"Quantité invalide",IF(AND(K1092&lt;&gt;"",OR(NOT(ISNUMBER(K1092)),N(K1092)&lt;=0)),"Qté commandée invalide",IF(AG1092&lt;SUMPRODUCT(MAX((A$6:A1091=A1092)*AG$6:AG1091)),"Date antérieure au bon précédent",IF(AND(A1092&lt;&gt;"BR",ISNUMBER(M1092),N(M1092)&gt;0),IF(A1092="BL","Livré plus que commandé","Sorti plus que demandé"),"OK"))))))))))))</f>
        <v/>
      </c>
      <c r="Y1092" s="57" t="str">
        <f>IF(AND(OR(A1092="BL",A1092="BR",A1092="BS"),AG1092&gt;0,D1092&lt;&gt;""),A1092&amp;"|"&amp;AG1092&amp;"|"&amp;D1092&amp;"|"&amp;F1092,"")</f>
        <v/>
      </c>
      <c r="Z1092" s="57" t="str">
        <f>IF(Y1092="","",IF(COUNTIF(Y$6:Y1091,Y1092)=0,1,0))</f>
        <v/>
      </c>
      <c r="AA1092" s="57" t="str">
        <f>IF(Y1092="","",IF(Z1092=1,COUNTIFS(A$6:A1092,A1092,Z$6:Z1092,1),INDEX(AA$6:AA1091,MATCH(Y1092,Y$6:Y1091,0))))</f>
        <v/>
      </c>
      <c r="AB1092" s="57" t="str">
        <f>IF(B1092="","",COUNTIF(B$6:B1092,B1092))</f>
        <v/>
      </c>
      <c r="AC1092" s="57" t="str">
        <f>IF(B1092="","",B1092&amp;"#"&amp;AB1092)</f>
        <v/>
      </c>
      <c r="AD1092" s="57" t="str">
        <f>IF(Z1092=1,A1092&amp;AA1092,"")</f>
        <v/>
      </c>
      <c r="AE1092" s="57" t="str">
        <f>IF(B1092="","",YEAR(C1092))</f>
        <v/>
      </c>
      <c r="AF1092" s="57" t="str">
        <f>IF(B1092="","",MONTH(C1092))</f>
        <v/>
      </c>
      <c r="AG1092" s="57">
        <f>IF(ISNUMBER(C1092),C1092,0)</f>
        <v>0.0</v>
      </c>
      <c r="AH1092" s="57" t="str">
        <f>IF(N(W1092)&gt;0,COUNTIF(W$6:W1092,"&gt;0"),"")</f>
        <v/>
      </c>
      <c r="AI1092" s="57" t="str">
        <f>IF(Z1092=1,COUNTIF(Z$6:Z1092,1),"")</f>
        <v/>
      </c>
    </row>
    <row r="1093">
      <c r="A1093" s="54" t="n"/>
      <c r="B1093" s="55" t="str">
        <f>IF(AA1093="","",A1093&amp;"-"&amp;RIGHT("000"&amp;AA1093,4))</f>
        <v/>
      </c>
      <c r="C1093" s="56" t="n"/>
      <c r="D1093" s="54" t="n"/>
      <c r="E1093" s="57" t="str">
        <f>IF(D1093="","",IF(A1093="BL",IFERROR(INDEX(cl_name,MATCH(D1093,cl_code,0))&amp;"","Client inconnu"),IF(A1093="BR",IFERROR(INDEX(fo_name,MATCH(D1093,fo_code,0))&amp;"","Fournisseur inconnu"),IF(A1093="BS",IF(ISNA(MATCH(D1093,p_services,0)),"Service inconnu",D1093&amp;""),""))))</f>
        <v/>
      </c>
      <c r="F1093" s="58" t="n"/>
      <c r="G1093" s="58" t="n"/>
      <c r="H1093" s="59" t="n"/>
      <c r="I1093" s="57" t="str">
        <f>IF(H1093="","",IFERROR(INDEX(art_des,MATCH(H1093,art_ref,0))&amp;"","Article inconnu"))</f>
        <v/>
      </c>
      <c r="J1093" s="60" t="str">
        <f>IF(H1093="","",IFERROR(INDEX(art_unit,MATCH(H1093,art_ref,0))&amp;"",""))</f>
        <v/>
      </c>
      <c r="K1093" s="59" t="n"/>
      <c r="L1093" s="59" t="n"/>
      <c r="M1093" s="61" t="str">
        <f>IF(OR(B1093="",NOT(ISNUMBER(K1093)),NOT(ISNUMBER(L1093))),"",IF(OR(K1093&lt;=0,L1093&lt;=0),"",ROUND(L1093-K1093,6)))</f>
        <v/>
      </c>
      <c r="N1093" s="58" t="n"/>
      <c r="O1093" s="62" t="n"/>
      <c r="P1093" s="63" t="str">
        <f>IF(OR(B1093="",NOT(ISNUMBER(L1093))),"",IF(L1093&lt;=0,"",IFERROR(ROUND(L1093*N(INDEX(art_w,MATCH(H1093,art_ref,0))),3),"")))</f>
        <v/>
      </c>
      <c r="Q1093" s="59" t="n"/>
      <c r="R1093" s="54" t="n"/>
      <c r="S1093" s="59" t="n"/>
      <c r="T1093" s="59" t="n"/>
      <c r="U1093" s="64" t="str">
        <f>IF(OR(B1093="",H1093=""),"",IFERROR(IF(A1093="BL",IF(N(INDEX(art_price,MATCH(H1093,art_ref,0)))=0,"",N(INDEX(art_price,MATCH(H1093,art_ref,0)))),IF(N(INDEX(art_cost,MATCH(H1093,art_ref,0)))=0,"",N(INDEX(art_cost,MATCH(H1093,art_ref,0))))),""))</f>
        <v/>
      </c>
      <c r="V1093" s="64" t="str">
        <f>IF(OR(U1093="",NOT(ISNUMBER(L1093))),"",IF(L1093&lt;=0,"",ROUND(L1093*U1093,2)))</f>
        <v/>
      </c>
      <c r="W1093" s="60" t="str">
        <f>IF(AND(B1093&lt;&gt;"",A1093&lt;&gt;"BS",F1093&lt;&gt;"",H1093&lt;&gt;"",ISNUMBER(K1093),ISNUMBER(L1093)),IF(AND(K1093&gt;0,L1093&gt;0,K1093-L1093&gt;0,COUNTIFS(A1094:A$2005,A1093,F1094:F$2005,F1093,H1094:H$2005,H1093,AA1094:AA$2005,"&gt;0")=0),ROUND(K1093-L1093,6),""),"")</f>
        <v/>
      </c>
      <c r="X1093" s="60" t="str">
        <f>IF(AND(A1093="",C1093="",D1093="",H1093="",L1093=""),"",IF(A1093="","Type manquant",IF(AND(A1093&lt;&gt;"BL",A1093&lt;&gt;"BR",A1093&lt;&gt;"BS"),"Type inconnu (BL, BR ou BS)",IF(AG1093=0,"Date manquante ou invalide",IF(D1093="",IF(A1093="BL","Client manquant",IF(A1093="BR","Fournisseur manquant","Service manquant")),IF(IF(A1093="BL",ISNA(MATCH(D1093,cl_code,0)),IF(A1093="BR",ISNA(MATCH(D1093,fo_code,0)),ISNA(MATCH(D1093,p_services,0)))),IF(A1093="BL","Client inconnu",IF(A1093="BR","Fournisseur inconnu","Service inconnu")),IF(H1093="","Article manquant",IF(ISNA(MATCH(H1093,art_ref,0)),"Article inconnu",IF(OR(NOT(ISNUMBER(L1093)),N(L1093)&lt;=0),"Quantité invalide",IF(AND(K1093&lt;&gt;"",OR(NOT(ISNUMBER(K1093)),N(K1093)&lt;=0)),"Qté commandée invalide",IF(AG1093&lt;SUMPRODUCT(MAX((A$6:A1092=A1093)*AG$6:AG1092)),"Date antérieure au bon précédent",IF(AND(A1093&lt;&gt;"BR",ISNUMBER(M1093),N(M1093)&gt;0),IF(A1093="BL","Livré plus que commandé","Sorti plus que demandé"),"OK"))))))))))))</f>
        <v/>
      </c>
      <c r="Y1093" s="57" t="str">
        <f>IF(AND(OR(A1093="BL",A1093="BR",A1093="BS"),AG1093&gt;0,D1093&lt;&gt;""),A1093&amp;"|"&amp;AG1093&amp;"|"&amp;D1093&amp;"|"&amp;F1093,"")</f>
        <v/>
      </c>
      <c r="Z1093" s="57" t="str">
        <f>IF(Y1093="","",IF(COUNTIF(Y$6:Y1092,Y1093)=0,1,0))</f>
        <v/>
      </c>
      <c r="AA1093" s="57" t="str">
        <f>IF(Y1093="","",IF(Z1093=1,COUNTIFS(A$6:A1093,A1093,Z$6:Z1093,1),INDEX(AA$6:AA1092,MATCH(Y1093,Y$6:Y1092,0))))</f>
        <v/>
      </c>
      <c r="AB1093" s="57" t="str">
        <f>IF(B1093="","",COUNTIF(B$6:B1093,B1093))</f>
        <v/>
      </c>
      <c r="AC1093" s="57" t="str">
        <f>IF(B1093="","",B1093&amp;"#"&amp;AB1093)</f>
        <v/>
      </c>
      <c r="AD1093" s="57" t="str">
        <f>IF(Z1093=1,A1093&amp;AA1093,"")</f>
        <v/>
      </c>
      <c r="AE1093" s="57" t="str">
        <f>IF(B1093="","",YEAR(C1093))</f>
        <v/>
      </c>
      <c r="AF1093" s="57" t="str">
        <f>IF(B1093="","",MONTH(C1093))</f>
        <v/>
      </c>
      <c r="AG1093" s="57">
        <f>IF(ISNUMBER(C1093),C1093,0)</f>
        <v>0.0</v>
      </c>
      <c r="AH1093" s="57" t="str">
        <f>IF(N(W1093)&gt;0,COUNTIF(W$6:W1093,"&gt;0"),"")</f>
        <v/>
      </c>
      <c r="AI1093" s="57" t="str">
        <f>IF(Z1093=1,COUNTIF(Z$6:Z1093,1),"")</f>
        <v/>
      </c>
    </row>
    <row r="1094">
      <c r="A1094" s="54" t="n"/>
      <c r="B1094" s="55" t="str">
        <f>IF(AA1094="","",A1094&amp;"-"&amp;RIGHT("000"&amp;AA1094,4))</f>
        <v/>
      </c>
      <c r="C1094" s="56" t="n"/>
      <c r="D1094" s="54" t="n"/>
      <c r="E1094" s="57" t="str">
        <f>IF(D1094="","",IF(A1094="BL",IFERROR(INDEX(cl_name,MATCH(D1094,cl_code,0))&amp;"","Client inconnu"),IF(A1094="BR",IFERROR(INDEX(fo_name,MATCH(D1094,fo_code,0))&amp;"","Fournisseur inconnu"),IF(A1094="BS",IF(ISNA(MATCH(D1094,p_services,0)),"Service inconnu",D1094&amp;""),""))))</f>
        <v/>
      </c>
      <c r="F1094" s="58" t="n"/>
      <c r="G1094" s="58" t="n"/>
      <c r="H1094" s="59" t="n"/>
      <c r="I1094" s="57" t="str">
        <f>IF(H1094="","",IFERROR(INDEX(art_des,MATCH(H1094,art_ref,0))&amp;"","Article inconnu"))</f>
        <v/>
      </c>
      <c r="J1094" s="60" t="str">
        <f>IF(H1094="","",IFERROR(INDEX(art_unit,MATCH(H1094,art_ref,0))&amp;"",""))</f>
        <v/>
      </c>
      <c r="K1094" s="59" t="n"/>
      <c r="L1094" s="59" t="n"/>
      <c r="M1094" s="61" t="str">
        <f>IF(OR(B1094="",NOT(ISNUMBER(K1094)),NOT(ISNUMBER(L1094))),"",IF(OR(K1094&lt;=0,L1094&lt;=0),"",ROUND(L1094-K1094,6)))</f>
        <v/>
      </c>
      <c r="N1094" s="58" t="n"/>
      <c r="O1094" s="62" t="n"/>
      <c r="P1094" s="63" t="str">
        <f>IF(OR(B1094="",NOT(ISNUMBER(L1094))),"",IF(L1094&lt;=0,"",IFERROR(ROUND(L1094*N(INDEX(art_w,MATCH(H1094,art_ref,0))),3),"")))</f>
        <v/>
      </c>
      <c r="Q1094" s="59" t="n"/>
      <c r="R1094" s="54" t="n"/>
      <c r="S1094" s="59" t="n"/>
      <c r="T1094" s="59" t="n"/>
      <c r="U1094" s="64" t="str">
        <f>IF(OR(B1094="",H1094=""),"",IFERROR(IF(A1094="BL",IF(N(INDEX(art_price,MATCH(H1094,art_ref,0)))=0,"",N(INDEX(art_price,MATCH(H1094,art_ref,0)))),IF(N(INDEX(art_cost,MATCH(H1094,art_ref,0)))=0,"",N(INDEX(art_cost,MATCH(H1094,art_ref,0))))),""))</f>
        <v/>
      </c>
      <c r="V1094" s="64" t="str">
        <f>IF(OR(U1094="",NOT(ISNUMBER(L1094))),"",IF(L1094&lt;=0,"",ROUND(L1094*U1094,2)))</f>
        <v/>
      </c>
      <c r="W1094" s="60" t="str">
        <f>IF(AND(B1094&lt;&gt;"",A1094&lt;&gt;"BS",F1094&lt;&gt;"",H1094&lt;&gt;"",ISNUMBER(K1094),ISNUMBER(L1094)),IF(AND(K1094&gt;0,L1094&gt;0,K1094-L1094&gt;0,COUNTIFS(A1095:A$2005,A1094,F1095:F$2005,F1094,H1095:H$2005,H1094,AA1095:AA$2005,"&gt;0")=0),ROUND(K1094-L1094,6),""),"")</f>
        <v/>
      </c>
      <c r="X1094" s="60" t="str">
        <f>IF(AND(A1094="",C1094="",D1094="",H1094="",L1094=""),"",IF(A1094="","Type manquant",IF(AND(A1094&lt;&gt;"BL",A1094&lt;&gt;"BR",A1094&lt;&gt;"BS"),"Type inconnu (BL, BR ou BS)",IF(AG1094=0,"Date manquante ou invalide",IF(D1094="",IF(A1094="BL","Client manquant",IF(A1094="BR","Fournisseur manquant","Service manquant")),IF(IF(A1094="BL",ISNA(MATCH(D1094,cl_code,0)),IF(A1094="BR",ISNA(MATCH(D1094,fo_code,0)),ISNA(MATCH(D1094,p_services,0)))),IF(A1094="BL","Client inconnu",IF(A1094="BR","Fournisseur inconnu","Service inconnu")),IF(H1094="","Article manquant",IF(ISNA(MATCH(H1094,art_ref,0)),"Article inconnu",IF(OR(NOT(ISNUMBER(L1094)),N(L1094)&lt;=0),"Quantité invalide",IF(AND(K1094&lt;&gt;"",OR(NOT(ISNUMBER(K1094)),N(K1094)&lt;=0)),"Qté commandée invalide",IF(AG1094&lt;SUMPRODUCT(MAX((A$6:A1093=A1094)*AG$6:AG1093)),"Date antérieure au bon précédent",IF(AND(A1094&lt;&gt;"BR",ISNUMBER(M1094),N(M1094)&gt;0),IF(A1094="BL","Livré plus que commandé","Sorti plus que demandé"),"OK"))))))))))))</f>
        <v/>
      </c>
      <c r="Y1094" s="57" t="str">
        <f>IF(AND(OR(A1094="BL",A1094="BR",A1094="BS"),AG1094&gt;0,D1094&lt;&gt;""),A1094&amp;"|"&amp;AG1094&amp;"|"&amp;D1094&amp;"|"&amp;F1094,"")</f>
        <v/>
      </c>
      <c r="Z1094" s="57" t="str">
        <f>IF(Y1094="","",IF(COUNTIF(Y$6:Y1093,Y1094)=0,1,0))</f>
        <v/>
      </c>
      <c r="AA1094" s="57" t="str">
        <f>IF(Y1094="","",IF(Z1094=1,COUNTIFS(A$6:A1094,A1094,Z$6:Z1094,1),INDEX(AA$6:AA1093,MATCH(Y1094,Y$6:Y1093,0))))</f>
        <v/>
      </c>
      <c r="AB1094" s="57" t="str">
        <f>IF(B1094="","",COUNTIF(B$6:B1094,B1094))</f>
        <v/>
      </c>
      <c r="AC1094" s="57" t="str">
        <f>IF(B1094="","",B1094&amp;"#"&amp;AB1094)</f>
        <v/>
      </c>
      <c r="AD1094" s="57" t="str">
        <f>IF(Z1094=1,A1094&amp;AA1094,"")</f>
        <v/>
      </c>
      <c r="AE1094" s="57" t="str">
        <f>IF(B1094="","",YEAR(C1094))</f>
        <v/>
      </c>
      <c r="AF1094" s="57" t="str">
        <f>IF(B1094="","",MONTH(C1094))</f>
        <v/>
      </c>
      <c r="AG1094" s="57">
        <f>IF(ISNUMBER(C1094),C1094,0)</f>
        <v>0.0</v>
      </c>
      <c r="AH1094" s="57" t="str">
        <f>IF(N(W1094)&gt;0,COUNTIF(W$6:W1094,"&gt;0"),"")</f>
        <v/>
      </c>
      <c r="AI1094" s="57" t="str">
        <f>IF(Z1094=1,COUNTIF(Z$6:Z1094,1),"")</f>
        <v/>
      </c>
    </row>
    <row r="1095">
      <c r="A1095" s="54" t="n"/>
      <c r="B1095" s="55" t="str">
        <f>IF(AA1095="","",A1095&amp;"-"&amp;RIGHT("000"&amp;AA1095,4))</f>
        <v/>
      </c>
      <c r="C1095" s="56" t="n"/>
      <c r="D1095" s="54" t="n"/>
      <c r="E1095" s="57" t="str">
        <f>IF(D1095="","",IF(A1095="BL",IFERROR(INDEX(cl_name,MATCH(D1095,cl_code,0))&amp;"","Client inconnu"),IF(A1095="BR",IFERROR(INDEX(fo_name,MATCH(D1095,fo_code,0))&amp;"","Fournisseur inconnu"),IF(A1095="BS",IF(ISNA(MATCH(D1095,p_services,0)),"Service inconnu",D1095&amp;""),""))))</f>
        <v/>
      </c>
      <c r="F1095" s="58" t="n"/>
      <c r="G1095" s="58" t="n"/>
      <c r="H1095" s="59" t="n"/>
      <c r="I1095" s="57" t="str">
        <f>IF(H1095="","",IFERROR(INDEX(art_des,MATCH(H1095,art_ref,0))&amp;"","Article inconnu"))</f>
        <v/>
      </c>
      <c r="J1095" s="60" t="str">
        <f>IF(H1095="","",IFERROR(INDEX(art_unit,MATCH(H1095,art_ref,0))&amp;"",""))</f>
        <v/>
      </c>
      <c r="K1095" s="59" t="n"/>
      <c r="L1095" s="59" t="n"/>
      <c r="M1095" s="61" t="str">
        <f>IF(OR(B1095="",NOT(ISNUMBER(K1095)),NOT(ISNUMBER(L1095))),"",IF(OR(K1095&lt;=0,L1095&lt;=0),"",ROUND(L1095-K1095,6)))</f>
        <v/>
      </c>
      <c r="N1095" s="58" t="n"/>
      <c r="O1095" s="62" t="n"/>
      <c r="P1095" s="63" t="str">
        <f>IF(OR(B1095="",NOT(ISNUMBER(L1095))),"",IF(L1095&lt;=0,"",IFERROR(ROUND(L1095*N(INDEX(art_w,MATCH(H1095,art_ref,0))),3),"")))</f>
        <v/>
      </c>
      <c r="Q1095" s="59" t="n"/>
      <c r="R1095" s="54" t="n"/>
      <c r="S1095" s="59" t="n"/>
      <c r="T1095" s="59" t="n"/>
      <c r="U1095" s="64" t="str">
        <f>IF(OR(B1095="",H1095=""),"",IFERROR(IF(A1095="BL",IF(N(INDEX(art_price,MATCH(H1095,art_ref,0)))=0,"",N(INDEX(art_price,MATCH(H1095,art_ref,0)))),IF(N(INDEX(art_cost,MATCH(H1095,art_ref,0)))=0,"",N(INDEX(art_cost,MATCH(H1095,art_ref,0))))),""))</f>
        <v/>
      </c>
      <c r="V1095" s="64" t="str">
        <f>IF(OR(U1095="",NOT(ISNUMBER(L1095))),"",IF(L1095&lt;=0,"",ROUND(L1095*U1095,2)))</f>
        <v/>
      </c>
      <c r="W1095" s="60" t="str">
        <f>IF(AND(B1095&lt;&gt;"",A1095&lt;&gt;"BS",F1095&lt;&gt;"",H1095&lt;&gt;"",ISNUMBER(K1095),ISNUMBER(L1095)),IF(AND(K1095&gt;0,L1095&gt;0,K1095-L1095&gt;0,COUNTIFS(A1096:A$2005,A1095,F1096:F$2005,F1095,H1096:H$2005,H1095,AA1096:AA$2005,"&gt;0")=0),ROUND(K1095-L1095,6),""),"")</f>
        <v/>
      </c>
      <c r="X1095" s="60" t="str">
        <f>IF(AND(A1095="",C1095="",D1095="",H1095="",L1095=""),"",IF(A1095="","Type manquant",IF(AND(A1095&lt;&gt;"BL",A1095&lt;&gt;"BR",A1095&lt;&gt;"BS"),"Type inconnu (BL, BR ou BS)",IF(AG1095=0,"Date manquante ou invalide",IF(D1095="",IF(A1095="BL","Client manquant",IF(A1095="BR","Fournisseur manquant","Service manquant")),IF(IF(A1095="BL",ISNA(MATCH(D1095,cl_code,0)),IF(A1095="BR",ISNA(MATCH(D1095,fo_code,0)),ISNA(MATCH(D1095,p_services,0)))),IF(A1095="BL","Client inconnu",IF(A1095="BR","Fournisseur inconnu","Service inconnu")),IF(H1095="","Article manquant",IF(ISNA(MATCH(H1095,art_ref,0)),"Article inconnu",IF(OR(NOT(ISNUMBER(L1095)),N(L1095)&lt;=0),"Quantité invalide",IF(AND(K1095&lt;&gt;"",OR(NOT(ISNUMBER(K1095)),N(K1095)&lt;=0)),"Qté commandée invalide",IF(AG1095&lt;SUMPRODUCT(MAX((A$6:A1094=A1095)*AG$6:AG1094)),"Date antérieure au bon précédent",IF(AND(A1095&lt;&gt;"BR",ISNUMBER(M1095),N(M1095)&gt;0),IF(A1095="BL","Livré plus que commandé","Sorti plus que demandé"),"OK"))))))))))))</f>
        <v/>
      </c>
      <c r="Y1095" s="57" t="str">
        <f>IF(AND(OR(A1095="BL",A1095="BR",A1095="BS"),AG1095&gt;0,D1095&lt;&gt;""),A1095&amp;"|"&amp;AG1095&amp;"|"&amp;D1095&amp;"|"&amp;F1095,"")</f>
        <v/>
      </c>
      <c r="Z1095" s="57" t="str">
        <f>IF(Y1095="","",IF(COUNTIF(Y$6:Y1094,Y1095)=0,1,0))</f>
        <v/>
      </c>
      <c r="AA1095" s="57" t="str">
        <f>IF(Y1095="","",IF(Z1095=1,COUNTIFS(A$6:A1095,A1095,Z$6:Z1095,1),INDEX(AA$6:AA1094,MATCH(Y1095,Y$6:Y1094,0))))</f>
        <v/>
      </c>
      <c r="AB1095" s="57" t="str">
        <f>IF(B1095="","",COUNTIF(B$6:B1095,B1095))</f>
        <v/>
      </c>
      <c r="AC1095" s="57" t="str">
        <f>IF(B1095="","",B1095&amp;"#"&amp;AB1095)</f>
        <v/>
      </c>
      <c r="AD1095" s="57" t="str">
        <f>IF(Z1095=1,A1095&amp;AA1095,"")</f>
        <v/>
      </c>
      <c r="AE1095" s="57" t="str">
        <f>IF(B1095="","",YEAR(C1095))</f>
        <v/>
      </c>
      <c r="AF1095" s="57" t="str">
        <f>IF(B1095="","",MONTH(C1095))</f>
        <v/>
      </c>
      <c r="AG1095" s="57">
        <f>IF(ISNUMBER(C1095),C1095,0)</f>
        <v>0.0</v>
      </c>
      <c r="AH1095" s="57" t="str">
        <f>IF(N(W1095)&gt;0,COUNTIF(W$6:W1095,"&gt;0"),"")</f>
        <v/>
      </c>
      <c r="AI1095" s="57" t="str">
        <f>IF(Z1095=1,COUNTIF(Z$6:Z1095,1),"")</f>
        <v/>
      </c>
    </row>
    <row r="1096">
      <c r="A1096" s="54" t="n"/>
      <c r="B1096" s="55" t="str">
        <f>IF(AA1096="","",A1096&amp;"-"&amp;RIGHT("000"&amp;AA1096,4))</f>
        <v/>
      </c>
      <c r="C1096" s="56" t="n"/>
      <c r="D1096" s="54" t="n"/>
      <c r="E1096" s="57" t="str">
        <f>IF(D1096="","",IF(A1096="BL",IFERROR(INDEX(cl_name,MATCH(D1096,cl_code,0))&amp;"","Client inconnu"),IF(A1096="BR",IFERROR(INDEX(fo_name,MATCH(D1096,fo_code,0))&amp;"","Fournisseur inconnu"),IF(A1096="BS",IF(ISNA(MATCH(D1096,p_services,0)),"Service inconnu",D1096&amp;""),""))))</f>
        <v/>
      </c>
      <c r="F1096" s="58" t="n"/>
      <c r="G1096" s="58" t="n"/>
      <c r="H1096" s="59" t="n"/>
      <c r="I1096" s="57" t="str">
        <f>IF(H1096="","",IFERROR(INDEX(art_des,MATCH(H1096,art_ref,0))&amp;"","Article inconnu"))</f>
        <v/>
      </c>
      <c r="J1096" s="60" t="str">
        <f>IF(H1096="","",IFERROR(INDEX(art_unit,MATCH(H1096,art_ref,0))&amp;"",""))</f>
        <v/>
      </c>
      <c r="K1096" s="59" t="n"/>
      <c r="L1096" s="59" t="n"/>
      <c r="M1096" s="61" t="str">
        <f>IF(OR(B1096="",NOT(ISNUMBER(K1096)),NOT(ISNUMBER(L1096))),"",IF(OR(K1096&lt;=0,L1096&lt;=0),"",ROUND(L1096-K1096,6)))</f>
        <v/>
      </c>
      <c r="N1096" s="58" t="n"/>
      <c r="O1096" s="62" t="n"/>
      <c r="P1096" s="63" t="str">
        <f>IF(OR(B1096="",NOT(ISNUMBER(L1096))),"",IF(L1096&lt;=0,"",IFERROR(ROUND(L1096*N(INDEX(art_w,MATCH(H1096,art_ref,0))),3),"")))</f>
        <v/>
      </c>
      <c r="Q1096" s="59" t="n"/>
      <c r="R1096" s="54" t="n"/>
      <c r="S1096" s="59" t="n"/>
      <c r="T1096" s="59" t="n"/>
      <c r="U1096" s="64" t="str">
        <f>IF(OR(B1096="",H1096=""),"",IFERROR(IF(A1096="BL",IF(N(INDEX(art_price,MATCH(H1096,art_ref,0)))=0,"",N(INDEX(art_price,MATCH(H1096,art_ref,0)))),IF(N(INDEX(art_cost,MATCH(H1096,art_ref,0)))=0,"",N(INDEX(art_cost,MATCH(H1096,art_ref,0))))),""))</f>
        <v/>
      </c>
      <c r="V1096" s="64" t="str">
        <f>IF(OR(U1096="",NOT(ISNUMBER(L1096))),"",IF(L1096&lt;=0,"",ROUND(L1096*U1096,2)))</f>
        <v/>
      </c>
      <c r="W1096" s="60" t="str">
        <f>IF(AND(B1096&lt;&gt;"",A1096&lt;&gt;"BS",F1096&lt;&gt;"",H1096&lt;&gt;"",ISNUMBER(K1096),ISNUMBER(L1096)),IF(AND(K1096&gt;0,L1096&gt;0,K1096-L1096&gt;0,COUNTIFS(A1097:A$2005,A1096,F1097:F$2005,F1096,H1097:H$2005,H1096,AA1097:AA$2005,"&gt;0")=0),ROUND(K1096-L1096,6),""),"")</f>
        <v/>
      </c>
      <c r="X1096" s="60" t="str">
        <f>IF(AND(A1096="",C1096="",D1096="",H1096="",L1096=""),"",IF(A1096="","Type manquant",IF(AND(A1096&lt;&gt;"BL",A1096&lt;&gt;"BR",A1096&lt;&gt;"BS"),"Type inconnu (BL, BR ou BS)",IF(AG1096=0,"Date manquante ou invalide",IF(D1096="",IF(A1096="BL","Client manquant",IF(A1096="BR","Fournisseur manquant","Service manquant")),IF(IF(A1096="BL",ISNA(MATCH(D1096,cl_code,0)),IF(A1096="BR",ISNA(MATCH(D1096,fo_code,0)),ISNA(MATCH(D1096,p_services,0)))),IF(A1096="BL","Client inconnu",IF(A1096="BR","Fournisseur inconnu","Service inconnu")),IF(H1096="","Article manquant",IF(ISNA(MATCH(H1096,art_ref,0)),"Article inconnu",IF(OR(NOT(ISNUMBER(L1096)),N(L1096)&lt;=0),"Quantité invalide",IF(AND(K1096&lt;&gt;"",OR(NOT(ISNUMBER(K1096)),N(K1096)&lt;=0)),"Qté commandée invalide",IF(AG1096&lt;SUMPRODUCT(MAX((A$6:A1095=A1096)*AG$6:AG1095)),"Date antérieure au bon précédent",IF(AND(A1096&lt;&gt;"BR",ISNUMBER(M1096),N(M1096)&gt;0),IF(A1096="BL","Livré plus que commandé","Sorti plus que demandé"),"OK"))))))))))))</f>
        <v/>
      </c>
      <c r="Y1096" s="57" t="str">
        <f>IF(AND(OR(A1096="BL",A1096="BR",A1096="BS"),AG1096&gt;0,D1096&lt;&gt;""),A1096&amp;"|"&amp;AG1096&amp;"|"&amp;D1096&amp;"|"&amp;F1096,"")</f>
        <v/>
      </c>
      <c r="Z1096" s="57" t="str">
        <f>IF(Y1096="","",IF(COUNTIF(Y$6:Y1095,Y1096)=0,1,0))</f>
        <v/>
      </c>
      <c r="AA1096" s="57" t="str">
        <f>IF(Y1096="","",IF(Z1096=1,COUNTIFS(A$6:A1096,A1096,Z$6:Z1096,1),INDEX(AA$6:AA1095,MATCH(Y1096,Y$6:Y1095,0))))</f>
        <v/>
      </c>
      <c r="AB1096" s="57" t="str">
        <f>IF(B1096="","",COUNTIF(B$6:B1096,B1096))</f>
        <v/>
      </c>
      <c r="AC1096" s="57" t="str">
        <f>IF(B1096="","",B1096&amp;"#"&amp;AB1096)</f>
        <v/>
      </c>
      <c r="AD1096" s="57" t="str">
        <f>IF(Z1096=1,A1096&amp;AA1096,"")</f>
        <v/>
      </c>
      <c r="AE1096" s="57" t="str">
        <f>IF(B1096="","",YEAR(C1096))</f>
        <v/>
      </c>
      <c r="AF1096" s="57" t="str">
        <f>IF(B1096="","",MONTH(C1096))</f>
        <v/>
      </c>
      <c r="AG1096" s="57">
        <f>IF(ISNUMBER(C1096),C1096,0)</f>
        <v>0.0</v>
      </c>
      <c r="AH1096" s="57" t="str">
        <f>IF(N(W1096)&gt;0,COUNTIF(W$6:W1096,"&gt;0"),"")</f>
        <v/>
      </c>
      <c r="AI1096" s="57" t="str">
        <f>IF(Z1096=1,COUNTIF(Z$6:Z1096,1),"")</f>
        <v/>
      </c>
    </row>
    <row r="1097">
      <c r="A1097" s="54" t="n"/>
      <c r="B1097" s="55" t="str">
        <f>IF(AA1097="","",A1097&amp;"-"&amp;RIGHT("000"&amp;AA1097,4))</f>
        <v/>
      </c>
      <c r="C1097" s="56" t="n"/>
      <c r="D1097" s="54" t="n"/>
      <c r="E1097" s="57" t="str">
        <f>IF(D1097="","",IF(A1097="BL",IFERROR(INDEX(cl_name,MATCH(D1097,cl_code,0))&amp;"","Client inconnu"),IF(A1097="BR",IFERROR(INDEX(fo_name,MATCH(D1097,fo_code,0))&amp;"","Fournisseur inconnu"),IF(A1097="BS",IF(ISNA(MATCH(D1097,p_services,0)),"Service inconnu",D1097&amp;""),""))))</f>
        <v/>
      </c>
      <c r="F1097" s="58" t="n"/>
      <c r="G1097" s="58" t="n"/>
      <c r="H1097" s="59" t="n"/>
      <c r="I1097" s="57" t="str">
        <f>IF(H1097="","",IFERROR(INDEX(art_des,MATCH(H1097,art_ref,0))&amp;"","Article inconnu"))</f>
        <v/>
      </c>
      <c r="J1097" s="60" t="str">
        <f>IF(H1097="","",IFERROR(INDEX(art_unit,MATCH(H1097,art_ref,0))&amp;"",""))</f>
        <v/>
      </c>
      <c r="K1097" s="59" t="n"/>
      <c r="L1097" s="59" t="n"/>
      <c r="M1097" s="61" t="str">
        <f>IF(OR(B1097="",NOT(ISNUMBER(K1097)),NOT(ISNUMBER(L1097))),"",IF(OR(K1097&lt;=0,L1097&lt;=0),"",ROUND(L1097-K1097,6)))</f>
        <v/>
      </c>
      <c r="N1097" s="58" t="n"/>
      <c r="O1097" s="62" t="n"/>
      <c r="P1097" s="63" t="str">
        <f>IF(OR(B1097="",NOT(ISNUMBER(L1097))),"",IF(L1097&lt;=0,"",IFERROR(ROUND(L1097*N(INDEX(art_w,MATCH(H1097,art_ref,0))),3),"")))</f>
        <v/>
      </c>
      <c r="Q1097" s="59" t="n"/>
      <c r="R1097" s="54" t="n"/>
      <c r="S1097" s="59" t="n"/>
      <c r="T1097" s="59" t="n"/>
      <c r="U1097" s="64" t="str">
        <f>IF(OR(B1097="",H1097=""),"",IFERROR(IF(A1097="BL",IF(N(INDEX(art_price,MATCH(H1097,art_ref,0)))=0,"",N(INDEX(art_price,MATCH(H1097,art_ref,0)))),IF(N(INDEX(art_cost,MATCH(H1097,art_ref,0)))=0,"",N(INDEX(art_cost,MATCH(H1097,art_ref,0))))),""))</f>
        <v/>
      </c>
      <c r="V1097" s="64" t="str">
        <f>IF(OR(U1097="",NOT(ISNUMBER(L1097))),"",IF(L1097&lt;=0,"",ROUND(L1097*U1097,2)))</f>
        <v/>
      </c>
      <c r="W1097" s="60" t="str">
        <f>IF(AND(B1097&lt;&gt;"",A1097&lt;&gt;"BS",F1097&lt;&gt;"",H1097&lt;&gt;"",ISNUMBER(K1097),ISNUMBER(L1097)),IF(AND(K1097&gt;0,L1097&gt;0,K1097-L1097&gt;0,COUNTIFS(A1098:A$2005,A1097,F1098:F$2005,F1097,H1098:H$2005,H1097,AA1098:AA$2005,"&gt;0")=0),ROUND(K1097-L1097,6),""),"")</f>
        <v/>
      </c>
      <c r="X1097" s="60" t="str">
        <f>IF(AND(A1097="",C1097="",D1097="",H1097="",L1097=""),"",IF(A1097="","Type manquant",IF(AND(A1097&lt;&gt;"BL",A1097&lt;&gt;"BR",A1097&lt;&gt;"BS"),"Type inconnu (BL, BR ou BS)",IF(AG1097=0,"Date manquante ou invalide",IF(D1097="",IF(A1097="BL","Client manquant",IF(A1097="BR","Fournisseur manquant","Service manquant")),IF(IF(A1097="BL",ISNA(MATCH(D1097,cl_code,0)),IF(A1097="BR",ISNA(MATCH(D1097,fo_code,0)),ISNA(MATCH(D1097,p_services,0)))),IF(A1097="BL","Client inconnu",IF(A1097="BR","Fournisseur inconnu","Service inconnu")),IF(H1097="","Article manquant",IF(ISNA(MATCH(H1097,art_ref,0)),"Article inconnu",IF(OR(NOT(ISNUMBER(L1097)),N(L1097)&lt;=0),"Quantité invalide",IF(AND(K1097&lt;&gt;"",OR(NOT(ISNUMBER(K1097)),N(K1097)&lt;=0)),"Qté commandée invalide",IF(AG1097&lt;SUMPRODUCT(MAX((A$6:A1096=A1097)*AG$6:AG1096)),"Date antérieure au bon précédent",IF(AND(A1097&lt;&gt;"BR",ISNUMBER(M1097),N(M1097)&gt;0),IF(A1097="BL","Livré plus que commandé","Sorti plus que demandé"),"OK"))))))))))))</f>
        <v/>
      </c>
      <c r="Y1097" s="57" t="str">
        <f>IF(AND(OR(A1097="BL",A1097="BR",A1097="BS"),AG1097&gt;0,D1097&lt;&gt;""),A1097&amp;"|"&amp;AG1097&amp;"|"&amp;D1097&amp;"|"&amp;F1097,"")</f>
        <v/>
      </c>
      <c r="Z1097" s="57" t="str">
        <f>IF(Y1097="","",IF(COUNTIF(Y$6:Y1096,Y1097)=0,1,0))</f>
        <v/>
      </c>
      <c r="AA1097" s="57" t="str">
        <f>IF(Y1097="","",IF(Z1097=1,COUNTIFS(A$6:A1097,A1097,Z$6:Z1097,1),INDEX(AA$6:AA1096,MATCH(Y1097,Y$6:Y1096,0))))</f>
        <v/>
      </c>
      <c r="AB1097" s="57" t="str">
        <f>IF(B1097="","",COUNTIF(B$6:B1097,B1097))</f>
        <v/>
      </c>
      <c r="AC1097" s="57" t="str">
        <f>IF(B1097="","",B1097&amp;"#"&amp;AB1097)</f>
        <v/>
      </c>
      <c r="AD1097" s="57" t="str">
        <f>IF(Z1097=1,A1097&amp;AA1097,"")</f>
        <v/>
      </c>
      <c r="AE1097" s="57" t="str">
        <f>IF(B1097="","",YEAR(C1097))</f>
        <v/>
      </c>
      <c r="AF1097" s="57" t="str">
        <f>IF(B1097="","",MONTH(C1097))</f>
        <v/>
      </c>
      <c r="AG1097" s="57">
        <f>IF(ISNUMBER(C1097),C1097,0)</f>
        <v>0.0</v>
      </c>
      <c r="AH1097" s="57" t="str">
        <f>IF(N(W1097)&gt;0,COUNTIF(W$6:W1097,"&gt;0"),"")</f>
        <v/>
      </c>
      <c r="AI1097" s="57" t="str">
        <f>IF(Z1097=1,COUNTIF(Z$6:Z1097,1),"")</f>
        <v/>
      </c>
    </row>
    <row r="1098">
      <c r="A1098" s="54" t="n"/>
      <c r="B1098" s="55" t="str">
        <f>IF(AA1098="","",A1098&amp;"-"&amp;RIGHT("000"&amp;AA1098,4))</f>
        <v/>
      </c>
      <c r="C1098" s="56" t="n"/>
      <c r="D1098" s="54" t="n"/>
      <c r="E1098" s="57" t="str">
        <f>IF(D1098="","",IF(A1098="BL",IFERROR(INDEX(cl_name,MATCH(D1098,cl_code,0))&amp;"","Client inconnu"),IF(A1098="BR",IFERROR(INDEX(fo_name,MATCH(D1098,fo_code,0))&amp;"","Fournisseur inconnu"),IF(A1098="BS",IF(ISNA(MATCH(D1098,p_services,0)),"Service inconnu",D1098&amp;""),""))))</f>
        <v/>
      </c>
      <c r="F1098" s="58" t="n"/>
      <c r="G1098" s="58" t="n"/>
      <c r="H1098" s="59" t="n"/>
      <c r="I1098" s="57" t="str">
        <f>IF(H1098="","",IFERROR(INDEX(art_des,MATCH(H1098,art_ref,0))&amp;"","Article inconnu"))</f>
        <v/>
      </c>
      <c r="J1098" s="60" t="str">
        <f>IF(H1098="","",IFERROR(INDEX(art_unit,MATCH(H1098,art_ref,0))&amp;"",""))</f>
        <v/>
      </c>
      <c r="K1098" s="59" t="n"/>
      <c r="L1098" s="59" t="n"/>
      <c r="M1098" s="61" t="str">
        <f>IF(OR(B1098="",NOT(ISNUMBER(K1098)),NOT(ISNUMBER(L1098))),"",IF(OR(K1098&lt;=0,L1098&lt;=0),"",ROUND(L1098-K1098,6)))</f>
        <v/>
      </c>
      <c r="N1098" s="58" t="n"/>
      <c r="O1098" s="62" t="n"/>
      <c r="P1098" s="63" t="str">
        <f>IF(OR(B1098="",NOT(ISNUMBER(L1098))),"",IF(L1098&lt;=0,"",IFERROR(ROUND(L1098*N(INDEX(art_w,MATCH(H1098,art_ref,0))),3),"")))</f>
        <v/>
      </c>
      <c r="Q1098" s="59" t="n"/>
      <c r="R1098" s="54" t="n"/>
      <c r="S1098" s="59" t="n"/>
      <c r="T1098" s="59" t="n"/>
      <c r="U1098" s="64" t="str">
        <f>IF(OR(B1098="",H1098=""),"",IFERROR(IF(A1098="BL",IF(N(INDEX(art_price,MATCH(H1098,art_ref,0)))=0,"",N(INDEX(art_price,MATCH(H1098,art_ref,0)))),IF(N(INDEX(art_cost,MATCH(H1098,art_ref,0)))=0,"",N(INDEX(art_cost,MATCH(H1098,art_ref,0))))),""))</f>
        <v/>
      </c>
      <c r="V1098" s="64" t="str">
        <f>IF(OR(U1098="",NOT(ISNUMBER(L1098))),"",IF(L1098&lt;=0,"",ROUND(L1098*U1098,2)))</f>
        <v/>
      </c>
      <c r="W1098" s="60" t="str">
        <f>IF(AND(B1098&lt;&gt;"",A1098&lt;&gt;"BS",F1098&lt;&gt;"",H1098&lt;&gt;"",ISNUMBER(K1098),ISNUMBER(L1098)),IF(AND(K1098&gt;0,L1098&gt;0,K1098-L1098&gt;0,COUNTIFS(A1099:A$2005,A1098,F1099:F$2005,F1098,H1099:H$2005,H1098,AA1099:AA$2005,"&gt;0")=0),ROUND(K1098-L1098,6),""),"")</f>
        <v/>
      </c>
      <c r="X1098" s="60" t="str">
        <f>IF(AND(A1098="",C1098="",D1098="",H1098="",L1098=""),"",IF(A1098="","Type manquant",IF(AND(A1098&lt;&gt;"BL",A1098&lt;&gt;"BR",A1098&lt;&gt;"BS"),"Type inconnu (BL, BR ou BS)",IF(AG1098=0,"Date manquante ou invalide",IF(D1098="",IF(A1098="BL","Client manquant",IF(A1098="BR","Fournisseur manquant","Service manquant")),IF(IF(A1098="BL",ISNA(MATCH(D1098,cl_code,0)),IF(A1098="BR",ISNA(MATCH(D1098,fo_code,0)),ISNA(MATCH(D1098,p_services,0)))),IF(A1098="BL","Client inconnu",IF(A1098="BR","Fournisseur inconnu","Service inconnu")),IF(H1098="","Article manquant",IF(ISNA(MATCH(H1098,art_ref,0)),"Article inconnu",IF(OR(NOT(ISNUMBER(L1098)),N(L1098)&lt;=0),"Quantité invalide",IF(AND(K1098&lt;&gt;"",OR(NOT(ISNUMBER(K1098)),N(K1098)&lt;=0)),"Qté commandée invalide",IF(AG1098&lt;SUMPRODUCT(MAX((A$6:A1097=A1098)*AG$6:AG1097)),"Date antérieure au bon précédent",IF(AND(A1098&lt;&gt;"BR",ISNUMBER(M1098),N(M1098)&gt;0),IF(A1098="BL","Livré plus que commandé","Sorti plus que demandé"),"OK"))))))))))))</f>
        <v/>
      </c>
      <c r="Y1098" s="57" t="str">
        <f>IF(AND(OR(A1098="BL",A1098="BR",A1098="BS"),AG1098&gt;0,D1098&lt;&gt;""),A1098&amp;"|"&amp;AG1098&amp;"|"&amp;D1098&amp;"|"&amp;F1098,"")</f>
        <v/>
      </c>
      <c r="Z1098" s="57" t="str">
        <f>IF(Y1098="","",IF(COUNTIF(Y$6:Y1097,Y1098)=0,1,0))</f>
        <v/>
      </c>
      <c r="AA1098" s="57" t="str">
        <f>IF(Y1098="","",IF(Z1098=1,COUNTIFS(A$6:A1098,A1098,Z$6:Z1098,1),INDEX(AA$6:AA1097,MATCH(Y1098,Y$6:Y1097,0))))</f>
        <v/>
      </c>
      <c r="AB1098" s="57" t="str">
        <f>IF(B1098="","",COUNTIF(B$6:B1098,B1098))</f>
        <v/>
      </c>
      <c r="AC1098" s="57" t="str">
        <f>IF(B1098="","",B1098&amp;"#"&amp;AB1098)</f>
        <v/>
      </c>
      <c r="AD1098" s="57" t="str">
        <f>IF(Z1098=1,A1098&amp;AA1098,"")</f>
        <v/>
      </c>
      <c r="AE1098" s="57" t="str">
        <f>IF(B1098="","",YEAR(C1098))</f>
        <v/>
      </c>
      <c r="AF1098" s="57" t="str">
        <f>IF(B1098="","",MONTH(C1098))</f>
        <v/>
      </c>
      <c r="AG1098" s="57">
        <f>IF(ISNUMBER(C1098),C1098,0)</f>
        <v>0.0</v>
      </c>
      <c r="AH1098" s="57" t="str">
        <f>IF(N(W1098)&gt;0,COUNTIF(W$6:W1098,"&gt;0"),"")</f>
        <v/>
      </c>
      <c r="AI1098" s="57" t="str">
        <f>IF(Z1098=1,COUNTIF(Z$6:Z1098,1),"")</f>
        <v/>
      </c>
    </row>
    <row r="1099">
      <c r="A1099" s="54" t="n"/>
      <c r="B1099" s="55" t="str">
        <f>IF(AA1099="","",A1099&amp;"-"&amp;RIGHT("000"&amp;AA1099,4))</f>
        <v/>
      </c>
      <c r="C1099" s="56" t="n"/>
      <c r="D1099" s="54" t="n"/>
      <c r="E1099" s="57" t="str">
        <f>IF(D1099="","",IF(A1099="BL",IFERROR(INDEX(cl_name,MATCH(D1099,cl_code,0))&amp;"","Client inconnu"),IF(A1099="BR",IFERROR(INDEX(fo_name,MATCH(D1099,fo_code,0))&amp;"","Fournisseur inconnu"),IF(A1099="BS",IF(ISNA(MATCH(D1099,p_services,0)),"Service inconnu",D1099&amp;""),""))))</f>
        <v/>
      </c>
      <c r="F1099" s="58" t="n"/>
      <c r="G1099" s="58" t="n"/>
      <c r="H1099" s="59" t="n"/>
      <c r="I1099" s="57" t="str">
        <f>IF(H1099="","",IFERROR(INDEX(art_des,MATCH(H1099,art_ref,0))&amp;"","Article inconnu"))</f>
        <v/>
      </c>
      <c r="J1099" s="60" t="str">
        <f>IF(H1099="","",IFERROR(INDEX(art_unit,MATCH(H1099,art_ref,0))&amp;"",""))</f>
        <v/>
      </c>
      <c r="K1099" s="59" t="n"/>
      <c r="L1099" s="59" t="n"/>
      <c r="M1099" s="61" t="str">
        <f>IF(OR(B1099="",NOT(ISNUMBER(K1099)),NOT(ISNUMBER(L1099))),"",IF(OR(K1099&lt;=0,L1099&lt;=0),"",ROUND(L1099-K1099,6)))</f>
        <v/>
      </c>
      <c r="N1099" s="58" t="n"/>
      <c r="O1099" s="62" t="n"/>
      <c r="P1099" s="63" t="str">
        <f>IF(OR(B1099="",NOT(ISNUMBER(L1099))),"",IF(L1099&lt;=0,"",IFERROR(ROUND(L1099*N(INDEX(art_w,MATCH(H1099,art_ref,0))),3),"")))</f>
        <v/>
      </c>
      <c r="Q1099" s="59" t="n"/>
      <c r="R1099" s="54" t="n"/>
      <c r="S1099" s="59" t="n"/>
      <c r="T1099" s="59" t="n"/>
      <c r="U1099" s="64" t="str">
        <f>IF(OR(B1099="",H1099=""),"",IFERROR(IF(A1099="BL",IF(N(INDEX(art_price,MATCH(H1099,art_ref,0)))=0,"",N(INDEX(art_price,MATCH(H1099,art_ref,0)))),IF(N(INDEX(art_cost,MATCH(H1099,art_ref,0)))=0,"",N(INDEX(art_cost,MATCH(H1099,art_ref,0))))),""))</f>
        <v/>
      </c>
      <c r="V1099" s="64" t="str">
        <f>IF(OR(U1099="",NOT(ISNUMBER(L1099))),"",IF(L1099&lt;=0,"",ROUND(L1099*U1099,2)))</f>
        <v/>
      </c>
      <c r="W1099" s="60" t="str">
        <f>IF(AND(B1099&lt;&gt;"",A1099&lt;&gt;"BS",F1099&lt;&gt;"",H1099&lt;&gt;"",ISNUMBER(K1099),ISNUMBER(L1099)),IF(AND(K1099&gt;0,L1099&gt;0,K1099-L1099&gt;0,COUNTIFS(A1100:A$2005,A1099,F1100:F$2005,F1099,H1100:H$2005,H1099,AA1100:AA$2005,"&gt;0")=0),ROUND(K1099-L1099,6),""),"")</f>
        <v/>
      </c>
      <c r="X1099" s="60" t="str">
        <f>IF(AND(A1099="",C1099="",D1099="",H1099="",L1099=""),"",IF(A1099="","Type manquant",IF(AND(A1099&lt;&gt;"BL",A1099&lt;&gt;"BR",A1099&lt;&gt;"BS"),"Type inconnu (BL, BR ou BS)",IF(AG1099=0,"Date manquante ou invalide",IF(D1099="",IF(A1099="BL","Client manquant",IF(A1099="BR","Fournisseur manquant","Service manquant")),IF(IF(A1099="BL",ISNA(MATCH(D1099,cl_code,0)),IF(A1099="BR",ISNA(MATCH(D1099,fo_code,0)),ISNA(MATCH(D1099,p_services,0)))),IF(A1099="BL","Client inconnu",IF(A1099="BR","Fournisseur inconnu","Service inconnu")),IF(H1099="","Article manquant",IF(ISNA(MATCH(H1099,art_ref,0)),"Article inconnu",IF(OR(NOT(ISNUMBER(L1099)),N(L1099)&lt;=0),"Quantité invalide",IF(AND(K1099&lt;&gt;"",OR(NOT(ISNUMBER(K1099)),N(K1099)&lt;=0)),"Qté commandée invalide",IF(AG1099&lt;SUMPRODUCT(MAX((A$6:A1098=A1099)*AG$6:AG1098)),"Date antérieure au bon précédent",IF(AND(A1099&lt;&gt;"BR",ISNUMBER(M1099),N(M1099)&gt;0),IF(A1099="BL","Livré plus que commandé","Sorti plus que demandé"),"OK"))))))))))))</f>
        <v/>
      </c>
      <c r="Y1099" s="57" t="str">
        <f>IF(AND(OR(A1099="BL",A1099="BR",A1099="BS"),AG1099&gt;0,D1099&lt;&gt;""),A1099&amp;"|"&amp;AG1099&amp;"|"&amp;D1099&amp;"|"&amp;F1099,"")</f>
        <v/>
      </c>
      <c r="Z1099" s="57" t="str">
        <f>IF(Y1099="","",IF(COUNTIF(Y$6:Y1098,Y1099)=0,1,0))</f>
        <v/>
      </c>
      <c r="AA1099" s="57" t="str">
        <f>IF(Y1099="","",IF(Z1099=1,COUNTIFS(A$6:A1099,A1099,Z$6:Z1099,1),INDEX(AA$6:AA1098,MATCH(Y1099,Y$6:Y1098,0))))</f>
        <v/>
      </c>
      <c r="AB1099" s="57" t="str">
        <f>IF(B1099="","",COUNTIF(B$6:B1099,B1099))</f>
        <v/>
      </c>
      <c r="AC1099" s="57" t="str">
        <f>IF(B1099="","",B1099&amp;"#"&amp;AB1099)</f>
        <v/>
      </c>
      <c r="AD1099" s="57" t="str">
        <f>IF(Z1099=1,A1099&amp;AA1099,"")</f>
        <v/>
      </c>
      <c r="AE1099" s="57" t="str">
        <f>IF(B1099="","",YEAR(C1099))</f>
        <v/>
      </c>
      <c r="AF1099" s="57" t="str">
        <f>IF(B1099="","",MONTH(C1099))</f>
        <v/>
      </c>
      <c r="AG1099" s="57">
        <f>IF(ISNUMBER(C1099),C1099,0)</f>
        <v>0.0</v>
      </c>
      <c r="AH1099" s="57" t="str">
        <f>IF(N(W1099)&gt;0,COUNTIF(W$6:W1099,"&gt;0"),"")</f>
        <v/>
      </c>
      <c r="AI1099" s="57" t="str">
        <f>IF(Z1099=1,COUNTIF(Z$6:Z1099,1),"")</f>
        <v/>
      </c>
    </row>
    <row r="1100">
      <c r="A1100" s="54" t="n"/>
      <c r="B1100" s="55" t="str">
        <f>IF(AA1100="","",A1100&amp;"-"&amp;RIGHT("000"&amp;AA1100,4))</f>
        <v/>
      </c>
      <c r="C1100" s="56" t="n"/>
      <c r="D1100" s="54" t="n"/>
      <c r="E1100" s="57" t="str">
        <f>IF(D1100="","",IF(A1100="BL",IFERROR(INDEX(cl_name,MATCH(D1100,cl_code,0))&amp;"","Client inconnu"),IF(A1100="BR",IFERROR(INDEX(fo_name,MATCH(D1100,fo_code,0))&amp;"","Fournisseur inconnu"),IF(A1100="BS",IF(ISNA(MATCH(D1100,p_services,0)),"Service inconnu",D1100&amp;""),""))))</f>
        <v/>
      </c>
      <c r="F1100" s="58" t="n"/>
      <c r="G1100" s="58" t="n"/>
      <c r="H1100" s="59" t="n"/>
      <c r="I1100" s="57" t="str">
        <f>IF(H1100="","",IFERROR(INDEX(art_des,MATCH(H1100,art_ref,0))&amp;"","Article inconnu"))</f>
        <v/>
      </c>
      <c r="J1100" s="60" t="str">
        <f>IF(H1100="","",IFERROR(INDEX(art_unit,MATCH(H1100,art_ref,0))&amp;"",""))</f>
        <v/>
      </c>
      <c r="K1100" s="59" t="n"/>
      <c r="L1100" s="59" t="n"/>
      <c r="M1100" s="61" t="str">
        <f>IF(OR(B1100="",NOT(ISNUMBER(K1100)),NOT(ISNUMBER(L1100))),"",IF(OR(K1100&lt;=0,L1100&lt;=0),"",ROUND(L1100-K1100,6)))</f>
        <v/>
      </c>
      <c r="N1100" s="58" t="n"/>
      <c r="O1100" s="62" t="n"/>
      <c r="P1100" s="63" t="str">
        <f>IF(OR(B1100="",NOT(ISNUMBER(L1100))),"",IF(L1100&lt;=0,"",IFERROR(ROUND(L1100*N(INDEX(art_w,MATCH(H1100,art_ref,0))),3),"")))</f>
        <v/>
      </c>
      <c r="Q1100" s="59" t="n"/>
      <c r="R1100" s="54" t="n"/>
      <c r="S1100" s="59" t="n"/>
      <c r="T1100" s="59" t="n"/>
      <c r="U1100" s="64" t="str">
        <f>IF(OR(B1100="",H1100=""),"",IFERROR(IF(A1100="BL",IF(N(INDEX(art_price,MATCH(H1100,art_ref,0)))=0,"",N(INDEX(art_price,MATCH(H1100,art_ref,0)))),IF(N(INDEX(art_cost,MATCH(H1100,art_ref,0)))=0,"",N(INDEX(art_cost,MATCH(H1100,art_ref,0))))),""))</f>
        <v/>
      </c>
      <c r="V1100" s="64" t="str">
        <f>IF(OR(U1100="",NOT(ISNUMBER(L1100))),"",IF(L1100&lt;=0,"",ROUND(L1100*U1100,2)))</f>
        <v/>
      </c>
      <c r="W1100" s="60" t="str">
        <f>IF(AND(B1100&lt;&gt;"",A1100&lt;&gt;"BS",F1100&lt;&gt;"",H1100&lt;&gt;"",ISNUMBER(K1100),ISNUMBER(L1100)),IF(AND(K1100&gt;0,L1100&gt;0,K1100-L1100&gt;0,COUNTIFS(A1101:A$2005,A1100,F1101:F$2005,F1100,H1101:H$2005,H1100,AA1101:AA$2005,"&gt;0")=0),ROUND(K1100-L1100,6),""),"")</f>
        <v/>
      </c>
      <c r="X1100" s="60" t="str">
        <f>IF(AND(A1100="",C1100="",D1100="",H1100="",L1100=""),"",IF(A1100="","Type manquant",IF(AND(A1100&lt;&gt;"BL",A1100&lt;&gt;"BR",A1100&lt;&gt;"BS"),"Type inconnu (BL, BR ou BS)",IF(AG1100=0,"Date manquante ou invalide",IF(D1100="",IF(A1100="BL","Client manquant",IF(A1100="BR","Fournisseur manquant","Service manquant")),IF(IF(A1100="BL",ISNA(MATCH(D1100,cl_code,0)),IF(A1100="BR",ISNA(MATCH(D1100,fo_code,0)),ISNA(MATCH(D1100,p_services,0)))),IF(A1100="BL","Client inconnu",IF(A1100="BR","Fournisseur inconnu","Service inconnu")),IF(H1100="","Article manquant",IF(ISNA(MATCH(H1100,art_ref,0)),"Article inconnu",IF(OR(NOT(ISNUMBER(L1100)),N(L1100)&lt;=0),"Quantité invalide",IF(AND(K1100&lt;&gt;"",OR(NOT(ISNUMBER(K1100)),N(K1100)&lt;=0)),"Qté commandée invalide",IF(AG1100&lt;SUMPRODUCT(MAX((A$6:A1099=A1100)*AG$6:AG1099)),"Date antérieure au bon précédent",IF(AND(A1100&lt;&gt;"BR",ISNUMBER(M1100),N(M1100)&gt;0),IF(A1100="BL","Livré plus que commandé","Sorti plus que demandé"),"OK"))))))))))))</f>
        <v/>
      </c>
      <c r="Y1100" s="57" t="str">
        <f>IF(AND(OR(A1100="BL",A1100="BR",A1100="BS"),AG1100&gt;0,D1100&lt;&gt;""),A1100&amp;"|"&amp;AG1100&amp;"|"&amp;D1100&amp;"|"&amp;F1100,"")</f>
        <v/>
      </c>
      <c r="Z1100" s="57" t="str">
        <f>IF(Y1100="","",IF(COUNTIF(Y$6:Y1099,Y1100)=0,1,0))</f>
        <v/>
      </c>
      <c r="AA1100" s="57" t="str">
        <f>IF(Y1100="","",IF(Z1100=1,COUNTIFS(A$6:A1100,A1100,Z$6:Z1100,1),INDEX(AA$6:AA1099,MATCH(Y1100,Y$6:Y1099,0))))</f>
        <v/>
      </c>
      <c r="AB1100" s="57" t="str">
        <f>IF(B1100="","",COUNTIF(B$6:B1100,B1100))</f>
        <v/>
      </c>
      <c r="AC1100" s="57" t="str">
        <f>IF(B1100="","",B1100&amp;"#"&amp;AB1100)</f>
        <v/>
      </c>
      <c r="AD1100" s="57" t="str">
        <f>IF(Z1100=1,A1100&amp;AA1100,"")</f>
        <v/>
      </c>
      <c r="AE1100" s="57" t="str">
        <f>IF(B1100="","",YEAR(C1100))</f>
        <v/>
      </c>
      <c r="AF1100" s="57" t="str">
        <f>IF(B1100="","",MONTH(C1100))</f>
        <v/>
      </c>
      <c r="AG1100" s="57">
        <f>IF(ISNUMBER(C1100),C1100,0)</f>
        <v>0.0</v>
      </c>
      <c r="AH1100" s="57" t="str">
        <f>IF(N(W1100)&gt;0,COUNTIF(W$6:W1100,"&gt;0"),"")</f>
        <v/>
      </c>
      <c r="AI1100" s="57" t="str">
        <f>IF(Z1100=1,COUNTIF(Z$6:Z1100,1),"")</f>
        <v/>
      </c>
    </row>
    <row r="1101">
      <c r="A1101" s="54" t="n"/>
      <c r="B1101" s="55" t="str">
        <f>IF(AA1101="","",A1101&amp;"-"&amp;RIGHT("000"&amp;AA1101,4))</f>
        <v/>
      </c>
      <c r="C1101" s="56" t="n"/>
      <c r="D1101" s="54" t="n"/>
      <c r="E1101" s="57" t="str">
        <f>IF(D1101="","",IF(A1101="BL",IFERROR(INDEX(cl_name,MATCH(D1101,cl_code,0))&amp;"","Client inconnu"),IF(A1101="BR",IFERROR(INDEX(fo_name,MATCH(D1101,fo_code,0))&amp;"","Fournisseur inconnu"),IF(A1101="BS",IF(ISNA(MATCH(D1101,p_services,0)),"Service inconnu",D1101&amp;""),""))))</f>
        <v/>
      </c>
      <c r="F1101" s="58" t="n"/>
      <c r="G1101" s="58" t="n"/>
      <c r="H1101" s="59" t="n"/>
      <c r="I1101" s="57" t="str">
        <f>IF(H1101="","",IFERROR(INDEX(art_des,MATCH(H1101,art_ref,0))&amp;"","Article inconnu"))</f>
        <v/>
      </c>
      <c r="J1101" s="60" t="str">
        <f>IF(H1101="","",IFERROR(INDEX(art_unit,MATCH(H1101,art_ref,0))&amp;"",""))</f>
        <v/>
      </c>
      <c r="K1101" s="59" t="n"/>
      <c r="L1101" s="59" t="n"/>
      <c r="M1101" s="61" t="str">
        <f>IF(OR(B1101="",NOT(ISNUMBER(K1101)),NOT(ISNUMBER(L1101))),"",IF(OR(K1101&lt;=0,L1101&lt;=0),"",ROUND(L1101-K1101,6)))</f>
        <v/>
      </c>
      <c r="N1101" s="58" t="n"/>
      <c r="O1101" s="62" t="n"/>
      <c r="P1101" s="63" t="str">
        <f>IF(OR(B1101="",NOT(ISNUMBER(L1101))),"",IF(L1101&lt;=0,"",IFERROR(ROUND(L1101*N(INDEX(art_w,MATCH(H1101,art_ref,0))),3),"")))</f>
        <v/>
      </c>
      <c r="Q1101" s="59" t="n"/>
      <c r="R1101" s="54" t="n"/>
      <c r="S1101" s="59" t="n"/>
      <c r="T1101" s="59" t="n"/>
      <c r="U1101" s="64" t="str">
        <f>IF(OR(B1101="",H1101=""),"",IFERROR(IF(A1101="BL",IF(N(INDEX(art_price,MATCH(H1101,art_ref,0)))=0,"",N(INDEX(art_price,MATCH(H1101,art_ref,0)))),IF(N(INDEX(art_cost,MATCH(H1101,art_ref,0)))=0,"",N(INDEX(art_cost,MATCH(H1101,art_ref,0))))),""))</f>
        <v/>
      </c>
      <c r="V1101" s="64" t="str">
        <f>IF(OR(U1101="",NOT(ISNUMBER(L1101))),"",IF(L1101&lt;=0,"",ROUND(L1101*U1101,2)))</f>
        <v/>
      </c>
      <c r="W1101" s="60" t="str">
        <f>IF(AND(B1101&lt;&gt;"",A1101&lt;&gt;"BS",F1101&lt;&gt;"",H1101&lt;&gt;"",ISNUMBER(K1101),ISNUMBER(L1101)),IF(AND(K1101&gt;0,L1101&gt;0,K1101-L1101&gt;0,COUNTIFS(A1102:A$2005,A1101,F1102:F$2005,F1101,H1102:H$2005,H1101,AA1102:AA$2005,"&gt;0")=0),ROUND(K1101-L1101,6),""),"")</f>
        <v/>
      </c>
      <c r="X1101" s="60" t="str">
        <f>IF(AND(A1101="",C1101="",D1101="",H1101="",L1101=""),"",IF(A1101="","Type manquant",IF(AND(A1101&lt;&gt;"BL",A1101&lt;&gt;"BR",A1101&lt;&gt;"BS"),"Type inconnu (BL, BR ou BS)",IF(AG1101=0,"Date manquante ou invalide",IF(D1101="",IF(A1101="BL","Client manquant",IF(A1101="BR","Fournisseur manquant","Service manquant")),IF(IF(A1101="BL",ISNA(MATCH(D1101,cl_code,0)),IF(A1101="BR",ISNA(MATCH(D1101,fo_code,0)),ISNA(MATCH(D1101,p_services,0)))),IF(A1101="BL","Client inconnu",IF(A1101="BR","Fournisseur inconnu","Service inconnu")),IF(H1101="","Article manquant",IF(ISNA(MATCH(H1101,art_ref,0)),"Article inconnu",IF(OR(NOT(ISNUMBER(L1101)),N(L1101)&lt;=0),"Quantité invalide",IF(AND(K1101&lt;&gt;"",OR(NOT(ISNUMBER(K1101)),N(K1101)&lt;=0)),"Qté commandée invalide",IF(AG1101&lt;SUMPRODUCT(MAX((A$6:A1100=A1101)*AG$6:AG1100)),"Date antérieure au bon précédent",IF(AND(A1101&lt;&gt;"BR",ISNUMBER(M1101),N(M1101)&gt;0),IF(A1101="BL","Livré plus que commandé","Sorti plus que demandé"),"OK"))))))))))))</f>
        <v/>
      </c>
      <c r="Y1101" s="57" t="str">
        <f>IF(AND(OR(A1101="BL",A1101="BR",A1101="BS"),AG1101&gt;0,D1101&lt;&gt;""),A1101&amp;"|"&amp;AG1101&amp;"|"&amp;D1101&amp;"|"&amp;F1101,"")</f>
        <v/>
      </c>
      <c r="Z1101" s="57" t="str">
        <f>IF(Y1101="","",IF(COUNTIF(Y$6:Y1100,Y1101)=0,1,0))</f>
        <v/>
      </c>
      <c r="AA1101" s="57" t="str">
        <f>IF(Y1101="","",IF(Z1101=1,COUNTIFS(A$6:A1101,A1101,Z$6:Z1101,1),INDEX(AA$6:AA1100,MATCH(Y1101,Y$6:Y1100,0))))</f>
        <v/>
      </c>
      <c r="AB1101" s="57" t="str">
        <f>IF(B1101="","",COUNTIF(B$6:B1101,B1101))</f>
        <v/>
      </c>
      <c r="AC1101" s="57" t="str">
        <f>IF(B1101="","",B1101&amp;"#"&amp;AB1101)</f>
        <v/>
      </c>
      <c r="AD1101" s="57" t="str">
        <f>IF(Z1101=1,A1101&amp;AA1101,"")</f>
        <v/>
      </c>
      <c r="AE1101" s="57" t="str">
        <f>IF(B1101="","",YEAR(C1101))</f>
        <v/>
      </c>
      <c r="AF1101" s="57" t="str">
        <f>IF(B1101="","",MONTH(C1101))</f>
        <v/>
      </c>
      <c r="AG1101" s="57">
        <f>IF(ISNUMBER(C1101),C1101,0)</f>
        <v>0.0</v>
      </c>
      <c r="AH1101" s="57" t="str">
        <f>IF(N(W1101)&gt;0,COUNTIF(W$6:W1101,"&gt;0"),"")</f>
        <v/>
      </c>
      <c r="AI1101" s="57" t="str">
        <f>IF(Z1101=1,COUNTIF(Z$6:Z1101,1),"")</f>
        <v/>
      </c>
    </row>
    <row r="1102">
      <c r="A1102" s="54" t="n"/>
      <c r="B1102" s="55" t="str">
        <f>IF(AA1102="","",A1102&amp;"-"&amp;RIGHT("000"&amp;AA1102,4))</f>
        <v/>
      </c>
      <c r="C1102" s="56" t="n"/>
      <c r="D1102" s="54" t="n"/>
      <c r="E1102" s="57" t="str">
        <f>IF(D1102="","",IF(A1102="BL",IFERROR(INDEX(cl_name,MATCH(D1102,cl_code,0))&amp;"","Client inconnu"),IF(A1102="BR",IFERROR(INDEX(fo_name,MATCH(D1102,fo_code,0))&amp;"","Fournisseur inconnu"),IF(A1102="BS",IF(ISNA(MATCH(D1102,p_services,0)),"Service inconnu",D1102&amp;""),""))))</f>
        <v/>
      </c>
      <c r="F1102" s="58" t="n"/>
      <c r="G1102" s="58" t="n"/>
      <c r="H1102" s="59" t="n"/>
      <c r="I1102" s="57" t="str">
        <f>IF(H1102="","",IFERROR(INDEX(art_des,MATCH(H1102,art_ref,0))&amp;"","Article inconnu"))</f>
        <v/>
      </c>
      <c r="J1102" s="60" t="str">
        <f>IF(H1102="","",IFERROR(INDEX(art_unit,MATCH(H1102,art_ref,0))&amp;"",""))</f>
        <v/>
      </c>
      <c r="K1102" s="59" t="n"/>
      <c r="L1102" s="59" t="n"/>
      <c r="M1102" s="61" t="str">
        <f>IF(OR(B1102="",NOT(ISNUMBER(K1102)),NOT(ISNUMBER(L1102))),"",IF(OR(K1102&lt;=0,L1102&lt;=0),"",ROUND(L1102-K1102,6)))</f>
        <v/>
      </c>
      <c r="N1102" s="58" t="n"/>
      <c r="O1102" s="62" t="n"/>
      <c r="P1102" s="63" t="str">
        <f>IF(OR(B1102="",NOT(ISNUMBER(L1102))),"",IF(L1102&lt;=0,"",IFERROR(ROUND(L1102*N(INDEX(art_w,MATCH(H1102,art_ref,0))),3),"")))</f>
        <v/>
      </c>
      <c r="Q1102" s="59" t="n"/>
      <c r="R1102" s="54" t="n"/>
      <c r="S1102" s="59" t="n"/>
      <c r="T1102" s="59" t="n"/>
      <c r="U1102" s="64" t="str">
        <f>IF(OR(B1102="",H1102=""),"",IFERROR(IF(A1102="BL",IF(N(INDEX(art_price,MATCH(H1102,art_ref,0)))=0,"",N(INDEX(art_price,MATCH(H1102,art_ref,0)))),IF(N(INDEX(art_cost,MATCH(H1102,art_ref,0)))=0,"",N(INDEX(art_cost,MATCH(H1102,art_ref,0))))),""))</f>
        <v/>
      </c>
      <c r="V1102" s="64" t="str">
        <f>IF(OR(U1102="",NOT(ISNUMBER(L1102))),"",IF(L1102&lt;=0,"",ROUND(L1102*U1102,2)))</f>
        <v/>
      </c>
      <c r="W1102" s="60" t="str">
        <f>IF(AND(B1102&lt;&gt;"",A1102&lt;&gt;"BS",F1102&lt;&gt;"",H1102&lt;&gt;"",ISNUMBER(K1102),ISNUMBER(L1102)),IF(AND(K1102&gt;0,L1102&gt;0,K1102-L1102&gt;0,COUNTIFS(A1103:A$2005,A1102,F1103:F$2005,F1102,H1103:H$2005,H1102,AA1103:AA$2005,"&gt;0")=0),ROUND(K1102-L1102,6),""),"")</f>
        <v/>
      </c>
      <c r="X1102" s="60" t="str">
        <f>IF(AND(A1102="",C1102="",D1102="",H1102="",L1102=""),"",IF(A1102="","Type manquant",IF(AND(A1102&lt;&gt;"BL",A1102&lt;&gt;"BR",A1102&lt;&gt;"BS"),"Type inconnu (BL, BR ou BS)",IF(AG1102=0,"Date manquante ou invalide",IF(D1102="",IF(A1102="BL","Client manquant",IF(A1102="BR","Fournisseur manquant","Service manquant")),IF(IF(A1102="BL",ISNA(MATCH(D1102,cl_code,0)),IF(A1102="BR",ISNA(MATCH(D1102,fo_code,0)),ISNA(MATCH(D1102,p_services,0)))),IF(A1102="BL","Client inconnu",IF(A1102="BR","Fournisseur inconnu","Service inconnu")),IF(H1102="","Article manquant",IF(ISNA(MATCH(H1102,art_ref,0)),"Article inconnu",IF(OR(NOT(ISNUMBER(L1102)),N(L1102)&lt;=0),"Quantité invalide",IF(AND(K1102&lt;&gt;"",OR(NOT(ISNUMBER(K1102)),N(K1102)&lt;=0)),"Qté commandée invalide",IF(AG1102&lt;SUMPRODUCT(MAX((A$6:A1101=A1102)*AG$6:AG1101)),"Date antérieure au bon précédent",IF(AND(A1102&lt;&gt;"BR",ISNUMBER(M1102),N(M1102)&gt;0),IF(A1102="BL","Livré plus que commandé","Sorti plus que demandé"),"OK"))))))))))))</f>
        <v/>
      </c>
      <c r="Y1102" s="57" t="str">
        <f>IF(AND(OR(A1102="BL",A1102="BR",A1102="BS"),AG1102&gt;0,D1102&lt;&gt;""),A1102&amp;"|"&amp;AG1102&amp;"|"&amp;D1102&amp;"|"&amp;F1102,"")</f>
        <v/>
      </c>
      <c r="Z1102" s="57" t="str">
        <f>IF(Y1102="","",IF(COUNTIF(Y$6:Y1101,Y1102)=0,1,0))</f>
        <v/>
      </c>
      <c r="AA1102" s="57" t="str">
        <f>IF(Y1102="","",IF(Z1102=1,COUNTIFS(A$6:A1102,A1102,Z$6:Z1102,1),INDEX(AA$6:AA1101,MATCH(Y1102,Y$6:Y1101,0))))</f>
        <v/>
      </c>
      <c r="AB1102" s="57" t="str">
        <f>IF(B1102="","",COUNTIF(B$6:B1102,B1102))</f>
        <v/>
      </c>
      <c r="AC1102" s="57" t="str">
        <f>IF(B1102="","",B1102&amp;"#"&amp;AB1102)</f>
        <v/>
      </c>
      <c r="AD1102" s="57" t="str">
        <f>IF(Z1102=1,A1102&amp;AA1102,"")</f>
        <v/>
      </c>
      <c r="AE1102" s="57" t="str">
        <f>IF(B1102="","",YEAR(C1102))</f>
        <v/>
      </c>
      <c r="AF1102" s="57" t="str">
        <f>IF(B1102="","",MONTH(C1102))</f>
        <v/>
      </c>
      <c r="AG1102" s="57">
        <f>IF(ISNUMBER(C1102),C1102,0)</f>
        <v>0.0</v>
      </c>
      <c r="AH1102" s="57" t="str">
        <f>IF(N(W1102)&gt;0,COUNTIF(W$6:W1102,"&gt;0"),"")</f>
        <v/>
      </c>
      <c r="AI1102" s="57" t="str">
        <f>IF(Z1102=1,COUNTIF(Z$6:Z1102,1),"")</f>
        <v/>
      </c>
    </row>
    <row r="1103">
      <c r="A1103" s="54" t="n"/>
      <c r="B1103" s="55" t="str">
        <f>IF(AA1103="","",A1103&amp;"-"&amp;RIGHT("000"&amp;AA1103,4))</f>
        <v/>
      </c>
      <c r="C1103" s="56" t="n"/>
      <c r="D1103" s="54" t="n"/>
      <c r="E1103" s="57" t="str">
        <f>IF(D1103="","",IF(A1103="BL",IFERROR(INDEX(cl_name,MATCH(D1103,cl_code,0))&amp;"","Client inconnu"),IF(A1103="BR",IFERROR(INDEX(fo_name,MATCH(D1103,fo_code,0))&amp;"","Fournisseur inconnu"),IF(A1103="BS",IF(ISNA(MATCH(D1103,p_services,0)),"Service inconnu",D1103&amp;""),""))))</f>
        <v/>
      </c>
      <c r="F1103" s="58" t="n"/>
      <c r="G1103" s="58" t="n"/>
      <c r="H1103" s="59" t="n"/>
      <c r="I1103" s="57" t="str">
        <f>IF(H1103="","",IFERROR(INDEX(art_des,MATCH(H1103,art_ref,0))&amp;"","Article inconnu"))</f>
        <v/>
      </c>
      <c r="J1103" s="60" t="str">
        <f>IF(H1103="","",IFERROR(INDEX(art_unit,MATCH(H1103,art_ref,0))&amp;"",""))</f>
        <v/>
      </c>
      <c r="K1103" s="59" t="n"/>
      <c r="L1103" s="59" t="n"/>
      <c r="M1103" s="61" t="str">
        <f>IF(OR(B1103="",NOT(ISNUMBER(K1103)),NOT(ISNUMBER(L1103))),"",IF(OR(K1103&lt;=0,L1103&lt;=0),"",ROUND(L1103-K1103,6)))</f>
        <v/>
      </c>
      <c r="N1103" s="58" t="n"/>
      <c r="O1103" s="62" t="n"/>
      <c r="P1103" s="63" t="str">
        <f>IF(OR(B1103="",NOT(ISNUMBER(L1103))),"",IF(L1103&lt;=0,"",IFERROR(ROUND(L1103*N(INDEX(art_w,MATCH(H1103,art_ref,0))),3),"")))</f>
        <v/>
      </c>
      <c r="Q1103" s="59" t="n"/>
      <c r="R1103" s="54" t="n"/>
      <c r="S1103" s="59" t="n"/>
      <c r="T1103" s="59" t="n"/>
      <c r="U1103" s="64" t="str">
        <f>IF(OR(B1103="",H1103=""),"",IFERROR(IF(A1103="BL",IF(N(INDEX(art_price,MATCH(H1103,art_ref,0)))=0,"",N(INDEX(art_price,MATCH(H1103,art_ref,0)))),IF(N(INDEX(art_cost,MATCH(H1103,art_ref,0)))=0,"",N(INDEX(art_cost,MATCH(H1103,art_ref,0))))),""))</f>
        <v/>
      </c>
      <c r="V1103" s="64" t="str">
        <f>IF(OR(U1103="",NOT(ISNUMBER(L1103))),"",IF(L1103&lt;=0,"",ROUND(L1103*U1103,2)))</f>
        <v/>
      </c>
      <c r="W1103" s="60" t="str">
        <f>IF(AND(B1103&lt;&gt;"",A1103&lt;&gt;"BS",F1103&lt;&gt;"",H1103&lt;&gt;"",ISNUMBER(K1103),ISNUMBER(L1103)),IF(AND(K1103&gt;0,L1103&gt;0,K1103-L1103&gt;0,COUNTIFS(A1104:A$2005,A1103,F1104:F$2005,F1103,H1104:H$2005,H1103,AA1104:AA$2005,"&gt;0")=0),ROUND(K1103-L1103,6),""),"")</f>
        <v/>
      </c>
      <c r="X1103" s="60" t="str">
        <f>IF(AND(A1103="",C1103="",D1103="",H1103="",L1103=""),"",IF(A1103="","Type manquant",IF(AND(A1103&lt;&gt;"BL",A1103&lt;&gt;"BR",A1103&lt;&gt;"BS"),"Type inconnu (BL, BR ou BS)",IF(AG1103=0,"Date manquante ou invalide",IF(D1103="",IF(A1103="BL","Client manquant",IF(A1103="BR","Fournisseur manquant","Service manquant")),IF(IF(A1103="BL",ISNA(MATCH(D1103,cl_code,0)),IF(A1103="BR",ISNA(MATCH(D1103,fo_code,0)),ISNA(MATCH(D1103,p_services,0)))),IF(A1103="BL","Client inconnu",IF(A1103="BR","Fournisseur inconnu","Service inconnu")),IF(H1103="","Article manquant",IF(ISNA(MATCH(H1103,art_ref,0)),"Article inconnu",IF(OR(NOT(ISNUMBER(L1103)),N(L1103)&lt;=0),"Quantité invalide",IF(AND(K1103&lt;&gt;"",OR(NOT(ISNUMBER(K1103)),N(K1103)&lt;=0)),"Qté commandée invalide",IF(AG1103&lt;SUMPRODUCT(MAX((A$6:A1102=A1103)*AG$6:AG1102)),"Date antérieure au bon précédent",IF(AND(A1103&lt;&gt;"BR",ISNUMBER(M1103),N(M1103)&gt;0),IF(A1103="BL","Livré plus que commandé","Sorti plus que demandé"),"OK"))))))))))))</f>
        <v/>
      </c>
      <c r="Y1103" s="57" t="str">
        <f>IF(AND(OR(A1103="BL",A1103="BR",A1103="BS"),AG1103&gt;0,D1103&lt;&gt;""),A1103&amp;"|"&amp;AG1103&amp;"|"&amp;D1103&amp;"|"&amp;F1103,"")</f>
        <v/>
      </c>
      <c r="Z1103" s="57" t="str">
        <f>IF(Y1103="","",IF(COUNTIF(Y$6:Y1102,Y1103)=0,1,0))</f>
        <v/>
      </c>
      <c r="AA1103" s="57" t="str">
        <f>IF(Y1103="","",IF(Z1103=1,COUNTIFS(A$6:A1103,A1103,Z$6:Z1103,1),INDEX(AA$6:AA1102,MATCH(Y1103,Y$6:Y1102,0))))</f>
        <v/>
      </c>
      <c r="AB1103" s="57" t="str">
        <f>IF(B1103="","",COUNTIF(B$6:B1103,B1103))</f>
        <v/>
      </c>
      <c r="AC1103" s="57" t="str">
        <f>IF(B1103="","",B1103&amp;"#"&amp;AB1103)</f>
        <v/>
      </c>
      <c r="AD1103" s="57" t="str">
        <f>IF(Z1103=1,A1103&amp;AA1103,"")</f>
        <v/>
      </c>
      <c r="AE1103" s="57" t="str">
        <f>IF(B1103="","",YEAR(C1103))</f>
        <v/>
      </c>
      <c r="AF1103" s="57" t="str">
        <f>IF(B1103="","",MONTH(C1103))</f>
        <v/>
      </c>
      <c r="AG1103" s="57">
        <f>IF(ISNUMBER(C1103),C1103,0)</f>
        <v>0.0</v>
      </c>
      <c r="AH1103" s="57" t="str">
        <f>IF(N(W1103)&gt;0,COUNTIF(W$6:W1103,"&gt;0"),"")</f>
        <v/>
      </c>
      <c r="AI1103" s="57" t="str">
        <f>IF(Z1103=1,COUNTIF(Z$6:Z1103,1),"")</f>
        <v/>
      </c>
    </row>
    <row r="1104">
      <c r="A1104" s="54" t="n"/>
      <c r="B1104" s="55" t="str">
        <f>IF(AA1104="","",A1104&amp;"-"&amp;RIGHT("000"&amp;AA1104,4))</f>
        <v/>
      </c>
      <c r="C1104" s="56" t="n"/>
      <c r="D1104" s="54" t="n"/>
      <c r="E1104" s="57" t="str">
        <f>IF(D1104="","",IF(A1104="BL",IFERROR(INDEX(cl_name,MATCH(D1104,cl_code,0))&amp;"","Client inconnu"),IF(A1104="BR",IFERROR(INDEX(fo_name,MATCH(D1104,fo_code,0))&amp;"","Fournisseur inconnu"),IF(A1104="BS",IF(ISNA(MATCH(D1104,p_services,0)),"Service inconnu",D1104&amp;""),""))))</f>
        <v/>
      </c>
      <c r="F1104" s="58" t="n"/>
      <c r="G1104" s="58" t="n"/>
      <c r="H1104" s="59" t="n"/>
      <c r="I1104" s="57" t="str">
        <f>IF(H1104="","",IFERROR(INDEX(art_des,MATCH(H1104,art_ref,0))&amp;"","Article inconnu"))</f>
        <v/>
      </c>
      <c r="J1104" s="60" t="str">
        <f>IF(H1104="","",IFERROR(INDEX(art_unit,MATCH(H1104,art_ref,0))&amp;"",""))</f>
        <v/>
      </c>
      <c r="K1104" s="59" t="n"/>
      <c r="L1104" s="59" t="n"/>
      <c r="M1104" s="61" t="str">
        <f>IF(OR(B1104="",NOT(ISNUMBER(K1104)),NOT(ISNUMBER(L1104))),"",IF(OR(K1104&lt;=0,L1104&lt;=0),"",ROUND(L1104-K1104,6)))</f>
        <v/>
      </c>
      <c r="N1104" s="58" t="n"/>
      <c r="O1104" s="62" t="n"/>
      <c r="P1104" s="63" t="str">
        <f>IF(OR(B1104="",NOT(ISNUMBER(L1104))),"",IF(L1104&lt;=0,"",IFERROR(ROUND(L1104*N(INDEX(art_w,MATCH(H1104,art_ref,0))),3),"")))</f>
        <v/>
      </c>
      <c r="Q1104" s="59" t="n"/>
      <c r="R1104" s="54" t="n"/>
      <c r="S1104" s="59" t="n"/>
      <c r="T1104" s="59" t="n"/>
      <c r="U1104" s="64" t="str">
        <f>IF(OR(B1104="",H1104=""),"",IFERROR(IF(A1104="BL",IF(N(INDEX(art_price,MATCH(H1104,art_ref,0)))=0,"",N(INDEX(art_price,MATCH(H1104,art_ref,0)))),IF(N(INDEX(art_cost,MATCH(H1104,art_ref,0)))=0,"",N(INDEX(art_cost,MATCH(H1104,art_ref,0))))),""))</f>
        <v/>
      </c>
      <c r="V1104" s="64" t="str">
        <f>IF(OR(U1104="",NOT(ISNUMBER(L1104))),"",IF(L1104&lt;=0,"",ROUND(L1104*U1104,2)))</f>
        <v/>
      </c>
      <c r="W1104" s="60" t="str">
        <f>IF(AND(B1104&lt;&gt;"",A1104&lt;&gt;"BS",F1104&lt;&gt;"",H1104&lt;&gt;"",ISNUMBER(K1104),ISNUMBER(L1104)),IF(AND(K1104&gt;0,L1104&gt;0,K1104-L1104&gt;0,COUNTIFS(A1105:A$2005,A1104,F1105:F$2005,F1104,H1105:H$2005,H1104,AA1105:AA$2005,"&gt;0")=0),ROUND(K1104-L1104,6),""),"")</f>
        <v/>
      </c>
      <c r="X1104" s="60" t="str">
        <f>IF(AND(A1104="",C1104="",D1104="",H1104="",L1104=""),"",IF(A1104="","Type manquant",IF(AND(A1104&lt;&gt;"BL",A1104&lt;&gt;"BR",A1104&lt;&gt;"BS"),"Type inconnu (BL, BR ou BS)",IF(AG1104=0,"Date manquante ou invalide",IF(D1104="",IF(A1104="BL","Client manquant",IF(A1104="BR","Fournisseur manquant","Service manquant")),IF(IF(A1104="BL",ISNA(MATCH(D1104,cl_code,0)),IF(A1104="BR",ISNA(MATCH(D1104,fo_code,0)),ISNA(MATCH(D1104,p_services,0)))),IF(A1104="BL","Client inconnu",IF(A1104="BR","Fournisseur inconnu","Service inconnu")),IF(H1104="","Article manquant",IF(ISNA(MATCH(H1104,art_ref,0)),"Article inconnu",IF(OR(NOT(ISNUMBER(L1104)),N(L1104)&lt;=0),"Quantité invalide",IF(AND(K1104&lt;&gt;"",OR(NOT(ISNUMBER(K1104)),N(K1104)&lt;=0)),"Qté commandée invalide",IF(AG1104&lt;SUMPRODUCT(MAX((A$6:A1103=A1104)*AG$6:AG1103)),"Date antérieure au bon précédent",IF(AND(A1104&lt;&gt;"BR",ISNUMBER(M1104),N(M1104)&gt;0),IF(A1104="BL","Livré plus que commandé","Sorti plus que demandé"),"OK"))))))))))))</f>
        <v/>
      </c>
      <c r="Y1104" s="57" t="str">
        <f>IF(AND(OR(A1104="BL",A1104="BR",A1104="BS"),AG1104&gt;0,D1104&lt;&gt;""),A1104&amp;"|"&amp;AG1104&amp;"|"&amp;D1104&amp;"|"&amp;F1104,"")</f>
        <v/>
      </c>
      <c r="Z1104" s="57" t="str">
        <f>IF(Y1104="","",IF(COUNTIF(Y$6:Y1103,Y1104)=0,1,0))</f>
        <v/>
      </c>
      <c r="AA1104" s="57" t="str">
        <f>IF(Y1104="","",IF(Z1104=1,COUNTIFS(A$6:A1104,A1104,Z$6:Z1104,1),INDEX(AA$6:AA1103,MATCH(Y1104,Y$6:Y1103,0))))</f>
        <v/>
      </c>
      <c r="AB1104" s="57" t="str">
        <f>IF(B1104="","",COUNTIF(B$6:B1104,B1104))</f>
        <v/>
      </c>
      <c r="AC1104" s="57" t="str">
        <f>IF(B1104="","",B1104&amp;"#"&amp;AB1104)</f>
        <v/>
      </c>
      <c r="AD1104" s="57" t="str">
        <f>IF(Z1104=1,A1104&amp;AA1104,"")</f>
        <v/>
      </c>
      <c r="AE1104" s="57" t="str">
        <f>IF(B1104="","",YEAR(C1104))</f>
        <v/>
      </c>
      <c r="AF1104" s="57" t="str">
        <f>IF(B1104="","",MONTH(C1104))</f>
        <v/>
      </c>
      <c r="AG1104" s="57">
        <f>IF(ISNUMBER(C1104),C1104,0)</f>
        <v>0.0</v>
      </c>
      <c r="AH1104" s="57" t="str">
        <f>IF(N(W1104)&gt;0,COUNTIF(W$6:W1104,"&gt;0"),"")</f>
        <v/>
      </c>
      <c r="AI1104" s="57" t="str">
        <f>IF(Z1104=1,COUNTIF(Z$6:Z1104,1),"")</f>
        <v/>
      </c>
    </row>
    <row r="1105">
      <c r="A1105" s="54" t="n"/>
      <c r="B1105" s="55" t="str">
        <f>IF(AA1105="","",A1105&amp;"-"&amp;RIGHT("000"&amp;AA1105,4))</f>
        <v/>
      </c>
      <c r="C1105" s="56" t="n"/>
      <c r="D1105" s="54" t="n"/>
      <c r="E1105" s="57" t="str">
        <f>IF(D1105="","",IF(A1105="BL",IFERROR(INDEX(cl_name,MATCH(D1105,cl_code,0))&amp;"","Client inconnu"),IF(A1105="BR",IFERROR(INDEX(fo_name,MATCH(D1105,fo_code,0))&amp;"","Fournisseur inconnu"),IF(A1105="BS",IF(ISNA(MATCH(D1105,p_services,0)),"Service inconnu",D1105&amp;""),""))))</f>
        <v/>
      </c>
      <c r="F1105" s="58" t="n"/>
      <c r="G1105" s="58" t="n"/>
      <c r="H1105" s="59" t="n"/>
      <c r="I1105" s="57" t="str">
        <f>IF(H1105="","",IFERROR(INDEX(art_des,MATCH(H1105,art_ref,0))&amp;"","Article inconnu"))</f>
        <v/>
      </c>
      <c r="J1105" s="60" t="str">
        <f>IF(H1105="","",IFERROR(INDEX(art_unit,MATCH(H1105,art_ref,0))&amp;"",""))</f>
        <v/>
      </c>
      <c r="K1105" s="59" t="n"/>
      <c r="L1105" s="59" t="n"/>
      <c r="M1105" s="61" t="str">
        <f>IF(OR(B1105="",NOT(ISNUMBER(K1105)),NOT(ISNUMBER(L1105))),"",IF(OR(K1105&lt;=0,L1105&lt;=0),"",ROUND(L1105-K1105,6)))</f>
        <v/>
      </c>
      <c r="N1105" s="58" t="n"/>
      <c r="O1105" s="62" t="n"/>
      <c r="P1105" s="63" t="str">
        <f>IF(OR(B1105="",NOT(ISNUMBER(L1105))),"",IF(L1105&lt;=0,"",IFERROR(ROUND(L1105*N(INDEX(art_w,MATCH(H1105,art_ref,0))),3),"")))</f>
        <v/>
      </c>
      <c r="Q1105" s="59" t="n"/>
      <c r="R1105" s="54" t="n"/>
      <c r="S1105" s="59" t="n"/>
      <c r="T1105" s="59" t="n"/>
      <c r="U1105" s="64" t="str">
        <f>IF(OR(B1105="",H1105=""),"",IFERROR(IF(A1105="BL",IF(N(INDEX(art_price,MATCH(H1105,art_ref,0)))=0,"",N(INDEX(art_price,MATCH(H1105,art_ref,0)))),IF(N(INDEX(art_cost,MATCH(H1105,art_ref,0)))=0,"",N(INDEX(art_cost,MATCH(H1105,art_ref,0))))),""))</f>
        <v/>
      </c>
      <c r="V1105" s="64" t="str">
        <f>IF(OR(U1105="",NOT(ISNUMBER(L1105))),"",IF(L1105&lt;=0,"",ROUND(L1105*U1105,2)))</f>
        <v/>
      </c>
      <c r="W1105" s="60" t="str">
        <f>IF(AND(B1105&lt;&gt;"",A1105&lt;&gt;"BS",F1105&lt;&gt;"",H1105&lt;&gt;"",ISNUMBER(K1105),ISNUMBER(L1105)),IF(AND(K1105&gt;0,L1105&gt;0,K1105-L1105&gt;0,COUNTIFS(A1106:A$2005,A1105,F1106:F$2005,F1105,H1106:H$2005,H1105,AA1106:AA$2005,"&gt;0")=0),ROUND(K1105-L1105,6),""),"")</f>
        <v/>
      </c>
      <c r="X1105" s="60" t="str">
        <f>IF(AND(A1105="",C1105="",D1105="",H1105="",L1105=""),"",IF(A1105="","Type manquant",IF(AND(A1105&lt;&gt;"BL",A1105&lt;&gt;"BR",A1105&lt;&gt;"BS"),"Type inconnu (BL, BR ou BS)",IF(AG1105=0,"Date manquante ou invalide",IF(D1105="",IF(A1105="BL","Client manquant",IF(A1105="BR","Fournisseur manquant","Service manquant")),IF(IF(A1105="BL",ISNA(MATCH(D1105,cl_code,0)),IF(A1105="BR",ISNA(MATCH(D1105,fo_code,0)),ISNA(MATCH(D1105,p_services,0)))),IF(A1105="BL","Client inconnu",IF(A1105="BR","Fournisseur inconnu","Service inconnu")),IF(H1105="","Article manquant",IF(ISNA(MATCH(H1105,art_ref,0)),"Article inconnu",IF(OR(NOT(ISNUMBER(L1105)),N(L1105)&lt;=0),"Quantité invalide",IF(AND(K1105&lt;&gt;"",OR(NOT(ISNUMBER(K1105)),N(K1105)&lt;=0)),"Qté commandée invalide",IF(AG1105&lt;SUMPRODUCT(MAX((A$6:A1104=A1105)*AG$6:AG1104)),"Date antérieure au bon précédent",IF(AND(A1105&lt;&gt;"BR",ISNUMBER(M1105),N(M1105)&gt;0),IF(A1105="BL","Livré plus que commandé","Sorti plus que demandé"),"OK"))))))))))))</f>
        <v/>
      </c>
      <c r="Y1105" s="57" t="str">
        <f>IF(AND(OR(A1105="BL",A1105="BR",A1105="BS"),AG1105&gt;0,D1105&lt;&gt;""),A1105&amp;"|"&amp;AG1105&amp;"|"&amp;D1105&amp;"|"&amp;F1105,"")</f>
        <v/>
      </c>
      <c r="Z1105" s="57" t="str">
        <f>IF(Y1105="","",IF(COUNTIF(Y$6:Y1104,Y1105)=0,1,0))</f>
        <v/>
      </c>
      <c r="AA1105" s="57" t="str">
        <f>IF(Y1105="","",IF(Z1105=1,COUNTIFS(A$6:A1105,A1105,Z$6:Z1105,1),INDEX(AA$6:AA1104,MATCH(Y1105,Y$6:Y1104,0))))</f>
        <v/>
      </c>
      <c r="AB1105" s="57" t="str">
        <f>IF(B1105="","",COUNTIF(B$6:B1105,B1105))</f>
        <v/>
      </c>
      <c r="AC1105" s="57" t="str">
        <f>IF(B1105="","",B1105&amp;"#"&amp;AB1105)</f>
        <v/>
      </c>
      <c r="AD1105" s="57" t="str">
        <f>IF(Z1105=1,A1105&amp;AA1105,"")</f>
        <v/>
      </c>
      <c r="AE1105" s="57" t="str">
        <f>IF(B1105="","",YEAR(C1105))</f>
        <v/>
      </c>
      <c r="AF1105" s="57" t="str">
        <f>IF(B1105="","",MONTH(C1105))</f>
        <v/>
      </c>
      <c r="AG1105" s="57">
        <f>IF(ISNUMBER(C1105),C1105,0)</f>
        <v>0.0</v>
      </c>
      <c r="AH1105" s="57" t="str">
        <f>IF(N(W1105)&gt;0,COUNTIF(W$6:W1105,"&gt;0"),"")</f>
        <v/>
      </c>
      <c r="AI1105" s="57" t="str">
        <f>IF(Z1105=1,COUNTIF(Z$6:Z1105,1),"")</f>
        <v/>
      </c>
    </row>
    <row r="1106">
      <c r="A1106" s="54" t="n"/>
      <c r="B1106" s="55" t="str">
        <f>IF(AA1106="","",A1106&amp;"-"&amp;RIGHT("000"&amp;AA1106,4))</f>
        <v/>
      </c>
      <c r="C1106" s="56" t="n"/>
      <c r="D1106" s="54" t="n"/>
      <c r="E1106" s="57" t="str">
        <f>IF(D1106="","",IF(A1106="BL",IFERROR(INDEX(cl_name,MATCH(D1106,cl_code,0))&amp;"","Client inconnu"),IF(A1106="BR",IFERROR(INDEX(fo_name,MATCH(D1106,fo_code,0))&amp;"","Fournisseur inconnu"),IF(A1106="BS",IF(ISNA(MATCH(D1106,p_services,0)),"Service inconnu",D1106&amp;""),""))))</f>
        <v/>
      </c>
      <c r="F1106" s="58" t="n"/>
      <c r="G1106" s="58" t="n"/>
      <c r="H1106" s="59" t="n"/>
      <c r="I1106" s="57" t="str">
        <f>IF(H1106="","",IFERROR(INDEX(art_des,MATCH(H1106,art_ref,0))&amp;"","Article inconnu"))</f>
        <v/>
      </c>
      <c r="J1106" s="60" t="str">
        <f>IF(H1106="","",IFERROR(INDEX(art_unit,MATCH(H1106,art_ref,0))&amp;"",""))</f>
        <v/>
      </c>
      <c r="K1106" s="59" t="n"/>
      <c r="L1106" s="59" t="n"/>
      <c r="M1106" s="61" t="str">
        <f>IF(OR(B1106="",NOT(ISNUMBER(K1106)),NOT(ISNUMBER(L1106))),"",IF(OR(K1106&lt;=0,L1106&lt;=0),"",ROUND(L1106-K1106,6)))</f>
        <v/>
      </c>
      <c r="N1106" s="58" t="n"/>
      <c r="O1106" s="62" t="n"/>
      <c r="P1106" s="63" t="str">
        <f>IF(OR(B1106="",NOT(ISNUMBER(L1106))),"",IF(L1106&lt;=0,"",IFERROR(ROUND(L1106*N(INDEX(art_w,MATCH(H1106,art_ref,0))),3),"")))</f>
        <v/>
      </c>
      <c r="Q1106" s="59" t="n"/>
      <c r="R1106" s="54" t="n"/>
      <c r="S1106" s="59" t="n"/>
      <c r="T1106" s="59" t="n"/>
      <c r="U1106" s="64" t="str">
        <f>IF(OR(B1106="",H1106=""),"",IFERROR(IF(A1106="BL",IF(N(INDEX(art_price,MATCH(H1106,art_ref,0)))=0,"",N(INDEX(art_price,MATCH(H1106,art_ref,0)))),IF(N(INDEX(art_cost,MATCH(H1106,art_ref,0)))=0,"",N(INDEX(art_cost,MATCH(H1106,art_ref,0))))),""))</f>
        <v/>
      </c>
      <c r="V1106" s="64" t="str">
        <f>IF(OR(U1106="",NOT(ISNUMBER(L1106))),"",IF(L1106&lt;=0,"",ROUND(L1106*U1106,2)))</f>
        <v/>
      </c>
      <c r="W1106" s="60" t="str">
        <f>IF(AND(B1106&lt;&gt;"",A1106&lt;&gt;"BS",F1106&lt;&gt;"",H1106&lt;&gt;"",ISNUMBER(K1106),ISNUMBER(L1106)),IF(AND(K1106&gt;0,L1106&gt;0,K1106-L1106&gt;0,COUNTIFS(A1107:A$2005,A1106,F1107:F$2005,F1106,H1107:H$2005,H1106,AA1107:AA$2005,"&gt;0")=0),ROUND(K1106-L1106,6),""),"")</f>
        <v/>
      </c>
      <c r="X1106" s="60" t="str">
        <f>IF(AND(A1106="",C1106="",D1106="",H1106="",L1106=""),"",IF(A1106="","Type manquant",IF(AND(A1106&lt;&gt;"BL",A1106&lt;&gt;"BR",A1106&lt;&gt;"BS"),"Type inconnu (BL, BR ou BS)",IF(AG1106=0,"Date manquante ou invalide",IF(D1106="",IF(A1106="BL","Client manquant",IF(A1106="BR","Fournisseur manquant","Service manquant")),IF(IF(A1106="BL",ISNA(MATCH(D1106,cl_code,0)),IF(A1106="BR",ISNA(MATCH(D1106,fo_code,0)),ISNA(MATCH(D1106,p_services,0)))),IF(A1106="BL","Client inconnu",IF(A1106="BR","Fournisseur inconnu","Service inconnu")),IF(H1106="","Article manquant",IF(ISNA(MATCH(H1106,art_ref,0)),"Article inconnu",IF(OR(NOT(ISNUMBER(L1106)),N(L1106)&lt;=0),"Quantité invalide",IF(AND(K1106&lt;&gt;"",OR(NOT(ISNUMBER(K1106)),N(K1106)&lt;=0)),"Qté commandée invalide",IF(AG1106&lt;SUMPRODUCT(MAX((A$6:A1105=A1106)*AG$6:AG1105)),"Date antérieure au bon précédent",IF(AND(A1106&lt;&gt;"BR",ISNUMBER(M1106),N(M1106)&gt;0),IF(A1106="BL","Livré plus que commandé","Sorti plus que demandé"),"OK"))))))))))))</f>
        <v/>
      </c>
      <c r="Y1106" s="57" t="str">
        <f>IF(AND(OR(A1106="BL",A1106="BR",A1106="BS"),AG1106&gt;0,D1106&lt;&gt;""),A1106&amp;"|"&amp;AG1106&amp;"|"&amp;D1106&amp;"|"&amp;F1106,"")</f>
        <v/>
      </c>
      <c r="Z1106" s="57" t="str">
        <f>IF(Y1106="","",IF(COUNTIF(Y$6:Y1105,Y1106)=0,1,0))</f>
        <v/>
      </c>
      <c r="AA1106" s="57" t="str">
        <f>IF(Y1106="","",IF(Z1106=1,COUNTIFS(A$6:A1106,A1106,Z$6:Z1106,1),INDEX(AA$6:AA1105,MATCH(Y1106,Y$6:Y1105,0))))</f>
        <v/>
      </c>
      <c r="AB1106" s="57" t="str">
        <f>IF(B1106="","",COUNTIF(B$6:B1106,B1106))</f>
        <v/>
      </c>
      <c r="AC1106" s="57" t="str">
        <f>IF(B1106="","",B1106&amp;"#"&amp;AB1106)</f>
        <v/>
      </c>
      <c r="AD1106" s="57" t="str">
        <f>IF(Z1106=1,A1106&amp;AA1106,"")</f>
        <v/>
      </c>
      <c r="AE1106" s="57" t="str">
        <f>IF(B1106="","",YEAR(C1106))</f>
        <v/>
      </c>
      <c r="AF1106" s="57" t="str">
        <f>IF(B1106="","",MONTH(C1106))</f>
        <v/>
      </c>
      <c r="AG1106" s="57">
        <f>IF(ISNUMBER(C1106),C1106,0)</f>
        <v>0.0</v>
      </c>
      <c r="AH1106" s="57" t="str">
        <f>IF(N(W1106)&gt;0,COUNTIF(W$6:W1106,"&gt;0"),"")</f>
        <v/>
      </c>
      <c r="AI1106" s="57" t="str">
        <f>IF(Z1106=1,COUNTIF(Z$6:Z1106,1),"")</f>
        <v/>
      </c>
    </row>
    <row r="1107">
      <c r="A1107" s="54" t="n"/>
      <c r="B1107" s="55" t="str">
        <f>IF(AA1107="","",A1107&amp;"-"&amp;RIGHT("000"&amp;AA1107,4))</f>
        <v/>
      </c>
      <c r="C1107" s="56" t="n"/>
      <c r="D1107" s="54" t="n"/>
      <c r="E1107" s="57" t="str">
        <f>IF(D1107="","",IF(A1107="BL",IFERROR(INDEX(cl_name,MATCH(D1107,cl_code,0))&amp;"","Client inconnu"),IF(A1107="BR",IFERROR(INDEX(fo_name,MATCH(D1107,fo_code,0))&amp;"","Fournisseur inconnu"),IF(A1107="BS",IF(ISNA(MATCH(D1107,p_services,0)),"Service inconnu",D1107&amp;""),""))))</f>
        <v/>
      </c>
      <c r="F1107" s="58" t="n"/>
      <c r="G1107" s="58" t="n"/>
      <c r="H1107" s="59" t="n"/>
      <c r="I1107" s="57" t="str">
        <f>IF(H1107="","",IFERROR(INDEX(art_des,MATCH(H1107,art_ref,0))&amp;"","Article inconnu"))</f>
        <v/>
      </c>
      <c r="J1107" s="60" t="str">
        <f>IF(H1107="","",IFERROR(INDEX(art_unit,MATCH(H1107,art_ref,0))&amp;"",""))</f>
        <v/>
      </c>
      <c r="K1107" s="59" t="n"/>
      <c r="L1107" s="59" t="n"/>
      <c r="M1107" s="61" t="str">
        <f>IF(OR(B1107="",NOT(ISNUMBER(K1107)),NOT(ISNUMBER(L1107))),"",IF(OR(K1107&lt;=0,L1107&lt;=0),"",ROUND(L1107-K1107,6)))</f>
        <v/>
      </c>
      <c r="N1107" s="58" t="n"/>
      <c r="O1107" s="62" t="n"/>
      <c r="P1107" s="63" t="str">
        <f>IF(OR(B1107="",NOT(ISNUMBER(L1107))),"",IF(L1107&lt;=0,"",IFERROR(ROUND(L1107*N(INDEX(art_w,MATCH(H1107,art_ref,0))),3),"")))</f>
        <v/>
      </c>
      <c r="Q1107" s="59" t="n"/>
      <c r="R1107" s="54" t="n"/>
      <c r="S1107" s="59" t="n"/>
      <c r="T1107" s="59" t="n"/>
      <c r="U1107" s="64" t="str">
        <f>IF(OR(B1107="",H1107=""),"",IFERROR(IF(A1107="BL",IF(N(INDEX(art_price,MATCH(H1107,art_ref,0)))=0,"",N(INDEX(art_price,MATCH(H1107,art_ref,0)))),IF(N(INDEX(art_cost,MATCH(H1107,art_ref,0)))=0,"",N(INDEX(art_cost,MATCH(H1107,art_ref,0))))),""))</f>
        <v/>
      </c>
      <c r="V1107" s="64" t="str">
        <f>IF(OR(U1107="",NOT(ISNUMBER(L1107))),"",IF(L1107&lt;=0,"",ROUND(L1107*U1107,2)))</f>
        <v/>
      </c>
      <c r="W1107" s="60" t="str">
        <f>IF(AND(B1107&lt;&gt;"",A1107&lt;&gt;"BS",F1107&lt;&gt;"",H1107&lt;&gt;"",ISNUMBER(K1107),ISNUMBER(L1107)),IF(AND(K1107&gt;0,L1107&gt;0,K1107-L1107&gt;0,COUNTIFS(A1108:A$2005,A1107,F1108:F$2005,F1107,H1108:H$2005,H1107,AA1108:AA$2005,"&gt;0")=0),ROUND(K1107-L1107,6),""),"")</f>
        <v/>
      </c>
      <c r="X1107" s="60" t="str">
        <f>IF(AND(A1107="",C1107="",D1107="",H1107="",L1107=""),"",IF(A1107="","Type manquant",IF(AND(A1107&lt;&gt;"BL",A1107&lt;&gt;"BR",A1107&lt;&gt;"BS"),"Type inconnu (BL, BR ou BS)",IF(AG1107=0,"Date manquante ou invalide",IF(D1107="",IF(A1107="BL","Client manquant",IF(A1107="BR","Fournisseur manquant","Service manquant")),IF(IF(A1107="BL",ISNA(MATCH(D1107,cl_code,0)),IF(A1107="BR",ISNA(MATCH(D1107,fo_code,0)),ISNA(MATCH(D1107,p_services,0)))),IF(A1107="BL","Client inconnu",IF(A1107="BR","Fournisseur inconnu","Service inconnu")),IF(H1107="","Article manquant",IF(ISNA(MATCH(H1107,art_ref,0)),"Article inconnu",IF(OR(NOT(ISNUMBER(L1107)),N(L1107)&lt;=0),"Quantité invalide",IF(AND(K1107&lt;&gt;"",OR(NOT(ISNUMBER(K1107)),N(K1107)&lt;=0)),"Qté commandée invalide",IF(AG1107&lt;SUMPRODUCT(MAX((A$6:A1106=A1107)*AG$6:AG1106)),"Date antérieure au bon précédent",IF(AND(A1107&lt;&gt;"BR",ISNUMBER(M1107),N(M1107)&gt;0),IF(A1107="BL","Livré plus que commandé","Sorti plus que demandé"),"OK"))))))))))))</f>
        <v/>
      </c>
      <c r="Y1107" s="57" t="str">
        <f>IF(AND(OR(A1107="BL",A1107="BR",A1107="BS"),AG1107&gt;0,D1107&lt;&gt;""),A1107&amp;"|"&amp;AG1107&amp;"|"&amp;D1107&amp;"|"&amp;F1107,"")</f>
        <v/>
      </c>
      <c r="Z1107" s="57" t="str">
        <f>IF(Y1107="","",IF(COUNTIF(Y$6:Y1106,Y1107)=0,1,0))</f>
        <v/>
      </c>
      <c r="AA1107" s="57" t="str">
        <f>IF(Y1107="","",IF(Z1107=1,COUNTIFS(A$6:A1107,A1107,Z$6:Z1107,1),INDEX(AA$6:AA1106,MATCH(Y1107,Y$6:Y1106,0))))</f>
        <v/>
      </c>
      <c r="AB1107" s="57" t="str">
        <f>IF(B1107="","",COUNTIF(B$6:B1107,B1107))</f>
        <v/>
      </c>
      <c r="AC1107" s="57" t="str">
        <f>IF(B1107="","",B1107&amp;"#"&amp;AB1107)</f>
        <v/>
      </c>
      <c r="AD1107" s="57" t="str">
        <f>IF(Z1107=1,A1107&amp;AA1107,"")</f>
        <v/>
      </c>
      <c r="AE1107" s="57" t="str">
        <f>IF(B1107="","",YEAR(C1107))</f>
        <v/>
      </c>
      <c r="AF1107" s="57" t="str">
        <f>IF(B1107="","",MONTH(C1107))</f>
        <v/>
      </c>
      <c r="AG1107" s="57">
        <f>IF(ISNUMBER(C1107),C1107,0)</f>
        <v>0.0</v>
      </c>
      <c r="AH1107" s="57" t="str">
        <f>IF(N(W1107)&gt;0,COUNTIF(W$6:W1107,"&gt;0"),"")</f>
        <v/>
      </c>
      <c r="AI1107" s="57" t="str">
        <f>IF(Z1107=1,COUNTIF(Z$6:Z1107,1),"")</f>
        <v/>
      </c>
    </row>
    <row r="1108">
      <c r="A1108" s="54" t="n"/>
      <c r="B1108" s="55" t="str">
        <f>IF(AA1108="","",A1108&amp;"-"&amp;RIGHT("000"&amp;AA1108,4))</f>
        <v/>
      </c>
      <c r="C1108" s="56" t="n"/>
      <c r="D1108" s="54" t="n"/>
      <c r="E1108" s="57" t="str">
        <f>IF(D1108="","",IF(A1108="BL",IFERROR(INDEX(cl_name,MATCH(D1108,cl_code,0))&amp;"","Client inconnu"),IF(A1108="BR",IFERROR(INDEX(fo_name,MATCH(D1108,fo_code,0))&amp;"","Fournisseur inconnu"),IF(A1108="BS",IF(ISNA(MATCH(D1108,p_services,0)),"Service inconnu",D1108&amp;""),""))))</f>
        <v/>
      </c>
      <c r="F1108" s="58" t="n"/>
      <c r="G1108" s="58" t="n"/>
      <c r="H1108" s="59" t="n"/>
      <c r="I1108" s="57" t="str">
        <f>IF(H1108="","",IFERROR(INDEX(art_des,MATCH(H1108,art_ref,0))&amp;"","Article inconnu"))</f>
        <v/>
      </c>
      <c r="J1108" s="60" t="str">
        <f>IF(H1108="","",IFERROR(INDEX(art_unit,MATCH(H1108,art_ref,0))&amp;"",""))</f>
        <v/>
      </c>
      <c r="K1108" s="59" t="n"/>
      <c r="L1108" s="59" t="n"/>
      <c r="M1108" s="61" t="str">
        <f>IF(OR(B1108="",NOT(ISNUMBER(K1108)),NOT(ISNUMBER(L1108))),"",IF(OR(K1108&lt;=0,L1108&lt;=0),"",ROUND(L1108-K1108,6)))</f>
        <v/>
      </c>
      <c r="N1108" s="58" t="n"/>
      <c r="O1108" s="62" t="n"/>
      <c r="P1108" s="63" t="str">
        <f>IF(OR(B1108="",NOT(ISNUMBER(L1108))),"",IF(L1108&lt;=0,"",IFERROR(ROUND(L1108*N(INDEX(art_w,MATCH(H1108,art_ref,0))),3),"")))</f>
        <v/>
      </c>
      <c r="Q1108" s="59" t="n"/>
      <c r="R1108" s="54" t="n"/>
      <c r="S1108" s="59" t="n"/>
      <c r="T1108" s="59" t="n"/>
      <c r="U1108" s="64" t="str">
        <f>IF(OR(B1108="",H1108=""),"",IFERROR(IF(A1108="BL",IF(N(INDEX(art_price,MATCH(H1108,art_ref,0)))=0,"",N(INDEX(art_price,MATCH(H1108,art_ref,0)))),IF(N(INDEX(art_cost,MATCH(H1108,art_ref,0)))=0,"",N(INDEX(art_cost,MATCH(H1108,art_ref,0))))),""))</f>
        <v/>
      </c>
      <c r="V1108" s="64" t="str">
        <f>IF(OR(U1108="",NOT(ISNUMBER(L1108))),"",IF(L1108&lt;=0,"",ROUND(L1108*U1108,2)))</f>
        <v/>
      </c>
      <c r="W1108" s="60" t="str">
        <f>IF(AND(B1108&lt;&gt;"",A1108&lt;&gt;"BS",F1108&lt;&gt;"",H1108&lt;&gt;"",ISNUMBER(K1108),ISNUMBER(L1108)),IF(AND(K1108&gt;0,L1108&gt;0,K1108-L1108&gt;0,COUNTIFS(A1109:A$2005,A1108,F1109:F$2005,F1108,H1109:H$2005,H1108,AA1109:AA$2005,"&gt;0")=0),ROUND(K1108-L1108,6),""),"")</f>
        <v/>
      </c>
      <c r="X1108" s="60" t="str">
        <f>IF(AND(A1108="",C1108="",D1108="",H1108="",L1108=""),"",IF(A1108="","Type manquant",IF(AND(A1108&lt;&gt;"BL",A1108&lt;&gt;"BR",A1108&lt;&gt;"BS"),"Type inconnu (BL, BR ou BS)",IF(AG1108=0,"Date manquante ou invalide",IF(D1108="",IF(A1108="BL","Client manquant",IF(A1108="BR","Fournisseur manquant","Service manquant")),IF(IF(A1108="BL",ISNA(MATCH(D1108,cl_code,0)),IF(A1108="BR",ISNA(MATCH(D1108,fo_code,0)),ISNA(MATCH(D1108,p_services,0)))),IF(A1108="BL","Client inconnu",IF(A1108="BR","Fournisseur inconnu","Service inconnu")),IF(H1108="","Article manquant",IF(ISNA(MATCH(H1108,art_ref,0)),"Article inconnu",IF(OR(NOT(ISNUMBER(L1108)),N(L1108)&lt;=0),"Quantité invalide",IF(AND(K1108&lt;&gt;"",OR(NOT(ISNUMBER(K1108)),N(K1108)&lt;=0)),"Qté commandée invalide",IF(AG1108&lt;SUMPRODUCT(MAX((A$6:A1107=A1108)*AG$6:AG1107)),"Date antérieure au bon précédent",IF(AND(A1108&lt;&gt;"BR",ISNUMBER(M1108),N(M1108)&gt;0),IF(A1108="BL","Livré plus que commandé","Sorti plus que demandé"),"OK"))))))))))))</f>
        <v/>
      </c>
      <c r="Y1108" s="57" t="str">
        <f>IF(AND(OR(A1108="BL",A1108="BR",A1108="BS"),AG1108&gt;0,D1108&lt;&gt;""),A1108&amp;"|"&amp;AG1108&amp;"|"&amp;D1108&amp;"|"&amp;F1108,"")</f>
        <v/>
      </c>
      <c r="Z1108" s="57" t="str">
        <f>IF(Y1108="","",IF(COUNTIF(Y$6:Y1107,Y1108)=0,1,0))</f>
        <v/>
      </c>
      <c r="AA1108" s="57" t="str">
        <f>IF(Y1108="","",IF(Z1108=1,COUNTIFS(A$6:A1108,A1108,Z$6:Z1108,1),INDEX(AA$6:AA1107,MATCH(Y1108,Y$6:Y1107,0))))</f>
        <v/>
      </c>
      <c r="AB1108" s="57" t="str">
        <f>IF(B1108="","",COUNTIF(B$6:B1108,B1108))</f>
        <v/>
      </c>
      <c r="AC1108" s="57" t="str">
        <f>IF(B1108="","",B1108&amp;"#"&amp;AB1108)</f>
        <v/>
      </c>
      <c r="AD1108" s="57" t="str">
        <f>IF(Z1108=1,A1108&amp;AA1108,"")</f>
        <v/>
      </c>
      <c r="AE1108" s="57" t="str">
        <f>IF(B1108="","",YEAR(C1108))</f>
        <v/>
      </c>
      <c r="AF1108" s="57" t="str">
        <f>IF(B1108="","",MONTH(C1108))</f>
        <v/>
      </c>
      <c r="AG1108" s="57">
        <f>IF(ISNUMBER(C1108),C1108,0)</f>
        <v>0.0</v>
      </c>
      <c r="AH1108" s="57" t="str">
        <f>IF(N(W1108)&gt;0,COUNTIF(W$6:W1108,"&gt;0"),"")</f>
        <v/>
      </c>
      <c r="AI1108" s="57" t="str">
        <f>IF(Z1108=1,COUNTIF(Z$6:Z1108,1),"")</f>
        <v/>
      </c>
    </row>
    <row r="1109">
      <c r="A1109" s="54" t="n"/>
      <c r="B1109" s="55" t="str">
        <f>IF(AA1109="","",A1109&amp;"-"&amp;RIGHT("000"&amp;AA1109,4))</f>
        <v/>
      </c>
      <c r="C1109" s="56" t="n"/>
      <c r="D1109" s="54" t="n"/>
      <c r="E1109" s="57" t="str">
        <f>IF(D1109="","",IF(A1109="BL",IFERROR(INDEX(cl_name,MATCH(D1109,cl_code,0))&amp;"","Client inconnu"),IF(A1109="BR",IFERROR(INDEX(fo_name,MATCH(D1109,fo_code,0))&amp;"","Fournisseur inconnu"),IF(A1109="BS",IF(ISNA(MATCH(D1109,p_services,0)),"Service inconnu",D1109&amp;""),""))))</f>
        <v/>
      </c>
      <c r="F1109" s="58" t="n"/>
      <c r="G1109" s="58" t="n"/>
      <c r="H1109" s="59" t="n"/>
      <c r="I1109" s="57" t="str">
        <f>IF(H1109="","",IFERROR(INDEX(art_des,MATCH(H1109,art_ref,0))&amp;"","Article inconnu"))</f>
        <v/>
      </c>
      <c r="J1109" s="60" t="str">
        <f>IF(H1109="","",IFERROR(INDEX(art_unit,MATCH(H1109,art_ref,0))&amp;"",""))</f>
        <v/>
      </c>
      <c r="K1109" s="59" t="n"/>
      <c r="L1109" s="59" t="n"/>
      <c r="M1109" s="61" t="str">
        <f>IF(OR(B1109="",NOT(ISNUMBER(K1109)),NOT(ISNUMBER(L1109))),"",IF(OR(K1109&lt;=0,L1109&lt;=0),"",ROUND(L1109-K1109,6)))</f>
        <v/>
      </c>
      <c r="N1109" s="58" t="n"/>
      <c r="O1109" s="62" t="n"/>
      <c r="P1109" s="63" t="str">
        <f>IF(OR(B1109="",NOT(ISNUMBER(L1109))),"",IF(L1109&lt;=0,"",IFERROR(ROUND(L1109*N(INDEX(art_w,MATCH(H1109,art_ref,0))),3),"")))</f>
        <v/>
      </c>
      <c r="Q1109" s="59" t="n"/>
      <c r="R1109" s="54" t="n"/>
      <c r="S1109" s="59" t="n"/>
      <c r="T1109" s="59" t="n"/>
      <c r="U1109" s="64" t="str">
        <f>IF(OR(B1109="",H1109=""),"",IFERROR(IF(A1109="BL",IF(N(INDEX(art_price,MATCH(H1109,art_ref,0)))=0,"",N(INDEX(art_price,MATCH(H1109,art_ref,0)))),IF(N(INDEX(art_cost,MATCH(H1109,art_ref,0)))=0,"",N(INDEX(art_cost,MATCH(H1109,art_ref,0))))),""))</f>
        <v/>
      </c>
      <c r="V1109" s="64" t="str">
        <f>IF(OR(U1109="",NOT(ISNUMBER(L1109))),"",IF(L1109&lt;=0,"",ROUND(L1109*U1109,2)))</f>
        <v/>
      </c>
      <c r="W1109" s="60" t="str">
        <f>IF(AND(B1109&lt;&gt;"",A1109&lt;&gt;"BS",F1109&lt;&gt;"",H1109&lt;&gt;"",ISNUMBER(K1109),ISNUMBER(L1109)),IF(AND(K1109&gt;0,L1109&gt;0,K1109-L1109&gt;0,COUNTIFS(A1110:A$2005,A1109,F1110:F$2005,F1109,H1110:H$2005,H1109,AA1110:AA$2005,"&gt;0")=0),ROUND(K1109-L1109,6),""),"")</f>
        <v/>
      </c>
      <c r="X1109" s="60" t="str">
        <f>IF(AND(A1109="",C1109="",D1109="",H1109="",L1109=""),"",IF(A1109="","Type manquant",IF(AND(A1109&lt;&gt;"BL",A1109&lt;&gt;"BR",A1109&lt;&gt;"BS"),"Type inconnu (BL, BR ou BS)",IF(AG1109=0,"Date manquante ou invalide",IF(D1109="",IF(A1109="BL","Client manquant",IF(A1109="BR","Fournisseur manquant","Service manquant")),IF(IF(A1109="BL",ISNA(MATCH(D1109,cl_code,0)),IF(A1109="BR",ISNA(MATCH(D1109,fo_code,0)),ISNA(MATCH(D1109,p_services,0)))),IF(A1109="BL","Client inconnu",IF(A1109="BR","Fournisseur inconnu","Service inconnu")),IF(H1109="","Article manquant",IF(ISNA(MATCH(H1109,art_ref,0)),"Article inconnu",IF(OR(NOT(ISNUMBER(L1109)),N(L1109)&lt;=0),"Quantité invalide",IF(AND(K1109&lt;&gt;"",OR(NOT(ISNUMBER(K1109)),N(K1109)&lt;=0)),"Qté commandée invalide",IF(AG1109&lt;SUMPRODUCT(MAX((A$6:A1108=A1109)*AG$6:AG1108)),"Date antérieure au bon précédent",IF(AND(A1109&lt;&gt;"BR",ISNUMBER(M1109),N(M1109)&gt;0),IF(A1109="BL","Livré plus que commandé","Sorti plus que demandé"),"OK"))))))))))))</f>
        <v/>
      </c>
      <c r="Y1109" s="57" t="str">
        <f>IF(AND(OR(A1109="BL",A1109="BR",A1109="BS"),AG1109&gt;0,D1109&lt;&gt;""),A1109&amp;"|"&amp;AG1109&amp;"|"&amp;D1109&amp;"|"&amp;F1109,"")</f>
        <v/>
      </c>
      <c r="Z1109" s="57" t="str">
        <f>IF(Y1109="","",IF(COUNTIF(Y$6:Y1108,Y1109)=0,1,0))</f>
        <v/>
      </c>
      <c r="AA1109" s="57" t="str">
        <f>IF(Y1109="","",IF(Z1109=1,COUNTIFS(A$6:A1109,A1109,Z$6:Z1109,1),INDEX(AA$6:AA1108,MATCH(Y1109,Y$6:Y1108,0))))</f>
        <v/>
      </c>
      <c r="AB1109" s="57" t="str">
        <f>IF(B1109="","",COUNTIF(B$6:B1109,B1109))</f>
        <v/>
      </c>
      <c r="AC1109" s="57" t="str">
        <f>IF(B1109="","",B1109&amp;"#"&amp;AB1109)</f>
        <v/>
      </c>
      <c r="AD1109" s="57" t="str">
        <f>IF(Z1109=1,A1109&amp;AA1109,"")</f>
        <v/>
      </c>
      <c r="AE1109" s="57" t="str">
        <f>IF(B1109="","",YEAR(C1109))</f>
        <v/>
      </c>
      <c r="AF1109" s="57" t="str">
        <f>IF(B1109="","",MONTH(C1109))</f>
        <v/>
      </c>
      <c r="AG1109" s="57">
        <f>IF(ISNUMBER(C1109),C1109,0)</f>
        <v>0.0</v>
      </c>
      <c r="AH1109" s="57" t="str">
        <f>IF(N(W1109)&gt;0,COUNTIF(W$6:W1109,"&gt;0"),"")</f>
        <v/>
      </c>
      <c r="AI1109" s="57" t="str">
        <f>IF(Z1109=1,COUNTIF(Z$6:Z1109,1),"")</f>
        <v/>
      </c>
    </row>
    <row r="1110">
      <c r="A1110" s="54" t="n"/>
      <c r="B1110" s="55" t="str">
        <f>IF(AA1110="","",A1110&amp;"-"&amp;RIGHT("000"&amp;AA1110,4))</f>
        <v/>
      </c>
      <c r="C1110" s="56" t="n"/>
      <c r="D1110" s="54" t="n"/>
      <c r="E1110" s="57" t="str">
        <f>IF(D1110="","",IF(A1110="BL",IFERROR(INDEX(cl_name,MATCH(D1110,cl_code,0))&amp;"","Client inconnu"),IF(A1110="BR",IFERROR(INDEX(fo_name,MATCH(D1110,fo_code,0))&amp;"","Fournisseur inconnu"),IF(A1110="BS",IF(ISNA(MATCH(D1110,p_services,0)),"Service inconnu",D1110&amp;""),""))))</f>
        <v/>
      </c>
      <c r="F1110" s="58" t="n"/>
      <c r="G1110" s="58" t="n"/>
      <c r="H1110" s="59" t="n"/>
      <c r="I1110" s="57" t="str">
        <f>IF(H1110="","",IFERROR(INDEX(art_des,MATCH(H1110,art_ref,0))&amp;"","Article inconnu"))</f>
        <v/>
      </c>
      <c r="J1110" s="60" t="str">
        <f>IF(H1110="","",IFERROR(INDEX(art_unit,MATCH(H1110,art_ref,0))&amp;"",""))</f>
        <v/>
      </c>
      <c r="K1110" s="59" t="n"/>
      <c r="L1110" s="59" t="n"/>
      <c r="M1110" s="61" t="str">
        <f>IF(OR(B1110="",NOT(ISNUMBER(K1110)),NOT(ISNUMBER(L1110))),"",IF(OR(K1110&lt;=0,L1110&lt;=0),"",ROUND(L1110-K1110,6)))</f>
        <v/>
      </c>
      <c r="N1110" s="58" t="n"/>
      <c r="O1110" s="62" t="n"/>
      <c r="P1110" s="63" t="str">
        <f>IF(OR(B1110="",NOT(ISNUMBER(L1110))),"",IF(L1110&lt;=0,"",IFERROR(ROUND(L1110*N(INDEX(art_w,MATCH(H1110,art_ref,0))),3),"")))</f>
        <v/>
      </c>
      <c r="Q1110" s="59" t="n"/>
      <c r="R1110" s="54" t="n"/>
      <c r="S1110" s="59" t="n"/>
      <c r="T1110" s="59" t="n"/>
      <c r="U1110" s="64" t="str">
        <f>IF(OR(B1110="",H1110=""),"",IFERROR(IF(A1110="BL",IF(N(INDEX(art_price,MATCH(H1110,art_ref,0)))=0,"",N(INDEX(art_price,MATCH(H1110,art_ref,0)))),IF(N(INDEX(art_cost,MATCH(H1110,art_ref,0)))=0,"",N(INDEX(art_cost,MATCH(H1110,art_ref,0))))),""))</f>
        <v/>
      </c>
      <c r="V1110" s="64" t="str">
        <f>IF(OR(U1110="",NOT(ISNUMBER(L1110))),"",IF(L1110&lt;=0,"",ROUND(L1110*U1110,2)))</f>
        <v/>
      </c>
      <c r="W1110" s="60" t="str">
        <f>IF(AND(B1110&lt;&gt;"",A1110&lt;&gt;"BS",F1110&lt;&gt;"",H1110&lt;&gt;"",ISNUMBER(K1110),ISNUMBER(L1110)),IF(AND(K1110&gt;0,L1110&gt;0,K1110-L1110&gt;0,COUNTIFS(A1111:A$2005,A1110,F1111:F$2005,F1110,H1111:H$2005,H1110,AA1111:AA$2005,"&gt;0")=0),ROUND(K1110-L1110,6),""),"")</f>
        <v/>
      </c>
      <c r="X1110" s="60" t="str">
        <f>IF(AND(A1110="",C1110="",D1110="",H1110="",L1110=""),"",IF(A1110="","Type manquant",IF(AND(A1110&lt;&gt;"BL",A1110&lt;&gt;"BR",A1110&lt;&gt;"BS"),"Type inconnu (BL, BR ou BS)",IF(AG1110=0,"Date manquante ou invalide",IF(D1110="",IF(A1110="BL","Client manquant",IF(A1110="BR","Fournisseur manquant","Service manquant")),IF(IF(A1110="BL",ISNA(MATCH(D1110,cl_code,0)),IF(A1110="BR",ISNA(MATCH(D1110,fo_code,0)),ISNA(MATCH(D1110,p_services,0)))),IF(A1110="BL","Client inconnu",IF(A1110="BR","Fournisseur inconnu","Service inconnu")),IF(H1110="","Article manquant",IF(ISNA(MATCH(H1110,art_ref,0)),"Article inconnu",IF(OR(NOT(ISNUMBER(L1110)),N(L1110)&lt;=0),"Quantité invalide",IF(AND(K1110&lt;&gt;"",OR(NOT(ISNUMBER(K1110)),N(K1110)&lt;=0)),"Qté commandée invalide",IF(AG1110&lt;SUMPRODUCT(MAX((A$6:A1109=A1110)*AG$6:AG1109)),"Date antérieure au bon précédent",IF(AND(A1110&lt;&gt;"BR",ISNUMBER(M1110),N(M1110)&gt;0),IF(A1110="BL","Livré plus que commandé","Sorti plus que demandé"),"OK"))))))))))))</f>
        <v/>
      </c>
      <c r="Y1110" s="57" t="str">
        <f>IF(AND(OR(A1110="BL",A1110="BR",A1110="BS"),AG1110&gt;0,D1110&lt;&gt;""),A1110&amp;"|"&amp;AG1110&amp;"|"&amp;D1110&amp;"|"&amp;F1110,"")</f>
        <v/>
      </c>
      <c r="Z1110" s="57" t="str">
        <f>IF(Y1110="","",IF(COUNTIF(Y$6:Y1109,Y1110)=0,1,0))</f>
        <v/>
      </c>
      <c r="AA1110" s="57" t="str">
        <f>IF(Y1110="","",IF(Z1110=1,COUNTIFS(A$6:A1110,A1110,Z$6:Z1110,1),INDEX(AA$6:AA1109,MATCH(Y1110,Y$6:Y1109,0))))</f>
        <v/>
      </c>
      <c r="AB1110" s="57" t="str">
        <f>IF(B1110="","",COUNTIF(B$6:B1110,B1110))</f>
        <v/>
      </c>
      <c r="AC1110" s="57" t="str">
        <f>IF(B1110="","",B1110&amp;"#"&amp;AB1110)</f>
        <v/>
      </c>
      <c r="AD1110" s="57" t="str">
        <f>IF(Z1110=1,A1110&amp;AA1110,"")</f>
        <v/>
      </c>
      <c r="AE1110" s="57" t="str">
        <f>IF(B1110="","",YEAR(C1110))</f>
        <v/>
      </c>
      <c r="AF1110" s="57" t="str">
        <f>IF(B1110="","",MONTH(C1110))</f>
        <v/>
      </c>
      <c r="AG1110" s="57">
        <f>IF(ISNUMBER(C1110),C1110,0)</f>
        <v>0.0</v>
      </c>
      <c r="AH1110" s="57" t="str">
        <f>IF(N(W1110)&gt;0,COUNTIF(W$6:W1110,"&gt;0"),"")</f>
        <v/>
      </c>
      <c r="AI1110" s="57" t="str">
        <f>IF(Z1110=1,COUNTIF(Z$6:Z1110,1),"")</f>
        <v/>
      </c>
    </row>
    <row r="1111">
      <c r="A1111" s="54" t="n"/>
      <c r="B1111" s="55" t="str">
        <f>IF(AA1111="","",A1111&amp;"-"&amp;RIGHT("000"&amp;AA1111,4))</f>
        <v/>
      </c>
      <c r="C1111" s="56" t="n"/>
      <c r="D1111" s="54" t="n"/>
      <c r="E1111" s="57" t="str">
        <f>IF(D1111="","",IF(A1111="BL",IFERROR(INDEX(cl_name,MATCH(D1111,cl_code,0))&amp;"","Client inconnu"),IF(A1111="BR",IFERROR(INDEX(fo_name,MATCH(D1111,fo_code,0))&amp;"","Fournisseur inconnu"),IF(A1111="BS",IF(ISNA(MATCH(D1111,p_services,0)),"Service inconnu",D1111&amp;""),""))))</f>
        <v/>
      </c>
      <c r="F1111" s="58" t="n"/>
      <c r="G1111" s="58" t="n"/>
      <c r="H1111" s="59" t="n"/>
      <c r="I1111" s="57" t="str">
        <f>IF(H1111="","",IFERROR(INDEX(art_des,MATCH(H1111,art_ref,0))&amp;"","Article inconnu"))</f>
        <v/>
      </c>
      <c r="J1111" s="60" t="str">
        <f>IF(H1111="","",IFERROR(INDEX(art_unit,MATCH(H1111,art_ref,0))&amp;"",""))</f>
        <v/>
      </c>
      <c r="K1111" s="59" t="n"/>
      <c r="L1111" s="59" t="n"/>
      <c r="M1111" s="61" t="str">
        <f>IF(OR(B1111="",NOT(ISNUMBER(K1111)),NOT(ISNUMBER(L1111))),"",IF(OR(K1111&lt;=0,L1111&lt;=0),"",ROUND(L1111-K1111,6)))</f>
        <v/>
      </c>
      <c r="N1111" s="58" t="n"/>
      <c r="O1111" s="62" t="n"/>
      <c r="P1111" s="63" t="str">
        <f>IF(OR(B1111="",NOT(ISNUMBER(L1111))),"",IF(L1111&lt;=0,"",IFERROR(ROUND(L1111*N(INDEX(art_w,MATCH(H1111,art_ref,0))),3),"")))</f>
        <v/>
      </c>
      <c r="Q1111" s="59" t="n"/>
      <c r="R1111" s="54" t="n"/>
      <c r="S1111" s="59" t="n"/>
      <c r="T1111" s="59" t="n"/>
      <c r="U1111" s="64" t="str">
        <f>IF(OR(B1111="",H1111=""),"",IFERROR(IF(A1111="BL",IF(N(INDEX(art_price,MATCH(H1111,art_ref,0)))=0,"",N(INDEX(art_price,MATCH(H1111,art_ref,0)))),IF(N(INDEX(art_cost,MATCH(H1111,art_ref,0)))=0,"",N(INDEX(art_cost,MATCH(H1111,art_ref,0))))),""))</f>
        <v/>
      </c>
      <c r="V1111" s="64" t="str">
        <f>IF(OR(U1111="",NOT(ISNUMBER(L1111))),"",IF(L1111&lt;=0,"",ROUND(L1111*U1111,2)))</f>
        <v/>
      </c>
      <c r="W1111" s="60" t="str">
        <f>IF(AND(B1111&lt;&gt;"",A1111&lt;&gt;"BS",F1111&lt;&gt;"",H1111&lt;&gt;"",ISNUMBER(K1111),ISNUMBER(L1111)),IF(AND(K1111&gt;0,L1111&gt;0,K1111-L1111&gt;0,COUNTIFS(A1112:A$2005,A1111,F1112:F$2005,F1111,H1112:H$2005,H1111,AA1112:AA$2005,"&gt;0")=0),ROUND(K1111-L1111,6),""),"")</f>
        <v/>
      </c>
      <c r="X1111" s="60" t="str">
        <f>IF(AND(A1111="",C1111="",D1111="",H1111="",L1111=""),"",IF(A1111="","Type manquant",IF(AND(A1111&lt;&gt;"BL",A1111&lt;&gt;"BR",A1111&lt;&gt;"BS"),"Type inconnu (BL, BR ou BS)",IF(AG1111=0,"Date manquante ou invalide",IF(D1111="",IF(A1111="BL","Client manquant",IF(A1111="BR","Fournisseur manquant","Service manquant")),IF(IF(A1111="BL",ISNA(MATCH(D1111,cl_code,0)),IF(A1111="BR",ISNA(MATCH(D1111,fo_code,0)),ISNA(MATCH(D1111,p_services,0)))),IF(A1111="BL","Client inconnu",IF(A1111="BR","Fournisseur inconnu","Service inconnu")),IF(H1111="","Article manquant",IF(ISNA(MATCH(H1111,art_ref,0)),"Article inconnu",IF(OR(NOT(ISNUMBER(L1111)),N(L1111)&lt;=0),"Quantité invalide",IF(AND(K1111&lt;&gt;"",OR(NOT(ISNUMBER(K1111)),N(K1111)&lt;=0)),"Qté commandée invalide",IF(AG1111&lt;SUMPRODUCT(MAX((A$6:A1110=A1111)*AG$6:AG1110)),"Date antérieure au bon précédent",IF(AND(A1111&lt;&gt;"BR",ISNUMBER(M1111),N(M1111)&gt;0),IF(A1111="BL","Livré plus que commandé","Sorti plus que demandé"),"OK"))))))))))))</f>
        <v/>
      </c>
      <c r="Y1111" s="57" t="str">
        <f>IF(AND(OR(A1111="BL",A1111="BR",A1111="BS"),AG1111&gt;0,D1111&lt;&gt;""),A1111&amp;"|"&amp;AG1111&amp;"|"&amp;D1111&amp;"|"&amp;F1111,"")</f>
        <v/>
      </c>
      <c r="Z1111" s="57" t="str">
        <f>IF(Y1111="","",IF(COUNTIF(Y$6:Y1110,Y1111)=0,1,0))</f>
        <v/>
      </c>
      <c r="AA1111" s="57" t="str">
        <f>IF(Y1111="","",IF(Z1111=1,COUNTIFS(A$6:A1111,A1111,Z$6:Z1111,1),INDEX(AA$6:AA1110,MATCH(Y1111,Y$6:Y1110,0))))</f>
        <v/>
      </c>
      <c r="AB1111" s="57" t="str">
        <f>IF(B1111="","",COUNTIF(B$6:B1111,B1111))</f>
        <v/>
      </c>
      <c r="AC1111" s="57" t="str">
        <f>IF(B1111="","",B1111&amp;"#"&amp;AB1111)</f>
        <v/>
      </c>
      <c r="AD1111" s="57" t="str">
        <f>IF(Z1111=1,A1111&amp;AA1111,"")</f>
        <v/>
      </c>
      <c r="AE1111" s="57" t="str">
        <f>IF(B1111="","",YEAR(C1111))</f>
        <v/>
      </c>
      <c r="AF1111" s="57" t="str">
        <f>IF(B1111="","",MONTH(C1111))</f>
        <v/>
      </c>
      <c r="AG1111" s="57">
        <f>IF(ISNUMBER(C1111),C1111,0)</f>
        <v>0.0</v>
      </c>
      <c r="AH1111" s="57" t="str">
        <f>IF(N(W1111)&gt;0,COUNTIF(W$6:W1111,"&gt;0"),"")</f>
        <v/>
      </c>
      <c r="AI1111" s="57" t="str">
        <f>IF(Z1111=1,COUNTIF(Z$6:Z1111,1),"")</f>
        <v/>
      </c>
    </row>
    <row r="1112">
      <c r="A1112" s="54" t="n"/>
      <c r="B1112" s="55" t="str">
        <f>IF(AA1112="","",A1112&amp;"-"&amp;RIGHT("000"&amp;AA1112,4))</f>
        <v/>
      </c>
      <c r="C1112" s="56" t="n"/>
      <c r="D1112" s="54" t="n"/>
      <c r="E1112" s="57" t="str">
        <f>IF(D1112="","",IF(A1112="BL",IFERROR(INDEX(cl_name,MATCH(D1112,cl_code,0))&amp;"","Client inconnu"),IF(A1112="BR",IFERROR(INDEX(fo_name,MATCH(D1112,fo_code,0))&amp;"","Fournisseur inconnu"),IF(A1112="BS",IF(ISNA(MATCH(D1112,p_services,0)),"Service inconnu",D1112&amp;""),""))))</f>
        <v/>
      </c>
      <c r="F1112" s="58" t="n"/>
      <c r="G1112" s="58" t="n"/>
      <c r="H1112" s="59" t="n"/>
      <c r="I1112" s="57" t="str">
        <f>IF(H1112="","",IFERROR(INDEX(art_des,MATCH(H1112,art_ref,0))&amp;"","Article inconnu"))</f>
        <v/>
      </c>
      <c r="J1112" s="60" t="str">
        <f>IF(H1112="","",IFERROR(INDEX(art_unit,MATCH(H1112,art_ref,0))&amp;"",""))</f>
        <v/>
      </c>
      <c r="K1112" s="59" t="n"/>
      <c r="L1112" s="59" t="n"/>
      <c r="M1112" s="61" t="str">
        <f>IF(OR(B1112="",NOT(ISNUMBER(K1112)),NOT(ISNUMBER(L1112))),"",IF(OR(K1112&lt;=0,L1112&lt;=0),"",ROUND(L1112-K1112,6)))</f>
        <v/>
      </c>
      <c r="N1112" s="58" t="n"/>
      <c r="O1112" s="62" t="n"/>
      <c r="P1112" s="63" t="str">
        <f>IF(OR(B1112="",NOT(ISNUMBER(L1112))),"",IF(L1112&lt;=0,"",IFERROR(ROUND(L1112*N(INDEX(art_w,MATCH(H1112,art_ref,0))),3),"")))</f>
        <v/>
      </c>
      <c r="Q1112" s="59" t="n"/>
      <c r="R1112" s="54" t="n"/>
      <c r="S1112" s="59" t="n"/>
      <c r="T1112" s="59" t="n"/>
      <c r="U1112" s="64" t="str">
        <f>IF(OR(B1112="",H1112=""),"",IFERROR(IF(A1112="BL",IF(N(INDEX(art_price,MATCH(H1112,art_ref,0)))=0,"",N(INDEX(art_price,MATCH(H1112,art_ref,0)))),IF(N(INDEX(art_cost,MATCH(H1112,art_ref,0)))=0,"",N(INDEX(art_cost,MATCH(H1112,art_ref,0))))),""))</f>
        <v/>
      </c>
      <c r="V1112" s="64" t="str">
        <f>IF(OR(U1112="",NOT(ISNUMBER(L1112))),"",IF(L1112&lt;=0,"",ROUND(L1112*U1112,2)))</f>
        <v/>
      </c>
      <c r="W1112" s="60" t="str">
        <f>IF(AND(B1112&lt;&gt;"",A1112&lt;&gt;"BS",F1112&lt;&gt;"",H1112&lt;&gt;"",ISNUMBER(K1112),ISNUMBER(L1112)),IF(AND(K1112&gt;0,L1112&gt;0,K1112-L1112&gt;0,COUNTIFS(A1113:A$2005,A1112,F1113:F$2005,F1112,H1113:H$2005,H1112,AA1113:AA$2005,"&gt;0")=0),ROUND(K1112-L1112,6),""),"")</f>
        <v/>
      </c>
      <c r="X1112" s="60" t="str">
        <f>IF(AND(A1112="",C1112="",D1112="",H1112="",L1112=""),"",IF(A1112="","Type manquant",IF(AND(A1112&lt;&gt;"BL",A1112&lt;&gt;"BR",A1112&lt;&gt;"BS"),"Type inconnu (BL, BR ou BS)",IF(AG1112=0,"Date manquante ou invalide",IF(D1112="",IF(A1112="BL","Client manquant",IF(A1112="BR","Fournisseur manquant","Service manquant")),IF(IF(A1112="BL",ISNA(MATCH(D1112,cl_code,0)),IF(A1112="BR",ISNA(MATCH(D1112,fo_code,0)),ISNA(MATCH(D1112,p_services,0)))),IF(A1112="BL","Client inconnu",IF(A1112="BR","Fournisseur inconnu","Service inconnu")),IF(H1112="","Article manquant",IF(ISNA(MATCH(H1112,art_ref,0)),"Article inconnu",IF(OR(NOT(ISNUMBER(L1112)),N(L1112)&lt;=0),"Quantité invalide",IF(AND(K1112&lt;&gt;"",OR(NOT(ISNUMBER(K1112)),N(K1112)&lt;=0)),"Qté commandée invalide",IF(AG1112&lt;SUMPRODUCT(MAX((A$6:A1111=A1112)*AG$6:AG1111)),"Date antérieure au bon précédent",IF(AND(A1112&lt;&gt;"BR",ISNUMBER(M1112),N(M1112)&gt;0),IF(A1112="BL","Livré plus que commandé","Sorti plus que demandé"),"OK"))))))))))))</f>
        <v/>
      </c>
      <c r="Y1112" s="57" t="str">
        <f>IF(AND(OR(A1112="BL",A1112="BR",A1112="BS"),AG1112&gt;0,D1112&lt;&gt;""),A1112&amp;"|"&amp;AG1112&amp;"|"&amp;D1112&amp;"|"&amp;F1112,"")</f>
        <v/>
      </c>
      <c r="Z1112" s="57" t="str">
        <f>IF(Y1112="","",IF(COUNTIF(Y$6:Y1111,Y1112)=0,1,0))</f>
        <v/>
      </c>
      <c r="AA1112" s="57" t="str">
        <f>IF(Y1112="","",IF(Z1112=1,COUNTIFS(A$6:A1112,A1112,Z$6:Z1112,1),INDEX(AA$6:AA1111,MATCH(Y1112,Y$6:Y1111,0))))</f>
        <v/>
      </c>
      <c r="AB1112" s="57" t="str">
        <f>IF(B1112="","",COUNTIF(B$6:B1112,B1112))</f>
        <v/>
      </c>
      <c r="AC1112" s="57" t="str">
        <f>IF(B1112="","",B1112&amp;"#"&amp;AB1112)</f>
        <v/>
      </c>
      <c r="AD1112" s="57" t="str">
        <f>IF(Z1112=1,A1112&amp;AA1112,"")</f>
        <v/>
      </c>
      <c r="AE1112" s="57" t="str">
        <f>IF(B1112="","",YEAR(C1112))</f>
        <v/>
      </c>
      <c r="AF1112" s="57" t="str">
        <f>IF(B1112="","",MONTH(C1112))</f>
        <v/>
      </c>
      <c r="AG1112" s="57">
        <f>IF(ISNUMBER(C1112),C1112,0)</f>
        <v>0.0</v>
      </c>
      <c r="AH1112" s="57" t="str">
        <f>IF(N(W1112)&gt;0,COUNTIF(W$6:W1112,"&gt;0"),"")</f>
        <v/>
      </c>
      <c r="AI1112" s="57" t="str">
        <f>IF(Z1112=1,COUNTIF(Z$6:Z1112,1),"")</f>
        <v/>
      </c>
    </row>
    <row r="1113">
      <c r="A1113" s="54" t="n"/>
      <c r="B1113" s="55" t="str">
        <f>IF(AA1113="","",A1113&amp;"-"&amp;RIGHT("000"&amp;AA1113,4))</f>
        <v/>
      </c>
      <c r="C1113" s="56" t="n"/>
      <c r="D1113" s="54" t="n"/>
      <c r="E1113" s="57" t="str">
        <f>IF(D1113="","",IF(A1113="BL",IFERROR(INDEX(cl_name,MATCH(D1113,cl_code,0))&amp;"","Client inconnu"),IF(A1113="BR",IFERROR(INDEX(fo_name,MATCH(D1113,fo_code,0))&amp;"","Fournisseur inconnu"),IF(A1113="BS",IF(ISNA(MATCH(D1113,p_services,0)),"Service inconnu",D1113&amp;""),""))))</f>
        <v/>
      </c>
      <c r="F1113" s="58" t="n"/>
      <c r="G1113" s="58" t="n"/>
      <c r="H1113" s="59" t="n"/>
      <c r="I1113" s="57" t="str">
        <f>IF(H1113="","",IFERROR(INDEX(art_des,MATCH(H1113,art_ref,0))&amp;"","Article inconnu"))</f>
        <v/>
      </c>
      <c r="J1113" s="60" t="str">
        <f>IF(H1113="","",IFERROR(INDEX(art_unit,MATCH(H1113,art_ref,0))&amp;"",""))</f>
        <v/>
      </c>
      <c r="K1113" s="59" t="n"/>
      <c r="L1113" s="59" t="n"/>
      <c r="M1113" s="61" t="str">
        <f>IF(OR(B1113="",NOT(ISNUMBER(K1113)),NOT(ISNUMBER(L1113))),"",IF(OR(K1113&lt;=0,L1113&lt;=0),"",ROUND(L1113-K1113,6)))</f>
        <v/>
      </c>
      <c r="N1113" s="58" t="n"/>
      <c r="O1113" s="62" t="n"/>
      <c r="P1113" s="63" t="str">
        <f>IF(OR(B1113="",NOT(ISNUMBER(L1113))),"",IF(L1113&lt;=0,"",IFERROR(ROUND(L1113*N(INDEX(art_w,MATCH(H1113,art_ref,0))),3),"")))</f>
        <v/>
      </c>
      <c r="Q1113" s="59" t="n"/>
      <c r="R1113" s="54" t="n"/>
      <c r="S1113" s="59" t="n"/>
      <c r="T1113" s="59" t="n"/>
      <c r="U1113" s="64" t="str">
        <f>IF(OR(B1113="",H1113=""),"",IFERROR(IF(A1113="BL",IF(N(INDEX(art_price,MATCH(H1113,art_ref,0)))=0,"",N(INDEX(art_price,MATCH(H1113,art_ref,0)))),IF(N(INDEX(art_cost,MATCH(H1113,art_ref,0)))=0,"",N(INDEX(art_cost,MATCH(H1113,art_ref,0))))),""))</f>
        <v/>
      </c>
      <c r="V1113" s="64" t="str">
        <f>IF(OR(U1113="",NOT(ISNUMBER(L1113))),"",IF(L1113&lt;=0,"",ROUND(L1113*U1113,2)))</f>
        <v/>
      </c>
      <c r="W1113" s="60" t="str">
        <f>IF(AND(B1113&lt;&gt;"",A1113&lt;&gt;"BS",F1113&lt;&gt;"",H1113&lt;&gt;"",ISNUMBER(K1113),ISNUMBER(L1113)),IF(AND(K1113&gt;0,L1113&gt;0,K1113-L1113&gt;0,COUNTIFS(A1114:A$2005,A1113,F1114:F$2005,F1113,H1114:H$2005,H1113,AA1114:AA$2005,"&gt;0")=0),ROUND(K1113-L1113,6),""),"")</f>
        <v/>
      </c>
      <c r="X1113" s="60" t="str">
        <f>IF(AND(A1113="",C1113="",D1113="",H1113="",L1113=""),"",IF(A1113="","Type manquant",IF(AND(A1113&lt;&gt;"BL",A1113&lt;&gt;"BR",A1113&lt;&gt;"BS"),"Type inconnu (BL, BR ou BS)",IF(AG1113=0,"Date manquante ou invalide",IF(D1113="",IF(A1113="BL","Client manquant",IF(A1113="BR","Fournisseur manquant","Service manquant")),IF(IF(A1113="BL",ISNA(MATCH(D1113,cl_code,0)),IF(A1113="BR",ISNA(MATCH(D1113,fo_code,0)),ISNA(MATCH(D1113,p_services,0)))),IF(A1113="BL","Client inconnu",IF(A1113="BR","Fournisseur inconnu","Service inconnu")),IF(H1113="","Article manquant",IF(ISNA(MATCH(H1113,art_ref,0)),"Article inconnu",IF(OR(NOT(ISNUMBER(L1113)),N(L1113)&lt;=0),"Quantité invalide",IF(AND(K1113&lt;&gt;"",OR(NOT(ISNUMBER(K1113)),N(K1113)&lt;=0)),"Qté commandée invalide",IF(AG1113&lt;SUMPRODUCT(MAX((A$6:A1112=A1113)*AG$6:AG1112)),"Date antérieure au bon précédent",IF(AND(A1113&lt;&gt;"BR",ISNUMBER(M1113),N(M1113)&gt;0),IF(A1113="BL","Livré plus que commandé","Sorti plus que demandé"),"OK"))))))))))))</f>
        <v/>
      </c>
      <c r="Y1113" s="57" t="str">
        <f>IF(AND(OR(A1113="BL",A1113="BR",A1113="BS"),AG1113&gt;0,D1113&lt;&gt;""),A1113&amp;"|"&amp;AG1113&amp;"|"&amp;D1113&amp;"|"&amp;F1113,"")</f>
        <v/>
      </c>
      <c r="Z1113" s="57" t="str">
        <f>IF(Y1113="","",IF(COUNTIF(Y$6:Y1112,Y1113)=0,1,0))</f>
        <v/>
      </c>
      <c r="AA1113" s="57" t="str">
        <f>IF(Y1113="","",IF(Z1113=1,COUNTIFS(A$6:A1113,A1113,Z$6:Z1113,1),INDEX(AA$6:AA1112,MATCH(Y1113,Y$6:Y1112,0))))</f>
        <v/>
      </c>
      <c r="AB1113" s="57" t="str">
        <f>IF(B1113="","",COUNTIF(B$6:B1113,B1113))</f>
        <v/>
      </c>
      <c r="AC1113" s="57" t="str">
        <f>IF(B1113="","",B1113&amp;"#"&amp;AB1113)</f>
        <v/>
      </c>
      <c r="AD1113" s="57" t="str">
        <f>IF(Z1113=1,A1113&amp;AA1113,"")</f>
        <v/>
      </c>
      <c r="AE1113" s="57" t="str">
        <f>IF(B1113="","",YEAR(C1113))</f>
        <v/>
      </c>
      <c r="AF1113" s="57" t="str">
        <f>IF(B1113="","",MONTH(C1113))</f>
        <v/>
      </c>
      <c r="AG1113" s="57">
        <f>IF(ISNUMBER(C1113),C1113,0)</f>
        <v>0.0</v>
      </c>
      <c r="AH1113" s="57" t="str">
        <f>IF(N(W1113)&gt;0,COUNTIF(W$6:W1113,"&gt;0"),"")</f>
        <v/>
      </c>
      <c r="AI1113" s="57" t="str">
        <f>IF(Z1113=1,COUNTIF(Z$6:Z1113,1),"")</f>
        <v/>
      </c>
    </row>
    <row r="1114">
      <c r="A1114" s="54" t="n"/>
      <c r="B1114" s="55" t="str">
        <f>IF(AA1114="","",A1114&amp;"-"&amp;RIGHT("000"&amp;AA1114,4))</f>
        <v/>
      </c>
      <c r="C1114" s="56" t="n"/>
      <c r="D1114" s="54" t="n"/>
      <c r="E1114" s="57" t="str">
        <f>IF(D1114="","",IF(A1114="BL",IFERROR(INDEX(cl_name,MATCH(D1114,cl_code,0))&amp;"","Client inconnu"),IF(A1114="BR",IFERROR(INDEX(fo_name,MATCH(D1114,fo_code,0))&amp;"","Fournisseur inconnu"),IF(A1114="BS",IF(ISNA(MATCH(D1114,p_services,0)),"Service inconnu",D1114&amp;""),""))))</f>
        <v/>
      </c>
      <c r="F1114" s="58" t="n"/>
      <c r="G1114" s="58" t="n"/>
      <c r="H1114" s="59" t="n"/>
      <c r="I1114" s="57" t="str">
        <f>IF(H1114="","",IFERROR(INDEX(art_des,MATCH(H1114,art_ref,0))&amp;"","Article inconnu"))</f>
        <v/>
      </c>
      <c r="J1114" s="60" t="str">
        <f>IF(H1114="","",IFERROR(INDEX(art_unit,MATCH(H1114,art_ref,0))&amp;"",""))</f>
        <v/>
      </c>
      <c r="K1114" s="59" t="n"/>
      <c r="L1114" s="59" t="n"/>
      <c r="M1114" s="61" t="str">
        <f>IF(OR(B1114="",NOT(ISNUMBER(K1114)),NOT(ISNUMBER(L1114))),"",IF(OR(K1114&lt;=0,L1114&lt;=0),"",ROUND(L1114-K1114,6)))</f>
        <v/>
      </c>
      <c r="N1114" s="58" t="n"/>
      <c r="O1114" s="62" t="n"/>
      <c r="P1114" s="63" t="str">
        <f>IF(OR(B1114="",NOT(ISNUMBER(L1114))),"",IF(L1114&lt;=0,"",IFERROR(ROUND(L1114*N(INDEX(art_w,MATCH(H1114,art_ref,0))),3),"")))</f>
        <v/>
      </c>
      <c r="Q1114" s="59" t="n"/>
      <c r="R1114" s="54" t="n"/>
      <c r="S1114" s="59" t="n"/>
      <c r="T1114" s="59" t="n"/>
      <c r="U1114" s="64" t="str">
        <f>IF(OR(B1114="",H1114=""),"",IFERROR(IF(A1114="BL",IF(N(INDEX(art_price,MATCH(H1114,art_ref,0)))=0,"",N(INDEX(art_price,MATCH(H1114,art_ref,0)))),IF(N(INDEX(art_cost,MATCH(H1114,art_ref,0)))=0,"",N(INDEX(art_cost,MATCH(H1114,art_ref,0))))),""))</f>
        <v/>
      </c>
      <c r="V1114" s="64" t="str">
        <f>IF(OR(U1114="",NOT(ISNUMBER(L1114))),"",IF(L1114&lt;=0,"",ROUND(L1114*U1114,2)))</f>
        <v/>
      </c>
      <c r="W1114" s="60" t="str">
        <f>IF(AND(B1114&lt;&gt;"",A1114&lt;&gt;"BS",F1114&lt;&gt;"",H1114&lt;&gt;"",ISNUMBER(K1114),ISNUMBER(L1114)),IF(AND(K1114&gt;0,L1114&gt;0,K1114-L1114&gt;0,COUNTIFS(A1115:A$2005,A1114,F1115:F$2005,F1114,H1115:H$2005,H1114,AA1115:AA$2005,"&gt;0")=0),ROUND(K1114-L1114,6),""),"")</f>
        <v/>
      </c>
      <c r="X1114" s="60" t="str">
        <f>IF(AND(A1114="",C1114="",D1114="",H1114="",L1114=""),"",IF(A1114="","Type manquant",IF(AND(A1114&lt;&gt;"BL",A1114&lt;&gt;"BR",A1114&lt;&gt;"BS"),"Type inconnu (BL, BR ou BS)",IF(AG1114=0,"Date manquante ou invalide",IF(D1114="",IF(A1114="BL","Client manquant",IF(A1114="BR","Fournisseur manquant","Service manquant")),IF(IF(A1114="BL",ISNA(MATCH(D1114,cl_code,0)),IF(A1114="BR",ISNA(MATCH(D1114,fo_code,0)),ISNA(MATCH(D1114,p_services,0)))),IF(A1114="BL","Client inconnu",IF(A1114="BR","Fournisseur inconnu","Service inconnu")),IF(H1114="","Article manquant",IF(ISNA(MATCH(H1114,art_ref,0)),"Article inconnu",IF(OR(NOT(ISNUMBER(L1114)),N(L1114)&lt;=0),"Quantité invalide",IF(AND(K1114&lt;&gt;"",OR(NOT(ISNUMBER(K1114)),N(K1114)&lt;=0)),"Qté commandée invalide",IF(AG1114&lt;SUMPRODUCT(MAX((A$6:A1113=A1114)*AG$6:AG1113)),"Date antérieure au bon précédent",IF(AND(A1114&lt;&gt;"BR",ISNUMBER(M1114),N(M1114)&gt;0),IF(A1114="BL","Livré plus que commandé","Sorti plus que demandé"),"OK"))))))))))))</f>
        <v/>
      </c>
      <c r="Y1114" s="57" t="str">
        <f>IF(AND(OR(A1114="BL",A1114="BR",A1114="BS"),AG1114&gt;0,D1114&lt;&gt;""),A1114&amp;"|"&amp;AG1114&amp;"|"&amp;D1114&amp;"|"&amp;F1114,"")</f>
        <v/>
      </c>
      <c r="Z1114" s="57" t="str">
        <f>IF(Y1114="","",IF(COUNTIF(Y$6:Y1113,Y1114)=0,1,0))</f>
        <v/>
      </c>
      <c r="AA1114" s="57" t="str">
        <f>IF(Y1114="","",IF(Z1114=1,COUNTIFS(A$6:A1114,A1114,Z$6:Z1114,1),INDEX(AA$6:AA1113,MATCH(Y1114,Y$6:Y1113,0))))</f>
        <v/>
      </c>
      <c r="AB1114" s="57" t="str">
        <f>IF(B1114="","",COUNTIF(B$6:B1114,B1114))</f>
        <v/>
      </c>
      <c r="AC1114" s="57" t="str">
        <f>IF(B1114="","",B1114&amp;"#"&amp;AB1114)</f>
        <v/>
      </c>
      <c r="AD1114" s="57" t="str">
        <f>IF(Z1114=1,A1114&amp;AA1114,"")</f>
        <v/>
      </c>
      <c r="AE1114" s="57" t="str">
        <f>IF(B1114="","",YEAR(C1114))</f>
        <v/>
      </c>
      <c r="AF1114" s="57" t="str">
        <f>IF(B1114="","",MONTH(C1114))</f>
        <v/>
      </c>
      <c r="AG1114" s="57">
        <f>IF(ISNUMBER(C1114),C1114,0)</f>
        <v>0.0</v>
      </c>
      <c r="AH1114" s="57" t="str">
        <f>IF(N(W1114)&gt;0,COUNTIF(W$6:W1114,"&gt;0"),"")</f>
        <v/>
      </c>
      <c r="AI1114" s="57" t="str">
        <f>IF(Z1114=1,COUNTIF(Z$6:Z1114,1),"")</f>
        <v/>
      </c>
    </row>
    <row r="1115">
      <c r="A1115" s="54" t="n"/>
      <c r="B1115" s="55" t="str">
        <f>IF(AA1115="","",A1115&amp;"-"&amp;RIGHT("000"&amp;AA1115,4))</f>
        <v/>
      </c>
      <c r="C1115" s="56" t="n"/>
      <c r="D1115" s="54" t="n"/>
      <c r="E1115" s="57" t="str">
        <f>IF(D1115="","",IF(A1115="BL",IFERROR(INDEX(cl_name,MATCH(D1115,cl_code,0))&amp;"","Client inconnu"),IF(A1115="BR",IFERROR(INDEX(fo_name,MATCH(D1115,fo_code,0))&amp;"","Fournisseur inconnu"),IF(A1115="BS",IF(ISNA(MATCH(D1115,p_services,0)),"Service inconnu",D1115&amp;""),""))))</f>
        <v/>
      </c>
      <c r="F1115" s="58" t="n"/>
      <c r="G1115" s="58" t="n"/>
      <c r="H1115" s="59" t="n"/>
      <c r="I1115" s="57" t="str">
        <f>IF(H1115="","",IFERROR(INDEX(art_des,MATCH(H1115,art_ref,0))&amp;"","Article inconnu"))</f>
        <v/>
      </c>
      <c r="J1115" s="60" t="str">
        <f>IF(H1115="","",IFERROR(INDEX(art_unit,MATCH(H1115,art_ref,0))&amp;"",""))</f>
        <v/>
      </c>
      <c r="K1115" s="59" t="n"/>
      <c r="L1115" s="59" t="n"/>
      <c r="M1115" s="61" t="str">
        <f>IF(OR(B1115="",NOT(ISNUMBER(K1115)),NOT(ISNUMBER(L1115))),"",IF(OR(K1115&lt;=0,L1115&lt;=0),"",ROUND(L1115-K1115,6)))</f>
        <v/>
      </c>
      <c r="N1115" s="58" t="n"/>
      <c r="O1115" s="62" t="n"/>
      <c r="P1115" s="63" t="str">
        <f>IF(OR(B1115="",NOT(ISNUMBER(L1115))),"",IF(L1115&lt;=0,"",IFERROR(ROUND(L1115*N(INDEX(art_w,MATCH(H1115,art_ref,0))),3),"")))</f>
        <v/>
      </c>
      <c r="Q1115" s="59" t="n"/>
      <c r="R1115" s="54" t="n"/>
      <c r="S1115" s="59" t="n"/>
      <c r="T1115" s="59" t="n"/>
      <c r="U1115" s="64" t="str">
        <f>IF(OR(B1115="",H1115=""),"",IFERROR(IF(A1115="BL",IF(N(INDEX(art_price,MATCH(H1115,art_ref,0)))=0,"",N(INDEX(art_price,MATCH(H1115,art_ref,0)))),IF(N(INDEX(art_cost,MATCH(H1115,art_ref,0)))=0,"",N(INDEX(art_cost,MATCH(H1115,art_ref,0))))),""))</f>
        <v/>
      </c>
      <c r="V1115" s="64" t="str">
        <f>IF(OR(U1115="",NOT(ISNUMBER(L1115))),"",IF(L1115&lt;=0,"",ROUND(L1115*U1115,2)))</f>
        <v/>
      </c>
      <c r="W1115" s="60" t="str">
        <f>IF(AND(B1115&lt;&gt;"",A1115&lt;&gt;"BS",F1115&lt;&gt;"",H1115&lt;&gt;"",ISNUMBER(K1115),ISNUMBER(L1115)),IF(AND(K1115&gt;0,L1115&gt;0,K1115-L1115&gt;0,COUNTIFS(A1116:A$2005,A1115,F1116:F$2005,F1115,H1116:H$2005,H1115,AA1116:AA$2005,"&gt;0")=0),ROUND(K1115-L1115,6),""),"")</f>
        <v/>
      </c>
      <c r="X1115" s="60" t="str">
        <f>IF(AND(A1115="",C1115="",D1115="",H1115="",L1115=""),"",IF(A1115="","Type manquant",IF(AND(A1115&lt;&gt;"BL",A1115&lt;&gt;"BR",A1115&lt;&gt;"BS"),"Type inconnu (BL, BR ou BS)",IF(AG1115=0,"Date manquante ou invalide",IF(D1115="",IF(A1115="BL","Client manquant",IF(A1115="BR","Fournisseur manquant","Service manquant")),IF(IF(A1115="BL",ISNA(MATCH(D1115,cl_code,0)),IF(A1115="BR",ISNA(MATCH(D1115,fo_code,0)),ISNA(MATCH(D1115,p_services,0)))),IF(A1115="BL","Client inconnu",IF(A1115="BR","Fournisseur inconnu","Service inconnu")),IF(H1115="","Article manquant",IF(ISNA(MATCH(H1115,art_ref,0)),"Article inconnu",IF(OR(NOT(ISNUMBER(L1115)),N(L1115)&lt;=0),"Quantité invalide",IF(AND(K1115&lt;&gt;"",OR(NOT(ISNUMBER(K1115)),N(K1115)&lt;=0)),"Qté commandée invalide",IF(AG1115&lt;SUMPRODUCT(MAX((A$6:A1114=A1115)*AG$6:AG1114)),"Date antérieure au bon précédent",IF(AND(A1115&lt;&gt;"BR",ISNUMBER(M1115),N(M1115)&gt;0),IF(A1115="BL","Livré plus que commandé","Sorti plus que demandé"),"OK"))))))))))))</f>
        <v/>
      </c>
      <c r="Y1115" s="57" t="str">
        <f>IF(AND(OR(A1115="BL",A1115="BR",A1115="BS"),AG1115&gt;0,D1115&lt;&gt;""),A1115&amp;"|"&amp;AG1115&amp;"|"&amp;D1115&amp;"|"&amp;F1115,"")</f>
        <v/>
      </c>
      <c r="Z1115" s="57" t="str">
        <f>IF(Y1115="","",IF(COUNTIF(Y$6:Y1114,Y1115)=0,1,0))</f>
        <v/>
      </c>
      <c r="AA1115" s="57" t="str">
        <f>IF(Y1115="","",IF(Z1115=1,COUNTIFS(A$6:A1115,A1115,Z$6:Z1115,1),INDEX(AA$6:AA1114,MATCH(Y1115,Y$6:Y1114,0))))</f>
        <v/>
      </c>
      <c r="AB1115" s="57" t="str">
        <f>IF(B1115="","",COUNTIF(B$6:B1115,B1115))</f>
        <v/>
      </c>
      <c r="AC1115" s="57" t="str">
        <f>IF(B1115="","",B1115&amp;"#"&amp;AB1115)</f>
        <v/>
      </c>
      <c r="AD1115" s="57" t="str">
        <f>IF(Z1115=1,A1115&amp;AA1115,"")</f>
        <v/>
      </c>
      <c r="AE1115" s="57" t="str">
        <f>IF(B1115="","",YEAR(C1115))</f>
        <v/>
      </c>
      <c r="AF1115" s="57" t="str">
        <f>IF(B1115="","",MONTH(C1115))</f>
        <v/>
      </c>
      <c r="AG1115" s="57">
        <f>IF(ISNUMBER(C1115),C1115,0)</f>
        <v>0.0</v>
      </c>
      <c r="AH1115" s="57" t="str">
        <f>IF(N(W1115)&gt;0,COUNTIF(W$6:W1115,"&gt;0"),"")</f>
        <v/>
      </c>
      <c r="AI1115" s="57" t="str">
        <f>IF(Z1115=1,COUNTIF(Z$6:Z1115,1),"")</f>
        <v/>
      </c>
    </row>
    <row r="1116">
      <c r="A1116" s="54" t="n"/>
      <c r="B1116" s="55" t="str">
        <f>IF(AA1116="","",A1116&amp;"-"&amp;RIGHT("000"&amp;AA1116,4))</f>
        <v/>
      </c>
      <c r="C1116" s="56" t="n"/>
      <c r="D1116" s="54" t="n"/>
      <c r="E1116" s="57" t="str">
        <f>IF(D1116="","",IF(A1116="BL",IFERROR(INDEX(cl_name,MATCH(D1116,cl_code,0))&amp;"","Client inconnu"),IF(A1116="BR",IFERROR(INDEX(fo_name,MATCH(D1116,fo_code,0))&amp;"","Fournisseur inconnu"),IF(A1116="BS",IF(ISNA(MATCH(D1116,p_services,0)),"Service inconnu",D1116&amp;""),""))))</f>
        <v/>
      </c>
      <c r="F1116" s="58" t="n"/>
      <c r="G1116" s="58" t="n"/>
      <c r="H1116" s="59" t="n"/>
      <c r="I1116" s="57" t="str">
        <f>IF(H1116="","",IFERROR(INDEX(art_des,MATCH(H1116,art_ref,0))&amp;"","Article inconnu"))</f>
        <v/>
      </c>
      <c r="J1116" s="60" t="str">
        <f>IF(H1116="","",IFERROR(INDEX(art_unit,MATCH(H1116,art_ref,0))&amp;"",""))</f>
        <v/>
      </c>
      <c r="K1116" s="59" t="n"/>
      <c r="L1116" s="59" t="n"/>
      <c r="M1116" s="61" t="str">
        <f>IF(OR(B1116="",NOT(ISNUMBER(K1116)),NOT(ISNUMBER(L1116))),"",IF(OR(K1116&lt;=0,L1116&lt;=0),"",ROUND(L1116-K1116,6)))</f>
        <v/>
      </c>
      <c r="N1116" s="58" t="n"/>
      <c r="O1116" s="62" t="n"/>
      <c r="P1116" s="63" t="str">
        <f>IF(OR(B1116="",NOT(ISNUMBER(L1116))),"",IF(L1116&lt;=0,"",IFERROR(ROUND(L1116*N(INDEX(art_w,MATCH(H1116,art_ref,0))),3),"")))</f>
        <v/>
      </c>
      <c r="Q1116" s="59" t="n"/>
      <c r="R1116" s="54" t="n"/>
      <c r="S1116" s="59" t="n"/>
      <c r="T1116" s="59" t="n"/>
      <c r="U1116" s="64" t="str">
        <f>IF(OR(B1116="",H1116=""),"",IFERROR(IF(A1116="BL",IF(N(INDEX(art_price,MATCH(H1116,art_ref,0)))=0,"",N(INDEX(art_price,MATCH(H1116,art_ref,0)))),IF(N(INDEX(art_cost,MATCH(H1116,art_ref,0)))=0,"",N(INDEX(art_cost,MATCH(H1116,art_ref,0))))),""))</f>
        <v/>
      </c>
      <c r="V1116" s="64" t="str">
        <f>IF(OR(U1116="",NOT(ISNUMBER(L1116))),"",IF(L1116&lt;=0,"",ROUND(L1116*U1116,2)))</f>
        <v/>
      </c>
      <c r="W1116" s="60" t="str">
        <f>IF(AND(B1116&lt;&gt;"",A1116&lt;&gt;"BS",F1116&lt;&gt;"",H1116&lt;&gt;"",ISNUMBER(K1116),ISNUMBER(L1116)),IF(AND(K1116&gt;0,L1116&gt;0,K1116-L1116&gt;0,COUNTIFS(A1117:A$2005,A1116,F1117:F$2005,F1116,H1117:H$2005,H1116,AA1117:AA$2005,"&gt;0")=0),ROUND(K1116-L1116,6),""),"")</f>
        <v/>
      </c>
      <c r="X1116" s="60" t="str">
        <f>IF(AND(A1116="",C1116="",D1116="",H1116="",L1116=""),"",IF(A1116="","Type manquant",IF(AND(A1116&lt;&gt;"BL",A1116&lt;&gt;"BR",A1116&lt;&gt;"BS"),"Type inconnu (BL, BR ou BS)",IF(AG1116=0,"Date manquante ou invalide",IF(D1116="",IF(A1116="BL","Client manquant",IF(A1116="BR","Fournisseur manquant","Service manquant")),IF(IF(A1116="BL",ISNA(MATCH(D1116,cl_code,0)),IF(A1116="BR",ISNA(MATCH(D1116,fo_code,0)),ISNA(MATCH(D1116,p_services,0)))),IF(A1116="BL","Client inconnu",IF(A1116="BR","Fournisseur inconnu","Service inconnu")),IF(H1116="","Article manquant",IF(ISNA(MATCH(H1116,art_ref,0)),"Article inconnu",IF(OR(NOT(ISNUMBER(L1116)),N(L1116)&lt;=0),"Quantité invalide",IF(AND(K1116&lt;&gt;"",OR(NOT(ISNUMBER(K1116)),N(K1116)&lt;=0)),"Qté commandée invalide",IF(AG1116&lt;SUMPRODUCT(MAX((A$6:A1115=A1116)*AG$6:AG1115)),"Date antérieure au bon précédent",IF(AND(A1116&lt;&gt;"BR",ISNUMBER(M1116),N(M1116)&gt;0),IF(A1116="BL","Livré plus que commandé","Sorti plus que demandé"),"OK"))))))))))))</f>
        <v/>
      </c>
      <c r="Y1116" s="57" t="str">
        <f>IF(AND(OR(A1116="BL",A1116="BR",A1116="BS"),AG1116&gt;0,D1116&lt;&gt;""),A1116&amp;"|"&amp;AG1116&amp;"|"&amp;D1116&amp;"|"&amp;F1116,"")</f>
        <v/>
      </c>
      <c r="Z1116" s="57" t="str">
        <f>IF(Y1116="","",IF(COUNTIF(Y$6:Y1115,Y1116)=0,1,0))</f>
        <v/>
      </c>
      <c r="AA1116" s="57" t="str">
        <f>IF(Y1116="","",IF(Z1116=1,COUNTIFS(A$6:A1116,A1116,Z$6:Z1116,1),INDEX(AA$6:AA1115,MATCH(Y1116,Y$6:Y1115,0))))</f>
        <v/>
      </c>
      <c r="AB1116" s="57" t="str">
        <f>IF(B1116="","",COUNTIF(B$6:B1116,B1116))</f>
        <v/>
      </c>
      <c r="AC1116" s="57" t="str">
        <f>IF(B1116="","",B1116&amp;"#"&amp;AB1116)</f>
        <v/>
      </c>
      <c r="AD1116" s="57" t="str">
        <f>IF(Z1116=1,A1116&amp;AA1116,"")</f>
        <v/>
      </c>
      <c r="AE1116" s="57" t="str">
        <f>IF(B1116="","",YEAR(C1116))</f>
        <v/>
      </c>
      <c r="AF1116" s="57" t="str">
        <f>IF(B1116="","",MONTH(C1116))</f>
        <v/>
      </c>
      <c r="AG1116" s="57">
        <f>IF(ISNUMBER(C1116),C1116,0)</f>
        <v>0.0</v>
      </c>
      <c r="AH1116" s="57" t="str">
        <f>IF(N(W1116)&gt;0,COUNTIF(W$6:W1116,"&gt;0"),"")</f>
        <v/>
      </c>
      <c r="AI1116" s="57" t="str">
        <f>IF(Z1116=1,COUNTIF(Z$6:Z1116,1),"")</f>
        <v/>
      </c>
    </row>
    <row r="1117">
      <c r="A1117" s="54" t="n"/>
      <c r="B1117" s="55" t="str">
        <f>IF(AA1117="","",A1117&amp;"-"&amp;RIGHT("000"&amp;AA1117,4))</f>
        <v/>
      </c>
      <c r="C1117" s="56" t="n"/>
      <c r="D1117" s="54" t="n"/>
      <c r="E1117" s="57" t="str">
        <f>IF(D1117="","",IF(A1117="BL",IFERROR(INDEX(cl_name,MATCH(D1117,cl_code,0))&amp;"","Client inconnu"),IF(A1117="BR",IFERROR(INDEX(fo_name,MATCH(D1117,fo_code,0))&amp;"","Fournisseur inconnu"),IF(A1117="BS",IF(ISNA(MATCH(D1117,p_services,0)),"Service inconnu",D1117&amp;""),""))))</f>
        <v/>
      </c>
      <c r="F1117" s="58" t="n"/>
      <c r="G1117" s="58" t="n"/>
      <c r="H1117" s="59" t="n"/>
      <c r="I1117" s="57" t="str">
        <f>IF(H1117="","",IFERROR(INDEX(art_des,MATCH(H1117,art_ref,0))&amp;"","Article inconnu"))</f>
        <v/>
      </c>
      <c r="J1117" s="60" t="str">
        <f>IF(H1117="","",IFERROR(INDEX(art_unit,MATCH(H1117,art_ref,0))&amp;"",""))</f>
        <v/>
      </c>
      <c r="K1117" s="59" t="n"/>
      <c r="L1117" s="59" t="n"/>
      <c r="M1117" s="61" t="str">
        <f>IF(OR(B1117="",NOT(ISNUMBER(K1117)),NOT(ISNUMBER(L1117))),"",IF(OR(K1117&lt;=0,L1117&lt;=0),"",ROUND(L1117-K1117,6)))</f>
        <v/>
      </c>
      <c r="N1117" s="58" t="n"/>
      <c r="O1117" s="62" t="n"/>
      <c r="P1117" s="63" t="str">
        <f>IF(OR(B1117="",NOT(ISNUMBER(L1117))),"",IF(L1117&lt;=0,"",IFERROR(ROUND(L1117*N(INDEX(art_w,MATCH(H1117,art_ref,0))),3),"")))</f>
        <v/>
      </c>
      <c r="Q1117" s="59" t="n"/>
      <c r="R1117" s="54" t="n"/>
      <c r="S1117" s="59" t="n"/>
      <c r="T1117" s="59" t="n"/>
      <c r="U1117" s="64" t="str">
        <f>IF(OR(B1117="",H1117=""),"",IFERROR(IF(A1117="BL",IF(N(INDEX(art_price,MATCH(H1117,art_ref,0)))=0,"",N(INDEX(art_price,MATCH(H1117,art_ref,0)))),IF(N(INDEX(art_cost,MATCH(H1117,art_ref,0)))=0,"",N(INDEX(art_cost,MATCH(H1117,art_ref,0))))),""))</f>
        <v/>
      </c>
      <c r="V1117" s="64" t="str">
        <f>IF(OR(U1117="",NOT(ISNUMBER(L1117))),"",IF(L1117&lt;=0,"",ROUND(L1117*U1117,2)))</f>
        <v/>
      </c>
      <c r="W1117" s="60" t="str">
        <f>IF(AND(B1117&lt;&gt;"",A1117&lt;&gt;"BS",F1117&lt;&gt;"",H1117&lt;&gt;"",ISNUMBER(K1117),ISNUMBER(L1117)),IF(AND(K1117&gt;0,L1117&gt;0,K1117-L1117&gt;0,COUNTIFS(A1118:A$2005,A1117,F1118:F$2005,F1117,H1118:H$2005,H1117,AA1118:AA$2005,"&gt;0")=0),ROUND(K1117-L1117,6),""),"")</f>
        <v/>
      </c>
      <c r="X1117" s="60" t="str">
        <f>IF(AND(A1117="",C1117="",D1117="",H1117="",L1117=""),"",IF(A1117="","Type manquant",IF(AND(A1117&lt;&gt;"BL",A1117&lt;&gt;"BR",A1117&lt;&gt;"BS"),"Type inconnu (BL, BR ou BS)",IF(AG1117=0,"Date manquante ou invalide",IF(D1117="",IF(A1117="BL","Client manquant",IF(A1117="BR","Fournisseur manquant","Service manquant")),IF(IF(A1117="BL",ISNA(MATCH(D1117,cl_code,0)),IF(A1117="BR",ISNA(MATCH(D1117,fo_code,0)),ISNA(MATCH(D1117,p_services,0)))),IF(A1117="BL","Client inconnu",IF(A1117="BR","Fournisseur inconnu","Service inconnu")),IF(H1117="","Article manquant",IF(ISNA(MATCH(H1117,art_ref,0)),"Article inconnu",IF(OR(NOT(ISNUMBER(L1117)),N(L1117)&lt;=0),"Quantité invalide",IF(AND(K1117&lt;&gt;"",OR(NOT(ISNUMBER(K1117)),N(K1117)&lt;=0)),"Qté commandée invalide",IF(AG1117&lt;SUMPRODUCT(MAX((A$6:A1116=A1117)*AG$6:AG1116)),"Date antérieure au bon précédent",IF(AND(A1117&lt;&gt;"BR",ISNUMBER(M1117),N(M1117)&gt;0),IF(A1117="BL","Livré plus que commandé","Sorti plus que demandé"),"OK"))))))))))))</f>
        <v/>
      </c>
      <c r="Y1117" s="57" t="str">
        <f>IF(AND(OR(A1117="BL",A1117="BR",A1117="BS"),AG1117&gt;0,D1117&lt;&gt;""),A1117&amp;"|"&amp;AG1117&amp;"|"&amp;D1117&amp;"|"&amp;F1117,"")</f>
        <v/>
      </c>
      <c r="Z1117" s="57" t="str">
        <f>IF(Y1117="","",IF(COUNTIF(Y$6:Y1116,Y1117)=0,1,0))</f>
        <v/>
      </c>
      <c r="AA1117" s="57" t="str">
        <f>IF(Y1117="","",IF(Z1117=1,COUNTIFS(A$6:A1117,A1117,Z$6:Z1117,1),INDEX(AA$6:AA1116,MATCH(Y1117,Y$6:Y1116,0))))</f>
        <v/>
      </c>
      <c r="AB1117" s="57" t="str">
        <f>IF(B1117="","",COUNTIF(B$6:B1117,B1117))</f>
        <v/>
      </c>
      <c r="AC1117" s="57" t="str">
        <f>IF(B1117="","",B1117&amp;"#"&amp;AB1117)</f>
        <v/>
      </c>
      <c r="AD1117" s="57" t="str">
        <f>IF(Z1117=1,A1117&amp;AA1117,"")</f>
        <v/>
      </c>
      <c r="AE1117" s="57" t="str">
        <f>IF(B1117="","",YEAR(C1117))</f>
        <v/>
      </c>
      <c r="AF1117" s="57" t="str">
        <f>IF(B1117="","",MONTH(C1117))</f>
        <v/>
      </c>
      <c r="AG1117" s="57">
        <f>IF(ISNUMBER(C1117),C1117,0)</f>
        <v>0.0</v>
      </c>
      <c r="AH1117" s="57" t="str">
        <f>IF(N(W1117)&gt;0,COUNTIF(W$6:W1117,"&gt;0"),"")</f>
        <v/>
      </c>
      <c r="AI1117" s="57" t="str">
        <f>IF(Z1117=1,COUNTIF(Z$6:Z1117,1),"")</f>
        <v/>
      </c>
    </row>
    <row r="1118">
      <c r="A1118" s="54" t="n"/>
      <c r="B1118" s="55" t="str">
        <f>IF(AA1118="","",A1118&amp;"-"&amp;RIGHT("000"&amp;AA1118,4))</f>
        <v/>
      </c>
      <c r="C1118" s="56" t="n"/>
      <c r="D1118" s="54" t="n"/>
      <c r="E1118" s="57" t="str">
        <f>IF(D1118="","",IF(A1118="BL",IFERROR(INDEX(cl_name,MATCH(D1118,cl_code,0))&amp;"","Client inconnu"),IF(A1118="BR",IFERROR(INDEX(fo_name,MATCH(D1118,fo_code,0))&amp;"","Fournisseur inconnu"),IF(A1118="BS",IF(ISNA(MATCH(D1118,p_services,0)),"Service inconnu",D1118&amp;""),""))))</f>
        <v/>
      </c>
      <c r="F1118" s="58" t="n"/>
      <c r="G1118" s="58" t="n"/>
      <c r="H1118" s="59" t="n"/>
      <c r="I1118" s="57" t="str">
        <f>IF(H1118="","",IFERROR(INDEX(art_des,MATCH(H1118,art_ref,0))&amp;"","Article inconnu"))</f>
        <v/>
      </c>
      <c r="J1118" s="60" t="str">
        <f>IF(H1118="","",IFERROR(INDEX(art_unit,MATCH(H1118,art_ref,0))&amp;"",""))</f>
        <v/>
      </c>
      <c r="K1118" s="59" t="n"/>
      <c r="L1118" s="59" t="n"/>
      <c r="M1118" s="61" t="str">
        <f>IF(OR(B1118="",NOT(ISNUMBER(K1118)),NOT(ISNUMBER(L1118))),"",IF(OR(K1118&lt;=0,L1118&lt;=0),"",ROUND(L1118-K1118,6)))</f>
        <v/>
      </c>
      <c r="N1118" s="58" t="n"/>
      <c r="O1118" s="62" t="n"/>
      <c r="P1118" s="63" t="str">
        <f>IF(OR(B1118="",NOT(ISNUMBER(L1118))),"",IF(L1118&lt;=0,"",IFERROR(ROUND(L1118*N(INDEX(art_w,MATCH(H1118,art_ref,0))),3),"")))</f>
        <v/>
      </c>
      <c r="Q1118" s="59" t="n"/>
      <c r="R1118" s="54" t="n"/>
      <c r="S1118" s="59" t="n"/>
      <c r="T1118" s="59" t="n"/>
      <c r="U1118" s="64" t="str">
        <f>IF(OR(B1118="",H1118=""),"",IFERROR(IF(A1118="BL",IF(N(INDEX(art_price,MATCH(H1118,art_ref,0)))=0,"",N(INDEX(art_price,MATCH(H1118,art_ref,0)))),IF(N(INDEX(art_cost,MATCH(H1118,art_ref,0)))=0,"",N(INDEX(art_cost,MATCH(H1118,art_ref,0))))),""))</f>
        <v/>
      </c>
      <c r="V1118" s="64" t="str">
        <f>IF(OR(U1118="",NOT(ISNUMBER(L1118))),"",IF(L1118&lt;=0,"",ROUND(L1118*U1118,2)))</f>
        <v/>
      </c>
      <c r="W1118" s="60" t="str">
        <f>IF(AND(B1118&lt;&gt;"",A1118&lt;&gt;"BS",F1118&lt;&gt;"",H1118&lt;&gt;"",ISNUMBER(K1118),ISNUMBER(L1118)),IF(AND(K1118&gt;0,L1118&gt;0,K1118-L1118&gt;0,COUNTIFS(A1119:A$2005,A1118,F1119:F$2005,F1118,H1119:H$2005,H1118,AA1119:AA$2005,"&gt;0")=0),ROUND(K1118-L1118,6),""),"")</f>
        <v/>
      </c>
      <c r="X1118" s="60" t="str">
        <f>IF(AND(A1118="",C1118="",D1118="",H1118="",L1118=""),"",IF(A1118="","Type manquant",IF(AND(A1118&lt;&gt;"BL",A1118&lt;&gt;"BR",A1118&lt;&gt;"BS"),"Type inconnu (BL, BR ou BS)",IF(AG1118=0,"Date manquante ou invalide",IF(D1118="",IF(A1118="BL","Client manquant",IF(A1118="BR","Fournisseur manquant","Service manquant")),IF(IF(A1118="BL",ISNA(MATCH(D1118,cl_code,0)),IF(A1118="BR",ISNA(MATCH(D1118,fo_code,0)),ISNA(MATCH(D1118,p_services,0)))),IF(A1118="BL","Client inconnu",IF(A1118="BR","Fournisseur inconnu","Service inconnu")),IF(H1118="","Article manquant",IF(ISNA(MATCH(H1118,art_ref,0)),"Article inconnu",IF(OR(NOT(ISNUMBER(L1118)),N(L1118)&lt;=0),"Quantité invalide",IF(AND(K1118&lt;&gt;"",OR(NOT(ISNUMBER(K1118)),N(K1118)&lt;=0)),"Qté commandée invalide",IF(AG1118&lt;SUMPRODUCT(MAX((A$6:A1117=A1118)*AG$6:AG1117)),"Date antérieure au bon précédent",IF(AND(A1118&lt;&gt;"BR",ISNUMBER(M1118),N(M1118)&gt;0),IF(A1118="BL","Livré plus que commandé","Sorti plus que demandé"),"OK"))))))))))))</f>
        <v/>
      </c>
      <c r="Y1118" s="57" t="str">
        <f>IF(AND(OR(A1118="BL",A1118="BR",A1118="BS"),AG1118&gt;0,D1118&lt;&gt;""),A1118&amp;"|"&amp;AG1118&amp;"|"&amp;D1118&amp;"|"&amp;F1118,"")</f>
        <v/>
      </c>
      <c r="Z1118" s="57" t="str">
        <f>IF(Y1118="","",IF(COUNTIF(Y$6:Y1117,Y1118)=0,1,0))</f>
        <v/>
      </c>
      <c r="AA1118" s="57" t="str">
        <f>IF(Y1118="","",IF(Z1118=1,COUNTIFS(A$6:A1118,A1118,Z$6:Z1118,1),INDEX(AA$6:AA1117,MATCH(Y1118,Y$6:Y1117,0))))</f>
        <v/>
      </c>
      <c r="AB1118" s="57" t="str">
        <f>IF(B1118="","",COUNTIF(B$6:B1118,B1118))</f>
        <v/>
      </c>
      <c r="AC1118" s="57" t="str">
        <f>IF(B1118="","",B1118&amp;"#"&amp;AB1118)</f>
        <v/>
      </c>
      <c r="AD1118" s="57" t="str">
        <f>IF(Z1118=1,A1118&amp;AA1118,"")</f>
        <v/>
      </c>
      <c r="AE1118" s="57" t="str">
        <f>IF(B1118="","",YEAR(C1118))</f>
        <v/>
      </c>
      <c r="AF1118" s="57" t="str">
        <f>IF(B1118="","",MONTH(C1118))</f>
        <v/>
      </c>
      <c r="AG1118" s="57">
        <f>IF(ISNUMBER(C1118),C1118,0)</f>
        <v>0.0</v>
      </c>
      <c r="AH1118" s="57" t="str">
        <f>IF(N(W1118)&gt;0,COUNTIF(W$6:W1118,"&gt;0"),"")</f>
        <v/>
      </c>
      <c r="AI1118" s="57" t="str">
        <f>IF(Z1118=1,COUNTIF(Z$6:Z1118,1),"")</f>
        <v/>
      </c>
    </row>
    <row r="1119">
      <c r="A1119" s="54" t="n"/>
      <c r="B1119" s="55" t="str">
        <f>IF(AA1119="","",A1119&amp;"-"&amp;RIGHT("000"&amp;AA1119,4))</f>
        <v/>
      </c>
      <c r="C1119" s="56" t="n"/>
      <c r="D1119" s="54" t="n"/>
      <c r="E1119" s="57" t="str">
        <f>IF(D1119="","",IF(A1119="BL",IFERROR(INDEX(cl_name,MATCH(D1119,cl_code,0))&amp;"","Client inconnu"),IF(A1119="BR",IFERROR(INDEX(fo_name,MATCH(D1119,fo_code,0))&amp;"","Fournisseur inconnu"),IF(A1119="BS",IF(ISNA(MATCH(D1119,p_services,0)),"Service inconnu",D1119&amp;""),""))))</f>
        <v/>
      </c>
      <c r="F1119" s="58" t="n"/>
      <c r="G1119" s="58" t="n"/>
      <c r="H1119" s="59" t="n"/>
      <c r="I1119" s="57" t="str">
        <f>IF(H1119="","",IFERROR(INDEX(art_des,MATCH(H1119,art_ref,0))&amp;"","Article inconnu"))</f>
        <v/>
      </c>
      <c r="J1119" s="60" t="str">
        <f>IF(H1119="","",IFERROR(INDEX(art_unit,MATCH(H1119,art_ref,0))&amp;"",""))</f>
        <v/>
      </c>
      <c r="K1119" s="59" t="n"/>
      <c r="L1119" s="59" t="n"/>
      <c r="M1119" s="61" t="str">
        <f>IF(OR(B1119="",NOT(ISNUMBER(K1119)),NOT(ISNUMBER(L1119))),"",IF(OR(K1119&lt;=0,L1119&lt;=0),"",ROUND(L1119-K1119,6)))</f>
        <v/>
      </c>
      <c r="N1119" s="58" t="n"/>
      <c r="O1119" s="62" t="n"/>
      <c r="P1119" s="63" t="str">
        <f>IF(OR(B1119="",NOT(ISNUMBER(L1119))),"",IF(L1119&lt;=0,"",IFERROR(ROUND(L1119*N(INDEX(art_w,MATCH(H1119,art_ref,0))),3),"")))</f>
        <v/>
      </c>
      <c r="Q1119" s="59" t="n"/>
      <c r="R1119" s="54" t="n"/>
      <c r="S1119" s="59" t="n"/>
      <c r="T1119" s="59" t="n"/>
      <c r="U1119" s="64" t="str">
        <f>IF(OR(B1119="",H1119=""),"",IFERROR(IF(A1119="BL",IF(N(INDEX(art_price,MATCH(H1119,art_ref,0)))=0,"",N(INDEX(art_price,MATCH(H1119,art_ref,0)))),IF(N(INDEX(art_cost,MATCH(H1119,art_ref,0)))=0,"",N(INDEX(art_cost,MATCH(H1119,art_ref,0))))),""))</f>
        <v/>
      </c>
      <c r="V1119" s="64" t="str">
        <f>IF(OR(U1119="",NOT(ISNUMBER(L1119))),"",IF(L1119&lt;=0,"",ROUND(L1119*U1119,2)))</f>
        <v/>
      </c>
      <c r="W1119" s="60" t="str">
        <f>IF(AND(B1119&lt;&gt;"",A1119&lt;&gt;"BS",F1119&lt;&gt;"",H1119&lt;&gt;"",ISNUMBER(K1119),ISNUMBER(L1119)),IF(AND(K1119&gt;0,L1119&gt;0,K1119-L1119&gt;0,COUNTIFS(A1120:A$2005,A1119,F1120:F$2005,F1119,H1120:H$2005,H1119,AA1120:AA$2005,"&gt;0")=0),ROUND(K1119-L1119,6),""),"")</f>
        <v/>
      </c>
      <c r="X1119" s="60" t="str">
        <f>IF(AND(A1119="",C1119="",D1119="",H1119="",L1119=""),"",IF(A1119="","Type manquant",IF(AND(A1119&lt;&gt;"BL",A1119&lt;&gt;"BR",A1119&lt;&gt;"BS"),"Type inconnu (BL, BR ou BS)",IF(AG1119=0,"Date manquante ou invalide",IF(D1119="",IF(A1119="BL","Client manquant",IF(A1119="BR","Fournisseur manquant","Service manquant")),IF(IF(A1119="BL",ISNA(MATCH(D1119,cl_code,0)),IF(A1119="BR",ISNA(MATCH(D1119,fo_code,0)),ISNA(MATCH(D1119,p_services,0)))),IF(A1119="BL","Client inconnu",IF(A1119="BR","Fournisseur inconnu","Service inconnu")),IF(H1119="","Article manquant",IF(ISNA(MATCH(H1119,art_ref,0)),"Article inconnu",IF(OR(NOT(ISNUMBER(L1119)),N(L1119)&lt;=0),"Quantité invalide",IF(AND(K1119&lt;&gt;"",OR(NOT(ISNUMBER(K1119)),N(K1119)&lt;=0)),"Qté commandée invalide",IF(AG1119&lt;SUMPRODUCT(MAX((A$6:A1118=A1119)*AG$6:AG1118)),"Date antérieure au bon précédent",IF(AND(A1119&lt;&gt;"BR",ISNUMBER(M1119),N(M1119)&gt;0),IF(A1119="BL","Livré plus que commandé","Sorti plus que demandé"),"OK"))))))))))))</f>
        <v/>
      </c>
      <c r="Y1119" s="57" t="str">
        <f>IF(AND(OR(A1119="BL",A1119="BR",A1119="BS"),AG1119&gt;0,D1119&lt;&gt;""),A1119&amp;"|"&amp;AG1119&amp;"|"&amp;D1119&amp;"|"&amp;F1119,"")</f>
        <v/>
      </c>
      <c r="Z1119" s="57" t="str">
        <f>IF(Y1119="","",IF(COUNTIF(Y$6:Y1118,Y1119)=0,1,0))</f>
        <v/>
      </c>
      <c r="AA1119" s="57" t="str">
        <f>IF(Y1119="","",IF(Z1119=1,COUNTIFS(A$6:A1119,A1119,Z$6:Z1119,1),INDEX(AA$6:AA1118,MATCH(Y1119,Y$6:Y1118,0))))</f>
        <v/>
      </c>
      <c r="AB1119" s="57" t="str">
        <f>IF(B1119="","",COUNTIF(B$6:B1119,B1119))</f>
        <v/>
      </c>
      <c r="AC1119" s="57" t="str">
        <f>IF(B1119="","",B1119&amp;"#"&amp;AB1119)</f>
        <v/>
      </c>
      <c r="AD1119" s="57" t="str">
        <f>IF(Z1119=1,A1119&amp;AA1119,"")</f>
        <v/>
      </c>
      <c r="AE1119" s="57" t="str">
        <f>IF(B1119="","",YEAR(C1119))</f>
        <v/>
      </c>
      <c r="AF1119" s="57" t="str">
        <f>IF(B1119="","",MONTH(C1119))</f>
        <v/>
      </c>
      <c r="AG1119" s="57">
        <f>IF(ISNUMBER(C1119),C1119,0)</f>
        <v>0.0</v>
      </c>
      <c r="AH1119" s="57" t="str">
        <f>IF(N(W1119)&gt;0,COUNTIF(W$6:W1119,"&gt;0"),"")</f>
        <v/>
      </c>
      <c r="AI1119" s="57" t="str">
        <f>IF(Z1119=1,COUNTIF(Z$6:Z1119,1),"")</f>
        <v/>
      </c>
    </row>
    <row r="1120">
      <c r="A1120" s="54" t="n"/>
      <c r="B1120" s="55" t="str">
        <f>IF(AA1120="","",A1120&amp;"-"&amp;RIGHT("000"&amp;AA1120,4))</f>
        <v/>
      </c>
      <c r="C1120" s="56" t="n"/>
      <c r="D1120" s="54" t="n"/>
      <c r="E1120" s="57" t="str">
        <f>IF(D1120="","",IF(A1120="BL",IFERROR(INDEX(cl_name,MATCH(D1120,cl_code,0))&amp;"","Client inconnu"),IF(A1120="BR",IFERROR(INDEX(fo_name,MATCH(D1120,fo_code,0))&amp;"","Fournisseur inconnu"),IF(A1120="BS",IF(ISNA(MATCH(D1120,p_services,0)),"Service inconnu",D1120&amp;""),""))))</f>
        <v/>
      </c>
      <c r="F1120" s="58" t="n"/>
      <c r="G1120" s="58" t="n"/>
      <c r="H1120" s="59" t="n"/>
      <c r="I1120" s="57" t="str">
        <f>IF(H1120="","",IFERROR(INDEX(art_des,MATCH(H1120,art_ref,0))&amp;"","Article inconnu"))</f>
        <v/>
      </c>
      <c r="J1120" s="60" t="str">
        <f>IF(H1120="","",IFERROR(INDEX(art_unit,MATCH(H1120,art_ref,0))&amp;"",""))</f>
        <v/>
      </c>
      <c r="K1120" s="59" t="n"/>
      <c r="L1120" s="59" t="n"/>
      <c r="M1120" s="61" t="str">
        <f>IF(OR(B1120="",NOT(ISNUMBER(K1120)),NOT(ISNUMBER(L1120))),"",IF(OR(K1120&lt;=0,L1120&lt;=0),"",ROUND(L1120-K1120,6)))</f>
        <v/>
      </c>
      <c r="N1120" s="58" t="n"/>
      <c r="O1120" s="62" t="n"/>
      <c r="P1120" s="63" t="str">
        <f>IF(OR(B1120="",NOT(ISNUMBER(L1120))),"",IF(L1120&lt;=0,"",IFERROR(ROUND(L1120*N(INDEX(art_w,MATCH(H1120,art_ref,0))),3),"")))</f>
        <v/>
      </c>
      <c r="Q1120" s="59" t="n"/>
      <c r="R1120" s="54" t="n"/>
      <c r="S1120" s="59" t="n"/>
      <c r="T1120" s="59" t="n"/>
      <c r="U1120" s="64" t="str">
        <f>IF(OR(B1120="",H1120=""),"",IFERROR(IF(A1120="BL",IF(N(INDEX(art_price,MATCH(H1120,art_ref,0)))=0,"",N(INDEX(art_price,MATCH(H1120,art_ref,0)))),IF(N(INDEX(art_cost,MATCH(H1120,art_ref,0)))=0,"",N(INDEX(art_cost,MATCH(H1120,art_ref,0))))),""))</f>
        <v/>
      </c>
      <c r="V1120" s="64" t="str">
        <f>IF(OR(U1120="",NOT(ISNUMBER(L1120))),"",IF(L1120&lt;=0,"",ROUND(L1120*U1120,2)))</f>
        <v/>
      </c>
      <c r="W1120" s="60" t="str">
        <f>IF(AND(B1120&lt;&gt;"",A1120&lt;&gt;"BS",F1120&lt;&gt;"",H1120&lt;&gt;"",ISNUMBER(K1120),ISNUMBER(L1120)),IF(AND(K1120&gt;0,L1120&gt;0,K1120-L1120&gt;0,COUNTIFS(A1121:A$2005,A1120,F1121:F$2005,F1120,H1121:H$2005,H1120,AA1121:AA$2005,"&gt;0")=0),ROUND(K1120-L1120,6),""),"")</f>
        <v/>
      </c>
      <c r="X1120" s="60" t="str">
        <f>IF(AND(A1120="",C1120="",D1120="",H1120="",L1120=""),"",IF(A1120="","Type manquant",IF(AND(A1120&lt;&gt;"BL",A1120&lt;&gt;"BR",A1120&lt;&gt;"BS"),"Type inconnu (BL, BR ou BS)",IF(AG1120=0,"Date manquante ou invalide",IF(D1120="",IF(A1120="BL","Client manquant",IF(A1120="BR","Fournisseur manquant","Service manquant")),IF(IF(A1120="BL",ISNA(MATCH(D1120,cl_code,0)),IF(A1120="BR",ISNA(MATCH(D1120,fo_code,0)),ISNA(MATCH(D1120,p_services,0)))),IF(A1120="BL","Client inconnu",IF(A1120="BR","Fournisseur inconnu","Service inconnu")),IF(H1120="","Article manquant",IF(ISNA(MATCH(H1120,art_ref,0)),"Article inconnu",IF(OR(NOT(ISNUMBER(L1120)),N(L1120)&lt;=0),"Quantité invalide",IF(AND(K1120&lt;&gt;"",OR(NOT(ISNUMBER(K1120)),N(K1120)&lt;=0)),"Qté commandée invalide",IF(AG1120&lt;SUMPRODUCT(MAX((A$6:A1119=A1120)*AG$6:AG1119)),"Date antérieure au bon précédent",IF(AND(A1120&lt;&gt;"BR",ISNUMBER(M1120),N(M1120)&gt;0),IF(A1120="BL","Livré plus que commandé","Sorti plus que demandé"),"OK"))))))))))))</f>
        <v/>
      </c>
      <c r="Y1120" s="57" t="str">
        <f>IF(AND(OR(A1120="BL",A1120="BR",A1120="BS"),AG1120&gt;0,D1120&lt;&gt;""),A1120&amp;"|"&amp;AG1120&amp;"|"&amp;D1120&amp;"|"&amp;F1120,"")</f>
        <v/>
      </c>
      <c r="Z1120" s="57" t="str">
        <f>IF(Y1120="","",IF(COUNTIF(Y$6:Y1119,Y1120)=0,1,0))</f>
        <v/>
      </c>
      <c r="AA1120" s="57" t="str">
        <f>IF(Y1120="","",IF(Z1120=1,COUNTIFS(A$6:A1120,A1120,Z$6:Z1120,1),INDEX(AA$6:AA1119,MATCH(Y1120,Y$6:Y1119,0))))</f>
        <v/>
      </c>
      <c r="AB1120" s="57" t="str">
        <f>IF(B1120="","",COUNTIF(B$6:B1120,B1120))</f>
        <v/>
      </c>
      <c r="AC1120" s="57" t="str">
        <f>IF(B1120="","",B1120&amp;"#"&amp;AB1120)</f>
        <v/>
      </c>
      <c r="AD1120" s="57" t="str">
        <f>IF(Z1120=1,A1120&amp;AA1120,"")</f>
        <v/>
      </c>
      <c r="AE1120" s="57" t="str">
        <f>IF(B1120="","",YEAR(C1120))</f>
        <v/>
      </c>
      <c r="AF1120" s="57" t="str">
        <f>IF(B1120="","",MONTH(C1120))</f>
        <v/>
      </c>
      <c r="AG1120" s="57">
        <f>IF(ISNUMBER(C1120),C1120,0)</f>
        <v>0.0</v>
      </c>
      <c r="AH1120" s="57" t="str">
        <f>IF(N(W1120)&gt;0,COUNTIF(W$6:W1120,"&gt;0"),"")</f>
        <v/>
      </c>
      <c r="AI1120" s="57" t="str">
        <f>IF(Z1120=1,COUNTIF(Z$6:Z1120,1),"")</f>
        <v/>
      </c>
    </row>
    <row r="1121">
      <c r="A1121" s="54" t="n"/>
      <c r="B1121" s="55" t="str">
        <f>IF(AA1121="","",A1121&amp;"-"&amp;RIGHT("000"&amp;AA1121,4))</f>
        <v/>
      </c>
      <c r="C1121" s="56" t="n"/>
      <c r="D1121" s="54" t="n"/>
      <c r="E1121" s="57" t="str">
        <f>IF(D1121="","",IF(A1121="BL",IFERROR(INDEX(cl_name,MATCH(D1121,cl_code,0))&amp;"","Client inconnu"),IF(A1121="BR",IFERROR(INDEX(fo_name,MATCH(D1121,fo_code,0))&amp;"","Fournisseur inconnu"),IF(A1121="BS",IF(ISNA(MATCH(D1121,p_services,0)),"Service inconnu",D1121&amp;""),""))))</f>
        <v/>
      </c>
      <c r="F1121" s="58" t="n"/>
      <c r="G1121" s="58" t="n"/>
      <c r="H1121" s="59" t="n"/>
      <c r="I1121" s="57" t="str">
        <f>IF(H1121="","",IFERROR(INDEX(art_des,MATCH(H1121,art_ref,0))&amp;"","Article inconnu"))</f>
        <v/>
      </c>
      <c r="J1121" s="60" t="str">
        <f>IF(H1121="","",IFERROR(INDEX(art_unit,MATCH(H1121,art_ref,0))&amp;"",""))</f>
        <v/>
      </c>
      <c r="K1121" s="59" t="n"/>
      <c r="L1121" s="59" t="n"/>
      <c r="M1121" s="61" t="str">
        <f>IF(OR(B1121="",NOT(ISNUMBER(K1121)),NOT(ISNUMBER(L1121))),"",IF(OR(K1121&lt;=0,L1121&lt;=0),"",ROUND(L1121-K1121,6)))</f>
        <v/>
      </c>
      <c r="N1121" s="58" t="n"/>
      <c r="O1121" s="62" t="n"/>
      <c r="P1121" s="63" t="str">
        <f>IF(OR(B1121="",NOT(ISNUMBER(L1121))),"",IF(L1121&lt;=0,"",IFERROR(ROUND(L1121*N(INDEX(art_w,MATCH(H1121,art_ref,0))),3),"")))</f>
        <v/>
      </c>
      <c r="Q1121" s="59" t="n"/>
      <c r="R1121" s="54" t="n"/>
      <c r="S1121" s="59" t="n"/>
      <c r="T1121" s="59" t="n"/>
      <c r="U1121" s="64" t="str">
        <f>IF(OR(B1121="",H1121=""),"",IFERROR(IF(A1121="BL",IF(N(INDEX(art_price,MATCH(H1121,art_ref,0)))=0,"",N(INDEX(art_price,MATCH(H1121,art_ref,0)))),IF(N(INDEX(art_cost,MATCH(H1121,art_ref,0)))=0,"",N(INDEX(art_cost,MATCH(H1121,art_ref,0))))),""))</f>
        <v/>
      </c>
      <c r="V1121" s="64" t="str">
        <f>IF(OR(U1121="",NOT(ISNUMBER(L1121))),"",IF(L1121&lt;=0,"",ROUND(L1121*U1121,2)))</f>
        <v/>
      </c>
      <c r="W1121" s="60" t="str">
        <f>IF(AND(B1121&lt;&gt;"",A1121&lt;&gt;"BS",F1121&lt;&gt;"",H1121&lt;&gt;"",ISNUMBER(K1121),ISNUMBER(L1121)),IF(AND(K1121&gt;0,L1121&gt;0,K1121-L1121&gt;0,COUNTIFS(A1122:A$2005,A1121,F1122:F$2005,F1121,H1122:H$2005,H1121,AA1122:AA$2005,"&gt;0")=0),ROUND(K1121-L1121,6),""),"")</f>
        <v/>
      </c>
      <c r="X1121" s="60" t="str">
        <f>IF(AND(A1121="",C1121="",D1121="",H1121="",L1121=""),"",IF(A1121="","Type manquant",IF(AND(A1121&lt;&gt;"BL",A1121&lt;&gt;"BR",A1121&lt;&gt;"BS"),"Type inconnu (BL, BR ou BS)",IF(AG1121=0,"Date manquante ou invalide",IF(D1121="",IF(A1121="BL","Client manquant",IF(A1121="BR","Fournisseur manquant","Service manquant")),IF(IF(A1121="BL",ISNA(MATCH(D1121,cl_code,0)),IF(A1121="BR",ISNA(MATCH(D1121,fo_code,0)),ISNA(MATCH(D1121,p_services,0)))),IF(A1121="BL","Client inconnu",IF(A1121="BR","Fournisseur inconnu","Service inconnu")),IF(H1121="","Article manquant",IF(ISNA(MATCH(H1121,art_ref,0)),"Article inconnu",IF(OR(NOT(ISNUMBER(L1121)),N(L1121)&lt;=0),"Quantité invalide",IF(AND(K1121&lt;&gt;"",OR(NOT(ISNUMBER(K1121)),N(K1121)&lt;=0)),"Qté commandée invalide",IF(AG1121&lt;SUMPRODUCT(MAX((A$6:A1120=A1121)*AG$6:AG1120)),"Date antérieure au bon précédent",IF(AND(A1121&lt;&gt;"BR",ISNUMBER(M1121),N(M1121)&gt;0),IF(A1121="BL","Livré plus que commandé","Sorti plus que demandé"),"OK"))))))))))))</f>
        <v/>
      </c>
      <c r="Y1121" s="57" t="str">
        <f>IF(AND(OR(A1121="BL",A1121="BR",A1121="BS"),AG1121&gt;0,D1121&lt;&gt;""),A1121&amp;"|"&amp;AG1121&amp;"|"&amp;D1121&amp;"|"&amp;F1121,"")</f>
        <v/>
      </c>
      <c r="Z1121" s="57" t="str">
        <f>IF(Y1121="","",IF(COUNTIF(Y$6:Y1120,Y1121)=0,1,0))</f>
        <v/>
      </c>
      <c r="AA1121" s="57" t="str">
        <f>IF(Y1121="","",IF(Z1121=1,COUNTIFS(A$6:A1121,A1121,Z$6:Z1121,1),INDEX(AA$6:AA1120,MATCH(Y1121,Y$6:Y1120,0))))</f>
        <v/>
      </c>
      <c r="AB1121" s="57" t="str">
        <f>IF(B1121="","",COUNTIF(B$6:B1121,B1121))</f>
        <v/>
      </c>
      <c r="AC1121" s="57" t="str">
        <f>IF(B1121="","",B1121&amp;"#"&amp;AB1121)</f>
        <v/>
      </c>
      <c r="AD1121" s="57" t="str">
        <f>IF(Z1121=1,A1121&amp;AA1121,"")</f>
        <v/>
      </c>
      <c r="AE1121" s="57" t="str">
        <f>IF(B1121="","",YEAR(C1121))</f>
        <v/>
      </c>
      <c r="AF1121" s="57" t="str">
        <f>IF(B1121="","",MONTH(C1121))</f>
        <v/>
      </c>
      <c r="AG1121" s="57">
        <f>IF(ISNUMBER(C1121),C1121,0)</f>
        <v>0.0</v>
      </c>
      <c r="AH1121" s="57" t="str">
        <f>IF(N(W1121)&gt;0,COUNTIF(W$6:W1121,"&gt;0"),"")</f>
        <v/>
      </c>
      <c r="AI1121" s="57" t="str">
        <f>IF(Z1121=1,COUNTIF(Z$6:Z1121,1),"")</f>
        <v/>
      </c>
    </row>
    <row r="1122">
      <c r="A1122" s="54" t="n"/>
      <c r="B1122" s="55" t="str">
        <f>IF(AA1122="","",A1122&amp;"-"&amp;RIGHT("000"&amp;AA1122,4))</f>
        <v/>
      </c>
      <c r="C1122" s="56" t="n"/>
      <c r="D1122" s="54" t="n"/>
      <c r="E1122" s="57" t="str">
        <f>IF(D1122="","",IF(A1122="BL",IFERROR(INDEX(cl_name,MATCH(D1122,cl_code,0))&amp;"","Client inconnu"),IF(A1122="BR",IFERROR(INDEX(fo_name,MATCH(D1122,fo_code,0))&amp;"","Fournisseur inconnu"),IF(A1122="BS",IF(ISNA(MATCH(D1122,p_services,0)),"Service inconnu",D1122&amp;""),""))))</f>
        <v/>
      </c>
      <c r="F1122" s="58" t="n"/>
      <c r="G1122" s="58" t="n"/>
      <c r="H1122" s="59" t="n"/>
      <c r="I1122" s="57" t="str">
        <f>IF(H1122="","",IFERROR(INDEX(art_des,MATCH(H1122,art_ref,0))&amp;"","Article inconnu"))</f>
        <v/>
      </c>
      <c r="J1122" s="60" t="str">
        <f>IF(H1122="","",IFERROR(INDEX(art_unit,MATCH(H1122,art_ref,0))&amp;"",""))</f>
        <v/>
      </c>
      <c r="K1122" s="59" t="n"/>
      <c r="L1122" s="59" t="n"/>
      <c r="M1122" s="61" t="str">
        <f>IF(OR(B1122="",NOT(ISNUMBER(K1122)),NOT(ISNUMBER(L1122))),"",IF(OR(K1122&lt;=0,L1122&lt;=0),"",ROUND(L1122-K1122,6)))</f>
        <v/>
      </c>
      <c r="N1122" s="58" t="n"/>
      <c r="O1122" s="62" t="n"/>
      <c r="P1122" s="63" t="str">
        <f>IF(OR(B1122="",NOT(ISNUMBER(L1122))),"",IF(L1122&lt;=0,"",IFERROR(ROUND(L1122*N(INDEX(art_w,MATCH(H1122,art_ref,0))),3),"")))</f>
        <v/>
      </c>
      <c r="Q1122" s="59" t="n"/>
      <c r="R1122" s="54" t="n"/>
      <c r="S1122" s="59" t="n"/>
      <c r="T1122" s="59" t="n"/>
      <c r="U1122" s="64" t="str">
        <f>IF(OR(B1122="",H1122=""),"",IFERROR(IF(A1122="BL",IF(N(INDEX(art_price,MATCH(H1122,art_ref,0)))=0,"",N(INDEX(art_price,MATCH(H1122,art_ref,0)))),IF(N(INDEX(art_cost,MATCH(H1122,art_ref,0)))=0,"",N(INDEX(art_cost,MATCH(H1122,art_ref,0))))),""))</f>
        <v/>
      </c>
      <c r="V1122" s="64" t="str">
        <f>IF(OR(U1122="",NOT(ISNUMBER(L1122))),"",IF(L1122&lt;=0,"",ROUND(L1122*U1122,2)))</f>
        <v/>
      </c>
      <c r="W1122" s="60" t="str">
        <f>IF(AND(B1122&lt;&gt;"",A1122&lt;&gt;"BS",F1122&lt;&gt;"",H1122&lt;&gt;"",ISNUMBER(K1122),ISNUMBER(L1122)),IF(AND(K1122&gt;0,L1122&gt;0,K1122-L1122&gt;0,COUNTIFS(A1123:A$2005,A1122,F1123:F$2005,F1122,H1123:H$2005,H1122,AA1123:AA$2005,"&gt;0")=0),ROUND(K1122-L1122,6),""),"")</f>
        <v/>
      </c>
      <c r="X1122" s="60" t="str">
        <f>IF(AND(A1122="",C1122="",D1122="",H1122="",L1122=""),"",IF(A1122="","Type manquant",IF(AND(A1122&lt;&gt;"BL",A1122&lt;&gt;"BR",A1122&lt;&gt;"BS"),"Type inconnu (BL, BR ou BS)",IF(AG1122=0,"Date manquante ou invalide",IF(D1122="",IF(A1122="BL","Client manquant",IF(A1122="BR","Fournisseur manquant","Service manquant")),IF(IF(A1122="BL",ISNA(MATCH(D1122,cl_code,0)),IF(A1122="BR",ISNA(MATCH(D1122,fo_code,0)),ISNA(MATCH(D1122,p_services,0)))),IF(A1122="BL","Client inconnu",IF(A1122="BR","Fournisseur inconnu","Service inconnu")),IF(H1122="","Article manquant",IF(ISNA(MATCH(H1122,art_ref,0)),"Article inconnu",IF(OR(NOT(ISNUMBER(L1122)),N(L1122)&lt;=0),"Quantité invalide",IF(AND(K1122&lt;&gt;"",OR(NOT(ISNUMBER(K1122)),N(K1122)&lt;=0)),"Qté commandée invalide",IF(AG1122&lt;SUMPRODUCT(MAX((A$6:A1121=A1122)*AG$6:AG1121)),"Date antérieure au bon précédent",IF(AND(A1122&lt;&gt;"BR",ISNUMBER(M1122),N(M1122)&gt;0),IF(A1122="BL","Livré plus que commandé","Sorti plus que demandé"),"OK"))))))))))))</f>
        <v/>
      </c>
      <c r="Y1122" s="57" t="str">
        <f>IF(AND(OR(A1122="BL",A1122="BR",A1122="BS"),AG1122&gt;0,D1122&lt;&gt;""),A1122&amp;"|"&amp;AG1122&amp;"|"&amp;D1122&amp;"|"&amp;F1122,"")</f>
        <v/>
      </c>
      <c r="Z1122" s="57" t="str">
        <f>IF(Y1122="","",IF(COUNTIF(Y$6:Y1121,Y1122)=0,1,0))</f>
        <v/>
      </c>
      <c r="AA1122" s="57" t="str">
        <f>IF(Y1122="","",IF(Z1122=1,COUNTIFS(A$6:A1122,A1122,Z$6:Z1122,1),INDEX(AA$6:AA1121,MATCH(Y1122,Y$6:Y1121,0))))</f>
        <v/>
      </c>
      <c r="AB1122" s="57" t="str">
        <f>IF(B1122="","",COUNTIF(B$6:B1122,B1122))</f>
        <v/>
      </c>
      <c r="AC1122" s="57" t="str">
        <f>IF(B1122="","",B1122&amp;"#"&amp;AB1122)</f>
        <v/>
      </c>
      <c r="AD1122" s="57" t="str">
        <f>IF(Z1122=1,A1122&amp;AA1122,"")</f>
        <v/>
      </c>
      <c r="AE1122" s="57" t="str">
        <f>IF(B1122="","",YEAR(C1122))</f>
        <v/>
      </c>
      <c r="AF1122" s="57" t="str">
        <f>IF(B1122="","",MONTH(C1122))</f>
        <v/>
      </c>
      <c r="AG1122" s="57">
        <f>IF(ISNUMBER(C1122),C1122,0)</f>
        <v>0.0</v>
      </c>
      <c r="AH1122" s="57" t="str">
        <f>IF(N(W1122)&gt;0,COUNTIF(W$6:W1122,"&gt;0"),"")</f>
        <v/>
      </c>
      <c r="AI1122" s="57" t="str">
        <f>IF(Z1122=1,COUNTIF(Z$6:Z1122,1),"")</f>
        <v/>
      </c>
    </row>
    <row r="1123">
      <c r="A1123" s="54" t="n"/>
      <c r="B1123" s="55" t="str">
        <f>IF(AA1123="","",A1123&amp;"-"&amp;RIGHT("000"&amp;AA1123,4))</f>
        <v/>
      </c>
      <c r="C1123" s="56" t="n"/>
      <c r="D1123" s="54" t="n"/>
      <c r="E1123" s="57" t="str">
        <f>IF(D1123="","",IF(A1123="BL",IFERROR(INDEX(cl_name,MATCH(D1123,cl_code,0))&amp;"","Client inconnu"),IF(A1123="BR",IFERROR(INDEX(fo_name,MATCH(D1123,fo_code,0))&amp;"","Fournisseur inconnu"),IF(A1123="BS",IF(ISNA(MATCH(D1123,p_services,0)),"Service inconnu",D1123&amp;""),""))))</f>
        <v/>
      </c>
      <c r="F1123" s="58" t="n"/>
      <c r="G1123" s="58" t="n"/>
      <c r="H1123" s="59" t="n"/>
      <c r="I1123" s="57" t="str">
        <f>IF(H1123="","",IFERROR(INDEX(art_des,MATCH(H1123,art_ref,0))&amp;"","Article inconnu"))</f>
        <v/>
      </c>
      <c r="J1123" s="60" t="str">
        <f>IF(H1123="","",IFERROR(INDEX(art_unit,MATCH(H1123,art_ref,0))&amp;"",""))</f>
        <v/>
      </c>
      <c r="K1123" s="59" t="n"/>
      <c r="L1123" s="59" t="n"/>
      <c r="M1123" s="61" t="str">
        <f>IF(OR(B1123="",NOT(ISNUMBER(K1123)),NOT(ISNUMBER(L1123))),"",IF(OR(K1123&lt;=0,L1123&lt;=0),"",ROUND(L1123-K1123,6)))</f>
        <v/>
      </c>
      <c r="N1123" s="58" t="n"/>
      <c r="O1123" s="62" t="n"/>
      <c r="P1123" s="63" t="str">
        <f>IF(OR(B1123="",NOT(ISNUMBER(L1123))),"",IF(L1123&lt;=0,"",IFERROR(ROUND(L1123*N(INDEX(art_w,MATCH(H1123,art_ref,0))),3),"")))</f>
        <v/>
      </c>
      <c r="Q1123" s="59" t="n"/>
      <c r="R1123" s="54" t="n"/>
      <c r="S1123" s="59" t="n"/>
      <c r="T1123" s="59" t="n"/>
      <c r="U1123" s="64" t="str">
        <f>IF(OR(B1123="",H1123=""),"",IFERROR(IF(A1123="BL",IF(N(INDEX(art_price,MATCH(H1123,art_ref,0)))=0,"",N(INDEX(art_price,MATCH(H1123,art_ref,0)))),IF(N(INDEX(art_cost,MATCH(H1123,art_ref,0)))=0,"",N(INDEX(art_cost,MATCH(H1123,art_ref,0))))),""))</f>
        <v/>
      </c>
      <c r="V1123" s="64" t="str">
        <f>IF(OR(U1123="",NOT(ISNUMBER(L1123))),"",IF(L1123&lt;=0,"",ROUND(L1123*U1123,2)))</f>
        <v/>
      </c>
      <c r="W1123" s="60" t="str">
        <f>IF(AND(B1123&lt;&gt;"",A1123&lt;&gt;"BS",F1123&lt;&gt;"",H1123&lt;&gt;"",ISNUMBER(K1123),ISNUMBER(L1123)),IF(AND(K1123&gt;0,L1123&gt;0,K1123-L1123&gt;0,COUNTIFS(A1124:A$2005,A1123,F1124:F$2005,F1123,H1124:H$2005,H1123,AA1124:AA$2005,"&gt;0")=0),ROUND(K1123-L1123,6),""),"")</f>
        <v/>
      </c>
      <c r="X1123" s="60" t="str">
        <f>IF(AND(A1123="",C1123="",D1123="",H1123="",L1123=""),"",IF(A1123="","Type manquant",IF(AND(A1123&lt;&gt;"BL",A1123&lt;&gt;"BR",A1123&lt;&gt;"BS"),"Type inconnu (BL, BR ou BS)",IF(AG1123=0,"Date manquante ou invalide",IF(D1123="",IF(A1123="BL","Client manquant",IF(A1123="BR","Fournisseur manquant","Service manquant")),IF(IF(A1123="BL",ISNA(MATCH(D1123,cl_code,0)),IF(A1123="BR",ISNA(MATCH(D1123,fo_code,0)),ISNA(MATCH(D1123,p_services,0)))),IF(A1123="BL","Client inconnu",IF(A1123="BR","Fournisseur inconnu","Service inconnu")),IF(H1123="","Article manquant",IF(ISNA(MATCH(H1123,art_ref,0)),"Article inconnu",IF(OR(NOT(ISNUMBER(L1123)),N(L1123)&lt;=0),"Quantité invalide",IF(AND(K1123&lt;&gt;"",OR(NOT(ISNUMBER(K1123)),N(K1123)&lt;=0)),"Qté commandée invalide",IF(AG1123&lt;SUMPRODUCT(MAX((A$6:A1122=A1123)*AG$6:AG1122)),"Date antérieure au bon précédent",IF(AND(A1123&lt;&gt;"BR",ISNUMBER(M1123),N(M1123)&gt;0),IF(A1123="BL","Livré plus que commandé","Sorti plus que demandé"),"OK"))))))))))))</f>
        <v/>
      </c>
      <c r="Y1123" s="57" t="str">
        <f>IF(AND(OR(A1123="BL",A1123="BR",A1123="BS"),AG1123&gt;0,D1123&lt;&gt;""),A1123&amp;"|"&amp;AG1123&amp;"|"&amp;D1123&amp;"|"&amp;F1123,"")</f>
        <v/>
      </c>
      <c r="Z1123" s="57" t="str">
        <f>IF(Y1123="","",IF(COUNTIF(Y$6:Y1122,Y1123)=0,1,0))</f>
        <v/>
      </c>
      <c r="AA1123" s="57" t="str">
        <f>IF(Y1123="","",IF(Z1123=1,COUNTIFS(A$6:A1123,A1123,Z$6:Z1123,1),INDEX(AA$6:AA1122,MATCH(Y1123,Y$6:Y1122,0))))</f>
        <v/>
      </c>
      <c r="AB1123" s="57" t="str">
        <f>IF(B1123="","",COUNTIF(B$6:B1123,B1123))</f>
        <v/>
      </c>
      <c r="AC1123" s="57" t="str">
        <f>IF(B1123="","",B1123&amp;"#"&amp;AB1123)</f>
        <v/>
      </c>
      <c r="AD1123" s="57" t="str">
        <f>IF(Z1123=1,A1123&amp;AA1123,"")</f>
        <v/>
      </c>
      <c r="AE1123" s="57" t="str">
        <f>IF(B1123="","",YEAR(C1123))</f>
        <v/>
      </c>
      <c r="AF1123" s="57" t="str">
        <f>IF(B1123="","",MONTH(C1123))</f>
        <v/>
      </c>
      <c r="AG1123" s="57">
        <f>IF(ISNUMBER(C1123),C1123,0)</f>
        <v>0.0</v>
      </c>
      <c r="AH1123" s="57" t="str">
        <f>IF(N(W1123)&gt;0,COUNTIF(W$6:W1123,"&gt;0"),"")</f>
        <v/>
      </c>
      <c r="AI1123" s="57" t="str">
        <f>IF(Z1123=1,COUNTIF(Z$6:Z1123,1),"")</f>
        <v/>
      </c>
    </row>
    <row r="1124">
      <c r="A1124" s="54" t="n"/>
      <c r="B1124" s="55" t="str">
        <f>IF(AA1124="","",A1124&amp;"-"&amp;RIGHT("000"&amp;AA1124,4))</f>
        <v/>
      </c>
      <c r="C1124" s="56" t="n"/>
      <c r="D1124" s="54" t="n"/>
      <c r="E1124" s="57" t="str">
        <f>IF(D1124="","",IF(A1124="BL",IFERROR(INDEX(cl_name,MATCH(D1124,cl_code,0))&amp;"","Client inconnu"),IF(A1124="BR",IFERROR(INDEX(fo_name,MATCH(D1124,fo_code,0))&amp;"","Fournisseur inconnu"),IF(A1124="BS",IF(ISNA(MATCH(D1124,p_services,0)),"Service inconnu",D1124&amp;""),""))))</f>
        <v/>
      </c>
      <c r="F1124" s="58" t="n"/>
      <c r="G1124" s="58" t="n"/>
      <c r="H1124" s="59" t="n"/>
      <c r="I1124" s="57" t="str">
        <f>IF(H1124="","",IFERROR(INDEX(art_des,MATCH(H1124,art_ref,0))&amp;"","Article inconnu"))</f>
        <v/>
      </c>
      <c r="J1124" s="60" t="str">
        <f>IF(H1124="","",IFERROR(INDEX(art_unit,MATCH(H1124,art_ref,0))&amp;"",""))</f>
        <v/>
      </c>
      <c r="K1124" s="59" t="n"/>
      <c r="L1124" s="59" t="n"/>
      <c r="M1124" s="61" t="str">
        <f>IF(OR(B1124="",NOT(ISNUMBER(K1124)),NOT(ISNUMBER(L1124))),"",IF(OR(K1124&lt;=0,L1124&lt;=0),"",ROUND(L1124-K1124,6)))</f>
        <v/>
      </c>
      <c r="N1124" s="58" t="n"/>
      <c r="O1124" s="62" t="n"/>
      <c r="P1124" s="63" t="str">
        <f>IF(OR(B1124="",NOT(ISNUMBER(L1124))),"",IF(L1124&lt;=0,"",IFERROR(ROUND(L1124*N(INDEX(art_w,MATCH(H1124,art_ref,0))),3),"")))</f>
        <v/>
      </c>
      <c r="Q1124" s="59" t="n"/>
      <c r="R1124" s="54" t="n"/>
      <c r="S1124" s="59" t="n"/>
      <c r="T1124" s="59" t="n"/>
      <c r="U1124" s="64" t="str">
        <f>IF(OR(B1124="",H1124=""),"",IFERROR(IF(A1124="BL",IF(N(INDEX(art_price,MATCH(H1124,art_ref,0)))=0,"",N(INDEX(art_price,MATCH(H1124,art_ref,0)))),IF(N(INDEX(art_cost,MATCH(H1124,art_ref,0)))=0,"",N(INDEX(art_cost,MATCH(H1124,art_ref,0))))),""))</f>
        <v/>
      </c>
      <c r="V1124" s="64" t="str">
        <f>IF(OR(U1124="",NOT(ISNUMBER(L1124))),"",IF(L1124&lt;=0,"",ROUND(L1124*U1124,2)))</f>
        <v/>
      </c>
      <c r="W1124" s="60" t="str">
        <f>IF(AND(B1124&lt;&gt;"",A1124&lt;&gt;"BS",F1124&lt;&gt;"",H1124&lt;&gt;"",ISNUMBER(K1124),ISNUMBER(L1124)),IF(AND(K1124&gt;0,L1124&gt;0,K1124-L1124&gt;0,COUNTIFS(A1125:A$2005,A1124,F1125:F$2005,F1124,H1125:H$2005,H1124,AA1125:AA$2005,"&gt;0")=0),ROUND(K1124-L1124,6),""),"")</f>
        <v/>
      </c>
      <c r="X1124" s="60" t="str">
        <f>IF(AND(A1124="",C1124="",D1124="",H1124="",L1124=""),"",IF(A1124="","Type manquant",IF(AND(A1124&lt;&gt;"BL",A1124&lt;&gt;"BR",A1124&lt;&gt;"BS"),"Type inconnu (BL, BR ou BS)",IF(AG1124=0,"Date manquante ou invalide",IF(D1124="",IF(A1124="BL","Client manquant",IF(A1124="BR","Fournisseur manquant","Service manquant")),IF(IF(A1124="BL",ISNA(MATCH(D1124,cl_code,0)),IF(A1124="BR",ISNA(MATCH(D1124,fo_code,0)),ISNA(MATCH(D1124,p_services,0)))),IF(A1124="BL","Client inconnu",IF(A1124="BR","Fournisseur inconnu","Service inconnu")),IF(H1124="","Article manquant",IF(ISNA(MATCH(H1124,art_ref,0)),"Article inconnu",IF(OR(NOT(ISNUMBER(L1124)),N(L1124)&lt;=0),"Quantité invalide",IF(AND(K1124&lt;&gt;"",OR(NOT(ISNUMBER(K1124)),N(K1124)&lt;=0)),"Qté commandée invalide",IF(AG1124&lt;SUMPRODUCT(MAX((A$6:A1123=A1124)*AG$6:AG1123)),"Date antérieure au bon précédent",IF(AND(A1124&lt;&gt;"BR",ISNUMBER(M1124),N(M1124)&gt;0),IF(A1124="BL","Livré plus que commandé","Sorti plus que demandé"),"OK"))))))))))))</f>
        <v/>
      </c>
      <c r="Y1124" s="57" t="str">
        <f>IF(AND(OR(A1124="BL",A1124="BR",A1124="BS"),AG1124&gt;0,D1124&lt;&gt;""),A1124&amp;"|"&amp;AG1124&amp;"|"&amp;D1124&amp;"|"&amp;F1124,"")</f>
        <v/>
      </c>
      <c r="Z1124" s="57" t="str">
        <f>IF(Y1124="","",IF(COUNTIF(Y$6:Y1123,Y1124)=0,1,0))</f>
        <v/>
      </c>
      <c r="AA1124" s="57" t="str">
        <f>IF(Y1124="","",IF(Z1124=1,COUNTIFS(A$6:A1124,A1124,Z$6:Z1124,1),INDEX(AA$6:AA1123,MATCH(Y1124,Y$6:Y1123,0))))</f>
        <v/>
      </c>
      <c r="AB1124" s="57" t="str">
        <f>IF(B1124="","",COUNTIF(B$6:B1124,B1124))</f>
        <v/>
      </c>
      <c r="AC1124" s="57" t="str">
        <f>IF(B1124="","",B1124&amp;"#"&amp;AB1124)</f>
        <v/>
      </c>
      <c r="AD1124" s="57" t="str">
        <f>IF(Z1124=1,A1124&amp;AA1124,"")</f>
        <v/>
      </c>
      <c r="AE1124" s="57" t="str">
        <f>IF(B1124="","",YEAR(C1124))</f>
        <v/>
      </c>
      <c r="AF1124" s="57" t="str">
        <f>IF(B1124="","",MONTH(C1124))</f>
        <v/>
      </c>
      <c r="AG1124" s="57">
        <f>IF(ISNUMBER(C1124),C1124,0)</f>
        <v>0.0</v>
      </c>
      <c r="AH1124" s="57" t="str">
        <f>IF(N(W1124)&gt;0,COUNTIF(W$6:W1124,"&gt;0"),"")</f>
        <v/>
      </c>
      <c r="AI1124" s="57" t="str">
        <f>IF(Z1124=1,COUNTIF(Z$6:Z1124,1),"")</f>
        <v/>
      </c>
    </row>
    <row r="1125">
      <c r="A1125" s="54" t="n"/>
      <c r="B1125" s="55" t="str">
        <f>IF(AA1125="","",A1125&amp;"-"&amp;RIGHT("000"&amp;AA1125,4))</f>
        <v/>
      </c>
      <c r="C1125" s="56" t="n"/>
      <c r="D1125" s="54" t="n"/>
      <c r="E1125" s="57" t="str">
        <f>IF(D1125="","",IF(A1125="BL",IFERROR(INDEX(cl_name,MATCH(D1125,cl_code,0))&amp;"","Client inconnu"),IF(A1125="BR",IFERROR(INDEX(fo_name,MATCH(D1125,fo_code,0))&amp;"","Fournisseur inconnu"),IF(A1125="BS",IF(ISNA(MATCH(D1125,p_services,0)),"Service inconnu",D1125&amp;""),""))))</f>
        <v/>
      </c>
      <c r="F1125" s="58" t="n"/>
      <c r="G1125" s="58" t="n"/>
      <c r="H1125" s="59" t="n"/>
      <c r="I1125" s="57" t="str">
        <f>IF(H1125="","",IFERROR(INDEX(art_des,MATCH(H1125,art_ref,0))&amp;"","Article inconnu"))</f>
        <v/>
      </c>
      <c r="J1125" s="60" t="str">
        <f>IF(H1125="","",IFERROR(INDEX(art_unit,MATCH(H1125,art_ref,0))&amp;"",""))</f>
        <v/>
      </c>
      <c r="K1125" s="59" t="n"/>
      <c r="L1125" s="59" t="n"/>
      <c r="M1125" s="61" t="str">
        <f>IF(OR(B1125="",NOT(ISNUMBER(K1125)),NOT(ISNUMBER(L1125))),"",IF(OR(K1125&lt;=0,L1125&lt;=0),"",ROUND(L1125-K1125,6)))</f>
        <v/>
      </c>
      <c r="N1125" s="58" t="n"/>
      <c r="O1125" s="62" t="n"/>
      <c r="P1125" s="63" t="str">
        <f>IF(OR(B1125="",NOT(ISNUMBER(L1125))),"",IF(L1125&lt;=0,"",IFERROR(ROUND(L1125*N(INDEX(art_w,MATCH(H1125,art_ref,0))),3),"")))</f>
        <v/>
      </c>
      <c r="Q1125" s="59" t="n"/>
      <c r="R1125" s="54" t="n"/>
      <c r="S1125" s="59" t="n"/>
      <c r="T1125" s="59" t="n"/>
      <c r="U1125" s="64" t="str">
        <f>IF(OR(B1125="",H1125=""),"",IFERROR(IF(A1125="BL",IF(N(INDEX(art_price,MATCH(H1125,art_ref,0)))=0,"",N(INDEX(art_price,MATCH(H1125,art_ref,0)))),IF(N(INDEX(art_cost,MATCH(H1125,art_ref,0)))=0,"",N(INDEX(art_cost,MATCH(H1125,art_ref,0))))),""))</f>
        <v/>
      </c>
      <c r="V1125" s="64" t="str">
        <f>IF(OR(U1125="",NOT(ISNUMBER(L1125))),"",IF(L1125&lt;=0,"",ROUND(L1125*U1125,2)))</f>
        <v/>
      </c>
      <c r="W1125" s="60" t="str">
        <f>IF(AND(B1125&lt;&gt;"",A1125&lt;&gt;"BS",F1125&lt;&gt;"",H1125&lt;&gt;"",ISNUMBER(K1125),ISNUMBER(L1125)),IF(AND(K1125&gt;0,L1125&gt;0,K1125-L1125&gt;0,COUNTIFS(A1126:A$2005,A1125,F1126:F$2005,F1125,H1126:H$2005,H1125,AA1126:AA$2005,"&gt;0")=0),ROUND(K1125-L1125,6),""),"")</f>
        <v/>
      </c>
      <c r="X1125" s="60" t="str">
        <f>IF(AND(A1125="",C1125="",D1125="",H1125="",L1125=""),"",IF(A1125="","Type manquant",IF(AND(A1125&lt;&gt;"BL",A1125&lt;&gt;"BR",A1125&lt;&gt;"BS"),"Type inconnu (BL, BR ou BS)",IF(AG1125=0,"Date manquante ou invalide",IF(D1125="",IF(A1125="BL","Client manquant",IF(A1125="BR","Fournisseur manquant","Service manquant")),IF(IF(A1125="BL",ISNA(MATCH(D1125,cl_code,0)),IF(A1125="BR",ISNA(MATCH(D1125,fo_code,0)),ISNA(MATCH(D1125,p_services,0)))),IF(A1125="BL","Client inconnu",IF(A1125="BR","Fournisseur inconnu","Service inconnu")),IF(H1125="","Article manquant",IF(ISNA(MATCH(H1125,art_ref,0)),"Article inconnu",IF(OR(NOT(ISNUMBER(L1125)),N(L1125)&lt;=0),"Quantité invalide",IF(AND(K1125&lt;&gt;"",OR(NOT(ISNUMBER(K1125)),N(K1125)&lt;=0)),"Qté commandée invalide",IF(AG1125&lt;SUMPRODUCT(MAX((A$6:A1124=A1125)*AG$6:AG1124)),"Date antérieure au bon précédent",IF(AND(A1125&lt;&gt;"BR",ISNUMBER(M1125),N(M1125)&gt;0),IF(A1125="BL","Livré plus que commandé","Sorti plus que demandé"),"OK"))))))))))))</f>
        <v/>
      </c>
      <c r="Y1125" s="57" t="str">
        <f>IF(AND(OR(A1125="BL",A1125="BR",A1125="BS"),AG1125&gt;0,D1125&lt;&gt;""),A1125&amp;"|"&amp;AG1125&amp;"|"&amp;D1125&amp;"|"&amp;F1125,"")</f>
        <v/>
      </c>
      <c r="Z1125" s="57" t="str">
        <f>IF(Y1125="","",IF(COUNTIF(Y$6:Y1124,Y1125)=0,1,0))</f>
        <v/>
      </c>
      <c r="AA1125" s="57" t="str">
        <f>IF(Y1125="","",IF(Z1125=1,COUNTIFS(A$6:A1125,A1125,Z$6:Z1125,1),INDEX(AA$6:AA1124,MATCH(Y1125,Y$6:Y1124,0))))</f>
        <v/>
      </c>
      <c r="AB1125" s="57" t="str">
        <f>IF(B1125="","",COUNTIF(B$6:B1125,B1125))</f>
        <v/>
      </c>
      <c r="AC1125" s="57" t="str">
        <f>IF(B1125="","",B1125&amp;"#"&amp;AB1125)</f>
        <v/>
      </c>
      <c r="AD1125" s="57" t="str">
        <f>IF(Z1125=1,A1125&amp;AA1125,"")</f>
        <v/>
      </c>
      <c r="AE1125" s="57" t="str">
        <f>IF(B1125="","",YEAR(C1125))</f>
        <v/>
      </c>
      <c r="AF1125" s="57" t="str">
        <f>IF(B1125="","",MONTH(C1125))</f>
        <v/>
      </c>
      <c r="AG1125" s="57">
        <f>IF(ISNUMBER(C1125),C1125,0)</f>
        <v>0.0</v>
      </c>
      <c r="AH1125" s="57" t="str">
        <f>IF(N(W1125)&gt;0,COUNTIF(W$6:W1125,"&gt;0"),"")</f>
        <v/>
      </c>
      <c r="AI1125" s="57" t="str">
        <f>IF(Z1125=1,COUNTIF(Z$6:Z1125,1),"")</f>
        <v/>
      </c>
    </row>
    <row r="1126">
      <c r="A1126" s="54" t="n"/>
      <c r="B1126" s="55" t="str">
        <f>IF(AA1126="","",A1126&amp;"-"&amp;RIGHT("000"&amp;AA1126,4))</f>
        <v/>
      </c>
      <c r="C1126" s="56" t="n"/>
      <c r="D1126" s="54" t="n"/>
      <c r="E1126" s="57" t="str">
        <f>IF(D1126="","",IF(A1126="BL",IFERROR(INDEX(cl_name,MATCH(D1126,cl_code,0))&amp;"","Client inconnu"),IF(A1126="BR",IFERROR(INDEX(fo_name,MATCH(D1126,fo_code,0))&amp;"","Fournisseur inconnu"),IF(A1126="BS",IF(ISNA(MATCH(D1126,p_services,0)),"Service inconnu",D1126&amp;""),""))))</f>
        <v/>
      </c>
      <c r="F1126" s="58" t="n"/>
      <c r="G1126" s="58" t="n"/>
      <c r="H1126" s="59" t="n"/>
      <c r="I1126" s="57" t="str">
        <f>IF(H1126="","",IFERROR(INDEX(art_des,MATCH(H1126,art_ref,0))&amp;"","Article inconnu"))</f>
        <v/>
      </c>
      <c r="J1126" s="60" t="str">
        <f>IF(H1126="","",IFERROR(INDEX(art_unit,MATCH(H1126,art_ref,0))&amp;"",""))</f>
        <v/>
      </c>
      <c r="K1126" s="59" t="n"/>
      <c r="L1126" s="59" t="n"/>
      <c r="M1126" s="61" t="str">
        <f>IF(OR(B1126="",NOT(ISNUMBER(K1126)),NOT(ISNUMBER(L1126))),"",IF(OR(K1126&lt;=0,L1126&lt;=0),"",ROUND(L1126-K1126,6)))</f>
        <v/>
      </c>
      <c r="N1126" s="58" t="n"/>
      <c r="O1126" s="62" t="n"/>
      <c r="P1126" s="63" t="str">
        <f>IF(OR(B1126="",NOT(ISNUMBER(L1126))),"",IF(L1126&lt;=0,"",IFERROR(ROUND(L1126*N(INDEX(art_w,MATCH(H1126,art_ref,0))),3),"")))</f>
        <v/>
      </c>
      <c r="Q1126" s="59" t="n"/>
      <c r="R1126" s="54" t="n"/>
      <c r="S1126" s="59" t="n"/>
      <c r="T1126" s="59" t="n"/>
      <c r="U1126" s="64" t="str">
        <f>IF(OR(B1126="",H1126=""),"",IFERROR(IF(A1126="BL",IF(N(INDEX(art_price,MATCH(H1126,art_ref,0)))=0,"",N(INDEX(art_price,MATCH(H1126,art_ref,0)))),IF(N(INDEX(art_cost,MATCH(H1126,art_ref,0)))=0,"",N(INDEX(art_cost,MATCH(H1126,art_ref,0))))),""))</f>
        <v/>
      </c>
      <c r="V1126" s="64" t="str">
        <f>IF(OR(U1126="",NOT(ISNUMBER(L1126))),"",IF(L1126&lt;=0,"",ROUND(L1126*U1126,2)))</f>
        <v/>
      </c>
      <c r="W1126" s="60" t="str">
        <f>IF(AND(B1126&lt;&gt;"",A1126&lt;&gt;"BS",F1126&lt;&gt;"",H1126&lt;&gt;"",ISNUMBER(K1126),ISNUMBER(L1126)),IF(AND(K1126&gt;0,L1126&gt;0,K1126-L1126&gt;0,COUNTIFS(A1127:A$2005,A1126,F1127:F$2005,F1126,H1127:H$2005,H1126,AA1127:AA$2005,"&gt;0")=0),ROUND(K1126-L1126,6),""),"")</f>
        <v/>
      </c>
      <c r="X1126" s="60" t="str">
        <f>IF(AND(A1126="",C1126="",D1126="",H1126="",L1126=""),"",IF(A1126="","Type manquant",IF(AND(A1126&lt;&gt;"BL",A1126&lt;&gt;"BR",A1126&lt;&gt;"BS"),"Type inconnu (BL, BR ou BS)",IF(AG1126=0,"Date manquante ou invalide",IF(D1126="",IF(A1126="BL","Client manquant",IF(A1126="BR","Fournisseur manquant","Service manquant")),IF(IF(A1126="BL",ISNA(MATCH(D1126,cl_code,0)),IF(A1126="BR",ISNA(MATCH(D1126,fo_code,0)),ISNA(MATCH(D1126,p_services,0)))),IF(A1126="BL","Client inconnu",IF(A1126="BR","Fournisseur inconnu","Service inconnu")),IF(H1126="","Article manquant",IF(ISNA(MATCH(H1126,art_ref,0)),"Article inconnu",IF(OR(NOT(ISNUMBER(L1126)),N(L1126)&lt;=0),"Quantité invalide",IF(AND(K1126&lt;&gt;"",OR(NOT(ISNUMBER(K1126)),N(K1126)&lt;=0)),"Qté commandée invalide",IF(AG1126&lt;SUMPRODUCT(MAX((A$6:A1125=A1126)*AG$6:AG1125)),"Date antérieure au bon précédent",IF(AND(A1126&lt;&gt;"BR",ISNUMBER(M1126),N(M1126)&gt;0),IF(A1126="BL","Livré plus que commandé","Sorti plus que demandé"),"OK"))))))))))))</f>
        <v/>
      </c>
      <c r="Y1126" s="57" t="str">
        <f>IF(AND(OR(A1126="BL",A1126="BR",A1126="BS"),AG1126&gt;0,D1126&lt;&gt;""),A1126&amp;"|"&amp;AG1126&amp;"|"&amp;D1126&amp;"|"&amp;F1126,"")</f>
        <v/>
      </c>
      <c r="Z1126" s="57" t="str">
        <f>IF(Y1126="","",IF(COUNTIF(Y$6:Y1125,Y1126)=0,1,0))</f>
        <v/>
      </c>
      <c r="AA1126" s="57" t="str">
        <f>IF(Y1126="","",IF(Z1126=1,COUNTIFS(A$6:A1126,A1126,Z$6:Z1126,1),INDEX(AA$6:AA1125,MATCH(Y1126,Y$6:Y1125,0))))</f>
        <v/>
      </c>
      <c r="AB1126" s="57" t="str">
        <f>IF(B1126="","",COUNTIF(B$6:B1126,B1126))</f>
        <v/>
      </c>
      <c r="AC1126" s="57" t="str">
        <f>IF(B1126="","",B1126&amp;"#"&amp;AB1126)</f>
        <v/>
      </c>
      <c r="AD1126" s="57" t="str">
        <f>IF(Z1126=1,A1126&amp;AA1126,"")</f>
        <v/>
      </c>
      <c r="AE1126" s="57" t="str">
        <f>IF(B1126="","",YEAR(C1126))</f>
        <v/>
      </c>
      <c r="AF1126" s="57" t="str">
        <f>IF(B1126="","",MONTH(C1126))</f>
        <v/>
      </c>
      <c r="AG1126" s="57">
        <f>IF(ISNUMBER(C1126),C1126,0)</f>
        <v>0.0</v>
      </c>
      <c r="AH1126" s="57" t="str">
        <f>IF(N(W1126)&gt;0,COUNTIF(W$6:W1126,"&gt;0"),"")</f>
        <v/>
      </c>
      <c r="AI1126" s="57" t="str">
        <f>IF(Z1126=1,COUNTIF(Z$6:Z1126,1),"")</f>
        <v/>
      </c>
    </row>
    <row r="1127">
      <c r="A1127" s="54" t="n"/>
      <c r="B1127" s="55" t="str">
        <f>IF(AA1127="","",A1127&amp;"-"&amp;RIGHT("000"&amp;AA1127,4))</f>
        <v/>
      </c>
      <c r="C1127" s="56" t="n"/>
      <c r="D1127" s="54" t="n"/>
      <c r="E1127" s="57" t="str">
        <f>IF(D1127="","",IF(A1127="BL",IFERROR(INDEX(cl_name,MATCH(D1127,cl_code,0))&amp;"","Client inconnu"),IF(A1127="BR",IFERROR(INDEX(fo_name,MATCH(D1127,fo_code,0))&amp;"","Fournisseur inconnu"),IF(A1127="BS",IF(ISNA(MATCH(D1127,p_services,0)),"Service inconnu",D1127&amp;""),""))))</f>
        <v/>
      </c>
      <c r="F1127" s="58" t="n"/>
      <c r="G1127" s="58" t="n"/>
      <c r="H1127" s="59" t="n"/>
      <c r="I1127" s="57" t="str">
        <f>IF(H1127="","",IFERROR(INDEX(art_des,MATCH(H1127,art_ref,0))&amp;"","Article inconnu"))</f>
        <v/>
      </c>
      <c r="J1127" s="60" t="str">
        <f>IF(H1127="","",IFERROR(INDEX(art_unit,MATCH(H1127,art_ref,0))&amp;"",""))</f>
        <v/>
      </c>
      <c r="K1127" s="59" t="n"/>
      <c r="L1127" s="59" t="n"/>
      <c r="M1127" s="61" t="str">
        <f>IF(OR(B1127="",NOT(ISNUMBER(K1127)),NOT(ISNUMBER(L1127))),"",IF(OR(K1127&lt;=0,L1127&lt;=0),"",ROUND(L1127-K1127,6)))</f>
        <v/>
      </c>
      <c r="N1127" s="58" t="n"/>
      <c r="O1127" s="62" t="n"/>
      <c r="P1127" s="63" t="str">
        <f>IF(OR(B1127="",NOT(ISNUMBER(L1127))),"",IF(L1127&lt;=0,"",IFERROR(ROUND(L1127*N(INDEX(art_w,MATCH(H1127,art_ref,0))),3),"")))</f>
        <v/>
      </c>
      <c r="Q1127" s="59" t="n"/>
      <c r="R1127" s="54" t="n"/>
      <c r="S1127" s="59" t="n"/>
      <c r="T1127" s="59" t="n"/>
      <c r="U1127" s="64" t="str">
        <f>IF(OR(B1127="",H1127=""),"",IFERROR(IF(A1127="BL",IF(N(INDEX(art_price,MATCH(H1127,art_ref,0)))=0,"",N(INDEX(art_price,MATCH(H1127,art_ref,0)))),IF(N(INDEX(art_cost,MATCH(H1127,art_ref,0)))=0,"",N(INDEX(art_cost,MATCH(H1127,art_ref,0))))),""))</f>
        <v/>
      </c>
      <c r="V1127" s="64" t="str">
        <f>IF(OR(U1127="",NOT(ISNUMBER(L1127))),"",IF(L1127&lt;=0,"",ROUND(L1127*U1127,2)))</f>
        <v/>
      </c>
      <c r="W1127" s="60" t="str">
        <f>IF(AND(B1127&lt;&gt;"",A1127&lt;&gt;"BS",F1127&lt;&gt;"",H1127&lt;&gt;"",ISNUMBER(K1127),ISNUMBER(L1127)),IF(AND(K1127&gt;0,L1127&gt;0,K1127-L1127&gt;0,COUNTIFS(A1128:A$2005,A1127,F1128:F$2005,F1127,H1128:H$2005,H1127,AA1128:AA$2005,"&gt;0")=0),ROUND(K1127-L1127,6),""),"")</f>
        <v/>
      </c>
      <c r="X1127" s="60" t="str">
        <f>IF(AND(A1127="",C1127="",D1127="",H1127="",L1127=""),"",IF(A1127="","Type manquant",IF(AND(A1127&lt;&gt;"BL",A1127&lt;&gt;"BR",A1127&lt;&gt;"BS"),"Type inconnu (BL, BR ou BS)",IF(AG1127=0,"Date manquante ou invalide",IF(D1127="",IF(A1127="BL","Client manquant",IF(A1127="BR","Fournisseur manquant","Service manquant")),IF(IF(A1127="BL",ISNA(MATCH(D1127,cl_code,0)),IF(A1127="BR",ISNA(MATCH(D1127,fo_code,0)),ISNA(MATCH(D1127,p_services,0)))),IF(A1127="BL","Client inconnu",IF(A1127="BR","Fournisseur inconnu","Service inconnu")),IF(H1127="","Article manquant",IF(ISNA(MATCH(H1127,art_ref,0)),"Article inconnu",IF(OR(NOT(ISNUMBER(L1127)),N(L1127)&lt;=0),"Quantité invalide",IF(AND(K1127&lt;&gt;"",OR(NOT(ISNUMBER(K1127)),N(K1127)&lt;=0)),"Qté commandée invalide",IF(AG1127&lt;SUMPRODUCT(MAX((A$6:A1126=A1127)*AG$6:AG1126)),"Date antérieure au bon précédent",IF(AND(A1127&lt;&gt;"BR",ISNUMBER(M1127),N(M1127)&gt;0),IF(A1127="BL","Livré plus que commandé","Sorti plus que demandé"),"OK"))))))))))))</f>
        <v/>
      </c>
      <c r="Y1127" s="57" t="str">
        <f>IF(AND(OR(A1127="BL",A1127="BR",A1127="BS"),AG1127&gt;0,D1127&lt;&gt;""),A1127&amp;"|"&amp;AG1127&amp;"|"&amp;D1127&amp;"|"&amp;F1127,"")</f>
        <v/>
      </c>
      <c r="Z1127" s="57" t="str">
        <f>IF(Y1127="","",IF(COUNTIF(Y$6:Y1126,Y1127)=0,1,0))</f>
        <v/>
      </c>
      <c r="AA1127" s="57" t="str">
        <f>IF(Y1127="","",IF(Z1127=1,COUNTIFS(A$6:A1127,A1127,Z$6:Z1127,1),INDEX(AA$6:AA1126,MATCH(Y1127,Y$6:Y1126,0))))</f>
        <v/>
      </c>
      <c r="AB1127" s="57" t="str">
        <f>IF(B1127="","",COUNTIF(B$6:B1127,B1127))</f>
        <v/>
      </c>
      <c r="AC1127" s="57" t="str">
        <f>IF(B1127="","",B1127&amp;"#"&amp;AB1127)</f>
        <v/>
      </c>
      <c r="AD1127" s="57" t="str">
        <f>IF(Z1127=1,A1127&amp;AA1127,"")</f>
        <v/>
      </c>
      <c r="AE1127" s="57" t="str">
        <f>IF(B1127="","",YEAR(C1127))</f>
        <v/>
      </c>
      <c r="AF1127" s="57" t="str">
        <f>IF(B1127="","",MONTH(C1127))</f>
        <v/>
      </c>
      <c r="AG1127" s="57">
        <f>IF(ISNUMBER(C1127),C1127,0)</f>
        <v>0.0</v>
      </c>
      <c r="AH1127" s="57" t="str">
        <f>IF(N(W1127)&gt;0,COUNTIF(W$6:W1127,"&gt;0"),"")</f>
        <v/>
      </c>
      <c r="AI1127" s="57" t="str">
        <f>IF(Z1127=1,COUNTIF(Z$6:Z1127,1),"")</f>
        <v/>
      </c>
    </row>
    <row r="1128">
      <c r="A1128" s="54" t="n"/>
      <c r="B1128" s="55" t="str">
        <f>IF(AA1128="","",A1128&amp;"-"&amp;RIGHT("000"&amp;AA1128,4))</f>
        <v/>
      </c>
      <c r="C1128" s="56" t="n"/>
      <c r="D1128" s="54" t="n"/>
      <c r="E1128" s="57" t="str">
        <f>IF(D1128="","",IF(A1128="BL",IFERROR(INDEX(cl_name,MATCH(D1128,cl_code,0))&amp;"","Client inconnu"),IF(A1128="BR",IFERROR(INDEX(fo_name,MATCH(D1128,fo_code,0))&amp;"","Fournisseur inconnu"),IF(A1128="BS",IF(ISNA(MATCH(D1128,p_services,0)),"Service inconnu",D1128&amp;""),""))))</f>
        <v/>
      </c>
      <c r="F1128" s="58" t="n"/>
      <c r="G1128" s="58" t="n"/>
      <c r="H1128" s="59" t="n"/>
      <c r="I1128" s="57" t="str">
        <f>IF(H1128="","",IFERROR(INDEX(art_des,MATCH(H1128,art_ref,0))&amp;"","Article inconnu"))</f>
        <v/>
      </c>
      <c r="J1128" s="60" t="str">
        <f>IF(H1128="","",IFERROR(INDEX(art_unit,MATCH(H1128,art_ref,0))&amp;"",""))</f>
        <v/>
      </c>
      <c r="K1128" s="59" t="n"/>
      <c r="L1128" s="59" t="n"/>
      <c r="M1128" s="61" t="str">
        <f>IF(OR(B1128="",NOT(ISNUMBER(K1128)),NOT(ISNUMBER(L1128))),"",IF(OR(K1128&lt;=0,L1128&lt;=0),"",ROUND(L1128-K1128,6)))</f>
        <v/>
      </c>
      <c r="N1128" s="58" t="n"/>
      <c r="O1128" s="62" t="n"/>
      <c r="P1128" s="63" t="str">
        <f>IF(OR(B1128="",NOT(ISNUMBER(L1128))),"",IF(L1128&lt;=0,"",IFERROR(ROUND(L1128*N(INDEX(art_w,MATCH(H1128,art_ref,0))),3),"")))</f>
        <v/>
      </c>
      <c r="Q1128" s="59" t="n"/>
      <c r="R1128" s="54" t="n"/>
      <c r="S1128" s="59" t="n"/>
      <c r="T1128" s="59" t="n"/>
      <c r="U1128" s="64" t="str">
        <f>IF(OR(B1128="",H1128=""),"",IFERROR(IF(A1128="BL",IF(N(INDEX(art_price,MATCH(H1128,art_ref,0)))=0,"",N(INDEX(art_price,MATCH(H1128,art_ref,0)))),IF(N(INDEX(art_cost,MATCH(H1128,art_ref,0)))=0,"",N(INDEX(art_cost,MATCH(H1128,art_ref,0))))),""))</f>
        <v/>
      </c>
      <c r="V1128" s="64" t="str">
        <f>IF(OR(U1128="",NOT(ISNUMBER(L1128))),"",IF(L1128&lt;=0,"",ROUND(L1128*U1128,2)))</f>
        <v/>
      </c>
      <c r="W1128" s="60" t="str">
        <f>IF(AND(B1128&lt;&gt;"",A1128&lt;&gt;"BS",F1128&lt;&gt;"",H1128&lt;&gt;"",ISNUMBER(K1128),ISNUMBER(L1128)),IF(AND(K1128&gt;0,L1128&gt;0,K1128-L1128&gt;0,COUNTIFS(A1129:A$2005,A1128,F1129:F$2005,F1128,H1129:H$2005,H1128,AA1129:AA$2005,"&gt;0")=0),ROUND(K1128-L1128,6),""),"")</f>
        <v/>
      </c>
      <c r="X1128" s="60" t="str">
        <f>IF(AND(A1128="",C1128="",D1128="",H1128="",L1128=""),"",IF(A1128="","Type manquant",IF(AND(A1128&lt;&gt;"BL",A1128&lt;&gt;"BR",A1128&lt;&gt;"BS"),"Type inconnu (BL, BR ou BS)",IF(AG1128=0,"Date manquante ou invalide",IF(D1128="",IF(A1128="BL","Client manquant",IF(A1128="BR","Fournisseur manquant","Service manquant")),IF(IF(A1128="BL",ISNA(MATCH(D1128,cl_code,0)),IF(A1128="BR",ISNA(MATCH(D1128,fo_code,0)),ISNA(MATCH(D1128,p_services,0)))),IF(A1128="BL","Client inconnu",IF(A1128="BR","Fournisseur inconnu","Service inconnu")),IF(H1128="","Article manquant",IF(ISNA(MATCH(H1128,art_ref,0)),"Article inconnu",IF(OR(NOT(ISNUMBER(L1128)),N(L1128)&lt;=0),"Quantité invalide",IF(AND(K1128&lt;&gt;"",OR(NOT(ISNUMBER(K1128)),N(K1128)&lt;=0)),"Qté commandée invalide",IF(AG1128&lt;SUMPRODUCT(MAX((A$6:A1127=A1128)*AG$6:AG1127)),"Date antérieure au bon précédent",IF(AND(A1128&lt;&gt;"BR",ISNUMBER(M1128),N(M1128)&gt;0),IF(A1128="BL","Livré plus que commandé","Sorti plus que demandé"),"OK"))))))))))))</f>
        <v/>
      </c>
      <c r="Y1128" s="57" t="str">
        <f>IF(AND(OR(A1128="BL",A1128="BR",A1128="BS"),AG1128&gt;0,D1128&lt;&gt;""),A1128&amp;"|"&amp;AG1128&amp;"|"&amp;D1128&amp;"|"&amp;F1128,"")</f>
        <v/>
      </c>
      <c r="Z1128" s="57" t="str">
        <f>IF(Y1128="","",IF(COUNTIF(Y$6:Y1127,Y1128)=0,1,0))</f>
        <v/>
      </c>
      <c r="AA1128" s="57" t="str">
        <f>IF(Y1128="","",IF(Z1128=1,COUNTIFS(A$6:A1128,A1128,Z$6:Z1128,1),INDEX(AA$6:AA1127,MATCH(Y1128,Y$6:Y1127,0))))</f>
        <v/>
      </c>
      <c r="AB1128" s="57" t="str">
        <f>IF(B1128="","",COUNTIF(B$6:B1128,B1128))</f>
        <v/>
      </c>
      <c r="AC1128" s="57" t="str">
        <f>IF(B1128="","",B1128&amp;"#"&amp;AB1128)</f>
        <v/>
      </c>
      <c r="AD1128" s="57" t="str">
        <f>IF(Z1128=1,A1128&amp;AA1128,"")</f>
        <v/>
      </c>
      <c r="AE1128" s="57" t="str">
        <f>IF(B1128="","",YEAR(C1128))</f>
        <v/>
      </c>
      <c r="AF1128" s="57" t="str">
        <f>IF(B1128="","",MONTH(C1128))</f>
        <v/>
      </c>
      <c r="AG1128" s="57">
        <f>IF(ISNUMBER(C1128),C1128,0)</f>
        <v>0.0</v>
      </c>
      <c r="AH1128" s="57" t="str">
        <f>IF(N(W1128)&gt;0,COUNTIF(W$6:W1128,"&gt;0"),"")</f>
        <v/>
      </c>
      <c r="AI1128" s="57" t="str">
        <f>IF(Z1128=1,COUNTIF(Z$6:Z1128,1),"")</f>
        <v/>
      </c>
    </row>
    <row r="1129">
      <c r="A1129" s="54" t="n"/>
      <c r="B1129" s="55" t="str">
        <f>IF(AA1129="","",A1129&amp;"-"&amp;RIGHT("000"&amp;AA1129,4))</f>
        <v/>
      </c>
      <c r="C1129" s="56" t="n"/>
      <c r="D1129" s="54" t="n"/>
      <c r="E1129" s="57" t="str">
        <f>IF(D1129="","",IF(A1129="BL",IFERROR(INDEX(cl_name,MATCH(D1129,cl_code,0))&amp;"","Client inconnu"),IF(A1129="BR",IFERROR(INDEX(fo_name,MATCH(D1129,fo_code,0))&amp;"","Fournisseur inconnu"),IF(A1129="BS",IF(ISNA(MATCH(D1129,p_services,0)),"Service inconnu",D1129&amp;""),""))))</f>
        <v/>
      </c>
      <c r="F1129" s="58" t="n"/>
      <c r="G1129" s="58" t="n"/>
      <c r="H1129" s="59" t="n"/>
      <c r="I1129" s="57" t="str">
        <f>IF(H1129="","",IFERROR(INDEX(art_des,MATCH(H1129,art_ref,0))&amp;"","Article inconnu"))</f>
        <v/>
      </c>
      <c r="J1129" s="60" t="str">
        <f>IF(H1129="","",IFERROR(INDEX(art_unit,MATCH(H1129,art_ref,0))&amp;"",""))</f>
        <v/>
      </c>
      <c r="K1129" s="59" t="n"/>
      <c r="L1129" s="59" t="n"/>
      <c r="M1129" s="61" t="str">
        <f>IF(OR(B1129="",NOT(ISNUMBER(K1129)),NOT(ISNUMBER(L1129))),"",IF(OR(K1129&lt;=0,L1129&lt;=0),"",ROUND(L1129-K1129,6)))</f>
        <v/>
      </c>
      <c r="N1129" s="58" t="n"/>
      <c r="O1129" s="62" t="n"/>
      <c r="P1129" s="63" t="str">
        <f>IF(OR(B1129="",NOT(ISNUMBER(L1129))),"",IF(L1129&lt;=0,"",IFERROR(ROUND(L1129*N(INDEX(art_w,MATCH(H1129,art_ref,0))),3),"")))</f>
        <v/>
      </c>
      <c r="Q1129" s="59" t="n"/>
      <c r="R1129" s="54" t="n"/>
      <c r="S1129" s="59" t="n"/>
      <c r="T1129" s="59" t="n"/>
      <c r="U1129" s="64" t="str">
        <f>IF(OR(B1129="",H1129=""),"",IFERROR(IF(A1129="BL",IF(N(INDEX(art_price,MATCH(H1129,art_ref,0)))=0,"",N(INDEX(art_price,MATCH(H1129,art_ref,0)))),IF(N(INDEX(art_cost,MATCH(H1129,art_ref,0)))=0,"",N(INDEX(art_cost,MATCH(H1129,art_ref,0))))),""))</f>
        <v/>
      </c>
      <c r="V1129" s="64" t="str">
        <f>IF(OR(U1129="",NOT(ISNUMBER(L1129))),"",IF(L1129&lt;=0,"",ROUND(L1129*U1129,2)))</f>
        <v/>
      </c>
      <c r="W1129" s="60" t="str">
        <f>IF(AND(B1129&lt;&gt;"",A1129&lt;&gt;"BS",F1129&lt;&gt;"",H1129&lt;&gt;"",ISNUMBER(K1129),ISNUMBER(L1129)),IF(AND(K1129&gt;0,L1129&gt;0,K1129-L1129&gt;0,COUNTIFS(A1130:A$2005,A1129,F1130:F$2005,F1129,H1130:H$2005,H1129,AA1130:AA$2005,"&gt;0")=0),ROUND(K1129-L1129,6),""),"")</f>
        <v/>
      </c>
      <c r="X1129" s="60" t="str">
        <f>IF(AND(A1129="",C1129="",D1129="",H1129="",L1129=""),"",IF(A1129="","Type manquant",IF(AND(A1129&lt;&gt;"BL",A1129&lt;&gt;"BR",A1129&lt;&gt;"BS"),"Type inconnu (BL, BR ou BS)",IF(AG1129=0,"Date manquante ou invalide",IF(D1129="",IF(A1129="BL","Client manquant",IF(A1129="BR","Fournisseur manquant","Service manquant")),IF(IF(A1129="BL",ISNA(MATCH(D1129,cl_code,0)),IF(A1129="BR",ISNA(MATCH(D1129,fo_code,0)),ISNA(MATCH(D1129,p_services,0)))),IF(A1129="BL","Client inconnu",IF(A1129="BR","Fournisseur inconnu","Service inconnu")),IF(H1129="","Article manquant",IF(ISNA(MATCH(H1129,art_ref,0)),"Article inconnu",IF(OR(NOT(ISNUMBER(L1129)),N(L1129)&lt;=0),"Quantité invalide",IF(AND(K1129&lt;&gt;"",OR(NOT(ISNUMBER(K1129)),N(K1129)&lt;=0)),"Qté commandée invalide",IF(AG1129&lt;SUMPRODUCT(MAX((A$6:A1128=A1129)*AG$6:AG1128)),"Date antérieure au bon précédent",IF(AND(A1129&lt;&gt;"BR",ISNUMBER(M1129),N(M1129)&gt;0),IF(A1129="BL","Livré plus que commandé","Sorti plus que demandé"),"OK"))))))))))))</f>
        <v/>
      </c>
      <c r="Y1129" s="57" t="str">
        <f>IF(AND(OR(A1129="BL",A1129="BR",A1129="BS"),AG1129&gt;0,D1129&lt;&gt;""),A1129&amp;"|"&amp;AG1129&amp;"|"&amp;D1129&amp;"|"&amp;F1129,"")</f>
        <v/>
      </c>
      <c r="Z1129" s="57" t="str">
        <f>IF(Y1129="","",IF(COUNTIF(Y$6:Y1128,Y1129)=0,1,0))</f>
        <v/>
      </c>
      <c r="AA1129" s="57" t="str">
        <f>IF(Y1129="","",IF(Z1129=1,COUNTIFS(A$6:A1129,A1129,Z$6:Z1129,1),INDEX(AA$6:AA1128,MATCH(Y1129,Y$6:Y1128,0))))</f>
        <v/>
      </c>
      <c r="AB1129" s="57" t="str">
        <f>IF(B1129="","",COUNTIF(B$6:B1129,B1129))</f>
        <v/>
      </c>
      <c r="AC1129" s="57" t="str">
        <f>IF(B1129="","",B1129&amp;"#"&amp;AB1129)</f>
        <v/>
      </c>
      <c r="AD1129" s="57" t="str">
        <f>IF(Z1129=1,A1129&amp;AA1129,"")</f>
        <v/>
      </c>
      <c r="AE1129" s="57" t="str">
        <f>IF(B1129="","",YEAR(C1129))</f>
        <v/>
      </c>
      <c r="AF1129" s="57" t="str">
        <f>IF(B1129="","",MONTH(C1129))</f>
        <v/>
      </c>
      <c r="AG1129" s="57">
        <f>IF(ISNUMBER(C1129),C1129,0)</f>
        <v>0.0</v>
      </c>
      <c r="AH1129" s="57" t="str">
        <f>IF(N(W1129)&gt;0,COUNTIF(W$6:W1129,"&gt;0"),"")</f>
        <v/>
      </c>
      <c r="AI1129" s="57" t="str">
        <f>IF(Z1129=1,COUNTIF(Z$6:Z1129,1),"")</f>
        <v/>
      </c>
    </row>
    <row r="1130">
      <c r="A1130" s="54" t="n"/>
      <c r="B1130" s="55" t="str">
        <f>IF(AA1130="","",A1130&amp;"-"&amp;RIGHT("000"&amp;AA1130,4))</f>
        <v/>
      </c>
      <c r="C1130" s="56" t="n"/>
      <c r="D1130" s="54" t="n"/>
      <c r="E1130" s="57" t="str">
        <f>IF(D1130="","",IF(A1130="BL",IFERROR(INDEX(cl_name,MATCH(D1130,cl_code,0))&amp;"","Client inconnu"),IF(A1130="BR",IFERROR(INDEX(fo_name,MATCH(D1130,fo_code,0))&amp;"","Fournisseur inconnu"),IF(A1130="BS",IF(ISNA(MATCH(D1130,p_services,0)),"Service inconnu",D1130&amp;""),""))))</f>
        <v/>
      </c>
      <c r="F1130" s="58" t="n"/>
      <c r="G1130" s="58" t="n"/>
      <c r="H1130" s="59" t="n"/>
      <c r="I1130" s="57" t="str">
        <f>IF(H1130="","",IFERROR(INDEX(art_des,MATCH(H1130,art_ref,0))&amp;"","Article inconnu"))</f>
        <v/>
      </c>
      <c r="J1130" s="60" t="str">
        <f>IF(H1130="","",IFERROR(INDEX(art_unit,MATCH(H1130,art_ref,0))&amp;"",""))</f>
        <v/>
      </c>
      <c r="K1130" s="59" t="n"/>
      <c r="L1130" s="59" t="n"/>
      <c r="M1130" s="61" t="str">
        <f>IF(OR(B1130="",NOT(ISNUMBER(K1130)),NOT(ISNUMBER(L1130))),"",IF(OR(K1130&lt;=0,L1130&lt;=0),"",ROUND(L1130-K1130,6)))</f>
        <v/>
      </c>
      <c r="N1130" s="58" t="n"/>
      <c r="O1130" s="62" t="n"/>
      <c r="P1130" s="63" t="str">
        <f>IF(OR(B1130="",NOT(ISNUMBER(L1130))),"",IF(L1130&lt;=0,"",IFERROR(ROUND(L1130*N(INDEX(art_w,MATCH(H1130,art_ref,0))),3),"")))</f>
        <v/>
      </c>
      <c r="Q1130" s="59" t="n"/>
      <c r="R1130" s="54" t="n"/>
      <c r="S1130" s="59" t="n"/>
      <c r="T1130" s="59" t="n"/>
      <c r="U1130" s="64" t="str">
        <f>IF(OR(B1130="",H1130=""),"",IFERROR(IF(A1130="BL",IF(N(INDEX(art_price,MATCH(H1130,art_ref,0)))=0,"",N(INDEX(art_price,MATCH(H1130,art_ref,0)))),IF(N(INDEX(art_cost,MATCH(H1130,art_ref,0)))=0,"",N(INDEX(art_cost,MATCH(H1130,art_ref,0))))),""))</f>
        <v/>
      </c>
      <c r="V1130" s="64" t="str">
        <f>IF(OR(U1130="",NOT(ISNUMBER(L1130))),"",IF(L1130&lt;=0,"",ROUND(L1130*U1130,2)))</f>
        <v/>
      </c>
      <c r="W1130" s="60" t="str">
        <f>IF(AND(B1130&lt;&gt;"",A1130&lt;&gt;"BS",F1130&lt;&gt;"",H1130&lt;&gt;"",ISNUMBER(K1130),ISNUMBER(L1130)),IF(AND(K1130&gt;0,L1130&gt;0,K1130-L1130&gt;0,COUNTIFS(A1131:A$2005,A1130,F1131:F$2005,F1130,H1131:H$2005,H1130,AA1131:AA$2005,"&gt;0")=0),ROUND(K1130-L1130,6),""),"")</f>
        <v/>
      </c>
      <c r="X1130" s="60" t="str">
        <f>IF(AND(A1130="",C1130="",D1130="",H1130="",L1130=""),"",IF(A1130="","Type manquant",IF(AND(A1130&lt;&gt;"BL",A1130&lt;&gt;"BR",A1130&lt;&gt;"BS"),"Type inconnu (BL, BR ou BS)",IF(AG1130=0,"Date manquante ou invalide",IF(D1130="",IF(A1130="BL","Client manquant",IF(A1130="BR","Fournisseur manquant","Service manquant")),IF(IF(A1130="BL",ISNA(MATCH(D1130,cl_code,0)),IF(A1130="BR",ISNA(MATCH(D1130,fo_code,0)),ISNA(MATCH(D1130,p_services,0)))),IF(A1130="BL","Client inconnu",IF(A1130="BR","Fournisseur inconnu","Service inconnu")),IF(H1130="","Article manquant",IF(ISNA(MATCH(H1130,art_ref,0)),"Article inconnu",IF(OR(NOT(ISNUMBER(L1130)),N(L1130)&lt;=0),"Quantité invalide",IF(AND(K1130&lt;&gt;"",OR(NOT(ISNUMBER(K1130)),N(K1130)&lt;=0)),"Qté commandée invalide",IF(AG1130&lt;SUMPRODUCT(MAX((A$6:A1129=A1130)*AG$6:AG1129)),"Date antérieure au bon précédent",IF(AND(A1130&lt;&gt;"BR",ISNUMBER(M1130),N(M1130)&gt;0),IF(A1130="BL","Livré plus que commandé","Sorti plus que demandé"),"OK"))))))))))))</f>
        <v/>
      </c>
      <c r="Y1130" s="57" t="str">
        <f>IF(AND(OR(A1130="BL",A1130="BR",A1130="BS"),AG1130&gt;0,D1130&lt;&gt;""),A1130&amp;"|"&amp;AG1130&amp;"|"&amp;D1130&amp;"|"&amp;F1130,"")</f>
        <v/>
      </c>
      <c r="Z1130" s="57" t="str">
        <f>IF(Y1130="","",IF(COUNTIF(Y$6:Y1129,Y1130)=0,1,0))</f>
        <v/>
      </c>
      <c r="AA1130" s="57" t="str">
        <f>IF(Y1130="","",IF(Z1130=1,COUNTIFS(A$6:A1130,A1130,Z$6:Z1130,1),INDEX(AA$6:AA1129,MATCH(Y1130,Y$6:Y1129,0))))</f>
        <v/>
      </c>
      <c r="AB1130" s="57" t="str">
        <f>IF(B1130="","",COUNTIF(B$6:B1130,B1130))</f>
        <v/>
      </c>
      <c r="AC1130" s="57" t="str">
        <f>IF(B1130="","",B1130&amp;"#"&amp;AB1130)</f>
        <v/>
      </c>
      <c r="AD1130" s="57" t="str">
        <f>IF(Z1130=1,A1130&amp;AA1130,"")</f>
        <v/>
      </c>
      <c r="AE1130" s="57" t="str">
        <f>IF(B1130="","",YEAR(C1130))</f>
        <v/>
      </c>
      <c r="AF1130" s="57" t="str">
        <f>IF(B1130="","",MONTH(C1130))</f>
        <v/>
      </c>
      <c r="AG1130" s="57">
        <f>IF(ISNUMBER(C1130),C1130,0)</f>
        <v>0.0</v>
      </c>
      <c r="AH1130" s="57" t="str">
        <f>IF(N(W1130)&gt;0,COUNTIF(W$6:W1130,"&gt;0"),"")</f>
        <v/>
      </c>
      <c r="AI1130" s="57" t="str">
        <f>IF(Z1130=1,COUNTIF(Z$6:Z1130,1),"")</f>
        <v/>
      </c>
    </row>
    <row r="1131">
      <c r="A1131" s="54" t="n"/>
      <c r="B1131" s="55" t="str">
        <f>IF(AA1131="","",A1131&amp;"-"&amp;RIGHT("000"&amp;AA1131,4))</f>
        <v/>
      </c>
      <c r="C1131" s="56" t="n"/>
      <c r="D1131" s="54" t="n"/>
      <c r="E1131" s="57" t="str">
        <f>IF(D1131="","",IF(A1131="BL",IFERROR(INDEX(cl_name,MATCH(D1131,cl_code,0))&amp;"","Client inconnu"),IF(A1131="BR",IFERROR(INDEX(fo_name,MATCH(D1131,fo_code,0))&amp;"","Fournisseur inconnu"),IF(A1131="BS",IF(ISNA(MATCH(D1131,p_services,0)),"Service inconnu",D1131&amp;""),""))))</f>
        <v/>
      </c>
      <c r="F1131" s="58" t="n"/>
      <c r="G1131" s="58" t="n"/>
      <c r="H1131" s="59" t="n"/>
      <c r="I1131" s="57" t="str">
        <f>IF(H1131="","",IFERROR(INDEX(art_des,MATCH(H1131,art_ref,0))&amp;"","Article inconnu"))</f>
        <v/>
      </c>
      <c r="J1131" s="60" t="str">
        <f>IF(H1131="","",IFERROR(INDEX(art_unit,MATCH(H1131,art_ref,0))&amp;"",""))</f>
        <v/>
      </c>
      <c r="K1131" s="59" t="n"/>
      <c r="L1131" s="59" t="n"/>
      <c r="M1131" s="61" t="str">
        <f>IF(OR(B1131="",NOT(ISNUMBER(K1131)),NOT(ISNUMBER(L1131))),"",IF(OR(K1131&lt;=0,L1131&lt;=0),"",ROUND(L1131-K1131,6)))</f>
        <v/>
      </c>
      <c r="N1131" s="58" t="n"/>
      <c r="O1131" s="62" t="n"/>
      <c r="P1131" s="63" t="str">
        <f>IF(OR(B1131="",NOT(ISNUMBER(L1131))),"",IF(L1131&lt;=0,"",IFERROR(ROUND(L1131*N(INDEX(art_w,MATCH(H1131,art_ref,0))),3),"")))</f>
        <v/>
      </c>
      <c r="Q1131" s="59" t="n"/>
      <c r="R1131" s="54" t="n"/>
      <c r="S1131" s="59" t="n"/>
      <c r="T1131" s="59" t="n"/>
      <c r="U1131" s="64" t="str">
        <f>IF(OR(B1131="",H1131=""),"",IFERROR(IF(A1131="BL",IF(N(INDEX(art_price,MATCH(H1131,art_ref,0)))=0,"",N(INDEX(art_price,MATCH(H1131,art_ref,0)))),IF(N(INDEX(art_cost,MATCH(H1131,art_ref,0)))=0,"",N(INDEX(art_cost,MATCH(H1131,art_ref,0))))),""))</f>
        <v/>
      </c>
      <c r="V1131" s="64" t="str">
        <f>IF(OR(U1131="",NOT(ISNUMBER(L1131))),"",IF(L1131&lt;=0,"",ROUND(L1131*U1131,2)))</f>
        <v/>
      </c>
      <c r="W1131" s="60" t="str">
        <f>IF(AND(B1131&lt;&gt;"",A1131&lt;&gt;"BS",F1131&lt;&gt;"",H1131&lt;&gt;"",ISNUMBER(K1131),ISNUMBER(L1131)),IF(AND(K1131&gt;0,L1131&gt;0,K1131-L1131&gt;0,COUNTIFS(A1132:A$2005,A1131,F1132:F$2005,F1131,H1132:H$2005,H1131,AA1132:AA$2005,"&gt;0")=0),ROUND(K1131-L1131,6),""),"")</f>
        <v/>
      </c>
      <c r="X1131" s="60" t="str">
        <f>IF(AND(A1131="",C1131="",D1131="",H1131="",L1131=""),"",IF(A1131="","Type manquant",IF(AND(A1131&lt;&gt;"BL",A1131&lt;&gt;"BR",A1131&lt;&gt;"BS"),"Type inconnu (BL, BR ou BS)",IF(AG1131=0,"Date manquante ou invalide",IF(D1131="",IF(A1131="BL","Client manquant",IF(A1131="BR","Fournisseur manquant","Service manquant")),IF(IF(A1131="BL",ISNA(MATCH(D1131,cl_code,0)),IF(A1131="BR",ISNA(MATCH(D1131,fo_code,0)),ISNA(MATCH(D1131,p_services,0)))),IF(A1131="BL","Client inconnu",IF(A1131="BR","Fournisseur inconnu","Service inconnu")),IF(H1131="","Article manquant",IF(ISNA(MATCH(H1131,art_ref,0)),"Article inconnu",IF(OR(NOT(ISNUMBER(L1131)),N(L1131)&lt;=0),"Quantité invalide",IF(AND(K1131&lt;&gt;"",OR(NOT(ISNUMBER(K1131)),N(K1131)&lt;=0)),"Qté commandée invalide",IF(AG1131&lt;SUMPRODUCT(MAX((A$6:A1130=A1131)*AG$6:AG1130)),"Date antérieure au bon précédent",IF(AND(A1131&lt;&gt;"BR",ISNUMBER(M1131),N(M1131)&gt;0),IF(A1131="BL","Livré plus que commandé","Sorti plus que demandé"),"OK"))))))))))))</f>
        <v/>
      </c>
      <c r="Y1131" s="57" t="str">
        <f>IF(AND(OR(A1131="BL",A1131="BR",A1131="BS"),AG1131&gt;0,D1131&lt;&gt;""),A1131&amp;"|"&amp;AG1131&amp;"|"&amp;D1131&amp;"|"&amp;F1131,"")</f>
        <v/>
      </c>
      <c r="Z1131" s="57" t="str">
        <f>IF(Y1131="","",IF(COUNTIF(Y$6:Y1130,Y1131)=0,1,0))</f>
        <v/>
      </c>
      <c r="AA1131" s="57" t="str">
        <f>IF(Y1131="","",IF(Z1131=1,COUNTIFS(A$6:A1131,A1131,Z$6:Z1131,1),INDEX(AA$6:AA1130,MATCH(Y1131,Y$6:Y1130,0))))</f>
        <v/>
      </c>
      <c r="AB1131" s="57" t="str">
        <f>IF(B1131="","",COUNTIF(B$6:B1131,B1131))</f>
        <v/>
      </c>
      <c r="AC1131" s="57" t="str">
        <f>IF(B1131="","",B1131&amp;"#"&amp;AB1131)</f>
        <v/>
      </c>
      <c r="AD1131" s="57" t="str">
        <f>IF(Z1131=1,A1131&amp;AA1131,"")</f>
        <v/>
      </c>
      <c r="AE1131" s="57" t="str">
        <f>IF(B1131="","",YEAR(C1131))</f>
        <v/>
      </c>
      <c r="AF1131" s="57" t="str">
        <f>IF(B1131="","",MONTH(C1131))</f>
        <v/>
      </c>
      <c r="AG1131" s="57">
        <f>IF(ISNUMBER(C1131),C1131,0)</f>
        <v>0.0</v>
      </c>
      <c r="AH1131" s="57" t="str">
        <f>IF(N(W1131)&gt;0,COUNTIF(W$6:W1131,"&gt;0"),"")</f>
        <v/>
      </c>
      <c r="AI1131" s="57" t="str">
        <f>IF(Z1131=1,COUNTIF(Z$6:Z1131,1),"")</f>
        <v/>
      </c>
    </row>
    <row r="1132">
      <c r="A1132" s="54" t="n"/>
      <c r="B1132" s="55" t="str">
        <f>IF(AA1132="","",A1132&amp;"-"&amp;RIGHT("000"&amp;AA1132,4))</f>
        <v/>
      </c>
      <c r="C1132" s="56" t="n"/>
      <c r="D1132" s="54" t="n"/>
      <c r="E1132" s="57" t="str">
        <f>IF(D1132="","",IF(A1132="BL",IFERROR(INDEX(cl_name,MATCH(D1132,cl_code,0))&amp;"","Client inconnu"),IF(A1132="BR",IFERROR(INDEX(fo_name,MATCH(D1132,fo_code,0))&amp;"","Fournisseur inconnu"),IF(A1132="BS",IF(ISNA(MATCH(D1132,p_services,0)),"Service inconnu",D1132&amp;""),""))))</f>
        <v/>
      </c>
      <c r="F1132" s="58" t="n"/>
      <c r="G1132" s="58" t="n"/>
      <c r="H1132" s="59" t="n"/>
      <c r="I1132" s="57" t="str">
        <f>IF(H1132="","",IFERROR(INDEX(art_des,MATCH(H1132,art_ref,0))&amp;"","Article inconnu"))</f>
        <v/>
      </c>
      <c r="J1132" s="60" t="str">
        <f>IF(H1132="","",IFERROR(INDEX(art_unit,MATCH(H1132,art_ref,0))&amp;"",""))</f>
        <v/>
      </c>
      <c r="K1132" s="59" t="n"/>
      <c r="L1132" s="59" t="n"/>
      <c r="M1132" s="61" t="str">
        <f>IF(OR(B1132="",NOT(ISNUMBER(K1132)),NOT(ISNUMBER(L1132))),"",IF(OR(K1132&lt;=0,L1132&lt;=0),"",ROUND(L1132-K1132,6)))</f>
        <v/>
      </c>
      <c r="N1132" s="58" t="n"/>
      <c r="O1132" s="62" t="n"/>
      <c r="P1132" s="63" t="str">
        <f>IF(OR(B1132="",NOT(ISNUMBER(L1132))),"",IF(L1132&lt;=0,"",IFERROR(ROUND(L1132*N(INDEX(art_w,MATCH(H1132,art_ref,0))),3),"")))</f>
        <v/>
      </c>
      <c r="Q1132" s="59" t="n"/>
      <c r="R1132" s="54" t="n"/>
      <c r="S1132" s="59" t="n"/>
      <c r="T1132" s="59" t="n"/>
      <c r="U1132" s="64" t="str">
        <f>IF(OR(B1132="",H1132=""),"",IFERROR(IF(A1132="BL",IF(N(INDEX(art_price,MATCH(H1132,art_ref,0)))=0,"",N(INDEX(art_price,MATCH(H1132,art_ref,0)))),IF(N(INDEX(art_cost,MATCH(H1132,art_ref,0)))=0,"",N(INDEX(art_cost,MATCH(H1132,art_ref,0))))),""))</f>
        <v/>
      </c>
      <c r="V1132" s="64" t="str">
        <f>IF(OR(U1132="",NOT(ISNUMBER(L1132))),"",IF(L1132&lt;=0,"",ROUND(L1132*U1132,2)))</f>
        <v/>
      </c>
      <c r="W1132" s="60" t="str">
        <f>IF(AND(B1132&lt;&gt;"",A1132&lt;&gt;"BS",F1132&lt;&gt;"",H1132&lt;&gt;"",ISNUMBER(K1132),ISNUMBER(L1132)),IF(AND(K1132&gt;0,L1132&gt;0,K1132-L1132&gt;0,COUNTIFS(A1133:A$2005,A1132,F1133:F$2005,F1132,H1133:H$2005,H1132,AA1133:AA$2005,"&gt;0")=0),ROUND(K1132-L1132,6),""),"")</f>
        <v/>
      </c>
      <c r="X1132" s="60" t="str">
        <f>IF(AND(A1132="",C1132="",D1132="",H1132="",L1132=""),"",IF(A1132="","Type manquant",IF(AND(A1132&lt;&gt;"BL",A1132&lt;&gt;"BR",A1132&lt;&gt;"BS"),"Type inconnu (BL, BR ou BS)",IF(AG1132=0,"Date manquante ou invalide",IF(D1132="",IF(A1132="BL","Client manquant",IF(A1132="BR","Fournisseur manquant","Service manquant")),IF(IF(A1132="BL",ISNA(MATCH(D1132,cl_code,0)),IF(A1132="BR",ISNA(MATCH(D1132,fo_code,0)),ISNA(MATCH(D1132,p_services,0)))),IF(A1132="BL","Client inconnu",IF(A1132="BR","Fournisseur inconnu","Service inconnu")),IF(H1132="","Article manquant",IF(ISNA(MATCH(H1132,art_ref,0)),"Article inconnu",IF(OR(NOT(ISNUMBER(L1132)),N(L1132)&lt;=0),"Quantité invalide",IF(AND(K1132&lt;&gt;"",OR(NOT(ISNUMBER(K1132)),N(K1132)&lt;=0)),"Qté commandée invalide",IF(AG1132&lt;SUMPRODUCT(MAX((A$6:A1131=A1132)*AG$6:AG1131)),"Date antérieure au bon précédent",IF(AND(A1132&lt;&gt;"BR",ISNUMBER(M1132),N(M1132)&gt;0),IF(A1132="BL","Livré plus que commandé","Sorti plus que demandé"),"OK"))))))))))))</f>
        <v/>
      </c>
      <c r="Y1132" s="57" t="str">
        <f>IF(AND(OR(A1132="BL",A1132="BR",A1132="BS"),AG1132&gt;0,D1132&lt;&gt;""),A1132&amp;"|"&amp;AG1132&amp;"|"&amp;D1132&amp;"|"&amp;F1132,"")</f>
        <v/>
      </c>
      <c r="Z1132" s="57" t="str">
        <f>IF(Y1132="","",IF(COUNTIF(Y$6:Y1131,Y1132)=0,1,0))</f>
        <v/>
      </c>
      <c r="AA1132" s="57" t="str">
        <f>IF(Y1132="","",IF(Z1132=1,COUNTIFS(A$6:A1132,A1132,Z$6:Z1132,1),INDEX(AA$6:AA1131,MATCH(Y1132,Y$6:Y1131,0))))</f>
        <v/>
      </c>
      <c r="AB1132" s="57" t="str">
        <f>IF(B1132="","",COUNTIF(B$6:B1132,B1132))</f>
        <v/>
      </c>
      <c r="AC1132" s="57" t="str">
        <f>IF(B1132="","",B1132&amp;"#"&amp;AB1132)</f>
        <v/>
      </c>
      <c r="AD1132" s="57" t="str">
        <f>IF(Z1132=1,A1132&amp;AA1132,"")</f>
        <v/>
      </c>
      <c r="AE1132" s="57" t="str">
        <f>IF(B1132="","",YEAR(C1132))</f>
        <v/>
      </c>
      <c r="AF1132" s="57" t="str">
        <f>IF(B1132="","",MONTH(C1132))</f>
        <v/>
      </c>
      <c r="AG1132" s="57">
        <f>IF(ISNUMBER(C1132),C1132,0)</f>
        <v>0.0</v>
      </c>
      <c r="AH1132" s="57" t="str">
        <f>IF(N(W1132)&gt;0,COUNTIF(W$6:W1132,"&gt;0"),"")</f>
        <v/>
      </c>
      <c r="AI1132" s="57" t="str">
        <f>IF(Z1132=1,COUNTIF(Z$6:Z1132,1),"")</f>
        <v/>
      </c>
    </row>
    <row r="1133">
      <c r="A1133" s="54" t="n"/>
      <c r="B1133" s="55" t="str">
        <f>IF(AA1133="","",A1133&amp;"-"&amp;RIGHT("000"&amp;AA1133,4))</f>
        <v/>
      </c>
      <c r="C1133" s="56" t="n"/>
      <c r="D1133" s="54" t="n"/>
      <c r="E1133" s="57" t="str">
        <f>IF(D1133="","",IF(A1133="BL",IFERROR(INDEX(cl_name,MATCH(D1133,cl_code,0))&amp;"","Client inconnu"),IF(A1133="BR",IFERROR(INDEX(fo_name,MATCH(D1133,fo_code,0))&amp;"","Fournisseur inconnu"),IF(A1133="BS",IF(ISNA(MATCH(D1133,p_services,0)),"Service inconnu",D1133&amp;""),""))))</f>
        <v/>
      </c>
      <c r="F1133" s="58" t="n"/>
      <c r="G1133" s="58" t="n"/>
      <c r="H1133" s="59" t="n"/>
      <c r="I1133" s="57" t="str">
        <f>IF(H1133="","",IFERROR(INDEX(art_des,MATCH(H1133,art_ref,0))&amp;"","Article inconnu"))</f>
        <v/>
      </c>
      <c r="J1133" s="60" t="str">
        <f>IF(H1133="","",IFERROR(INDEX(art_unit,MATCH(H1133,art_ref,0))&amp;"",""))</f>
        <v/>
      </c>
      <c r="K1133" s="59" t="n"/>
      <c r="L1133" s="59" t="n"/>
      <c r="M1133" s="61" t="str">
        <f>IF(OR(B1133="",NOT(ISNUMBER(K1133)),NOT(ISNUMBER(L1133))),"",IF(OR(K1133&lt;=0,L1133&lt;=0),"",ROUND(L1133-K1133,6)))</f>
        <v/>
      </c>
      <c r="N1133" s="58" t="n"/>
      <c r="O1133" s="62" t="n"/>
      <c r="P1133" s="63" t="str">
        <f>IF(OR(B1133="",NOT(ISNUMBER(L1133))),"",IF(L1133&lt;=0,"",IFERROR(ROUND(L1133*N(INDEX(art_w,MATCH(H1133,art_ref,0))),3),"")))</f>
        <v/>
      </c>
      <c r="Q1133" s="59" t="n"/>
      <c r="R1133" s="54" t="n"/>
      <c r="S1133" s="59" t="n"/>
      <c r="T1133" s="59" t="n"/>
      <c r="U1133" s="64" t="str">
        <f>IF(OR(B1133="",H1133=""),"",IFERROR(IF(A1133="BL",IF(N(INDEX(art_price,MATCH(H1133,art_ref,0)))=0,"",N(INDEX(art_price,MATCH(H1133,art_ref,0)))),IF(N(INDEX(art_cost,MATCH(H1133,art_ref,0)))=0,"",N(INDEX(art_cost,MATCH(H1133,art_ref,0))))),""))</f>
        <v/>
      </c>
      <c r="V1133" s="64" t="str">
        <f>IF(OR(U1133="",NOT(ISNUMBER(L1133))),"",IF(L1133&lt;=0,"",ROUND(L1133*U1133,2)))</f>
        <v/>
      </c>
      <c r="W1133" s="60" t="str">
        <f>IF(AND(B1133&lt;&gt;"",A1133&lt;&gt;"BS",F1133&lt;&gt;"",H1133&lt;&gt;"",ISNUMBER(K1133),ISNUMBER(L1133)),IF(AND(K1133&gt;0,L1133&gt;0,K1133-L1133&gt;0,COUNTIFS(A1134:A$2005,A1133,F1134:F$2005,F1133,H1134:H$2005,H1133,AA1134:AA$2005,"&gt;0")=0),ROUND(K1133-L1133,6),""),"")</f>
        <v/>
      </c>
      <c r="X1133" s="60" t="str">
        <f>IF(AND(A1133="",C1133="",D1133="",H1133="",L1133=""),"",IF(A1133="","Type manquant",IF(AND(A1133&lt;&gt;"BL",A1133&lt;&gt;"BR",A1133&lt;&gt;"BS"),"Type inconnu (BL, BR ou BS)",IF(AG1133=0,"Date manquante ou invalide",IF(D1133="",IF(A1133="BL","Client manquant",IF(A1133="BR","Fournisseur manquant","Service manquant")),IF(IF(A1133="BL",ISNA(MATCH(D1133,cl_code,0)),IF(A1133="BR",ISNA(MATCH(D1133,fo_code,0)),ISNA(MATCH(D1133,p_services,0)))),IF(A1133="BL","Client inconnu",IF(A1133="BR","Fournisseur inconnu","Service inconnu")),IF(H1133="","Article manquant",IF(ISNA(MATCH(H1133,art_ref,0)),"Article inconnu",IF(OR(NOT(ISNUMBER(L1133)),N(L1133)&lt;=0),"Quantité invalide",IF(AND(K1133&lt;&gt;"",OR(NOT(ISNUMBER(K1133)),N(K1133)&lt;=0)),"Qté commandée invalide",IF(AG1133&lt;SUMPRODUCT(MAX((A$6:A1132=A1133)*AG$6:AG1132)),"Date antérieure au bon précédent",IF(AND(A1133&lt;&gt;"BR",ISNUMBER(M1133),N(M1133)&gt;0),IF(A1133="BL","Livré plus que commandé","Sorti plus que demandé"),"OK"))))))))))))</f>
        <v/>
      </c>
      <c r="Y1133" s="57" t="str">
        <f>IF(AND(OR(A1133="BL",A1133="BR",A1133="BS"),AG1133&gt;0,D1133&lt;&gt;""),A1133&amp;"|"&amp;AG1133&amp;"|"&amp;D1133&amp;"|"&amp;F1133,"")</f>
        <v/>
      </c>
      <c r="Z1133" s="57" t="str">
        <f>IF(Y1133="","",IF(COUNTIF(Y$6:Y1132,Y1133)=0,1,0))</f>
        <v/>
      </c>
      <c r="AA1133" s="57" t="str">
        <f>IF(Y1133="","",IF(Z1133=1,COUNTIFS(A$6:A1133,A1133,Z$6:Z1133,1),INDEX(AA$6:AA1132,MATCH(Y1133,Y$6:Y1132,0))))</f>
        <v/>
      </c>
      <c r="AB1133" s="57" t="str">
        <f>IF(B1133="","",COUNTIF(B$6:B1133,B1133))</f>
        <v/>
      </c>
      <c r="AC1133" s="57" t="str">
        <f>IF(B1133="","",B1133&amp;"#"&amp;AB1133)</f>
        <v/>
      </c>
      <c r="AD1133" s="57" t="str">
        <f>IF(Z1133=1,A1133&amp;AA1133,"")</f>
        <v/>
      </c>
      <c r="AE1133" s="57" t="str">
        <f>IF(B1133="","",YEAR(C1133))</f>
        <v/>
      </c>
      <c r="AF1133" s="57" t="str">
        <f>IF(B1133="","",MONTH(C1133))</f>
        <v/>
      </c>
      <c r="AG1133" s="57">
        <f>IF(ISNUMBER(C1133),C1133,0)</f>
        <v>0.0</v>
      </c>
      <c r="AH1133" s="57" t="str">
        <f>IF(N(W1133)&gt;0,COUNTIF(W$6:W1133,"&gt;0"),"")</f>
        <v/>
      </c>
      <c r="AI1133" s="57" t="str">
        <f>IF(Z1133=1,COUNTIF(Z$6:Z1133,1),"")</f>
        <v/>
      </c>
    </row>
    <row r="1134">
      <c r="A1134" s="54" t="n"/>
      <c r="B1134" s="55" t="str">
        <f>IF(AA1134="","",A1134&amp;"-"&amp;RIGHT("000"&amp;AA1134,4))</f>
        <v/>
      </c>
      <c r="C1134" s="56" t="n"/>
      <c r="D1134" s="54" t="n"/>
      <c r="E1134" s="57" t="str">
        <f>IF(D1134="","",IF(A1134="BL",IFERROR(INDEX(cl_name,MATCH(D1134,cl_code,0))&amp;"","Client inconnu"),IF(A1134="BR",IFERROR(INDEX(fo_name,MATCH(D1134,fo_code,0))&amp;"","Fournisseur inconnu"),IF(A1134="BS",IF(ISNA(MATCH(D1134,p_services,0)),"Service inconnu",D1134&amp;""),""))))</f>
        <v/>
      </c>
      <c r="F1134" s="58" t="n"/>
      <c r="G1134" s="58" t="n"/>
      <c r="H1134" s="59" t="n"/>
      <c r="I1134" s="57" t="str">
        <f>IF(H1134="","",IFERROR(INDEX(art_des,MATCH(H1134,art_ref,0))&amp;"","Article inconnu"))</f>
        <v/>
      </c>
      <c r="J1134" s="60" t="str">
        <f>IF(H1134="","",IFERROR(INDEX(art_unit,MATCH(H1134,art_ref,0))&amp;"",""))</f>
        <v/>
      </c>
      <c r="K1134" s="59" t="n"/>
      <c r="L1134" s="59" t="n"/>
      <c r="M1134" s="61" t="str">
        <f>IF(OR(B1134="",NOT(ISNUMBER(K1134)),NOT(ISNUMBER(L1134))),"",IF(OR(K1134&lt;=0,L1134&lt;=0),"",ROUND(L1134-K1134,6)))</f>
        <v/>
      </c>
      <c r="N1134" s="58" t="n"/>
      <c r="O1134" s="62" t="n"/>
      <c r="P1134" s="63" t="str">
        <f>IF(OR(B1134="",NOT(ISNUMBER(L1134))),"",IF(L1134&lt;=0,"",IFERROR(ROUND(L1134*N(INDEX(art_w,MATCH(H1134,art_ref,0))),3),"")))</f>
        <v/>
      </c>
      <c r="Q1134" s="59" t="n"/>
      <c r="R1134" s="54" t="n"/>
      <c r="S1134" s="59" t="n"/>
      <c r="T1134" s="59" t="n"/>
      <c r="U1134" s="64" t="str">
        <f>IF(OR(B1134="",H1134=""),"",IFERROR(IF(A1134="BL",IF(N(INDEX(art_price,MATCH(H1134,art_ref,0)))=0,"",N(INDEX(art_price,MATCH(H1134,art_ref,0)))),IF(N(INDEX(art_cost,MATCH(H1134,art_ref,0)))=0,"",N(INDEX(art_cost,MATCH(H1134,art_ref,0))))),""))</f>
        <v/>
      </c>
      <c r="V1134" s="64" t="str">
        <f>IF(OR(U1134="",NOT(ISNUMBER(L1134))),"",IF(L1134&lt;=0,"",ROUND(L1134*U1134,2)))</f>
        <v/>
      </c>
      <c r="W1134" s="60" t="str">
        <f>IF(AND(B1134&lt;&gt;"",A1134&lt;&gt;"BS",F1134&lt;&gt;"",H1134&lt;&gt;"",ISNUMBER(K1134),ISNUMBER(L1134)),IF(AND(K1134&gt;0,L1134&gt;0,K1134-L1134&gt;0,COUNTIFS(A1135:A$2005,A1134,F1135:F$2005,F1134,H1135:H$2005,H1134,AA1135:AA$2005,"&gt;0")=0),ROUND(K1134-L1134,6),""),"")</f>
        <v/>
      </c>
      <c r="X1134" s="60" t="str">
        <f>IF(AND(A1134="",C1134="",D1134="",H1134="",L1134=""),"",IF(A1134="","Type manquant",IF(AND(A1134&lt;&gt;"BL",A1134&lt;&gt;"BR",A1134&lt;&gt;"BS"),"Type inconnu (BL, BR ou BS)",IF(AG1134=0,"Date manquante ou invalide",IF(D1134="",IF(A1134="BL","Client manquant",IF(A1134="BR","Fournisseur manquant","Service manquant")),IF(IF(A1134="BL",ISNA(MATCH(D1134,cl_code,0)),IF(A1134="BR",ISNA(MATCH(D1134,fo_code,0)),ISNA(MATCH(D1134,p_services,0)))),IF(A1134="BL","Client inconnu",IF(A1134="BR","Fournisseur inconnu","Service inconnu")),IF(H1134="","Article manquant",IF(ISNA(MATCH(H1134,art_ref,0)),"Article inconnu",IF(OR(NOT(ISNUMBER(L1134)),N(L1134)&lt;=0),"Quantité invalide",IF(AND(K1134&lt;&gt;"",OR(NOT(ISNUMBER(K1134)),N(K1134)&lt;=0)),"Qté commandée invalide",IF(AG1134&lt;SUMPRODUCT(MAX((A$6:A1133=A1134)*AG$6:AG1133)),"Date antérieure au bon précédent",IF(AND(A1134&lt;&gt;"BR",ISNUMBER(M1134),N(M1134)&gt;0),IF(A1134="BL","Livré plus que commandé","Sorti plus que demandé"),"OK"))))))))))))</f>
        <v/>
      </c>
      <c r="Y1134" s="57" t="str">
        <f>IF(AND(OR(A1134="BL",A1134="BR",A1134="BS"),AG1134&gt;0,D1134&lt;&gt;""),A1134&amp;"|"&amp;AG1134&amp;"|"&amp;D1134&amp;"|"&amp;F1134,"")</f>
        <v/>
      </c>
      <c r="Z1134" s="57" t="str">
        <f>IF(Y1134="","",IF(COUNTIF(Y$6:Y1133,Y1134)=0,1,0))</f>
        <v/>
      </c>
      <c r="AA1134" s="57" t="str">
        <f>IF(Y1134="","",IF(Z1134=1,COUNTIFS(A$6:A1134,A1134,Z$6:Z1134,1),INDEX(AA$6:AA1133,MATCH(Y1134,Y$6:Y1133,0))))</f>
        <v/>
      </c>
      <c r="AB1134" s="57" t="str">
        <f>IF(B1134="","",COUNTIF(B$6:B1134,B1134))</f>
        <v/>
      </c>
      <c r="AC1134" s="57" t="str">
        <f>IF(B1134="","",B1134&amp;"#"&amp;AB1134)</f>
        <v/>
      </c>
      <c r="AD1134" s="57" t="str">
        <f>IF(Z1134=1,A1134&amp;AA1134,"")</f>
        <v/>
      </c>
      <c r="AE1134" s="57" t="str">
        <f>IF(B1134="","",YEAR(C1134))</f>
        <v/>
      </c>
      <c r="AF1134" s="57" t="str">
        <f>IF(B1134="","",MONTH(C1134))</f>
        <v/>
      </c>
      <c r="AG1134" s="57">
        <f>IF(ISNUMBER(C1134),C1134,0)</f>
        <v>0.0</v>
      </c>
      <c r="AH1134" s="57" t="str">
        <f>IF(N(W1134)&gt;0,COUNTIF(W$6:W1134,"&gt;0"),"")</f>
        <v/>
      </c>
      <c r="AI1134" s="57" t="str">
        <f>IF(Z1134=1,COUNTIF(Z$6:Z1134,1),"")</f>
        <v/>
      </c>
    </row>
    <row r="1135">
      <c r="A1135" s="54" t="n"/>
      <c r="B1135" s="55" t="str">
        <f>IF(AA1135="","",A1135&amp;"-"&amp;RIGHT("000"&amp;AA1135,4))</f>
        <v/>
      </c>
      <c r="C1135" s="56" t="n"/>
      <c r="D1135" s="54" t="n"/>
      <c r="E1135" s="57" t="str">
        <f>IF(D1135="","",IF(A1135="BL",IFERROR(INDEX(cl_name,MATCH(D1135,cl_code,0))&amp;"","Client inconnu"),IF(A1135="BR",IFERROR(INDEX(fo_name,MATCH(D1135,fo_code,0))&amp;"","Fournisseur inconnu"),IF(A1135="BS",IF(ISNA(MATCH(D1135,p_services,0)),"Service inconnu",D1135&amp;""),""))))</f>
        <v/>
      </c>
      <c r="F1135" s="58" t="n"/>
      <c r="G1135" s="58" t="n"/>
      <c r="H1135" s="59" t="n"/>
      <c r="I1135" s="57" t="str">
        <f>IF(H1135="","",IFERROR(INDEX(art_des,MATCH(H1135,art_ref,0))&amp;"","Article inconnu"))</f>
        <v/>
      </c>
      <c r="J1135" s="60" t="str">
        <f>IF(H1135="","",IFERROR(INDEX(art_unit,MATCH(H1135,art_ref,0))&amp;"",""))</f>
        <v/>
      </c>
      <c r="K1135" s="59" t="n"/>
      <c r="L1135" s="59" t="n"/>
      <c r="M1135" s="61" t="str">
        <f>IF(OR(B1135="",NOT(ISNUMBER(K1135)),NOT(ISNUMBER(L1135))),"",IF(OR(K1135&lt;=0,L1135&lt;=0),"",ROUND(L1135-K1135,6)))</f>
        <v/>
      </c>
      <c r="N1135" s="58" t="n"/>
      <c r="O1135" s="62" t="n"/>
      <c r="P1135" s="63" t="str">
        <f>IF(OR(B1135="",NOT(ISNUMBER(L1135))),"",IF(L1135&lt;=0,"",IFERROR(ROUND(L1135*N(INDEX(art_w,MATCH(H1135,art_ref,0))),3),"")))</f>
        <v/>
      </c>
      <c r="Q1135" s="59" t="n"/>
      <c r="R1135" s="54" t="n"/>
      <c r="S1135" s="59" t="n"/>
      <c r="T1135" s="59" t="n"/>
      <c r="U1135" s="64" t="str">
        <f>IF(OR(B1135="",H1135=""),"",IFERROR(IF(A1135="BL",IF(N(INDEX(art_price,MATCH(H1135,art_ref,0)))=0,"",N(INDEX(art_price,MATCH(H1135,art_ref,0)))),IF(N(INDEX(art_cost,MATCH(H1135,art_ref,0)))=0,"",N(INDEX(art_cost,MATCH(H1135,art_ref,0))))),""))</f>
        <v/>
      </c>
      <c r="V1135" s="64" t="str">
        <f>IF(OR(U1135="",NOT(ISNUMBER(L1135))),"",IF(L1135&lt;=0,"",ROUND(L1135*U1135,2)))</f>
        <v/>
      </c>
      <c r="W1135" s="60" t="str">
        <f>IF(AND(B1135&lt;&gt;"",A1135&lt;&gt;"BS",F1135&lt;&gt;"",H1135&lt;&gt;"",ISNUMBER(K1135),ISNUMBER(L1135)),IF(AND(K1135&gt;0,L1135&gt;0,K1135-L1135&gt;0,COUNTIFS(A1136:A$2005,A1135,F1136:F$2005,F1135,H1136:H$2005,H1135,AA1136:AA$2005,"&gt;0")=0),ROUND(K1135-L1135,6),""),"")</f>
        <v/>
      </c>
      <c r="X1135" s="60" t="str">
        <f>IF(AND(A1135="",C1135="",D1135="",H1135="",L1135=""),"",IF(A1135="","Type manquant",IF(AND(A1135&lt;&gt;"BL",A1135&lt;&gt;"BR",A1135&lt;&gt;"BS"),"Type inconnu (BL, BR ou BS)",IF(AG1135=0,"Date manquante ou invalide",IF(D1135="",IF(A1135="BL","Client manquant",IF(A1135="BR","Fournisseur manquant","Service manquant")),IF(IF(A1135="BL",ISNA(MATCH(D1135,cl_code,0)),IF(A1135="BR",ISNA(MATCH(D1135,fo_code,0)),ISNA(MATCH(D1135,p_services,0)))),IF(A1135="BL","Client inconnu",IF(A1135="BR","Fournisseur inconnu","Service inconnu")),IF(H1135="","Article manquant",IF(ISNA(MATCH(H1135,art_ref,0)),"Article inconnu",IF(OR(NOT(ISNUMBER(L1135)),N(L1135)&lt;=0),"Quantité invalide",IF(AND(K1135&lt;&gt;"",OR(NOT(ISNUMBER(K1135)),N(K1135)&lt;=0)),"Qté commandée invalide",IF(AG1135&lt;SUMPRODUCT(MAX((A$6:A1134=A1135)*AG$6:AG1134)),"Date antérieure au bon précédent",IF(AND(A1135&lt;&gt;"BR",ISNUMBER(M1135),N(M1135)&gt;0),IF(A1135="BL","Livré plus que commandé","Sorti plus que demandé"),"OK"))))))))))))</f>
        <v/>
      </c>
      <c r="Y1135" s="57" t="str">
        <f>IF(AND(OR(A1135="BL",A1135="BR",A1135="BS"),AG1135&gt;0,D1135&lt;&gt;""),A1135&amp;"|"&amp;AG1135&amp;"|"&amp;D1135&amp;"|"&amp;F1135,"")</f>
        <v/>
      </c>
      <c r="Z1135" s="57" t="str">
        <f>IF(Y1135="","",IF(COUNTIF(Y$6:Y1134,Y1135)=0,1,0))</f>
        <v/>
      </c>
      <c r="AA1135" s="57" t="str">
        <f>IF(Y1135="","",IF(Z1135=1,COUNTIFS(A$6:A1135,A1135,Z$6:Z1135,1),INDEX(AA$6:AA1134,MATCH(Y1135,Y$6:Y1134,0))))</f>
        <v/>
      </c>
      <c r="AB1135" s="57" t="str">
        <f>IF(B1135="","",COUNTIF(B$6:B1135,B1135))</f>
        <v/>
      </c>
      <c r="AC1135" s="57" t="str">
        <f>IF(B1135="","",B1135&amp;"#"&amp;AB1135)</f>
        <v/>
      </c>
      <c r="AD1135" s="57" t="str">
        <f>IF(Z1135=1,A1135&amp;AA1135,"")</f>
        <v/>
      </c>
      <c r="AE1135" s="57" t="str">
        <f>IF(B1135="","",YEAR(C1135))</f>
        <v/>
      </c>
      <c r="AF1135" s="57" t="str">
        <f>IF(B1135="","",MONTH(C1135))</f>
        <v/>
      </c>
      <c r="AG1135" s="57">
        <f>IF(ISNUMBER(C1135),C1135,0)</f>
        <v>0.0</v>
      </c>
      <c r="AH1135" s="57" t="str">
        <f>IF(N(W1135)&gt;0,COUNTIF(W$6:W1135,"&gt;0"),"")</f>
        <v/>
      </c>
      <c r="AI1135" s="57" t="str">
        <f>IF(Z1135=1,COUNTIF(Z$6:Z1135,1),"")</f>
        <v/>
      </c>
    </row>
    <row r="1136">
      <c r="A1136" s="54" t="n"/>
      <c r="B1136" s="55" t="str">
        <f>IF(AA1136="","",A1136&amp;"-"&amp;RIGHT("000"&amp;AA1136,4))</f>
        <v/>
      </c>
      <c r="C1136" s="56" t="n"/>
      <c r="D1136" s="54" t="n"/>
      <c r="E1136" s="57" t="str">
        <f>IF(D1136="","",IF(A1136="BL",IFERROR(INDEX(cl_name,MATCH(D1136,cl_code,0))&amp;"","Client inconnu"),IF(A1136="BR",IFERROR(INDEX(fo_name,MATCH(D1136,fo_code,0))&amp;"","Fournisseur inconnu"),IF(A1136="BS",IF(ISNA(MATCH(D1136,p_services,0)),"Service inconnu",D1136&amp;""),""))))</f>
        <v/>
      </c>
      <c r="F1136" s="58" t="n"/>
      <c r="G1136" s="58" t="n"/>
      <c r="H1136" s="59" t="n"/>
      <c r="I1136" s="57" t="str">
        <f>IF(H1136="","",IFERROR(INDEX(art_des,MATCH(H1136,art_ref,0))&amp;"","Article inconnu"))</f>
        <v/>
      </c>
      <c r="J1136" s="60" t="str">
        <f>IF(H1136="","",IFERROR(INDEX(art_unit,MATCH(H1136,art_ref,0))&amp;"",""))</f>
        <v/>
      </c>
      <c r="K1136" s="59" t="n"/>
      <c r="L1136" s="59" t="n"/>
      <c r="M1136" s="61" t="str">
        <f>IF(OR(B1136="",NOT(ISNUMBER(K1136)),NOT(ISNUMBER(L1136))),"",IF(OR(K1136&lt;=0,L1136&lt;=0),"",ROUND(L1136-K1136,6)))</f>
        <v/>
      </c>
      <c r="N1136" s="58" t="n"/>
      <c r="O1136" s="62" t="n"/>
      <c r="P1136" s="63" t="str">
        <f>IF(OR(B1136="",NOT(ISNUMBER(L1136))),"",IF(L1136&lt;=0,"",IFERROR(ROUND(L1136*N(INDEX(art_w,MATCH(H1136,art_ref,0))),3),"")))</f>
        <v/>
      </c>
      <c r="Q1136" s="59" t="n"/>
      <c r="R1136" s="54" t="n"/>
      <c r="S1136" s="59" t="n"/>
      <c r="T1136" s="59" t="n"/>
      <c r="U1136" s="64" t="str">
        <f>IF(OR(B1136="",H1136=""),"",IFERROR(IF(A1136="BL",IF(N(INDEX(art_price,MATCH(H1136,art_ref,0)))=0,"",N(INDEX(art_price,MATCH(H1136,art_ref,0)))),IF(N(INDEX(art_cost,MATCH(H1136,art_ref,0)))=0,"",N(INDEX(art_cost,MATCH(H1136,art_ref,0))))),""))</f>
        <v/>
      </c>
      <c r="V1136" s="64" t="str">
        <f>IF(OR(U1136="",NOT(ISNUMBER(L1136))),"",IF(L1136&lt;=0,"",ROUND(L1136*U1136,2)))</f>
        <v/>
      </c>
      <c r="W1136" s="60" t="str">
        <f>IF(AND(B1136&lt;&gt;"",A1136&lt;&gt;"BS",F1136&lt;&gt;"",H1136&lt;&gt;"",ISNUMBER(K1136),ISNUMBER(L1136)),IF(AND(K1136&gt;0,L1136&gt;0,K1136-L1136&gt;0,COUNTIFS(A1137:A$2005,A1136,F1137:F$2005,F1136,H1137:H$2005,H1136,AA1137:AA$2005,"&gt;0")=0),ROUND(K1136-L1136,6),""),"")</f>
        <v/>
      </c>
      <c r="X1136" s="60" t="str">
        <f>IF(AND(A1136="",C1136="",D1136="",H1136="",L1136=""),"",IF(A1136="","Type manquant",IF(AND(A1136&lt;&gt;"BL",A1136&lt;&gt;"BR",A1136&lt;&gt;"BS"),"Type inconnu (BL, BR ou BS)",IF(AG1136=0,"Date manquante ou invalide",IF(D1136="",IF(A1136="BL","Client manquant",IF(A1136="BR","Fournisseur manquant","Service manquant")),IF(IF(A1136="BL",ISNA(MATCH(D1136,cl_code,0)),IF(A1136="BR",ISNA(MATCH(D1136,fo_code,0)),ISNA(MATCH(D1136,p_services,0)))),IF(A1136="BL","Client inconnu",IF(A1136="BR","Fournisseur inconnu","Service inconnu")),IF(H1136="","Article manquant",IF(ISNA(MATCH(H1136,art_ref,0)),"Article inconnu",IF(OR(NOT(ISNUMBER(L1136)),N(L1136)&lt;=0),"Quantité invalide",IF(AND(K1136&lt;&gt;"",OR(NOT(ISNUMBER(K1136)),N(K1136)&lt;=0)),"Qté commandée invalide",IF(AG1136&lt;SUMPRODUCT(MAX((A$6:A1135=A1136)*AG$6:AG1135)),"Date antérieure au bon précédent",IF(AND(A1136&lt;&gt;"BR",ISNUMBER(M1136),N(M1136)&gt;0),IF(A1136="BL","Livré plus que commandé","Sorti plus que demandé"),"OK"))))))))))))</f>
        <v/>
      </c>
      <c r="Y1136" s="57" t="str">
        <f>IF(AND(OR(A1136="BL",A1136="BR",A1136="BS"),AG1136&gt;0,D1136&lt;&gt;""),A1136&amp;"|"&amp;AG1136&amp;"|"&amp;D1136&amp;"|"&amp;F1136,"")</f>
        <v/>
      </c>
      <c r="Z1136" s="57" t="str">
        <f>IF(Y1136="","",IF(COUNTIF(Y$6:Y1135,Y1136)=0,1,0))</f>
        <v/>
      </c>
      <c r="AA1136" s="57" t="str">
        <f>IF(Y1136="","",IF(Z1136=1,COUNTIFS(A$6:A1136,A1136,Z$6:Z1136,1),INDEX(AA$6:AA1135,MATCH(Y1136,Y$6:Y1135,0))))</f>
        <v/>
      </c>
      <c r="AB1136" s="57" t="str">
        <f>IF(B1136="","",COUNTIF(B$6:B1136,B1136))</f>
        <v/>
      </c>
      <c r="AC1136" s="57" t="str">
        <f>IF(B1136="","",B1136&amp;"#"&amp;AB1136)</f>
        <v/>
      </c>
      <c r="AD1136" s="57" t="str">
        <f>IF(Z1136=1,A1136&amp;AA1136,"")</f>
        <v/>
      </c>
      <c r="AE1136" s="57" t="str">
        <f>IF(B1136="","",YEAR(C1136))</f>
        <v/>
      </c>
      <c r="AF1136" s="57" t="str">
        <f>IF(B1136="","",MONTH(C1136))</f>
        <v/>
      </c>
      <c r="AG1136" s="57">
        <f>IF(ISNUMBER(C1136),C1136,0)</f>
        <v>0.0</v>
      </c>
      <c r="AH1136" s="57" t="str">
        <f>IF(N(W1136)&gt;0,COUNTIF(W$6:W1136,"&gt;0"),"")</f>
        <v/>
      </c>
      <c r="AI1136" s="57" t="str">
        <f>IF(Z1136=1,COUNTIF(Z$6:Z1136,1),"")</f>
        <v/>
      </c>
    </row>
    <row r="1137">
      <c r="A1137" s="54" t="n"/>
      <c r="B1137" s="55" t="str">
        <f>IF(AA1137="","",A1137&amp;"-"&amp;RIGHT("000"&amp;AA1137,4))</f>
        <v/>
      </c>
      <c r="C1137" s="56" t="n"/>
      <c r="D1137" s="54" t="n"/>
      <c r="E1137" s="57" t="str">
        <f>IF(D1137="","",IF(A1137="BL",IFERROR(INDEX(cl_name,MATCH(D1137,cl_code,0))&amp;"","Client inconnu"),IF(A1137="BR",IFERROR(INDEX(fo_name,MATCH(D1137,fo_code,0))&amp;"","Fournisseur inconnu"),IF(A1137="BS",IF(ISNA(MATCH(D1137,p_services,0)),"Service inconnu",D1137&amp;""),""))))</f>
        <v/>
      </c>
      <c r="F1137" s="58" t="n"/>
      <c r="G1137" s="58" t="n"/>
      <c r="H1137" s="59" t="n"/>
      <c r="I1137" s="57" t="str">
        <f>IF(H1137="","",IFERROR(INDEX(art_des,MATCH(H1137,art_ref,0))&amp;"","Article inconnu"))</f>
        <v/>
      </c>
      <c r="J1137" s="60" t="str">
        <f>IF(H1137="","",IFERROR(INDEX(art_unit,MATCH(H1137,art_ref,0))&amp;"",""))</f>
        <v/>
      </c>
      <c r="K1137" s="59" t="n"/>
      <c r="L1137" s="59" t="n"/>
      <c r="M1137" s="61" t="str">
        <f>IF(OR(B1137="",NOT(ISNUMBER(K1137)),NOT(ISNUMBER(L1137))),"",IF(OR(K1137&lt;=0,L1137&lt;=0),"",ROUND(L1137-K1137,6)))</f>
        <v/>
      </c>
      <c r="N1137" s="58" t="n"/>
      <c r="O1137" s="62" t="n"/>
      <c r="P1137" s="63" t="str">
        <f>IF(OR(B1137="",NOT(ISNUMBER(L1137))),"",IF(L1137&lt;=0,"",IFERROR(ROUND(L1137*N(INDEX(art_w,MATCH(H1137,art_ref,0))),3),"")))</f>
        <v/>
      </c>
      <c r="Q1137" s="59" t="n"/>
      <c r="R1137" s="54" t="n"/>
      <c r="S1137" s="59" t="n"/>
      <c r="T1137" s="59" t="n"/>
      <c r="U1137" s="64" t="str">
        <f>IF(OR(B1137="",H1137=""),"",IFERROR(IF(A1137="BL",IF(N(INDEX(art_price,MATCH(H1137,art_ref,0)))=0,"",N(INDEX(art_price,MATCH(H1137,art_ref,0)))),IF(N(INDEX(art_cost,MATCH(H1137,art_ref,0)))=0,"",N(INDEX(art_cost,MATCH(H1137,art_ref,0))))),""))</f>
        <v/>
      </c>
      <c r="V1137" s="64" t="str">
        <f>IF(OR(U1137="",NOT(ISNUMBER(L1137))),"",IF(L1137&lt;=0,"",ROUND(L1137*U1137,2)))</f>
        <v/>
      </c>
      <c r="W1137" s="60" t="str">
        <f>IF(AND(B1137&lt;&gt;"",A1137&lt;&gt;"BS",F1137&lt;&gt;"",H1137&lt;&gt;"",ISNUMBER(K1137),ISNUMBER(L1137)),IF(AND(K1137&gt;0,L1137&gt;0,K1137-L1137&gt;0,COUNTIFS(A1138:A$2005,A1137,F1138:F$2005,F1137,H1138:H$2005,H1137,AA1138:AA$2005,"&gt;0")=0),ROUND(K1137-L1137,6),""),"")</f>
        <v/>
      </c>
      <c r="X1137" s="60" t="str">
        <f>IF(AND(A1137="",C1137="",D1137="",H1137="",L1137=""),"",IF(A1137="","Type manquant",IF(AND(A1137&lt;&gt;"BL",A1137&lt;&gt;"BR",A1137&lt;&gt;"BS"),"Type inconnu (BL, BR ou BS)",IF(AG1137=0,"Date manquante ou invalide",IF(D1137="",IF(A1137="BL","Client manquant",IF(A1137="BR","Fournisseur manquant","Service manquant")),IF(IF(A1137="BL",ISNA(MATCH(D1137,cl_code,0)),IF(A1137="BR",ISNA(MATCH(D1137,fo_code,0)),ISNA(MATCH(D1137,p_services,0)))),IF(A1137="BL","Client inconnu",IF(A1137="BR","Fournisseur inconnu","Service inconnu")),IF(H1137="","Article manquant",IF(ISNA(MATCH(H1137,art_ref,0)),"Article inconnu",IF(OR(NOT(ISNUMBER(L1137)),N(L1137)&lt;=0),"Quantité invalide",IF(AND(K1137&lt;&gt;"",OR(NOT(ISNUMBER(K1137)),N(K1137)&lt;=0)),"Qté commandée invalide",IF(AG1137&lt;SUMPRODUCT(MAX((A$6:A1136=A1137)*AG$6:AG1136)),"Date antérieure au bon précédent",IF(AND(A1137&lt;&gt;"BR",ISNUMBER(M1137),N(M1137)&gt;0),IF(A1137="BL","Livré plus que commandé","Sorti plus que demandé"),"OK"))))))))))))</f>
        <v/>
      </c>
      <c r="Y1137" s="57" t="str">
        <f>IF(AND(OR(A1137="BL",A1137="BR",A1137="BS"),AG1137&gt;0,D1137&lt;&gt;""),A1137&amp;"|"&amp;AG1137&amp;"|"&amp;D1137&amp;"|"&amp;F1137,"")</f>
        <v/>
      </c>
      <c r="Z1137" s="57" t="str">
        <f>IF(Y1137="","",IF(COUNTIF(Y$6:Y1136,Y1137)=0,1,0))</f>
        <v/>
      </c>
      <c r="AA1137" s="57" t="str">
        <f>IF(Y1137="","",IF(Z1137=1,COUNTIFS(A$6:A1137,A1137,Z$6:Z1137,1),INDEX(AA$6:AA1136,MATCH(Y1137,Y$6:Y1136,0))))</f>
        <v/>
      </c>
      <c r="AB1137" s="57" t="str">
        <f>IF(B1137="","",COUNTIF(B$6:B1137,B1137))</f>
        <v/>
      </c>
      <c r="AC1137" s="57" t="str">
        <f>IF(B1137="","",B1137&amp;"#"&amp;AB1137)</f>
        <v/>
      </c>
      <c r="AD1137" s="57" t="str">
        <f>IF(Z1137=1,A1137&amp;AA1137,"")</f>
        <v/>
      </c>
      <c r="AE1137" s="57" t="str">
        <f>IF(B1137="","",YEAR(C1137))</f>
        <v/>
      </c>
      <c r="AF1137" s="57" t="str">
        <f>IF(B1137="","",MONTH(C1137))</f>
        <v/>
      </c>
      <c r="AG1137" s="57">
        <f>IF(ISNUMBER(C1137),C1137,0)</f>
        <v>0.0</v>
      </c>
      <c r="AH1137" s="57" t="str">
        <f>IF(N(W1137)&gt;0,COUNTIF(W$6:W1137,"&gt;0"),"")</f>
        <v/>
      </c>
      <c r="AI1137" s="57" t="str">
        <f>IF(Z1137=1,COUNTIF(Z$6:Z1137,1),"")</f>
        <v/>
      </c>
    </row>
    <row r="1138">
      <c r="A1138" s="54" t="n"/>
      <c r="B1138" s="55" t="str">
        <f>IF(AA1138="","",A1138&amp;"-"&amp;RIGHT("000"&amp;AA1138,4))</f>
        <v/>
      </c>
      <c r="C1138" s="56" t="n"/>
      <c r="D1138" s="54" t="n"/>
      <c r="E1138" s="57" t="str">
        <f>IF(D1138="","",IF(A1138="BL",IFERROR(INDEX(cl_name,MATCH(D1138,cl_code,0))&amp;"","Client inconnu"),IF(A1138="BR",IFERROR(INDEX(fo_name,MATCH(D1138,fo_code,0))&amp;"","Fournisseur inconnu"),IF(A1138="BS",IF(ISNA(MATCH(D1138,p_services,0)),"Service inconnu",D1138&amp;""),""))))</f>
        <v/>
      </c>
      <c r="F1138" s="58" t="n"/>
      <c r="G1138" s="58" t="n"/>
      <c r="H1138" s="59" t="n"/>
      <c r="I1138" s="57" t="str">
        <f>IF(H1138="","",IFERROR(INDEX(art_des,MATCH(H1138,art_ref,0))&amp;"","Article inconnu"))</f>
        <v/>
      </c>
      <c r="J1138" s="60" t="str">
        <f>IF(H1138="","",IFERROR(INDEX(art_unit,MATCH(H1138,art_ref,0))&amp;"",""))</f>
        <v/>
      </c>
      <c r="K1138" s="59" t="n"/>
      <c r="L1138" s="59" t="n"/>
      <c r="M1138" s="61" t="str">
        <f>IF(OR(B1138="",NOT(ISNUMBER(K1138)),NOT(ISNUMBER(L1138))),"",IF(OR(K1138&lt;=0,L1138&lt;=0),"",ROUND(L1138-K1138,6)))</f>
        <v/>
      </c>
      <c r="N1138" s="58" t="n"/>
      <c r="O1138" s="62" t="n"/>
      <c r="P1138" s="63" t="str">
        <f>IF(OR(B1138="",NOT(ISNUMBER(L1138))),"",IF(L1138&lt;=0,"",IFERROR(ROUND(L1138*N(INDEX(art_w,MATCH(H1138,art_ref,0))),3),"")))</f>
        <v/>
      </c>
      <c r="Q1138" s="59" t="n"/>
      <c r="R1138" s="54" t="n"/>
      <c r="S1138" s="59" t="n"/>
      <c r="T1138" s="59" t="n"/>
      <c r="U1138" s="64" t="str">
        <f>IF(OR(B1138="",H1138=""),"",IFERROR(IF(A1138="BL",IF(N(INDEX(art_price,MATCH(H1138,art_ref,0)))=0,"",N(INDEX(art_price,MATCH(H1138,art_ref,0)))),IF(N(INDEX(art_cost,MATCH(H1138,art_ref,0)))=0,"",N(INDEX(art_cost,MATCH(H1138,art_ref,0))))),""))</f>
        <v/>
      </c>
      <c r="V1138" s="64" t="str">
        <f>IF(OR(U1138="",NOT(ISNUMBER(L1138))),"",IF(L1138&lt;=0,"",ROUND(L1138*U1138,2)))</f>
        <v/>
      </c>
      <c r="W1138" s="60" t="str">
        <f>IF(AND(B1138&lt;&gt;"",A1138&lt;&gt;"BS",F1138&lt;&gt;"",H1138&lt;&gt;"",ISNUMBER(K1138),ISNUMBER(L1138)),IF(AND(K1138&gt;0,L1138&gt;0,K1138-L1138&gt;0,COUNTIFS(A1139:A$2005,A1138,F1139:F$2005,F1138,H1139:H$2005,H1138,AA1139:AA$2005,"&gt;0")=0),ROUND(K1138-L1138,6),""),"")</f>
        <v/>
      </c>
      <c r="X1138" s="60" t="str">
        <f>IF(AND(A1138="",C1138="",D1138="",H1138="",L1138=""),"",IF(A1138="","Type manquant",IF(AND(A1138&lt;&gt;"BL",A1138&lt;&gt;"BR",A1138&lt;&gt;"BS"),"Type inconnu (BL, BR ou BS)",IF(AG1138=0,"Date manquante ou invalide",IF(D1138="",IF(A1138="BL","Client manquant",IF(A1138="BR","Fournisseur manquant","Service manquant")),IF(IF(A1138="BL",ISNA(MATCH(D1138,cl_code,0)),IF(A1138="BR",ISNA(MATCH(D1138,fo_code,0)),ISNA(MATCH(D1138,p_services,0)))),IF(A1138="BL","Client inconnu",IF(A1138="BR","Fournisseur inconnu","Service inconnu")),IF(H1138="","Article manquant",IF(ISNA(MATCH(H1138,art_ref,0)),"Article inconnu",IF(OR(NOT(ISNUMBER(L1138)),N(L1138)&lt;=0),"Quantité invalide",IF(AND(K1138&lt;&gt;"",OR(NOT(ISNUMBER(K1138)),N(K1138)&lt;=0)),"Qté commandée invalide",IF(AG1138&lt;SUMPRODUCT(MAX((A$6:A1137=A1138)*AG$6:AG1137)),"Date antérieure au bon précédent",IF(AND(A1138&lt;&gt;"BR",ISNUMBER(M1138),N(M1138)&gt;0),IF(A1138="BL","Livré plus que commandé","Sorti plus que demandé"),"OK"))))))))))))</f>
        <v/>
      </c>
      <c r="Y1138" s="57" t="str">
        <f>IF(AND(OR(A1138="BL",A1138="BR",A1138="BS"),AG1138&gt;0,D1138&lt;&gt;""),A1138&amp;"|"&amp;AG1138&amp;"|"&amp;D1138&amp;"|"&amp;F1138,"")</f>
        <v/>
      </c>
      <c r="Z1138" s="57" t="str">
        <f>IF(Y1138="","",IF(COUNTIF(Y$6:Y1137,Y1138)=0,1,0))</f>
        <v/>
      </c>
      <c r="AA1138" s="57" t="str">
        <f>IF(Y1138="","",IF(Z1138=1,COUNTIFS(A$6:A1138,A1138,Z$6:Z1138,1),INDEX(AA$6:AA1137,MATCH(Y1138,Y$6:Y1137,0))))</f>
        <v/>
      </c>
      <c r="AB1138" s="57" t="str">
        <f>IF(B1138="","",COUNTIF(B$6:B1138,B1138))</f>
        <v/>
      </c>
      <c r="AC1138" s="57" t="str">
        <f>IF(B1138="","",B1138&amp;"#"&amp;AB1138)</f>
        <v/>
      </c>
      <c r="AD1138" s="57" t="str">
        <f>IF(Z1138=1,A1138&amp;AA1138,"")</f>
        <v/>
      </c>
      <c r="AE1138" s="57" t="str">
        <f>IF(B1138="","",YEAR(C1138))</f>
        <v/>
      </c>
      <c r="AF1138" s="57" t="str">
        <f>IF(B1138="","",MONTH(C1138))</f>
        <v/>
      </c>
      <c r="AG1138" s="57">
        <f>IF(ISNUMBER(C1138),C1138,0)</f>
        <v>0.0</v>
      </c>
      <c r="AH1138" s="57" t="str">
        <f>IF(N(W1138)&gt;0,COUNTIF(W$6:W1138,"&gt;0"),"")</f>
        <v/>
      </c>
      <c r="AI1138" s="57" t="str">
        <f>IF(Z1138=1,COUNTIF(Z$6:Z1138,1),"")</f>
        <v/>
      </c>
    </row>
    <row r="1139">
      <c r="A1139" s="54" t="n"/>
      <c r="B1139" s="55" t="str">
        <f>IF(AA1139="","",A1139&amp;"-"&amp;RIGHT("000"&amp;AA1139,4))</f>
        <v/>
      </c>
      <c r="C1139" s="56" t="n"/>
      <c r="D1139" s="54" t="n"/>
      <c r="E1139" s="57" t="str">
        <f>IF(D1139="","",IF(A1139="BL",IFERROR(INDEX(cl_name,MATCH(D1139,cl_code,0))&amp;"","Client inconnu"),IF(A1139="BR",IFERROR(INDEX(fo_name,MATCH(D1139,fo_code,0))&amp;"","Fournisseur inconnu"),IF(A1139="BS",IF(ISNA(MATCH(D1139,p_services,0)),"Service inconnu",D1139&amp;""),""))))</f>
        <v/>
      </c>
      <c r="F1139" s="58" t="n"/>
      <c r="G1139" s="58" t="n"/>
      <c r="H1139" s="59" t="n"/>
      <c r="I1139" s="57" t="str">
        <f>IF(H1139="","",IFERROR(INDEX(art_des,MATCH(H1139,art_ref,0))&amp;"","Article inconnu"))</f>
        <v/>
      </c>
      <c r="J1139" s="60" t="str">
        <f>IF(H1139="","",IFERROR(INDEX(art_unit,MATCH(H1139,art_ref,0))&amp;"",""))</f>
        <v/>
      </c>
      <c r="K1139" s="59" t="n"/>
      <c r="L1139" s="59" t="n"/>
      <c r="M1139" s="61" t="str">
        <f>IF(OR(B1139="",NOT(ISNUMBER(K1139)),NOT(ISNUMBER(L1139))),"",IF(OR(K1139&lt;=0,L1139&lt;=0),"",ROUND(L1139-K1139,6)))</f>
        <v/>
      </c>
      <c r="N1139" s="58" t="n"/>
      <c r="O1139" s="62" t="n"/>
      <c r="P1139" s="63" t="str">
        <f>IF(OR(B1139="",NOT(ISNUMBER(L1139))),"",IF(L1139&lt;=0,"",IFERROR(ROUND(L1139*N(INDEX(art_w,MATCH(H1139,art_ref,0))),3),"")))</f>
        <v/>
      </c>
      <c r="Q1139" s="59" t="n"/>
      <c r="R1139" s="54" t="n"/>
      <c r="S1139" s="59" t="n"/>
      <c r="T1139" s="59" t="n"/>
      <c r="U1139" s="64" t="str">
        <f>IF(OR(B1139="",H1139=""),"",IFERROR(IF(A1139="BL",IF(N(INDEX(art_price,MATCH(H1139,art_ref,0)))=0,"",N(INDEX(art_price,MATCH(H1139,art_ref,0)))),IF(N(INDEX(art_cost,MATCH(H1139,art_ref,0)))=0,"",N(INDEX(art_cost,MATCH(H1139,art_ref,0))))),""))</f>
        <v/>
      </c>
      <c r="V1139" s="64" t="str">
        <f>IF(OR(U1139="",NOT(ISNUMBER(L1139))),"",IF(L1139&lt;=0,"",ROUND(L1139*U1139,2)))</f>
        <v/>
      </c>
      <c r="W1139" s="60" t="str">
        <f>IF(AND(B1139&lt;&gt;"",A1139&lt;&gt;"BS",F1139&lt;&gt;"",H1139&lt;&gt;"",ISNUMBER(K1139),ISNUMBER(L1139)),IF(AND(K1139&gt;0,L1139&gt;0,K1139-L1139&gt;0,COUNTIFS(A1140:A$2005,A1139,F1140:F$2005,F1139,H1140:H$2005,H1139,AA1140:AA$2005,"&gt;0")=0),ROUND(K1139-L1139,6),""),"")</f>
        <v/>
      </c>
      <c r="X1139" s="60" t="str">
        <f>IF(AND(A1139="",C1139="",D1139="",H1139="",L1139=""),"",IF(A1139="","Type manquant",IF(AND(A1139&lt;&gt;"BL",A1139&lt;&gt;"BR",A1139&lt;&gt;"BS"),"Type inconnu (BL, BR ou BS)",IF(AG1139=0,"Date manquante ou invalide",IF(D1139="",IF(A1139="BL","Client manquant",IF(A1139="BR","Fournisseur manquant","Service manquant")),IF(IF(A1139="BL",ISNA(MATCH(D1139,cl_code,0)),IF(A1139="BR",ISNA(MATCH(D1139,fo_code,0)),ISNA(MATCH(D1139,p_services,0)))),IF(A1139="BL","Client inconnu",IF(A1139="BR","Fournisseur inconnu","Service inconnu")),IF(H1139="","Article manquant",IF(ISNA(MATCH(H1139,art_ref,0)),"Article inconnu",IF(OR(NOT(ISNUMBER(L1139)),N(L1139)&lt;=0),"Quantité invalide",IF(AND(K1139&lt;&gt;"",OR(NOT(ISNUMBER(K1139)),N(K1139)&lt;=0)),"Qté commandée invalide",IF(AG1139&lt;SUMPRODUCT(MAX((A$6:A1138=A1139)*AG$6:AG1138)),"Date antérieure au bon précédent",IF(AND(A1139&lt;&gt;"BR",ISNUMBER(M1139),N(M1139)&gt;0),IF(A1139="BL","Livré plus que commandé","Sorti plus que demandé"),"OK"))))))))))))</f>
        <v/>
      </c>
      <c r="Y1139" s="57" t="str">
        <f>IF(AND(OR(A1139="BL",A1139="BR",A1139="BS"),AG1139&gt;0,D1139&lt;&gt;""),A1139&amp;"|"&amp;AG1139&amp;"|"&amp;D1139&amp;"|"&amp;F1139,"")</f>
        <v/>
      </c>
      <c r="Z1139" s="57" t="str">
        <f>IF(Y1139="","",IF(COUNTIF(Y$6:Y1138,Y1139)=0,1,0))</f>
        <v/>
      </c>
      <c r="AA1139" s="57" t="str">
        <f>IF(Y1139="","",IF(Z1139=1,COUNTIFS(A$6:A1139,A1139,Z$6:Z1139,1),INDEX(AA$6:AA1138,MATCH(Y1139,Y$6:Y1138,0))))</f>
        <v/>
      </c>
      <c r="AB1139" s="57" t="str">
        <f>IF(B1139="","",COUNTIF(B$6:B1139,B1139))</f>
        <v/>
      </c>
      <c r="AC1139" s="57" t="str">
        <f>IF(B1139="","",B1139&amp;"#"&amp;AB1139)</f>
        <v/>
      </c>
      <c r="AD1139" s="57" t="str">
        <f>IF(Z1139=1,A1139&amp;AA1139,"")</f>
        <v/>
      </c>
      <c r="AE1139" s="57" t="str">
        <f>IF(B1139="","",YEAR(C1139))</f>
        <v/>
      </c>
      <c r="AF1139" s="57" t="str">
        <f>IF(B1139="","",MONTH(C1139))</f>
        <v/>
      </c>
      <c r="AG1139" s="57">
        <f>IF(ISNUMBER(C1139),C1139,0)</f>
        <v>0.0</v>
      </c>
      <c r="AH1139" s="57" t="str">
        <f>IF(N(W1139)&gt;0,COUNTIF(W$6:W1139,"&gt;0"),"")</f>
        <v/>
      </c>
      <c r="AI1139" s="57" t="str">
        <f>IF(Z1139=1,COUNTIF(Z$6:Z1139,1),"")</f>
        <v/>
      </c>
    </row>
    <row r="1140">
      <c r="A1140" s="54" t="n"/>
      <c r="B1140" s="55" t="str">
        <f>IF(AA1140="","",A1140&amp;"-"&amp;RIGHT("000"&amp;AA1140,4))</f>
        <v/>
      </c>
      <c r="C1140" s="56" t="n"/>
      <c r="D1140" s="54" t="n"/>
      <c r="E1140" s="57" t="str">
        <f>IF(D1140="","",IF(A1140="BL",IFERROR(INDEX(cl_name,MATCH(D1140,cl_code,0))&amp;"","Client inconnu"),IF(A1140="BR",IFERROR(INDEX(fo_name,MATCH(D1140,fo_code,0))&amp;"","Fournisseur inconnu"),IF(A1140="BS",IF(ISNA(MATCH(D1140,p_services,0)),"Service inconnu",D1140&amp;""),""))))</f>
        <v/>
      </c>
      <c r="F1140" s="58" t="n"/>
      <c r="G1140" s="58" t="n"/>
      <c r="H1140" s="59" t="n"/>
      <c r="I1140" s="57" t="str">
        <f>IF(H1140="","",IFERROR(INDEX(art_des,MATCH(H1140,art_ref,0))&amp;"","Article inconnu"))</f>
        <v/>
      </c>
      <c r="J1140" s="60" t="str">
        <f>IF(H1140="","",IFERROR(INDEX(art_unit,MATCH(H1140,art_ref,0))&amp;"",""))</f>
        <v/>
      </c>
      <c r="K1140" s="59" t="n"/>
      <c r="L1140" s="59" t="n"/>
      <c r="M1140" s="61" t="str">
        <f>IF(OR(B1140="",NOT(ISNUMBER(K1140)),NOT(ISNUMBER(L1140))),"",IF(OR(K1140&lt;=0,L1140&lt;=0),"",ROUND(L1140-K1140,6)))</f>
        <v/>
      </c>
      <c r="N1140" s="58" t="n"/>
      <c r="O1140" s="62" t="n"/>
      <c r="P1140" s="63" t="str">
        <f>IF(OR(B1140="",NOT(ISNUMBER(L1140))),"",IF(L1140&lt;=0,"",IFERROR(ROUND(L1140*N(INDEX(art_w,MATCH(H1140,art_ref,0))),3),"")))</f>
        <v/>
      </c>
      <c r="Q1140" s="59" t="n"/>
      <c r="R1140" s="54" t="n"/>
      <c r="S1140" s="59" t="n"/>
      <c r="T1140" s="59" t="n"/>
      <c r="U1140" s="64" t="str">
        <f>IF(OR(B1140="",H1140=""),"",IFERROR(IF(A1140="BL",IF(N(INDEX(art_price,MATCH(H1140,art_ref,0)))=0,"",N(INDEX(art_price,MATCH(H1140,art_ref,0)))),IF(N(INDEX(art_cost,MATCH(H1140,art_ref,0)))=0,"",N(INDEX(art_cost,MATCH(H1140,art_ref,0))))),""))</f>
        <v/>
      </c>
      <c r="V1140" s="64" t="str">
        <f>IF(OR(U1140="",NOT(ISNUMBER(L1140))),"",IF(L1140&lt;=0,"",ROUND(L1140*U1140,2)))</f>
        <v/>
      </c>
      <c r="W1140" s="60" t="str">
        <f>IF(AND(B1140&lt;&gt;"",A1140&lt;&gt;"BS",F1140&lt;&gt;"",H1140&lt;&gt;"",ISNUMBER(K1140),ISNUMBER(L1140)),IF(AND(K1140&gt;0,L1140&gt;0,K1140-L1140&gt;0,COUNTIFS(A1141:A$2005,A1140,F1141:F$2005,F1140,H1141:H$2005,H1140,AA1141:AA$2005,"&gt;0")=0),ROUND(K1140-L1140,6),""),"")</f>
        <v/>
      </c>
      <c r="X1140" s="60" t="str">
        <f>IF(AND(A1140="",C1140="",D1140="",H1140="",L1140=""),"",IF(A1140="","Type manquant",IF(AND(A1140&lt;&gt;"BL",A1140&lt;&gt;"BR",A1140&lt;&gt;"BS"),"Type inconnu (BL, BR ou BS)",IF(AG1140=0,"Date manquante ou invalide",IF(D1140="",IF(A1140="BL","Client manquant",IF(A1140="BR","Fournisseur manquant","Service manquant")),IF(IF(A1140="BL",ISNA(MATCH(D1140,cl_code,0)),IF(A1140="BR",ISNA(MATCH(D1140,fo_code,0)),ISNA(MATCH(D1140,p_services,0)))),IF(A1140="BL","Client inconnu",IF(A1140="BR","Fournisseur inconnu","Service inconnu")),IF(H1140="","Article manquant",IF(ISNA(MATCH(H1140,art_ref,0)),"Article inconnu",IF(OR(NOT(ISNUMBER(L1140)),N(L1140)&lt;=0),"Quantité invalide",IF(AND(K1140&lt;&gt;"",OR(NOT(ISNUMBER(K1140)),N(K1140)&lt;=0)),"Qté commandée invalide",IF(AG1140&lt;SUMPRODUCT(MAX((A$6:A1139=A1140)*AG$6:AG1139)),"Date antérieure au bon précédent",IF(AND(A1140&lt;&gt;"BR",ISNUMBER(M1140),N(M1140)&gt;0),IF(A1140="BL","Livré plus que commandé","Sorti plus que demandé"),"OK"))))))))))))</f>
        <v/>
      </c>
      <c r="Y1140" s="57" t="str">
        <f>IF(AND(OR(A1140="BL",A1140="BR",A1140="BS"),AG1140&gt;0,D1140&lt;&gt;""),A1140&amp;"|"&amp;AG1140&amp;"|"&amp;D1140&amp;"|"&amp;F1140,"")</f>
        <v/>
      </c>
      <c r="Z1140" s="57" t="str">
        <f>IF(Y1140="","",IF(COUNTIF(Y$6:Y1139,Y1140)=0,1,0))</f>
        <v/>
      </c>
      <c r="AA1140" s="57" t="str">
        <f>IF(Y1140="","",IF(Z1140=1,COUNTIFS(A$6:A1140,A1140,Z$6:Z1140,1),INDEX(AA$6:AA1139,MATCH(Y1140,Y$6:Y1139,0))))</f>
        <v/>
      </c>
      <c r="AB1140" s="57" t="str">
        <f>IF(B1140="","",COUNTIF(B$6:B1140,B1140))</f>
        <v/>
      </c>
      <c r="AC1140" s="57" t="str">
        <f>IF(B1140="","",B1140&amp;"#"&amp;AB1140)</f>
        <v/>
      </c>
      <c r="AD1140" s="57" t="str">
        <f>IF(Z1140=1,A1140&amp;AA1140,"")</f>
        <v/>
      </c>
      <c r="AE1140" s="57" t="str">
        <f>IF(B1140="","",YEAR(C1140))</f>
        <v/>
      </c>
      <c r="AF1140" s="57" t="str">
        <f>IF(B1140="","",MONTH(C1140))</f>
        <v/>
      </c>
      <c r="AG1140" s="57">
        <f>IF(ISNUMBER(C1140),C1140,0)</f>
        <v>0.0</v>
      </c>
      <c r="AH1140" s="57" t="str">
        <f>IF(N(W1140)&gt;0,COUNTIF(W$6:W1140,"&gt;0"),"")</f>
        <v/>
      </c>
      <c r="AI1140" s="57" t="str">
        <f>IF(Z1140=1,COUNTIF(Z$6:Z1140,1),"")</f>
        <v/>
      </c>
    </row>
    <row r="1141">
      <c r="A1141" s="54" t="n"/>
      <c r="B1141" s="55" t="str">
        <f>IF(AA1141="","",A1141&amp;"-"&amp;RIGHT("000"&amp;AA1141,4))</f>
        <v/>
      </c>
      <c r="C1141" s="56" t="n"/>
      <c r="D1141" s="54" t="n"/>
      <c r="E1141" s="57" t="str">
        <f>IF(D1141="","",IF(A1141="BL",IFERROR(INDEX(cl_name,MATCH(D1141,cl_code,0))&amp;"","Client inconnu"),IF(A1141="BR",IFERROR(INDEX(fo_name,MATCH(D1141,fo_code,0))&amp;"","Fournisseur inconnu"),IF(A1141="BS",IF(ISNA(MATCH(D1141,p_services,0)),"Service inconnu",D1141&amp;""),""))))</f>
        <v/>
      </c>
      <c r="F1141" s="58" t="n"/>
      <c r="G1141" s="58" t="n"/>
      <c r="H1141" s="59" t="n"/>
      <c r="I1141" s="57" t="str">
        <f>IF(H1141="","",IFERROR(INDEX(art_des,MATCH(H1141,art_ref,0))&amp;"","Article inconnu"))</f>
        <v/>
      </c>
      <c r="J1141" s="60" t="str">
        <f>IF(H1141="","",IFERROR(INDEX(art_unit,MATCH(H1141,art_ref,0))&amp;"",""))</f>
        <v/>
      </c>
      <c r="K1141" s="59" t="n"/>
      <c r="L1141" s="59" t="n"/>
      <c r="M1141" s="61" t="str">
        <f>IF(OR(B1141="",NOT(ISNUMBER(K1141)),NOT(ISNUMBER(L1141))),"",IF(OR(K1141&lt;=0,L1141&lt;=0),"",ROUND(L1141-K1141,6)))</f>
        <v/>
      </c>
      <c r="N1141" s="58" t="n"/>
      <c r="O1141" s="62" t="n"/>
      <c r="P1141" s="63" t="str">
        <f>IF(OR(B1141="",NOT(ISNUMBER(L1141))),"",IF(L1141&lt;=0,"",IFERROR(ROUND(L1141*N(INDEX(art_w,MATCH(H1141,art_ref,0))),3),"")))</f>
        <v/>
      </c>
      <c r="Q1141" s="59" t="n"/>
      <c r="R1141" s="54" t="n"/>
      <c r="S1141" s="59" t="n"/>
      <c r="T1141" s="59" t="n"/>
      <c r="U1141" s="64" t="str">
        <f>IF(OR(B1141="",H1141=""),"",IFERROR(IF(A1141="BL",IF(N(INDEX(art_price,MATCH(H1141,art_ref,0)))=0,"",N(INDEX(art_price,MATCH(H1141,art_ref,0)))),IF(N(INDEX(art_cost,MATCH(H1141,art_ref,0)))=0,"",N(INDEX(art_cost,MATCH(H1141,art_ref,0))))),""))</f>
        <v/>
      </c>
      <c r="V1141" s="64" t="str">
        <f>IF(OR(U1141="",NOT(ISNUMBER(L1141))),"",IF(L1141&lt;=0,"",ROUND(L1141*U1141,2)))</f>
        <v/>
      </c>
      <c r="W1141" s="60" t="str">
        <f>IF(AND(B1141&lt;&gt;"",A1141&lt;&gt;"BS",F1141&lt;&gt;"",H1141&lt;&gt;"",ISNUMBER(K1141),ISNUMBER(L1141)),IF(AND(K1141&gt;0,L1141&gt;0,K1141-L1141&gt;0,COUNTIFS(A1142:A$2005,A1141,F1142:F$2005,F1141,H1142:H$2005,H1141,AA1142:AA$2005,"&gt;0")=0),ROUND(K1141-L1141,6),""),"")</f>
        <v/>
      </c>
      <c r="X1141" s="60" t="str">
        <f>IF(AND(A1141="",C1141="",D1141="",H1141="",L1141=""),"",IF(A1141="","Type manquant",IF(AND(A1141&lt;&gt;"BL",A1141&lt;&gt;"BR",A1141&lt;&gt;"BS"),"Type inconnu (BL, BR ou BS)",IF(AG1141=0,"Date manquante ou invalide",IF(D1141="",IF(A1141="BL","Client manquant",IF(A1141="BR","Fournisseur manquant","Service manquant")),IF(IF(A1141="BL",ISNA(MATCH(D1141,cl_code,0)),IF(A1141="BR",ISNA(MATCH(D1141,fo_code,0)),ISNA(MATCH(D1141,p_services,0)))),IF(A1141="BL","Client inconnu",IF(A1141="BR","Fournisseur inconnu","Service inconnu")),IF(H1141="","Article manquant",IF(ISNA(MATCH(H1141,art_ref,0)),"Article inconnu",IF(OR(NOT(ISNUMBER(L1141)),N(L1141)&lt;=0),"Quantité invalide",IF(AND(K1141&lt;&gt;"",OR(NOT(ISNUMBER(K1141)),N(K1141)&lt;=0)),"Qté commandée invalide",IF(AG1141&lt;SUMPRODUCT(MAX((A$6:A1140=A1141)*AG$6:AG1140)),"Date antérieure au bon précédent",IF(AND(A1141&lt;&gt;"BR",ISNUMBER(M1141),N(M1141)&gt;0),IF(A1141="BL","Livré plus que commandé","Sorti plus que demandé"),"OK"))))))))))))</f>
        <v/>
      </c>
      <c r="Y1141" s="57" t="str">
        <f>IF(AND(OR(A1141="BL",A1141="BR",A1141="BS"),AG1141&gt;0,D1141&lt;&gt;""),A1141&amp;"|"&amp;AG1141&amp;"|"&amp;D1141&amp;"|"&amp;F1141,"")</f>
        <v/>
      </c>
      <c r="Z1141" s="57" t="str">
        <f>IF(Y1141="","",IF(COUNTIF(Y$6:Y1140,Y1141)=0,1,0))</f>
        <v/>
      </c>
      <c r="AA1141" s="57" t="str">
        <f>IF(Y1141="","",IF(Z1141=1,COUNTIFS(A$6:A1141,A1141,Z$6:Z1141,1),INDEX(AA$6:AA1140,MATCH(Y1141,Y$6:Y1140,0))))</f>
        <v/>
      </c>
      <c r="AB1141" s="57" t="str">
        <f>IF(B1141="","",COUNTIF(B$6:B1141,B1141))</f>
        <v/>
      </c>
      <c r="AC1141" s="57" t="str">
        <f>IF(B1141="","",B1141&amp;"#"&amp;AB1141)</f>
        <v/>
      </c>
      <c r="AD1141" s="57" t="str">
        <f>IF(Z1141=1,A1141&amp;AA1141,"")</f>
        <v/>
      </c>
      <c r="AE1141" s="57" t="str">
        <f>IF(B1141="","",YEAR(C1141))</f>
        <v/>
      </c>
      <c r="AF1141" s="57" t="str">
        <f>IF(B1141="","",MONTH(C1141))</f>
        <v/>
      </c>
      <c r="AG1141" s="57">
        <f>IF(ISNUMBER(C1141),C1141,0)</f>
        <v>0.0</v>
      </c>
      <c r="AH1141" s="57" t="str">
        <f>IF(N(W1141)&gt;0,COUNTIF(W$6:W1141,"&gt;0"),"")</f>
        <v/>
      </c>
      <c r="AI1141" s="57" t="str">
        <f>IF(Z1141=1,COUNTIF(Z$6:Z1141,1),"")</f>
        <v/>
      </c>
    </row>
    <row r="1142">
      <c r="A1142" s="54" t="n"/>
      <c r="B1142" s="55" t="str">
        <f>IF(AA1142="","",A1142&amp;"-"&amp;RIGHT("000"&amp;AA1142,4))</f>
        <v/>
      </c>
      <c r="C1142" s="56" t="n"/>
      <c r="D1142" s="54" t="n"/>
      <c r="E1142" s="57" t="str">
        <f>IF(D1142="","",IF(A1142="BL",IFERROR(INDEX(cl_name,MATCH(D1142,cl_code,0))&amp;"","Client inconnu"),IF(A1142="BR",IFERROR(INDEX(fo_name,MATCH(D1142,fo_code,0))&amp;"","Fournisseur inconnu"),IF(A1142="BS",IF(ISNA(MATCH(D1142,p_services,0)),"Service inconnu",D1142&amp;""),""))))</f>
        <v/>
      </c>
      <c r="F1142" s="58" t="n"/>
      <c r="G1142" s="58" t="n"/>
      <c r="H1142" s="59" t="n"/>
      <c r="I1142" s="57" t="str">
        <f>IF(H1142="","",IFERROR(INDEX(art_des,MATCH(H1142,art_ref,0))&amp;"","Article inconnu"))</f>
        <v/>
      </c>
      <c r="J1142" s="60" t="str">
        <f>IF(H1142="","",IFERROR(INDEX(art_unit,MATCH(H1142,art_ref,0))&amp;"",""))</f>
        <v/>
      </c>
      <c r="K1142" s="59" t="n"/>
      <c r="L1142" s="59" t="n"/>
      <c r="M1142" s="61" t="str">
        <f>IF(OR(B1142="",NOT(ISNUMBER(K1142)),NOT(ISNUMBER(L1142))),"",IF(OR(K1142&lt;=0,L1142&lt;=0),"",ROUND(L1142-K1142,6)))</f>
        <v/>
      </c>
      <c r="N1142" s="58" t="n"/>
      <c r="O1142" s="62" t="n"/>
      <c r="P1142" s="63" t="str">
        <f>IF(OR(B1142="",NOT(ISNUMBER(L1142))),"",IF(L1142&lt;=0,"",IFERROR(ROUND(L1142*N(INDEX(art_w,MATCH(H1142,art_ref,0))),3),"")))</f>
        <v/>
      </c>
      <c r="Q1142" s="59" t="n"/>
      <c r="R1142" s="54" t="n"/>
      <c r="S1142" s="59" t="n"/>
      <c r="T1142" s="59" t="n"/>
      <c r="U1142" s="64" t="str">
        <f>IF(OR(B1142="",H1142=""),"",IFERROR(IF(A1142="BL",IF(N(INDEX(art_price,MATCH(H1142,art_ref,0)))=0,"",N(INDEX(art_price,MATCH(H1142,art_ref,0)))),IF(N(INDEX(art_cost,MATCH(H1142,art_ref,0)))=0,"",N(INDEX(art_cost,MATCH(H1142,art_ref,0))))),""))</f>
        <v/>
      </c>
      <c r="V1142" s="64" t="str">
        <f>IF(OR(U1142="",NOT(ISNUMBER(L1142))),"",IF(L1142&lt;=0,"",ROUND(L1142*U1142,2)))</f>
        <v/>
      </c>
      <c r="W1142" s="60" t="str">
        <f>IF(AND(B1142&lt;&gt;"",A1142&lt;&gt;"BS",F1142&lt;&gt;"",H1142&lt;&gt;"",ISNUMBER(K1142),ISNUMBER(L1142)),IF(AND(K1142&gt;0,L1142&gt;0,K1142-L1142&gt;0,COUNTIFS(A1143:A$2005,A1142,F1143:F$2005,F1142,H1143:H$2005,H1142,AA1143:AA$2005,"&gt;0")=0),ROUND(K1142-L1142,6),""),"")</f>
        <v/>
      </c>
      <c r="X1142" s="60" t="str">
        <f>IF(AND(A1142="",C1142="",D1142="",H1142="",L1142=""),"",IF(A1142="","Type manquant",IF(AND(A1142&lt;&gt;"BL",A1142&lt;&gt;"BR",A1142&lt;&gt;"BS"),"Type inconnu (BL, BR ou BS)",IF(AG1142=0,"Date manquante ou invalide",IF(D1142="",IF(A1142="BL","Client manquant",IF(A1142="BR","Fournisseur manquant","Service manquant")),IF(IF(A1142="BL",ISNA(MATCH(D1142,cl_code,0)),IF(A1142="BR",ISNA(MATCH(D1142,fo_code,0)),ISNA(MATCH(D1142,p_services,0)))),IF(A1142="BL","Client inconnu",IF(A1142="BR","Fournisseur inconnu","Service inconnu")),IF(H1142="","Article manquant",IF(ISNA(MATCH(H1142,art_ref,0)),"Article inconnu",IF(OR(NOT(ISNUMBER(L1142)),N(L1142)&lt;=0),"Quantité invalide",IF(AND(K1142&lt;&gt;"",OR(NOT(ISNUMBER(K1142)),N(K1142)&lt;=0)),"Qté commandée invalide",IF(AG1142&lt;SUMPRODUCT(MAX((A$6:A1141=A1142)*AG$6:AG1141)),"Date antérieure au bon précédent",IF(AND(A1142&lt;&gt;"BR",ISNUMBER(M1142),N(M1142)&gt;0),IF(A1142="BL","Livré plus que commandé","Sorti plus que demandé"),"OK"))))))))))))</f>
        <v/>
      </c>
      <c r="Y1142" s="57" t="str">
        <f>IF(AND(OR(A1142="BL",A1142="BR",A1142="BS"),AG1142&gt;0,D1142&lt;&gt;""),A1142&amp;"|"&amp;AG1142&amp;"|"&amp;D1142&amp;"|"&amp;F1142,"")</f>
        <v/>
      </c>
      <c r="Z1142" s="57" t="str">
        <f>IF(Y1142="","",IF(COUNTIF(Y$6:Y1141,Y1142)=0,1,0))</f>
        <v/>
      </c>
      <c r="AA1142" s="57" t="str">
        <f>IF(Y1142="","",IF(Z1142=1,COUNTIFS(A$6:A1142,A1142,Z$6:Z1142,1),INDEX(AA$6:AA1141,MATCH(Y1142,Y$6:Y1141,0))))</f>
        <v/>
      </c>
      <c r="AB1142" s="57" t="str">
        <f>IF(B1142="","",COUNTIF(B$6:B1142,B1142))</f>
        <v/>
      </c>
      <c r="AC1142" s="57" t="str">
        <f>IF(B1142="","",B1142&amp;"#"&amp;AB1142)</f>
        <v/>
      </c>
      <c r="AD1142" s="57" t="str">
        <f>IF(Z1142=1,A1142&amp;AA1142,"")</f>
        <v/>
      </c>
      <c r="AE1142" s="57" t="str">
        <f>IF(B1142="","",YEAR(C1142))</f>
        <v/>
      </c>
      <c r="AF1142" s="57" t="str">
        <f>IF(B1142="","",MONTH(C1142))</f>
        <v/>
      </c>
      <c r="AG1142" s="57">
        <f>IF(ISNUMBER(C1142),C1142,0)</f>
        <v>0.0</v>
      </c>
      <c r="AH1142" s="57" t="str">
        <f>IF(N(W1142)&gt;0,COUNTIF(W$6:W1142,"&gt;0"),"")</f>
        <v/>
      </c>
      <c r="AI1142" s="57" t="str">
        <f>IF(Z1142=1,COUNTIF(Z$6:Z1142,1),"")</f>
        <v/>
      </c>
    </row>
    <row r="1143">
      <c r="A1143" s="54" t="n"/>
      <c r="B1143" s="55" t="str">
        <f>IF(AA1143="","",A1143&amp;"-"&amp;RIGHT("000"&amp;AA1143,4))</f>
        <v/>
      </c>
      <c r="C1143" s="56" t="n"/>
      <c r="D1143" s="54" t="n"/>
      <c r="E1143" s="57" t="str">
        <f>IF(D1143="","",IF(A1143="BL",IFERROR(INDEX(cl_name,MATCH(D1143,cl_code,0))&amp;"","Client inconnu"),IF(A1143="BR",IFERROR(INDEX(fo_name,MATCH(D1143,fo_code,0))&amp;"","Fournisseur inconnu"),IF(A1143="BS",IF(ISNA(MATCH(D1143,p_services,0)),"Service inconnu",D1143&amp;""),""))))</f>
        <v/>
      </c>
      <c r="F1143" s="58" t="n"/>
      <c r="G1143" s="58" t="n"/>
      <c r="H1143" s="59" t="n"/>
      <c r="I1143" s="57" t="str">
        <f>IF(H1143="","",IFERROR(INDEX(art_des,MATCH(H1143,art_ref,0))&amp;"","Article inconnu"))</f>
        <v/>
      </c>
      <c r="J1143" s="60" t="str">
        <f>IF(H1143="","",IFERROR(INDEX(art_unit,MATCH(H1143,art_ref,0))&amp;"",""))</f>
        <v/>
      </c>
      <c r="K1143" s="59" t="n"/>
      <c r="L1143" s="59" t="n"/>
      <c r="M1143" s="61" t="str">
        <f>IF(OR(B1143="",NOT(ISNUMBER(K1143)),NOT(ISNUMBER(L1143))),"",IF(OR(K1143&lt;=0,L1143&lt;=0),"",ROUND(L1143-K1143,6)))</f>
        <v/>
      </c>
      <c r="N1143" s="58" t="n"/>
      <c r="O1143" s="62" t="n"/>
      <c r="P1143" s="63" t="str">
        <f>IF(OR(B1143="",NOT(ISNUMBER(L1143))),"",IF(L1143&lt;=0,"",IFERROR(ROUND(L1143*N(INDEX(art_w,MATCH(H1143,art_ref,0))),3),"")))</f>
        <v/>
      </c>
      <c r="Q1143" s="59" t="n"/>
      <c r="R1143" s="54" t="n"/>
      <c r="S1143" s="59" t="n"/>
      <c r="T1143" s="59" t="n"/>
      <c r="U1143" s="64" t="str">
        <f>IF(OR(B1143="",H1143=""),"",IFERROR(IF(A1143="BL",IF(N(INDEX(art_price,MATCH(H1143,art_ref,0)))=0,"",N(INDEX(art_price,MATCH(H1143,art_ref,0)))),IF(N(INDEX(art_cost,MATCH(H1143,art_ref,0)))=0,"",N(INDEX(art_cost,MATCH(H1143,art_ref,0))))),""))</f>
        <v/>
      </c>
      <c r="V1143" s="64" t="str">
        <f>IF(OR(U1143="",NOT(ISNUMBER(L1143))),"",IF(L1143&lt;=0,"",ROUND(L1143*U1143,2)))</f>
        <v/>
      </c>
      <c r="W1143" s="60" t="str">
        <f>IF(AND(B1143&lt;&gt;"",A1143&lt;&gt;"BS",F1143&lt;&gt;"",H1143&lt;&gt;"",ISNUMBER(K1143),ISNUMBER(L1143)),IF(AND(K1143&gt;0,L1143&gt;0,K1143-L1143&gt;0,COUNTIFS(A1144:A$2005,A1143,F1144:F$2005,F1143,H1144:H$2005,H1143,AA1144:AA$2005,"&gt;0")=0),ROUND(K1143-L1143,6),""),"")</f>
        <v/>
      </c>
      <c r="X1143" s="60" t="str">
        <f>IF(AND(A1143="",C1143="",D1143="",H1143="",L1143=""),"",IF(A1143="","Type manquant",IF(AND(A1143&lt;&gt;"BL",A1143&lt;&gt;"BR",A1143&lt;&gt;"BS"),"Type inconnu (BL, BR ou BS)",IF(AG1143=0,"Date manquante ou invalide",IF(D1143="",IF(A1143="BL","Client manquant",IF(A1143="BR","Fournisseur manquant","Service manquant")),IF(IF(A1143="BL",ISNA(MATCH(D1143,cl_code,0)),IF(A1143="BR",ISNA(MATCH(D1143,fo_code,0)),ISNA(MATCH(D1143,p_services,0)))),IF(A1143="BL","Client inconnu",IF(A1143="BR","Fournisseur inconnu","Service inconnu")),IF(H1143="","Article manquant",IF(ISNA(MATCH(H1143,art_ref,0)),"Article inconnu",IF(OR(NOT(ISNUMBER(L1143)),N(L1143)&lt;=0),"Quantité invalide",IF(AND(K1143&lt;&gt;"",OR(NOT(ISNUMBER(K1143)),N(K1143)&lt;=0)),"Qté commandée invalide",IF(AG1143&lt;SUMPRODUCT(MAX((A$6:A1142=A1143)*AG$6:AG1142)),"Date antérieure au bon précédent",IF(AND(A1143&lt;&gt;"BR",ISNUMBER(M1143),N(M1143)&gt;0),IF(A1143="BL","Livré plus que commandé","Sorti plus que demandé"),"OK"))))))))))))</f>
        <v/>
      </c>
      <c r="Y1143" s="57" t="str">
        <f>IF(AND(OR(A1143="BL",A1143="BR",A1143="BS"),AG1143&gt;0,D1143&lt;&gt;""),A1143&amp;"|"&amp;AG1143&amp;"|"&amp;D1143&amp;"|"&amp;F1143,"")</f>
        <v/>
      </c>
      <c r="Z1143" s="57" t="str">
        <f>IF(Y1143="","",IF(COUNTIF(Y$6:Y1142,Y1143)=0,1,0))</f>
        <v/>
      </c>
      <c r="AA1143" s="57" t="str">
        <f>IF(Y1143="","",IF(Z1143=1,COUNTIFS(A$6:A1143,A1143,Z$6:Z1143,1),INDEX(AA$6:AA1142,MATCH(Y1143,Y$6:Y1142,0))))</f>
        <v/>
      </c>
      <c r="AB1143" s="57" t="str">
        <f>IF(B1143="","",COUNTIF(B$6:B1143,B1143))</f>
        <v/>
      </c>
      <c r="AC1143" s="57" t="str">
        <f>IF(B1143="","",B1143&amp;"#"&amp;AB1143)</f>
        <v/>
      </c>
      <c r="AD1143" s="57" t="str">
        <f>IF(Z1143=1,A1143&amp;AA1143,"")</f>
        <v/>
      </c>
      <c r="AE1143" s="57" t="str">
        <f>IF(B1143="","",YEAR(C1143))</f>
        <v/>
      </c>
      <c r="AF1143" s="57" t="str">
        <f>IF(B1143="","",MONTH(C1143))</f>
        <v/>
      </c>
      <c r="AG1143" s="57">
        <f>IF(ISNUMBER(C1143),C1143,0)</f>
        <v>0.0</v>
      </c>
      <c r="AH1143" s="57" t="str">
        <f>IF(N(W1143)&gt;0,COUNTIF(W$6:W1143,"&gt;0"),"")</f>
        <v/>
      </c>
      <c r="AI1143" s="57" t="str">
        <f>IF(Z1143=1,COUNTIF(Z$6:Z1143,1),"")</f>
        <v/>
      </c>
    </row>
    <row r="1144">
      <c r="A1144" s="54" t="n"/>
      <c r="B1144" s="55" t="str">
        <f>IF(AA1144="","",A1144&amp;"-"&amp;RIGHT("000"&amp;AA1144,4))</f>
        <v/>
      </c>
      <c r="C1144" s="56" t="n"/>
      <c r="D1144" s="54" t="n"/>
      <c r="E1144" s="57" t="str">
        <f>IF(D1144="","",IF(A1144="BL",IFERROR(INDEX(cl_name,MATCH(D1144,cl_code,0))&amp;"","Client inconnu"),IF(A1144="BR",IFERROR(INDEX(fo_name,MATCH(D1144,fo_code,0))&amp;"","Fournisseur inconnu"),IF(A1144="BS",IF(ISNA(MATCH(D1144,p_services,0)),"Service inconnu",D1144&amp;""),""))))</f>
        <v/>
      </c>
      <c r="F1144" s="58" t="n"/>
      <c r="G1144" s="58" t="n"/>
      <c r="H1144" s="59" t="n"/>
      <c r="I1144" s="57" t="str">
        <f>IF(H1144="","",IFERROR(INDEX(art_des,MATCH(H1144,art_ref,0))&amp;"","Article inconnu"))</f>
        <v/>
      </c>
      <c r="J1144" s="60" t="str">
        <f>IF(H1144="","",IFERROR(INDEX(art_unit,MATCH(H1144,art_ref,0))&amp;"",""))</f>
        <v/>
      </c>
      <c r="K1144" s="59" t="n"/>
      <c r="L1144" s="59" t="n"/>
      <c r="M1144" s="61" t="str">
        <f>IF(OR(B1144="",NOT(ISNUMBER(K1144)),NOT(ISNUMBER(L1144))),"",IF(OR(K1144&lt;=0,L1144&lt;=0),"",ROUND(L1144-K1144,6)))</f>
        <v/>
      </c>
      <c r="N1144" s="58" t="n"/>
      <c r="O1144" s="62" t="n"/>
      <c r="P1144" s="63" t="str">
        <f>IF(OR(B1144="",NOT(ISNUMBER(L1144))),"",IF(L1144&lt;=0,"",IFERROR(ROUND(L1144*N(INDEX(art_w,MATCH(H1144,art_ref,0))),3),"")))</f>
        <v/>
      </c>
      <c r="Q1144" s="59" t="n"/>
      <c r="R1144" s="54" t="n"/>
      <c r="S1144" s="59" t="n"/>
      <c r="T1144" s="59" t="n"/>
      <c r="U1144" s="64" t="str">
        <f>IF(OR(B1144="",H1144=""),"",IFERROR(IF(A1144="BL",IF(N(INDEX(art_price,MATCH(H1144,art_ref,0)))=0,"",N(INDEX(art_price,MATCH(H1144,art_ref,0)))),IF(N(INDEX(art_cost,MATCH(H1144,art_ref,0)))=0,"",N(INDEX(art_cost,MATCH(H1144,art_ref,0))))),""))</f>
        <v/>
      </c>
      <c r="V1144" s="64" t="str">
        <f>IF(OR(U1144="",NOT(ISNUMBER(L1144))),"",IF(L1144&lt;=0,"",ROUND(L1144*U1144,2)))</f>
        <v/>
      </c>
      <c r="W1144" s="60" t="str">
        <f>IF(AND(B1144&lt;&gt;"",A1144&lt;&gt;"BS",F1144&lt;&gt;"",H1144&lt;&gt;"",ISNUMBER(K1144),ISNUMBER(L1144)),IF(AND(K1144&gt;0,L1144&gt;0,K1144-L1144&gt;0,COUNTIFS(A1145:A$2005,A1144,F1145:F$2005,F1144,H1145:H$2005,H1144,AA1145:AA$2005,"&gt;0")=0),ROUND(K1144-L1144,6),""),"")</f>
        <v/>
      </c>
      <c r="X1144" s="60" t="str">
        <f>IF(AND(A1144="",C1144="",D1144="",H1144="",L1144=""),"",IF(A1144="","Type manquant",IF(AND(A1144&lt;&gt;"BL",A1144&lt;&gt;"BR",A1144&lt;&gt;"BS"),"Type inconnu (BL, BR ou BS)",IF(AG1144=0,"Date manquante ou invalide",IF(D1144="",IF(A1144="BL","Client manquant",IF(A1144="BR","Fournisseur manquant","Service manquant")),IF(IF(A1144="BL",ISNA(MATCH(D1144,cl_code,0)),IF(A1144="BR",ISNA(MATCH(D1144,fo_code,0)),ISNA(MATCH(D1144,p_services,0)))),IF(A1144="BL","Client inconnu",IF(A1144="BR","Fournisseur inconnu","Service inconnu")),IF(H1144="","Article manquant",IF(ISNA(MATCH(H1144,art_ref,0)),"Article inconnu",IF(OR(NOT(ISNUMBER(L1144)),N(L1144)&lt;=0),"Quantité invalide",IF(AND(K1144&lt;&gt;"",OR(NOT(ISNUMBER(K1144)),N(K1144)&lt;=0)),"Qté commandée invalide",IF(AG1144&lt;SUMPRODUCT(MAX((A$6:A1143=A1144)*AG$6:AG1143)),"Date antérieure au bon précédent",IF(AND(A1144&lt;&gt;"BR",ISNUMBER(M1144),N(M1144)&gt;0),IF(A1144="BL","Livré plus que commandé","Sorti plus que demandé"),"OK"))))))))))))</f>
        <v/>
      </c>
      <c r="Y1144" s="57" t="str">
        <f>IF(AND(OR(A1144="BL",A1144="BR",A1144="BS"),AG1144&gt;0,D1144&lt;&gt;""),A1144&amp;"|"&amp;AG1144&amp;"|"&amp;D1144&amp;"|"&amp;F1144,"")</f>
        <v/>
      </c>
      <c r="Z1144" s="57" t="str">
        <f>IF(Y1144="","",IF(COUNTIF(Y$6:Y1143,Y1144)=0,1,0))</f>
        <v/>
      </c>
      <c r="AA1144" s="57" t="str">
        <f>IF(Y1144="","",IF(Z1144=1,COUNTIFS(A$6:A1144,A1144,Z$6:Z1144,1),INDEX(AA$6:AA1143,MATCH(Y1144,Y$6:Y1143,0))))</f>
        <v/>
      </c>
      <c r="AB1144" s="57" t="str">
        <f>IF(B1144="","",COUNTIF(B$6:B1144,B1144))</f>
        <v/>
      </c>
      <c r="AC1144" s="57" t="str">
        <f>IF(B1144="","",B1144&amp;"#"&amp;AB1144)</f>
        <v/>
      </c>
      <c r="AD1144" s="57" t="str">
        <f>IF(Z1144=1,A1144&amp;AA1144,"")</f>
        <v/>
      </c>
      <c r="AE1144" s="57" t="str">
        <f>IF(B1144="","",YEAR(C1144))</f>
        <v/>
      </c>
      <c r="AF1144" s="57" t="str">
        <f>IF(B1144="","",MONTH(C1144))</f>
        <v/>
      </c>
      <c r="AG1144" s="57">
        <f>IF(ISNUMBER(C1144),C1144,0)</f>
        <v>0.0</v>
      </c>
      <c r="AH1144" s="57" t="str">
        <f>IF(N(W1144)&gt;0,COUNTIF(W$6:W1144,"&gt;0"),"")</f>
        <v/>
      </c>
      <c r="AI1144" s="57" t="str">
        <f>IF(Z1144=1,COUNTIF(Z$6:Z1144,1),"")</f>
        <v/>
      </c>
    </row>
    <row r="1145">
      <c r="A1145" s="54" t="n"/>
      <c r="B1145" s="55" t="str">
        <f>IF(AA1145="","",A1145&amp;"-"&amp;RIGHT("000"&amp;AA1145,4))</f>
        <v/>
      </c>
      <c r="C1145" s="56" t="n"/>
      <c r="D1145" s="54" t="n"/>
      <c r="E1145" s="57" t="str">
        <f>IF(D1145="","",IF(A1145="BL",IFERROR(INDEX(cl_name,MATCH(D1145,cl_code,0))&amp;"","Client inconnu"),IF(A1145="BR",IFERROR(INDEX(fo_name,MATCH(D1145,fo_code,0))&amp;"","Fournisseur inconnu"),IF(A1145="BS",IF(ISNA(MATCH(D1145,p_services,0)),"Service inconnu",D1145&amp;""),""))))</f>
        <v/>
      </c>
      <c r="F1145" s="58" t="n"/>
      <c r="G1145" s="58" t="n"/>
      <c r="H1145" s="59" t="n"/>
      <c r="I1145" s="57" t="str">
        <f>IF(H1145="","",IFERROR(INDEX(art_des,MATCH(H1145,art_ref,0))&amp;"","Article inconnu"))</f>
        <v/>
      </c>
      <c r="J1145" s="60" t="str">
        <f>IF(H1145="","",IFERROR(INDEX(art_unit,MATCH(H1145,art_ref,0))&amp;"",""))</f>
        <v/>
      </c>
      <c r="K1145" s="59" t="n"/>
      <c r="L1145" s="59" t="n"/>
      <c r="M1145" s="61" t="str">
        <f>IF(OR(B1145="",NOT(ISNUMBER(K1145)),NOT(ISNUMBER(L1145))),"",IF(OR(K1145&lt;=0,L1145&lt;=0),"",ROUND(L1145-K1145,6)))</f>
        <v/>
      </c>
      <c r="N1145" s="58" t="n"/>
      <c r="O1145" s="62" t="n"/>
      <c r="P1145" s="63" t="str">
        <f>IF(OR(B1145="",NOT(ISNUMBER(L1145))),"",IF(L1145&lt;=0,"",IFERROR(ROUND(L1145*N(INDEX(art_w,MATCH(H1145,art_ref,0))),3),"")))</f>
        <v/>
      </c>
      <c r="Q1145" s="59" t="n"/>
      <c r="R1145" s="54" t="n"/>
      <c r="S1145" s="59" t="n"/>
      <c r="T1145" s="59" t="n"/>
      <c r="U1145" s="64" t="str">
        <f>IF(OR(B1145="",H1145=""),"",IFERROR(IF(A1145="BL",IF(N(INDEX(art_price,MATCH(H1145,art_ref,0)))=0,"",N(INDEX(art_price,MATCH(H1145,art_ref,0)))),IF(N(INDEX(art_cost,MATCH(H1145,art_ref,0)))=0,"",N(INDEX(art_cost,MATCH(H1145,art_ref,0))))),""))</f>
        <v/>
      </c>
      <c r="V1145" s="64" t="str">
        <f>IF(OR(U1145="",NOT(ISNUMBER(L1145))),"",IF(L1145&lt;=0,"",ROUND(L1145*U1145,2)))</f>
        <v/>
      </c>
      <c r="W1145" s="60" t="str">
        <f>IF(AND(B1145&lt;&gt;"",A1145&lt;&gt;"BS",F1145&lt;&gt;"",H1145&lt;&gt;"",ISNUMBER(K1145),ISNUMBER(L1145)),IF(AND(K1145&gt;0,L1145&gt;0,K1145-L1145&gt;0,COUNTIFS(A1146:A$2005,A1145,F1146:F$2005,F1145,H1146:H$2005,H1145,AA1146:AA$2005,"&gt;0")=0),ROUND(K1145-L1145,6),""),"")</f>
        <v/>
      </c>
      <c r="X1145" s="60" t="str">
        <f>IF(AND(A1145="",C1145="",D1145="",H1145="",L1145=""),"",IF(A1145="","Type manquant",IF(AND(A1145&lt;&gt;"BL",A1145&lt;&gt;"BR",A1145&lt;&gt;"BS"),"Type inconnu (BL, BR ou BS)",IF(AG1145=0,"Date manquante ou invalide",IF(D1145="",IF(A1145="BL","Client manquant",IF(A1145="BR","Fournisseur manquant","Service manquant")),IF(IF(A1145="BL",ISNA(MATCH(D1145,cl_code,0)),IF(A1145="BR",ISNA(MATCH(D1145,fo_code,0)),ISNA(MATCH(D1145,p_services,0)))),IF(A1145="BL","Client inconnu",IF(A1145="BR","Fournisseur inconnu","Service inconnu")),IF(H1145="","Article manquant",IF(ISNA(MATCH(H1145,art_ref,0)),"Article inconnu",IF(OR(NOT(ISNUMBER(L1145)),N(L1145)&lt;=0),"Quantité invalide",IF(AND(K1145&lt;&gt;"",OR(NOT(ISNUMBER(K1145)),N(K1145)&lt;=0)),"Qté commandée invalide",IF(AG1145&lt;SUMPRODUCT(MAX((A$6:A1144=A1145)*AG$6:AG1144)),"Date antérieure au bon précédent",IF(AND(A1145&lt;&gt;"BR",ISNUMBER(M1145),N(M1145)&gt;0),IF(A1145="BL","Livré plus que commandé","Sorti plus que demandé"),"OK"))))))))))))</f>
        <v/>
      </c>
      <c r="Y1145" s="57" t="str">
        <f>IF(AND(OR(A1145="BL",A1145="BR",A1145="BS"),AG1145&gt;0,D1145&lt;&gt;""),A1145&amp;"|"&amp;AG1145&amp;"|"&amp;D1145&amp;"|"&amp;F1145,"")</f>
        <v/>
      </c>
      <c r="Z1145" s="57" t="str">
        <f>IF(Y1145="","",IF(COUNTIF(Y$6:Y1144,Y1145)=0,1,0))</f>
        <v/>
      </c>
      <c r="AA1145" s="57" t="str">
        <f>IF(Y1145="","",IF(Z1145=1,COUNTIFS(A$6:A1145,A1145,Z$6:Z1145,1),INDEX(AA$6:AA1144,MATCH(Y1145,Y$6:Y1144,0))))</f>
        <v/>
      </c>
      <c r="AB1145" s="57" t="str">
        <f>IF(B1145="","",COUNTIF(B$6:B1145,B1145))</f>
        <v/>
      </c>
      <c r="AC1145" s="57" t="str">
        <f>IF(B1145="","",B1145&amp;"#"&amp;AB1145)</f>
        <v/>
      </c>
      <c r="AD1145" s="57" t="str">
        <f>IF(Z1145=1,A1145&amp;AA1145,"")</f>
        <v/>
      </c>
      <c r="AE1145" s="57" t="str">
        <f>IF(B1145="","",YEAR(C1145))</f>
        <v/>
      </c>
      <c r="AF1145" s="57" t="str">
        <f>IF(B1145="","",MONTH(C1145))</f>
        <v/>
      </c>
      <c r="AG1145" s="57">
        <f>IF(ISNUMBER(C1145),C1145,0)</f>
        <v>0.0</v>
      </c>
      <c r="AH1145" s="57" t="str">
        <f>IF(N(W1145)&gt;0,COUNTIF(W$6:W1145,"&gt;0"),"")</f>
        <v/>
      </c>
      <c r="AI1145" s="57" t="str">
        <f>IF(Z1145=1,COUNTIF(Z$6:Z1145,1),"")</f>
        <v/>
      </c>
    </row>
    <row r="1146">
      <c r="A1146" s="54" t="n"/>
      <c r="B1146" s="55" t="str">
        <f>IF(AA1146="","",A1146&amp;"-"&amp;RIGHT("000"&amp;AA1146,4))</f>
        <v/>
      </c>
      <c r="C1146" s="56" t="n"/>
      <c r="D1146" s="54" t="n"/>
      <c r="E1146" s="57" t="str">
        <f>IF(D1146="","",IF(A1146="BL",IFERROR(INDEX(cl_name,MATCH(D1146,cl_code,0))&amp;"","Client inconnu"),IF(A1146="BR",IFERROR(INDEX(fo_name,MATCH(D1146,fo_code,0))&amp;"","Fournisseur inconnu"),IF(A1146="BS",IF(ISNA(MATCH(D1146,p_services,0)),"Service inconnu",D1146&amp;""),""))))</f>
        <v/>
      </c>
      <c r="F1146" s="58" t="n"/>
      <c r="G1146" s="58" t="n"/>
      <c r="H1146" s="59" t="n"/>
      <c r="I1146" s="57" t="str">
        <f>IF(H1146="","",IFERROR(INDEX(art_des,MATCH(H1146,art_ref,0))&amp;"","Article inconnu"))</f>
        <v/>
      </c>
      <c r="J1146" s="60" t="str">
        <f>IF(H1146="","",IFERROR(INDEX(art_unit,MATCH(H1146,art_ref,0))&amp;"",""))</f>
        <v/>
      </c>
      <c r="K1146" s="59" t="n"/>
      <c r="L1146" s="59" t="n"/>
      <c r="M1146" s="61" t="str">
        <f>IF(OR(B1146="",NOT(ISNUMBER(K1146)),NOT(ISNUMBER(L1146))),"",IF(OR(K1146&lt;=0,L1146&lt;=0),"",ROUND(L1146-K1146,6)))</f>
        <v/>
      </c>
      <c r="N1146" s="58" t="n"/>
      <c r="O1146" s="62" t="n"/>
      <c r="P1146" s="63" t="str">
        <f>IF(OR(B1146="",NOT(ISNUMBER(L1146))),"",IF(L1146&lt;=0,"",IFERROR(ROUND(L1146*N(INDEX(art_w,MATCH(H1146,art_ref,0))),3),"")))</f>
        <v/>
      </c>
      <c r="Q1146" s="59" t="n"/>
      <c r="R1146" s="54" t="n"/>
      <c r="S1146" s="59" t="n"/>
      <c r="T1146" s="59" t="n"/>
      <c r="U1146" s="64" t="str">
        <f>IF(OR(B1146="",H1146=""),"",IFERROR(IF(A1146="BL",IF(N(INDEX(art_price,MATCH(H1146,art_ref,0)))=0,"",N(INDEX(art_price,MATCH(H1146,art_ref,0)))),IF(N(INDEX(art_cost,MATCH(H1146,art_ref,0)))=0,"",N(INDEX(art_cost,MATCH(H1146,art_ref,0))))),""))</f>
        <v/>
      </c>
      <c r="V1146" s="64" t="str">
        <f>IF(OR(U1146="",NOT(ISNUMBER(L1146))),"",IF(L1146&lt;=0,"",ROUND(L1146*U1146,2)))</f>
        <v/>
      </c>
      <c r="W1146" s="60" t="str">
        <f>IF(AND(B1146&lt;&gt;"",A1146&lt;&gt;"BS",F1146&lt;&gt;"",H1146&lt;&gt;"",ISNUMBER(K1146),ISNUMBER(L1146)),IF(AND(K1146&gt;0,L1146&gt;0,K1146-L1146&gt;0,COUNTIFS(A1147:A$2005,A1146,F1147:F$2005,F1146,H1147:H$2005,H1146,AA1147:AA$2005,"&gt;0")=0),ROUND(K1146-L1146,6),""),"")</f>
        <v/>
      </c>
      <c r="X1146" s="60" t="str">
        <f>IF(AND(A1146="",C1146="",D1146="",H1146="",L1146=""),"",IF(A1146="","Type manquant",IF(AND(A1146&lt;&gt;"BL",A1146&lt;&gt;"BR",A1146&lt;&gt;"BS"),"Type inconnu (BL, BR ou BS)",IF(AG1146=0,"Date manquante ou invalide",IF(D1146="",IF(A1146="BL","Client manquant",IF(A1146="BR","Fournisseur manquant","Service manquant")),IF(IF(A1146="BL",ISNA(MATCH(D1146,cl_code,0)),IF(A1146="BR",ISNA(MATCH(D1146,fo_code,0)),ISNA(MATCH(D1146,p_services,0)))),IF(A1146="BL","Client inconnu",IF(A1146="BR","Fournisseur inconnu","Service inconnu")),IF(H1146="","Article manquant",IF(ISNA(MATCH(H1146,art_ref,0)),"Article inconnu",IF(OR(NOT(ISNUMBER(L1146)),N(L1146)&lt;=0),"Quantité invalide",IF(AND(K1146&lt;&gt;"",OR(NOT(ISNUMBER(K1146)),N(K1146)&lt;=0)),"Qté commandée invalide",IF(AG1146&lt;SUMPRODUCT(MAX((A$6:A1145=A1146)*AG$6:AG1145)),"Date antérieure au bon précédent",IF(AND(A1146&lt;&gt;"BR",ISNUMBER(M1146),N(M1146)&gt;0),IF(A1146="BL","Livré plus que commandé","Sorti plus que demandé"),"OK"))))))))))))</f>
        <v/>
      </c>
      <c r="Y1146" s="57" t="str">
        <f>IF(AND(OR(A1146="BL",A1146="BR",A1146="BS"),AG1146&gt;0,D1146&lt;&gt;""),A1146&amp;"|"&amp;AG1146&amp;"|"&amp;D1146&amp;"|"&amp;F1146,"")</f>
        <v/>
      </c>
      <c r="Z1146" s="57" t="str">
        <f>IF(Y1146="","",IF(COUNTIF(Y$6:Y1145,Y1146)=0,1,0))</f>
        <v/>
      </c>
      <c r="AA1146" s="57" t="str">
        <f>IF(Y1146="","",IF(Z1146=1,COUNTIFS(A$6:A1146,A1146,Z$6:Z1146,1),INDEX(AA$6:AA1145,MATCH(Y1146,Y$6:Y1145,0))))</f>
        <v/>
      </c>
      <c r="AB1146" s="57" t="str">
        <f>IF(B1146="","",COUNTIF(B$6:B1146,B1146))</f>
        <v/>
      </c>
      <c r="AC1146" s="57" t="str">
        <f>IF(B1146="","",B1146&amp;"#"&amp;AB1146)</f>
        <v/>
      </c>
      <c r="AD1146" s="57" t="str">
        <f>IF(Z1146=1,A1146&amp;AA1146,"")</f>
        <v/>
      </c>
      <c r="AE1146" s="57" t="str">
        <f>IF(B1146="","",YEAR(C1146))</f>
        <v/>
      </c>
      <c r="AF1146" s="57" t="str">
        <f>IF(B1146="","",MONTH(C1146))</f>
        <v/>
      </c>
      <c r="AG1146" s="57">
        <f>IF(ISNUMBER(C1146),C1146,0)</f>
        <v>0.0</v>
      </c>
      <c r="AH1146" s="57" t="str">
        <f>IF(N(W1146)&gt;0,COUNTIF(W$6:W1146,"&gt;0"),"")</f>
        <v/>
      </c>
      <c r="AI1146" s="57" t="str">
        <f>IF(Z1146=1,COUNTIF(Z$6:Z1146,1),"")</f>
        <v/>
      </c>
    </row>
    <row r="1147">
      <c r="A1147" s="54" t="n"/>
      <c r="B1147" s="55" t="str">
        <f>IF(AA1147="","",A1147&amp;"-"&amp;RIGHT("000"&amp;AA1147,4))</f>
        <v/>
      </c>
      <c r="C1147" s="56" t="n"/>
      <c r="D1147" s="54" t="n"/>
      <c r="E1147" s="57" t="str">
        <f>IF(D1147="","",IF(A1147="BL",IFERROR(INDEX(cl_name,MATCH(D1147,cl_code,0))&amp;"","Client inconnu"),IF(A1147="BR",IFERROR(INDEX(fo_name,MATCH(D1147,fo_code,0))&amp;"","Fournisseur inconnu"),IF(A1147="BS",IF(ISNA(MATCH(D1147,p_services,0)),"Service inconnu",D1147&amp;""),""))))</f>
        <v/>
      </c>
      <c r="F1147" s="58" t="n"/>
      <c r="G1147" s="58" t="n"/>
      <c r="H1147" s="59" t="n"/>
      <c r="I1147" s="57" t="str">
        <f>IF(H1147="","",IFERROR(INDEX(art_des,MATCH(H1147,art_ref,0))&amp;"","Article inconnu"))</f>
        <v/>
      </c>
      <c r="J1147" s="60" t="str">
        <f>IF(H1147="","",IFERROR(INDEX(art_unit,MATCH(H1147,art_ref,0))&amp;"",""))</f>
        <v/>
      </c>
      <c r="K1147" s="59" t="n"/>
      <c r="L1147" s="59" t="n"/>
      <c r="M1147" s="61" t="str">
        <f>IF(OR(B1147="",NOT(ISNUMBER(K1147)),NOT(ISNUMBER(L1147))),"",IF(OR(K1147&lt;=0,L1147&lt;=0),"",ROUND(L1147-K1147,6)))</f>
        <v/>
      </c>
      <c r="N1147" s="58" t="n"/>
      <c r="O1147" s="62" t="n"/>
      <c r="P1147" s="63" t="str">
        <f>IF(OR(B1147="",NOT(ISNUMBER(L1147))),"",IF(L1147&lt;=0,"",IFERROR(ROUND(L1147*N(INDEX(art_w,MATCH(H1147,art_ref,0))),3),"")))</f>
        <v/>
      </c>
      <c r="Q1147" s="59" t="n"/>
      <c r="R1147" s="54" t="n"/>
      <c r="S1147" s="59" t="n"/>
      <c r="T1147" s="59" t="n"/>
      <c r="U1147" s="64" t="str">
        <f>IF(OR(B1147="",H1147=""),"",IFERROR(IF(A1147="BL",IF(N(INDEX(art_price,MATCH(H1147,art_ref,0)))=0,"",N(INDEX(art_price,MATCH(H1147,art_ref,0)))),IF(N(INDEX(art_cost,MATCH(H1147,art_ref,0)))=0,"",N(INDEX(art_cost,MATCH(H1147,art_ref,0))))),""))</f>
        <v/>
      </c>
      <c r="V1147" s="64" t="str">
        <f>IF(OR(U1147="",NOT(ISNUMBER(L1147))),"",IF(L1147&lt;=0,"",ROUND(L1147*U1147,2)))</f>
        <v/>
      </c>
      <c r="W1147" s="60" t="str">
        <f>IF(AND(B1147&lt;&gt;"",A1147&lt;&gt;"BS",F1147&lt;&gt;"",H1147&lt;&gt;"",ISNUMBER(K1147),ISNUMBER(L1147)),IF(AND(K1147&gt;0,L1147&gt;0,K1147-L1147&gt;0,COUNTIFS(A1148:A$2005,A1147,F1148:F$2005,F1147,H1148:H$2005,H1147,AA1148:AA$2005,"&gt;0")=0),ROUND(K1147-L1147,6),""),"")</f>
        <v/>
      </c>
      <c r="X1147" s="60" t="str">
        <f>IF(AND(A1147="",C1147="",D1147="",H1147="",L1147=""),"",IF(A1147="","Type manquant",IF(AND(A1147&lt;&gt;"BL",A1147&lt;&gt;"BR",A1147&lt;&gt;"BS"),"Type inconnu (BL, BR ou BS)",IF(AG1147=0,"Date manquante ou invalide",IF(D1147="",IF(A1147="BL","Client manquant",IF(A1147="BR","Fournisseur manquant","Service manquant")),IF(IF(A1147="BL",ISNA(MATCH(D1147,cl_code,0)),IF(A1147="BR",ISNA(MATCH(D1147,fo_code,0)),ISNA(MATCH(D1147,p_services,0)))),IF(A1147="BL","Client inconnu",IF(A1147="BR","Fournisseur inconnu","Service inconnu")),IF(H1147="","Article manquant",IF(ISNA(MATCH(H1147,art_ref,0)),"Article inconnu",IF(OR(NOT(ISNUMBER(L1147)),N(L1147)&lt;=0),"Quantité invalide",IF(AND(K1147&lt;&gt;"",OR(NOT(ISNUMBER(K1147)),N(K1147)&lt;=0)),"Qté commandée invalide",IF(AG1147&lt;SUMPRODUCT(MAX((A$6:A1146=A1147)*AG$6:AG1146)),"Date antérieure au bon précédent",IF(AND(A1147&lt;&gt;"BR",ISNUMBER(M1147),N(M1147)&gt;0),IF(A1147="BL","Livré plus que commandé","Sorti plus que demandé"),"OK"))))))))))))</f>
        <v/>
      </c>
      <c r="Y1147" s="57" t="str">
        <f>IF(AND(OR(A1147="BL",A1147="BR",A1147="BS"),AG1147&gt;0,D1147&lt;&gt;""),A1147&amp;"|"&amp;AG1147&amp;"|"&amp;D1147&amp;"|"&amp;F1147,"")</f>
        <v/>
      </c>
      <c r="Z1147" s="57" t="str">
        <f>IF(Y1147="","",IF(COUNTIF(Y$6:Y1146,Y1147)=0,1,0))</f>
        <v/>
      </c>
      <c r="AA1147" s="57" t="str">
        <f>IF(Y1147="","",IF(Z1147=1,COUNTIFS(A$6:A1147,A1147,Z$6:Z1147,1),INDEX(AA$6:AA1146,MATCH(Y1147,Y$6:Y1146,0))))</f>
        <v/>
      </c>
      <c r="AB1147" s="57" t="str">
        <f>IF(B1147="","",COUNTIF(B$6:B1147,B1147))</f>
        <v/>
      </c>
      <c r="AC1147" s="57" t="str">
        <f>IF(B1147="","",B1147&amp;"#"&amp;AB1147)</f>
        <v/>
      </c>
      <c r="AD1147" s="57" t="str">
        <f>IF(Z1147=1,A1147&amp;AA1147,"")</f>
        <v/>
      </c>
      <c r="AE1147" s="57" t="str">
        <f>IF(B1147="","",YEAR(C1147))</f>
        <v/>
      </c>
      <c r="AF1147" s="57" t="str">
        <f>IF(B1147="","",MONTH(C1147))</f>
        <v/>
      </c>
      <c r="AG1147" s="57">
        <f>IF(ISNUMBER(C1147),C1147,0)</f>
        <v>0.0</v>
      </c>
      <c r="AH1147" s="57" t="str">
        <f>IF(N(W1147)&gt;0,COUNTIF(W$6:W1147,"&gt;0"),"")</f>
        <v/>
      </c>
      <c r="AI1147" s="57" t="str">
        <f>IF(Z1147=1,COUNTIF(Z$6:Z1147,1),"")</f>
        <v/>
      </c>
    </row>
    <row r="1148">
      <c r="A1148" s="54" t="n"/>
      <c r="B1148" s="55" t="str">
        <f>IF(AA1148="","",A1148&amp;"-"&amp;RIGHT("000"&amp;AA1148,4))</f>
        <v/>
      </c>
      <c r="C1148" s="56" t="n"/>
      <c r="D1148" s="54" t="n"/>
      <c r="E1148" s="57" t="str">
        <f>IF(D1148="","",IF(A1148="BL",IFERROR(INDEX(cl_name,MATCH(D1148,cl_code,0))&amp;"","Client inconnu"),IF(A1148="BR",IFERROR(INDEX(fo_name,MATCH(D1148,fo_code,0))&amp;"","Fournisseur inconnu"),IF(A1148="BS",IF(ISNA(MATCH(D1148,p_services,0)),"Service inconnu",D1148&amp;""),""))))</f>
        <v/>
      </c>
      <c r="F1148" s="58" t="n"/>
      <c r="G1148" s="58" t="n"/>
      <c r="H1148" s="59" t="n"/>
      <c r="I1148" s="57" t="str">
        <f>IF(H1148="","",IFERROR(INDEX(art_des,MATCH(H1148,art_ref,0))&amp;"","Article inconnu"))</f>
        <v/>
      </c>
      <c r="J1148" s="60" t="str">
        <f>IF(H1148="","",IFERROR(INDEX(art_unit,MATCH(H1148,art_ref,0))&amp;"",""))</f>
        <v/>
      </c>
      <c r="K1148" s="59" t="n"/>
      <c r="L1148" s="59" t="n"/>
      <c r="M1148" s="61" t="str">
        <f>IF(OR(B1148="",NOT(ISNUMBER(K1148)),NOT(ISNUMBER(L1148))),"",IF(OR(K1148&lt;=0,L1148&lt;=0),"",ROUND(L1148-K1148,6)))</f>
        <v/>
      </c>
      <c r="N1148" s="58" t="n"/>
      <c r="O1148" s="62" t="n"/>
      <c r="P1148" s="63" t="str">
        <f>IF(OR(B1148="",NOT(ISNUMBER(L1148))),"",IF(L1148&lt;=0,"",IFERROR(ROUND(L1148*N(INDEX(art_w,MATCH(H1148,art_ref,0))),3),"")))</f>
        <v/>
      </c>
      <c r="Q1148" s="59" t="n"/>
      <c r="R1148" s="54" t="n"/>
      <c r="S1148" s="59" t="n"/>
      <c r="T1148" s="59" t="n"/>
      <c r="U1148" s="64" t="str">
        <f>IF(OR(B1148="",H1148=""),"",IFERROR(IF(A1148="BL",IF(N(INDEX(art_price,MATCH(H1148,art_ref,0)))=0,"",N(INDEX(art_price,MATCH(H1148,art_ref,0)))),IF(N(INDEX(art_cost,MATCH(H1148,art_ref,0)))=0,"",N(INDEX(art_cost,MATCH(H1148,art_ref,0))))),""))</f>
        <v/>
      </c>
      <c r="V1148" s="64" t="str">
        <f>IF(OR(U1148="",NOT(ISNUMBER(L1148))),"",IF(L1148&lt;=0,"",ROUND(L1148*U1148,2)))</f>
        <v/>
      </c>
      <c r="W1148" s="60" t="str">
        <f>IF(AND(B1148&lt;&gt;"",A1148&lt;&gt;"BS",F1148&lt;&gt;"",H1148&lt;&gt;"",ISNUMBER(K1148),ISNUMBER(L1148)),IF(AND(K1148&gt;0,L1148&gt;0,K1148-L1148&gt;0,COUNTIFS(A1149:A$2005,A1148,F1149:F$2005,F1148,H1149:H$2005,H1148,AA1149:AA$2005,"&gt;0")=0),ROUND(K1148-L1148,6),""),"")</f>
        <v/>
      </c>
      <c r="X1148" s="60" t="str">
        <f>IF(AND(A1148="",C1148="",D1148="",H1148="",L1148=""),"",IF(A1148="","Type manquant",IF(AND(A1148&lt;&gt;"BL",A1148&lt;&gt;"BR",A1148&lt;&gt;"BS"),"Type inconnu (BL, BR ou BS)",IF(AG1148=0,"Date manquante ou invalide",IF(D1148="",IF(A1148="BL","Client manquant",IF(A1148="BR","Fournisseur manquant","Service manquant")),IF(IF(A1148="BL",ISNA(MATCH(D1148,cl_code,0)),IF(A1148="BR",ISNA(MATCH(D1148,fo_code,0)),ISNA(MATCH(D1148,p_services,0)))),IF(A1148="BL","Client inconnu",IF(A1148="BR","Fournisseur inconnu","Service inconnu")),IF(H1148="","Article manquant",IF(ISNA(MATCH(H1148,art_ref,0)),"Article inconnu",IF(OR(NOT(ISNUMBER(L1148)),N(L1148)&lt;=0),"Quantité invalide",IF(AND(K1148&lt;&gt;"",OR(NOT(ISNUMBER(K1148)),N(K1148)&lt;=0)),"Qté commandée invalide",IF(AG1148&lt;SUMPRODUCT(MAX((A$6:A1147=A1148)*AG$6:AG1147)),"Date antérieure au bon précédent",IF(AND(A1148&lt;&gt;"BR",ISNUMBER(M1148),N(M1148)&gt;0),IF(A1148="BL","Livré plus que commandé","Sorti plus que demandé"),"OK"))))))))))))</f>
        <v/>
      </c>
      <c r="Y1148" s="57" t="str">
        <f>IF(AND(OR(A1148="BL",A1148="BR",A1148="BS"),AG1148&gt;0,D1148&lt;&gt;""),A1148&amp;"|"&amp;AG1148&amp;"|"&amp;D1148&amp;"|"&amp;F1148,"")</f>
        <v/>
      </c>
      <c r="Z1148" s="57" t="str">
        <f>IF(Y1148="","",IF(COUNTIF(Y$6:Y1147,Y1148)=0,1,0))</f>
        <v/>
      </c>
      <c r="AA1148" s="57" t="str">
        <f>IF(Y1148="","",IF(Z1148=1,COUNTIFS(A$6:A1148,A1148,Z$6:Z1148,1),INDEX(AA$6:AA1147,MATCH(Y1148,Y$6:Y1147,0))))</f>
        <v/>
      </c>
      <c r="AB1148" s="57" t="str">
        <f>IF(B1148="","",COUNTIF(B$6:B1148,B1148))</f>
        <v/>
      </c>
      <c r="AC1148" s="57" t="str">
        <f>IF(B1148="","",B1148&amp;"#"&amp;AB1148)</f>
        <v/>
      </c>
      <c r="AD1148" s="57" t="str">
        <f>IF(Z1148=1,A1148&amp;AA1148,"")</f>
        <v/>
      </c>
      <c r="AE1148" s="57" t="str">
        <f>IF(B1148="","",YEAR(C1148))</f>
        <v/>
      </c>
      <c r="AF1148" s="57" t="str">
        <f>IF(B1148="","",MONTH(C1148))</f>
        <v/>
      </c>
      <c r="AG1148" s="57">
        <f>IF(ISNUMBER(C1148),C1148,0)</f>
        <v>0.0</v>
      </c>
      <c r="AH1148" s="57" t="str">
        <f>IF(N(W1148)&gt;0,COUNTIF(W$6:W1148,"&gt;0"),"")</f>
        <v/>
      </c>
      <c r="AI1148" s="57" t="str">
        <f>IF(Z1148=1,COUNTIF(Z$6:Z1148,1),"")</f>
        <v/>
      </c>
    </row>
    <row r="1149">
      <c r="A1149" s="54" t="n"/>
      <c r="B1149" s="55" t="str">
        <f>IF(AA1149="","",A1149&amp;"-"&amp;RIGHT("000"&amp;AA1149,4))</f>
        <v/>
      </c>
      <c r="C1149" s="56" t="n"/>
      <c r="D1149" s="54" t="n"/>
      <c r="E1149" s="57" t="str">
        <f>IF(D1149="","",IF(A1149="BL",IFERROR(INDEX(cl_name,MATCH(D1149,cl_code,0))&amp;"","Client inconnu"),IF(A1149="BR",IFERROR(INDEX(fo_name,MATCH(D1149,fo_code,0))&amp;"","Fournisseur inconnu"),IF(A1149="BS",IF(ISNA(MATCH(D1149,p_services,0)),"Service inconnu",D1149&amp;""),""))))</f>
        <v/>
      </c>
      <c r="F1149" s="58" t="n"/>
      <c r="G1149" s="58" t="n"/>
      <c r="H1149" s="59" t="n"/>
      <c r="I1149" s="57" t="str">
        <f>IF(H1149="","",IFERROR(INDEX(art_des,MATCH(H1149,art_ref,0))&amp;"","Article inconnu"))</f>
        <v/>
      </c>
      <c r="J1149" s="60" t="str">
        <f>IF(H1149="","",IFERROR(INDEX(art_unit,MATCH(H1149,art_ref,0))&amp;"",""))</f>
        <v/>
      </c>
      <c r="K1149" s="59" t="n"/>
      <c r="L1149" s="59" t="n"/>
      <c r="M1149" s="61" t="str">
        <f>IF(OR(B1149="",NOT(ISNUMBER(K1149)),NOT(ISNUMBER(L1149))),"",IF(OR(K1149&lt;=0,L1149&lt;=0),"",ROUND(L1149-K1149,6)))</f>
        <v/>
      </c>
      <c r="N1149" s="58" t="n"/>
      <c r="O1149" s="62" t="n"/>
      <c r="P1149" s="63" t="str">
        <f>IF(OR(B1149="",NOT(ISNUMBER(L1149))),"",IF(L1149&lt;=0,"",IFERROR(ROUND(L1149*N(INDEX(art_w,MATCH(H1149,art_ref,0))),3),"")))</f>
        <v/>
      </c>
      <c r="Q1149" s="59" t="n"/>
      <c r="R1149" s="54" t="n"/>
      <c r="S1149" s="59" t="n"/>
      <c r="T1149" s="59" t="n"/>
      <c r="U1149" s="64" t="str">
        <f>IF(OR(B1149="",H1149=""),"",IFERROR(IF(A1149="BL",IF(N(INDEX(art_price,MATCH(H1149,art_ref,0)))=0,"",N(INDEX(art_price,MATCH(H1149,art_ref,0)))),IF(N(INDEX(art_cost,MATCH(H1149,art_ref,0)))=0,"",N(INDEX(art_cost,MATCH(H1149,art_ref,0))))),""))</f>
        <v/>
      </c>
      <c r="V1149" s="64" t="str">
        <f>IF(OR(U1149="",NOT(ISNUMBER(L1149))),"",IF(L1149&lt;=0,"",ROUND(L1149*U1149,2)))</f>
        <v/>
      </c>
      <c r="W1149" s="60" t="str">
        <f>IF(AND(B1149&lt;&gt;"",A1149&lt;&gt;"BS",F1149&lt;&gt;"",H1149&lt;&gt;"",ISNUMBER(K1149),ISNUMBER(L1149)),IF(AND(K1149&gt;0,L1149&gt;0,K1149-L1149&gt;0,COUNTIFS(A1150:A$2005,A1149,F1150:F$2005,F1149,H1150:H$2005,H1149,AA1150:AA$2005,"&gt;0")=0),ROUND(K1149-L1149,6),""),"")</f>
        <v/>
      </c>
      <c r="X1149" s="60" t="str">
        <f>IF(AND(A1149="",C1149="",D1149="",H1149="",L1149=""),"",IF(A1149="","Type manquant",IF(AND(A1149&lt;&gt;"BL",A1149&lt;&gt;"BR",A1149&lt;&gt;"BS"),"Type inconnu (BL, BR ou BS)",IF(AG1149=0,"Date manquante ou invalide",IF(D1149="",IF(A1149="BL","Client manquant",IF(A1149="BR","Fournisseur manquant","Service manquant")),IF(IF(A1149="BL",ISNA(MATCH(D1149,cl_code,0)),IF(A1149="BR",ISNA(MATCH(D1149,fo_code,0)),ISNA(MATCH(D1149,p_services,0)))),IF(A1149="BL","Client inconnu",IF(A1149="BR","Fournisseur inconnu","Service inconnu")),IF(H1149="","Article manquant",IF(ISNA(MATCH(H1149,art_ref,0)),"Article inconnu",IF(OR(NOT(ISNUMBER(L1149)),N(L1149)&lt;=0),"Quantité invalide",IF(AND(K1149&lt;&gt;"",OR(NOT(ISNUMBER(K1149)),N(K1149)&lt;=0)),"Qté commandée invalide",IF(AG1149&lt;SUMPRODUCT(MAX((A$6:A1148=A1149)*AG$6:AG1148)),"Date antérieure au bon précédent",IF(AND(A1149&lt;&gt;"BR",ISNUMBER(M1149),N(M1149)&gt;0),IF(A1149="BL","Livré plus que commandé","Sorti plus que demandé"),"OK"))))))))))))</f>
        <v/>
      </c>
      <c r="Y1149" s="57" t="str">
        <f>IF(AND(OR(A1149="BL",A1149="BR",A1149="BS"),AG1149&gt;0,D1149&lt;&gt;""),A1149&amp;"|"&amp;AG1149&amp;"|"&amp;D1149&amp;"|"&amp;F1149,"")</f>
        <v/>
      </c>
      <c r="Z1149" s="57" t="str">
        <f>IF(Y1149="","",IF(COUNTIF(Y$6:Y1148,Y1149)=0,1,0))</f>
        <v/>
      </c>
      <c r="AA1149" s="57" t="str">
        <f>IF(Y1149="","",IF(Z1149=1,COUNTIFS(A$6:A1149,A1149,Z$6:Z1149,1),INDEX(AA$6:AA1148,MATCH(Y1149,Y$6:Y1148,0))))</f>
        <v/>
      </c>
      <c r="AB1149" s="57" t="str">
        <f>IF(B1149="","",COUNTIF(B$6:B1149,B1149))</f>
        <v/>
      </c>
      <c r="AC1149" s="57" t="str">
        <f>IF(B1149="","",B1149&amp;"#"&amp;AB1149)</f>
        <v/>
      </c>
      <c r="AD1149" s="57" t="str">
        <f>IF(Z1149=1,A1149&amp;AA1149,"")</f>
        <v/>
      </c>
      <c r="AE1149" s="57" t="str">
        <f>IF(B1149="","",YEAR(C1149))</f>
        <v/>
      </c>
      <c r="AF1149" s="57" t="str">
        <f>IF(B1149="","",MONTH(C1149))</f>
        <v/>
      </c>
      <c r="AG1149" s="57">
        <f>IF(ISNUMBER(C1149),C1149,0)</f>
        <v>0.0</v>
      </c>
      <c r="AH1149" s="57" t="str">
        <f>IF(N(W1149)&gt;0,COUNTIF(W$6:W1149,"&gt;0"),"")</f>
        <v/>
      </c>
      <c r="AI1149" s="57" t="str">
        <f>IF(Z1149=1,COUNTIF(Z$6:Z1149,1),"")</f>
        <v/>
      </c>
    </row>
    <row r="1150">
      <c r="A1150" s="54" t="n"/>
      <c r="B1150" s="55" t="str">
        <f>IF(AA1150="","",A1150&amp;"-"&amp;RIGHT("000"&amp;AA1150,4))</f>
        <v/>
      </c>
      <c r="C1150" s="56" t="n"/>
      <c r="D1150" s="54" t="n"/>
      <c r="E1150" s="57" t="str">
        <f>IF(D1150="","",IF(A1150="BL",IFERROR(INDEX(cl_name,MATCH(D1150,cl_code,0))&amp;"","Client inconnu"),IF(A1150="BR",IFERROR(INDEX(fo_name,MATCH(D1150,fo_code,0))&amp;"","Fournisseur inconnu"),IF(A1150="BS",IF(ISNA(MATCH(D1150,p_services,0)),"Service inconnu",D1150&amp;""),""))))</f>
        <v/>
      </c>
      <c r="F1150" s="58" t="n"/>
      <c r="G1150" s="58" t="n"/>
      <c r="H1150" s="59" t="n"/>
      <c r="I1150" s="57" t="str">
        <f>IF(H1150="","",IFERROR(INDEX(art_des,MATCH(H1150,art_ref,0))&amp;"","Article inconnu"))</f>
        <v/>
      </c>
      <c r="J1150" s="60" t="str">
        <f>IF(H1150="","",IFERROR(INDEX(art_unit,MATCH(H1150,art_ref,0))&amp;"",""))</f>
        <v/>
      </c>
      <c r="K1150" s="59" t="n"/>
      <c r="L1150" s="59" t="n"/>
      <c r="M1150" s="61" t="str">
        <f>IF(OR(B1150="",NOT(ISNUMBER(K1150)),NOT(ISNUMBER(L1150))),"",IF(OR(K1150&lt;=0,L1150&lt;=0),"",ROUND(L1150-K1150,6)))</f>
        <v/>
      </c>
      <c r="N1150" s="58" t="n"/>
      <c r="O1150" s="62" t="n"/>
      <c r="P1150" s="63" t="str">
        <f>IF(OR(B1150="",NOT(ISNUMBER(L1150))),"",IF(L1150&lt;=0,"",IFERROR(ROUND(L1150*N(INDEX(art_w,MATCH(H1150,art_ref,0))),3),"")))</f>
        <v/>
      </c>
      <c r="Q1150" s="59" t="n"/>
      <c r="R1150" s="54" t="n"/>
      <c r="S1150" s="59" t="n"/>
      <c r="T1150" s="59" t="n"/>
      <c r="U1150" s="64" t="str">
        <f>IF(OR(B1150="",H1150=""),"",IFERROR(IF(A1150="BL",IF(N(INDEX(art_price,MATCH(H1150,art_ref,0)))=0,"",N(INDEX(art_price,MATCH(H1150,art_ref,0)))),IF(N(INDEX(art_cost,MATCH(H1150,art_ref,0)))=0,"",N(INDEX(art_cost,MATCH(H1150,art_ref,0))))),""))</f>
        <v/>
      </c>
      <c r="V1150" s="64" t="str">
        <f>IF(OR(U1150="",NOT(ISNUMBER(L1150))),"",IF(L1150&lt;=0,"",ROUND(L1150*U1150,2)))</f>
        <v/>
      </c>
      <c r="W1150" s="60" t="str">
        <f>IF(AND(B1150&lt;&gt;"",A1150&lt;&gt;"BS",F1150&lt;&gt;"",H1150&lt;&gt;"",ISNUMBER(K1150),ISNUMBER(L1150)),IF(AND(K1150&gt;0,L1150&gt;0,K1150-L1150&gt;0,COUNTIFS(A1151:A$2005,A1150,F1151:F$2005,F1150,H1151:H$2005,H1150,AA1151:AA$2005,"&gt;0")=0),ROUND(K1150-L1150,6),""),"")</f>
        <v/>
      </c>
      <c r="X1150" s="60" t="str">
        <f>IF(AND(A1150="",C1150="",D1150="",H1150="",L1150=""),"",IF(A1150="","Type manquant",IF(AND(A1150&lt;&gt;"BL",A1150&lt;&gt;"BR",A1150&lt;&gt;"BS"),"Type inconnu (BL, BR ou BS)",IF(AG1150=0,"Date manquante ou invalide",IF(D1150="",IF(A1150="BL","Client manquant",IF(A1150="BR","Fournisseur manquant","Service manquant")),IF(IF(A1150="BL",ISNA(MATCH(D1150,cl_code,0)),IF(A1150="BR",ISNA(MATCH(D1150,fo_code,0)),ISNA(MATCH(D1150,p_services,0)))),IF(A1150="BL","Client inconnu",IF(A1150="BR","Fournisseur inconnu","Service inconnu")),IF(H1150="","Article manquant",IF(ISNA(MATCH(H1150,art_ref,0)),"Article inconnu",IF(OR(NOT(ISNUMBER(L1150)),N(L1150)&lt;=0),"Quantité invalide",IF(AND(K1150&lt;&gt;"",OR(NOT(ISNUMBER(K1150)),N(K1150)&lt;=0)),"Qté commandée invalide",IF(AG1150&lt;SUMPRODUCT(MAX((A$6:A1149=A1150)*AG$6:AG1149)),"Date antérieure au bon précédent",IF(AND(A1150&lt;&gt;"BR",ISNUMBER(M1150),N(M1150)&gt;0),IF(A1150="BL","Livré plus que commandé","Sorti plus que demandé"),"OK"))))))))))))</f>
        <v/>
      </c>
      <c r="Y1150" s="57" t="str">
        <f>IF(AND(OR(A1150="BL",A1150="BR",A1150="BS"),AG1150&gt;0,D1150&lt;&gt;""),A1150&amp;"|"&amp;AG1150&amp;"|"&amp;D1150&amp;"|"&amp;F1150,"")</f>
        <v/>
      </c>
      <c r="Z1150" s="57" t="str">
        <f>IF(Y1150="","",IF(COUNTIF(Y$6:Y1149,Y1150)=0,1,0))</f>
        <v/>
      </c>
      <c r="AA1150" s="57" t="str">
        <f>IF(Y1150="","",IF(Z1150=1,COUNTIFS(A$6:A1150,A1150,Z$6:Z1150,1),INDEX(AA$6:AA1149,MATCH(Y1150,Y$6:Y1149,0))))</f>
        <v/>
      </c>
      <c r="AB1150" s="57" t="str">
        <f>IF(B1150="","",COUNTIF(B$6:B1150,B1150))</f>
        <v/>
      </c>
      <c r="AC1150" s="57" t="str">
        <f>IF(B1150="","",B1150&amp;"#"&amp;AB1150)</f>
        <v/>
      </c>
      <c r="AD1150" s="57" t="str">
        <f>IF(Z1150=1,A1150&amp;AA1150,"")</f>
        <v/>
      </c>
      <c r="AE1150" s="57" t="str">
        <f>IF(B1150="","",YEAR(C1150))</f>
        <v/>
      </c>
      <c r="AF1150" s="57" t="str">
        <f>IF(B1150="","",MONTH(C1150))</f>
        <v/>
      </c>
      <c r="AG1150" s="57">
        <f>IF(ISNUMBER(C1150),C1150,0)</f>
        <v>0.0</v>
      </c>
      <c r="AH1150" s="57" t="str">
        <f>IF(N(W1150)&gt;0,COUNTIF(W$6:W1150,"&gt;0"),"")</f>
        <v/>
      </c>
      <c r="AI1150" s="57" t="str">
        <f>IF(Z1150=1,COUNTIF(Z$6:Z1150,1),"")</f>
        <v/>
      </c>
    </row>
    <row r="1151">
      <c r="A1151" s="54" t="n"/>
      <c r="B1151" s="55" t="str">
        <f>IF(AA1151="","",A1151&amp;"-"&amp;RIGHT("000"&amp;AA1151,4))</f>
        <v/>
      </c>
      <c r="C1151" s="56" t="n"/>
      <c r="D1151" s="54" t="n"/>
      <c r="E1151" s="57" t="str">
        <f>IF(D1151="","",IF(A1151="BL",IFERROR(INDEX(cl_name,MATCH(D1151,cl_code,0))&amp;"","Client inconnu"),IF(A1151="BR",IFERROR(INDEX(fo_name,MATCH(D1151,fo_code,0))&amp;"","Fournisseur inconnu"),IF(A1151="BS",IF(ISNA(MATCH(D1151,p_services,0)),"Service inconnu",D1151&amp;""),""))))</f>
        <v/>
      </c>
      <c r="F1151" s="58" t="n"/>
      <c r="G1151" s="58" t="n"/>
      <c r="H1151" s="59" t="n"/>
      <c r="I1151" s="57" t="str">
        <f>IF(H1151="","",IFERROR(INDEX(art_des,MATCH(H1151,art_ref,0))&amp;"","Article inconnu"))</f>
        <v/>
      </c>
      <c r="J1151" s="60" t="str">
        <f>IF(H1151="","",IFERROR(INDEX(art_unit,MATCH(H1151,art_ref,0))&amp;"",""))</f>
        <v/>
      </c>
      <c r="K1151" s="59" t="n"/>
      <c r="L1151" s="59" t="n"/>
      <c r="M1151" s="61" t="str">
        <f>IF(OR(B1151="",NOT(ISNUMBER(K1151)),NOT(ISNUMBER(L1151))),"",IF(OR(K1151&lt;=0,L1151&lt;=0),"",ROUND(L1151-K1151,6)))</f>
        <v/>
      </c>
      <c r="N1151" s="58" t="n"/>
      <c r="O1151" s="62" t="n"/>
      <c r="P1151" s="63" t="str">
        <f>IF(OR(B1151="",NOT(ISNUMBER(L1151))),"",IF(L1151&lt;=0,"",IFERROR(ROUND(L1151*N(INDEX(art_w,MATCH(H1151,art_ref,0))),3),"")))</f>
        <v/>
      </c>
      <c r="Q1151" s="59" t="n"/>
      <c r="R1151" s="54" t="n"/>
      <c r="S1151" s="59" t="n"/>
      <c r="T1151" s="59" t="n"/>
      <c r="U1151" s="64" t="str">
        <f>IF(OR(B1151="",H1151=""),"",IFERROR(IF(A1151="BL",IF(N(INDEX(art_price,MATCH(H1151,art_ref,0)))=0,"",N(INDEX(art_price,MATCH(H1151,art_ref,0)))),IF(N(INDEX(art_cost,MATCH(H1151,art_ref,0)))=0,"",N(INDEX(art_cost,MATCH(H1151,art_ref,0))))),""))</f>
        <v/>
      </c>
      <c r="V1151" s="64" t="str">
        <f>IF(OR(U1151="",NOT(ISNUMBER(L1151))),"",IF(L1151&lt;=0,"",ROUND(L1151*U1151,2)))</f>
        <v/>
      </c>
      <c r="W1151" s="60" t="str">
        <f>IF(AND(B1151&lt;&gt;"",A1151&lt;&gt;"BS",F1151&lt;&gt;"",H1151&lt;&gt;"",ISNUMBER(K1151),ISNUMBER(L1151)),IF(AND(K1151&gt;0,L1151&gt;0,K1151-L1151&gt;0,COUNTIFS(A1152:A$2005,A1151,F1152:F$2005,F1151,H1152:H$2005,H1151,AA1152:AA$2005,"&gt;0")=0),ROUND(K1151-L1151,6),""),"")</f>
        <v/>
      </c>
      <c r="X1151" s="60" t="str">
        <f>IF(AND(A1151="",C1151="",D1151="",H1151="",L1151=""),"",IF(A1151="","Type manquant",IF(AND(A1151&lt;&gt;"BL",A1151&lt;&gt;"BR",A1151&lt;&gt;"BS"),"Type inconnu (BL, BR ou BS)",IF(AG1151=0,"Date manquante ou invalide",IF(D1151="",IF(A1151="BL","Client manquant",IF(A1151="BR","Fournisseur manquant","Service manquant")),IF(IF(A1151="BL",ISNA(MATCH(D1151,cl_code,0)),IF(A1151="BR",ISNA(MATCH(D1151,fo_code,0)),ISNA(MATCH(D1151,p_services,0)))),IF(A1151="BL","Client inconnu",IF(A1151="BR","Fournisseur inconnu","Service inconnu")),IF(H1151="","Article manquant",IF(ISNA(MATCH(H1151,art_ref,0)),"Article inconnu",IF(OR(NOT(ISNUMBER(L1151)),N(L1151)&lt;=0),"Quantité invalide",IF(AND(K1151&lt;&gt;"",OR(NOT(ISNUMBER(K1151)),N(K1151)&lt;=0)),"Qté commandée invalide",IF(AG1151&lt;SUMPRODUCT(MAX((A$6:A1150=A1151)*AG$6:AG1150)),"Date antérieure au bon précédent",IF(AND(A1151&lt;&gt;"BR",ISNUMBER(M1151),N(M1151)&gt;0),IF(A1151="BL","Livré plus que commandé","Sorti plus que demandé"),"OK"))))))))))))</f>
        <v/>
      </c>
      <c r="Y1151" s="57" t="str">
        <f>IF(AND(OR(A1151="BL",A1151="BR",A1151="BS"),AG1151&gt;0,D1151&lt;&gt;""),A1151&amp;"|"&amp;AG1151&amp;"|"&amp;D1151&amp;"|"&amp;F1151,"")</f>
        <v/>
      </c>
      <c r="Z1151" s="57" t="str">
        <f>IF(Y1151="","",IF(COUNTIF(Y$6:Y1150,Y1151)=0,1,0))</f>
        <v/>
      </c>
      <c r="AA1151" s="57" t="str">
        <f>IF(Y1151="","",IF(Z1151=1,COUNTIFS(A$6:A1151,A1151,Z$6:Z1151,1),INDEX(AA$6:AA1150,MATCH(Y1151,Y$6:Y1150,0))))</f>
        <v/>
      </c>
      <c r="AB1151" s="57" t="str">
        <f>IF(B1151="","",COUNTIF(B$6:B1151,B1151))</f>
        <v/>
      </c>
      <c r="AC1151" s="57" t="str">
        <f>IF(B1151="","",B1151&amp;"#"&amp;AB1151)</f>
        <v/>
      </c>
      <c r="AD1151" s="57" t="str">
        <f>IF(Z1151=1,A1151&amp;AA1151,"")</f>
        <v/>
      </c>
      <c r="AE1151" s="57" t="str">
        <f>IF(B1151="","",YEAR(C1151))</f>
        <v/>
      </c>
      <c r="AF1151" s="57" t="str">
        <f>IF(B1151="","",MONTH(C1151))</f>
        <v/>
      </c>
      <c r="AG1151" s="57">
        <f>IF(ISNUMBER(C1151),C1151,0)</f>
        <v>0.0</v>
      </c>
      <c r="AH1151" s="57" t="str">
        <f>IF(N(W1151)&gt;0,COUNTIF(W$6:W1151,"&gt;0"),"")</f>
        <v/>
      </c>
      <c r="AI1151" s="57" t="str">
        <f>IF(Z1151=1,COUNTIF(Z$6:Z1151,1),"")</f>
        <v/>
      </c>
    </row>
    <row r="1152">
      <c r="A1152" s="54" t="n"/>
      <c r="B1152" s="55" t="str">
        <f>IF(AA1152="","",A1152&amp;"-"&amp;RIGHT("000"&amp;AA1152,4))</f>
        <v/>
      </c>
      <c r="C1152" s="56" t="n"/>
      <c r="D1152" s="54" t="n"/>
      <c r="E1152" s="57" t="str">
        <f>IF(D1152="","",IF(A1152="BL",IFERROR(INDEX(cl_name,MATCH(D1152,cl_code,0))&amp;"","Client inconnu"),IF(A1152="BR",IFERROR(INDEX(fo_name,MATCH(D1152,fo_code,0))&amp;"","Fournisseur inconnu"),IF(A1152="BS",IF(ISNA(MATCH(D1152,p_services,0)),"Service inconnu",D1152&amp;""),""))))</f>
        <v/>
      </c>
      <c r="F1152" s="58" t="n"/>
      <c r="G1152" s="58" t="n"/>
      <c r="H1152" s="59" t="n"/>
      <c r="I1152" s="57" t="str">
        <f>IF(H1152="","",IFERROR(INDEX(art_des,MATCH(H1152,art_ref,0))&amp;"","Article inconnu"))</f>
        <v/>
      </c>
      <c r="J1152" s="60" t="str">
        <f>IF(H1152="","",IFERROR(INDEX(art_unit,MATCH(H1152,art_ref,0))&amp;"",""))</f>
        <v/>
      </c>
      <c r="K1152" s="59" t="n"/>
      <c r="L1152" s="59" t="n"/>
      <c r="M1152" s="61" t="str">
        <f>IF(OR(B1152="",NOT(ISNUMBER(K1152)),NOT(ISNUMBER(L1152))),"",IF(OR(K1152&lt;=0,L1152&lt;=0),"",ROUND(L1152-K1152,6)))</f>
        <v/>
      </c>
      <c r="N1152" s="58" t="n"/>
      <c r="O1152" s="62" t="n"/>
      <c r="P1152" s="63" t="str">
        <f>IF(OR(B1152="",NOT(ISNUMBER(L1152))),"",IF(L1152&lt;=0,"",IFERROR(ROUND(L1152*N(INDEX(art_w,MATCH(H1152,art_ref,0))),3),"")))</f>
        <v/>
      </c>
      <c r="Q1152" s="59" t="n"/>
      <c r="R1152" s="54" t="n"/>
      <c r="S1152" s="59" t="n"/>
      <c r="T1152" s="59" t="n"/>
      <c r="U1152" s="64" t="str">
        <f>IF(OR(B1152="",H1152=""),"",IFERROR(IF(A1152="BL",IF(N(INDEX(art_price,MATCH(H1152,art_ref,0)))=0,"",N(INDEX(art_price,MATCH(H1152,art_ref,0)))),IF(N(INDEX(art_cost,MATCH(H1152,art_ref,0)))=0,"",N(INDEX(art_cost,MATCH(H1152,art_ref,0))))),""))</f>
        <v/>
      </c>
      <c r="V1152" s="64" t="str">
        <f>IF(OR(U1152="",NOT(ISNUMBER(L1152))),"",IF(L1152&lt;=0,"",ROUND(L1152*U1152,2)))</f>
        <v/>
      </c>
      <c r="W1152" s="60" t="str">
        <f>IF(AND(B1152&lt;&gt;"",A1152&lt;&gt;"BS",F1152&lt;&gt;"",H1152&lt;&gt;"",ISNUMBER(K1152),ISNUMBER(L1152)),IF(AND(K1152&gt;0,L1152&gt;0,K1152-L1152&gt;0,COUNTIFS(A1153:A$2005,A1152,F1153:F$2005,F1152,H1153:H$2005,H1152,AA1153:AA$2005,"&gt;0")=0),ROUND(K1152-L1152,6),""),"")</f>
        <v/>
      </c>
      <c r="X1152" s="60" t="str">
        <f>IF(AND(A1152="",C1152="",D1152="",H1152="",L1152=""),"",IF(A1152="","Type manquant",IF(AND(A1152&lt;&gt;"BL",A1152&lt;&gt;"BR",A1152&lt;&gt;"BS"),"Type inconnu (BL, BR ou BS)",IF(AG1152=0,"Date manquante ou invalide",IF(D1152="",IF(A1152="BL","Client manquant",IF(A1152="BR","Fournisseur manquant","Service manquant")),IF(IF(A1152="BL",ISNA(MATCH(D1152,cl_code,0)),IF(A1152="BR",ISNA(MATCH(D1152,fo_code,0)),ISNA(MATCH(D1152,p_services,0)))),IF(A1152="BL","Client inconnu",IF(A1152="BR","Fournisseur inconnu","Service inconnu")),IF(H1152="","Article manquant",IF(ISNA(MATCH(H1152,art_ref,0)),"Article inconnu",IF(OR(NOT(ISNUMBER(L1152)),N(L1152)&lt;=0),"Quantité invalide",IF(AND(K1152&lt;&gt;"",OR(NOT(ISNUMBER(K1152)),N(K1152)&lt;=0)),"Qté commandée invalide",IF(AG1152&lt;SUMPRODUCT(MAX((A$6:A1151=A1152)*AG$6:AG1151)),"Date antérieure au bon précédent",IF(AND(A1152&lt;&gt;"BR",ISNUMBER(M1152),N(M1152)&gt;0),IF(A1152="BL","Livré plus que commandé","Sorti plus que demandé"),"OK"))))))))))))</f>
        <v/>
      </c>
      <c r="Y1152" s="57" t="str">
        <f>IF(AND(OR(A1152="BL",A1152="BR",A1152="BS"),AG1152&gt;0,D1152&lt;&gt;""),A1152&amp;"|"&amp;AG1152&amp;"|"&amp;D1152&amp;"|"&amp;F1152,"")</f>
        <v/>
      </c>
      <c r="Z1152" s="57" t="str">
        <f>IF(Y1152="","",IF(COUNTIF(Y$6:Y1151,Y1152)=0,1,0))</f>
        <v/>
      </c>
      <c r="AA1152" s="57" t="str">
        <f>IF(Y1152="","",IF(Z1152=1,COUNTIFS(A$6:A1152,A1152,Z$6:Z1152,1),INDEX(AA$6:AA1151,MATCH(Y1152,Y$6:Y1151,0))))</f>
        <v/>
      </c>
      <c r="AB1152" s="57" t="str">
        <f>IF(B1152="","",COUNTIF(B$6:B1152,B1152))</f>
        <v/>
      </c>
      <c r="AC1152" s="57" t="str">
        <f>IF(B1152="","",B1152&amp;"#"&amp;AB1152)</f>
        <v/>
      </c>
      <c r="AD1152" s="57" t="str">
        <f>IF(Z1152=1,A1152&amp;AA1152,"")</f>
        <v/>
      </c>
      <c r="AE1152" s="57" t="str">
        <f>IF(B1152="","",YEAR(C1152))</f>
        <v/>
      </c>
      <c r="AF1152" s="57" t="str">
        <f>IF(B1152="","",MONTH(C1152))</f>
        <v/>
      </c>
      <c r="AG1152" s="57">
        <f>IF(ISNUMBER(C1152),C1152,0)</f>
        <v>0.0</v>
      </c>
      <c r="AH1152" s="57" t="str">
        <f>IF(N(W1152)&gt;0,COUNTIF(W$6:W1152,"&gt;0"),"")</f>
        <v/>
      </c>
      <c r="AI1152" s="57" t="str">
        <f>IF(Z1152=1,COUNTIF(Z$6:Z1152,1),"")</f>
        <v/>
      </c>
    </row>
    <row r="1153">
      <c r="A1153" s="54" t="n"/>
      <c r="B1153" s="55" t="str">
        <f>IF(AA1153="","",A1153&amp;"-"&amp;RIGHT("000"&amp;AA1153,4))</f>
        <v/>
      </c>
      <c r="C1153" s="56" t="n"/>
      <c r="D1153" s="54" t="n"/>
      <c r="E1153" s="57" t="str">
        <f>IF(D1153="","",IF(A1153="BL",IFERROR(INDEX(cl_name,MATCH(D1153,cl_code,0))&amp;"","Client inconnu"),IF(A1153="BR",IFERROR(INDEX(fo_name,MATCH(D1153,fo_code,0))&amp;"","Fournisseur inconnu"),IF(A1153="BS",IF(ISNA(MATCH(D1153,p_services,0)),"Service inconnu",D1153&amp;""),""))))</f>
        <v/>
      </c>
      <c r="F1153" s="58" t="n"/>
      <c r="G1153" s="58" t="n"/>
      <c r="H1153" s="59" t="n"/>
      <c r="I1153" s="57" t="str">
        <f>IF(H1153="","",IFERROR(INDEX(art_des,MATCH(H1153,art_ref,0))&amp;"","Article inconnu"))</f>
        <v/>
      </c>
      <c r="J1153" s="60" t="str">
        <f>IF(H1153="","",IFERROR(INDEX(art_unit,MATCH(H1153,art_ref,0))&amp;"",""))</f>
        <v/>
      </c>
      <c r="K1153" s="59" t="n"/>
      <c r="L1153" s="59" t="n"/>
      <c r="M1153" s="61" t="str">
        <f>IF(OR(B1153="",NOT(ISNUMBER(K1153)),NOT(ISNUMBER(L1153))),"",IF(OR(K1153&lt;=0,L1153&lt;=0),"",ROUND(L1153-K1153,6)))</f>
        <v/>
      </c>
      <c r="N1153" s="58" t="n"/>
      <c r="O1153" s="62" t="n"/>
      <c r="P1153" s="63" t="str">
        <f>IF(OR(B1153="",NOT(ISNUMBER(L1153))),"",IF(L1153&lt;=0,"",IFERROR(ROUND(L1153*N(INDEX(art_w,MATCH(H1153,art_ref,0))),3),"")))</f>
        <v/>
      </c>
      <c r="Q1153" s="59" t="n"/>
      <c r="R1153" s="54" t="n"/>
      <c r="S1153" s="59" t="n"/>
      <c r="T1153" s="59" t="n"/>
      <c r="U1153" s="64" t="str">
        <f>IF(OR(B1153="",H1153=""),"",IFERROR(IF(A1153="BL",IF(N(INDEX(art_price,MATCH(H1153,art_ref,0)))=0,"",N(INDEX(art_price,MATCH(H1153,art_ref,0)))),IF(N(INDEX(art_cost,MATCH(H1153,art_ref,0)))=0,"",N(INDEX(art_cost,MATCH(H1153,art_ref,0))))),""))</f>
        <v/>
      </c>
      <c r="V1153" s="64" t="str">
        <f>IF(OR(U1153="",NOT(ISNUMBER(L1153))),"",IF(L1153&lt;=0,"",ROUND(L1153*U1153,2)))</f>
        <v/>
      </c>
      <c r="W1153" s="60" t="str">
        <f>IF(AND(B1153&lt;&gt;"",A1153&lt;&gt;"BS",F1153&lt;&gt;"",H1153&lt;&gt;"",ISNUMBER(K1153),ISNUMBER(L1153)),IF(AND(K1153&gt;0,L1153&gt;0,K1153-L1153&gt;0,COUNTIFS(A1154:A$2005,A1153,F1154:F$2005,F1153,H1154:H$2005,H1153,AA1154:AA$2005,"&gt;0")=0),ROUND(K1153-L1153,6),""),"")</f>
        <v/>
      </c>
      <c r="X1153" s="60" t="str">
        <f>IF(AND(A1153="",C1153="",D1153="",H1153="",L1153=""),"",IF(A1153="","Type manquant",IF(AND(A1153&lt;&gt;"BL",A1153&lt;&gt;"BR",A1153&lt;&gt;"BS"),"Type inconnu (BL, BR ou BS)",IF(AG1153=0,"Date manquante ou invalide",IF(D1153="",IF(A1153="BL","Client manquant",IF(A1153="BR","Fournisseur manquant","Service manquant")),IF(IF(A1153="BL",ISNA(MATCH(D1153,cl_code,0)),IF(A1153="BR",ISNA(MATCH(D1153,fo_code,0)),ISNA(MATCH(D1153,p_services,0)))),IF(A1153="BL","Client inconnu",IF(A1153="BR","Fournisseur inconnu","Service inconnu")),IF(H1153="","Article manquant",IF(ISNA(MATCH(H1153,art_ref,0)),"Article inconnu",IF(OR(NOT(ISNUMBER(L1153)),N(L1153)&lt;=0),"Quantité invalide",IF(AND(K1153&lt;&gt;"",OR(NOT(ISNUMBER(K1153)),N(K1153)&lt;=0)),"Qté commandée invalide",IF(AG1153&lt;SUMPRODUCT(MAX((A$6:A1152=A1153)*AG$6:AG1152)),"Date antérieure au bon précédent",IF(AND(A1153&lt;&gt;"BR",ISNUMBER(M1153),N(M1153)&gt;0),IF(A1153="BL","Livré plus que commandé","Sorti plus que demandé"),"OK"))))))))))))</f>
        <v/>
      </c>
      <c r="Y1153" s="57" t="str">
        <f>IF(AND(OR(A1153="BL",A1153="BR",A1153="BS"),AG1153&gt;0,D1153&lt;&gt;""),A1153&amp;"|"&amp;AG1153&amp;"|"&amp;D1153&amp;"|"&amp;F1153,"")</f>
        <v/>
      </c>
      <c r="Z1153" s="57" t="str">
        <f>IF(Y1153="","",IF(COUNTIF(Y$6:Y1152,Y1153)=0,1,0))</f>
        <v/>
      </c>
      <c r="AA1153" s="57" t="str">
        <f>IF(Y1153="","",IF(Z1153=1,COUNTIFS(A$6:A1153,A1153,Z$6:Z1153,1),INDEX(AA$6:AA1152,MATCH(Y1153,Y$6:Y1152,0))))</f>
        <v/>
      </c>
      <c r="AB1153" s="57" t="str">
        <f>IF(B1153="","",COUNTIF(B$6:B1153,B1153))</f>
        <v/>
      </c>
      <c r="AC1153" s="57" t="str">
        <f>IF(B1153="","",B1153&amp;"#"&amp;AB1153)</f>
        <v/>
      </c>
      <c r="AD1153" s="57" t="str">
        <f>IF(Z1153=1,A1153&amp;AA1153,"")</f>
        <v/>
      </c>
      <c r="AE1153" s="57" t="str">
        <f>IF(B1153="","",YEAR(C1153))</f>
        <v/>
      </c>
      <c r="AF1153" s="57" t="str">
        <f>IF(B1153="","",MONTH(C1153))</f>
        <v/>
      </c>
      <c r="AG1153" s="57">
        <f>IF(ISNUMBER(C1153),C1153,0)</f>
        <v>0.0</v>
      </c>
      <c r="AH1153" s="57" t="str">
        <f>IF(N(W1153)&gt;0,COUNTIF(W$6:W1153,"&gt;0"),"")</f>
        <v/>
      </c>
      <c r="AI1153" s="57" t="str">
        <f>IF(Z1153=1,COUNTIF(Z$6:Z1153,1),"")</f>
        <v/>
      </c>
    </row>
    <row r="1154">
      <c r="A1154" s="54" t="n"/>
      <c r="B1154" s="55" t="str">
        <f>IF(AA1154="","",A1154&amp;"-"&amp;RIGHT("000"&amp;AA1154,4))</f>
        <v/>
      </c>
      <c r="C1154" s="56" t="n"/>
      <c r="D1154" s="54" t="n"/>
      <c r="E1154" s="57" t="str">
        <f>IF(D1154="","",IF(A1154="BL",IFERROR(INDEX(cl_name,MATCH(D1154,cl_code,0))&amp;"","Client inconnu"),IF(A1154="BR",IFERROR(INDEX(fo_name,MATCH(D1154,fo_code,0))&amp;"","Fournisseur inconnu"),IF(A1154="BS",IF(ISNA(MATCH(D1154,p_services,0)),"Service inconnu",D1154&amp;""),""))))</f>
        <v/>
      </c>
      <c r="F1154" s="58" t="n"/>
      <c r="G1154" s="58" t="n"/>
      <c r="H1154" s="59" t="n"/>
      <c r="I1154" s="57" t="str">
        <f>IF(H1154="","",IFERROR(INDEX(art_des,MATCH(H1154,art_ref,0))&amp;"","Article inconnu"))</f>
        <v/>
      </c>
      <c r="J1154" s="60" t="str">
        <f>IF(H1154="","",IFERROR(INDEX(art_unit,MATCH(H1154,art_ref,0))&amp;"",""))</f>
        <v/>
      </c>
      <c r="K1154" s="59" t="n"/>
      <c r="L1154" s="59" t="n"/>
      <c r="M1154" s="61" t="str">
        <f>IF(OR(B1154="",NOT(ISNUMBER(K1154)),NOT(ISNUMBER(L1154))),"",IF(OR(K1154&lt;=0,L1154&lt;=0),"",ROUND(L1154-K1154,6)))</f>
        <v/>
      </c>
      <c r="N1154" s="58" t="n"/>
      <c r="O1154" s="62" t="n"/>
      <c r="P1154" s="63" t="str">
        <f>IF(OR(B1154="",NOT(ISNUMBER(L1154))),"",IF(L1154&lt;=0,"",IFERROR(ROUND(L1154*N(INDEX(art_w,MATCH(H1154,art_ref,0))),3),"")))</f>
        <v/>
      </c>
      <c r="Q1154" s="59" t="n"/>
      <c r="R1154" s="54" t="n"/>
      <c r="S1154" s="59" t="n"/>
      <c r="T1154" s="59" t="n"/>
      <c r="U1154" s="64" t="str">
        <f>IF(OR(B1154="",H1154=""),"",IFERROR(IF(A1154="BL",IF(N(INDEX(art_price,MATCH(H1154,art_ref,0)))=0,"",N(INDEX(art_price,MATCH(H1154,art_ref,0)))),IF(N(INDEX(art_cost,MATCH(H1154,art_ref,0)))=0,"",N(INDEX(art_cost,MATCH(H1154,art_ref,0))))),""))</f>
        <v/>
      </c>
      <c r="V1154" s="64" t="str">
        <f>IF(OR(U1154="",NOT(ISNUMBER(L1154))),"",IF(L1154&lt;=0,"",ROUND(L1154*U1154,2)))</f>
        <v/>
      </c>
      <c r="W1154" s="60" t="str">
        <f>IF(AND(B1154&lt;&gt;"",A1154&lt;&gt;"BS",F1154&lt;&gt;"",H1154&lt;&gt;"",ISNUMBER(K1154),ISNUMBER(L1154)),IF(AND(K1154&gt;0,L1154&gt;0,K1154-L1154&gt;0,COUNTIFS(A1155:A$2005,A1154,F1155:F$2005,F1154,H1155:H$2005,H1154,AA1155:AA$2005,"&gt;0")=0),ROUND(K1154-L1154,6),""),"")</f>
        <v/>
      </c>
      <c r="X1154" s="60" t="str">
        <f>IF(AND(A1154="",C1154="",D1154="",H1154="",L1154=""),"",IF(A1154="","Type manquant",IF(AND(A1154&lt;&gt;"BL",A1154&lt;&gt;"BR",A1154&lt;&gt;"BS"),"Type inconnu (BL, BR ou BS)",IF(AG1154=0,"Date manquante ou invalide",IF(D1154="",IF(A1154="BL","Client manquant",IF(A1154="BR","Fournisseur manquant","Service manquant")),IF(IF(A1154="BL",ISNA(MATCH(D1154,cl_code,0)),IF(A1154="BR",ISNA(MATCH(D1154,fo_code,0)),ISNA(MATCH(D1154,p_services,0)))),IF(A1154="BL","Client inconnu",IF(A1154="BR","Fournisseur inconnu","Service inconnu")),IF(H1154="","Article manquant",IF(ISNA(MATCH(H1154,art_ref,0)),"Article inconnu",IF(OR(NOT(ISNUMBER(L1154)),N(L1154)&lt;=0),"Quantité invalide",IF(AND(K1154&lt;&gt;"",OR(NOT(ISNUMBER(K1154)),N(K1154)&lt;=0)),"Qté commandée invalide",IF(AG1154&lt;SUMPRODUCT(MAX((A$6:A1153=A1154)*AG$6:AG1153)),"Date antérieure au bon précédent",IF(AND(A1154&lt;&gt;"BR",ISNUMBER(M1154),N(M1154)&gt;0),IF(A1154="BL","Livré plus que commandé","Sorti plus que demandé"),"OK"))))))))))))</f>
        <v/>
      </c>
      <c r="Y1154" s="57" t="str">
        <f>IF(AND(OR(A1154="BL",A1154="BR",A1154="BS"),AG1154&gt;0,D1154&lt;&gt;""),A1154&amp;"|"&amp;AG1154&amp;"|"&amp;D1154&amp;"|"&amp;F1154,"")</f>
        <v/>
      </c>
      <c r="Z1154" s="57" t="str">
        <f>IF(Y1154="","",IF(COUNTIF(Y$6:Y1153,Y1154)=0,1,0))</f>
        <v/>
      </c>
      <c r="AA1154" s="57" t="str">
        <f>IF(Y1154="","",IF(Z1154=1,COUNTIFS(A$6:A1154,A1154,Z$6:Z1154,1),INDEX(AA$6:AA1153,MATCH(Y1154,Y$6:Y1153,0))))</f>
        <v/>
      </c>
      <c r="AB1154" s="57" t="str">
        <f>IF(B1154="","",COUNTIF(B$6:B1154,B1154))</f>
        <v/>
      </c>
      <c r="AC1154" s="57" t="str">
        <f>IF(B1154="","",B1154&amp;"#"&amp;AB1154)</f>
        <v/>
      </c>
      <c r="AD1154" s="57" t="str">
        <f>IF(Z1154=1,A1154&amp;AA1154,"")</f>
        <v/>
      </c>
      <c r="AE1154" s="57" t="str">
        <f>IF(B1154="","",YEAR(C1154))</f>
        <v/>
      </c>
      <c r="AF1154" s="57" t="str">
        <f>IF(B1154="","",MONTH(C1154))</f>
        <v/>
      </c>
      <c r="AG1154" s="57">
        <f>IF(ISNUMBER(C1154),C1154,0)</f>
        <v>0.0</v>
      </c>
      <c r="AH1154" s="57" t="str">
        <f>IF(N(W1154)&gt;0,COUNTIF(W$6:W1154,"&gt;0"),"")</f>
        <v/>
      </c>
      <c r="AI1154" s="57" t="str">
        <f>IF(Z1154=1,COUNTIF(Z$6:Z1154,1),"")</f>
        <v/>
      </c>
    </row>
    <row r="1155">
      <c r="A1155" s="54" t="n"/>
      <c r="B1155" s="55" t="str">
        <f>IF(AA1155="","",A1155&amp;"-"&amp;RIGHT("000"&amp;AA1155,4))</f>
        <v/>
      </c>
      <c r="C1155" s="56" t="n"/>
      <c r="D1155" s="54" t="n"/>
      <c r="E1155" s="57" t="str">
        <f>IF(D1155="","",IF(A1155="BL",IFERROR(INDEX(cl_name,MATCH(D1155,cl_code,0))&amp;"","Client inconnu"),IF(A1155="BR",IFERROR(INDEX(fo_name,MATCH(D1155,fo_code,0))&amp;"","Fournisseur inconnu"),IF(A1155="BS",IF(ISNA(MATCH(D1155,p_services,0)),"Service inconnu",D1155&amp;""),""))))</f>
        <v/>
      </c>
      <c r="F1155" s="58" t="n"/>
      <c r="G1155" s="58" t="n"/>
      <c r="H1155" s="59" t="n"/>
      <c r="I1155" s="57" t="str">
        <f>IF(H1155="","",IFERROR(INDEX(art_des,MATCH(H1155,art_ref,0))&amp;"","Article inconnu"))</f>
        <v/>
      </c>
      <c r="J1155" s="60" t="str">
        <f>IF(H1155="","",IFERROR(INDEX(art_unit,MATCH(H1155,art_ref,0))&amp;"",""))</f>
        <v/>
      </c>
      <c r="K1155" s="59" t="n"/>
      <c r="L1155" s="59" t="n"/>
      <c r="M1155" s="61" t="str">
        <f>IF(OR(B1155="",NOT(ISNUMBER(K1155)),NOT(ISNUMBER(L1155))),"",IF(OR(K1155&lt;=0,L1155&lt;=0),"",ROUND(L1155-K1155,6)))</f>
        <v/>
      </c>
      <c r="N1155" s="58" t="n"/>
      <c r="O1155" s="62" t="n"/>
      <c r="P1155" s="63" t="str">
        <f>IF(OR(B1155="",NOT(ISNUMBER(L1155))),"",IF(L1155&lt;=0,"",IFERROR(ROUND(L1155*N(INDEX(art_w,MATCH(H1155,art_ref,0))),3),"")))</f>
        <v/>
      </c>
      <c r="Q1155" s="59" t="n"/>
      <c r="R1155" s="54" t="n"/>
      <c r="S1155" s="59" t="n"/>
      <c r="T1155" s="59" t="n"/>
      <c r="U1155" s="64" t="str">
        <f>IF(OR(B1155="",H1155=""),"",IFERROR(IF(A1155="BL",IF(N(INDEX(art_price,MATCH(H1155,art_ref,0)))=0,"",N(INDEX(art_price,MATCH(H1155,art_ref,0)))),IF(N(INDEX(art_cost,MATCH(H1155,art_ref,0)))=0,"",N(INDEX(art_cost,MATCH(H1155,art_ref,0))))),""))</f>
        <v/>
      </c>
      <c r="V1155" s="64" t="str">
        <f>IF(OR(U1155="",NOT(ISNUMBER(L1155))),"",IF(L1155&lt;=0,"",ROUND(L1155*U1155,2)))</f>
        <v/>
      </c>
      <c r="W1155" s="60" t="str">
        <f>IF(AND(B1155&lt;&gt;"",A1155&lt;&gt;"BS",F1155&lt;&gt;"",H1155&lt;&gt;"",ISNUMBER(K1155),ISNUMBER(L1155)),IF(AND(K1155&gt;0,L1155&gt;0,K1155-L1155&gt;0,COUNTIFS(A1156:A$2005,A1155,F1156:F$2005,F1155,H1156:H$2005,H1155,AA1156:AA$2005,"&gt;0")=0),ROUND(K1155-L1155,6),""),"")</f>
        <v/>
      </c>
      <c r="X1155" s="60" t="str">
        <f>IF(AND(A1155="",C1155="",D1155="",H1155="",L1155=""),"",IF(A1155="","Type manquant",IF(AND(A1155&lt;&gt;"BL",A1155&lt;&gt;"BR",A1155&lt;&gt;"BS"),"Type inconnu (BL, BR ou BS)",IF(AG1155=0,"Date manquante ou invalide",IF(D1155="",IF(A1155="BL","Client manquant",IF(A1155="BR","Fournisseur manquant","Service manquant")),IF(IF(A1155="BL",ISNA(MATCH(D1155,cl_code,0)),IF(A1155="BR",ISNA(MATCH(D1155,fo_code,0)),ISNA(MATCH(D1155,p_services,0)))),IF(A1155="BL","Client inconnu",IF(A1155="BR","Fournisseur inconnu","Service inconnu")),IF(H1155="","Article manquant",IF(ISNA(MATCH(H1155,art_ref,0)),"Article inconnu",IF(OR(NOT(ISNUMBER(L1155)),N(L1155)&lt;=0),"Quantité invalide",IF(AND(K1155&lt;&gt;"",OR(NOT(ISNUMBER(K1155)),N(K1155)&lt;=0)),"Qté commandée invalide",IF(AG1155&lt;SUMPRODUCT(MAX((A$6:A1154=A1155)*AG$6:AG1154)),"Date antérieure au bon précédent",IF(AND(A1155&lt;&gt;"BR",ISNUMBER(M1155),N(M1155)&gt;0),IF(A1155="BL","Livré plus que commandé","Sorti plus que demandé"),"OK"))))))))))))</f>
        <v/>
      </c>
      <c r="Y1155" s="57" t="str">
        <f>IF(AND(OR(A1155="BL",A1155="BR",A1155="BS"),AG1155&gt;0,D1155&lt;&gt;""),A1155&amp;"|"&amp;AG1155&amp;"|"&amp;D1155&amp;"|"&amp;F1155,"")</f>
        <v/>
      </c>
      <c r="Z1155" s="57" t="str">
        <f>IF(Y1155="","",IF(COUNTIF(Y$6:Y1154,Y1155)=0,1,0))</f>
        <v/>
      </c>
      <c r="AA1155" s="57" t="str">
        <f>IF(Y1155="","",IF(Z1155=1,COUNTIFS(A$6:A1155,A1155,Z$6:Z1155,1),INDEX(AA$6:AA1154,MATCH(Y1155,Y$6:Y1154,0))))</f>
        <v/>
      </c>
      <c r="AB1155" s="57" t="str">
        <f>IF(B1155="","",COUNTIF(B$6:B1155,B1155))</f>
        <v/>
      </c>
      <c r="AC1155" s="57" t="str">
        <f>IF(B1155="","",B1155&amp;"#"&amp;AB1155)</f>
        <v/>
      </c>
      <c r="AD1155" s="57" t="str">
        <f>IF(Z1155=1,A1155&amp;AA1155,"")</f>
        <v/>
      </c>
      <c r="AE1155" s="57" t="str">
        <f>IF(B1155="","",YEAR(C1155))</f>
        <v/>
      </c>
      <c r="AF1155" s="57" t="str">
        <f>IF(B1155="","",MONTH(C1155))</f>
        <v/>
      </c>
      <c r="AG1155" s="57">
        <f>IF(ISNUMBER(C1155),C1155,0)</f>
        <v>0.0</v>
      </c>
      <c r="AH1155" s="57" t="str">
        <f>IF(N(W1155)&gt;0,COUNTIF(W$6:W1155,"&gt;0"),"")</f>
        <v/>
      </c>
      <c r="AI1155" s="57" t="str">
        <f>IF(Z1155=1,COUNTIF(Z$6:Z1155,1),"")</f>
        <v/>
      </c>
    </row>
    <row r="1156">
      <c r="A1156" s="54" t="n"/>
      <c r="B1156" s="55" t="str">
        <f>IF(AA1156="","",A1156&amp;"-"&amp;RIGHT("000"&amp;AA1156,4))</f>
        <v/>
      </c>
      <c r="C1156" s="56" t="n"/>
      <c r="D1156" s="54" t="n"/>
      <c r="E1156" s="57" t="str">
        <f>IF(D1156="","",IF(A1156="BL",IFERROR(INDEX(cl_name,MATCH(D1156,cl_code,0))&amp;"","Client inconnu"),IF(A1156="BR",IFERROR(INDEX(fo_name,MATCH(D1156,fo_code,0))&amp;"","Fournisseur inconnu"),IF(A1156="BS",IF(ISNA(MATCH(D1156,p_services,0)),"Service inconnu",D1156&amp;""),""))))</f>
        <v/>
      </c>
      <c r="F1156" s="58" t="n"/>
      <c r="G1156" s="58" t="n"/>
      <c r="H1156" s="59" t="n"/>
      <c r="I1156" s="57" t="str">
        <f>IF(H1156="","",IFERROR(INDEX(art_des,MATCH(H1156,art_ref,0))&amp;"","Article inconnu"))</f>
        <v/>
      </c>
      <c r="J1156" s="60" t="str">
        <f>IF(H1156="","",IFERROR(INDEX(art_unit,MATCH(H1156,art_ref,0))&amp;"",""))</f>
        <v/>
      </c>
      <c r="K1156" s="59" t="n"/>
      <c r="L1156" s="59" t="n"/>
      <c r="M1156" s="61" t="str">
        <f>IF(OR(B1156="",NOT(ISNUMBER(K1156)),NOT(ISNUMBER(L1156))),"",IF(OR(K1156&lt;=0,L1156&lt;=0),"",ROUND(L1156-K1156,6)))</f>
        <v/>
      </c>
      <c r="N1156" s="58" t="n"/>
      <c r="O1156" s="62" t="n"/>
      <c r="P1156" s="63" t="str">
        <f>IF(OR(B1156="",NOT(ISNUMBER(L1156))),"",IF(L1156&lt;=0,"",IFERROR(ROUND(L1156*N(INDEX(art_w,MATCH(H1156,art_ref,0))),3),"")))</f>
        <v/>
      </c>
      <c r="Q1156" s="59" t="n"/>
      <c r="R1156" s="54" t="n"/>
      <c r="S1156" s="59" t="n"/>
      <c r="T1156" s="59" t="n"/>
      <c r="U1156" s="64" t="str">
        <f>IF(OR(B1156="",H1156=""),"",IFERROR(IF(A1156="BL",IF(N(INDEX(art_price,MATCH(H1156,art_ref,0)))=0,"",N(INDEX(art_price,MATCH(H1156,art_ref,0)))),IF(N(INDEX(art_cost,MATCH(H1156,art_ref,0)))=0,"",N(INDEX(art_cost,MATCH(H1156,art_ref,0))))),""))</f>
        <v/>
      </c>
      <c r="V1156" s="64" t="str">
        <f>IF(OR(U1156="",NOT(ISNUMBER(L1156))),"",IF(L1156&lt;=0,"",ROUND(L1156*U1156,2)))</f>
        <v/>
      </c>
      <c r="W1156" s="60" t="str">
        <f>IF(AND(B1156&lt;&gt;"",A1156&lt;&gt;"BS",F1156&lt;&gt;"",H1156&lt;&gt;"",ISNUMBER(K1156),ISNUMBER(L1156)),IF(AND(K1156&gt;0,L1156&gt;0,K1156-L1156&gt;0,COUNTIFS(A1157:A$2005,A1156,F1157:F$2005,F1156,H1157:H$2005,H1156,AA1157:AA$2005,"&gt;0")=0),ROUND(K1156-L1156,6),""),"")</f>
        <v/>
      </c>
      <c r="X1156" s="60" t="str">
        <f>IF(AND(A1156="",C1156="",D1156="",H1156="",L1156=""),"",IF(A1156="","Type manquant",IF(AND(A1156&lt;&gt;"BL",A1156&lt;&gt;"BR",A1156&lt;&gt;"BS"),"Type inconnu (BL, BR ou BS)",IF(AG1156=0,"Date manquante ou invalide",IF(D1156="",IF(A1156="BL","Client manquant",IF(A1156="BR","Fournisseur manquant","Service manquant")),IF(IF(A1156="BL",ISNA(MATCH(D1156,cl_code,0)),IF(A1156="BR",ISNA(MATCH(D1156,fo_code,0)),ISNA(MATCH(D1156,p_services,0)))),IF(A1156="BL","Client inconnu",IF(A1156="BR","Fournisseur inconnu","Service inconnu")),IF(H1156="","Article manquant",IF(ISNA(MATCH(H1156,art_ref,0)),"Article inconnu",IF(OR(NOT(ISNUMBER(L1156)),N(L1156)&lt;=0),"Quantité invalide",IF(AND(K1156&lt;&gt;"",OR(NOT(ISNUMBER(K1156)),N(K1156)&lt;=0)),"Qté commandée invalide",IF(AG1156&lt;SUMPRODUCT(MAX((A$6:A1155=A1156)*AG$6:AG1155)),"Date antérieure au bon précédent",IF(AND(A1156&lt;&gt;"BR",ISNUMBER(M1156),N(M1156)&gt;0),IF(A1156="BL","Livré plus que commandé","Sorti plus que demandé"),"OK"))))))))))))</f>
        <v/>
      </c>
      <c r="Y1156" s="57" t="str">
        <f>IF(AND(OR(A1156="BL",A1156="BR",A1156="BS"),AG1156&gt;0,D1156&lt;&gt;""),A1156&amp;"|"&amp;AG1156&amp;"|"&amp;D1156&amp;"|"&amp;F1156,"")</f>
        <v/>
      </c>
      <c r="Z1156" s="57" t="str">
        <f>IF(Y1156="","",IF(COUNTIF(Y$6:Y1155,Y1156)=0,1,0))</f>
        <v/>
      </c>
      <c r="AA1156" s="57" t="str">
        <f>IF(Y1156="","",IF(Z1156=1,COUNTIFS(A$6:A1156,A1156,Z$6:Z1156,1),INDEX(AA$6:AA1155,MATCH(Y1156,Y$6:Y1155,0))))</f>
        <v/>
      </c>
      <c r="AB1156" s="57" t="str">
        <f>IF(B1156="","",COUNTIF(B$6:B1156,B1156))</f>
        <v/>
      </c>
      <c r="AC1156" s="57" t="str">
        <f>IF(B1156="","",B1156&amp;"#"&amp;AB1156)</f>
        <v/>
      </c>
      <c r="AD1156" s="57" t="str">
        <f>IF(Z1156=1,A1156&amp;AA1156,"")</f>
        <v/>
      </c>
      <c r="AE1156" s="57" t="str">
        <f>IF(B1156="","",YEAR(C1156))</f>
        <v/>
      </c>
      <c r="AF1156" s="57" t="str">
        <f>IF(B1156="","",MONTH(C1156))</f>
        <v/>
      </c>
      <c r="AG1156" s="57">
        <f>IF(ISNUMBER(C1156),C1156,0)</f>
        <v>0.0</v>
      </c>
      <c r="AH1156" s="57" t="str">
        <f>IF(N(W1156)&gt;0,COUNTIF(W$6:W1156,"&gt;0"),"")</f>
        <v/>
      </c>
      <c r="AI1156" s="57" t="str">
        <f>IF(Z1156=1,COUNTIF(Z$6:Z1156,1),"")</f>
        <v/>
      </c>
    </row>
    <row r="1157">
      <c r="A1157" s="54" t="n"/>
      <c r="B1157" s="55" t="str">
        <f>IF(AA1157="","",A1157&amp;"-"&amp;RIGHT("000"&amp;AA1157,4))</f>
        <v/>
      </c>
      <c r="C1157" s="56" t="n"/>
      <c r="D1157" s="54" t="n"/>
      <c r="E1157" s="57" t="str">
        <f>IF(D1157="","",IF(A1157="BL",IFERROR(INDEX(cl_name,MATCH(D1157,cl_code,0))&amp;"","Client inconnu"),IF(A1157="BR",IFERROR(INDEX(fo_name,MATCH(D1157,fo_code,0))&amp;"","Fournisseur inconnu"),IF(A1157="BS",IF(ISNA(MATCH(D1157,p_services,0)),"Service inconnu",D1157&amp;""),""))))</f>
        <v/>
      </c>
      <c r="F1157" s="58" t="n"/>
      <c r="G1157" s="58" t="n"/>
      <c r="H1157" s="59" t="n"/>
      <c r="I1157" s="57" t="str">
        <f>IF(H1157="","",IFERROR(INDEX(art_des,MATCH(H1157,art_ref,0))&amp;"","Article inconnu"))</f>
        <v/>
      </c>
      <c r="J1157" s="60" t="str">
        <f>IF(H1157="","",IFERROR(INDEX(art_unit,MATCH(H1157,art_ref,0))&amp;"",""))</f>
        <v/>
      </c>
      <c r="K1157" s="59" t="n"/>
      <c r="L1157" s="59" t="n"/>
      <c r="M1157" s="61" t="str">
        <f>IF(OR(B1157="",NOT(ISNUMBER(K1157)),NOT(ISNUMBER(L1157))),"",IF(OR(K1157&lt;=0,L1157&lt;=0),"",ROUND(L1157-K1157,6)))</f>
        <v/>
      </c>
      <c r="N1157" s="58" t="n"/>
      <c r="O1157" s="62" t="n"/>
      <c r="P1157" s="63" t="str">
        <f>IF(OR(B1157="",NOT(ISNUMBER(L1157))),"",IF(L1157&lt;=0,"",IFERROR(ROUND(L1157*N(INDEX(art_w,MATCH(H1157,art_ref,0))),3),"")))</f>
        <v/>
      </c>
      <c r="Q1157" s="59" t="n"/>
      <c r="R1157" s="54" t="n"/>
      <c r="S1157" s="59" t="n"/>
      <c r="T1157" s="59" t="n"/>
      <c r="U1157" s="64" t="str">
        <f>IF(OR(B1157="",H1157=""),"",IFERROR(IF(A1157="BL",IF(N(INDEX(art_price,MATCH(H1157,art_ref,0)))=0,"",N(INDEX(art_price,MATCH(H1157,art_ref,0)))),IF(N(INDEX(art_cost,MATCH(H1157,art_ref,0)))=0,"",N(INDEX(art_cost,MATCH(H1157,art_ref,0))))),""))</f>
        <v/>
      </c>
      <c r="V1157" s="64" t="str">
        <f>IF(OR(U1157="",NOT(ISNUMBER(L1157))),"",IF(L1157&lt;=0,"",ROUND(L1157*U1157,2)))</f>
        <v/>
      </c>
      <c r="W1157" s="60" t="str">
        <f>IF(AND(B1157&lt;&gt;"",A1157&lt;&gt;"BS",F1157&lt;&gt;"",H1157&lt;&gt;"",ISNUMBER(K1157),ISNUMBER(L1157)),IF(AND(K1157&gt;0,L1157&gt;0,K1157-L1157&gt;0,COUNTIFS(A1158:A$2005,A1157,F1158:F$2005,F1157,H1158:H$2005,H1157,AA1158:AA$2005,"&gt;0")=0),ROUND(K1157-L1157,6),""),"")</f>
        <v/>
      </c>
      <c r="X1157" s="60" t="str">
        <f>IF(AND(A1157="",C1157="",D1157="",H1157="",L1157=""),"",IF(A1157="","Type manquant",IF(AND(A1157&lt;&gt;"BL",A1157&lt;&gt;"BR",A1157&lt;&gt;"BS"),"Type inconnu (BL, BR ou BS)",IF(AG1157=0,"Date manquante ou invalide",IF(D1157="",IF(A1157="BL","Client manquant",IF(A1157="BR","Fournisseur manquant","Service manquant")),IF(IF(A1157="BL",ISNA(MATCH(D1157,cl_code,0)),IF(A1157="BR",ISNA(MATCH(D1157,fo_code,0)),ISNA(MATCH(D1157,p_services,0)))),IF(A1157="BL","Client inconnu",IF(A1157="BR","Fournisseur inconnu","Service inconnu")),IF(H1157="","Article manquant",IF(ISNA(MATCH(H1157,art_ref,0)),"Article inconnu",IF(OR(NOT(ISNUMBER(L1157)),N(L1157)&lt;=0),"Quantité invalide",IF(AND(K1157&lt;&gt;"",OR(NOT(ISNUMBER(K1157)),N(K1157)&lt;=0)),"Qté commandée invalide",IF(AG1157&lt;SUMPRODUCT(MAX((A$6:A1156=A1157)*AG$6:AG1156)),"Date antérieure au bon précédent",IF(AND(A1157&lt;&gt;"BR",ISNUMBER(M1157),N(M1157)&gt;0),IF(A1157="BL","Livré plus que commandé","Sorti plus que demandé"),"OK"))))))))))))</f>
        <v/>
      </c>
      <c r="Y1157" s="57" t="str">
        <f>IF(AND(OR(A1157="BL",A1157="BR",A1157="BS"),AG1157&gt;0,D1157&lt;&gt;""),A1157&amp;"|"&amp;AG1157&amp;"|"&amp;D1157&amp;"|"&amp;F1157,"")</f>
        <v/>
      </c>
      <c r="Z1157" s="57" t="str">
        <f>IF(Y1157="","",IF(COUNTIF(Y$6:Y1156,Y1157)=0,1,0))</f>
        <v/>
      </c>
      <c r="AA1157" s="57" t="str">
        <f>IF(Y1157="","",IF(Z1157=1,COUNTIFS(A$6:A1157,A1157,Z$6:Z1157,1),INDEX(AA$6:AA1156,MATCH(Y1157,Y$6:Y1156,0))))</f>
        <v/>
      </c>
      <c r="AB1157" s="57" t="str">
        <f>IF(B1157="","",COUNTIF(B$6:B1157,B1157))</f>
        <v/>
      </c>
      <c r="AC1157" s="57" t="str">
        <f>IF(B1157="","",B1157&amp;"#"&amp;AB1157)</f>
        <v/>
      </c>
      <c r="AD1157" s="57" t="str">
        <f>IF(Z1157=1,A1157&amp;AA1157,"")</f>
        <v/>
      </c>
      <c r="AE1157" s="57" t="str">
        <f>IF(B1157="","",YEAR(C1157))</f>
        <v/>
      </c>
      <c r="AF1157" s="57" t="str">
        <f>IF(B1157="","",MONTH(C1157))</f>
        <v/>
      </c>
      <c r="AG1157" s="57">
        <f>IF(ISNUMBER(C1157),C1157,0)</f>
        <v>0.0</v>
      </c>
      <c r="AH1157" s="57" t="str">
        <f>IF(N(W1157)&gt;0,COUNTIF(W$6:W1157,"&gt;0"),"")</f>
        <v/>
      </c>
      <c r="AI1157" s="57" t="str">
        <f>IF(Z1157=1,COUNTIF(Z$6:Z1157,1),"")</f>
        <v/>
      </c>
    </row>
    <row r="1158">
      <c r="A1158" s="54" t="n"/>
      <c r="B1158" s="55" t="str">
        <f>IF(AA1158="","",A1158&amp;"-"&amp;RIGHT("000"&amp;AA1158,4))</f>
        <v/>
      </c>
      <c r="C1158" s="56" t="n"/>
      <c r="D1158" s="54" t="n"/>
      <c r="E1158" s="57" t="str">
        <f>IF(D1158="","",IF(A1158="BL",IFERROR(INDEX(cl_name,MATCH(D1158,cl_code,0))&amp;"","Client inconnu"),IF(A1158="BR",IFERROR(INDEX(fo_name,MATCH(D1158,fo_code,0))&amp;"","Fournisseur inconnu"),IF(A1158="BS",IF(ISNA(MATCH(D1158,p_services,0)),"Service inconnu",D1158&amp;""),""))))</f>
        <v/>
      </c>
      <c r="F1158" s="58" t="n"/>
      <c r="G1158" s="58" t="n"/>
      <c r="H1158" s="59" t="n"/>
      <c r="I1158" s="57" t="str">
        <f>IF(H1158="","",IFERROR(INDEX(art_des,MATCH(H1158,art_ref,0))&amp;"","Article inconnu"))</f>
        <v/>
      </c>
      <c r="J1158" s="60" t="str">
        <f>IF(H1158="","",IFERROR(INDEX(art_unit,MATCH(H1158,art_ref,0))&amp;"",""))</f>
        <v/>
      </c>
      <c r="K1158" s="59" t="n"/>
      <c r="L1158" s="59" t="n"/>
      <c r="M1158" s="61" t="str">
        <f>IF(OR(B1158="",NOT(ISNUMBER(K1158)),NOT(ISNUMBER(L1158))),"",IF(OR(K1158&lt;=0,L1158&lt;=0),"",ROUND(L1158-K1158,6)))</f>
        <v/>
      </c>
      <c r="N1158" s="58" t="n"/>
      <c r="O1158" s="62" t="n"/>
      <c r="P1158" s="63" t="str">
        <f>IF(OR(B1158="",NOT(ISNUMBER(L1158))),"",IF(L1158&lt;=0,"",IFERROR(ROUND(L1158*N(INDEX(art_w,MATCH(H1158,art_ref,0))),3),"")))</f>
        <v/>
      </c>
      <c r="Q1158" s="59" t="n"/>
      <c r="R1158" s="54" t="n"/>
      <c r="S1158" s="59" t="n"/>
      <c r="T1158" s="59" t="n"/>
      <c r="U1158" s="64" t="str">
        <f>IF(OR(B1158="",H1158=""),"",IFERROR(IF(A1158="BL",IF(N(INDEX(art_price,MATCH(H1158,art_ref,0)))=0,"",N(INDEX(art_price,MATCH(H1158,art_ref,0)))),IF(N(INDEX(art_cost,MATCH(H1158,art_ref,0)))=0,"",N(INDEX(art_cost,MATCH(H1158,art_ref,0))))),""))</f>
        <v/>
      </c>
      <c r="V1158" s="64" t="str">
        <f>IF(OR(U1158="",NOT(ISNUMBER(L1158))),"",IF(L1158&lt;=0,"",ROUND(L1158*U1158,2)))</f>
        <v/>
      </c>
      <c r="W1158" s="60" t="str">
        <f>IF(AND(B1158&lt;&gt;"",A1158&lt;&gt;"BS",F1158&lt;&gt;"",H1158&lt;&gt;"",ISNUMBER(K1158),ISNUMBER(L1158)),IF(AND(K1158&gt;0,L1158&gt;0,K1158-L1158&gt;0,COUNTIFS(A1159:A$2005,A1158,F1159:F$2005,F1158,H1159:H$2005,H1158,AA1159:AA$2005,"&gt;0")=0),ROUND(K1158-L1158,6),""),"")</f>
        <v/>
      </c>
      <c r="X1158" s="60" t="str">
        <f>IF(AND(A1158="",C1158="",D1158="",H1158="",L1158=""),"",IF(A1158="","Type manquant",IF(AND(A1158&lt;&gt;"BL",A1158&lt;&gt;"BR",A1158&lt;&gt;"BS"),"Type inconnu (BL, BR ou BS)",IF(AG1158=0,"Date manquante ou invalide",IF(D1158="",IF(A1158="BL","Client manquant",IF(A1158="BR","Fournisseur manquant","Service manquant")),IF(IF(A1158="BL",ISNA(MATCH(D1158,cl_code,0)),IF(A1158="BR",ISNA(MATCH(D1158,fo_code,0)),ISNA(MATCH(D1158,p_services,0)))),IF(A1158="BL","Client inconnu",IF(A1158="BR","Fournisseur inconnu","Service inconnu")),IF(H1158="","Article manquant",IF(ISNA(MATCH(H1158,art_ref,0)),"Article inconnu",IF(OR(NOT(ISNUMBER(L1158)),N(L1158)&lt;=0),"Quantité invalide",IF(AND(K1158&lt;&gt;"",OR(NOT(ISNUMBER(K1158)),N(K1158)&lt;=0)),"Qté commandée invalide",IF(AG1158&lt;SUMPRODUCT(MAX((A$6:A1157=A1158)*AG$6:AG1157)),"Date antérieure au bon précédent",IF(AND(A1158&lt;&gt;"BR",ISNUMBER(M1158),N(M1158)&gt;0),IF(A1158="BL","Livré plus que commandé","Sorti plus que demandé"),"OK"))))))))))))</f>
        <v/>
      </c>
      <c r="Y1158" s="57" t="str">
        <f>IF(AND(OR(A1158="BL",A1158="BR",A1158="BS"),AG1158&gt;0,D1158&lt;&gt;""),A1158&amp;"|"&amp;AG1158&amp;"|"&amp;D1158&amp;"|"&amp;F1158,"")</f>
        <v/>
      </c>
      <c r="Z1158" s="57" t="str">
        <f>IF(Y1158="","",IF(COUNTIF(Y$6:Y1157,Y1158)=0,1,0))</f>
        <v/>
      </c>
      <c r="AA1158" s="57" t="str">
        <f>IF(Y1158="","",IF(Z1158=1,COUNTIFS(A$6:A1158,A1158,Z$6:Z1158,1),INDEX(AA$6:AA1157,MATCH(Y1158,Y$6:Y1157,0))))</f>
        <v/>
      </c>
      <c r="AB1158" s="57" t="str">
        <f>IF(B1158="","",COUNTIF(B$6:B1158,B1158))</f>
        <v/>
      </c>
      <c r="AC1158" s="57" t="str">
        <f>IF(B1158="","",B1158&amp;"#"&amp;AB1158)</f>
        <v/>
      </c>
      <c r="AD1158" s="57" t="str">
        <f>IF(Z1158=1,A1158&amp;AA1158,"")</f>
        <v/>
      </c>
      <c r="AE1158" s="57" t="str">
        <f>IF(B1158="","",YEAR(C1158))</f>
        <v/>
      </c>
      <c r="AF1158" s="57" t="str">
        <f>IF(B1158="","",MONTH(C1158))</f>
        <v/>
      </c>
      <c r="AG1158" s="57">
        <f>IF(ISNUMBER(C1158),C1158,0)</f>
        <v>0.0</v>
      </c>
      <c r="AH1158" s="57" t="str">
        <f>IF(N(W1158)&gt;0,COUNTIF(W$6:W1158,"&gt;0"),"")</f>
        <v/>
      </c>
      <c r="AI1158" s="57" t="str">
        <f>IF(Z1158=1,COUNTIF(Z$6:Z1158,1),"")</f>
        <v/>
      </c>
    </row>
    <row r="1159">
      <c r="A1159" s="54" t="n"/>
      <c r="B1159" s="55" t="str">
        <f>IF(AA1159="","",A1159&amp;"-"&amp;RIGHT("000"&amp;AA1159,4))</f>
        <v/>
      </c>
      <c r="C1159" s="56" t="n"/>
      <c r="D1159" s="54" t="n"/>
      <c r="E1159" s="57" t="str">
        <f>IF(D1159="","",IF(A1159="BL",IFERROR(INDEX(cl_name,MATCH(D1159,cl_code,0))&amp;"","Client inconnu"),IF(A1159="BR",IFERROR(INDEX(fo_name,MATCH(D1159,fo_code,0))&amp;"","Fournisseur inconnu"),IF(A1159="BS",IF(ISNA(MATCH(D1159,p_services,0)),"Service inconnu",D1159&amp;""),""))))</f>
        <v/>
      </c>
      <c r="F1159" s="58" t="n"/>
      <c r="G1159" s="58" t="n"/>
      <c r="H1159" s="59" t="n"/>
      <c r="I1159" s="57" t="str">
        <f>IF(H1159="","",IFERROR(INDEX(art_des,MATCH(H1159,art_ref,0))&amp;"","Article inconnu"))</f>
        <v/>
      </c>
      <c r="J1159" s="60" t="str">
        <f>IF(H1159="","",IFERROR(INDEX(art_unit,MATCH(H1159,art_ref,0))&amp;"",""))</f>
        <v/>
      </c>
      <c r="K1159" s="59" t="n"/>
      <c r="L1159" s="59" t="n"/>
      <c r="M1159" s="61" t="str">
        <f>IF(OR(B1159="",NOT(ISNUMBER(K1159)),NOT(ISNUMBER(L1159))),"",IF(OR(K1159&lt;=0,L1159&lt;=0),"",ROUND(L1159-K1159,6)))</f>
        <v/>
      </c>
      <c r="N1159" s="58" t="n"/>
      <c r="O1159" s="62" t="n"/>
      <c r="P1159" s="63" t="str">
        <f>IF(OR(B1159="",NOT(ISNUMBER(L1159))),"",IF(L1159&lt;=0,"",IFERROR(ROUND(L1159*N(INDEX(art_w,MATCH(H1159,art_ref,0))),3),"")))</f>
        <v/>
      </c>
      <c r="Q1159" s="59" t="n"/>
      <c r="R1159" s="54" t="n"/>
      <c r="S1159" s="59" t="n"/>
      <c r="T1159" s="59" t="n"/>
      <c r="U1159" s="64" t="str">
        <f>IF(OR(B1159="",H1159=""),"",IFERROR(IF(A1159="BL",IF(N(INDEX(art_price,MATCH(H1159,art_ref,0)))=0,"",N(INDEX(art_price,MATCH(H1159,art_ref,0)))),IF(N(INDEX(art_cost,MATCH(H1159,art_ref,0)))=0,"",N(INDEX(art_cost,MATCH(H1159,art_ref,0))))),""))</f>
        <v/>
      </c>
      <c r="V1159" s="64" t="str">
        <f>IF(OR(U1159="",NOT(ISNUMBER(L1159))),"",IF(L1159&lt;=0,"",ROUND(L1159*U1159,2)))</f>
        <v/>
      </c>
      <c r="W1159" s="60" t="str">
        <f>IF(AND(B1159&lt;&gt;"",A1159&lt;&gt;"BS",F1159&lt;&gt;"",H1159&lt;&gt;"",ISNUMBER(K1159),ISNUMBER(L1159)),IF(AND(K1159&gt;0,L1159&gt;0,K1159-L1159&gt;0,COUNTIFS(A1160:A$2005,A1159,F1160:F$2005,F1159,H1160:H$2005,H1159,AA1160:AA$2005,"&gt;0")=0),ROUND(K1159-L1159,6),""),"")</f>
        <v/>
      </c>
      <c r="X1159" s="60" t="str">
        <f>IF(AND(A1159="",C1159="",D1159="",H1159="",L1159=""),"",IF(A1159="","Type manquant",IF(AND(A1159&lt;&gt;"BL",A1159&lt;&gt;"BR",A1159&lt;&gt;"BS"),"Type inconnu (BL, BR ou BS)",IF(AG1159=0,"Date manquante ou invalide",IF(D1159="",IF(A1159="BL","Client manquant",IF(A1159="BR","Fournisseur manquant","Service manquant")),IF(IF(A1159="BL",ISNA(MATCH(D1159,cl_code,0)),IF(A1159="BR",ISNA(MATCH(D1159,fo_code,0)),ISNA(MATCH(D1159,p_services,0)))),IF(A1159="BL","Client inconnu",IF(A1159="BR","Fournisseur inconnu","Service inconnu")),IF(H1159="","Article manquant",IF(ISNA(MATCH(H1159,art_ref,0)),"Article inconnu",IF(OR(NOT(ISNUMBER(L1159)),N(L1159)&lt;=0),"Quantité invalide",IF(AND(K1159&lt;&gt;"",OR(NOT(ISNUMBER(K1159)),N(K1159)&lt;=0)),"Qté commandée invalide",IF(AG1159&lt;SUMPRODUCT(MAX((A$6:A1158=A1159)*AG$6:AG1158)),"Date antérieure au bon précédent",IF(AND(A1159&lt;&gt;"BR",ISNUMBER(M1159),N(M1159)&gt;0),IF(A1159="BL","Livré plus que commandé","Sorti plus que demandé"),"OK"))))))))))))</f>
        <v/>
      </c>
      <c r="Y1159" s="57" t="str">
        <f>IF(AND(OR(A1159="BL",A1159="BR",A1159="BS"),AG1159&gt;0,D1159&lt;&gt;""),A1159&amp;"|"&amp;AG1159&amp;"|"&amp;D1159&amp;"|"&amp;F1159,"")</f>
        <v/>
      </c>
      <c r="Z1159" s="57" t="str">
        <f>IF(Y1159="","",IF(COUNTIF(Y$6:Y1158,Y1159)=0,1,0))</f>
        <v/>
      </c>
      <c r="AA1159" s="57" t="str">
        <f>IF(Y1159="","",IF(Z1159=1,COUNTIFS(A$6:A1159,A1159,Z$6:Z1159,1),INDEX(AA$6:AA1158,MATCH(Y1159,Y$6:Y1158,0))))</f>
        <v/>
      </c>
      <c r="AB1159" s="57" t="str">
        <f>IF(B1159="","",COUNTIF(B$6:B1159,B1159))</f>
        <v/>
      </c>
      <c r="AC1159" s="57" t="str">
        <f>IF(B1159="","",B1159&amp;"#"&amp;AB1159)</f>
        <v/>
      </c>
      <c r="AD1159" s="57" t="str">
        <f>IF(Z1159=1,A1159&amp;AA1159,"")</f>
        <v/>
      </c>
      <c r="AE1159" s="57" t="str">
        <f>IF(B1159="","",YEAR(C1159))</f>
        <v/>
      </c>
      <c r="AF1159" s="57" t="str">
        <f>IF(B1159="","",MONTH(C1159))</f>
        <v/>
      </c>
      <c r="AG1159" s="57">
        <f>IF(ISNUMBER(C1159),C1159,0)</f>
        <v>0.0</v>
      </c>
      <c r="AH1159" s="57" t="str">
        <f>IF(N(W1159)&gt;0,COUNTIF(W$6:W1159,"&gt;0"),"")</f>
        <v/>
      </c>
      <c r="AI1159" s="57" t="str">
        <f>IF(Z1159=1,COUNTIF(Z$6:Z1159,1),"")</f>
        <v/>
      </c>
    </row>
    <row r="1160">
      <c r="A1160" s="54" t="n"/>
      <c r="B1160" s="55" t="str">
        <f>IF(AA1160="","",A1160&amp;"-"&amp;RIGHT("000"&amp;AA1160,4))</f>
        <v/>
      </c>
      <c r="C1160" s="56" t="n"/>
      <c r="D1160" s="54" t="n"/>
      <c r="E1160" s="57" t="str">
        <f>IF(D1160="","",IF(A1160="BL",IFERROR(INDEX(cl_name,MATCH(D1160,cl_code,0))&amp;"","Client inconnu"),IF(A1160="BR",IFERROR(INDEX(fo_name,MATCH(D1160,fo_code,0))&amp;"","Fournisseur inconnu"),IF(A1160="BS",IF(ISNA(MATCH(D1160,p_services,0)),"Service inconnu",D1160&amp;""),""))))</f>
        <v/>
      </c>
      <c r="F1160" s="58" t="n"/>
      <c r="G1160" s="58" t="n"/>
      <c r="H1160" s="59" t="n"/>
      <c r="I1160" s="57" t="str">
        <f>IF(H1160="","",IFERROR(INDEX(art_des,MATCH(H1160,art_ref,0))&amp;"","Article inconnu"))</f>
        <v/>
      </c>
      <c r="J1160" s="60" t="str">
        <f>IF(H1160="","",IFERROR(INDEX(art_unit,MATCH(H1160,art_ref,0))&amp;"",""))</f>
        <v/>
      </c>
      <c r="K1160" s="59" t="n"/>
      <c r="L1160" s="59" t="n"/>
      <c r="M1160" s="61" t="str">
        <f>IF(OR(B1160="",NOT(ISNUMBER(K1160)),NOT(ISNUMBER(L1160))),"",IF(OR(K1160&lt;=0,L1160&lt;=0),"",ROUND(L1160-K1160,6)))</f>
        <v/>
      </c>
      <c r="N1160" s="58" t="n"/>
      <c r="O1160" s="62" t="n"/>
      <c r="P1160" s="63" t="str">
        <f>IF(OR(B1160="",NOT(ISNUMBER(L1160))),"",IF(L1160&lt;=0,"",IFERROR(ROUND(L1160*N(INDEX(art_w,MATCH(H1160,art_ref,0))),3),"")))</f>
        <v/>
      </c>
      <c r="Q1160" s="59" t="n"/>
      <c r="R1160" s="54" t="n"/>
      <c r="S1160" s="59" t="n"/>
      <c r="T1160" s="59" t="n"/>
      <c r="U1160" s="64" t="str">
        <f>IF(OR(B1160="",H1160=""),"",IFERROR(IF(A1160="BL",IF(N(INDEX(art_price,MATCH(H1160,art_ref,0)))=0,"",N(INDEX(art_price,MATCH(H1160,art_ref,0)))),IF(N(INDEX(art_cost,MATCH(H1160,art_ref,0)))=0,"",N(INDEX(art_cost,MATCH(H1160,art_ref,0))))),""))</f>
        <v/>
      </c>
      <c r="V1160" s="64" t="str">
        <f>IF(OR(U1160="",NOT(ISNUMBER(L1160))),"",IF(L1160&lt;=0,"",ROUND(L1160*U1160,2)))</f>
        <v/>
      </c>
      <c r="W1160" s="60" t="str">
        <f>IF(AND(B1160&lt;&gt;"",A1160&lt;&gt;"BS",F1160&lt;&gt;"",H1160&lt;&gt;"",ISNUMBER(K1160),ISNUMBER(L1160)),IF(AND(K1160&gt;0,L1160&gt;0,K1160-L1160&gt;0,COUNTIFS(A1161:A$2005,A1160,F1161:F$2005,F1160,H1161:H$2005,H1160,AA1161:AA$2005,"&gt;0")=0),ROUND(K1160-L1160,6),""),"")</f>
        <v/>
      </c>
      <c r="X1160" s="60" t="str">
        <f>IF(AND(A1160="",C1160="",D1160="",H1160="",L1160=""),"",IF(A1160="","Type manquant",IF(AND(A1160&lt;&gt;"BL",A1160&lt;&gt;"BR",A1160&lt;&gt;"BS"),"Type inconnu (BL, BR ou BS)",IF(AG1160=0,"Date manquante ou invalide",IF(D1160="",IF(A1160="BL","Client manquant",IF(A1160="BR","Fournisseur manquant","Service manquant")),IF(IF(A1160="BL",ISNA(MATCH(D1160,cl_code,0)),IF(A1160="BR",ISNA(MATCH(D1160,fo_code,0)),ISNA(MATCH(D1160,p_services,0)))),IF(A1160="BL","Client inconnu",IF(A1160="BR","Fournisseur inconnu","Service inconnu")),IF(H1160="","Article manquant",IF(ISNA(MATCH(H1160,art_ref,0)),"Article inconnu",IF(OR(NOT(ISNUMBER(L1160)),N(L1160)&lt;=0),"Quantité invalide",IF(AND(K1160&lt;&gt;"",OR(NOT(ISNUMBER(K1160)),N(K1160)&lt;=0)),"Qté commandée invalide",IF(AG1160&lt;SUMPRODUCT(MAX((A$6:A1159=A1160)*AG$6:AG1159)),"Date antérieure au bon précédent",IF(AND(A1160&lt;&gt;"BR",ISNUMBER(M1160),N(M1160)&gt;0),IF(A1160="BL","Livré plus que commandé","Sorti plus que demandé"),"OK"))))))))))))</f>
        <v/>
      </c>
      <c r="Y1160" s="57" t="str">
        <f>IF(AND(OR(A1160="BL",A1160="BR",A1160="BS"),AG1160&gt;0,D1160&lt;&gt;""),A1160&amp;"|"&amp;AG1160&amp;"|"&amp;D1160&amp;"|"&amp;F1160,"")</f>
        <v/>
      </c>
      <c r="Z1160" s="57" t="str">
        <f>IF(Y1160="","",IF(COUNTIF(Y$6:Y1159,Y1160)=0,1,0))</f>
        <v/>
      </c>
      <c r="AA1160" s="57" t="str">
        <f>IF(Y1160="","",IF(Z1160=1,COUNTIFS(A$6:A1160,A1160,Z$6:Z1160,1),INDEX(AA$6:AA1159,MATCH(Y1160,Y$6:Y1159,0))))</f>
        <v/>
      </c>
      <c r="AB1160" s="57" t="str">
        <f>IF(B1160="","",COUNTIF(B$6:B1160,B1160))</f>
        <v/>
      </c>
      <c r="AC1160" s="57" t="str">
        <f>IF(B1160="","",B1160&amp;"#"&amp;AB1160)</f>
        <v/>
      </c>
      <c r="AD1160" s="57" t="str">
        <f>IF(Z1160=1,A1160&amp;AA1160,"")</f>
        <v/>
      </c>
      <c r="AE1160" s="57" t="str">
        <f>IF(B1160="","",YEAR(C1160))</f>
        <v/>
      </c>
      <c r="AF1160" s="57" t="str">
        <f>IF(B1160="","",MONTH(C1160))</f>
        <v/>
      </c>
      <c r="AG1160" s="57">
        <f>IF(ISNUMBER(C1160),C1160,0)</f>
        <v>0.0</v>
      </c>
      <c r="AH1160" s="57" t="str">
        <f>IF(N(W1160)&gt;0,COUNTIF(W$6:W1160,"&gt;0"),"")</f>
        <v/>
      </c>
      <c r="AI1160" s="57" t="str">
        <f>IF(Z1160=1,COUNTIF(Z$6:Z1160,1),"")</f>
        <v/>
      </c>
    </row>
    <row r="1161">
      <c r="A1161" s="54" t="n"/>
      <c r="B1161" s="55" t="str">
        <f>IF(AA1161="","",A1161&amp;"-"&amp;RIGHT("000"&amp;AA1161,4))</f>
        <v/>
      </c>
      <c r="C1161" s="56" t="n"/>
      <c r="D1161" s="54" t="n"/>
      <c r="E1161" s="57" t="str">
        <f>IF(D1161="","",IF(A1161="BL",IFERROR(INDEX(cl_name,MATCH(D1161,cl_code,0))&amp;"","Client inconnu"),IF(A1161="BR",IFERROR(INDEX(fo_name,MATCH(D1161,fo_code,0))&amp;"","Fournisseur inconnu"),IF(A1161="BS",IF(ISNA(MATCH(D1161,p_services,0)),"Service inconnu",D1161&amp;""),""))))</f>
        <v/>
      </c>
      <c r="F1161" s="58" t="n"/>
      <c r="G1161" s="58" t="n"/>
      <c r="H1161" s="59" t="n"/>
      <c r="I1161" s="57" t="str">
        <f>IF(H1161="","",IFERROR(INDEX(art_des,MATCH(H1161,art_ref,0))&amp;"","Article inconnu"))</f>
        <v/>
      </c>
      <c r="J1161" s="60" t="str">
        <f>IF(H1161="","",IFERROR(INDEX(art_unit,MATCH(H1161,art_ref,0))&amp;"",""))</f>
        <v/>
      </c>
      <c r="K1161" s="59" t="n"/>
      <c r="L1161" s="59" t="n"/>
      <c r="M1161" s="61" t="str">
        <f>IF(OR(B1161="",NOT(ISNUMBER(K1161)),NOT(ISNUMBER(L1161))),"",IF(OR(K1161&lt;=0,L1161&lt;=0),"",ROUND(L1161-K1161,6)))</f>
        <v/>
      </c>
      <c r="N1161" s="58" t="n"/>
      <c r="O1161" s="62" t="n"/>
      <c r="P1161" s="63" t="str">
        <f>IF(OR(B1161="",NOT(ISNUMBER(L1161))),"",IF(L1161&lt;=0,"",IFERROR(ROUND(L1161*N(INDEX(art_w,MATCH(H1161,art_ref,0))),3),"")))</f>
        <v/>
      </c>
      <c r="Q1161" s="59" t="n"/>
      <c r="R1161" s="54" t="n"/>
      <c r="S1161" s="59" t="n"/>
      <c r="T1161" s="59" t="n"/>
      <c r="U1161" s="64" t="str">
        <f>IF(OR(B1161="",H1161=""),"",IFERROR(IF(A1161="BL",IF(N(INDEX(art_price,MATCH(H1161,art_ref,0)))=0,"",N(INDEX(art_price,MATCH(H1161,art_ref,0)))),IF(N(INDEX(art_cost,MATCH(H1161,art_ref,0)))=0,"",N(INDEX(art_cost,MATCH(H1161,art_ref,0))))),""))</f>
        <v/>
      </c>
      <c r="V1161" s="64" t="str">
        <f>IF(OR(U1161="",NOT(ISNUMBER(L1161))),"",IF(L1161&lt;=0,"",ROUND(L1161*U1161,2)))</f>
        <v/>
      </c>
      <c r="W1161" s="60" t="str">
        <f>IF(AND(B1161&lt;&gt;"",A1161&lt;&gt;"BS",F1161&lt;&gt;"",H1161&lt;&gt;"",ISNUMBER(K1161),ISNUMBER(L1161)),IF(AND(K1161&gt;0,L1161&gt;0,K1161-L1161&gt;0,COUNTIFS(A1162:A$2005,A1161,F1162:F$2005,F1161,H1162:H$2005,H1161,AA1162:AA$2005,"&gt;0")=0),ROUND(K1161-L1161,6),""),"")</f>
        <v/>
      </c>
      <c r="X1161" s="60" t="str">
        <f>IF(AND(A1161="",C1161="",D1161="",H1161="",L1161=""),"",IF(A1161="","Type manquant",IF(AND(A1161&lt;&gt;"BL",A1161&lt;&gt;"BR",A1161&lt;&gt;"BS"),"Type inconnu (BL, BR ou BS)",IF(AG1161=0,"Date manquante ou invalide",IF(D1161="",IF(A1161="BL","Client manquant",IF(A1161="BR","Fournisseur manquant","Service manquant")),IF(IF(A1161="BL",ISNA(MATCH(D1161,cl_code,0)),IF(A1161="BR",ISNA(MATCH(D1161,fo_code,0)),ISNA(MATCH(D1161,p_services,0)))),IF(A1161="BL","Client inconnu",IF(A1161="BR","Fournisseur inconnu","Service inconnu")),IF(H1161="","Article manquant",IF(ISNA(MATCH(H1161,art_ref,0)),"Article inconnu",IF(OR(NOT(ISNUMBER(L1161)),N(L1161)&lt;=0),"Quantité invalide",IF(AND(K1161&lt;&gt;"",OR(NOT(ISNUMBER(K1161)),N(K1161)&lt;=0)),"Qté commandée invalide",IF(AG1161&lt;SUMPRODUCT(MAX((A$6:A1160=A1161)*AG$6:AG1160)),"Date antérieure au bon précédent",IF(AND(A1161&lt;&gt;"BR",ISNUMBER(M1161),N(M1161)&gt;0),IF(A1161="BL","Livré plus que commandé","Sorti plus que demandé"),"OK"))))))))))))</f>
        <v/>
      </c>
      <c r="Y1161" s="57" t="str">
        <f>IF(AND(OR(A1161="BL",A1161="BR",A1161="BS"),AG1161&gt;0,D1161&lt;&gt;""),A1161&amp;"|"&amp;AG1161&amp;"|"&amp;D1161&amp;"|"&amp;F1161,"")</f>
        <v/>
      </c>
      <c r="Z1161" s="57" t="str">
        <f>IF(Y1161="","",IF(COUNTIF(Y$6:Y1160,Y1161)=0,1,0))</f>
        <v/>
      </c>
      <c r="AA1161" s="57" t="str">
        <f>IF(Y1161="","",IF(Z1161=1,COUNTIFS(A$6:A1161,A1161,Z$6:Z1161,1),INDEX(AA$6:AA1160,MATCH(Y1161,Y$6:Y1160,0))))</f>
        <v/>
      </c>
      <c r="AB1161" s="57" t="str">
        <f>IF(B1161="","",COUNTIF(B$6:B1161,B1161))</f>
        <v/>
      </c>
      <c r="AC1161" s="57" t="str">
        <f>IF(B1161="","",B1161&amp;"#"&amp;AB1161)</f>
        <v/>
      </c>
      <c r="AD1161" s="57" t="str">
        <f>IF(Z1161=1,A1161&amp;AA1161,"")</f>
        <v/>
      </c>
      <c r="AE1161" s="57" t="str">
        <f>IF(B1161="","",YEAR(C1161))</f>
        <v/>
      </c>
      <c r="AF1161" s="57" t="str">
        <f>IF(B1161="","",MONTH(C1161))</f>
        <v/>
      </c>
      <c r="AG1161" s="57">
        <f>IF(ISNUMBER(C1161),C1161,0)</f>
        <v>0.0</v>
      </c>
      <c r="AH1161" s="57" t="str">
        <f>IF(N(W1161)&gt;0,COUNTIF(W$6:W1161,"&gt;0"),"")</f>
        <v/>
      </c>
      <c r="AI1161" s="57" t="str">
        <f>IF(Z1161=1,COUNTIF(Z$6:Z1161,1),"")</f>
        <v/>
      </c>
    </row>
    <row r="1162">
      <c r="A1162" s="54" t="n"/>
      <c r="B1162" s="55" t="str">
        <f>IF(AA1162="","",A1162&amp;"-"&amp;RIGHT("000"&amp;AA1162,4))</f>
        <v/>
      </c>
      <c r="C1162" s="56" t="n"/>
      <c r="D1162" s="54" t="n"/>
      <c r="E1162" s="57" t="str">
        <f>IF(D1162="","",IF(A1162="BL",IFERROR(INDEX(cl_name,MATCH(D1162,cl_code,0))&amp;"","Client inconnu"),IF(A1162="BR",IFERROR(INDEX(fo_name,MATCH(D1162,fo_code,0))&amp;"","Fournisseur inconnu"),IF(A1162="BS",IF(ISNA(MATCH(D1162,p_services,0)),"Service inconnu",D1162&amp;""),""))))</f>
        <v/>
      </c>
      <c r="F1162" s="58" t="n"/>
      <c r="G1162" s="58" t="n"/>
      <c r="H1162" s="59" t="n"/>
      <c r="I1162" s="57" t="str">
        <f>IF(H1162="","",IFERROR(INDEX(art_des,MATCH(H1162,art_ref,0))&amp;"","Article inconnu"))</f>
        <v/>
      </c>
      <c r="J1162" s="60" t="str">
        <f>IF(H1162="","",IFERROR(INDEX(art_unit,MATCH(H1162,art_ref,0))&amp;"",""))</f>
        <v/>
      </c>
      <c r="K1162" s="59" t="n"/>
      <c r="L1162" s="59" t="n"/>
      <c r="M1162" s="61" t="str">
        <f>IF(OR(B1162="",NOT(ISNUMBER(K1162)),NOT(ISNUMBER(L1162))),"",IF(OR(K1162&lt;=0,L1162&lt;=0),"",ROUND(L1162-K1162,6)))</f>
        <v/>
      </c>
      <c r="N1162" s="58" t="n"/>
      <c r="O1162" s="62" t="n"/>
      <c r="P1162" s="63" t="str">
        <f>IF(OR(B1162="",NOT(ISNUMBER(L1162))),"",IF(L1162&lt;=0,"",IFERROR(ROUND(L1162*N(INDEX(art_w,MATCH(H1162,art_ref,0))),3),"")))</f>
        <v/>
      </c>
      <c r="Q1162" s="59" t="n"/>
      <c r="R1162" s="54" t="n"/>
      <c r="S1162" s="59" t="n"/>
      <c r="T1162" s="59" t="n"/>
      <c r="U1162" s="64" t="str">
        <f>IF(OR(B1162="",H1162=""),"",IFERROR(IF(A1162="BL",IF(N(INDEX(art_price,MATCH(H1162,art_ref,0)))=0,"",N(INDEX(art_price,MATCH(H1162,art_ref,0)))),IF(N(INDEX(art_cost,MATCH(H1162,art_ref,0)))=0,"",N(INDEX(art_cost,MATCH(H1162,art_ref,0))))),""))</f>
        <v/>
      </c>
      <c r="V1162" s="64" t="str">
        <f>IF(OR(U1162="",NOT(ISNUMBER(L1162))),"",IF(L1162&lt;=0,"",ROUND(L1162*U1162,2)))</f>
        <v/>
      </c>
      <c r="W1162" s="60" t="str">
        <f>IF(AND(B1162&lt;&gt;"",A1162&lt;&gt;"BS",F1162&lt;&gt;"",H1162&lt;&gt;"",ISNUMBER(K1162),ISNUMBER(L1162)),IF(AND(K1162&gt;0,L1162&gt;0,K1162-L1162&gt;0,COUNTIFS(A1163:A$2005,A1162,F1163:F$2005,F1162,H1163:H$2005,H1162,AA1163:AA$2005,"&gt;0")=0),ROUND(K1162-L1162,6),""),"")</f>
        <v/>
      </c>
      <c r="X1162" s="60" t="str">
        <f>IF(AND(A1162="",C1162="",D1162="",H1162="",L1162=""),"",IF(A1162="","Type manquant",IF(AND(A1162&lt;&gt;"BL",A1162&lt;&gt;"BR",A1162&lt;&gt;"BS"),"Type inconnu (BL, BR ou BS)",IF(AG1162=0,"Date manquante ou invalide",IF(D1162="",IF(A1162="BL","Client manquant",IF(A1162="BR","Fournisseur manquant","Service manquant")),IF(IF(A1162="BL",ISNA(MATCH(D1162,cl_code,0)),IF(A1162="BR",ISNA(MATCH(D1162,fo_code,0)),ISNA(MATCH(D1162,p_services,0)))),IF(A1162="BL","Client inconnu",IF(A1162="BR","Fournisseur inconnu","Service inconnu")),IF(H1162="","Article manquant",IF(ISNA(MATCH(H1162,art_ref,0)),"Article inconnu",IF(OR(NOT(ISNUMBER(L1162)),N(L1162)&lt;=0),"Quantité invalide",IF(AND(K1162&lt;&gt;"",OR(NOT(ISNUMBER(K1162)),N(K1162)&lt;=0)),"Qté commandée invalide",IF(AG1162&lt;SUMPRODUCT(MAX((A$6:A1161=A1162)*AG$6:AG1161)),"Date antérieure au bon précédent",IF(AND(A1162&lt;&gt;"BR",ISNUMBER(M1162),N(M1162)&gt;0),IF(A1162="BL","Livré plus que commandé","Sorti plus que demandé"),"OK"))))))))))))</f>
        <v/>
      </c>
      <c r="Y1162" s="57" t="str">
        <f>IF(AND(OR(A1162="BL",A1162="BR",A1162="BS"),AG1162&gt;0,D1162&lt;&gt;""),A1162&amp;"|"&amp;AG1162&amp;"|"&amp;D1162&amp;"|"&amp;F1162,"")</f>
        <v/>
      </c>
      <c r="Z1162" s="57" t="str">
        <f>IF(Y1162="","",IF(COUNTIF(Y$6:Y1161,Y1162)=0,1,0))</f>
        <v/>
      </c>
      <c r="AA1162" s="57" t="str">
        <f>IF(Y1162="","",IF(Z1162=1,COUNTIFS(A$6:A1162,A1162,Z$6:Z1162,1),INDEX(AA$6:AA1161,MATCH(Y1162,Y$6:Y1161,0))))</f>
        <v/>
      </c>
      <c r="AB1162" s="57" t="str">
        <f>IF(B1162="","",COUNTIF(B$6:B1162,B1162))</f>
        <v/>
      </c>
      <c r="AC1162" s="57" t="str">
        <f>IF(B1162="","",B1162&amp;"#"&amp;AB1162)</f>
        <v/>
      </c>
      <c r="AD1162" s="57" t="str">
        <f>IF(Z1162=1,A1162&amp;AA1162,"")</f>
        <v/>
      </c>
      <c r="AE1162" s="57" t="str">
        <f>IF(B1162="","",YEAR(C1162))</f>
        <v/>
      </c>
      <c r="AF1162" s="57" t="str">
        <f>IF(B1162="","",MONTH(C1162))</f>
        <v/>
      </c>
      <c r="AG1162" s="57">
        <f>IF(ISNUMBER(C1162),C1162,0)</f>
        <v>0.0</v>
      </c>
      <c r="AH1162" s="57" t="str">
        <f>IF(N(W1162)&gt;0,COUNTIF(W$6:W1162,"&gt;0"),"")</f>
        <v/>
      </c>
      <c r="AI1162" s="57" t="str">
        <f>IF(Z1162=1,COUNTIF(Z$6:Z1162,1),"")</f>
        <v/>
      </c>
    </row>
    <row r="1163">
      <c r="A1163" s="54" t="n"/>
      <c r="B1163" s="55" t="str">
        <f>IF(AA1163="","",A1163&amp;"-"&amp;RIGHT("000"&amp;AA1163,4))</f>
        <v/>
      </c>
      <c r="C1163" s="56" t="n"/>
      <c r="D1163" s="54" t="n"/>
      <c r="E1163" s="57" t="str">
        <f>IF(D1163="","",IF(A1163="BL",IFERROR(INDEX(cl_name,MATCH(D1163,cl_code,0))&amp;"","Client inconnu"),IF(A1163="BR",IFERROR(INDEX(fo_name,MATCH(D1163,fo_code,0))&amp;"","Fournisseur inconnu"),IF(A1163="BS",IF(ISNA(MATCH(D1163,p_services,0)),"Service inconnu",D1163&amp;""),""))))</f>
        <v/>
      </c>
      <c r="F1163" s="58" t="n"/>
      <c r="G1163" s="58" t="n"/>
      <c r="H1163" s="59" t="n"/>
      <c r="I1163" s="57" t="str">
        <f>IF(H1163="","",IFERROR(INDEX(art_des,MATCH(H1163,art_ref,0))&amp;"","Article inconnu"))</f>
        <v/>
      </c>
      <c r="J1163" s="60" t="str">
        <f>IF(H1163="","",IFERROR(INDEX(art_unit,MATCH(H1163,art_ref,0))&amp;"",""))</f>
        <v/>
      </c>
      <c r="K1163" s="59" t="n"/>
      <c r="L1163" s="59" t="n"/>
      <c r="M1163" s="61" t="str">
        <f>IF(OR(B1163="",NOT(ISNUMBER(K1163)),NOT(ISNUMBER(L1163))),"",IF(OR(K1163&lt;=0,L1163&lt;=0),"",ROUND(L1163-K1163,6)))</f>
        <v/>
      </c>
      <c r="N1163" s="58" t="n"/>
      <c r="O1163" s="62" t="n"/>
      <c r="P1163" s="63" t="str">
        <f>IF(OR(B1163="",NOT(ISNUMBER(L1163))),"",IF(L1163&lt;=0,"",IFERROR(ROUND(L1163*N(INDEX(art_w,MATCH(H1163,art_ref,0))),3),"")))</f>
        <v/>
      </c>
      <c r="Q1163" s="59" t="n"/>
      <c r="R1163" s="54" t="n"/>
      <c r="S1163" s="59" t="n"/>
      <c r="T1163" s="59" t="n"/>
      <c r="U1163" s="64" t="str">
        <f>IF(OR(B1163="",H1163=""),"",IFERROR(IF(A1163="BL",IF(N(INDEX(art_price,MATCH(H1163,art_ref,0)))=0,"",N(INDEX(art_price,MATCH(H1163,art_ref,0)))),IF(N(INDEX(art_cost,MATCH(H1163,art_ref,0)))=0,"",N(INDEX(art_cost,MATCH(H1163,art_ref,0))))),""))</f>
        <v/>
      </c>
      <c r="V1163" s="64" t="str">
        <f>IF(OR(U1163="",NOT(ISNUMBER(L1163))),"",IF(L1163&lt;=0,"",ROUND(L1163*U1163,2)))</f>
        <v/>
      </c>
      <c r="W1163" s="60" t="str">
        <f>IF(AND(B1163&lt;&gt;"",A1163&lt;&gt;"BS",F1163&lt;&gt;"",H1163&lt;&gt;"",ISNUMBER(K1163),ISNUMBER(L1163)),IF(AND(K1163&gt;0,L1163&gt;0,K1163-L1163&gt;0,COUNTIFS(A1164:A$2005,A1163,F1164:F$2005,F1163,H1164:H$2005,H1163,AA1164:AA$2005,"&gt;0")=0),ROUND(K1163-L1163,6),""),"")</f>
        <v/>
      </c>
      <c r="X1163" s="60" t="str">
        <f>IF(AND(A1163="",C1163="",D1163="",H1163="",L1163=""),"",IF(A1163="","Type manquant",IF(AND(A1163&lt;&gt;"BL",A1163&lt;&gt;"BR",A1163&lt;&gt;"BS"),"Type inconnu (BL, BR ou BS)",IF(AG1163=0,"Date manquante ou invalide",IF(D1163="",IF(A1163="BL","Client manquant",IF(A1163="BR","Fournisseur manquant","Service manquant")),IF(IF(A1163="BL",ISNA(MATCH(D1163,cl_code,0)),IF(A1163="BR",ISNA(MATCH(D1163,fo_code,0)),ISNA(MATCH(D1163,p_services,0)))),IF(A1163="BL","Client inconnu",IF(A1163="BR","Fournisseur inconnu","Service inconnu")),IF(H1163="","Article manquant",IF(ISNA(MATCH(H1163,art_ref,0)),"Article inconnu",IF(OR(NOT(ISNUMBER(L1163)),N(L1163)&lt;=0),"Quantité invalide",IF(AND(K1163&lt;&gt;"",OR(NOT(ISNUMBER(K1163)),N(K1163)&lt;=0)),"Qté commandée invalide",IF(AG1163&lt;SUMPRODUCT(MAX((A$6:A1162=A1163)*AG$6:AG1162)),"Date antérieure au bon précédent",IF(AND(A1163&lt;&gt;"BR",ISNUMBER(M1163),N(M1163)&gt;0),IF(A1163="BL","Livré plus que commandé","Sorti plus que demandé"),"OK"))))))))))))</f>
        <v/>
      </c>
      <c r="Y1163" s="57" t="str">
        <f>IF(AND(OR(A1163="BL",A1163="BR",A1163="BS"),AG1163&gt;0,D1163&lt;&gt;""),A1163&amp;"|"&amp;AG1163&amp;"|"&amp;D1163&amp;"|"&amp;F1163,"")</f>
        <v/>
      </c>
      <c r="Z1163" s="57" t="str">
        <f>IF(Y1163="","",IF(COUNTIF(Y$6:Y1162,Y1163)=0,1,0))</f>
        <v/>
      </c>
      <c r="AA1163" s="57" t="str">
        <f>IF(Y1163="","",IF(Z1163=1,COUNTIFS(A$6:A1163,A1163,Z$6:Z1163,1),INDEX(AA$6:AA1162,MATCH(Y1163,Y$6:Y1162,0))))</f>
        <v/>
      </c>
      <c r="AB1163" s="57" t="str">
        <f>IF(B1163="","",COUNTIF(B$6:B1163,B1163))</f>
        <v/>
      </c>
      <c r="AC1163" s="57" t="str">
        <f>IF(B1163="","",B1163&amp;"#"&amp;AB1163)</f>
        <v/>
      </c>
      <c r="AD1163" s="57" t="str">
        <f>IF(Z1163=1,A1163&amp;AA1163,"")</f>
        <v/>
      </c>
      <c r="AE1163" s="57" t="str">
        <f>IF(B1163="","",YEAR(C1163))</f>
        <v/>
      </c>
      <c r="AF1163" s="57" t="str">
        <f>IF(B1163="","",MONTH(C1163))</f>
        <v/>
      </c>
      <c r="AG1163" s="57">
        <f>IF(ISNUMBER(C1163),C1163,0)</f>
        <v>0.0</v>
      </c>
      <c r="AH1163" s="57" t="str">
        <f>IF(N(W1163)&gt;0,COUNTIF(W$6:W1163,"&gt;0"),"")</f>
        <v/>
      </c>
      <c r="AI1163" s="57" t="str">
        <f>IF(Z1163=1,COUNTIF(Z$6:Z1163,1),"")</f>
        <v/>
      </c>
    </row>
    <row r="1164">
      <c r="A1164" s="54" t="n"/>
      <c r="B1164" s="55" t="str">
        <f>IF(AA1164="","",A1164&amp;"-"&amp;RIGHT("000"&amp;AA1164,4))</f>
        <v/>
      </c>
      <c r="C1164" s="56" t="n"/>
      <c r="D1164" s="54" t="n"/>
      <c r="E1164" s="57" t="str">
        <f>IF(D1164="","",IF(A1164="BL",IFERROR(INDEX(cl_name,MATCH(D1164,cl_code,0))&amp;"","Client inconnu"),IF(A1164="BR",IFERROR(INDEX(fo_name,MATCH(D1164,fo_code,0))&amp;"","Fournisseur inconnu"),IF(A1164="BS",IF(ISNA(MATCH(D1164,p_services,0)),"Service inconnu",D1164&amp;""),""))))</f>
        <v/>
      </c>
      <c r="F1164" s="58" t="n"/>
      <c r="G1164" s="58" t="n"/>
      <c r="H1164" s="59" t="n"/>
      <c r="I1164" s="57" t="str">
        <f>IF(H1164="","",IFERROR(INDEX(art_des,MATCH(H1164,art_ref,0))&amp;"","Article inconnu"))</f>
        <v/>
      </c>
      <c r="J1164" s="60" t="str">
        <f>IF(H1164="","",IFERROR(INDEX(art_unit,MATCH(H1164,art_ref,0))&amp;"",""))</f>
        <v/>
      </c>
      <c r="K1164" s="59" t="n"/>
      <c r="L1164" s="59" t="n"/>
      <c r="M1164" s="61" t="str">
        <f>IF(OR(B1164="",NOT(ISNUMBER(K1164)),NOT(ISNUMBER(L1164))),"",IF(OR(K1164&lt;=0,L1164&lt;=0),"",ROUND(L1164-K1164,6)))</f>
        <v/>
      </c>
      <c r="N1164" s="58" t="n"/>
      <c r="O1164" s="62" t="n"/>
      <c r="P1164" s="63" t="str">
        <f>IF(OR(B1164="",NOT(ISNUMBER(L1164))),"",IF(L1164&lt;=0,"",IFERROR(ROUND(L1164*N(INDEX(art_w,MATCH(H1164,art_ref,0))),3),"")))</f>
        <v/>
      </c>
      <c r="Q1164" s="59" t="n"/>
      <c r="R1164" s="54" t="n"/>
      <c r="S1164" s="59" t="n"/>
      <c r="T1164" s="59" t="n"/>
      <c r="U1164" s="64" t="str">
        <f>IF(OR(B1164="",H1164=""),"",IFERROR(IF(A1164="BL",IF(N(INDEX(art_price,MATCH(H1164,art_ref,0)))=0,"",N(INDEX(art_price,MATCH(H1164,art_ref,0)))),IF(N(INDEX(art_cost,MATCH(H1164,art_ref,0)))=0,"",N(INDEX(art_cost,MATCH(H1164,art_ref,0))))),""))</f>
        <v/>
      </c>
      <c r="V1164" s="64" t="str">
        <f>IF(OR(U1164="",NOT(ISNUMBER(L1164))),"",IF(L1164&lt;=0,"",ROUND(L1164*U1164,2)))</f>
        <v/>
      </c>
      <c r="W1164" s="60" t="str">
        <f>IF(AND(B1164&lt;&gt;"",A1164&lt;&gt;"BS",F1164&lt;&gt;"",H1164&lt;&gt;"",ISNUMBER(K1164),ISNUMBER(L1164)),IF(AND(K1164&gt;0,L1164&gt;0,K1164-L1164&gt;0,COUNTIFS(A1165:A$2005,A1164,F1165:F$2005,F1164,H1165:H$2005,H1164,AA1165:AA$2005,"&gt;0")=0),ROUND(K1164-L1164,6),""),"")</f>
        <v/>
      </c>
      <c r="X1164" s="60" t="str">
        <f>IF(AND(A1164="",C1164="",D1164="",H1164="",L1164=""),"",IF(A1164="","Type manquant",IF(AND(A1164&lt;&gt;"BL",A1164&lt;&gt;"BR",A1164&lt;&gt;"BS"),"Type inconnu (BL, BR ou BS)",IF(AG1164=0,"Date manquante ou invalide",IF(D1164="",IF(A1164="BL","Client manquant",IF(A1164="BR","Fournisseur manquant","Service manquant")),IF(IF(A1164="BL",ISNA(MATCH(D1164,cl_code,0)),IF(A1164="BR",ISNA(MATCH(D1164,fo_code,0)),ISNA(MATCH(D1164,p_services,0)))),IF(A1164="BL","Client inconnu",IF(A1164="BR","Fournisseur inconnu","Service inconnu")),IF(H1164="","Article manquant",IF(ISNA(MATCH(H1164,art_ref,0)),"Article inconnu",IF(OR(NOT(ISNUMBER(L1164)),N(L1164)&lt;=0),"Quantité invalide",IF(AND(K1164&lt;&gt;"",OR(NOT(ISNUMBER(K1164)),N(K1164)&lt;=0)),"Qté commandée invalide",IF(AG1164&lt;SUMPRODUCT(MAX((A$6:A1163=A1164)*AG$6:AG1163)),"Date antérieure au bon précédent",IF(AND(A1164&lt;&gt;"BR",ISNUMBER(M1164),N(M1164)&gt;0),IF(A1164="BL","Livré plus que commandé","Sorti plus que demandé"),"OK"))))))))))))</f>
        <v/>
      </c>
      <c r="Y1164" s="57" t="str">
        <f>IF(AND(OR(A1164="BL",A1164="BR",A1164="BS"),AG1164&gt;0,D1164&lt;&gt;""),A1164&amp;"|"&amp;AG1164&amp;"|"&amp;D1164&amp;"|"&amp;F1164,"")</f>
        <v/>
      </c>
      <c r="Z1164" s="57" t="str">
        <f>IF(Y1164="","",IF(COUNTIF(Y$6:Y1163,Y1164)=0,1,0))</f>
        <v/>
      </c>
      <c r="AA1164" s="57" t="str">
        <f>IF(Y1164="","",IF(Z1164=1,COUNTIFS(A$6:A1164,A1164,Z$6:Z1164,1),INDEX(AA$6:AA1163,MATCH(Y1164,Y$6:Y1163,0))))</f>
        <v/>
      </c>
      <c r="AB1164" s="57" t="str">
        <f>IF(B1164="","",COUNTIF(B$6:B1164,B1164))</f>
        <v/>
      </c>
      <c r="AC1164" s="57" t="str">
        <f>IF(B1164="","",B1164&amp;"#"&amp;AB1164)</f>
        <v/>
      </c>
      <c r="AD1164" s="57" t="str">
        <f>IF(Z1164=1,A1164&amp;AA1164,"")</f>
        <v/>
      </c>
      <c r="AE1164" s="57" t="str">
        <f>IF(B1164="","",YEAR(C1164))</f>
        <v/>
      </c>
      <c r="AF1164" s="57" t="str">
        <f>IF(B1164="","",MONTH(C1164))</f>
        <v/>
      </c>
      <c r="AG1164" s="57">
        <f>IF(ISNUMBER(C1164),C1164,0)</f>
        <v>0.0</v>
      </c>
      <c r="AH1164" s="57" t="str">
        <f>IF(N(W1164)&gt;0,COUNTIF(W$6:W1164,"&gt;0"),"")</f>
        <v/>
      </c>
      <c r="AI1164" s="57" t="str">
        <f>IF(Z1164=1,COUNTIF(Z$6:Z1164,1),"")</f>
        <v/>
      </c>
    </row>
    <row r="1165">
      <c r="A1165" s="54" t="n"/>
      <c r="B1165" s="55" t="str">
        <f>IF(AA1165="","",A1165&amp;"-"&amp;RIGHT("000"&amp;AA1165,4))</f>
        <v/>
      </c>
      <c r="C1165" s="56" t="n"/>
      <c r="D1165" s="54" t="n"/>
      <c r="E1165" s="57" t="str">
        <f>IF(D1165="","",IF(A1165="BL",IFERROR(INDEX(cl_name,MATCH(D1165,cl_code,0))&amp;"","Client inconnu"),IF(A1165="BR",IFERROR(INDEX(fo_name,MATCH(D1165,fo_code,0))&amp;"","Fournisseur inconnu"),IF(A1165="BS",IF(ISNA(MATCH(D1165,p_services,0)),"Service inconnu",D1165&amp;""),""))))</f>
        <v/>
      </c>
      <c r="F1165" s="58" t="n"/>
      <c r="G1165" s="58" t="n"/>
      <c r="H1165" s="59" t="n"/>
      <c r="I1165" s="57" t="str">
        <f>IF(H1165="","",IFERROR(INDEX(art_des,MATCH(H1165,art_ref,0))&amp;"","Article inconnu"))</f>
        <v/>
      </c>
      <c r="J1165" s="60" t="str">
        <f>IF(H1165="","",IFERROR(INDEX(art_unit,MATCH(H1165,art_ref,0))&amp;"",""))</f>
        <v/>
      </c>
      <c r="K1165" s="59" t="n"/>
      <c r="L1165" s="59" t="n"/>
      <c r="M1165" s="61" t="str">
        <f>IF(OR(B1165="",NOT(ISNUMBER(K1165)),NOT(ISNUMBER(L1165))),"",IF(OR(K1165&lt;=0,L1165&lt;=0),"",ROUND(L1165-K1165,6)))</f>
        <v/>
      </c>
      <c r="N1165" s="58" t="n"/>
      <c r="O1165" s="62" t="n"/>
      <c r="P1165" s="63" t="str">
        <f>IF(OR(B1165="",NOT(ISNUMBER(L1165))),"",IF(L1165&lt;=0,"",IFERROR(ROUND(L1165*N(INDEX(art_w,MATCH(H1165,art_ref,0))),3),"")))</f>
        <v/>
      </c>
      <c r="Q1165" s="59" t="n"/>
      <c r="R1165" s="54" t="n"/>
      <c r="S1165" s="59" t="n"/>
      <c r="T1165" s="59" t="n"/>
      <c r="U1165" s="64" t="str">
        <f>IF(OR(B1165="",H1165=""),"",IFERROR(IF(A1165="BL",IF(N(INDEX(art_price,MATCH(H1165,art_ref,0)))=0,"",N(INDEX(art_price,MATCH(H1165,art_ref,0)))),IF(N(INDEX(art_cost,MATCH(H1165,art_ref,0)))=0,"",N(INDEX(art_cost,MATCH(H1165,art_ref,0))))),""))</f>
        <v/>
      </c>
      <c r="V1165" s="64" t="str">
        <f>IF(OR(U1165="",NOT(ISNUMBER(L1165))),"",IF(L1165&lt;=0,"",ROUND(L1165*U1165,2)))</f>
        <v/>
      </c>
      <c r="W1165" s="60" t="str">
        <f>IF(AND(B1165&lt;&gt;"",A1165&lt;&gt;"BS",F1165&lt;&gt;"",H1165&lt;&gt;"",ISNUMBER(K1165),ISNUMBER(L1165)),IF(AND(K1165&gt;0,L1165&gt;0,K1165-L1165&gt;0,COUNTIFS(A1166:A$2005,A1165,F1166:F$2005,F1165,H1166:H$2005,H1165,AA1166:AA$2005,"&gt;0")=0),ROUND(K1165-L1165,6),""),"")</f>
        <v/>
      </c>
      <c r="X1165" s="60" t="str">
        <f>IF(AND(A1165="",C1165="",D1165="",H1165="",L1165=""),"",IF(A1165="","Type manquant",IF(AND(A1165&lt;&gt;"BL",A1165&lt;&gt;"BR",A1165&lt;&gt;"BS"),"Type inconnu (BL, BR ou BS)",IF(AG1165=0,"Date manquante ou invalide",IF(D1165="",IF(A1165="BL","Client manquant",IF(A1165="BR","Fournisseur manquant","Service manquant")),IF(IF(A1165="BL",ISNA(MATCH(D1165,cl_code,0)),IF(A1165="BR",ISNA(MATCH(D1165,fo_code,0)),ISNA(MATCH(D1165,p_services,0)))),IF(A1165="BL","Client inconnu",IF(A1165="BR","Fournisseur inconnu","Service inconnu")),IF(H1165="","Article manquant",IF(ISNA(MATCH(H1165,art_ref,0)),"Article inconnu",IF(OR(NOT(ISNUMBER(L1165)),N(L1165)&lt;=0),"Quantité invalide",IF(AND(K1165&lt;&gt;"",OR(NOT(ISNUMBER(K1165)),N(K1165)&lt;=0)),"Qté commandée invalide",IF(AG1165&lt;SUMPRODUCT(MAX((A$6:A1164=A1165)*AG$6:AG1164)),"Date antérieure au bon précédent",IF(AND(A1165&lt;&gt;"BR",ISNUMBER(M1165),N(M1165)&gt;0),IF(A1165="BL","Livré plus que commandé","Sorti plus que demandé"),"OK"))))))))))))</f>
        <v/>
      </c>
      <c r="Y1165" s="57" t="str">
        <f>IF(AND(OR(A1165="BL",A1165="BR",A1165="BS"),AG1165&gt;0,D1165&lt;&gt;""),A1165&amp;"|"&amp;AG1165&amp;"|"&amp;D1165&amp;"|"&amp;F1165,"")</f>
        <v/>
      </c>
      <c r="Z1165" s="57" t="str">
        <f>IF(Y1165="","",IF(COUNTIF(Y$6:Y1164,Y1165)=0,1,0))</f>
        <v/>
      </c>
      <c r="AA1165" s="57" t="str">
        <f>IF(Y1165="","",IF(Z1165=1,COUNTIFS(A$6:A1165,A1165,Z$6:Z1165,1),INDEX(AA$6:AA1164,MATCH(Y1165,Y$6:Y1164,0))))</f>
        <v/>
      </c>
      <c r="AB1165" s="57" t="str">
        <f>IF(B1165="","",COUNTIF(B$6:B1165,B1165))</f>
        <v/>
      </c>
      <c r="AC1165" s="57" t="str">
        <f>IF(B1165="","",B1165&amp;"#"&amp;AB1165)</f>
        <v/>
      </c>
      <c r="AD1165" s="57" t="str">
        <f>IF(Z1165=1,A1165&amp;AA1165,"")</f>
        <v/>
      </c>
      <c r="AE1165" s="57" t="str">
        <f>IF(B1165="","",YEAR(C1165))</f>
        <v/>
      </c>
      <c r="AF1165" s="57" t="str">
        <f>IF(B1165="","",MONTH(C1165))</f>
        <v/>
      </c>
      <c r="AG1165" s="57">
        <f>IF(ISNUMBER(C1165),C1165,0)</f>
        <v>0.0</v>
      </c>
      <c r="AH1165" s="57" t="str">
        <f>IF(N(W1165)&gt;0,COUNTIF(W$6:W1165,"&gt;0"),"")</f>
        <v/>
      </c>
      <c r="AI1165" s="57" t="str">
        <f>IF(Z1165=1,COUNTIF(Z$6:Z1165,1),"")</f>
        <v/>
      </c>
    </row>
    <row r="1166">
      <c r="A1166" s="54" t="n"/>
      <c r="B1166" s="55" t="str">
        <f>IF(AA1166="","",A1166&amp;"-"&amp;RIGHT("000"&amp;AA1166,4))</f>
        <v/>
      </c>
      <c r="C1166" s="56" t="n"/>
      <c r="D1166" s="54" t="n"/>
      <c r="E1166" s="57" t="str">
        <f>IF(D1166="","",IF(A1166="BL",IFERROR(INDEX(cl_name,MATCH(D1166,cl_code,0))&amp;"","Client inconnu"),IF(A1166="BR",IFERROR(INDEX(fo_name,MATCH(D1166,fo_code,0))&amp;"","Fournisseur inconnu"),IF(A1166="BS",IF(ISNA(MATCH(D1166,p_services,0)),"Service inconnu",D1166&amp;""),""))))</f>
        <v/>
      </c>
      <c r="F1166" s="58" t="n"/>
      <c r="G1166" s="58" t="n"/>
      <c r="H1166" s="59" t="n"/>
      <c r="I1166" s="57" t="str">
        <f>IF(H1166="","",IFERROR(INDEX(art_des,MATCH(H1166,art_ref,0))&amp;"","Article inconnu"))</f>
        <v/>
      </c>
      <c r="J1166" s="60" t="str">
        <f>IF(H1166="","",IFERROR(INDEX(art_unit,MATCH(H1166,art_ref,0))&amp;"",""))</f>
        <v/>
      </c>
      <c r="K1166" s="59" t="n"/>
      <c r="L1166" s="59" t="n"/>
      <c r="M1166" s="61" t="str">
        <f>IF(OR(B1166="",NOT(ISNUMBER(K1166)),NOT(ISNUMBER(L1166))),"",IF(OR(K1166&lt;=0,L1166&lt;=0),"",ROUND(L1166-K1166,6)))</f>
        <v/>
      </c>
      <c r="N1166" s="58" t="n"/>
      <c r="O1166" s="62" t="n"/>
      <c r="P1166" s="63" t="str">
        <f>IF(OR(B1166="",NOT(ISNUMBER(L1166))),"",IF(L1166&lt;=0,"",IFERROR(ROUND(L1166*N(INDEX(art_w,MATCH(H1166,art_ref,0))),3),"")))</f>
        <v/>
      </c>
      <c r="Q1166" s="59" t="n"/>
      <c r="R1166" s="54" t="n"/>
      <c r="S1166" s="59" t="n"/>
      <c r="T1166" s="59" t="n"/>
      <c r="U1166" s="64" t="str">
        <f>IF(OR(B1166="",H1166=""),"",IFERROR(IF(A1166="BL",IF(N(INDEX(art_price,MATCH(H1166,art_ref,0)))=0,"",N(INDEX(art_price,MATCH(H1166,art_ref,0)))),IF(N(INDEX(art_cost,MATCH(H1166,art_ref,0)))=0,"",N(INDEX(art_cost,MATCH(H1166,art_ref,0))))),""))</f>
        <v/>
      </c>
      <c r="V1166" s="64" t="str">
        <f>IF(OR(U1166="",NOT(ISNUMBER(L1166))),"",IF(L1166&lt;=0,"",ROUND(L1166*U1166,2)))</f>
        <v/>
      </c>
      <c r="W1166" s="60" t="str">
        <f>IF(AND(B1166&lt;&gt;"",A1166&lt;&gt;"BS",F1166&lt;&gt;"",H1166&lt;&gt;"",ISNUMBER(K1166),ISNUMBER(L1166)),IF(AND(K1166&gt;0,L1166&gt;0,K1166-L1166&gt;0,COUNTIFS(A1167:A$2005,A1166,F1167:F$2005,F1166,H1167:H$2005,H1166,AA1167:AA$2005,"&gt;0")=0),ROUND(K1166-L1166,6),""),"")</f>
        <v/>
      </c>
      <c r="X1166" s="60" t="str">
        <f>IF(AND(A1166="",C1166="",D1166="",H1166="",L1166=""),"",IF(A1166="","Type manquant",IF(AND(A1166&lt;&gt;"BL",A1166&lt;&gt;"BR",A1166&lt;&gt;"BS"),"Type inconnu (BL, BR ou BS)",IF(AG1166=0,"Date manquante ou invalide",IF(D1166="",IF(A1166="BL","Client manquant",IF(A1166="BR","Fournisseur manquant","Service manquant")),IF(IF(A1166="BL",ISNA(MATCH(D1166,cl_code,0)),IF(A1166="BR",ISNA(MATCH(D1166,fo_code,0)),ISNA(MATCH(D1166,p_services,0)))),IF(A1166="BL","Client inconnu",IF(A1166="BR","Fournisseur inconnu","Service inconnu")),IF(H1166="","Article manquant",IF(ISNA(MATCH(H1166,art_ref,0)),"Article inconnu",IF(OR(NOT(ISNUMBER(L1166)),N(L1166)&lt;=0),"Quantité invalide",IF(AND(K1166&lt;&gt;"",OR(NOT(ISNUMBER(K1166)),N(K1166)&lt;=0)),"Qté commandée invalide",IF(AG1166&lt;SUMPRODUCT(MAX((A$6:A1165=A1166)*AG$6:AG1165)),"Date antérieure au bon précédent",IF(AND(A1166&lt;&gt;"BR",ISNUMBER(M1166),N(M1166)&gt;0),IF(A1166="BL","Livré plus que commandé","Sorti plus que demandé"),"OK"))))))))))))</f>
        <v/>
      </c>
      <c r="Y1166" s="57" t="str">
        <f>IF(AND(OR(A1166="BL",A1166="BR",A1166="BS"),AG1166&gt;0,D1166&lt;&gt;""),A1166&amp;"|"&amp;AG1166&amp;"|"&amp;D1166&amp;"|"&amp;F1166,"")</f>
        <v/>
      </c>
      <c r="Z1166" s="57" t="str">
        <f>IF(Y1166="","",IF(COUNTIF(Y$6:Y1165,Y1166)=0,1,0))</f>
        <v/>
      </c>
      <c r="AA1166" s="57" t="str">
        <f>IF(Y1166="","",IF(Z1166=1,COUNTIFS(A$6:A1166,A1166,Z$6:Z1166,1),INDEX(AA$6:AA1165,MATCH(Y1166,Y$6:Y1165,0))))</f>
        <v/>
      </c>
      <c r="AB1166" s="57" t="str">
        <f>IF(B1166="","",COUNTIF(B$6:B1166,B1166))</f>
        <v/>
      </c>
      <c r="AC1166" s="57" t="str">
        <f>IF(B1166="","",B1166&amp;"#"&amp;AB1166)</f>
        <v/>
      </c>
      <c r="AD1166" s="57" t="str">
        <f>IF(Z1166=1,A1166&amp;AA1166,"")</f>
        <v/>
      </c>
      <c r="AE1166" s="57" t="str">
        <f>IF(B1166="","",YEAR(C1166))</f>
        <v/>
      </c>
      <c r="AF1166" s="57" t="str">
        <f>IF(B1166="","",MONTH(C1166))</f>
        <v/>
      </c>
      <c r="AG1166" s="57">
        <f>IF(ISNUMBER(C1166),C1166,0)</f>
        <v>0.0</v>
      </c>
      <c r="AH1166" s="57" t="str">
        <f>IF(N(W1166)&gt;0,COUNTIF(W$6:W1166,"&gt;0"),"")</f>
        <v/>
      </c>
      <c r="AI1166" s="57" t="str">
        <f>IF(Z1166=1,COUNTIF(Z$6:Z1166,1),"")</f>
        <v/>
      </c>
    </row>
    <row r="1167">
      <c r="A1167" s="54" t="n"/>
      <c r="B1167" s="55" t="str">
        <f>IF(AA1167="","",A1167&amp;"-"&amp;RIGHT("000"&amp;AA1167,4))</f>
        <v/>
      </c>
      <c r="C1167" s="56" t="n"/>
      <c r="D1167" s="54" t="n"/>
      <c r="E1167" s="57" t="str">
        <f>IF(D1167="","",IF(A1167="BL",IFERROR(INDEX(cl_name,MATCH(D1167,cl_code,0))&amp;"","Client inconnu"),IF(A1167="BR",IFERROR(INDEX(fo_name,MATCH(D1167,fo_code,0))&amp;"","Fournisseur inconnu"),IF(A1167="BS",IF(ISNA(MATCH(D1167,p_services,0)),"Service inconnu",D1167&amp;""),""))))</f>
        <v/>
      </c>
      <c r="F1167" s="58" t="n"/>
      <c r="G1167" s="58" t="n"/>
      <c r="H1167" s="59" t="n"/>
      <c r="I1167" s="57" t="str">
        <f>IF(H1167="","",IFERROR(INDEX(art_des,MATCH(H1167,art_ref,0))&amp;"","Article inconnu"))</f>
        <v/>
      </c>
      <c r="J1167" s="60" t="str">
        <f>IF(H1167="","",IFERROR(INDEX(art_unit,MATCH(H1167,art_ref,0))&amp;"",""))</f>
        <v/>
      </c>
      <c r="K1167" s="59" t="n"/>
      <c r="L1167" s="59" t="n"/>
      <c r="M1167" s="61" t="str">
        <f>IF(OR(B1167="",NOT(ISNUMBER(K1167)),NOT(ISNUMBER(L1167))),"",IF(OR(K1167&lt;=0,L1167&lt;=0),"",ROUND(L1167-K1167,6)))</f>
        <v/>
      </c>
      <c r="N1167" s="58" t="n"/>
      <c r="O1167" s="62" t="n"/>
      <c r="P1167" s="63" t="str">
        <f>IF(OR(B1167="",NOT(ISNUMBER(L1167))),"",IF(L1167&lt;=0,"",IFERROR(ROUND(L1167*N(INDEX(art_w,MATCH(H1167,art_ref,0))),3),"")))</f>
        <v/>
      </c>
      <c r="Q1167" s="59" t="n"/>
      <c r="R1167" s="54" t="n"/>
      <c r="S1167" s="59" t="n"/>
      <c r="T1167" s="59" t="n"/>
      <c r="U1167" s="64" t="str">
        <f>IF(OR(B1167="",H1167=""),"",IFERROR(IF(A1167="BL",IF(N(INDEX(art_price,MATCH(H1167,art_ref,0)))=0,"",N(INDEX(art_price,MATCH(H1167,art_ref,0)))),IF(N(INDEX(art_cost,MATCH(H1167,art_ref,0)))=0,"",N(INDEX(art_cost,MATCH(H1167,art_ref,0))))),""))</f>
        <v/>
      </c>
      <c r="V1167" s="64" t="str">
        <f>IF(OR(U1167="",NOT(ISNUMBER(L1167))),"",IF(L1167&lt;=0,"",ROUND(L1167*U1167,2)))</f>
        <v/>
      </c>
      <c r="W1167" s="60" t="str">
        <f>IF(AND(B1167&lt;&gt;"",A1167&lt;&gt;"BS",F1167&lt;&gt;"",H1167&lt;&gt;"",ISNUMBER(K1167),ISNUMBER(L1167)),IF(AND(K1167&gt;0,L1167&gt;0,K1167-L1167&gt;0,COUNTIFS(A1168:A$2005,A1167,F1168:F$2005,F1167,H1168:H$2005,H1167,AA1168:AA$2005,"&gt;0")=0),ROUND(K1167-L1167,6),""),"")</f>
        <v/>
      </c>
      <c r="X1167" s="60" t="str">
        <f>IF(AND(A1167="",C1167="",D1167="",H1167="",L1167=""),"",IF(A1167="","Type manquant",IF(AND(A1167&lt;&gt;"BL",A1167&lt;&gt;"BR",A1167&lt;&gt;"BS"),"Type inconnu (BL, BR ou BS)",IF(AG1167=0,"Date manquante ou invalide",IF(D1167="",IF(A1167="BL","Client manquant",IF(A1167="BR","Fournisseur manquant","Service manquant")),IF(IF(A1167="BL",ISNA(MATCH(D1167,cl_code,0)),IF(A1167="BR",ISNA(MATCH(D1167,fo_code,0)),ISNA(MATCH(D1167,p_services,0)))),IF(A1167="BL","Client inconnu",IF(A1167="BR","Fournisseur inconnu","Service inconnu")),IF(H1167="","Article manquant",IF(ISNA(MATCH(H1167,art_ref,0)),"Article inconnu",IF(OR(NOT(ISNUMBER(L1167)),N(L1167)&lt;=0),"Quantité invalide",IF(AND(K1167&lt;&gt;"",OR(NOT(ISNUMBER(K1167)),N(K1167)&lt;=0)),"Qté commandée invalide",IF(AG1167&lt;SUMPRODUCT(MAX((A$6:A1166=A1167)*AG$6:AG1166)),"Date antérieure au bon précédent",IF(AND(A1167&lt;&gt;"BR",ISNUMBER(M1167),N(M1167)&gt;0),IF(A1167="BL","Livré plus que commandé","Sorti plus que demandé"),"OK"))))))))))))</f>
        <v/>
      </c>
      <c r="Y1167" s="57" t="str">
        <f>IF(AND(OR(A1167="BL",A1167="BR",A1167="BS"),AG1167&gt;0,D1167&lt;&gt;""),A1167&amp;"|"&amp;AG1167&amp;"|"&amp;D1167&amp;"|"&amp;F1167,"")</f>
        <v/>
      </c>
      <c r="Z1167" s="57" t="str">
        <f>IF(Y1167="","",IF(COUNTIF(Y$6:Y1166,Y1167)=0,1,0))</f>
        <v/>
      </c>
      <c r="AA1167" s="57" t="str">
        <f>IF(Y1167="","",IF(Z1167=1,COUNTIFS(A$6:A1167,A1167,Z$6:Z1167,1),INDEX(AA$6:AA1166,MATCH(Y1167,Y$6:Y1166,0))))</f>
        <v/>
      </c>
      <c r="AB1167" s="57" t="str">
        <f>IF(B1167="","",COUNTIF(B$6:B1167,B1167))</f>
        <v/>
      </c>
      <c r="AC1167" s="57" t="str">
        <f>IF(B1167="","",B1167&amp;"#"&amp;AB1167)</f>
        <v/>
      </c>
      <c r="AD1167" s="57" t="str">
        <f>IF(Z1167=1,A1167&amp;AA1167,"")</f>
        <v/>
      </c>
      <c r="AE1167" s="57" t="str">
        <f>IF(B1167="","",YEAR(C1167))</f>
        <v/>
      </c>
      <c r="AF1167" s="57" t="str">
        <f>IF(B1167="","",MONTH(C1167))</f>
        <v/>
      </c>
      <c r="AG1167" s="57">
        <f>IF(ISNUMBER(C1167),C1167,0)</f>
        <v>0.0</v>
      </c>
      <c r="AH1167" s="57" t="str">
        <f>IF(N(W1167)&gt;0,COUNTIF(W$6:W1167,"&gt;0"),"")</f>
        <v/>
      </c>
      <c r="AI1167" s="57" t="str">
        <f>IF(Z1167=1,COUNTIF(Z$6:Z1167,1),"")</f>
        <v/>
      </c>
    </row>
    <row r="1168">
      <c r="A1168" s="54" t="n"/>
      <c r="B1168" s="55" t="str">
        <f>IF(AA1168="","",A1168&amp;"-"&amp;RIGHT("000"&amp;AA1168,4))</f>
        <v/>
      </c>
      <c r="C1168" s="56" t="n"/>
      <c r="D1168" s="54" t="n"/>
      <c r="E1168" s="57" t="str">
        <f>IF(D1168="","",IF(A1168="BL",IFERROR(INDEX(cl_name,MATCH(D1168,cl_code,0))&amp;"","Client inconnu"),IF(A1168="BR",IFERROR(INDEX(fo_name,MATCH(D1168,fo_code,0))&amp;"","Fournisseur inconnu"),IF(A1168="BS",IF(ISNA(MATCH(D1168,p_services,0)),"Service inconnu",D1168&amp;""),""))))</f>
        <v/>
      </c>
      <c r="F1168" s="58" t="n"/>
      <c r="G1168" s="58" t="n"/>
      <c r="H1168" s="59" t="n"/>
      <c r="I1168" s="57" t="str">
        <f>IF(H1168="","",IFERROR(INDEX(art_des,MATCH(H1168,art_ref,0))&amp;"","Article inconnu"))</f>
        <v/>
      </c>
      <c r="J1168" s="60" t="str">
        <f>IF(H1168="","",IFERROR(INDEX(art_unit,MATCH(H1168,art_ref,0))&amp;"",""))</f>
        <v/>
      </c>
      <c r="K1168" s="59" t="n"/>
      <c r="L1168" s="59" t="n"/>
      <c r="M1168" s="61" t="str">
        <f>IF(OR(B1168="",NOT(ISNUMBER(K1168)),NOT(ISNUMBER(L1168))),"",IF(OR(K1168&lt;=0,L1168&lt;=0),"",ROUND(L1168-K1168,6)))</f>
        <v/>
      </c>
      <c r="N1168" s="58" t="n"/>
      <c r="O1168" s="62" t="n"/>
      <c r="P1168" s="63" t="str">
        <f>IF(OR(B1168="",NOT(ISNUMBER(L1168))),"",IF(L1168&lt;=0,"",IFERROR(ROUND(L1168*N(INDEX(art_w,MATCH(H1168,art_ref,0))),3),"")))</f>
        <v/>
      </c>
      <c r="Q1168" s="59" t="n"/>
      <c r="R1168" s="54" t="n"/>
      <c r="S1168" s="59" t="n"/>
      <c r="T1168" s="59" t="n"/>
      <c r="U1168" s="64" t="str">
        <f>IF(OR(B1168="",H1168=""),"",IFERROR(IF(A1168="BL",IF(N(INDEX(art_price,MATCH(H1168,art_ref,0)))=0,"",N(INDEX(art_price,MATCH(H1168,art_ref,0)))),IF(N(INDEX(art_cost,MATCH(H1168,art_ref,0)))=0,"",N(INDEX(art_cost,MATCH(H1168,art_ref,0))))),""))</f>
        <v/>
      </c>
      <c r="V1168" s="64" t="str">
        <f>IF(OR(U1168="",NOT(ISNUMBER(L1168))),"",IF(L1168&lt;=0,"",ROUND(L1168*U1168,2)))</f>
        <v/>
      </c>
      <c r="W1168" s="60" t="str">
        <f>IF(AND(B1168&lt;&gt;"",A1168&lt;&gt;"BS",F1168&lt;&gt;"",H1168&lt;&gt;"",ISNUMBER(K1168),ISNUMBER(L1168)),IF(AND(K1168&gt;0,L1168&gt;0,K1168-L1168&gt;0,COUNTIFS(A1169:A$2005,A1168,F1169:F$2005,F1168,H1169:H$2005,H1168,AA1169:AA$2005,"&gt;0")=0),ROUND(K1168-L1168,6),""),"")</f>
        <v/>
      </c>
      <c r="X1168" s="60" t="str">
        <f>IF(AND(A1168="",C1168="",D1168="",H1168="",L1168=""),"",IF(A1168="","Type manquant",IF(AND(A1168&lt;&gt;"BL",A1168&lt;&gt;"BR",A1168&lt;&gt;"BS"),"Type inconnu (BL, BR ou BS)",IF(AG1168=0,"Date manquante ou invalide",IF(D1168="",IF(A1168="BL","Client manquant",IF(A1168="BR","Fournisseur manquant","Service manquant")),IF(IF(A1168="BL",ISNA(MATCH(D1168,cl_code,0)),IF(A1168="BR",ISNA(MATCH(D1168,fo_code,0)),ISNA(MATCH(D1168,p_services,0)))),IF(A1168="BL","Client inconnu",IF(A1168="BR","Fournisseur inconnu","Service inconnu")),IF(H1168="","Article manquant",IF(ISNA(MATCH(H1168,art_ref,0)),"Article inconnu",IF(OR(NOT(ISNUMBER(L1168)),N(L1168)&lt;=0),"Quantité invalide",IF(AND(K1168&lt;&gt;"",OR(NOT(ISNUMBER(K1168)),N(K1168)&lt;=0)),"Qté commandée invalide",IF(AG1168&lt;SUMPRODUCT(MAX((A$6:A1167=A1168)*AG$6:AG1167)),"Date antérieure au bon précédent",IF(AND(A1168&lt;&gt;"BR",ISNUMBER(M1168),N(M1168)&gt;0),IF(A1168="BL","Livré plus que commandé","Sorti plus que demandé"),"OK"))))))))))))</f>
        <v/>
      </c>
      <c r="Y1168" s="57" t="str">
        <f>IF(AND(OR(A1168="BL",A1168="BR",A1168="BS"),AG1168&gt;0,D1168&lt;&gt;""),A1168&amp;"|"&amp;AG1168&amp;"|"&amp;D1168&amp;"|"&amp;F1168,"")</f>
        <v/>
      </c>
      <c r="Z1168" s="57" t="str">
        <f>IF(Y1168="","",IF(COUNTIF(Y$6:Y1167,Y1168)=0,1,0))</f>
        <v/>
      </c>
      <c r="AA1168" s="57" t="str">
        <f>IF(Y1168="","",IF(Z1168=1,COUNTIFS(A$6:A1168,A1168,Z$6:Z1168,1),INDEX(AA$6:AA1167,MATCH(Y1168,Y$6:Y1167,0))))</f>
        <v/>
      </c>
      <c r="AB1168" s="57" t="str">
        <f>IF(B1168="","",COUNTIF(B$6:B1168,B1168))</f>
        <v/>
      </c>
      <c r="AC1168" s="57" t="str">
        <f>IF(B1168="","",B1168&amp;"#"&amp;AB1168)</f>
        <v/>
      </c>
      <c r="AD1168" s="57" t="str">
        <f>IF(Z1168=1,A1168&amp;AA1168,"")</f>
        <v/>
      </c>
      <c r="AE1168" s="57" t="str">
        <f>IF(B1168="","",YEAR(C1168))</f>
        <v/>
      </c>
      <c r="AF1168" s="57" t="str">
        <f>IF(B1168="","",MONTH(C1168))</f>
        <v/>
      </c>
      <c r="AG1168" s="57">
        <f>IF(ISNUMBER(C1168),C1168,0)</f>
        <v>0.0</v>
      </c>
      <c r="AH1168" s="57" t="str">
        <f>IF(N(W1168)&gt;0,COUNTIF(W$6:W1168,"&gt;0"),"")</f>
        <v/>
      </c>
      <c r="AI1168" s="57" t="str">
        <f>IF(Z1168=1,COUNTIF(Z$6:Z1168,1),"")</f>
        <v/>
      </c>
    </row>
    <row r="1169">
      <c r="A1169" s="54" t="n"/>
      <c r="B1169" s="55" t="str">
        <f>IF(AA1169="","",A1169&amp;"-"&amp;RIGHT("000"&amp;AA1169,4))</f>
        <v/>
      </c>
      <c r="C1169" s="56" t="n"/>
      <c r="D1169" s="54" t="n"/>
      <c r="E1169" s="57" t="str">
        <f>IF(D1169="","",IF(A1169="BL",IFERROR(INDEX(cl_name,MATCH(D1169,cl_code,0))&amp;"","Client inconnu"),IF(A1169="BR",IFERROR(INDEX(fo_name,MATCH(D1169,fo_code,0))&amp;"","Fournisseur inconnu"),IF(A1169="BS",IF(ISNA(MATCH(D1169,p_services,0)),"Service inconnu",D1169&amp;""),""))))</f>
        <v/>
      </c>
      <c r="F1169" s="58" t="n"/>
      <c r="G1169" s="58" t="n"/>
      <c r="H1169" s="59" t="n"/>
      <c r="I1169" s="57" t="str">
        <f>IF(H1169="","",IFERROR(INDEX(art_des,MATCH(H1169,art_ref,0))&amp;"","Article inconnu"))</f>
        <v/>
      </c>
      <c r="J1169" s="60" t="str">
        <f>IF(H1169="","",IFERROR(INDEX(art_unit,MATCH(H1169,art_ref,0))&amp;"",""))</f>
        <v/>
      </c>
      <c r="K1169" s="59" t="n"/>
      <c r="L1169" s="59" t="n"/>
      <c r="M1169" s="61" t="str">
        <f>IF(OR(B1169="",NOT(ISNUMBER(K1169)),NOT(ISNUMBER(L1169))),"",IF(OR(K1169&lt;=0,L1169&lt;=0),"",ROUND(L1169-K1169,6)))</f>
        <v/>
      </c>
      <c r="N1169" s="58" t="n"/>
      <c r="O1169" s="62" t="n"/>
      <c r="P1169" s="63" t="str">
        <f>IF(OR(B1169="",NOT(ISNUMBER(L1169))),"",IF(L1169&lt;=0,"",IFERROR(ROUND(L1169*N(INDEX(art_w,MATCH(H1169,art_ref,0))),3),"")))</f>
        <v/>
      </c>
      <c r="Q1169" s="59" t="n"/>
      <c r="R1169" s="54" t="n"/>
      <c r="S1169" s="59" t="n"/>
      <c r="T1169" s="59" t="n"/>
      <c r="U1169" s="64" t="str">
        <f>IF(OR(B1169="",H1169=""),"",IFERROR(IF(A1169="BL",IF(N(INDEX(art_price,MATCH(H1169,art_ref,0)))=0,"",N(INDEX(art_price,MATCH(H1169,art_ref,0)))),IF(N(INDEX(art_cost,MATCH(H1169,art_ref,0)))=0,"",N(INDEX(art_cost,MATCH(H1169,art_ref,0))))),""))</f>
        <v/>
      </c>
      <c r="V1169" s="64" t="str">
        <f>IF(OR(U1169="",NOT(ISNUMBER(L1169))),"",IF(L1169&lt;=0,"",ROUND(L1169*U1169,2)))</f>
        <v/>
      </c>
      <c r="W1169" s="60" t="str">
        <f>IF(AND(B1169&lt;&gt;"",A1169&lt;&gt;"BS",F1169&lt;&gt;"",H1169&lt;&gt;"",ISNUMBER(K1169),ISNUMBER(L1169)),IF(AND(K1169&gt;0,L1169&gt;0,K1169-L1169&gt;0,COUNTIFS(A1170:A$2005,A1169,F1170:F$2005,F1169,H1170:H$2005,H1169,AA1170:AA$2005,"&gt;0")=0),ROUND(K1169-L1169,6),""),"")</f>
        <v/>
      </c>
      <c r="X1169" s="60" t="str">
        <f>IF(AND(A1169="",C1169="",D1169="",H1169="",L1169=""),"",IF(A1169="","Type manquant",IF(AND(A1169&lt;&gt;"BL",A1169&lt;&gt;"BR",A1169&lt;&gt;"BS"),"Type inconnu (BL, BR ou BS)",IF(AG1169=0,"Date manquante ou invalide",IF(D1169="",IF(A1169="BL","Client manquant",IF(A1169="BR","Fournisseur manquant","Service manquant")),IF(IF(A1169="BL",ISNA(MATCH(D1169,cl_code,0)),IF(A1169="BR",ISNA(MATCH(D1169,fo_code,0)),ISNA(MATCH(D1169,p_services,0)))),IF(A1169="BL","Client inconnu",IF(A1169="BR","Fournisseur inconnu","Service inconnu")),IF(H1169="","Article manquant",IF(ISNA(MATCH(H1169,art_ref,0)),"Article inconnu",IF(OR(NOT(ISNUMBER(L1169)),N(L1169)&lt;=0),"Quantité invalide",IF(AND(K1169&lt;&gt;"",OR(NOT(ISNUMBER(K1169)),N(K1169)&lt;=0)),"Qté commandée invalide",IF(AG1169&lt;SUMPRODUCT(MAX((A$6:A1168=A1169)*AG$6:AG1168)),"Date antérieure au bon précédent",IF(AND(A1169&lt;&gt;"BR",ISNUMBER(M1169),N(M1169)&gt;0),IF(A1169="BL","Livré plus que commandé","Sorti plus que demandé"),"OK"))))))))))))</f>
        <v/>
      </c>
      <c r="Y1169" s="57" t="str">
        <f>IF(AND(OR(A1169="BL",A1169="BR",A1169="BS"),AG1169&gt;0,D1169&lt;&gt;""),A1169&amp;"|"&amp;AG1169&amp;"|"&amp;D1169&amp;"|"&amp;F1169,"")</f>
        <v/>
      </c>
      <c r="Z1169" s="57" t="str">
        <f>IF(Y1169="","",IF(COUNTIF(Y$6:Y1168,Y1169)=0,1,0))</f>
        <v/>
      </c>
      <c r="AA1169" s="57" t="str">
        <f>IF(Y1169="","",IF(Z1169=1,COUNTIFS(A$6:A1169,A1169,Z$6:Z1169,1),INDEX(AA$6:AA1168,MATCH(Y1169,Y$6:Y1168,0))))</f>
        <v/>
      </c>
      <c r="AB1169" s="57" t="str">
        <f>IF(B1169="","",COUNTIF(B$6:B1169,B1169))</f>
        <v/>
      </c>
      <c r="AC1169" s="57" t="str">
        <f>IF(B1169="","",B1169&amp;"#"&amp;AB1169)</f>
        <v/>
      </c>
      <c r="AD1169" s="57" t="str">
        <f>IF(Z1169=1,A1169&amp;AA1169,"")</f>
        <v/>
      </c>
      <c r="AE1169" s="57" t="str">
        <f>IF(B1169="","",YEAR(C1169))</f>
        <v/>
      </c>
      <c r="AF1169" s="57" t="str">
        <f>IF(B1169="","",MONTH(C1169))</f>
        <v/>
      </c>
      <c r="AG1169" s="57">
        <f>IF(ISNUMBER(C1169),C1169,0)</f>
        <v>0.0</v>
      </c>
      <c r="AH1169" s="57" t="str">
        <f>IF(N(W1169)&gt;0,COUNTIF(W$6:W1169,"&gt;0"),"")</f>
        <v/>
      </c>
      <c r="AI1169" s="57" t="str">
        <f>IF(Z1169=1,COUNTIF(Z$6:Z1169,1),"")</f>
        <v/>
      </c>
    </row>
    <row r="1170">
      <c r="A1170" s="54" t="n"/>
      <c r="B1170" s="55" t="str">
        <f>IF(AA1170="","",A1170&amp;"-"&amp;RIGHT("000"&amp;AA1170,4))</f>
        <v/>
      </c>
      <c r="C1170" s="56" t="n"/>
      <c r="D1170" s="54" t="n"/>
      <c r="E1170" s="57" t="str">
        <f>IF(D1170="","",IF(A1170="BL",IFERROR(INDEX(cl_name,MATCH(D1170,cl_code,0))&amp;"","Client inconnu"),IF(A1170="BR",IFERROR(INDEX(fo_name,MATCH(D1170,fo_code,0))&amp;"","Fournisseur inconnu"),IF(A1170="BS",IF(ISNA(MATCH(D1170,p_services,0)),"Service inconnu",D1170&amp;""),""))))</f>
        <v/>
      </c>
      <c r="F1170" s="58" t="n"/>
      <c r="G1170" s="58" t="n"/>
      <c r="H1170" s="59" t="n"/>
      <c r="I1170" s="57" t="str">
        <f>IF(H1170="","",IFERROR(INDEX(art_des,MATCH(H1170,art_ref,0))&amp;"","Article inconnu"))</f>
        <v/>
      </c>
      <c r="J1170" s="60" t="str">
        <f>IF(H1170="","",IFERROR(INDEX(art_unit,MATCH(H1170,art_ref,0))&amp;"",""))</f>
        <v/>
      </c>
      <c r="K1170" s="59" t="n"/>
      <c r="L1170" s="59" t="n"/>
      <c r="M1170" s="61" t="str">
        <f>IF(OR(B1170="",NOT(ISNUMBER(K1170)),NOT(ISNUMBER(L1170))),"",IF(OR(K1170&lt;=0,L1170&lt;=0),"",ROUND(L1170-K1170,6)))</f>
        <v/>
      </c>
      <c r="N1170" s="58" t="n"/>
      <c r="O1170" s="62" t="n"/>
      <c r="P1170" s="63" t="str">
        <f>IF(OR(B1170="",NOT(ISNUMBER(L1170))),"",IF(L1170&lt;=0,"",IFERROR(ROUND(L1170*N(INDEX(art_w,MATCH(H1170,art_ref,0))),3),"")))</f>
        <v/>
      </c>
      <c r="Q1170" s="59" t="n"/>
      <c r="R1170" s="54" t="n"/>
      <c r="S1170" s="59" t="n"/>
      <c r="T1170" s="59" t="n"/>
      <c r="U1170" s="64" t="str">
        <f>IF(OR(B1170="",H1170=""),"",IFERROR(IF(A1170="BL",IF(N(INDEX(art_price,MATCH(H1170,art_ref,0)))=0,"",N(INDEX(art_price,MATCH(H1170,art_ref,0)))),IF(N(INDEX(art_cost,MATCH(H1170,art_ref,0)))=0,"",N(INDEX(art_cost,MATCH(H1170,art_ref,0))))),""))</f>
        <v/>
      </c>
      <c r="V1170" s="64" t="str">
        <f>IF(OR(U1170="",NOT(ISNUMBER(L1170))),"",IF(L1170&lt;=0,"",ROUND(L1170*U1170,2)))</f>
        <v/>
      </c>
      <c r="W1170" s="60" t="str">
        <f>IF(AND(B1170&lt;&gt;"",A1170&lt;&gt;"BS",F1170&lt;&gt;"",H1170&lt;&gt;"",ISNUMBER(K1170),ISNUMBER(L1170)),IF(AND(K1170&gt;0,L1170&gt;0,K1170-L1170&gt;0,COUNTIFS(A1171:A$2005,A1170,F1171:F$2005,F1170,H1171:H$2005,H1170,AA1171:AA$2005,"&gt;0")=0),ROUND(K1170-L1170,6),""),"")</f>
        <v/>
      </c>
      <c r="X1170" s="60" t="str">
        <f>IF(AND(A1170="",C1170="",D1170="",H1170="",L1170=""),"",IF(A1170="","Type manquant",IF(AND(A1170&lt;&gt;"BL",A1170&lt;&gt;"BR",A1170&lt;&gt;"BS"),"Type inconnu (BL, BR ou BS)",IF(AG1170=0,"Date manquante ou invalide",IF(D1170="",IF(A1170="BL","Client manquant",IF(A1170="BR","Fournisseur manquant","Service manquant")),IF(IF(A1170="BL",ISNA(MATCH(D1170,cl_code,0)),IF(A1170="BR",ISNA(MATCH(D1170,fo_code,0)),ISNA(MATCH(D1170,p_services,0)))),IF(A1170="BL","Client inconnu",IF(A1170="BR","Fournisseur inconnu","Service inconnu")),IF(H1170="","Article manquant",IF(ISNA(MATCH(H1170,art_ref,0)),"Article inconnu",IF(OR(NOT(ISNUMBER(L1170)),N(L1170)&lt;=0),"Quantité invalide",IF(AND(K1170&lt;&gt;"",OR(NOT(ISNUMBER(K1170)),N(K1170)&lt;=0)),"Qté commandée invalide",IF(AG1170&lt;SUMPRODUCT(MAX((A$6:A1169=A1170)*AG$6:AG1169)),"Date antérieure au bon précédent",IF(AND(A1170&lt;&gt;"BR",ISNUMBER(M1170),N(M1170)&gt;0),IF(A1170="BL","Livré plus que commandé","Sorti plus que demandé"),"OK"))))))))))))</f>
        <v/>
      </c>
      <c r="Y1170" s="57" t="str">
        <f>IF(AND(OR(A1170="BL",A1170="BR",A1170="BS"),AG1170&gt;0,D1170&lt;&gt;""),A1170&amp;"|"&amp;AG1170&amp;"|"&amp;D1170&amp;"|"&amp;F1170,"")</f>
        <v/>
      </c>
      <c r="Z1170" s="57" t="str">
        <f>IF(Y1170="","",IF(COUNTIF(Y$6:Y1169,Y1170)=0,1,0))</f>
        <v/>
      </c>
      <c r="AA1170" s="57" t="str">
        <f>IF(Y1170="","",IF(Z1170=1,COUNTIFS(A$6:A1170,A1170,Z$6:Z1170,1),INDEX(AA$6:AA1169,MATCH(Y1170,Y$6:Y1169,0))))</f>
        <v/>
      </c>
      <c r="AB1170" s="57" t="str">
        <f>IF(B1170="","",COUNTIF(B$6:B1170,B1170))</f>
        <v/>
      </c>
      <c r="AC1170" s="57" t="str">
        <f>IF(B1170="","",B1170&amp;"#"&amp;AB1170)</f>
        <v/>
      </c>
      <c r="AD1170" s="57" t="str">
        <f>IF(Z1170=1,A1170&amp;AA1170,"")</f>
        <v/>
      </c>
      <c r="AE1170" s="57" t="str">
        <f>IF(B1170="","",YEAR(C1170))</f>
        <v/>
      </c>
      <c r="AF1170" s="57" t="str">
        <f>IF(B1170="","",MONTH(C1170))</f>
        <v/>
      </c>
      <c r="AG1170" s="57">
        <f>IF(ISNUMBER(C1170),C1170,0)</f>
        <v>0.0</v>
      </c>
      <c r="AH1170" s="57" t="str">
        <f>IF(N(W1170)&gt;0,COUNTIF(W$6:W1170,"&gt;0"),"")</f>
        <v/>
      </c>
      <c r="AI1170" s="57" t="str">
        <f>IF(Z1170=1,COUNTIF(Z$6:Z1170,1),"")</f>
        <v/>
      </c>
    </row>
    <row r="1171">
      <c r="A1171" s="54" t="n"/>
      <c r="B1171" s="55" t="str">
        <f>IF(AA1171="","",A1171&amp;"-"&amp;RIGHT("000"&amp;AA1171,4))</f>
        <v/>
      </c>
      <c r="C1171" s="56" t="n"/>
      <c r="D1171" s="54" t="n"/>
      <c r="E1171" s="57" t="str">
        <f>IF(D1171="","",IF(A1171="BL",IFERROR(INDEX(cl_name,MATCH(D1171,cl_code,0))&amp;"","Client inconnu"),IF(A1171="BR",IFERROR(INDEX(fo_name,MATCH(D1171,fo_code,0))&amp;"","Fournisseur inconnu"),IF(A1171="BS",IF(ISNA(MATCH(D1171,p_services,0)),"Service inconnu",D1171&amp;""),""))))</f>
        <v/>
      </c>
      <c r="F1171" s="58" t="n"/>
      <c r="G1171" s="58" t="n"/>
      <c r="H1171" s="59" t="n"/>
      <c r="I1171" s="57" t="str">
        <f>IF(H1171="","",IFERROR(INDEX(art_des,MATCH(H1171,art_ref,0))&amp;"","Article inconnu"))</f>
        <v/>
      </c>
      <c r="J1171" s="60" t="str">
        <f>IF(H1171="","",IFERROR(INDEX(art_unit,MATCH(H1171,art_ref,0))&amp;"",""))</f>
        <v/>
      </c>
      <c r="K1171" s="59" t="n"/>
      <c r="L1171" s="59" t="n"/>
      <c r="M1171" s="61" t="str">
        <f>IF(OR(B1171="",NOT(ISNUMBER(K1171)),NOT(ISNUMBER(L1171))),"",IF(OR(K1171&lt;=0,L1171&lt;=0),"",ROUND(L1171-K1171,6)))</f>
        <v/>
      </c>
      <c r="N1171" s="58" t="n"/>
      <c r="O1171" s="62" t="n"/>
      <c r="P1171" s="63" t="str">
        <f>IF(OR(B1171="",NOT(ISNUMBER(L1171))),"",IF(L1171&lt;=0,"",IFERROR(ROUND(L1171*N(INDEX(art_w,MATCH(H1171,art_ref,0))),3),"")))</f>
        <v/>
      </c>
      <c r="Q1171" s="59" t="n"/>
      <c r="R1171" s="54" t="n"/>
      <c r="S1171" s="59" t="n"/>
      <c r="T1171" s="59" t="n"/>
      <c r="U1171" s="64" t="str">
        <f>IF(OR(B1171="",H1171=""),"",IFERROR(IF(A1171="BL",IF(N(INDEX(art_price,MATCH(H1171,art_ref,0)))=0,"",N(INDEX(art_price,MATCH(H1171,art_ref,0)))),IF(N(INDEX(art_cost,MATCH(H1171,art_ref,0)))=0,"",N(INDEX(art_cost,MATCH(H1171,art_ref,0))))),""))</f>
        <v/>
      </c>
      <c r="V1171" s="64" t="str">
        <f>IF(OR(U1171="",NOT(ISNUMBER(L1171))),"",IF(L1171&lt;=0,"",ROUND(L1171*U1171,2)))</f>
        <v/>
      </c>
      <c r="W1171" s="60" t="str">
        <f>IF(AND(B1171&lt;&gt;"",A1171&lt;&gt;"BS",F1171&lt;&gt;"",H1171&lt;&gt;"",ISNUMBER(K1171),ISNUMBER(L1171)),IF(AND(K1171&gt;0,L1171&gt;0,K1171-L1171&gt;0,COUNTIFS(A1172:A$2005,A1171,F1172:F$2005,F1171,H1172:H$2005,H1171,AA1172:AA$2005,"&gt;0")=0),ROUND(K1171-L1171,6),""),"")</f>
        <v/>
      </c>
      <c r="X1171" s="60" t="str">
        <f>IF(AND(A1171="",C1171="",D1171="",H1171="",L1171=""),"",IF(A1171="","Type manquant",IF(AND(A1171&lt;&gt;"BL",A1171&lt;&gt;"BR",A1171&lt;&gt;"BS"),"Type inconnu (BL, BR ou BS)",IF(AG1171=0,"Date manquante ou invalide",IF(D1171="",IF(A1171="BL","Client manquant",IF(A1171="BR","Fournisseur manquant","Service manquant")),IF(IF(A1171="BL",ISNA(MATCH(D1171,cl_code,0)),IF(A1171="BR",ISNA(MATCH(D1171,fo_code,0)),ISNA(MATCH(D1171,p_services,0)))),IF(A1171="BL","Client inconnu",IF(A1171="BR","Fournisseur inconnu","Service inconnu")),IF(H1171="","Article manquant",IF(ISNA(MATCH(H1171,art_ref,0)),"Article inconnu",IF(OR(NOT(ISNUMBER(L1171)),N(L1171)&lt;=0),"Quantité invalide",IF(AND(K1171&lt;&gt;"",OR(NOT(ISNUMBER(K1171)),N(K1171)&lt;=0)),"Qté commandée invalide",IF(AG1171&lt;SUMPRODUCT(MAX((A$6:A1170=A1171)*AG$6:AG1170)),"Date antérieure au bon précédent",IF(AND(A1171&lt;&gt;"BR",ISNUMBER(M1171),N(M1171)&gt;0),IF(A1171="BL","Livré plus que commandé","Sorti plus que demandé"),"OK"))))))))))))</f>
        <v/>
      </c>
      <c r="Y1171" s="57" t="str">
        <f>IF(AND(OR(A1171="BL",A1171="BR",A1171="BS"),AG1171&gt;0,D1171&lt;&gt;""),A1171&amp;"|"&amp;AG1171&amp;"|"&amp;D1171&amp;"|"&amp;F1171,"")</f>
        <v/>
      </c>
      <c r="Z1171" s="57" t="str">
        <f>IF(Y1171="","",IF(COUNTIF(Y$6:Y1170,Y1171)=0,1,0))</f>
        <v/>
      </c>
      <c r="AA1171" s="57" t="str">
        <f>IF(Y1171="","",IF(Z1171=1,COUNTIFS(A$6:A1171,A1171,Z$6:Z1171,1),INDEX(AA$6:AA1170,MATCH(Y1171,Y$6:Y1170,0))))</f>
        <v/>
      </c>
      <c r="AB1171" s="57" t="str">
        <f>IF(B1171="","",COUNTIF(B$6:B1171,B1171))</f>
        <v/>
      </c>
      <c r="AC1171" s="57" t="str">
        <f>IF(B1171="","",B1171&amp;"#"&amp;AB1171)</f>
        <v/>
      </c>
      <c r="AD1171" s="57" t="str">
        <f>IF(Z1171=1,A1171&amp;AA1171,"")</f>
        <v/>
      </c>
      <c r="AE1171" s="57" t="str">
        <f>IF(B1171="","",YEAR(C1171))</f>
        <v/>
      </c>
      <c r="AF1171" s="57" t="str">
        <f>IF(B1171="","",MONTH(C1171))</f>
        <v/>
      </c>
      <c r="AG1171" s="57">
        <f>IF(ISNUMBER(C1171),C1171,0)</f>
        <v>0.0</v>
      </c>
      <c r="AH1171" s="57" t="str">
        <f>IF(N(W1171)&gt;0,COUNTIF(W$6:W1171,"&gt;0"),"")</f>
        <v/>
      </c>
      <c r="AI1171" s="57" t="str">
        <f>IF(Z1171=1,COUNTIF(Z$6:Z1171,1),"")</f>
        <v/>
      </c>
    </row>
    <row r="1172">
      <c r="A1172" s="54" t="n"/>
      <c r="B1172" s="55" t="str">
        <f>IF(AA1172="","",A1172&amp;"-"&amp;RIGHT("000"&amp;AA1172,4))</f>
        <v/>
      </c>
      <c r="C1172" s="56" t="n"/>
      <c r="D1172" s="54" t="n"/>
      <c r="E1172" s="57" t="str">
        <f>IF(D1172="","",IF(A1172="BL",IFERROR(INDEX(cl_name,MATCH(D1172,cl_code,0))&amp;"","Client inconnu"),IF(A1172="BR",IFERROR(INDEX(fo_name,MATCH(D1172,fo_code,0))&amp;"","Fournisseur inconnu"),IF(A1172="BS",IF(ISNA(MATCH(D1172,p_services,0)),"Service inconnu",D1172&amp;""),""))))</f>
        <v/>
      </c>
      <c r="F1172" s="58" t="n"/>
      <c r="G1172" s="58" t="n"/>
      <c r="H1172" s="59" t="n"/>
      <c r="I1172" s="57" t="str">
        <f>IF(H1172="","",IFERROR(INDEX(art_des,MATCH(H1172,art_ref,0))&amp;"","Article inconnu"))</f>
        <v/>
      </c>
      <c r="J1172" s="60" t="str">
        <f>IF(H1172="","",IFERROR(INDEX(art_unit,MATCH(H1172,art_ref,0))&amp;"",""))</f>
        <v/>
      </c>
      <c r="K1172" s="59" t="n"/>
      <c r="L1172" s="59" t="n"/>
      <c r="M1172" s="61" t="str">
        <f>IF(OR(B1172="",NOT(ISNUMBER(K1172)),NOT(ISNUMBER(L1172))),"",IF(OR(K1172&lt;=0,L1172&lt;=0),"",ROUND(L1172-K1172,6)))</f>
        <v/>
      </c>
      <c r="N1172" s="58" t="n"/>
      <c r="O1172" s="62" t="n"/>
      <c r="P1172" s="63" t="str">
        <f>IF(OR(B1172="",NOT(ISNUMBER(L1172))),"",IF(L1172&lt;=0,"",IFERROR(ROUND(L1172*N(INDEX(art_w,MATCH(H1172,art_ref,0))),3),"")))</f>
        <v/>
      </c>
      <c r="Q1172" s="59" t="n"/>
      <c r="R1172" s="54" t="n"/>
      <c r="S1172" s="59" t="n"/>
      <c r="T1172" s="59" t="n"/>
      <c r="U1172" s="64" t="str">
        <f>IF(OR(B1172="",H1172=""),"",IFERROR(IF(A1172="BL",IF(N(INDEX(art_price,MATCH(H1172,art_ref,0)))=0,"",N(INDEX(art_price,MATCH(H1172,art_ref,0)))),IF(N(INDEX(art_cost,MATCH(H1172,art_ref,0)))=0,"",N(INDEX(art_cost,MATCH(H1172,art_ref,0))))),""))</f>
        <v/>
      </c>
      <c r="V1172" s="64" t="str">
        <f>IF(OR(U1172="",NOT(ISNUMBER(L1172))),"",IF(L1172&lt;=0,"",ROUND(L1172*U1172,2)))</f>
        <v/>
      </c>
      <c r="W1172" s="60" t="str">
        <f>IF(AND(B1172&lt;&gt;"",A1172&lt;&gt;"BS",F1172&lt;&gt;"",H1172&lt;&gt;"",ISNUMBER(K1172),ISNUMBER(L1172)),IF(AND(K1172&gt;0,L1172&gt;0,K1172-L1172&gt;0,COUNTIFS(A1173:A$2005,A1172,F1173:F$2005,F1172,H1173:H$2005,H1172,AA1173:AA$2005,"&gt;0")=0),ROUND(K1172-L1172,6),""),"")</f>
        <v/>
      </c>
      <c r="X1172" s="60" t="str">
        <f>IF(AND(A1172="",C1172="",D1172="",H1172="",L1172=""),"",IF(A1172="","Type manquant",IF(AND(A1172&lt;&gt;"BL",A1172&lt;&gt;"BR",A1172&lt;&gt;"BS"),"Type inconnu (BL, BR ou BS)",IF(AG1172=0,"Date manquante ou invalide",IF(D1172="",IF(A1172="BL","Client manquant",IF(A1172="BR","Fournisseur manquant","Service manquant")),IF(IF(A1172="BL",ISNA(MATCH(D1172,cl_code,0)),IF(A1172="BR",ISNA(MATCH(D1172,fo_code,0)),ISNA(MATCH(D1172,p_services,0)))),IF(A1172="BL","Client inconnu",IF(A1172="BR","Fournisseur inconnu","Service inconnu")),IF(H1172="","Article manquant",IF(ISNA(MATCH(H1172,art_ref,0)),"Article inconnu",IF(OR(NOT(ISNUMBER(L1172)),N(L1172)&lt;=0),"Quantité invalide",IF(AND(K1172&lt;&gt;"",OR(NOT(ISNUMBER(K1172)),N(K1172)&lt;=0)),"Qté commandée invalide",IF(AG1172&lt;SUMPRODUCT(MAX((A$6:A1171=A1172)*AG$6:AG1171)),"Date antérieure au bon précédent",IF(AND(A1172&lt;&gt;"BR",ISNUMBER(M1172),N(M1172)&gt;0),IF(A1172="BL","Livré plus que commandé","Sorti plus que demandé"),"OK"))))))))))))</f>
        <v/>
      </c>
      <c r="Y1172" s="57" t="str">
        <f>IF(AND(OR(A1172="BL",A1172="BR",A1172="BS"),AG1172&gt;0,D1172&lt;&gt;""),A1172&amp;"|"&amp;AG1172&amp;"|"&amp;D1172&amp;"|"&amp;F1172,"")</f>
        <v/>
      </c>
      <c r="Z1172" s="57" t="str">
        <f>IF(Y1172="","",IF(COUNTIF(Y$6:Y1171,Y1172)=0,1,0))</f>
        <v/>
      </c>
      <c r="AA1172" s="57" t="str">
        <f>IF(Y1172="","",IF(Z1172=1,COUNTIFS(A$6:A1172,A1172,Z$6:Z1172,1),INDEX(AA$6:AA1171,MATCH(Y1172,Y$6:Y1171,0))))</f>
        <v/>
      </c>
      <c r="AB1172" s="57" t="str">
        <f>IF(B1172="","",COUNTIF(B$6:B1172,B1172))</f>
        <v/>
      </c>
      <c r="AC1172" s="57" t="str">
        <f>IF(B1172="","",B1172&amp;"#"&amp;AB1172)</f>
        <v/>
      </c>
      <c r="AD1172" s="57" t="str">
        <f>IF(Z1172=1,A1172&amp;AA1172,"")</f>
        <v/>
      </c>
      <c r="AE1172" s="57" t="str">
        <f>IF(B1172="","",YEAR(C1172))</f>
        <v/>
      </c>
      <c r="AF1172" s="57" t="str">
        <f>IF(B1172="","",MONTH(C1172))</f>
        <v/>
      </c>
      <c r="AG1172" s="57">
        <f>IF(ISNUMBER(C1172),C1172,0)</f>
        <v>0.0</v>
      </c>
      <c r="AH1172" s="57" t="str">
        <f>IF(N(W1172)&gt;0,COUNTIF(W$6:W1172,"&gt;0"),"")</f>
        <v/>
      </c>
      <c r="AI1172" s="57" t="str">
        <f>IF(Z1172=1,COUNTIF(Z$6:Z1172,1),"")</f>
        <v/>
      </c>
    </row>
    <row r="1173">
      <c r="A1173" s="54" t="n"/>
      <c r="B1173" s="55" t="str">
        <f>IF(AA1173="","",A1173&amp;"-"&amp;RIGHT("000"&amp;AA1173,4))</f>
        <v/>
      </c>
      <c r="C1173" s="56" t="n"/>
      <c r="D1173" s="54" t="n"/>
      <c r="E1173" s="57" t="str">
        <f>IF(D1173="","",IF(A1173="BL",IFERROR(INDEX(cl_name,MATCH(D1173,cl_code,0))&amp;"","Client inconnu"),IF(A1173="BR",IFERROR(INDEX(fo_name,MATCH(D1173,fo_code,0))&amp;"","Fournisseur inconnu"),IF(A1173="BS",IF(ISNA(MATCH(D1173,p_services,0)),"Service inconnu",D1173&amp;""),""))))</f>
        <v/>
      </c>
      <c r="F1173" s="58" t="n"/>
      <c r="G1173" s="58" t="n"/>
      <c r="H1173" s="59" t="n"/>
      <c r="I1173" s="57" t="str">
        <f>IF(H1173="","",IFERROR(INDEX(art_des,MATCH(H1173,art_ref,0))&amp;"","Article inconnu"))</f>
        <v/>
      </c>
      <c r="J1173" s="60" t="str">
        <f>IF(H1173="","",IFERROR(INDEX(art_unit,MATCH(H1173,art_ref,0))&amp;"",""))</f>
        <v/>
      </c>
      <c r="K1173" s="59" t="n"/>
      <c r="L1173" s="59" t="n"/>
      <c r="M1173" s="61" t="str">
        <f>IF(OR(B1173="",NOT(ISNUMBER(K1173)),NOT(ISNUMBER(L1173))),"",IF(OR(K1173&lt;=0,L1173&lt;=0),"",ROUND(L1173-K1173,6)))</f>
        <v/>
      </c>
      <c r="N1173" s="58" t="n"/>
      <c r="O1173" s="62" t="n"/>
      <c r="P1173" s="63" t="str">
        <f>IF(OR(B1173="",NOT(ISNUMBER(L1173))),"",IF(L1173&lt;=0,"",IFERROR(ROUND(L1173*N(INDEX(art_w,MATCH(H1173,art_ref,0))),3),"")))</f>
        <v/>
      </c>
      <c r="Q1173" s="59" t="n"/>
      <c r="R1173" s="54" t="n"/>
      <c r="S1173" s="59" t="n"/>
      <c r="T1173" s="59" t="n"/>
      <c r="U1173" s="64" t="str">
        <f>IF(OR(B1173="",H1173=""),"",IFERROR(IF(A1173="BL",IF(N(INDEX(art_price,MATCH(H1173,art_ref,0)))=0,"",N(INDEX(art_price,MATCH(H1173,art_ref,0)))),IF(N(INDEX(art_cost,MATCH(H1173,art_ref,0)))=0,"",N(INDEX(art_cost,MATCH(H1173,art_ref,0))))),""))</f>
        <v/>
      </c>
      <c r="V1173" s="64" t="str">
        <f>IF(OR(U1173="",NOT(ISNUMBER(L1173))),"",IF(L1173&lt;=0,"",ROUND(L1173*U1173,2)))</f>
        <v/>
      </c>
      <c r="W1173" s="60" t="str">
        <f>IF(AND(B1173&lt;&gt;"",A1173&lt;&gt;"BS",F1173&lt;&gt;"",H1173&lt;&gt;"",ISNUMBER(K1173),ISNUMBER(L1173)),IF(AND(K1173&gt;0,L1173&gt;0,K1173-L1173&gt;0,COUNTIFS(A1174:A$2005,A1173,F1174:F$2005,F1173,H1174:H$2005,H1173,AA1174:AA$2005,"&gt;0")=0),ROUND(K1173-L1173,6),""),"")</f>
        <v/>
      </c>
      <c r="X1173" s="60" t="str">
        <f>IF(AND(A1173="",C1173="",D1173="",H1173="",L1173=""),"",IF(A1173="","Type manquant",IF(AND(A1173&lt;&gt;"BL",A1173&lt;&gt;"BR",A1173&lt;&gt;"BS"),"Type inconnu (BL, BR ou BS)",IF(AG1173=0,"Date manquante ou invalide",IF(D1173="",IF(A1173="BL","Client manquant",IF(A1173="BR","Fournisseur manquant","Service manquant")),IF(IF(A1173="BL",ISNA(MATCH(D1173,cl_code,0)),IF(A1173="BR",ISNA(MATCH(D1173,fo_code,0)),ISNA(MATCH(D1173,p_services,0)))),IF(A1173="BL","Client inconnu",IF(A1173="BR","Fournisseur inconnu","Service inconnu")),IF(H1173="","Article manquant",IF(ISNA(MATCH(H1173,art_ref,0)),"Article inconnu",IF(OR(NOT(ISNUMBER(L1173)),N(L1173)&lt;=0),"Quantité invalide",IF(AND(K1173&lt;&gt;"",OR(NOT(ISNUMBER(K1173)),N(K1173)&lt;=0)),"Qté commandée invalide",IF(AG1173&lt;SUMPRODUCT(MAX((A$6:A1172=A1173)*AG$6:AG1172)),"Date antérieure au bon précédent",IF(AND(A1173&lt;&gt;"BR",ISNUMBER(M1173),N(M1173)&gt;0),IF(A1173="BL","Livré plus que commandé","Sorti plus que demandé"),"OK"))))))))))))</f>
        <v/>
      </c>
      <c r="Y1173" s="57" t="str">
        <f>IF(AND(OR(A1173="BL",A1173="BR",A1173="BS"),AG1173&gt;0,D1173&lt;&gt;""),A1173&amp;"|"&amp;AG1173&amp;"|"&amp;D1173&amp;"|"&amp;F1173,"")</f>
        <v/>
      </c>
      <c r="Z1173" s="57" t="str">
        <f>IF(Y1173="","",IF(COUNTIF(Y$6:Y1172,Y1173)=0,1,0))</f>
        <v/>
      </c>
      <c r="AA1173" s="57" t="str">
        <f>IF(Y1173="","",IF(Z1173=1,COUNTIFS(A$6:A1173,A1173,Z$6:Z1173,1),INDEX(AA$6:AA1172,MATCH(Y1173,Y$6:Y1172,0))))</f>
        <v/>
      </c>
      <c r="AB1173" s="57" t="str">
        <f>IF(B1173="","",COUNTIF(B$6:B1173,B1173))</f>
        <v/>
      </c>
      <c r="AC1173" s="57" t="str">
        <f>IF(B1173="","",B1173&amp;"#"&amp;AB1173)</f>
        <v/>
      </c>
      <c r="AD1173" s="57" t="str">
        <f>IF(Z1173=1,A1173&amp;AA1173,"")</f>
        <v/>
      </c>
      <c r="AE1173" s="57" t="str">
        <f>IF(B1173="","",YEAR(C1173))</f>
        <v/>
      </c>
      <c r="AF1173" s="57" t="str">
        <f>IF(B1173="","",MONTH(C1173))</f>
        <v/>
      </c>
      <c r="AG1173" s="57">
        <f>IF(ISNUMBER(C1173),C1173,0)</f>
        <v>0.0</v>
      </c>
      <c r="AH1173" s="57" t="str">
        <f>IF(N(W1173)&gt;0,COUNTIF(W$6:W1173,"&gt;0"),"")</f>
        <v/>
      </c>
      <c r="AI1173" s="57" t="str">
        <f>IF(Z1173=1,COUNTIF(Z$6:Z1173,1),"")</f>
        <v/>
      </c>
    </row>
    <row r="1174">
      <c r="A1174" s="54" t="n"/>
      <c r="B1174" s="55" t="str">
        <f>IF(AA1174="","",A1174&amp;"-"&amp;RIGHT("000"&amp;AA1174,4))</f>
        <v/>
      </c>
      <c r="C1174" s="56" t="n"/>
      <c r="D1174" s="54" t="n"/>
      <c r="E1174" s="57" t="str">
        <f>IF(D1174="","",IF(A1174="BL",IFERROR(INDEX(cl_name,MATCH(D1174,cl_code,0))&amp;"","Client inconnu"),IF(A1174="BR",IFERROR(INDEX(fo_name,MATCH(D1174,fo_code,0))&amp;"","Fournisseur inconnu"),IF(A1174="BS",IF(ISNA(MATCH(D1174,p_services,0)),"Service inconnu",D1174&amp;""),""))))</f>
        <v/>
      </c>
      <c r="F1174" s="58" t="n"/>
      <c r="G1174" s="58" t="n"/>
      <c r="H1174" s="59" t="n"/>
      <c r="I1174" s="57" t="str">
        <f>IF(H1174="","",IFERROR(INDEX(art_des,MATCH(H1174,art_ref,0))&amp;"","Article inconnu"))</f>
        <v/>
      </c>
      <c r="J1174" s="60" t="str">
        <f>IF(H1174="","",IFERROR(INDEX(art_unit,MATCH(H1174,art_ref,0))&amp;"",""))</f>
        <v/>
      </c>
      <c r="K1174" s="59" t="n"/>
      <c r="L1174" s="59" t="n"/>
      <c r="M1174" s="61" t="str">
        <f>IF(OR(B1174="",NOT(ISNUMBER(K1174)),NOT(ISNUMBER(L1174))),"",IF(OR(K1174&lt;=0,L1174&lt;=0),"",ROUND(L1174-K1174,6)))</f>
        <v/>
      </c>
      <c r="N1174" s="58" t="n"/>
      <c r="O1174" s="62" t="n"/>
      <c r="P1174" s="63" t="str">
        <f>IF(OR(B1174="",NOT(ISNUMBER(L1174))),"",IF(L1174&lt;=0,"",IFERROR(ROUND(L1174*N(INDEX(art_w,MATCH(H1174,art_ref,0))),3),"")))</f>
        <v/>
      </c>
      <c r="Q1174" s="59" t="n"/>
      <c r="R1174" s="54" t="n"/>
      <c r="S1174" s="59" t="n"/>
      <c r="T1174" s="59" t="n"/>
      <c r="U1174" s="64" t="str">
        <f>IF(OR(B1174="",H1174=""),"",IFERROR(IF(A1174="BL",IF(N(INDEX(art_price,MATCH(H1174,art_ref,0)))=0,"",N(INDEX(art_price,MATCH(H1174,art_ref,0)))),IF(N(INDEX(art_cost,MATCH(H1174,art_ref,0)))=0,"",N(INDEX(art_cost,MATCH(H1174,art_ref,0))))),""))</f>
        <v/>
      </c>
      <c r="V1174" s="64" t="str">
        <f>IF(OR(U1174="",NOT(ISNUMBER(L1174))),"",IF(L1174&lt;=0,"",ROUND(L1174*U1174,2)))</f>
        <v/>
      </c>
      <c r="W1174" s="60" t="str">
        <f>IF(AND(B1174&lt;&gt;"",A1174&lt;&gt;"BS",F1174&lt;&gt;"",H1174&lt;&gt;"",ISNUMBER(K1174),ISNUMBER(L1174)),IF(AND(K1174&gt;0,L1174&gt;0,K1174-L1174&gt;0,COUNTIFS(A1175:A$2005,A1174,F1175:F$2005,F1174,H1175:H$2005,H1174,AA1175:AA$2005,"&gt;0")=0),ROUND(K1174-L1174,6),""),"")</f>
        <v/>
      </c>
      <c r="X1174" s="60" t="str">
        <f>IF(AND(A1174="",C1174="",D1174="",H1174="",L1174=""),"",IF(A1174="","Type manquant",IF(AND(A1174&lt;&gt;"BL",A1174&lt;&gt;"BR",A1174&lt;&gt;"BS"),"Type inconnu (BL, BR ou BS)",IF(AG1174=0,"Date manquante ou invalide",IF(D1174="",IF(A1174="BL","Client manquant",IF(A1174="BR","Fournisseur manquant","Service manquant")),IF(IF(A1174="BL",ISNA(MATCH(D1174,cl_code,0)),IF(A1174="BR",ISNA(MATCH(D1174,fo_code,0)),ISNA(MATCH(D1174,p_services,0)))),IF(A1174="BL","Client inconnu",IF(A1174="BR","Fournisseur inconnu","Service inconnu")),IF(H1174="","Article manquant",IF(ISNA(MATCH(H1174,art_ref,0)),"Article inconnu",IF(OR(NOT(ISNUMBER(L1174)),N(L1174)&lt;=0),"Quantité invalide",IF(AND(K1174&lt;&gt;"",OR(NOT(ISNUMBER(K1174)),N(K1174)&lt;=0)),"Qté commandée invalide",IF(AG1174&lt;SUMPRODUCT(MAX((A$6:A1173=A1174)*AG$6:AG1173)),"Date antérieure au bon précédent",IF(AND(A1174&lt;&gt;"BR",ISNUMBER(M1174),N(M1174)&gt;0),IF(A1174="BL","Livré plus que commandé","Sorti plus que demandé"),"OK"))))))))))))</f>
        <v/>
      </c>
      <c r="Y1174" s="57" t="str">
        <f>IF(AND(OR(A1174="BL",A1174="BR",A1174="BS"),AG1174&gt;0,D1174&lt;&gt;""),A1174&amp;"|"&amp;AG1174&amp;"|"&amp;D1174&amp;"|"&amp;F1174,"")</f>
        <v/>
      </c>
      <c r="Z1174" s="57" t="str">
        <f>IF(Y1174="","",IF(COUNTIF(Y$6:Y1173,Y1174)=0,1,0))</f>
        <v/>
      </c>
      <c r="AA1174" s="57" t="str">
        <f>IF(Y1174="","",IF(Z1174=1,COUNTIFS(A$6:A1174,A1174,Z$6:Z1174,1),INDEX(AA$6:AA1173,MATCH(Y1174,Y$6:Y1173,0))))</f>
        <v/>
      </c>
      <c r="AB1174" s="57" t="str">
        <f>IF(B1174="","",COUNTIF(B$6:B1174,B1174))</f>
        <v/>
      </c>
      <c r="AC1174" s="57" t="str">
        <f>IF(B1174="","",B1174&amp;"#"&amp;AB1174)</f>
        <v/>
      </c>
      <c r="AD1174" s="57" t="str">
        <f>IF(Z1174=1,A1174&amp;AA1174,"")</f>
        <v/>
      </c>
      <c r="AE1174" s="57" t="str">
        <f>IF(B1174="","",YEAR(C1174))</f>
        <v/>
      </c>
      <c r="AF1174" s="57" t="str">
        <f>IF(B1174="","",MONTH(C1174))</f>
        <v/>
      </c>
      <c r="AG1174" s="57">
        <f>IF(ISNUMBER(C1174),C1174,0)</f>
        <v>0.0</v>
      </c>
      <c r="AH1174" s="57" t="str">
        <f>IF(N(W1174)&gt;0,COUNTIF(W$6:W1174,"&gt;0"),"")</f>
        <v/>
      </c>
      <c r="AI1174" s="57" t="str">
        <f>IF(Z1174=1,COUNTIF(Z$6:Z1174,1),"")</f>
        <v/>
      </c>
    </row>
    <row r="1175">
      <c r="A1175" s="54" t="n"/>
      <c r="B1175" s="55" t="str">
        <f>IF(AA1175="","",A1175&amp;"-"&amp;RIGHT("000"&amp;AA1175,4))</f>
        <v/>
      </c>
      <c r="C1175" s="56" t="n"/>
      <c r="D1175" s="54" t="n"/>
      <c r="E1175" s="57" t="str">
        <f>IF(D1175="","",IF(A1175="BL",IFERROR(INDEX(cl_name,MATCH(D1175,cl_code,0))&amp;"","Client inconnu"),IF(A1175="BR",IFERROR(INDEX(fo_name,MATCH(D1175,fo_code,0))&amp;"","Fournisseur inconnu"),IF(A1175="BS",IF(ISNA(MATCH(D1175,p_services,0)),"Service inconnu",D1175&amp;""),""))))</f>
        <v/>
      </c>
      <c r="F1175" s="58" t="n"/>
      <c r="G1175" s="58" t="n"/>
      <c r="H1175" s="59" t="n"/>
      <c r="I1175" s="57" t="str">
        <f>IF(H1175="","",IFERROR(INDEX(art_des,MATCH(H1175,art_ref,0))&amp;"","Article inconnu"))</f>
        <v/>
      </c>
      <c r="J1175" s="60" t="str">
        <f>IF(H1175="","",IFERROR(INDEX(art_unit,MATCH(H1175,art_ref,0))&amp;"",""))</f>
        <v/>
      </c>
      <c r="K1175" s="59" t="n"/>
      <c r="L1175" s="59" t="n"/>
      <c r="M1175" s="61" t="str">
        <f>IF(OR(B1175="",NOT(ISNUMBER(K1175)),NOT(ISNUMBER(L1175))),"",IF(OR(K1175&lt;=0,L1175&lt;=0),"",ROUND(L1175-K1175,6)))</f>
        <v/>
      </c>
      <c r="N1175" s="58" t="n"/>
      <c r="O1175" s="62" t="n"/>
      <c r="P1175" s="63" t="str">
        <f>IF(OR(B1175="",NOT(ISNUMBER(L1175))),"",IF(L1175&lt;=0,"",IFERROR(ROUND(L1175*N(INDEX(art_w,MATCH(H1175,art_ref,0))),3),"")))</f>
        <v/>
      </c>
      <c r="Q1175" s="59" t="n"/>
      <c r="R1175" s="54" t="n"/>
      <c r="S1175" s="59" t="n"/>
      <c r="T1175" s="59" t="n"/>
      <c r="U1175" s="64" t="str">
        <f>IF(OR(B1175="",H1175=""),"",IFERROR(IF(A1175="BL",IF(N(INDEX(art_price,MATCH(H1175,art_ref,0)))=0,"",N(INDEX(art_price,MATCH(H1175,art_ref,0)))),IF(N(INDEX(art_cost,MATCH(H1175,art_ref,0)))=0,"",N(INDEX(art_cost,MATCH(H1175,art_ref,0))))),""))</f>
        <v/>
      </c>
      <c r="V1175" s="64" t="str">
        <f>IF(OR(U1175="",NOT(ISNUMBER(L1175))),"",IF(L1175&lt;=0,"",ROUND(L1175*U1175,2)))</f>
        <v/>
      </c>
      <c r="W1175" s="60" t="str">
        <f>IF(AND(B1175&lt;&gt;"",A1175&lt;&gt;"BS",F1175&lt;&gt;"",H1175&lt;&gt;"",ISNUMBER(K1175),ISNUMBER(L1175)),IF(AND(K1175&gt;0,L1175&gt;0,K1175-L1175&gt;0,COUNTIFS(A1176:A$2005,A1175,F1176:F$2005,F1175,H1176:H$2005,H1175,AA1176:AA$2005,"&gt;0")=0),ROUND(K1175-L1175,6),""),"")</f>
        <v/>
      </c>
      <c r="X1175" s="60" t="str">
        <f>IF(AND(A1175="",C1175="",D1175="",H1175="",L1175=""),"",IF(A1175="","Type manquant",IF(AND(A1175&lt;&gt;"BL",A1175&lt;&gt;"BR",A1175&lt;&gt;"BS"),"Type inconnu (BL, BR ou BS)",IF(AG1175=0,"Date manquante ou invalide",IF(D1175="",IF(A1175="BL","Client manquant",IF(A1175="BR","Fournisseur manquant","Service manquant")),IF(IF(A1175="BL",ISNA(MATCH(D1175,cl_code,0)),IF(A1175="BR",ISNA(MATCH(D1175,fo_code,0)),ISNA(MATCH(D1175,p_services,0)))),IF(A1175="BL","Client inconnu",IF(A1175="BR","Fournisseur inconnu","Service inconnu")),IF(H1175="","Article manquant",IF(ISNA(MATCH(H1175,art_ref,0)),"Article inconnu",IF(OR(NOT(ISNUMBER(L1175)),N(L1175)&lt;=0),"Quantité invalide",IF(AND(K1175&lt;&gt;"",OR(NOT(ISNUMBER(K1175)),N(K1175)&lt;=0)),"Qté commandée invalide",IF(AG1175&lt;SUMPRODUCT(MAX((A$6:A1174=A1175)*AG$6:AG1174)),"Date antérieure au bon précédent",IF(AND(A1175&lt;&gt;"BR",ISNUMBER(M1175),N(M1175)&gt;0),IF(A1175="BL","Livré plus que commandé","Sorti plus que demandé"),"OK"))))))))))))</f>
        <v/>
      </c>
      <c r="Y1175" s="57" t="str">
        <f>IF(AND(OR(A1175="BL",A1175="BR",A1175="BS"),AG1175&gt;0,D1175&lt;&gt;""),A1175&amp;"|"&amp;AG1175&amp;"|"&amp;D1175&amp;"|"&amp;F1175,"")</f>
        <v/>
      </c>
      <c r="Z1175" s="57" t="str">
        <f>IF(Y1175="","",IF(COUNTIF(Y$6:Y1174,Y1175)=0,1,0))</f>
        <v/>
      </c>
      <c r="AA1175" s="57" t="str">
        <f>IF(Y1175="","",IF(Z1175=1,COUNTIFS(A$6:A1175,A1175,Z$6:Z1175,1),INDEX(AA$6:AA1174,MATCH(Y1175,Y$6:Y1174,0))))</f>
        <v/>
      </c>
      <c r="AB1175" s="57" t="str">
        <f>IF(B1175="","",COUNTIF(B$6:B1175,B1175))</f>
        <v/>
      </c>
      <c r="AC1175" s="57" t="str">
        <f>IF(B1175="","",B1175&amp;"#"&amp;AB1175)</f>
        <v/>
      </c>
      <c r="AD1175" s="57" t="str">
        <f>IF(Z1175=1,A1175&amp;AA1175,"")</f>
        <v/>
      </c>
      <c r="AE1175" s="57" t="str">
        <f>IF(B1175="","",YEAR(C1175))</f>
        <v/>
      </c>
      <c r="AF1175" s="57" t="str">
        <f>IF(B1175="","",MONTH(C1175))</f>
        <v/>
      </c>
      <c r="AG1175" s="57">
        <f>IF(ISNUMBER(C1175),C1175,0)</f>
        <v>0.0</v>
      </c>
      <c r="AH1175" s="57" t="str">
        <f>IF(N(W1175)&gt;0,COUNTIF(W$6:W1175,"&gt;0"),"")</f>
        <v/>
      </c>
      <c r="AI1175" s="57" t="str">
        <f>IF(Z1175=1,COUNTIF(Z$6:Z1175,1),"")</f>
        <v/>
      </c>
    </row>
    <row r="1176">
      <c r="A1176" s="54" t="n"/>
      <c r="B1176" s="55" t="str">
        <f>IF(AA1176="","",A1176&amp;"-"&amp;RIGHT("000"&amp;AA1176,4))</f>
        <v/>
      </c>
      <c r="C1176" s="56" t="n"/>
      <c r="D1176" s="54" t="n"/>
      <c r="E1176" s="57" t="str">
        <f>IF(D1176="","",IF(A1176="BL",IFERROR(INDEX(cl_name,MATCH(D1176,cl_code,0))&amp;"","Client inconnu"),IF(A1176="BR",IFERROR(INDEX(fo_name,MATCH(D1176,fo_code,0))&amp;"","Fournisseur inconnu"),IF(A1176="BS",IF(ISNA(MATCH(D1176,p_services,0)),"Service inconnu",D1176&amp;""),""))))</f>
        <v/>
      </c>
      <c r="F1176" s="58" t="n"/>
      <c r="G1176" s="58" t="n"/>
      <c r="H1176" s="59" t="n"/>
      <c r="I1176" s="57" t="str">
        <f>IF(H1176="","",IFERROR(INDEX(art_des,MATCH(H1176,art_ref,0))&amp;"","Article inconnu"))</f>
        <v/>
      </c>
      <c r="J1176" s="60" t="str">
        <f>IF(H1176="","",IFERROR(INDEX(art_unit,MATCH(H1176,art_ref,0))&amp;"",""))</f>
        <v/>
      </c>
      <c r="K1176" s="59" t="n"/>
      <c r="L1176" s="59" t="n"/>
      <c r="M1176" s="61" t="str">
        <f>IF(OR(B1176="",NOT(ISNUMBER(K1176)),NOT(ISNUMBER(L1176))),"",IF(OR(K1176&lt;=0,L1176&lt;=0),"",ROUND(L1176-K1176,6)))</f>
        <v/>
      </c>
      <c r="N1176" s="58" t="n"/>
      <c r="O1176" s="62" t="n"/>
      <c r="P1176" s="63" t="str">
        <f>IF(OR(B1176="",NOT(ISNUMBER(L1176))),"",IF(L1176&lt;=0,"",IFERROR(ROUND(L1176*N(INDEX(art_w,MATCH(H1176,art_ref,0))),3),"")))</f>
        <v/>
      </c>
      <c r="Q1176" s="59" t="n"/>
      <c r="R1176" s="54" t="n"/>
      <c r="S1176" s="59" t="n"/>
      <c r="T1176" s="59" t="n"/>
      <c r="U1176" s="64" t="str">
        <f>IF(OR(B1176="",H1176=""),"",IFERROR(IF(A1176="BL",IF(N(INDEX(art_price,MATCH(H1176,art_ref,0)))=0,"",N(INDEX(art_price,MATCH(H1176,art_ref,0)))),IF(N(INDEX(art_cost,MATCH(H1176,art_ref,0)))=0,"",N(INDEX(art_cost,MATCH(H1176,art_ref,0))))),""))</f>
        <v/>
      </c>
      <c r="V1176" s="64" t="str">
        <f>IF(OR(U1176="",NOT(ISNUMBER(L1176))),"",IF(L1176&lt;=0,"",ROUND(L1176*U1176,2)))</f>
        <v/>
      </c>
      <c r="W1176" s="60" t="str">
        <f>IF(AND(B1176&lt;&gt;"",A1176&lt;&gt;"BS",F1176&lt;&gt;"",H1176&lt;&gt;"",ISNUMBER(K1176),ISNUMBER(L1176)),IF(AND(K1176&gt;0,L1176&gt;0,K1176-L1176&gt;0,COUNTIFS(A1177:A$2005,A1176,F1177:F$2005,F1176,H1177:H$2005,H1176,AA1177:AA$2005,"&gt;0")=0),ROUND(K1176-L1176,6),""),"")</f>
        <v/>
      </c>
      <c r="X1176" s="60" t="str">
        <f>IF(AND(A1176="",C1176="",D1176="",H1176="",L1176=""),"",IF(A1176="","Type manquant",IF(AND(A1176&lt;&gt;"BL",A1176&lt;&gt;"BR",A1176&lt;&gt;"BS"),"Type inconnu (BL, BR ou BS)",IF(AG1176=0,"Date manquante ou invalide",IF(D1176="",IF(A1176="BL","Client manquant",IF(A1176="BR","Fournisseur manquant","Service manquant")),IF(IF(A1176="BL",ISNA(MATCH(D1176,cl_code,0)),IF(A1176="BR",ISNA(MATCH(D1176,fo_code,0)),ISNA(MATCH(D1176,p_services,0)))),IF(A1176="BL","Client inconnu",IF(A1176="BR","Fournisseur inconnu","Service inconnu")),IF(H1176="","Article manquant",IF(ISNA(MATCH(H1176,art_ref,0)),"Article inconnu",IF(OR(NOT(ISNUMBER(L1176)),N(L1176)&lt;=0),"Quantité invalide",IF(AND(K1176&lt;&gt;"",OR(NOT(ISNUMBER(K1176)),N(K1176)&lt;=0)),"Qté commandée invalide",IF(AG1176&lt;SUMPRODUCT(MAX((A$6:A1175=A1176)*AG$6:AG1175)),"Date antérieure au bon précédent",IF(AND(A1176&lt;&gt;"BR",ISNUMBER(M1176),N(M1176)&gt;0),IF(A1176="BL","Livré plus que commandé","Sorti plus que demandé"),"OK"))))))))))))</f>
        <v/>
      </c>
      <c r="Y1176" s="57" t="str">
        <f>IF(AND(OR(A1176="BL",A1176="BR",A1176="BS"),AG1176&gt;0,D1176&lt;&gt;""),A1176&amp;"|"&amp;AG1176&amp;"|"&amp;D1176&amp;"|"&amp;F1176,"")</f>
        <v/>
      </c>
      <c r="Z1176" s="57" t="str">
        <f>IF(Y1176="","",IF(COUNTIF(Y$6:Y1175,Y1176)=0,1,0))</f>
        <v/>
      </c>
      <c r="AA1176" s="57" t="str">
        <f>IF(Y1176="","",IF(Z1176=1,COUNTIFS(A$6:A1176,A1176,Z$6:Z1176,1),INDEX(AA$6:AA1175,MATCH(Y1176,Y$6:Y1175,0))))</f>
        <v/>
      </c>
      <c r="AB1176" s="57" t="str">
        <f>IF(B1176="","",COUNTIF(B$6:B1176,B1176))</f>
        <v/>
      </c>
      <c r="AC1176" s="57" t="str">
        <f>IF(B1176="","",B1176&amp;"#"&amp;AB1176)</f>
        <v/>
      </c>
      <c r="AD1176" s="57" t="str">
        <f>IF(Z1176=1,A1176&amp;AA1176,"")</f>
        <v/>
      </c>
      <c r="AE1176" s="57" t="str">
        <f>IF(B1176="","",YEAR(C1176))</f>
        <v/>
      </c>
      <c r="AF1176" s="57" t="str">
        <f>IF(B1176="","",MONTH(C1176))</f>
        <v/>
      </c>
      <c r="AG1176" s="57">
        <f>IF(ISNUMBER(C1176),C1176,0)</f>
        <v>0.0</v>
      </c>
      <c r="AH1176" s="57" t="str">
        <f>IF(N(W1176)&gt;0,COUNTIF(W$6:W1176,"&gt;0"),"")</f>
        <v/>
      </c>
      <c r="AI1176" s="57" t="str">
        <f>IF(Z1176=1,COUNTIF(Z$6:Z1176,1),"")</f>
        <v/>
      </c>
    </row>
    <row r="1177">
      <c r="A1177" s="54" t="n"/>
      <c r="B1177" s="55" t="str">
        <f>IF(AA1177="","",A1177&amp;"-"&amp;RIGHT("000"&amp;AA1177,4))</f>
        <v/>
      </c>
      <c r="C1177" s="56" t="n"/>
      <c r="D1177" s="54" t="n"/>
      <c r="E1177" s="57" t="str">
        <f>IF(D1177="","",IF(A1177="BL",IFERROR(INDEX(cl_name,MATCH(D1177,cl_code,0))&amp;"","Client inconnu"),IF(A1177="BR",IFERROR(INDEX(fo_name,MATCH(D1177,fo_code,0))&amp;"","Fournisseur inconnu"),IF(A1177="BS",IF(ISNA(MATCH(D1177,p_services,0)),"Service inconnu",D1177&amp;""),""))))</f>
        <v/>
      </c>
      <c r="F1177" s="58" t="n"/>
      <c r="G1177" s="58" t="n"/>
      <c r="H1177" s="59" t="n"/>
      <c r="I1177" s="57" t="str">
        <f>IF(H1177="","",IFERROR(INDEX(art_des,MATCH(H1177,art_ref,0))&amp;"","Article inconnu"))</f>
        <v/>
      </c>
      <c r="J1177" s="60" t="str">
        <f>IF(H1177="","",IFERROR(INDEX(art_unit,MATCH(H1177,art_ref,0))&amp;"",""))</f>
        <v/>
      </c>
      <c r="K1177" s="59" t="n"/>
      <c r="L1177" s="59" t="n"/>
      <c r="M1177" s="61" t="str">
        <f>IF(OR(B1177="",NOT(ISNUMBER(K1177)),NOT(ISNUMBER(L1177))),"",IF(OR(K1177&lt;=0,L1177&lt;=0),"",ROUND(L1177-K1177,6)))</f>
        <v/>
      </c>
      <c r="N1177" s="58" t="n"/>
      <c r="O1177" s="62" t="n"/>
      <c r="P1177" s="63" t="str">
        <f>IF(OR(B1177="",NOT(ISNUMBER(L1177))),"",IF(L1177&lt;=0,"",IFERROR(ROUND(L1177*N(INDEX(art_w,MATCH(H1177,art_ref,0))),3),"")))</f>
        <v/>
      </c>
      <c r="Q1177" s="59" t="n"/>
      <c r="R1177" s="54" t="n"/>
      <c r="S1177" s="59" t="n"/>
      <c r="T1177" s="59" t="n"/>
      <c r="U1177" s="64" t="str">
        <f>IF(OR(B1177="",H1177=""),"",IFERROR(IF(A1177="BL",IF(N(INDEX(art_price,MATCH(H1177,art_ref,0)))=0,"",N(INDEX(art_price,MATCH(H1177,art_ref,0)))),IF(N(INDEX(art_cost,MATCH(H1177,art_ref,0)))=0,"",N(INDEX(art_cost,MATCH(H1177,art_ref,0))))),""))</f>
        <v/>
      </c>
      <c r="V1177" s="64" t="str">
        <f>IF(OR(U1177="",NOT(ISNUMBER(L1177))),"",IF(L1177&lt;=0,"",ROUND(L1177*U1177,2)))</f>
        <v/>
      </c>
      <c r="W1177" s="60" t="str">
        <f>IF(AND(B1177&lt;&gt;"",A1177&lt;&gt;"BS",F1177&lt;&gt;"",H1177&lt;&gt;"",ISNUMBER(K1177),ISNUMBER(L1177)),IF(AND(K1177&gt;0,L1177&gt;0,K1177-L1177&gt;0,COUNTIFS(A1178:A$2005,A1177,F1178:F$2005,F1177,H1178:H$2005,H1177,AA1178:AA$2005,"&gt;0")=0),ROUND(K1177-L1177,6),""),"")</f>
        <v/>
      </c>
      <c r="X1177" s="60" t="str">
        <f>IF(AND(A1177="",C1177="",D1177="",H1177="",L1177=""),"",IF(A1177="","Type manquant",IF(AND(A1177&lt;&gt;"BL",A1177&lt;&gt;"BR",A1177&lt;&gt;"BS"),"Type inconnu (BL, BR ou BS)",IF(AG1177=0,"Date manquante ou invalide",IF(D1177="",IF(A1177="BL","Client manquant",IF(A1177="BR","Fournisseur manquant","Service manquant")),IF(IF(A1177="BL",ISNA(MATCH(D1177,cl_code,0)),IF(A1177="BR",ISNA(MATCH(D1177,fo_code,0)),ISNA(MATCH(D1177,p_services,0)))),IF(A1177="BL","Client inconnu",IF(A1177="BR","Fournisseur inconnu","Service inconnu")),IF(H1177="","Article manquant",IF(ISNA(MATCH(H1177,art_ref,0)),"Article inconnu",IF(OR(NOT(ISNUMBER(L1177)),N(L1177)&lt;=0),"Quantité invalide",IF(AND(K1177&lt;&gt;"",OR(NOT(ISNUMBER(K1177)),N(K1177)&lt;=0)),"Qté commandée invalide",IF(AG1177&lt;SUMPRODUCT(MAX((A$6:A1176=A1177)*AG$6:AG1176)),"Date antérieure au bon précédent",IF(AND(A1177&lt;&gt;"BR",ISNUMBER(M1177),N(M1177)&gt;0),IF(A1177="BL","Livré plus que commandé","Sorti plus que demandé"),"OK"))))))))))))</f>
        <v/>
      </c>
      <c r="Y1177" s="57" t="str">
        <f>IF(AND(OR(A1177="BL",A1177="BR",A1177="BS"),AG1177&gt;0,D1177&lt;&gt;""),A1177&amp;"|"&amp;AG1177&amp;"|"&amp;D1177&amp;"|"&amp;F1177,"")</f>
        <v/>
      </c>
      <c r="Z1177" s="57" t="str">
        <f>IF(Y1177="","",IF(COUNTIF(Y$6:Y1176,Y1177)=0,1,0))</f>
        <v/>
      </c>
      <c r="AA1177" s="57" t="str">
        <f>IF(Y1177="","",IF(Z1177=1,COUNTIFS(A$6:A1177,A1177,Z$6:Z1177,1),INDEX(AA$6:AA1176,MATCH(Y1177,Y$6:Y1176,0))))</f>
        <v/>
      </c>
      <c r="AB1177" s="57" t="str">
        <f>IF(B1177="","",COUNTIF(B$6:B1177,B1177))</f>
        <v/>
      </c>
      <c r="AC1177" s="57" t="str">
        <f>IF(B1177="","",B1177&amp;"#"&amp;AB1177)</f>
        <v/>
      </c>
      <c r="AD1177" s="57" t="str">
        <f>IF(Z1177=1,A1177&amp;AA1177,"")</f>
        <v/>
      </c>
      <c r="AE1177" s="57" t="str">
        <f>IF(B1177="","",YEAR(C1177))</f>
        <v/>
      </c>
      <c r="AF1177" s="57" t="str">
        <f>IF(B1177="","",MONTH(C1177))</f>
        <v/>
      </c>
      <c r="AG1177" s="57">
        <f>IF(ISNUMBER(C1177),C1177,0)</f>
        <v>0.0</v>
      </c>
      <c r="AH1177" s="57" t="str">
        <f>IF(N(W1177)&gt;0,COUNTIF(W$6:W1177,"&gt;0"),"")</f>
        <v/>
      </c>
      <c r="AI1177" s="57" t="str">
        <f>IF(Z1177=1,COUNTIF(Z$6:Z1177,1),"")</f>
        <v/>
      </c>
    </row>
    <row r="1178">
      <c r="A1178" s="54" t="n"/>
      <c r="B1178" s="55" t="str">
        <f>IF(AA1178="","",A1178&amp;"-"&amp;RIGHT("000"&amp;AA1178,4))</f>
        <v/>
      </c>
      <c r="C1178" s="56" t="n"/>
      <c r="D1178" s="54" t="n"/>
      <c r="E1178" s="57" t="str">
        <f>IF(D1178="","",IF(A1178="BL",IFERROR(INDEX(cl_name,MATCH(D1178,cl_code,0))&amp;"","Client inconnu"),IF(A1178="BR",IFERROR(INDEX(fo_name,MATCH(D1178,fo_code,0))&amp;"","Fournisseur inconnu"),IF(A1178="BS",IF(ISNA(MATCH(D1178,p_services,0)),"Service inconnu",D1178&amp;""),""))))</f>
        <v/>
      </c>
      <c r="F1178" s="58" t="n"/>
      <c r="G1178" s="58" t="n"/>
      <c r="H1178" s="59" t="n"/>
      <c r="I1178" s="57" t="str">
        <f>IF(H1178="","",IFERROR(INDEX(art_des,MATCH(H1178,art_ref,0))&amp;"","Article inconnu"))</f>
        <v/>
      </c>
      <c r="J1178" s="60" t="str">
        <f>IF(H1178="","",IFERROR(INDEX(art_unit,MATCH(H1178,art_ref,0))&amp;"",""))</f>
        <v/>
      </c>
      <c r="K1178" s="59" t="n"/>
      <c r="L1178" s="59" t="n"/>
      <c r="M1178" s="61" t="str">
        <f>IF(OR(B1178="",NOT(ISNUMBER(K1178)),NOT(ISNUMBER(L1178))),"",IF(OR(K1178&lt;=0,L1178&lt;=0),"",ROUND(L1178-K1178,6)))</f>
        <v/>
      </c>
      <c r="N1178" s="58" t="n"/>
      <c r="O1178" s="62" t="n"/>
      <c r="P1178" s="63" t="str">
        <f>IF(OR(B1178="",NOT(ISNUMBER(L1178))),"",IF(L1178&lt;=0,"",IFERROR(ROUND(L1178*N(INDEX(art_w,MATCH(H1178,art_ref,0))),3),"")))</f>
        <v/>
      </c>
      <c r="Q1178" s="59" t="n"/>
      <c r="R1178" s="54" t="n"/>
      <c r="S1178" s="59" t="n"/>
      <c r="T1178" s="59" t="n"/>
      <c r="U1178" s="64" t="str">
        <f>IF(OR(B1178="",H1178=""),"",IFERROR(IF(A1178="BL",IF(N(INDEX(art_price,MATCH(H1178,art_ref,0)))=0,"",N(INDEX(art_price,MATCH(H1178,art_ref,0)))),IF(N(INDEX(art_cost,MATCH(H1178,art_ref,0)))=0,"",N(INDEX(art_cost,MATCH(H1178,art_ref,0))))),""))</f>
        <v/>
      </c>
      <c r="V1178" s="64" t="str">
        <f>IF(OR(U1178="",NOT(ISNUMBER(L1178))),"",IF(L1178&lt;=0,"",ROUND(L1178*U1178,2)))</f>
        <v/>
      </c>
      <c r="W1178" s="60" t="str">
        <f>IF(AND(B1178&lt;&gt;"",A1178&lt;&gt;"BS",F1178&lt;&gt;"",H1178&lt;&gt;"",ISNUMBER(K1178),ISNUMBER(L1178)),IF(AND(K1178&gt;0,L1178&gt;0,K1178-L1178&gt;0,COUNTIFS(A1179:A$2005,A1178,F1179:F$2005,F1178,H1179:H$2005,H1178,AA1179:AA$2005,"&gt;0")=0),ROUND(K1178-L1178,6),""),"")</f>
        <v/>
      </c>
      <c r="X1178" s="60" t="str">
        <f>IF(AND(A1178="",C1178="",D1178="",H1178="",L1178=""),"",IF(A1178="","Type manquant",IF(AND(A1178&lt;&gt;"BL",A1178&lt;&gt;"BR",A1178&lt;&gt;"BS"),"Type inconnu (BL, BR ou BS)",IF(AG1178=0,"Date manquante ou invalide",IF(D1178="",IF(A1178="BL","Client manquant",IF(A1178="BR","Fournisseur manquant","Service manquant")),IF(IF(A1178="BL",ISNA(MATCH(D1178,cl_code,0)),IF(A1178="BR",ISNA(MATCH(D1178,fo_code,0)),ISNA(MATCH(D1178,p_services,0)))),IF(A1178="BL","Client inconnu",IF(A1178="BR","Fournisseur inconnu","Service inconnu")),IF(H1178="","Article manquant",IF(ISNA(MATCH(H1178,art_ref,0)),"Article inconnu",IF(OR(NOT(ISNUMBER(L1178)),N(L1178)&lt;=0),"Quantité invalide",IF(AND(K1178&lt;&gt;"",OR(NOT(ISNUMBER(K1178)),N(K1178)&lt;=0)),"Qté commandée invalide",IF(AG1178&lt;SUMPRODUCT(MAX((A$6:A1177=A1178)*AG$6:AG1177)),"Date antérieure au bon précédent",IF(AND(A1178&lt;&gt;"BR",ISNUMBER(M1178),N(M1178)&gt;0),IF(A1178="BL","Livré plus que commandé","Sorti plus que demandé"),"OK"))))))))))))</f>
        <v/>
      </c>
      <c r="Y1178" s="57" t="str">
        <f>IF(AND(OR(A1178="BL",A1178="BR",A1178="BS"),AG1178&gt;0,D1178&lt;&gt;""),A1178&amp;"|"&amp;AG1178&amp;"|"&amp;D1178&amp;"|"&amp;F1178,"")</f>
        <v/>
      </c>
      <c r="Z1178" s="57" t="str">
        <f>IF(Y1178="","",IF(COUNTIF(Y$6:Y1177,Y1178)=0,1,0))</f>
        <v/>
      </c>
      <c r="AA1178" s="57" t="str">
        <f>IF(Y1178="","",IF(Z1178=1,COUNTIFS(A$6:A1178,A1178,Z$6:Z1178,1),INDEX(AA$6:AA1177,MATCH(Y1178,Y$6:Y1177,0))))</f>
        <v/>
      </c>
      <c r="AB1178" s="57" t="str">
        <f>IF(B1178="","",COUNTIF(B$6:B1178,B1178))</f>
        <v/>
      </c>
      <c r="AC1178" s="57" t="str">
        <f>IF(B1178="","",B1178&amp;"#"&amp;AB1178)</f>
        <v/>
      </c>
      <c r="AD1178" s="57" t="str">
        <f>IF(Z1178=1,A1178&amp;AA1178,"")</f>
        <v/>
      </c>
      <c r="AE1178" s="57" t="str">
        <f>IF(B1178="","",YEAR(C1178))</f>
        <v/>
      </c>
      <c r="AF1178" s="57" t="str">
        <f>IF(B1178="","",MONTH(C1178))</f>
        <v/>
      </c>
      <c r="AG1178" s="57">
        <f>IF(ISNUMBER(C1178),C1178,0)</f>
        <v>0.0</v>
      </c>
      <c r="AH1178" s="57" t="str">
        <f>IF(N(W1178)&gt;0,COUNTIF(W$6:W1178,"&gt;0"),"")</f>
        <v/>
      </c>
      <c r="AI1178" s="57" t="str">
        <f>IF(Z1178=1,COUNTIF(Z$6:Z1178,1),"")</f>
        <v/>
      </c>
    </row>
    <row r="1179">
      <c r="A1179" s="54" t="n"/>
      <c r="B1179" s="55" t="str">
        <f>IF(AA1179="","",A1179&amp;"-"&amp;RIGHT("000"&amp;AA1179,4))</f>
        <v/>
      </c>
      <c r="C1179" s="56" t="n"/>
      <c r="D1179" s="54" t="n"/>
      <c r="E1179" s="57" t="str">
        <f>IF(D1179="","",IF(A1179="BL",IFERROR(INDEX(cl_name,MATCH(D1179,cl_code,0))&amp;"","Client inconnu"),IF(A1179="BR",IFERROR(INDEX(fo_name,MATCH(D1179,fo_code,0))&amp;"","Fournisseur inconnu"),IF(A1179="BS",IF(ISNA(MATCH(D1179,p_services,0)),"Service inconnu",D1179&amp;""),""))))</f>
        <v/>
      </c>
      <c r="F1179" s="58" t="n"/>
      <c r="G1179" s="58" t="n"/>
      <c r="H1179" s="59" t="n"/>
      <c r="I1179" s="57" t="str">
        <f>IF(H1179="","",IFERROR(INDEX(art_des,MATCH(H1179,art_ref,0))&amp;"","Article inconnu"))</f>
        <v/>
      </c>
      <c r="J1179" s="60" t="str">
        <f>IF(H1179="","",IFERROR(INDEX(art_unit,MATCH(H1179,art_ref,0))&amp;"",""))</f>
        <v/>
      </c>
      <c r="K1179" s="59" t="n"/>
      <c r="L1179" s="59" t="n"/>
      <c r="M1179" s="61" t="str">
        <f>IF(OR(B1179="",NOT(ISNUMBER(K1179)),NOT(ISNUMBER(L1179))),"",IF(OR(K1179&lt;=0,L1179&lt;=0),"",ROUND(L1179-K1179,6)))</f>
        <v/>
      </c>
      <c r="N1179" s="58" t="n"/>
      <c r="O1179" s="62" t="n"/>
      <c r="P1179" s="63" t="str">
        <f>IF(OR(B1179="",NOT(ISNUMBER(L1179))),"",IF(L1179&lt;=0,"",IFERROR(ROUND(L1179*N(INDEX(art_w,MATCH(H1179,art_ref,0))),3),"")))</f>
        <v/>
      </c>
      <c r="Q1179" s="59" t="n"/>
      <c r="R1179" s="54" t="n"/>
      <c r="S1179" s="59" t="n"/>
      <c r="T1179" s="59" t="n"/>
      <c r="U1179" s="64" t="str">
        <f>IF(OR(B1179="",H1179=""),"",IFERROR(IF(A1179="BL",IF(N(INDEX(art_price,MATCH(H1179,art_ref,0)))=0,"",N(INDEX(art_price,MATCH(H1179,art_ref,0)))),IF(N(INDEX(art_cost,MATCH(H1179,art_ref,0)))=0,"",N(INDEX(art_cost,MATCH(H1179,art_ref,0))))),""))</f>
        <v/>
      </c>
      <c r="V1179" s="64" t="str">
        <f>IF(OR(U1179="",NOT(ISNUMBER(L1179))),"",IF(L1179&lt;=0,"",ROUND(L1179*U1179,2)))</f>
        <v/>
      </c>
      <c r="W1179" s="60" t="str">
        <f>IF(AND(B1179&lt;&gt;"",A1179&lt;&gt;"BS",F1179&lt;&gt;"",H1179&lt;&gt;"",ISNUMBER(K1179),ISNUMBER(L1179)),IF(AND(K1179&gt;0,L1179&gt;0,K1179-L1179&gt;0,COUNTIFS(A1180:A$2005,A1179,F1180:F$2005,F1179,H1180:H$2005,H1179,AA1180:AA$2005,"&gt;0")=0),ROUND(K1179-L1179,6),""),"")</f>
        <v/>
      </c>
      <c r="X1179" s="60" t="str">
        <f>IF(AND(A1179="",C1179="",D1179="",H1179="",L1179=""),"",IF(A1179="","Type manquant",IF(AND(A1179&lt;&gt;"BL",A1179&lt;&gt;"BR",A1179&lt;&gt;"BS"),"Type inconnu (BL, BR ou BS)",IF(AG1179=0,"Date manquante ou invalide",IF(D1179="",IF(A1179="BL","Client manquant",IF(A1179="BR","Fournisseur manquant","Service manquant")),IF(IF(A1179="BL",ISNA(MATCH(D1179,cl_code,0)),IF(A1179="BR",ISNA(MATCH(D1179,fo_code,0)),ISNA(MATCH(D1179,p_services,0)))),IF(A1179="BL","Client inconnu",IF(A1179="BR","Fournisseur inconnu","Service inconnu")),IF(H1179="","Article manquant",IF(ISNA(MATCH(H1179,art_ref,0)),"Article inconnu",IF(OR(NOT(ISNUMBER(L1179)),N(L1179)&lt;=0),"Quantité invalide",IF(AND(K1179&lt;&gt;"",OR(NOT(ISNUMBER(K1179)),N(K1179)&lt;=0)),"Qté commandée invalide",IF(AG1179&lt;SUMPRODUCT(MAX((A$6:A1178=A1179)*AG$6:AG1178)),"Date antérieure au bon précédent",IF(AND(A1179&lt;&gt;"BR",ISNUMBER(M1179),N(M1179)&gt;0),IF(A1179="BL","Livré plus que commandé","Sorti plus que demandé"),"OK"))))))))))))</f>
        <v/>
      </c>
      <c r="Y1179" s="57" t="str">
        <f>IF(AND(OR(A1179="BL",A1179="BR",A1179="BS"),AG1179&gt;0,D1179&lt;&gt;""),A1179&amp;"|"&amp;AG1179&amp;"|"&amp;D1179&amp;"|"&amp;F1179,"")</f>
        <v/>
      </c>
      <c r="Z1179" s="57" t="str">
        <f>IF(Y1179="","",IF(COUNTIF(Y$6:Y1178,Y1179)=0,1,0))</f>
        <v/>
      </c>
      <c r="AA1179" s="57" t="str">
        <f>IF(Y1179="","",IF(Z1179=1,COUNTIFS(A$6:A1179,A1179,Z$6:Z1179,1),INDEX(AA$6:AA1178,MATCH(Y1179,Y$6:Y1178,0))))</f>
        <v/>
      </c>
      <c r="AB1179" s="57" t="str">
        <f>IF(B1179="","",COUNTIF(B$6:B1179,B1179))</f>
        <v/>
      </c>
      <c r="AC1179" s="57" t="str">
        <f>IF(B1179="","",B1179&amp;"#"&amp;AB1179)</f>
        <v/>
      </c>
      <c r="AD1179" s="57" t="str">
        <f>IF(Z1179=1,A1179&amp;AA1179,"")</f>
        <v/>
      </c>
      <c r="AE1179" s="57" t="str">
        <f>IF(B1179="","",YEAR(C1179))</f>
        <v/>
      </c>
      <c r="AF1179" s="57" t="str">
        <f>IF(B1179="","",MONTH(C1179))</f>
        <v/>
      </c>
      <c r="AG1179" s="57">
        <f>IF(ISNUMBER(C1179),C1179,0)</f>
        <v>0.0</v>
      </c>
      <c r="AH1179" s="57" t="str">
        <f>IF(N(W1179)&gt;0,COUNTIF(W$6:W1179,"&gt;0"),"")</f>
        <v/>
      </c>
      <c r="AI1179" s="57" t="str">
        <f>IF(Z1179=1,COUNTIF(Z$6:Z1179,1),"")</f>
        <v/>
      </c>
    </row>
    <row r="1180">
      <c r="A1180" s="54" t="n"/>
      <c r="B1180" s="55" t="str">
        <f>IF(AA1180="","",A1180&amp;"-"&amp;RIGHT("000"&amp;AA1180,4))</f>
        <v/>
      </c>
      <c r="C1180" s="56" t="n"/>
      <c r="D1180" s="54" t="n"/>
      <c r="E1180" s="57" t="str">
        <f>IF(D1180="","",IF(A1180="BL",IFERROR(INDEX(cl_name,MATCH(D1180,cl_code,0))&amp;"","Client inconnu"),IF(A1180="BR",IFERROR(INDEX(fo_name,MATCH(D1180,fo_code,0))&amp;"","Fournisseur inconnu"),IF(A1180="BS",IF(ISNA(MATCH(D1180,p_services,0)),"Service inconnu",D1180&amp;""),""))))</f>
        <v/>
      </c>
      <c r="F1180" s="58" t="n"/>
      <c r="G1180" s="58" t="n"/>
      <c r="H1180" s="59" t="n"/>
      <c r="I1180" s="57" t="str">
        <f>IF(H1180="","",IFERROR(INDEX(art_des,MATCH(H1180,art_ref,0))&amp;"","Article inconnu"))</f>
        <v/>
      </c>
      <c r="J1180" s="60" t="str">
        <f>IF(H1180="","",IFERROR(INDEX(art_unit,MATCH(H1180,art_ref,0))&amp;"",""))</f>
        <v/>
      </c>
      <c r="K1180" s="59" t="n"/>
      <c r="L1180" s="59" t="n"/>
      <c r="M1180" s="61" t="str">
        <f>IF(OR(B1180="",NOT(ISNUMBER(K1180)),NOT(ISNUMBER(L1180))),"",IF(OR(K1180&lt;=0,L1180&lt;=0),"",ROUND(L1180-K1180,6)))</f>
        <v/>
      </c>
      <c r="N1180" s="58" t="n"/>
      <c r="O1180" s="62" t="n"/>
      <c r="P1180" s="63" t="str">
        <f>IF(OR(B1180="",NOT(ISNUMBER(L1180))),"",IF(L1180&lt;=0,"",IFERROR(ROUND(L1180*N(INDEX(art_w,MATCH(H1180,art_ref,0))),3),"")))</f>
        <v/>
      </c>
      <c r="Q1180" s="59" t="n"/>
      <c r="R1180" s="54" t="n"/>
      <c r="S1180" s="59" t="n"/>
      <c r="T1180" s="59" t="n"/>
      <c r="U1180" s="64" t="str">
        <f>IF(OR(B1180="",H1180=""),"",IFERROR(IF(A1180="BL",IF(N(INDEX(art_price,MATCH(H1180,art_ref,0)))=0,"",N(INDEX(art_price,MATCH(H1180,art_ref,0)))),IF(N(INDEX(art_cost,MATCH(H1180,art_ref,0)))=0,"",N(INDEX(art_cost,MATCH(H1180,art_ref,0))))),""))</f>
        <v/>
      </c>
      <c r="V1180" s="64" t="str">
        <f>IF(OR(U1180="",NOT(ISNUMBER(L1180))),"",IF(L1180&lt;=0,"",ROUND(L1180*U1180,2)))</f>
        <v/>
      </c>
      <c r="W1180" s="60" t="str">
        <f>IF(AND(B1180&lt;&gt;"",A1180&lt;&gt;"BS",F1180&lt;&gt;"",H1180&lt;&gt;"",ISNUMBER(K1180),ISNUMBER(L1180)),IF(AND(K1180&gt;0,L1180&gt;0,K1180-L1180&gt;0,COUNTIFS(A1181:A$2005,A1180,F1181:F$2005,F1180,H1181:H$2005,H1180,AA1181:AA$2005,"&gt;0")=0),ROUND(K1180-L1180,6),""),"")</f>
        <v/>
      </c>
      <c r="X1180" s="60" t="str">
        <f>IF(AND(A1180="",C1180="",D1180="",H1180="",L1180=""),"",IF(A1180="","Type manquant",IF(AND(A1180&lt;&gt;"BL",A1180&lt;&gt;"BR",A1180&lt;&gt;"BS"),"Type inconnu (BL, BR ou BS)",IF(AG1180=0,"Date manquante ou invalide",IF(D1180="",IF(A1180="BL","Client manquant",IF(A1180="BR","Fournisseur manquant","Service manquant")),IF(IF(A1180="BL",ISNA(MATCH(D1180,cl_code,0)),IF(A1180="BR",ISNA(MATCH(D1180,fo_code,0)),ISNA(MATCH(D1180,p_services,0)))),IF(A1180="BL","Client inconnu",IF(A1180="BR","Fournisseur inconnu","Service inconnu")),IF(H1180="","Article manquant",IF(ISNA(MATCH(H1180,art_ref,0)),"Article inconnu",IF(OR(NOT(ISNUMBER(L1180)),N(L1180)&lt;=0),"Quantité invalide",IF(AND(K1180&lt;&gt;"",OR(NOT(ISNUMBER(K1180)),N(K1180)&lt;=0)),"Qté commandée invalide",IF(AG1180&lt;SUMPRODUCT(MAX((A$6:A1179=A1180)*AG$6:AG1179)),"Date antérieure au bon précédent",IF(AND(A1180&lt;&gt;"BR",ISNUMBER(M1180),N(M1180)&gt;0),IF(A1180="BL","Livré plus que commandé","Sorti plus que demandé"),"OK"))))))))))))</f>
        <v/>
      </c>
      <c r="Y1180" s="57" t="str">
        <f>IF(AND(OR(A1180="BL",A1180="BR",A1180="BS"),AG1180&gt;0,D1180&lt;&gt;""),A1180&amp;"|"&amp;AG1180&amp;"|"&amp;D1180&amp;"|"&amp;F1180,"")</f>
        <v/>
      </c>
      <c r="Z1180" s="57" t="str">
        <f>IF(Y1180="","",IF(COUNTIF(Y$6:Y1179,Y1180)=0,1,0))</f>
        <v/>
      </c>
      <c r="AA1180" s="57" t="str">
        <f>IF(Y1180="","",IF(Z1180=1,COUNTIFS(A$6:A1180,A1180,Z$6:Z1180,1),INDEX(AA$6:AA1179,MATCH(Y1180,Y$6:Y1179,0))))</f>
        <v/>
      </c>
      <c r="AB1180" s="57" t="str">
        <f>IF(B1180="","",COUNTIF(B$6:B1180,B1180))</f>
        <v/>
      </c>
      <c r="AC1180" s="57" t="str">
        <f>IF(B1180="","",B1180&amp;"#"&amp;AB1180)</f>
        <v/>
      </c>
      <c r="AD1180" s="57" t="str">
        <f>IF(Z1180=1,A1180&amp;AA1180,"")</f>
        <v/>
      </c>
      <c r="AE1180" s="57" t="str">
        <f>IF(B1180="","",YEAR(C1180))</f>
        <v/>
      </c>
      <c r="AF1180" s="57" t="str">
        <f>IF(B1180="","",MONTH(C1180))</f>
        <v/>
      </c>
      <c r="AG1180" s="57">
        <f>IF(ISNUMBER(C1180),C1180,0)</f>
        <v>0.0</v>
      </c>
      <c r="AH1180" s="57" t="str">
        <f>IF(N(W1180)&gt;0,COUNTIF(W$6:W1180,"&gt;0"),"")</f>
        <v/>
      </c>
      <c r="AI1180" s="57" t="str">
        <f>IF(Z1180=1,COUNTIF(Z$6:Z1180,1),"")</f>
        <v/>
      </c>
    </row>
    <row r="1181">
      <c r="A1181" s="54" t="n"/>
      <c r="B1181" s="55" t="str">
        <f>IF(AA1181="","",A1181&amp;"-"&amp;RIGHT("000"&amp;AA1181,4))</f>
        <v/>
      </c>
      <c r="C1181" s="56" t="n"/>
      <c r="D1181" s="54" t="n"/>
      <c r="E1181" s="57" t="str">
        <f>IF(D1181="","",IF(A1181="BL",IFERROR(INDEX(cl_name,MATCH(D1181,cl_code,0))&amp;"","Client inconnu"),IF(A1181="BR",IFERROR(INDEX(fo_name,MATCH(D1181,fo_code,0))&amp;"","Fournisseur inconnu"),IF(A1181="BS",IF(ISNA(MATCH(D1181,p_services,0)),"Service inconnu",D1181&amp;""),""))))</f>
        <v/>
      </c>
      <c r="F1181" s="58" t="n"/>
      <c r="G1181" s="58" t="n"/>
      <c r="H1181" s="59" t="n"/>
      <c r="I1181" s="57" t="str">
        <f>IF(H1181="","",IFERROR(INDEX(art_des,MATCH(H1181,art_ref,0))&amp;"","Article inconnu"))</f>
        <v/>
      </c>
      <c r="J1181" s="60" t="str">
        <f>IF(H1181="","",IFERROR(INDEX(art_unit,MATCH(H1181,art_ref,0))&amp;"",""))</f>
        <v/>
      </c>
      <c r="K1181" s="59" t="n"/>
      <c r="L1181" s="59" t="n"/>
      <c r="M1181" s="61" t="str">
        <f>IF(OR(B1181="",NOT(ISNUMBER(K1181)),NOT(ISNUMBER(L1181))),"",IF(OR(K1181&lt;=0,L1181&lt;=0),"",ROUND(L1181-K1181,6)))</f>
        <v/>
      </c>
      <c r="N1181" s="58" t="n"/>
      <c r="O1181" s="62" t="n"/>
      <c r="P1181" s="63" t="str">
        <f>IF(OR(B1181="",NOT(ISNUMBER(L1181))),"",IF(L1181&lt;=0,"",IFERROR(ROUND(L1181*N(INDEX(art_w,MATCH(H1181,art_ref,0))),3),"")))</f>
        <v/>
      </c>
      <c r="Q1181" s="59" t="n"/>
      <c r="R1181" s="54" t="n"/>
      <c r="S1181" s="59" t="n"/>
      <c r="T1181" s="59" t="n"/>
      <c r="U1181" s="64" t="str">
        <f>IF(OR(B1181="",H1181=""),"",IFERROR(IF(A1181="BL",IF(N(INDEX(art_price,MATCH(H1181,art_ref,0)))=0,"",N(INDEX(art_price,MATCH(H1181,art_ref,0)))),IF(N(INDEX(art_cost,MATCH(H1181,art_ref,0)))=0,"",N(INDEX(art_cost,MATCH(H1181,art_ref,0))))),""))</f>
        <v/>
      </c>
      <c r="V1181" s="64" t="str">
        <f>IF(OR(U1181="",NOT(ISNUMBER(L1181))),"",IF(L1181&lt;=0,"",ROUND(L1181*U1181,2)))</f>
        <v/>
      </c>
      <c r="W1181" s="60" t="str">
        <f>IF(AND(B1181&lt;&gt;"",A1181&lt;&gt;"BS",F1181&lt;&gt;"",H1181&lt;&gt;"",ISNUMBER(K1181),ISNUMBER(L1181)),IF(AND(K1181&gt;0,L1181&gt;0,K1181-L1181&gt;0,COUNTIFS(A1182:A$2005,A1181,F1182:F$2005,F1181,H1182:H$2005,H1181,AA1182:AA$2005,"&gt;0")=0),ROUND(K1181-L1181,6),""),"")</f>
        <v/>
      </c>
      <c r="X1181" s="60" t="str">
        <f>IF(AND(A1181="",C1181="",D1181="",H1181="",L1181=""),"",IF(A1181="","Type manquant",IF(AND(A1181&lt;&gt;"BL",A1181&lt;&gt;"BR",A1181&lt;&gt;"BS"),"Type inconnu (BL, BR ou BS)",IF(AG1181=0,"Date manquante ou invalide",IF(D1181="",IF(A1181="BL","Client manquant",IF(A1181="BR","Fournisseur manquant","Service manquant")),IF(IF(A1181="BL",ISNA(MATCH(D1181,cl_code,0)),IF(A1181="BR",ISNA(MATCH(D1181,fo_code,0)),ISNA(MATCH(D1181,p_services,0)))),IF(A1181="BL","Client inconnu",IF(A1181="BR","Fournisseur inconnu","Service inconnu")),IF(H1181="","Article manquant",IF(ISNA(MATCH(H1181,art_ref,0)),"Article inconnu",IF(OR(NOT(ISNUMBER(L1181)),N(L1181)&lt;=0),"Quantité invalide",IF(AND(K1181&lt;&gt;"",OR(NOT(ISNUMBER(K1181)),N(K1181)&lt;=0)),"Qté commandée invalide",IF(AG1181&lt;SUMPRODUCT(MAX((A$6:A1180=A1181)*AG$6:AG1180)),"Date antérieure au bon précédent",IF(AND(A1181&lt;&gt;"BR",ISNUMBER(M1181),N(M1181)&gt;0),IF(A1181="BL","Livré plus que commandé","Sorti plus que demandé"),"OK"))))))))))))</f>
        <v/>
      </c>
      <c r="Y1181" s="57" t="str">
        <f>IF(AND(OR(A1181="BL",A1181="BR",A1181="BS"),AG1181&gt;0,D1181&lt;&gt;""),A1181&amp;"|"&amp;AG1181&amp;"|"&amp;D1181&amp;"|"&amp;F1181,"")</f>
        <v/>
      </c>
      <c r="Z1181" s="57" t="str">
        <f>IF(Y1181="","",IF(COUNTIF(Y$6:Y1180,Y1181)=0,1,0))</f>
        <v/>
      </c>
      <c r="AA1181" s="57" t="str">
        <f>IF(Y1181="","",IF(Z1181=1,COUNTIFS(A$6:A1181,A1181,Z$6:Z1181,1),INDEX(AA$6:AA1180,MATCH(Y1181,Y$6:Y1180,0))))</f>
        <v/>
      </c>
      <c r="AB1181" s="57" t="str">
        <f>IF(B1181="","",COUNTIF(B$6:B1181,B1181))</f>
        <v/>
      </c>
      <c r="AC1181" s="57" t="str">
        <f>IF(B1181="","",B1181&amp;"#"&amp;AB1181)</f>
        <v/>
      </c>
      <c r="AD1181" s="57" t="str">
        <f>IF(Z1181=1,A1181&amp;AA1181,"")</f>
        <v/>
      </c>
      <c r="AE1181" s="57" t="str">
        <f>IF(B1181="","",YEAR(C1181))</f>
        <v/>
      </c>
      <c r="AF1181" s="57" t="str">
        <f>IF(B1181="","",MONTH(C1181))</f>
        <v/>
      </c>
      <c r="AG1181" s="57">
        <f>IF(ISNUMBER(C1181),C1181,0)</f>
        <v>0.0</v>
      </c>
      <c r="AH1181" s="57" t="str">
        <f>IF(N(W1181)&gt;0,COUNTIF(W$6:W1181,"&gt;0"),"")</f>
        <v/>
      </c>
      <c r="AI1181" s="57" t="str">
        <f>IF(Z1181=1,COUNTIF(Z$6:Z1181,1),"")</f>
        <v/>
      </c>
    </row>
    <row r="1182">
      <c r="A1182" s="54" t="n"/>
      <c r="B1182" s="55" t="str">
        <f>IF(AA1182="","",A1182&amp;"-"&amp;RIGHT("000"&amp;AA1182,4))</f>
        <v/>
      </c>
      <c r="C1182" s="56" t="n"/>
      <c r="D1182" s="54" t="n"/>
      <c r="E1182" s="57" t="str">
        <f>IF(D1182="","",IF(A1182="BL",IFERROR(INDEX(cl_name,MATCH(D1182,cl_code,0))&amp;"","Client inconnu"),IF(A1182="BR",IFERROR(INDEX(fo_name,MATCH(D1182,fo_code,0))&amp;"","Fournisseur inconnu"),IF(A1182="BS",IF(ISNA(MATCH(D1182,p_services,0)),"Service inconnu",D1182&amp;""),""))))</f>
        <v/>
      </c>
      <c r="F1182" s="58" t="n"/>
      <c r="G1182" s="58" t="n"/>
      <c r="H1182" s="59" t="n"/>
      <c r="I1182" s="57" t="str">
        <f>IF(H1182="","",IFERROR(INDEX(art_des,MATCH(H1182,art_ref,0))&amp;"","Article inconnu"))</f>
        <v/>
      </c>
      <c r="J1182" s="60" t="str">
        <f>IF(H1182="","",IFERROR(INDEX(art_unit,MATCH(H1182,art_ref,0))&amp;"",""))</f>
        <v/>
      </c>
      <c r="K1182" s="59" t="n"/>
      <c r="L1182" s="59" t="n"/>
      <c r="M1182" s="61" t="str">
        <f>IF(OR(B1182="",NOT(ISNUMBER(K1182)),NOT(ISNUMBER(L1182))),"",IF(OR(K1182&lt;=0,L1182&lt;=0),"",ROUND(L1182-K1182,6)))</f>
        <v/>
      </c>
      <c r="N1182" s="58" t="n"/>
      <c r="O1182" s="62" t="n"/>
      <c r="P1182" s="63" t="str">
        <f>IF(OR(B1182="",NOT(ISNUMBER(L1182))),"",IF(L1182&lt;=0,"",IFERROR(ROUND(L1182*N(INDEX(art_w,MATCH(H1182,art_ref,0))),3),"")))</f>
        <v/>
      </c>
      <c r="Q1182" s="59" t="n"/>
      <c r="R1182" s="54" t="n"/>
      <c r="S1182" s="59" t="n"/>
      <c r="T1182" s="59" t="n"/>
      <c r="U1182" s="64" t="str">
        <f>IF(OR(B1182="",H1182=""),"",IFERROR(IF(A1182="BL",IF(N(INDEX(art_price,MATCH(H1182,art_ref,0)))=0,"",N(INDEX(art_price,MATCH(H1182,art_ref,0)))),IF(N(INDEX(art_cost,MATCH(H1182,art_ref,0)))=0,"",N(INDEX(art_cost,MATCH(H1182,art_ref,0))))),""))</f>
        <v/>
      </c>
      <c r="V1182" s="64" t="str">
        <f>IF(OR(U1182="",NOT(ISNUMBER(L1182))),"",IF(L1182&lt;=0,"",ROUND(L1182*U1182,2)))</f>
        <v/>
      </c>
      <c r="W1182" s="60" t="str">
        <f>IF(AND(B1182&lt;&gt;"",A1182&lt;&gt;"BS",F1182&lt;&gt;"",H1182&lt;&gt;"",ISNUMBER(K1182),ISNUMBER(L1182)),IF(AND(K1182&gt;0,L1182&gt;0,K1182-L1182&gt;0,COUNTIFS(A1183:A$2005,A1182,F1183:F$2005,F1182,H1183:H$2005,H1182,AA1183:AA$2005,"&gt;0")=0),ROUND(K1182-L1182,6),""),"")</f>
        <v/>
      </c>
      <c r="X1182" s="60" t="str">
        <f>IF(AND(A1182="",C1182="",D1182="",H1182="",L1182=""),"",IF(A1182="","Type manquant",IF(AND(A1182&lt;&gt;"BL",A1182&lt;&gt;"BR",A1182&lt;&gt;"BS"),"Type inconnu (BL, BR ou BS)",IF(AG1182=0,"Date manquante ou invalide",IF(D1182="",IF(A1182="BL","Client manquant",IF(A1182="BR","Fournisseur manquant","Service manquant")),IF(IF(A1182="BL",ISNA(MATCH(D1182,cl_code,0)),IF(A1182="BR",ISNA(MATCH(D1182,fo_code,0)),ISNA(MATCH(D1182,p_services,0)))),IF(A1182="BL","Client inconnu",IF(A1182="BR","Fournisseur inconnu","Service inconnu")),IF(H1182="","Article manquant",IF(ISNA(MATCH(H1182,art_ref,0)),"Article inconnu",IF(OR(NOT(ISNUMBER(L1182)),N(L1182)&lt;=0),"Quantité invalide",IF(AND(K1182&lt;&gt;"",OR(NOT(ISNUMBER(K1182)),N(K1182)&lt;=0)),"Qté commandée invalide",IF(AG1182&lt;SUMPRODUCT(MAX((A$6:A1181=A1182)*AG$6:AG1181)),"Date antérieure au bon précédent",IF(AND(A1182&lt;&gt;"BR",ISNUMBER(M1182),N(M1182)&gt;0),IF(A1182="BL","Livré plus que commandé","Sorti plus que demandé"),"OK"))))))))))))</f>
        <v/>
      </c>
      <c r="Y1182" s="57" t="str">
        <f>IF(AND(OR(A1182="BL",A1182="BR",A1182="BS"),AG1182&gt;0,D1182&lt;&gt;""),A1182&amp;"|"&amp;AG1182&amp;"|"&amp;D1182&amp;"|"&amp;F1182,"")</f>
        <v/>
      </c>
      <c r="Z1182" s="57" t="str">
        <f>IF(Y1182="","",IF(COUNTIF(Y$6:Y1181,Y1182)=0,1,0))</f>
        <v/>
      </c>
      <c r="AA1182" s="57" t="str">
        <f>IF(Y1182="","",IF(Z1182=1,COUNTIFS(A$6:A1182,A1182,Z$6:Z1182,1),INDEX(AA$6:AA1181,MATCH(Y1182,Y$6:Y1181,0))))</f>
        <v/>
      </c>
      <c r="AB1182" s="57" t="str">
        <f>IF(B1182="","",COUNTIF(B$6:B1182,B1182))</f>
        <v/>
      </c>
      <c r="AC1182" s="57" t="str">
        <f>IF(B1182="","",B1182&amp;"#"&amp;AB1182)</f>
        <v/>
      </c>
      <c r="AD1182" s="57" t="str">
        <f>IF(Z1182=1,A1182&amp;AA1182,"")</f>
        <v/>
      </c>
      <c r="AE1182" s="57" t="str">
        <f>IF(B1182="","",YEAR(C1182))</f>
        <v/>
      </c>
      <c r="AF1182" s="57" t="str">
        <f>IF(B1182="","",MONTH(C1182))</f>
        <v/>
      </c>
      <c r="AG1182" s="57">
        <f>IF(ISNUMBER(C1182),C1182,0)</f>
        <v>0.0</v>
      </c>
      <c r="AH1182" s="57" t="str">
        <f>IF(N(W1182)&gt;0,COUNTIF(W$6:W1182,"&gt;0"),"")</f>
        <v/>
      </c>
      <c r="AI1182" s="57" t="str">
        <f>IF(Z1182=1,COUNTIF(Z$6:Z1182,1),"")</f>
        <v/>
      </c>
    </row>
    <row r="1183">
      <c r="A1183" s="54" t="n"/>
      <c r="B1183" s="55" t="str">
        <f>IF(AA1183="","",A1183&amp;"-"&amp;RIGHT("000"&amp;AA1183,4))</f>
        <v/>
      </c>
      <c r="C1183" s="56" t="n"/>
      <c r="D1183" s="54" t="n"/>
      <c r="E1183" s="57" t="str">
        <f>IF(D1183="","",IF(A1183="BL",IFERROR(INDEX(cl_name,MATCH(D1183,cl_code,0))&amp;"","Client inconnu"),IF(A1183="BR",IFERROR(INDEX(fo_name,MATCH(D1183,fo_code,0))&amp;"","Fournisseur inconnu"),IF(A1183="BS",IF(ISNA(MATCH(D1183,p_services,0)),"Service inconnu",D1183&amp;""),""))))</f>
        <v/>
      </c>
      <c r="F1183" s="58" t="n"/>
      <c r="G1183" s="58" t="n"/>
      <c r="H1183" s="59" t="n"/>
      <c r="I1183" s="57" t="str">
        <f>IF(H1183="","",IFERROR(INDEX(art_des,MATCH(H1183,art_ref,0))&amp;"","Article inconnu"))</f>
        <v/>
      </c>
      <c r="J1183" s="60" t="str">
        <f>IF(H1183="","",IFERROR(INDEX(art_unit,MATCH(H1183,art_ref,0))&amp;"",""))</f>
        <v/>
      </c>
      <c r="K1183" s="59" t="n"/>
      <c r="L1183" s="59" t="n"/>
      <c r="M1183" s="61" t="str">
        <f>IF(OR(B1183="",NOT(ISNUMBER(K1183)),NOT(ISNUMBER(L1183))),"",IF(OR(K1183&lt;=0,L1183&lt;=0),"",ROUND(L1183-K1183,6)))</f>
        <v/>
      </c>
      <c r="N1183" s="58" t="n"/>
      <c r="O1183" s="62" t="n"/>
      <c r="P1183" s="63" t="str">
        <f>IF(OR(B1183="",NOT(ISNUMBER(L1183))),"",IF(L1183&lt;=0,"",IFERROR(ROUND(L1183*N(INDEX(art_w,MATCH(H1183,art_ref,0))),3),"")))</f>
        <v/>
      </c>
      <c r="Q1183" s="59" t="n"/>
      <c r="R1183" s="54" t="n"/>
      <c r="S1183" s="59" t="n"/>
      <c r="T1183" s="59" t="n"/>
      <c r="U1183" s="64" t="str">
        <f>IF(OR(B1183="",H1183=""),"",IFERROR(IF(A1183="BL",IF(N(INDEX(art_price,MATCH(H1183,art_ref,0)))=0,"",N(INDEX(art_price,MATCH(H1183,art_ref,0)))),IF(N(INDEX(art_cost,MATCH(H1183,art_ref,0)))=0,"",N(INDEX(art_cost,MATCH(H1183,art_ref,0))))),""))</f>
        <v/>
      </c>
      <c r="V1183" s="64" t="str">
        <f>IF(OR(U1183="",NOT(ISNUMBER(L1183))),"",IF(L1183&lt;=0,"",ROUND(L1183*U1183,2)))</f>
        <v/>
      </c>
      <c r="W1183" s="60" t="str">
        <f>IF(AND(B1183&lt;&gt;"",A1183&lt;&gt;"BS",F1183&lt;&gt;"",H1183&lt;&gt;"",ISNUMBER(K1183),ISNUMBER(L1183)),IF(AND(K1183&gt;0,L1183&gt;0,K1183-L1183&gt;0,COUNTIFS(A1184:A$2005,A1183,F1184:F$2005,F1183,H1184:H$2005,H1183,AA1184:AA$2005,"&gt;0")=0),ROUND(K1183-L1183,6),""),"")</f>
        <v/>
      </c>
      <c r="X1183" s="60" t="str">
        <f>IF(AND(A1183="",C1183="",D1183="",H1183="",L1183=""),"",IF(A1183="","Type manquant",IF(AND(A1183&lt;&gt;"BL",A1183&lt;&gt;"BR",A1183&lt;&gt;"BS"),"Type inconnu (BL, BR ou BS)",IF(AG1183=0,"Date manquante ou invalide",IF(D1183="",IF(A1183="BL","Client manquant",IF(A1183="BR","Fournisseur manquant","Service manquant")),IF(IF(A1183="BL",ISNA(MATCH(D1183,cl_code,0)),IF(A1183="BR",ISNA(MATCH(D1183,fo_code,0)),ISNA(MATCH(D1183,p_services,0)))),IF(A1183="BL","Client inconnu",IF(A1183="BR","Fournisseur inconnu","Service inconnu")),IF(H1183="","Article manquant",IF(ISNA(MATCH(H1183,art_ref,0)),"Article inconnu",IF(OR(NOT(ISNUMBER(L1183)),N(L1183)&lt;=0),"Quantité invalide",IF(AND(K1183&lt;&gt;"",OR(NOT(ISNUMBER(K1183)),N(K1183)&lt;=0)),"Qté commandée invalide",IF(AG1183&lt;SUMPRODUCT(MAX((A$6:A1182=A1183)*AG$6:AG1182)),"Date antérieure au bon précédent",IF(AND(A1183&lt;&gt;"BR",ISNUMBER(M1183),N(M1183)&gt;0),IF(A1183="BL","Livré plus que commandé","Sorti plus que demandé"),"OK"))))))))))))</f>
        <v/>
      </c>
      <c r="Y1183" s="57" t="str">
        <f>IF(AND(OR(A1183="BL",A1183="BR",A1183="BS"),AG1183&gt;0,D1183&lt;&gt;""),A1183&amp;"|"&amp;AG1183&amp;"|"&amp;D1183&amp;"|"&amp;F1183,"")</f>
        <v/>
      </c>
      <c r="Z1183" s="57" t="str">
        <f>IF(Y1183="","",IF(COUNTIF(Y$6:Y1182,Y1183)=0,1,0))</f>
        <v/>
      </c>
      <c r="AA1183" s="57" t="str">
        <f>IF(Y1183="","",IF(Z1183=1,COUNTIFS(A$6:A1183,A1183,Z$6:Z1183,1),INDEX(AA$6:AA1182,MATCH(Y1183,Y$6:Y1182,0))))</f>
        <v/>
      </c>
      <c r="AB1183" s="57" t="str">
        <f>IF(B1183="","",COUNTIF(B$6:B1183,B1183))</f>
        <v/>
      </c>
      <c r="AC1183" s="57" t="str">
        <f>IF(B1183="","",B1183&amp;"#"&amp;AB1183)</f>
        <v/>
      </c>
      <c r="AD1183" s="57" t="str">
        <f>IF(Z1183=1,A1183&amp;AA1183,"")</f>
        <v/>
      </c>
      <c r="AE1183" s="57" t="str">
        <f>IF(B1183="","",YEAR(C1183))</f>
        <v/>
      </c>
      <c r="AF1183" s="57" t="str">
        <f>IF(B1183="","",MONTH(C1183))</f>
        <v/>
      </c>
      <c r="AG1183" s="57">
        <f>IF(ISNUMBER(C1183),C1183,0)</f>
        <v>0.0</v>
      </c>
      <c r="AH1183" s="57" t="str">
        <f>IF(N(W1183)&gt;0,COUNTIF(W$6:W1183,"&gt;0"),"")</f>
        <v/>
      </c>
      <c r="AI1183" s="57" t="str">
        <f>IF(Z1183=1,COUNTIF(Z$6:Z1183,1),"")</f>
        <v/>
      </c>
    </row>
    <row r="1184">
      <c r="A1184" s="54" t="n"/>
      <c r="B1184" s="55" t="str">
        <f>IF(AA1184="","",A1184&amp;"-"&amp;RIGHT("000"&amp;AA1184,4))</f>
        <v/>
      </c>
      <c r="C1184" s="56" t="n"/>
      <c r="D1184" s="54" t="n"/>
      <c r="E1184" s="57" t="str">
        <f>IF(D1184="","",IF(A1184="BL",IFERROR(INDEX(cl_name,MATCH(D1184,cl_code,0))&amp;"","Client inconnu"),IF(A1184="BR",IFERROR(INDEX(fo_name,MATCH(D1184,fo_code,0))&amp;"","Fournisseur inconnu"),IF(A1184="BS",IF(ISNA(MATCH(D1184,p_services,0)),"Service inconnu",D1184&amp;""),""))))</f>
        <v/>
      </c>
      <c r="F1184" s="58" t="n"/>
      <c r="G1184" s="58" t="n"/>
      <c r="H1184" s="59" t="n"/>
      <c r="I1184" s="57" t="str">
        <f>IF(H1184="","",IFERROR(INDEX(art_des,MATCH(H1184,art_ref,0))&amp;"","Article inconnu"))</f>
        <v/>
      </c>
      <c r="J1184" s="60" t="str">
        <f>IF(H1184="","",IFERROR(INDEX(art_unit,MATCH(H1184,art_ref,0))&amp;"",""))</f>
        <v/>
      </c>
      <c r="K1184" s="59" t="n"/>
      <c r="L1184" s="59" t="n"/>
      <c r="M1184" s="61" t="str">
        <f>IF(OR(B1184="",NOT(ISNUMBER(K1184)),NOT(ISNUMBER(L1184))),"",IF(OR(K1184&lt;=0,L1184&lt;=0),"",ROUND(L1184-K1184,6)))</f>
        <v/>
      </c>
      <c r="N1184" s="58" t="n"/>
      <c r="O1184" s="62" t="n"/>
      <c r="P1184" s="63" t="str">
        <f>IF(OR(B1184="",NOT(ISNUMBER(L1184))),"",IF(L1184&lt;=0,"",IFERROR(ROUND(L1184*N(INDEX(art_w,MATCH(H1184,art_ref,0))),3),"")))</f>
        <v/>
      </c>
      <c r="Q1184" s="59" t="n"/>
      <c r="R1184" s="54" t="n"/>
      <c r="S1184" s="59" t="n"/>
      <c r="T1184" s="59" t="n"/>
      <c r="U1184" s="64" t="str">
        <f>IF(OR(B1184="",H1184=""),"",IFERROR(IF(A1184="BL",IF(N(INDEX(art_price,MATCH(H1184,art_ref,0)))=0,"",N(INDEX(art_price,MATCH(H1184,art_ref,0)))),IF(N(INDEX(art_cost,MATCH(H1184,art_ref,0)))=0,"",N(INDEX(art_cost,MATCH(H1184,art_ref,0))))),""))</f>
        <v/>
      </c>
      <c r="V1184" s="64" t="str">
        <f>IF(OR(U1184="",NOT(ISNUMBER(L1184))),"",IF(L1184&lt;=0,"",ROUND(L1184*U1184,2)))</f>
        <v/>
      </c>
      <c r="W1184" s="60" t="str">
        <f>IF(AND(B1184&lt;&gt;"",A1184&lt;&gt;"BS",F1184&lt;&gt;"",H1184&lt;&gt;"",ISNUMBER(K1184),ISNUMBER(L1184)),IF(AND(K1184&gt;0,L1184&gt;0,K1184-L1184&gt;0,COUNTIFS(A1185:A$2005,A1184,F1185:F$2005,F1184,H1185:H$2005,H1184,AA1185:AA$2005,"&gt;0")=0),ROUND(K1184-L1184,6),""),"")</f>
        <v/>
      </c>
      <c r="X1184" s="60" t="str">
        <f>IF(AND(A1184="",C1184="",D1184="",H1184="",L1184=""),"",IF(A1184="","Type manquant",IF(AND(A1184&lt;&gt;"BL",A1184&lt;&gt;"BR",A1184&lt;&gt;"BS"),"Type inconnu (BL, BR ou BS)",IF(AG1184=0,"Date manquante ou invalide",IF(D1184="",IF(A1184="BL","Client manquant",IF(A1184="BR","Fournisseur manquant","Service manquant")),IF(IF(A1184="BL",ISNA(MATCH(D1184,cl_code,0)),IF(A1184="BR",ISNA(MATCH(D1184,fo_code,0)),ISNA(MATCH(D1184,p_services,0)))),IF(A1184="BL","Client inconnu",IF(A1184="BR","Fournisseur inconnu","Service inconnu")),IF(H1184="","Article manquant",IF(ISNA(MATCH(H1184,art_ref,0)),"Article inconnu",IF(OR(NOT(ISNUMBER(L1184)),N(L1184)&lt;=0),"Quantité invalide",IF(AND(K1184&lt;&gt;"",OR(NOT(ISNUMBER(K1184)),N(K1184)&lt;=0)),"Qté commandée invalide",IF(AG1184&lt;SUMPRODUCT(MAX((A$6:A1183=A1184)*AG$6:AG1183)),"Date antérieure au bon précédent",IF(AND(A1184&lt;&gt;"BR",ISNUMBER(M1184),N(M1184)&gt;0),IF(A1184="BL","Livré plus que commandé","Sorti plus que demandé"),"OK"))))))))))))</f>
        <v/>
      </c>
      <c r="Y1184" s="57" t="str">
        <f>IF(AND(OR(A1184="BL",A1184="BR",A1184="BS"),AG1184&gt;0,D1184&lt;&gt;""),A1184&amp;"|"&amp;AG1184&amp;"|"&amp;D1184&amp;"|"&amp;F1184,"")</f>
        <v/>
      </c>
      <c r="Z1184" s="57" t="str">
        <f>IF(Y1184="","",IF(COUNTIF(Y$6:Y1183,Y1184)=0,1,0))</f>
        <v/>
      </c>
      <c r="AA1184" s="57" t="str">
        <f>IF(Y1184="","",IF(Z1184=1,COUNTIFS(A$6:A1184,A1184,Z$6:Z1184,1),INDEX(AA$6:AA1183,MATCH(Y1184,Y$6:Y1183,0))))</f>
        <v/>
      </c>
      <c r="AB1184" s="57" t="str">
        <f>IF(B1184="","",COUNTIF(B$6:B1184,B1184))</f>
        <v/>
      </c>
      <c r="AC1184" s="57" t="str">
        <f>IF(B1184="","",B1184&amp;"#"&amp;AB1184)</f>
        <v/>
      </c>
      <c r="AD1184" s="57" t="str">
        <f>IF(Z1184=1,A1184&amp;AA1184,"")</f>
        <v/>
      </c>
      <c r="AE1184" s="57" t="str">
        <f>IF(B1184="","",YEAR(C1184))</f>
        <v/>
      </c>
      <c r="AF1184" s="57" t="str">
        <f>IF(B1184="","",MONTH(C1184))</f>
        <v/>
      </c>
      <c r="AG1184" s="57">
        <f>IF(ISNUMBER(C1184),C1184,0)</f>
        <v>0.0</v>
      </c>
      <c r="AH1184" s="57" t="str">
        <f>IF(N(W1184)&gt;0,COUNTIF(W$6:W1184,"&gt;0"),"")</f>
        <v/>
      </c>
      <c r="AI1184" s="57" t="str">
        <f>IF(Z1184=1,COUNTIF(Z$6:Z1184,1),"")</f>
        <v/>
      </c>
    </row>
    <row r="1185">
      <c r="A1185" s="54" t="n"/>
      <c r="B1185" s="55" t="str">
        <f>IF(AA1185="","",A1185&amp;"-"&amp;RIGHT("000"&amp;AA1185,4))</f>
        <v/>
      </c>
      <c r="C1185" s="56" t="n"/>
      <c r="D1185" s="54" t="n"/>
      <c r="E1185" s="57" t="str">
        <f>IF(D1185="","",IF(A1185="BL",IFERROR(INDEX(cl_name,MATCH(D1185,cl_code,0))&amp;"","Client inconnu"),IF(A1185="BR",IFERROR(INDEX(fo_name,MATCH(D1185,fo_code,0))&amp;"","Fournisseur inconnu"),IF(A1185="BS",IF(ISNA(MATCH(D1185,p_services,0)),"Service inconnu",D1185&amp;""),""))))</f>
        <v/>
      </c>
      <c r="F1185" s="58" t="n"/>
      <c r="G1185" s="58" t="n"/>
      <c r="H1185" s="59" t="n"/>
      <c r="I1185" s="57" t="str">
        <f>IF(H1185="","",IFERROR(INDEX(art_des,MATCH(H1185,art_ref,0))&amp;"","Article inconnu"))</f>
        <v/>
      </c>
      <c r="J1185" s="60" t="str">
        <f>IF(H1185="","",IFERROR(INDEX(art_unit,MATCH(H1185,art_ref,0))&amp;"",""))</f>
        <v/>
      </c>
      <c r="K1185" s="59" t="n"/>
      <c r="L1185" s="59" t="n"/>
      <c r="M1185" s="61" t="str">
        <f>IF(OR(B1185="",NOT(ISNUMBER(K1185)),NOT(ISNUMBER(L1185))),"",IF(OR(K1185&lt;=0,L1185&lt;=0),"",ROUND(L1185-K1185,6)))</f>
        <v/>
      </c>
      <c r="N1185" s="58" t="n"/>
      <c r="O1185" s="62" t="n"/>
      <c r="P1185" s="63" t="str">
        <f>IF(OR(B1185="",NOT(ISNUMBER(L1185))),"",IF(L1185&lt;=0,"",IFERROR(ROUND(L1185*N(INDEX(art_w,MATCH(H1185,art_ref,0))),3),"")))</f>
        <v/>
      </c>
      <c r="Q1185" s="59" t="n"/>
      <c r="R1185" s="54" t="n"/>
      <c r="S1185" s="59" t="n"/>
      <c r="T1185" s="59" t="n"/>
      <c r="U1185" s="64" t="str">
        <f>IF(OR(B1185="",H1185=""),"",IFERROR(IF(A1185="BL",IF(N(INDEX(art_price,MATCH(H1185,art_ref,0)))=0,"",N(INDEX(art_price,MATCH(H1185,art_ref,0)))),IF(N(INDEX(art_cost,MATCH(H1185,art_ref,0)))=0,"",N(INDEX(art_cost,MATCH(H1185,art_ref,0))))),""))</f>
        <v/>
      </c>
      <c r="V1185" s="64" t="str">
        <f>IF(OR(U1185="",NOT(ISNUMBER(L1185))),"",IF(L1185&lt;=0,"",ROUND(L1185*U1185,2)))</f>
        <v/>
      </c>
      <c r="W1185" s="60" t="str">
        <f>IF(AND(B1185&lt;&gt;"",A1185&lt;&gt;"BS",F1185&lt;&gt;"",H1185&lt;&gt;"",ISNUMBER(K1185),ISNUMBER(L1185)),IF(AND(K1185&gt;0,L1185&gt;0,K1185-L1185&gt;0,COUNTIFS(A1186:A$2005,A1185,F1186:F$2005,F1185,H1186:H$2005,H1185,AA1186:AA$2005,"&gt;0")=0),ROUND(K1185-L1185,6),""),"")</f>
        <v/>
      </c>
      <c r="X1185" s="60" t="str">
        <f>IF(AND(A1185="",C1185="",D1185="",H1185="",L1185=""),"",IF(A1185="","Type manquant",IF(AND(A1185&lt;&gt;"BL",A1185&lt;&gt;"BR",A1185&lt;&gt;"BS"),"Type inconnu (BL, BR ou BS)",IF(AG1185=0,"Date manquante ou invalide",IF(D1185="",IF(A1185="BL","Client manquant",IF(A1185="BR","Fournisseur manquant","Service manquant")),IF(IF(A1185="BL",ISNA(MATCH(D1185,cl_code,0)),IF(A1185="BR",ISNA(MATCH(D1185,fo_code,0)),ISNA(MATCH(D1185,p_services,0)))),IF(A1185="BL","Client inconnu",IF(A1185="BR","Fournisseur inconnu","Service inconnu")),IF(H1185="","Article manquant",IF(ISNA(MATCH(H1185,art_ref,0)),"Article inconnu",IF(OR(NOT(ISNUMBER(L1185)),N(L1185)&lt;=0),"Quantité invalide",IF(AND(K1185&lt;&gt;"",OR(NOT(ISNUMBER(K1185)),N(K1185)&lt;=0)),"Qté commandée invalide",IF(AG1185&lt;SUMPRODUCT(MAX((A$6:A1184=A1185)*AG$6:AG1184)),"Date antérieure au bon précédent",IF(AND(A1185&lt;&gt;"BR",ISNUMBER(M1185),N(M1185)&gt;0),IF(A1185="BL","Livré plus que commandé","Sorti plus que demandé"),"OK"))))))))))))</f>
        <v/>
      </c>
      <c r="Y1185" s="57" t="str">
        <f>IF(AND(OR(A1185="BL",A1185="BR",A1185="BS"),AG1185&gt;0,D1185&lt;&gt;""),A1185&amp;"|"&amp;AG1185&amp;"|"&amp;D1185&amp;"|"&amp;F1185,"")</f>
        <v/>
      </c>
      <c r="Z1185" s="57" t="str">
        <f>IF(Y1185="","",IF(COUNTIF(Y$6:Y1184,Y1185)=0,1,0))</f>
        <v/>
      </c>
      <c r="AA1185" s="57" t="str">
        <f>IF(Y1185="","",IF(Z1185=1,COUNTIFS(A$6:A1185,A1185,Z$6:Z1185,1),INDEX(AA$6:AA1184,MATCH(Y1185,Y$6:Y1184,0))))</f>
        <v/>
      </c>
      <c r="AB1185" s="57" t="str">
        <f>IF(B1185="","",COUNTIF(B$6:B1185,B1185))</f>
        <v/>
      </c>
      <c r="AC1185" s="57" t="str">
        <f>IF(B1185="","",B1185&amp;"#"&amp;AB1185)</f>
        <v/>
      </c>
      <c r="AD1185" s="57" t="str">
        <f>IF(Z1185=1,A1185&amp;AA1185,"")</f>
        <v/>
      </c>
      <c r="AE1185" s="57" t="str">
        <f>IF(B1185="","",YEAR(C1185))</f>
        <v/>
      </c>
      <c r="AF1185" s="57" t="str">
        <f>IF(B1185="","",MONTH(C1185))</f>
        <v/>
      </c>
      <c r="AG1185" s="57">
        <f>IF(ISNUMBER(C1185),C1185,0)</f>
        <v>0.0</v>
      </c>
      <c r="AH1185" s="57" t="str">
        <f>IF(N(W1185)&gt;0,COUNTIF(W$6:W1185,"&gt;0"),"")</f>
        <v/>
      </c>
      <c r="AI1185" s="57" t="str">
        <f>IF(Z1185=1,COUNTIF(Z$6:Z1185,1),"")</f>
        <v/>
      </c>
    </row>
    <row r="1186">
      <c r="A1186" s="54" t="n"/>
      <c r="B1186" s="55" t="str">
        <f>IF(AA1186="","",A1186&amp;"-"&amp;RIGHT("000"&amp;AA1186,4))</f>
        <v/>
      </c>
      <c r="C1186" s="56" t="n"/>
      <c r="D1186" s="54" t="n"/>
      <c r="E1186" s="57" t="str">
        <f>IF(D1186="","",IF(A1186="BL",IFERROR(INDEX(cl_name,MATCH(D1186,cl_code,0))&amp;"","Client inconnu"),IF(A1186="BR",IFERROR(INDEX(fo_name,MATCH(D1186,fo_code,0))&amp;"","Fournisseur inconnu"),IF(A1186="BS",IF(ISNA(MATCH(D1186,p_services,0)),"Service inconnu",D1186&amp;""),""))))</f>
        <v/>
      </c>
      <c r="F1186" s="58" t="n"/>
      <c r="G1186" s="58" t="n"/>
      <c r="H1186" s="59" t="n"/>
      <c r="I1186" s="57" t="str">
        <f>IF(H1186="","",IFERROR(INDEX(art_des,MATCH(H1186,art_ref,0))&amp;"","Article inconnu"))</f>
        <v/>
      </c>
      <c r="J1186" s="60" t="str">
        <f>IF(H1186="","",IFERROR(INDEX(art_unit,MATCH(H1186,art_ref,0))&amp;"",""))</f>
        <v/>
      </c>
      <c r="K1186" s="59" t="n"/>
      <c r="L1186" s="59" t="n"/>
      <c r="M1186" s="61" t="str">
        <f>IF(OR(B1186="",NOT(ISNUMBER(K1186)),NOT(ISNUMBER(L1186))),"",IF(OR(K1186&lt;=0,L1186&lt;=0),"",ROUND(L1186-K1186,6)))</f>
        <v/>
      </c>
      <c r="N1186" s="58" t="n"/>
      <c r="O1186" s="62" t="n"/>
      <c r="P1186" s="63" t="str">
        <f>IF(OR(B1186="",NOT(ISNUMBER(L1186))),"",IF(L1186&lt;=0,"",IFERROR(ROUND(L1186*N(INDEX(art_w,MATCH(H1186,art_ref,0))),3),"")))</f>
        <v/>
      </c>
      <c r="Q1186" s="59" t="n"/>
      <c r="R1186" s="54" t="n"/>
      <c r="S1186" s="59" t="n"/>
      <c r="T1186" s="59" t="n"/>
      <c r="U1186" s="64" t="str">
        <f>IF(OR(B1186="",H1186=""),"",IFERROR(IF(A1186="BL",IF(N(INDEX(art_price,MATCH(H1186,art_ref,0)))=0,"",N(INDEX(art_price,MATCH(H1186,art_ref,0)))),IF(N(INDEX(art_cost,MATCH(H1186,art_ref,0)))=0,"",N(INDEX(art_cost,MATCH(H1186,art_ref,0))))),""))</f>
        <v/>
      </c>
      <c r="V1186" s="64" t="str">
        <f>IF(OR(U1186="",NOT(ISNUMBER(L1186))),"",IF(L1186&lt;=0,"",ROUND(L1186*U1186,2)))</f>
        <v/>
      </c>
      <c r="W1186" s="60" t="str">
        <f>IF(AND(B1186&lt;&gt;"",A1186&lt;&gt;"BS",F1186&lt;&gt;"",H1186&lt;&gt;"",ISNUMBER(K1186),ISNUMBER(L1186)),IF(AND(K1186&gt;0,L1186&gt;0,K1186-L1186&gt;0,COUNTIFS(A1187:A$2005,A1186,F1187:F$2005,F1186,H1187:H$2005,H1186,AA1187:AA$2005,"&gt;0")=0),ROUND(K1186-L1186,6),""),"")</f>
        <v/>
      </c>
      <c r="X1186" s="60" t="str">
        <f>IF(AND(A1186="",C1186="",D1186="",H1186="",L1186=""),"",IF(A1186="","Type manquant",IF(AND(A1186&lt;&gt;"BL",A1186&lt;&gt;"BR",A1186&lt;&gt;"BS"),"Type inconnu (BL, BR ou BS)",IF(AG1186=0,"Date manquante ou invalide",IF(D1186="",IF(A1186="BL","Client manquant",IF(A1186="BR","Fournisseur manquant","Service manquant")),IF(IF(A1186="BL",ISNA(MATCH(D1186,cl_code,0)),IF(A1186="BR",ISNA(MATCH(D1186,fo_code,0)),ISNA(MATCH(D1186,p_services,0)))),IF(A1186="BL","Client inconnu",IF(A1186="BR","Fournisseur inconnu","Service inconnu")),IF(H1186="","Article manquant",IF(ISNA(MATCH(H1186,art_ref,0)),"Article inconnu",IF(OR(NOT(ISNUMBER(L1186)),N(L1186)&lt;=0),"Quantité invalide",IF(AND(K1186&lt;&gt;"",OR(NOT(ISNUMBER(K1186)),N(K1186)&lt;=0)),"Qté commandée invalide",IF(AG1186&lt;SUMPRODUCT(MAX((A$6:A1185=A1186)*AG$6:AG1185)),"Date antérieure au bon précédent",IF(AND(A1186&lt;&gt;"BR",ISNUMBER(M1186),N(M1186)&gt;0),IF(A1186="BL","Livré plus que commandé","Sorti plus que demandé"),"OK"))))))))))))</f>
        <v/>
      </c>
      <c r="Y1186" s="57" t="str">
        <f>IF(AND(OR(A1186="BL",A1186="BR",A1186="BS"),AG1186&gt;0,D1186&lt;&gt;""),A1186&amp;"|"&amp;AG1186&amp;"|"&amp;D1186&amp;"|"&amp;F1186,"")</f>
        <v/>
      </c>
      <c r="Z1186" s="57" t="str">
        <f>IF(Y1186="","",IF(COUNTIF(Y$6:Y1185,Y1186)=0,1,0))</f>
        <v/>
      </c>
      <c r="AA1186" s="57" t="str">
        <f>IF(Y1186="","",IF(Z1186=1,COUNTIFS(A$6:A1186,A1186,Z$6:Z1186,1),INDEX(AA$6:AA1185,MATCH(Y1186,Y$6:Y1185,0))))</f>
        <v/>
      </c>
      <c r="AB1186" s="57" t="str">
        <f>IF(B1186="","",COUNTIF(B$6:B1186,B1186))</f>
        <v/>
      </c>
      <c r="AC1186" s="57" t="str">
        <f>IF(B1186="","",B1186&amp;"#"&amp;AB1186)</f>
        <v/>
      </c>
      <c r="AD1186" s="57" t="str">
        <f>IF(Z1186=1,A1186&amp;AA1186,"")</f>
        <v/>
      </c>
      <c r="AE1186" s="57" t="str">
        <f>IF(B1186="","",YEAR(C1186))</f>
        <v/>
      </c>
      <c r="AF1186" s="57" t="str">
        <f>IF(B1186="","",MONTH(C1186))</f>
        <v/>
      </c>
      <c r="AG1186" s="57">
        <f>IF(ISNUMBER(C1186),C1186,0)</f>
        <v>0.0</v>
      </c>
      <c r="AH1186" s="57" t="str">
        <f>IF(N(W1186)&gt;0,COUNTIF(W$6:W1186,"&gt;0"),"")</f>
        <v/>
      </c>
      <c r="AI1186" s="57" t="str">
        <f>IF(Z1186=1,COUNTIF(Z$6:Z1186,1),"")</f>
        <v/>
      </c>
    </row>
    <row r="1187">
      <c r="A1187" s="54" t="n"/>
      <c r="B1187" s="55" t="str">
        <f>IF(AA1187="","",A1187&amp;"-"&amp;RIGHT("000"&amp;AA1187,4))</f>
        <v/>
      </c>
      <c r="C1187" s="56" t="n"/>
      <c r="D1187" s="54" t="n"/>
      <c r="E1187" s="57" t="str">
        <f>IF(D1187="","",IF(A1187="BL",IFERROR(INDEX(cl_name,MATCH(D1187,cl_code,0))&amp;"","Client inconnu"),IF(A1187="BR",IFERROR(INDEX(fo_name,MATCH(D1187,fo_code,0))&amp;"","Fournisseur inconnu"),IF(A1187="BS",IF(ISNA(MATCH(D1187,p_services,0)),"Service inconnu",D1187&amp;""),""))))</f>
        <v/>
      </c>
      <c r="F1187" s="58" t="n"/>
      <c r="G1187" s="58" t="n"/>
      <c r="H1187" s="59" t="n"/>
      <c r="I1187" s="57" t="str">
        <f>IF(H1187="","",IFERROR(INDEX(art_des,MATCH(H1187,art_ref,0))&amp;"","Article inconnu"))</f>
        <v/>
      </c>
      <c r="J1187" s="60" t="str">
        <f>IF(H1187="","",IFERROR(INDEX(art_unit,MATCH(H1187,art_ref,0))&amp;"",""))</f>
        <v/>
      </c>
      <c r="K1187" s="59" t="n"/>
      <c r="L1187" s="59" t="n"/>
      <c r="M1187" s="61" t="str">
        <f>IF(OR(B1187="",NOT(ISNUMBER(K1187)),NOT(ISNUMBER(L1187))),"",IF(OR(K1187&lt;=0,L1187&lt;=0),"",ROUND(L1187-K1187,6)))</f>
        <v/>
      </c>
      <c r="N1187" s="58" t="n"/>
      <c r="O1187" s="62" t="n"/>
      <c r="P1187" s="63" t="str">
        <f>IF(OR(B1187="",NOT(ISNUMBER(L1187))),"",IF(L1187&lt;=0,"",IFERROR(ROUND(L1187*N(INDEX(art_w,MATCH(H1187,art_ref,0))),3),"")))</f>
        <v/>
      </c>
      <c r="Q1187" s="59" t="n"/>
      <c r="R1187" s="54" t="n"/>
      <c r="S1187" s="59" t="n"/>
      <c r="T1187" s="59" t="n"/>
      <c r="U1187" s="64" t="str">
        <f>IF(OR(B1187="",H1187=""),"",IFERROR(IF(A1187="BL",IF(N(INDEX(art_price,MATCH(H1187,art_ref,0)))=0,"",N(INDEX(art_price,MATCH(H1187,art_ref,0)))),IF(N(INDEX(art_cost,MATCH(H1187,art_ref,0)))=0,"",N(INDEX(art_cost,MATCH(H1187,art_ref,0))))),""))</f>
        <v/>
      </c>
      <c r="V1187" s="64" t="str">
        <f>IF(OR(U1187="",NOT(ISNUMBER(L1187))),"",IF(L1187&lt;=0,"",ROUND(L1187*U1187,2)))</f>
        <v/>
      </c>
      <c r="W1187" s="60" t="str">
        <f>IF(AND(B1187&lt;&gt;"",A1187&lt;&gt;"BS",F1187&lt;&gt;"",H1187&lt;&gt;"",ISNUMBER(K1187),ISNUMBER(L1187)),IF(AND(K1187&gt;0,L1187&gt;0,K1187-L1187&gt;0,COUNTIFS(A1188:A$2005,A1187,F1188:F$2005,F1187,H1188:H$2005,H1187,AA1188:AA$2005,"&gt;0")=0),ROUND(K1187-L1187,6),""),"")</f>
        <v/>
      </c>
      <c r="X1187" s="60" t="str">
        <f>IF(AND(A1187="",C1187="",D1187="",H1187="",L1187=""),"",IF(A1187="","Type manquant",IF(AND(A1187&lt;&gt;"BL",A1187&lt;&gt;"BR",A1187&lt;&gt;"BS"),"Type inconnu (BL, BR ou BS)",IF(AG1187=0,"Date manquante ou invalide",IF(D1187="",IF(A1187="BL","Client manquant",IF(A1187="BR","Fournisseur manquant","Service manquant")),IF(IF(A1187="BL",ISNA(MATCH(D1187,cl_code,0)),IF(A1187="BR",ISNA(MATCH(D1187,fo_code,0)),ISNA(MATCH(D1187,p_services,0)))),IF(A1187="BL","Client inconnu",IF(A1187="BR","Fournisseur inconnu","Service inconnu")),IF(H1187="","Article manquant",IF(ISNA(MATCH(H1187,art_ref,0)),"Article inconnu",IF(OR(NOT(ISNUMBER(L1187)),N(L1187)&lt;=0),"Quantité invalide",IF(AND(K1187&lt;&gt;"",OR(NOT(ISNUMBER(K1187)),N(K1187)&lt;=0)),"Qté commandée invalide",IF(AG1187&lt;SUMPRODUCT(MAX((A$6:A1186=A1187)*AG$6:AG1186)),"Date antérieure au bon précédent",IF(AND(A1187&lt;&gt;"BR",ISNUMBER(M1187),N(M1187)&gt;0),IF(A1187="BL","Livré plus que commandé","Sorti plus que demandé"),"OK"))))))))))))</f>
        <v/>
      </c>
      <c r="Y1187" s="57" t="str">
        <f>IF(AND(OR(A1187="BL",A1187="BR",A1187="BS"),AG1187&gt;0,D1187&lt;&gt;""),A1187&amp;"|"&amp;AG1187&amp;"|"&amp;D1187&amp;"|"&amp;F1187,"")</f>
        <v/>
      </c>
      <c r="Z1187" s="57" t="str">
        <f>IF(Y1187="","",IF(COUNTIF(Y$6:Y1186,Y1187)=0,1,0))</f>
        <v/>
      </c>
      <c r="AA1187" s="57" t="str">
        <f>IF(Y1187="","",IF(Z1187=1,COUNTIFS(A$6:A1187,A1187,Z$6:Z1187,1),INDEX(AA$6:AA1186,MATCH(Y1187,Y$6:Y1186,0))))</f>
        <v/>
      </c>
      <c r="AB1187" s="57" t="str">
        <f>IF(B1187="","",COUNTIF(B$6:B1187,B1187))</f>
        <v/>
      </c>
      <c r="AC1187" s="57" t="str">
        <f>IF(B1187="","",B1187&amp;"#"&amp;AB1187)</f>
        <v/>
      </c>
      <c r="AD1187" s="57" t="str">
        <f>IF(Z1187=1,A1187&amp;AA1187,"")</f>
        <v/>
      </c>
      <c r="AE1187" s="57" t="str">
        <f>IF(B1187="","",YEAR(C1187))</f>
        <v/>
      </c>
      <c r="AF1187" s="57" t="str">
        <f>IF(B1187="","",MONTH(C1187))</f>
        <v/>
      </c>
      <c r="AG1187" s="57">
        <f>IF(ISNUMBER(C1187),C1187,0)</f>
        <v>0.0</v>
      </c>
      <c r="AH1187" s="57" t="str">
        <f>IF(N(W1187)&gt;0,COUNTIF(W$6:W1187,"&gt;0"),"")</f>
        <v/>
      </c>
      <c r="AI1187" s="57" t="str">
        <f>IF(Z1187=1,COUNTIF(Z$6:Z1187,1),"")</f>
        <v/>
      </c>
    </row>
    <row r="1188">
      <c r="A1188" s="54" t="n"/>
      <c r="B1188" s="55" t="str">
        <f>IF(AA1188="","",A1188&amp;"-"&amp;RIGHT("000"&amp;AA1188,4))</f>
        <v/>
      </c>
      <c r="C1188" s="56" t="n"/>
      <c r="D1188" s="54" t="n"/>
      <c r="E1188" s="57" t="str">
        <f>IF(D1188="","",IF(A1188="BL",IFERROR(INDEX(cl_name,MATCH(D1188,cl_code,0))&amp;"","Client inconnu"),IF(A1188="BR",IFERROR(INDEX(fo_name,MATCH(D1188,fo_code,0))&amp;"","Fournisseur inconnu"),IF(A1188="BS",IF(ISNA(MATCH(D1188,p_services,0)),"Service inconnu",D1188&amp;""),""))))</f>
        <v/>
      </c>
      <c r="F1188" s="58" t="n"/>
      <c r="G1188" s="58" t="n"/>
      <c r="H1188" s="59" t="n"/>
      <c r="I1188" s="57" t="str">
        <f>IF(H1188="","",IFERROR(INDEX(art_des,MATCH(H1188,art_ref,0))&amp;"","Article inconnu"))</f>
        <v/>
      </c>
      <c r="J1188" s="60" t="str">
        <f>IF(H1188="","",IFERROR(INDEX(art_unit,MATCH(H1188,art_ref,0))&amp;"",""))</f>
        <v/>
      </c>
      <c r="K1188" s="59" t="n"/>
      <c r="L1188" s="59" t="n"/>
      <c r="M1188" s="61" t="str">
        <f>IF(OR(B1188="",NOT(ISNUMBER(K1188)),NOT(ISNUMBER(L1188))),"",IF(OR(K1188&lt;=0,L1188&lt;=0),"",ROUND(L1188-K1188,6)))</f>
        <v/>
      </c>
      <c r="N1188" s="58" t="n"/>
      <c r="O1188" s="62" t="n"/>
      <c r="P1188" s="63" t="str">
        <f>IF(OR(B1188="",NOT(ISNUMBER(L1188))),"",IF(L1188&lt;=0,"",IFERROR(ROUND(L1188*N(INDEX(art_w,MATCH(H1188,art_ref,0))),3),"")))</f>
        <v/>
      </c>
      <c r="Q1188" s="59" t="n"/>
      <c r="R1188" s="54" t="n"/>
      <c r="S1188" s="59" t="n"/>
      <c r="T1188" s="59" t="n"/>
      <c r="U1188" s="64" t="str">
        <f>IF(OR(B1188="",H1188=""),"",IFERROR(IF(A1188="BL",IF(N(INDEX(art_price,MATCH(H1188,art_ref,0)))=0,"",N(INDEX(art_price,MATCH(H1188,art_ref,0)))),IF(N(INDEX(art_cost,MATCH(H1188,art_ref,0)))=0,"",N(INDEX(art_cost,MATCH(H1188,art_ref,0))))),""))</f>
        <v/>
      </c>
      <c r="V1188" s="64" t="str">
        <f>IF(OR(U1188="",NOT(ISNUMBER(L1188))),"",IF(L1188&lt;=0,"",ROUND(L1188*U1188,2)))</f>
        <v/>
      </c>
      <c r="W1188" s="60" t="str">
        <f>IF(AND(B1188&lt;&gt;"",A1188&lt;&gt;"BS",F1188&lt;&gt;"",H1188&lt;&gt;"",ISNUMBER(K1188),ISNUMBER(L1188)),IF(AND(K1188&gt;0,L1188&gt;0,K1188-L1188&gt;0,COUNTIFS(A1189:A$2005,A1188,F1189:F$2005,F1188,H1189:H$2005,H1188,AA1189:AA$2005,"&gt;0")=0),ROUND(K1188-L1188,6),""),"")</f>
        <v/>
      </c>
      <c r="X1188" s="60" t="str">
        <f>IF(AND(A1188="",C1188="",D1188="",H1188="",L1188=""),"",IF(A1188="","Type manquant",IF(AND(A1188&lt;&gt;"BL",A1188&lt;&gt;"BR",A1188&lt;&gt;"BS"),"Type inconnu (BL, BR ou BS)",IF(AG1188=0,"Date manquante ou invalide",IF(D1188="",IF(A1188="BL","Client manquant",IF(A1188="BR","Fournisseur manquant","Service manquant")),IF(IF(A1188="BL",ISNA(MATCH(D1188,cl_code,0)),IF(A1188="BR",ISNA(MATCH(D1188,fo_code,0)),ISNA(MATCH(D1188,p_services,0)))),IF(A1188="BL","Client inconnu",IF(A1188="BR","Fournisseur inconnu","Service inconnu")),IF(H1188="","Article manquant",IF(ISNA(MATCH(H1188,art_ref,0)),"Article inconnu",IF(OR(NOT(ISNUMBER(L1188)),N(L1188)&lt;=0),"Quantité invalide",IF(AND(K1188&lt;&gt;"",OR(NOT(ISNUMBER(K1188)),N(K1188)&lt;=0)),"Qté commandée invalide",IF(AG1188&lt;SUMPRODUCT(MAX((A$6:A1187=A1188)*AG$6:AG1187)),"Date antérieure au bon précédent",IF(AND(A1188&lt;&gt;"BR",ISNUMBER(M1188),N(M1188)&gt;0),IF(A1188="BL","Livré plus que commandé","Sorti plus que demandé"),"OK"))))))))))))</f>
        <v/>
      </c>
      <c r="Y1188" s="57" t="str">
        <f>IF(AND(OR(A1188="BL",A1188="BR",A1188="BS"),AG1188&gt;0,D1188&lt;&gt;""),A1188&amp;"|"&amp;AG1188&amp;"|"&amp;D1188&amp;"|"&amp;F1188,"")</f>
        <v/>
      </c>
      <c r="Z1188" s="57" t="str">
        <f>IF(Y1188="","",IF(COUNTIF(Y$6:Y1187,Y1188)=0,1,0))</f>
        <v/>
      </c>
      <c r="AA1188" s="57" t="str">
        <f>IF(Y1188="","",IF(Z1188=1,COUNTIFS(A$6:A1188,A1188,Z$6:Z1188,1),INDEX(AA$6:AA1187,MATCH(Y1188,Y$6:Y1187,0))))</f>
        <v/>
      </c>
      <c r="AB1188" s="57" t="str">
        <f>IF(B1188="","",COUNTIF(B$6:B1188,B1188))</f>
        <v/>
      </c>
      <c r="AC1188" s="57" t="str">
        <f>IF(B1188="","",B1188&amp;"#"&amp;AB1188)</f>
        <v/>
      </c>
      <c r="AD1188" s="57" t="str">
        <f>IF(Z1188=1,A1188&amp;AA1188,"")</f>
        <v/>
      </c>
      <c r="AE1188" s="57" t="str">
        <f>IF(B1188="","",YEAR(C1188))</f>
        <v/>
      </c>
      <c r="AF1188" s="57" t="str">
        <f>IF(B1188="","",MONTH(C1188))</f>
        <v/>
      </c>
      <c r="AG1188" s="57">
        <f>IF(ISNUMBER(C1188),C1188,0)</f>
        <v>0.0</v>
      </c>
      <c r="AH1188" s="57" t="str">
        <f>IF(N(W1188)&gt;0,COUNTIF(W$6:W1188,"&gt;0"),"")</f>
        <v/>
      </c>
      <c r="AI1188" s="57" t="str">
        <f>IF(Z1188=1,COUNTIF(Z$6:Z1188,1),"")</f>
        <v/>
      </c>
    </row>
    <row r="1189">
      <c r="A1189" s="54" t="n"/>
      <c r="B1189" s="55" t="str">
        <f>IF(AA1189="","",A1189&amp;"-"&amp;RIGHT("000"&amp;AA1189,4))</f>
        <v/>
      </c>
      <c r="C1189" s="56" t="n"/>
      <c r="D1189" s="54" t="n"/>
      <c r="E1189" s="57" t="str">
        <f>IF(D1189="","",IF(A1189="BL",IFERROR(INDEX(cl_name,MATCH(D1189,cl_code,0))&amp;"","Client inconnu"),IF(A1189="BR",IFERROR(INDEX(fo_name,MATCH(D1189,fo_code,0))&amp;"","Fournisseur inconnu"),IF(A1189="BS",IF(ISNA(MATCH(D1189,p_services,0)),"Service inconnu",D1189&amp;""),""))))</f>
        <v/>
      </c>
      <c r="F1189" s="58" t="n"/>
      <c r="G1189" s="58" t="n"/>
      <c r="H1189" s="59" t="n"/>
      <c r="I1189" s="57" t="str">
        <f>IF(H1189="","",IFERROR(INDEX(art_des,MATCH(H1189,art_ref,0))&amp;"","Article inconnu"))</f>
        <v/>
      </c>
      <c r="J1189" s="60" t="str">
        <f>IF(H1189="","",IFERROR(INDEX(art_unit,MATCH(H1189,art_ref,0))&amp;"",""))</f>
        <v/>
      </c>
      <c r="K1189" s="59" t="n"/>
      <c r="L1189" s="59" t="n"/>
      <c r="M1189" s="61" t="str">
        <f>IF(OR(B1189="",NOT(ISNUMBER(K1189)),NOT(ISNUMBER(L1189))),"",IF(OR(K1189&lt;=0,L1189&lt;=0),"",ROUND(L1189-K1189,6)))</f>
        <v/>
      </c>
      <c r="N1189" s="58" t="n"/>
      <c r="O1189" s="62" t="n"/>
      <c r="P1189" s="63" t="str">
        <f>IF(OR(B1189="",NOT(ISNUMBER(L1189))),"",IF(L1189&lt;=0,"",IFERROR(ROUND(L1189*N(INDEX(art_w,MATCH(H1189,art_ref,0))),3),"")))</f>
        <v/>
      </c>
      <c r="Q1189" s="59" t="n"/>
      <c r="R1189" s="54" t="n"/>
      <c r="S1189" s="59" t="n"/>
      <c r="T1189" s="59" t="n"/>
      <c r="U1189" s="64" t="str">
        <f>IF(OR(B1189="",H1189=""),"",IFERROR(IF(A1189="BL",IF(N(INDEX(art_price,MATCH(H1189,art_ref,0)))=0,"",N(INDEX(art_price,MATCH(H1189,art_ref,0)))),IF(N(INDEX(art_cost,MATCH(H1189,art_ref,0)))=0,"",N(INDEX(art_cost,MATCH(H1189,art_ref,0))))),""))</f>
        <v/>
      </c>
      <c r="V1189" s="64" t="str">
        <f>IF(OR(U1189="",NOT(ISNUMBER(L1189))),"",IF(L1189&lt;=0,"",ROUND(L1189*U1189,2)))</f>
        <v/>
      </c>
      <c r="W1189" s="60" t="str">
        <f>IF(AND(B1189&lt;&gt;"",A1189&lt;&gt;"BS",F1189&lt;&gt;"",H1189&lt;&gt;"",ISNUMBER(K1189),ISNUMBER(L1189)),IF(AND(K1189&gt;0,L1189&gt;0,K1189-L1189&gt;0,COUNTIFS(A1190:A$2005,A1189,F1190:F$2005,F1189,H1190:H$2005,H1189,AA1190:AA$2005,"&gt;0")=0),ROUND(K1189-L1189,6),""),"")</f>
        <v/>
      </c>
      <c r="X1189" s="60" t="str">
        <f>IF(AND(A1189="",C1189="",D1189="",H1189="",L1189=""),"",IF(A1189="","Type manquant",IF(AND(A1189&lt;&gt;"BL",A1189&lt;&gt;"BR",A1189&lt;&gt;"BS"),"Type inconnu (BL, BR ou BS)",IF(AG1189=0,"Date manquante ou invalide",IF(D1189="",IF(A1189="BL","Client manquant",IF(A1189="BR","Fournisseur manquant","Service manquant")),IF(IF(A1189="BL",ISNA(MATCH(D1189,cl_code,0)),IF(A1189="BR",ISNA(MATCH(D1189,fo_code,0)),ISNA(MATCH(D1189,p_services,0)))),IF(A1189="BL","Client inconnu",IF(A1189="BR","Fournisseur inconnu","Service inconnu")),IF(H1189="","Article manquant",IF(ISNA(MATCH(H1189,art_ref,0)),"Article inconnu",IF(OR(NOT(ISNUMBER(L1189)),N(L1189)&lt;=0),"Quantité invalide",IF(AND(K1189&lt;&gt;"",OR(NOT(ISNUMBER(K1189)),N(K1189)&lt;=0)),"Qté commandée invalide",IF(AG1189&lt;SUMPRODUCT(MAX((A$6:A1188=A1189)*AG$6:AG1188)),"Date antérieure au bon précédent",IF(AND(A1189&lt;&gt;"BR",ISNUMBER(M1189),N(M1189)&gt;0),IF(A1189="BL","Livré plus que commandé","Sorti plus que demandé"),"OK"))))))))))))</f>
        <v/>
      </c>
      <c r="Y1189" s="57" t="str">
        <f>IF(AND(OR(A1189="BL",A1189="BR",A1189="BS"),AG1189&gt;0,D1189&lt;&gt;""),A1189&amp;"|"&amp;AG1189&amp;"|"&amp;D1189&amp;"|"&amp;F1189,"")</f>
        <v/>
      </c>
      <c r="Z1189" s="57" t="str">
        <f>IF(Y1189="","",IF(COUNTIF(Y$6:Y1188,Y1189)=0,1,0))</f>
        <v/>
      </c>
      <c r="AA1189" s="57" t="str">
        <f>IF(Y1189="","",IF(Z1189=1,COUNTIFS(A$6:A1189,A1189,Z$6:Z1189,1),INDEX(AA$6:AA1188,MATCH(Y1189,Y$6:Y1188,0))))</f>
        <v/>
      </c>
      <c r="AB1189" s="57" t="str">
        <f>IF(B1189="","",COUNTIF(B$6:B1189,B1189))</f>
        <v/>
      </c>
      <c r="AC1189" s="57" t="str">
        <f>IF(B1189="","",B1189&amp;"#"&amp;AB1189)</f>
        <v/>
      </c>
      <c r="AD1189" s="57" t="str">
        <f>IF(Z1189=1,A1189&amp;AA1189,"")</f>
        <v/>
      </c>
      <c r="AE1189" s="57" t="str">
        <f>IF(B1189="","",YEAR(C1189))</f>
        <v/>
      </c>
      <c r="AF1189" s="57" t="str">
        <f>IF(B1189="","",MONTH(C1189))</f>
        <v/>
      </c>
      <c r="AG1189" s="57">
        <f>IF(ISNUMBER(C1189),C1189,0)</f>
        <v>0.0</v>
      </c>
      <c r="AH1189" s="57" t="str">
        <f>IF(N(W1189)&gt;0,COUNTIF(W$6:W1189,"&gt;0"),"")</f>
        <v/>
      </c>
      <c r="AI1189" s="57" t="str">
        <f>IF(Z1189=1,COUNTIF(Z$6:Z1189,1),"")</f>
        <v/>
      </c>
    </row>
    <row r="1190">
      <c r="A1190" s="54" t="n"/>
      <c r="B1190" s="55" t="str">
        <f>IF(AA1190="","",A1190&amp;"-"&amp;RIGHT("000"&amp;AA1190,4))</f>
        <v/>
      </c>
      <c r="C1190" s="56" t="n"/>
      <c r="D1190" s="54" t="n"/>
      <c r="E1190" s="57" t="str">
        <f>IF(D1190="","",IF(A1190="BL",IFERROR(INDEX(cl_name,MATCH(D1190,cl_code,0))&amp;"","Client inconnu"),IF(A1190="BR",IFERROR(INDEX(fo_name,MATCH(D1190,fo_code,0))&amp;"","Fournisseur inconnu"),IF(A1190="BS",IF(ISNA(MATCH(D1190,p_services,0)),"Service inconnu",D1190&amp;""),""))))</f>
        <v/>
      </c>
      <c r="F1190" s="58" t="n"/>
      <c r="G1190" s="58" t="n"/>
      <c r="H1190" s="59" t="n"/>
      <c r="I1190" s="57" t="str">
        <f>IF(H1190="","",IFERROR(INDEX(art_des,MATCH(H1190,art_ref,0))&amp;"","Article inconnu"))</f>
        <v/>
      </c>
      <c r="J1190" s="60" t="str">
        <f>IF(H1190="","",IFERROR(INDEX(art_unit,MATCH(H1190,art_ref,0))&amp;"",""))</f>
        <v/>
      </c>
      <c r="K1190" s="59" t="n"/>
      <c r="L1190" s="59" t="n"/>
      <c r="M1190" s="61" t="str">
        <f>IF(OR(B1190="",NOT(ISNUMBER(K1190)),NOT(ISNUMBER(L1190))),"",IF(OR(K1190&lt;=0,L1190&lt;=0),"",ROUND(L1190-K1190,6)))</f>
        <v/>
      </c>
      <c r="N1190" s="58" t="n"/>
      <c r="O1190" s="62" t="n"/>
      <c r="P1190" s="63" t="str">
        <f>IF(OR(B1190="",NOT(ISNUMBER(L1190))),"",IF(L1190&lt;=0,"",IFERROR(ROUND(L1190*N(INDEX(art_w,MATCH(H1190,art_ref,0))),3),"")))</f>
        <v/>
      </c>
      <c r="Q1190" s="59" t="n"/>
      <c r="R1190" s="54" t="n"/>
      <c r="S1190" s="59" t="n"/>
      <c r="T1190" s="59" t="n"/>
      <c r="U1190" s="64" t="str">
        <f>IF(OR(B1190="",H1190=""),"",IFERROR(IF(A1190="BL",IF(N(INDEX(art_price,MATCH(H1190,art_ref,0)))=0,"",N(INDEX(art_price,MATCH(H1190,art_ref,0)))),IF(N(INDEX(art_cost,MATCH(H1190,art_ref,0)))=0,"",N(INDEX(art_cost,MATCH(H1190,art_ref,0))))),""))</f>
        <v/>
      </c>
      <c r="V1190" s="64" t="str">
        <f>IF(OR(U1190="",NOT(ISNUMBER(L1190))),"",IF(L1190&lt;=0,"",ROUND(L1190*U1190,2)))</f>
        <v/>
      </c>
      <c r="W1190" s="60" t="str">
        <f>IF(AND(B1190&lt;&gt;"",A1190&lt;&gt;"BS",F1190&lt;&gt;"",H1190&lt;&gt;"",ISNUMBER(K1190),ISNUMBER(L1190)),IF(AND(K1190&gt;0,L1190&gt;0,K1190-L1190&gt;0,COUNTIFS(A1191:A$2005,A1190,F1191:F$2005,F1190,H1191:H$2005,H1190,AA1191:AA$2005,"&gt;0")=0),ROUND(K1190-L1190,6),""),"")</f>
        <v/>
      </c>
      <c r="X1190" s="60" t="str">
        <f>IF(AND(A1190="",C1190="",D1190="",H1190="",L1190=""),"",IF(A1190="","Type manquant",IF(AND(A1190&lt;&gt;"BL",A1190&lt;&gt;"BR",A1190&lt;&gt;"BS"),"Type inconnu (BL, BR ou BS)",IF(AG1190=0,"Date manquante ou invalide",IF(D1190="",IF(A1190="BL","Client manquant",IF(A1190="BR","Fournisseur manquant","Service manquant")),IF(IF(A1190="BL",ISNA(MATCH(D1190,cl_code,0)),IF(A1190="BR",ISNA(MATCH(D1190,fo_code,0)),ISNA(MATCH(D1190,p_services,0)))),IF(A1190="BL","Client inconnu",IF(A1190="BR","Fournisseur inconnu","Service inconnu")),IF(H1190="","Article manquant",IF(ISNA(MATCH(H1190,art_ref,0)),"Article inconnu",IF(OR(NOT(ISNUMBER(L1190)),N(L1190)&lt;=0),"Quantité invalide",IF(AND(K1190&lt;&gt;"",OR(NOT(ISNUMBER(K1190)),N(K1190)&lt;=0)),"Qté commandée invalide",IF(AG1190&lt;SUMPRODUCT(MAX((A$6:A1189=A1190)*AG$6:AG1189)),"Date antérieure au bon précédent",IF(AND(A1190&lt;&gt;"BR",ISNUMBER(M1190),N(M1190)&gt;0),IF(A1190="BL","Livré plus que commandé","Sorti plus que demandé"),"OK"))))))))))))</f>
        <v/>
      </c>
      <c r="Y1190" s="57" t="str">
        <f>IF(AND(OR(A1190="BL",A1190="BR",A1190="BS"),AG1190&gt;0,D1190&lt;&gt;""),A1190&amp;"|"&amp;AG1190&amp;"|"&amp;D1190&amp;"|"&amp;F1190,"")</f>
        <v/>
      </c>
      <c r="Z1190" s="57" t="str">
        <f>IF(Y1190="","",IF(COUNTIF(Y$6:Y1189,Y1190)=0,1,0))</f>
        <v/>
      </c>
      <c r="AA1190" s="57" t="str">
        <f>IF(Y1190="","",IF(Z1190=1,COUNTIFS(A$6:A1190,A1190,Z$6:Z1190,1),INDEX(AA$6:AA1189,MATCH(Y1190,Y$6:Y1189,0))))</f>
        <v/>
      </c>
      <c r="AB1190" s="57" t="str">
        <f>IF(B1190="","",COUNTIF(B$6:B1190,B1190))</f>
        <v/>
      </c>
      <c r="AC1190" s="57" t="str">
        <f>IF(B1190="","",B1190&amp;"#"&amp;AB1190)</f>
        <v/>
      </c>
      <c r="AD1190" s="57" t="str">
        <f>IF(Z1190=1,A1190&amp;AA1190,"")</f>
        <v/>
      </c>
      <c r="AE1190" s="57" t="str">
        <f>IF(B1190="","",YEAR(C1190))</f>
        <v/>
      </c>
      <c r="AF1190" s="57" t="str">
        <f>IF(B1190="","",MONTH(C1190))</f>
        <v/>
      </c>
      <c r="AG1190" s="57">
        <f>IF(ISNUMBER(C1190),C1190,0)</f>
        <v>0.0</v>
      </c>
      <c r="AH1190" s="57" t="str">
        <f>IF(N(W1190)&gt;0,COUNTIF(W$6:W1190,"&gt;0"),"")</f>
        <v/>
      </c>
      <c r="AI1190" s="57" t="str">
        <f>IF(Z1190=1,COUNTIF(Z$6:Z1190,1),"")</f>
        <v/>
      </c>
    </row>
    <row r="1191">
      <c r="A1191" s="54" t="n"/>
      <c r="B1191" s="55" t="str">
        <f>IF(AA1191="","",A1191&amp;"-"&amp;RIGHT("000"&amp;AA1191,4))</f>
        <v/>
      </c>
      <c r="C1191" s="56" t="n"/>
      <c r="D1191" s="54" t="n"/>
      <c r="E1191" s="57" t="str">
        <f>IF(D1191="","",IF(A1191="BL",IFERROR(INDEX(cl_name,MATCH(D1191,cl_code,0))&amp;"","Client inconnu"),IF(A1191="BR",IFERROR(INDEX(fo_name,MATCH(D1191,fo_code,0))&amp;"","Fournisseur inconnu"),IF(A1191="BS",IF(ISNA(MATCH(D1191,p_services,0)),"Service inconnu",D1191&amp;""),""))))</f>
        <v/>
      </c>
      <c r="F1191" s="58" t="n"/>
      <c r="G1191" s="58" t="n"/>
      <c r="H1191" s="59" t="n"/>
      <c r="I1191" s="57" t="str">
        <f>IF(H1191="","",IFERROR(INDEX(art_des,MATCH(H1191,art_ref,0))&amp;"","Article inconnu"))</f>
        <v/>
      </c>
      <c r="J1191" s="60" t="str">
        <f>IF(H1191="","",IFERROR(INDEX(art_unit,MATCH(H1191,art_ref,0))&amp;"",""))</f>
        <v/>
      </c>
      <c r="K1191" s="59" t="n"/>
      <c r="L1191" s="59" t="n"/>
      <c r="M1191" s="61" t="str">
        <f>IF(OR(B1191="",NOT(ISNUMBER(K1191)),NOT(ISNUMBER(L1191))),"",IF(OR(K1191&lt;=0,L1191&lt;=0),"",ROUND(L1191-K1191,6)))</f>
        <v/>
      </c>
      <c r="N1191" s="58" t="n"/>
      <c r="O1191" s="62" t="n"/>
      <c r="P1191" s="63" t="str">
        <f>IF(OR(B1191="",NOT(ISNUMBER(L1191))),"",IF(L1191&lt;=0,"",IFERROR(ROUND(L1191*N(INDEX(art_w,MATCH(H1191,art_ref,0))),3),"")))</f>
        <v/>
      </c>
      <c r="Q1191" s="59" t="n"/>
      <c r="R1191" s="54" t="n"/>
      <c r="S1191" s="59" t="n"/>
      <c r="T1191" s="59" t="n"/>
      <c r="U1191" s="64" t="str">
        <f>IF(OR(B1191="",H1191=""),"",IFERROR(IF(A1191="BL",IF(N(INDEX(art_price,MATCH(H1191,art_ref,0)))=0,"",N(INDEX(art_price,MATCH(H1191,art_ref,0)))),IF(N(INDEX(art_cost,MATCH(H1191,art_ref,0)))=0,"",N(INDEX(art_cost,MATCH(H1191,art_ref,0))))),""))</f>
        <v/>
      </c>
      <c r="V1191" s="64" t="str">
        <f>IF(OR(U1191="",NOT(ISNUMBER(L1191))),"",IF(L1191&lt;=0,"",ROUND(L1191*U1191,2)))</f>
        <v/>
      </c>
      <c r="W1191" s="60" t="str">
        <f>IF(AND(B1191&lt;&gt;"",A1191&lt;&gt;"BS",F1191&lt;&gt;"",H1191&lt;&gt;"",ISNUMBER(K1191),ISNUMBER(L1191)),IF(AND(K1191&gt;0,L1191&gt;0,K1191-L1191&gt;0,COUNTIFS(A1192:A$2005,A1191,F1192:F$2005,F1191,H1192:H$2005,H1191,AA1192:AA$2005,"&gt;0")=0),ROUND(K1191-L1191,6),""),"")</f>
        <v/>
      </c>
      <c r="X1191" s="60" t="str">
        <f>IF(AND(A1191="",C1191="",D1191="",H1191="",L1191=""),"",IF(A1191="","Type manquant",IF(AND(A1191&lt;&gt;"BL",A1191&lt;&gt;"BR",A1191&lt;&gt;"BS"),"Type inconnu (BL, BR ou BS)",IF(AG1191=0,"Date manquante ou invalide",IF(D1191="",IF(A1191="BL","Client manquant",IF(A1191="BR","Fournisseur manquant","Service manquant")),IF(IF(A1191="BL",ISNA(MATCH(D1191,cl_code,0)),IF(A1191="BR",ISNA(MATCH(D1191,fo_code,0)),ISNA(MATCH(D1191,p_services,0)))),IF(A1191="BL","Client inconnu",IF(A1191="BR","Fournisseur inconnu","Service inconnu")),IF(H1191="","Article manquant",IF(ISNA(MATCH(H1191,art_ref,0)),"Article inconnu",IF(OR(NOT(ISNUMBER(L1191)),N(L1191)&lt;=0),"Quantité invalide",IF(AND(K1191&lt;&gt;"",OR(NOT(ISNUMBER(K1191)),N(K1191)&lt;=0)),"Qté commandée invalide",IF(AG1191&lt;SUMPRODUCT(MAX((A$6:A1190=A1191)*AG$6:AG1190)),"Date antérieure au bon précédent",IF(AND(A1191&lt;&gt;"BR",ISNUMBER(M1191),N(M1191)&gt;0),IF(A1191="BL","Livré plus que commandé","Sorti plus que demandé"),"OK"))))))))))))</f>
        <v/>
      </c>
      <c r="Y1191" s="57" t="str">
        <f>IF(AND(OR(A1191="BL",A1191="BR",A1191="BS"),AG1191&gt;0,D1191&lt;&gt;""),A1191&amp;"|"&amp;AG1191&amp;"|"&amp;D1191&amp;"|"&amp;F1191,"")</f>
        <v/>
      </c>
      <c r="Z1191" s="57" t="str">
        <f>IF(Y1191="","",IF(COUNTIF(Y$6:Y1190,Y1191)=0,1,0))</f>
        <v/>
      </c>
      <c r="AA1191" s="57" t="str">
        <f>IF(Y1191="","",IF(Z1191=1,COUNTIFS(A$6:A1191,A1191,Z$6:Z1191,1),INDEX(AA$6:AA1190,MATCH(Y1191,Y$6:Y1190,0))))</f>
        <v/>
      </c>
      <c r="AB1191" s="57" t="str">
        <f>IF(B1191="","",COUNTIF(B$6:B1191,B1191))</f>
        <v/>
      </c>
      <c r="AC1191" s="57" t="str">
        <f>IF(B1191="","",B1191&amp;"#"&amp;AB1191)</f>
        <v/>
      </c>
      <c r="AD1191" s="57" t="str">
        <f>IF(Z1191=1,A1191&amp;AA1191,"")</f>
        <v/>
      </c>
      <c r="AE1191" s="57" t="str">
        <f>IF(B1191="","",YEAR(C1191))</f>
        <v/>
      </c>
      <c r="AF1191" s="57" t="str">
        <f>IF(B1191="","",MONTH(C1191))</f>
        <v/>
      </c>
      <c r="AG1191" s="57">
        <f>IF(ISNUMBER(C1191),C1191,0)</f>
        <v>0.0</v>
      </c>
      <c r="AH1191" s="57" t="str">
        <f>IF(N(W1191)&gt;0,COUNTIF(W$6:W1191,"&gt;0"),"")</f>
        <v/>
      </c>
      <c r="AI1191" s="57" t="str">
        <f>IF(Z1191=1,COUNTIF(Z$6:Z1191,1),"")</f>
        <v/>
      </c>
    </row>
    <row r="1192">
      <c r="A1192" s="54" t="n"/>
      <c r="B1192" s="55" t="str">
        <f>IF(AA1192="","",A1192&amp;"-"&amp;RIGHT("000"&amp;AA1192,4))</f>
        <v/>
      </c>
      <c r="C1192" s="56" t="n"/>
      <c r="D1192" s="54" t="n"/>
      <c r="E1192" s="57" t="str">
        <f>IF(D1192="","",IF(A1192="BL",IFERROR(INDEX(cl_name,MATCH(D1192,cl_code,0))&amp;"","Client inconnu"),IF(A1192="BR",IFERROR(INDEX(fo_name,MATCH(D1192,fo_code,0))&amp;"","Fournisseur inconnu"),IF(A1192="BS",IF(ISNA(MATCH(D1192,p_services,0)),"Service inconnu",D1192&amp;""),""))))</f>
        <v/>
      </c>
      <c r="F1192" s="58" t="n"/>
      <c r="G1192" s="58" t="n"/>
      <c r="H1192" s="59" t="n"/>
      <c r="I1192" s="57" t="str">
        <f>IF(H1192="","",IFERROR(INDEX(art_des,MATCH(H1192,art_ref,0))&amp;"","Article inconnu"))</f>
        <v/>
      </c>
      <c r="J1192" s="60" t="str">
        <f>IF(H1192="","",IFERROR(INDEX(art_unit,MATCH(H1192,art_ref,0))&amp;"",""))</f>
        <v/>
      </c>
      <c r="K1192" s="59" t="n"/>
      <c r="L1192" s="59" t="n"/>
      <c r="M1192" s="61" t="str">
        <f>IF(OR(B1192="",NOT(ISNUMBER(K1192)),NOT(ISNUMBER(L1192))),"",IF(OR(K1192&lt;=0,L1192&lt;=0),"",ROUND(L1192-K1192,6)))</f>
        <v/>
      </c>
      <c r="N1192" s="58" t="n"/>
      <c r="O1192" s="62" t="n"/>
      <c r="P1192" s="63" t="str">
        <f>IF(OR(B1192="",NOT(ISNUMBER(L1192))),"",IF(L1192&lt;=0,"",IFERROR(ROUND(L1192*N(INDEX(art_w,MATCH(H1192,art_ref,0))),3),"")))</f>
        <v/>
      </c>
      <c r="Q1192" s="59" t="n"/>
      <c r="R1192" s="54" t="n"/>
      <c r="S1192" s="59" t="n"/>
      <c r="T1192" s="59" t="n"/>
      <c r="U1192" s="64" t="str">
        <f>IF(OR(B1192="",H1192=""),"",IFERROR(IF(A1192="BL",IF(N(INDEX(art_price,MATCH(H1192,art_ref,0)))=0,"",N(INDEX(art_price,MATCH(H1192,art_ref,0)))),IF(N(INDEX(art_cost,MATCH(H1192,art_ref,0)))=0,"",N(INDEX(art_cost,MATCH(H1192,art_ref,0))))),""))</f>
        <v/>
      </c>
      <c r="V1192" s="64" t="str">
        <f>IF(OR(U1192="",NOT(ISNUMBER(L1192))),"",IF(L1192&lt;=0,"",ROUND(L1192*U1192,2)))</f>
        <v/>
      </c>
      <c r="W1192" s="60" t="str">
        <f>IF(AND(B1192&lt;&gt;"",A1192&lt;&gt;"BS",F1192&lt;&gt;"",H1192&lt;&gt;"",ISNUMBER(K1192),ISNUMBER(L1192)),IF(AND(K1192&gt;0,L1192&gt;0,K1192-L1192&gt;0,COUNTIFS(A1193:A$2005,A1192,F1193:F$2005,F1192,H1193:H$2005,H1192,AA1193:AA$2005,"&gt;0")=0),ROUND(K1192-L1192,6),""),"")</f>
        <v/>
      </c>
      <c r="X1192" s="60" t="str">
        <f>IF(AND(A1192="",C1192="",D1192="",H1192="",L1192=""),"",IF(A1192="","Type manquant",IF(AND(A1192&lt;&gt;"BL",A1192&lt;&gt;"BR",A1192&lt;&gt;"BS"),"Type inconnu (BL, BR ou BS)",IF(AG1192=0,"Date manquante ou invalide",IF(D1192="",IF(A1192="BL","Client manquant",IF(A1192="BR","Fournisseur manquant","Service manquant")),IF(IF(A1192="BL",ISNA(MATCH(D1192,cl_code,0)),IF(A1192="BR",ISNA(MATCH(D1192,fo_code,0)),ISNA(MATCH(D1192,p_services,0)))),IF(A1192="BL","Client inconnu",IF(A1192="BR","Fournisseur inconnu","Service inconnu")),IF(H1192="","Article manquant",IF(ISNA(MATCH(H1192,art_ref,0)),"Article inconnu",IF(OR(NOT(ISNUMBER(L1192)),N(L1192)&lt;=0),"Quantité invalide",IF(AND(K1192&lt;&gt;"",OR(NOT(ISNUMBER(K1192)),N(K1192)&lt;=0)),"Qté commandée invalide",IF(AG1192&lt;SUMPRODUCT(MAX((A$6:A1191=A1192)*AG$6:AG1191)),"Date antérieure au bon précédent",IF(AND(A1192&lt;&gt;"BR",ISNUMBER(M1192),N(M1192)&gt;0),IF(A1192="BL","Livré plus que commandé","Sorti plus que demandé"),"OK"))))))))))))</f>
        <v/>
      </c>
      <c r="Y1192" s="57" t="str">
        <f>IF(AND(OR(A1192="BL",A1192="BR",A1192="BS"),AG1192&gt;0,D1192&lt;&gt;""),A1192&amp;"|"&amp;AG1192&amp;"|"&amp;D1192&amp;"|"&amp;F1192,"")</f>
        <v/>
      </c>
      <c r="Z1192" s="57" t="str">
        <f>IF(Y1192="","",IF(COUNTIF(Y$6:Y1191,Y1192)=0,1,0))</f>
        <v/>
      </c>
      <c r="AA1192" s="57" t="str">
        <f>IF(Y1192="","",IF(Z1192=1,COUNTIFS(A$6:A1192,A1192,Z$6:Z1192,1),INDEX(AA$6:AA1191,MATCH(Y1192,Y$6:Y1191,0))))</f>
        <v/>
      </c>
      <c r="AB1192" s="57" t="str">
        <f>IF(B1192="","",COUNTIF(B$6:B1192,B1192))</f>
        <v/>
      </c>
      <c r="AC1192" s="57" t="str">
        <f>IF(B1192="","",B1192&amp;"#"&amp;AB1192)</f>
        <v/>
      </c>
      <c r="AD1192" s="57" t="str">
        <f>IF(Z1192=1,A1192&amp;AA1192,"")</f>
        <v/>
      </c>
      <c r="AE1192" s="57" t="str">
        <f>IF(B1192="","",YEAR(C1192))</f>
        <v/>
      </c>
      <c r="AF1192" s="57" t="str">
        <f>IF(B1192="","",MONTH(C1192))</f>
        <v/>
      </c>
      <c r="AG1192" s="57">
        <f>IF(ISNUMBER(C1192),C1192,0)</f>
        <v>0.0</v>
      </c>
      <c r="AH1192" s="57" t="str">
        <f>IF(N(W1192)&gt;0,COUNTIF(W$6:W1192,"&gt;0"),"")</f>
        <v/>
      </c>
      <c r="AI1192" s="57" t="str">
        <f>IF(Z1192=1,COUNTIF(Z$6:Z1192,1),"")</f>
        <v/>
      </c>
    </row>
    <row r="1193">
      <c r="A1193" s="54" t="n"/>
      <c r="B1193" s="55" t="str">
        <f>IF(AA1193="","",A1193&amp;"-"&amp;RIGHT("000"&amp;AA1193,4))</f>
        <v/>
      </c>
      <c r="C1193" s="56" t="n"/>
      <c r="D1193" s="54" t="n"/>
      <c r="E1193" s="57" t="str">
        <f>IF(D1193="","",IF(A1193="BL",IFERROR(INDEX(cl_name,MATCH(D1193,cl_code,0))&amp;"","Client inconnu"),IF(A1193="BR",IFERROR(INDEX(fo_name,MATCH(D1193,fo_code,0))&amp;"","Fournisseur inconnu"),IF(A1193="BS",IF(ISNA(MATCH(D1193,p_services,0)),"Service inconnu",D1193&amp;""),""))))</f>
        <v/>
      </c>
      <c r="F1193" s="58" t="n"/>
      <c r="G1193" s="58" t="n"/>
      <c r="H1193" s="59" t="n"/>
      <c r="I1193" s="57" t="str">
        <f>IF(H1193="","",IFERROR(INDEX(art_des,MATCH(H1193,art_ref,0))&amp;"","Article inconnu"))</f>
        <v/>
      </c>
      <c r="J1193" s="60" t="str">
        <f>IF(H1193="","",IFERROR(INDEX(art_unit,MATCH(H1193,art_ref,0))&amp;"",""))</f>
        <v/>
      </c>
      <c r="K1193" s="59" t="n"/>
      <c r="L1193" s="59" t="n"/>
      <c r="M1193" s="61" t="str">
        <f>IF(OR(B1193="",NOT(ISNUMBER(K1193)),NOT(ISNUMBER(L1193))),"",IF(OR(K1193&lt;=0,L1193&lt;=0),"",ROUND(L1193-K1193,6)))</f>
        <v/>
      </c>
      <c r="N1193" s="58" t="n"/>
      <c r="O1193" s="62" t="n"/>
      <c r="P1193" s="63" t="str">
        <f>IF(OR(B1193="",NOT(ISNUMBER(L1193))),"",IF(L1193&lt;=0,"",IFERROR(ROUND(L1193*N(INDEX(art_w,MATCH(H1193,art_ref,0))),3),"")))</f>
        <v/>
      </c>
      <c r="Q1193" s="59" t="n"/>
      <c r="R1193" s="54" t="n"/>
      <c r="S1193" s="59" t="n"/>
      <c r="T1193" s="59" t="n"/>
      <c r="U1193" s="64" t="str">
        <f>IF(OR(B1193="",H1193=""),"",IFERROR(IF(A1193="BL",IF(N(INDEX(art_price,MATCH(H1193,art_ref,0)))=0,"",N(INDEX(art_price,MATCH(H1193,art_ref,0)))),IF(N(INDEX(art_cost,MATCH(H1193,art_ref,0)))=0,"",N(INDEX(art_cost,MATCH(H1193,art_ref,0))))),""))</f>
        <v/>
      </c>
      <c r="V1193" s="64" t="str">
        <f>IF(OR(U1193="",NOT(ISNUMBER(L1193))),"",IF(L1193&lt;=0,"",ROUND(L1193*U1193,2)))</f>
        <v/>
      </c>
      <c r="W1193" s="60" t="str">
        <f>IF(AND(B1193&lt;&gt;"",A1193&lt;&gt;"BS",F1193&lt;&gt;"",H1193&lt;&gt;"",ISNUMBER(K1193),ISNUMBER(L1193)),IF(AND(K1193&gt;0,L1193&gt;0,K1193-L1193&gt;0,COUNTIFS(A1194:A$2005,A1193,F1194:F$2005,F1193,H1194:H$2005,H1193,AA1194:AA$2005,"&gt;0")=0),ROUND(K1193-L1193,6),""),"")</f>
        <v/>
      </c>
      <c r="X1193" s="60" t="str">
        <f>IF(AND(A1193="",C1193="",D1193="",H1193="",L1193=""),"",IF(A1193="","Type manquant",IF(AND(A1193&lt;&gt;"BL",A1193&lt;&gt;"BR",A1193&lt;&gt;"BS"),"Type inconnu (BL, BR ou BS)",IF(AG1193=0,"Date manquante ou invalide",IF(D1193="",IF(A1193="BL","Client manquant",IF(A1193="BR","Fournisseur manquant","Service manquant")),IF(IF(A1193="BL",ISNA(MATCH(D1193,cl_code,0)),IF(A1193="BR",ISNA(MATCH(D1193,fo_code,0)),ISNA(MATCH(D1193,p_services,0)))),IF(A1193="BL","Client inconnu",IF(A1193="BR","Fournisseur inconnu","Service inconnu")),IF(H1193="","Article manquant",IF(ISNA(MATCH(H1193,art_ref,0)),"Article inconnu",IF(OR(NOT(ISNUMBER(L1193)),N(L1193)&lt;=0),"Quantité invalide",IF(AND(K1193&lt;&gt;"",OR(NOT(ISNUMBER(K1193)),N(K1193)&lt;=0)),"Qté commandée invalide",IF(AG1193&lt;SUMPRODUCT(MAX((A$6:A1192=A1193)*AG$6:AG1192)),"Date antérieure au bon précédent",IF(AND(A1193&lt;&gt;"BR",ISNUMBER(M1193),N(M1193)&gt;0),IF(A1193="BL","Livré plus que commandé","Sorti plus que demandé"),"OK"))))))))))))</f>
        <v/>
      </c>
      <c r="Y1193" s="57" t="str">
        <f>IF(AND(OR(A1193="BL",A1193="BR",A1193="BS"),AG1193&gt;0,D1193&lt;&gt;""),A1193&amp;"|"&amp;AG1193&amp;"|"&amp;D1193&amp;"|"&amp;F1193,"")</f>
        <v/>
      </c>
      <c r="Z1193" s="57" t="str">
        <f>IF(Y1193="","",IF(COUNTIF(Y$6:Y1192,Y1193)=0,1,0))</f>
        <v/>
      </c>
      <c r="AA1193" s="57" t="str">
        <f>IF(Y1193="","",IF(Z1193=1,COUNTIFS(A$6:A1193,A1193,Z$6:Z1193,1),INDEX(AA$6:AA1192,MATCH(Y1193,Y$6:Y1192,0))))</f>
        <v/>
      </c>
      <c r="AB1193" s="57" t="str">
        <f>IF(B1193="","",COUNTIF(B$6:B1193,B1193))</f>
        <v/>
      </c>
      <c r="AC1193" s="57" t="str">
        <f>IF(B1193="","",B1193&amp;"#"&amp;AB1193)</f>
        <v/>
      </c>
      <c r="AD1193" s="57" t="str">
        <f>IF(Z1193=1,A1193&amp;AA1193,"")</f>
        <v/>
      </c>
      <c r="AE1193" s="57" t="str">
        <f>IF(B1193="","",YEAR(C1193))</f>
        <v/>
      </c>
      <c r="AF1193" s="57" t="str">
        <f>IF(B1193="","",MONTH(C1193))</f>
        <v/>
      </c>
      <c r="AG1193" s="57">
        <f>IF(ISNUMBER(C1193),C1193,0)</f>
        <v>0.0</v>
      </c>
      <c r="AH1193" s="57" t="str">
        <f>IF(N(W1193)&gt;0,COUNTIF(W$6:W1193,"&gt;0"),"")</f>
        <v/>
      </c>
      <c r="AI1193" s="57" t="str">
        <f>IF(Z1193=1,COUNTIF(Z$6:Z1193,1),"")</f>
        <v/>
      </c>
    </row>
    <row r="1194">
      <c r="A1194" s="54" t="n"/>
      <c r="B1194" s="55" t="str">
        <f>IF(AA1194="","",A1194&amp;"-"&amp;RIGHT("000"&amp;AA1194,4))</f>
        <v/>
      </c>
      <c r="C1194" s="56" t="n"/>
      <c r="D1194" s="54" t="n"/>
      <c r="E1194" s="57" t="str">
        <f>IF(D1194="","",IF(A1194="BL",IFERROR(INDEX(cl_name,MATCH(D1194,cl_code,0))&amp;"","Client inconnu"),IF(A1194="BR",IFERROR(INDEX(fo_name,MATCH(D1194,fo_code,0))&amp;"","Fournisseur inconnu"),IF(A1194="BS",IF(ISNA(MATCH(D1194,p_services,0)),"Service inconnu",D1194&amp;""),""))))</f>
        <v/>
      </c>
      <c r="F1194" s="58" t="n"/>
      <c r="G1194" s="58" t="n"/>
      <c r="H1194" s="59" t="n"/>
      <c r="I1194" s="57" t="str">
        <f>IF(H1194="","",IFERROR(INDEX(art_des,MATCH(H1194,art_ref,0))&amp;"","Article inconnu"))</f>
        <v/>
      </c>
      <c r="J1194" s="60" t="str">
        <f>IF(H1194="","",IFERROR(INDEX(art_unit,MATCH(H1194,art_ref,0))&amp;"",""))</f>
        <v/>
      </c>
      <c r="K1194" s="59" t="n"/>
      <c r="L1194" s="59" t="n"/>
      <c r="M1194" s="61" t="str">
        <f>IF(OR(B1194="",NOT(ISNUMBER(K1194)),NOT(ISNUMBER(L1194))),"",IF(OR(K1194&lt;=0,L1194&lt;=0),"",ROUND(L1194-K1194,6)))</f>
        <v/>
      </c>
      <c r="N1194" s="58" t="n"/>
      <c r="O1194" s="62" t="n"/>
      <c r="P1194" s="63" t="str">
        <f>IF(OR(B1194="",NOT(ISNUMBER(L1194))),"",IF(L1194&lt;=0,"",IFERROR(ROUND(L1194*N(INDEX(art_w,MATCH(H1194,art_ref,0))),3),"")))</f>
        <v/>
      </c>
      <c r="Q1194" s="59" t="n"/>
      <c r="R1194" s="54" t="n"/>
      <c r="S1194" s="59" t="n"/>
      <c r="T1194" s="59" t="n"/>
      <c r="U1194" s="64" t="str">
        <f>IF(OR(B1194="",H1194=""),"",IFERROR(IF(A1194="BL",IF(N(INDEX(art_price,MATCH(H1194,art_ref,0)))=0,"",N(INDEX(art_price,MATCH(H1194,art_ref,0)))),IF(N(INDEX(art_cost,MATCH(H1194,art_ref,0)))=0,"",N(INDEX(art_cost,MATCH(H1194,art_ref,0))))),""))</f>
        <v/>
      </c>
      <c r="V1194" s="64" t="str">
        <f>IF(OR(U1194="",NOT(ISNUMBER(L1194))),"",IF(L1194&lt;=0,"",ROUND(L1194*U1194,2)))</f>
        <v/>
      </c>
      <c r="W1194" s="60" t="str">
        <f>IF(AND(B1194&lt;&gt;"",A1194&lt;&gt;"BS",F1194&lt;&gt;"",H1194&lt;&gt;"",ISNUMBER(K1194),ISNUMBER(L1194)),IF(AND(K1194&gt;0,L1194&gt;0,K1194-L1194&gt;0,COUNTIFS(A1195:A$2005,A1194,F1195:F$2005,F1194,H1195:H$2005,H1194,AA1195:AA$2005,"&gt;0")=0),ROUND(K1194-L1194,6),""),"")</f>
        <v/>
      </c>
      <c r="X1194" s="60" t="str">
        <f>IF(AND(A1194="",C1194="",D1194="",H1194="",L1194=""),"",IF(A1194="","Type manquant",IF(AND(A1194&lt;&gt;"BL",A1194&lt;&gt;"BR",A1194&lt;&gt;"BS"),"Type inconnu (BL, BR ou BS)",IF(AG1194=0,"Date manquante ou invalide",IF(D1194="",IF(A1194="BL","Client manquant",IF(A1194="BR","Fournisseur manquant","Service manquant")),IF(IF(A1194="BL",ISNA(MATCH(D1194,cl_code,0)),IF(A1194="BR",ISNA(MATCH(D1194,fo_code,0)),ISNA(MATCH(D1194,p_services,0)))),IF(A1194="BL","Client inconnu",IF(A1194="BR","Fournisseur inconnu","Service inconnu")),IF(H1194="","Article manquant",IF(ISNA(MATCH(H1194,art_ref,0)),"Article inconnu",IF(OR(NOT(ISNUMBER(L1194)),N(L1194)&lt;=0),"Quantité invalide",IF(AND(K1194&lt;&gt;"",OR(NOT(ISNUMBER(K1194)),N(K1194)&lt;=0)),"Qté commandée invalide",IF(AG1194&lt;SUMPRODUCT(MAX((A$6:A1193=A1194)*AG$6:AG1193)),"Date antérieure au bon précédent",IF(AND(A1194&lt;&gt;"BR",ISNUMBER(M1194),N(M1194)&gt;0),IF(A1194="BL","Livré plus que commandé","Sorti plus que demandé"),"OK"))))))))))))</f>
        <v/>
      </c>
      <c r="Y1194" s="57" t="str">
        <f>IF(AND(OR(A1194="BL",A1194="BR",A1194="BS"),AG1194&gt;0,D1194&lt;&gt;""),A1194&amp;"|"&amp;AG1194&amp;"|"&amp;D1194&amp;"|"&amp;F1194,"")</f>
        <v/>
      </c>
      <c r="Z1194" s="57" t="str">
        <f>IF(Y1194="","",IF(COUNTIF(Y$6:Y1193,Y1194)=0,1,0))</f>
        <v/>
      </c>
      <c r="AA1194" s="57" t="str">
        <f>IF(Y1194="","",IF(Z1194=1,COUNTIFS(A$6:A1194,A1194,Z$6:Z1194,1),INDEX(AA$6:AA1193,MATCH(Y1194,Y$6:Y1193,0))))</f>
        <v/>
      </c>
      <c r="AB1194" s="57" t="str">
        <f>IF(B1194="","",COUNTIF(B$6:B1194,B1194))</f>
        <v/>
      </c>
      <c r="AC1194" s="57" t="str">
        <f>IF(B1194="","",B1194&amp;"#"&amp;AB1194)</f>
        <v/>
      </c>
      <c r="AD1194" s="57" t="str">
        <f>IF(Z1194=1,A1194&amp;AA1194,"")</f>
        <v/>
      </c>
      <c r="AE1194" s="57" t="str">
        <f>IF(B1194="","",YEAR(C1194))</f>
        <v/>
      </c>
      <c r="AF1194" s="57" t="str">
        <f>IF(B1194="","",MONTH(C1194))</f>
        <v/>
      </c>
      <c r="AG1194" s="57">
        <f>IF(ISNUMBER(C1194),C1194,0)</f>
        <v>0.0</v>
      </c>
      <c r="AH1194" s="57" t="str">
        <f>IF(N(W1194)&gt;0,COUNTIF(W$6:W1194,"&gt;0"),"")</f>
        <v/>
      </c>
      <c r="AI1194" s="57" t="str">
        <f>IF(Z1194=1,COUNTIF(Z$6:Z1194,1),"")</f>
        <v/>
      </c>
    </row>
    <row r="1195">
      <c r="A1195" s="54" t="n"/>
      <c r="B1195" s="55" t="str">
        <f>IF(AA1195="","",A1195&amp;"-"&amp;RIGHT("000"&amp;AA1195,4))</f>
        <v/>
      </c>
      <c r="C1195" s="56" t="n"/>
      <c r="D1195" s="54" t="n"/>
      <c r="E1195" s="57" t="str">
        <f>IF(D1195="","",IF(A1195="BL",IFERROR(INDEX(cl_name,MATCH(D1195,cl_code,0))&amp;"","Client inconnu"),IF(A1195="BR",IFERROR(INDEX(fo_name,MATCH(D1195,fo_code,0))&amp;"","Fournisseur inconnu"),IF(A1195="BS",IF(ISNA(MATCH(D1195,p_services,0)),"Service inconnu",D1195&amp;""),""))))</f>
        <v/>
      </c>
      <c r="F1195" s="58" t="n"/>
      <c r="G1195" s="58" t="n"/>
      <c r="H1195" s="59" t="n"/>
      <c r="I1195" s="57" t="str">
        <f>IF(H1195="","",IFERROR(INDEX(art_des,MATCH(H1195,art_ref,0))&amp;"","Article inconnu"))</f>
        <v/>
      </c>
      <c r="J1195" s="60" t="str">
        <f>IF(H1195="","",IFERROR(INDEX(art_unit,MATCH(H1195,art_ref,0))&amp;"",""))</f>
        <v/>
      </c>
      <c r="K1195" s="59" t="n"/>
      <c r="L1195" s="59" t="n"/>
      <c r="M1195" s="61" t="str">
        <f>IF(OR(B1195="",NOT(ISNUMBER(K1195)),NOT(ISNUMBER(L1195))),"",IF(OR(K1195&lt;=0,L1195&lt;=0),"",ROUND(L1195-K1195,6)))</f>
        <v/>
      </c>
      <c r="N1195" s="58" t="n"/>
      <c r="O1195" s="62" t="n"/>
      <c r="P1195" s="63" t="str">
        <f>IF(OR(B1195="",NOT(ISNUMBER(L1195))),"",IF(L1195&lt;=0,"",IFERROR(ROUND(L1195*N(INDEX(art_w,MATCH(H1195,art_ref,0))),3),"")))</f>
        <v/>
      </c>
      <c r="Q1195" s="59" t="n"/>
      <c r="R1195" s="54" t="n"/>
      <c r="S1195" s="59" t="n"/>
      <c r="T1195" s="59" t="n"/>
      <c r="U1195" s="64" t="str">
        <f>IF(OR(B1195="",H1195=""),"",IFERROR(IF(A1195="BL",IF(N(INDEX(art_price,MATCH(H1195,art_ref,0)))=0,"",N(INDEX(art_price,MATCH(H1195,art_ref,0)))),IF(N(INDEX(art_cost,MATCH(H1195,art_ref,0)))=0,"",N(INDEX(art_cost,MATCH(H1195,art_ref,0))))),""))</f>
        <v/>
      </c>
      <c r="V1195" s="64" t="str">
        <f>IF(OR(U1195="",NOT(ISNUMBER(L1195))),"",IF(L1195&lt;=0,"",ROUND(L1195*U1195,2)))</f>
        <v/>
      </c>
      <c r="W1195" s="60" t="str">
        <f>IF(AND(B1195&lt;&gt;"",A1195&lt;&gt;"BS",F1195&lt;&gt;"",H1195&lt;&gt;"",ISNUMBER(K1195),ISNUMBER(L1195)),IF(AND(K1195&gt;0,L1195&gt;0,K1195-L1195&gt;0,COUNTIFS(A1196:A$2005,A1195,F1196:F$2005,F1195,H1196:H$2005,H1195,AA1196:AA$2005,"&gt;0")=0),ROUND(K1195-L1195,6),""),"")</f>
        <v/>
      </c>
      <c r="X1195" s="60" t="str">
        <f>IF(AND(A1195="",C1195="",D1195="",H1195="",L1195=""),"",IF(A1195="","Type manquant",IF(AND(A1195&lt;&gt;"BL",A1195&lt;&gt;"BR",A1195&lt;&gt;"BS"),"Type inconnu (BL, BR ou BS)",IF(AG1195=0,"Date manquante ou invalide",IF(D1195="",IF(A1195="BL","Client manquant",IF(A1195="BR","Fournisseur manquant","Service manquant")),IF(IF(A1195="BL",ISNA(MATCH(D1195,cl_code,0)),IF(A1195="BR",ISNA(MATCH(D1195,fo_code,0)),ISNA(MATCH(D1195,p_services,0)))),IF(A1195="BL","Client inconnu",IF(A1195="BR","Fournisseur inconnu","Service inconnu")),IF(H1195="","Article manquant",IF(ISNA(MATCH(H1195,art_ref,0)),"Article inconnu",IF(OR(NOT(ISNUMBER(L1195)),N(L1195)&lt;=0),"Quantité invalide",IF(AND(K1195&lt;&gt;"",OR(NOT(ISNUMBER(K1195)),N(K1195)&lt;=0)),"Qté commandée invalide",IF(AG1195&lt;SUMPRODUCT(MAX((A$6:A1194=A1195)*AG$6:AG1194)),"Date antérieure au bon précédent",IF(AND(A1195&lt;&gt;"BR",ISNUMBER(M1195),N(M1195)&gt;0),IF(A1195="BL","Livré plus que commandé","Sorti plus que demandé"),"OK"))))))))))))</f>
        <v/>
      </c>
      <c r="Y1195" s="57" t="str">
        <f>IF(AND(OR(A1195="BL",A1195="BR",A1195="BS"),AG1195&gt;0,D1195&lt;&gt;""),A1195&amp;"|"&amp;AG1195&amp;"|"&amp;D1195&amp;"|"&amp;F1195,"")</f>
        <v/>
      </c>
      <c r="Z1195" s="57" t="str">
        <f>IF(Y1195="","",IF(COUNTIF(Y$6:Y1194,Y1195)=0,1,0))</f>
        <v/>
      </c>
      <c r="AA1195" s="57" t="str">
        <f>IF(Y1195="","",IF(Z1195=1,COUNTIFS(A$6:A1195,A1195,Z$6:Z1195,1),INDEX(AA$6:AA1194,MATCH(Y1195,Y$6:Y1194,0))))</f>
        <v/>
      </c>
      <c r="AB1195" s="57" t="str">
        <f>IF(B1195="","",COUNTIF(B$6:B1195,B1195))</f>
        <v/>
      </c>
      <c r="AC1195" s="57" t="str">
        <f>IF(B1195="","",B1195&amp;"#"&amp;AB1195)</f>
        <v/>
      </c>
      <c r="AD1195" s="57" t="str">
        <f>IF(Z1195=1,A1195&amp;AA1195,"")</f>
        <v/>
      </c>
      <c r="AE1195" s="57" t="str">
        <f>IF(B1195="","",YEAR(C1195))</f>
        <v/>
      </c>
      <c r="AF1195" s="57" t="str">
        <f>IF(B1195="","",MONTH(C1195))</f>
        <v/>
      </c>
      <c r="AG1195" s="57">
        <f>IF(ISNUMBER(C1195),C1195,0)</f>
        <v>0.0</v>
      </c>
      <c r="AH1195" s="57" t="str">
        <f>IF(N(W1195)&gt;0,COUNTIF(W$6:W1195,"&gt;0"),"")</f>
        <v/>
      </c>
      <c r="AI1195" s="57" t="str">
        <f>IF(Z1195=1,COUNTIF(Z$6:Z1195,1),"")</f>
        <v/>
      </c>
    </row>
    <row r="1196">
      <c r="A1196" s="54" t="n"/>
      <c r="B1196" s="55" t="str">
        <f>IF(AA1196="","",A1196&amp;"-"&amp;RIGHT("000"&amp;AA1196,4))</f>
        <v/>
      </c>
      <c r="C1196" s="56" t="n"/>
      <c r="D1196" s="54" t="n"/>
      <c r="E1196" s="57" t="str">
        <f>IF(D1196="","",IF(A1196="BL",IFERROR(INDEX(cl_name,MATCH(D1196,cl_code,0))&amp;"","Client inconnu"),IF(A1196="BR",IFERROR(INDEX(fo_name,MATCH(D1196,fo_code,0))&amp;"","Fournisseur inconnu"),IF(A1196="BS",IF(ISNA(MATCH(D1196,p_services,0)),"Service inconnu",D1196&amp;""),""))))</f>
        <v/>
      </c>
      <c r="F1196" s="58" t="n"/>
      <c r="G1196" s="58" t="n"/>
      <c r="H1196" s="59" t="n"/>
      <c r="I1196" s="57" t="str">
        <f>IF(H1196="","",IFERROR(INDEX(art_des,MATCH(H1196,art_ref,0))&amp;"","Article inconnu"))</f>
        <v/>
      </c>
      <c r="J1196" s="60" t="str">
        <f>IF(H1196="","",IFERROR(INDEX(art_unit,MATCH(H1196,art_ref,0))&amp;"",""))</f>
        <v/>
      </c>
      <c r="K1196" s="59" t="n"/>
      <c r="L1196" s="59" t="n"/>
      <c r="M1196" s="61" t="str">
        <f>IF(OR(B1196="",NOT(ISNUMBER(K1196)),NOT(ISNUMBER(L1196))),"",IF(OR(K1196&lt;=0,L1196&lt;=0),"",ROUND(L1196-K1196,6)))</f>
        <v/>
      </c>
      <c r="N1196" s="58" t="n"/>
      <c r="O1196" s="62" t="n"/>
      <c r="P1196" s="63" t="str">
        <f>IF(OR(B1196="",NOT(ISNUMBER(L1196))),"",IF(L1196&lt;=0,"",IFERROR(ROUND(L1196*N(INDEX(art_w,MATCH(H1196,art_ref,0))),3),"")))</f>
        <v/>
      </c>
      <c r="Q1196" s="59" t="n"/>
      <c r="R1196" s="54" t="n"/>
      <c r="S1196" s="59" t="n"/>
      <c r="T1196" s="59" t="n"/>
      <c r="U1196" s="64" t="str">
        <f>IF(OR(B1196="",H1196=""),"",IFERROR(IF(A1196="BL",IF(N(INDEX(art_price,MATCH(H1196,art_ref,0)))=0,"",N(INDEX(art_price,MATCH(H1196,art_ref,0)))),IF(N(INDEX(art_cost,MATCH(H1196,art_ref,0)))=0,"",N(INDEX(art_cost,MATCH(H1196,art_ref,0))))),""))</f>
        <v/>
      </c>
      <c r="V1196" s="64" t="str">
        <f>IF(OR(U1196="",NOT(ISNUMBER(L1196))),"",IF(L1196&lt;=0,"",ROUND(L1196*U1196,2)))</f>
        <v/>
      </c>
      <c r="W1196" s="60" t="str">
        <f>IF(AND(B1196&lt;&gt;"",A1196&lt;&gt;"BS",F1196&lt;&gt;"",H1196&lt;&gt;"",ISNUMBER(K1196),ISNUMBER(L1196)),IF(AND(K1196&gt;0,L1196&gt;0,K1196-L1196&gt;0,COUNTIFS(A1197:A$2005,A1196,F1197:F$2005,F1196,H1197:H$2005,H1196,AA1197:AA$2005,"&gt;0")=0),ROUND(K1196-L1196,6),""),"")</f>
        <v/>
      </c>
      <c r="X1196" s="60" t="str">
        <f>IF(AND(A1196="",C1196="",D1196="",H1196="",L1196=""),"",IF(A1196="","Type manquant",IF(AND(A1196&lt;&gt;"BL",A1196&lt;&gt;"BR",A1196&lt;&gt;"BS"),"Type inconnu (BL, BR ou BS)",IF(AG1196=0,"Date manquante ou invalide",IF(D1196="",IF(A1196="BL","Client manquant",IF(A1196="BR","Fournisseur manquant","Service manquant")),IF(IF(A1196="BL",ISNA(MATCH(D1196,cl_code,0)),IF(A1196="BR",ISNA(MATCH(D1196,fo_code,0)),ISNA(MATCH(D1196,p_services,0)))),IF(A1196="BL","Client inconnu",IF(A1196="BR","Fournisseur inconnu","Service inconnu")),IF(H1196="","Article manquant",IF(ISNA(MATCH(H1196,art_ref,0)),"Article inconnu",IF(OR(NOT(ISNUMBER(L1196)),N(L1196)&lt;=0),"Quantité invalide",IF(AND(K1196&lt;&gt;"",OR(NOT(ISNUMBER(K1196)),N(K1196)&lt;=0)),"Qté commandée invalide",IF(AG1196&lt;SUMPRODUCT(MAX((A$6:A1195=A1196)*AG$6:AG1195)),"Date antérieure au bon précédent",IF(AND(A1196&lt;&gt;"BR",ISNUMBER(M1196),N(M1196)&gt;0),IF(A1196="BL","Livré plus que commandé","Sorti plus que demandé"),"OK"))))))))))))</f>
        <v/>
      </c>
      <c r="Y1196" s="57" t="str">
        <f>IF(AND(OR(A1196="BL",A1196="BR",A1196="BS"),AG1196&gt;0,D1196&lt;&gt;""),A1196&amp;"|"&amp;AG1196&amp;"|"&amp;D1196&amp;"|"&amp;F1196,"")</f>
        <v/>
      </c>
      <c r="Z1196" s="57" t="str">
        <f>IF(Y1196="","",IF(COUNTIF(Y$6:Y1195,Y1196)=0,1,0))</f>
        <v/>
      </c>
      <c r="AA1196" s="57" t="str">
        <f>IF(Y1196="","",IF(Z1196=1,COUNTIFS(A$6:A1196,A1196,Z$6:Z1196,1),INDEX(AA$6:AA1195,MATCH(Y1196,Y$6:Y1195,0))))</f>
        <v/>
      </c>
      <c r="AB1196" s="57" t="str">
        <f>IF(B1196="","",COUNTIF(B$6:B1196,B1196))</f>
        <v/>
      </c>
      <c r="AC1196" s="57" t="str">
        <f>IF(B1196="","",B1196&amp;"#"&amp;AB1196)</f>
        <v/>
      </c>
      <c r="AD1196" s="57" t="str">
        <f>IF(Z1196=1,A1196&amp;AA1196,"")</f>
        <v/>
      </c>
      <c r="AE1196" s="57" t="str">
        <f>IF(B1196="","",YEAR(C1196))</f>
        <v/>
      </c>
      <c r="AF1196" s="57" t="str">
        <f>IF(B1196="","",MONTH(C1196))</f>
        <v/>
      </c>
      <c r="AG1196" s="57">
        <f>IF(ISNUMBER(C1196),C1196,0)</f>
        <v>0.0</v>
      </c>
      <c r="AH1196" s="57" t="str">
        <f>IF(N(W1196)&gt;0,COUNTIF(W$6:W1196,"&gt;0"),"")</f>
        <v/>
      </c>
      <c r="AI1196" s="57" t="str">
        <f>IF(Z1196=1,COUNTIF(Z$6:Z1196,1),"")</f>
        <v/>
      </c>
    </row>
    <row r="1197">
      <c r="A1197" s="54" t="n"/>
      <c r="B1197" s="55" t="str">
        <f>IF(AA1197="","",A1197&amp;"-"&amp;RIGHT("000"&amp;AA1197,4))</f>
        <v/>
      </c>
      <c r="C1197" s="56" t="n"/>
      <c r="D1197" s="54" t="n"/>
      <c r="E1197" s="57" t="str">
        <f>IF(D1197="","",IF(A1197="BL",IFERROR(INDEX(cl_name,MATCH(D1197,cl_code,0))&amp;"","Client inconnu"),IF(A1197="BR",IFERROR(INDEX(fo_name,MATCH(D1197,fo_code,0))&amp;"","Fournisseur inconnu"),IF(A1197="BS",IF(ISNA(MATCH(D1197,p_services,0)),"Service inconnu",D1197&amp;""),""))))</f>
        <v/>
      </c>
      <c r="F1197" s="58" t="n"/>
      <c r="G1197" s="58" t="n"/>
      <c r="H1197" s="59" t="n"/>
      <c r="I1197" s="57" t="str">
        <f>IF(H1197="","",IFERROR(INDEX(art_des,MATCH(H1197,art_ref,0))&amp;"","Article inconnu"))</f>
        <v/>
      </c>
      <c r="J1197" s="60" t="str">
        <f>IF(H1197="","",IFERROR(INDEX(art_unit,MATCH(H1197,art_ref,0))&amp;"",""))</f>
        <v/>
      </c>
      <c r="K1197" s="59" t="n"/>
      <c r="L1197" s="59" t="n"/>
      <c r="M1197" s="61" t="str">
        <f>IF(OR(B1197="",NOT(ISNUMBER(K1197)),NOT(ISNUMBER(L1197))),"",IF(OR(K1197&lt;=0,L1197&lt;=0),"",ROUND(L1197-K1197,6)))</f>
        <v/>
      </c>
      <c r="N1197" s="58" t="n"/>
      <c r="O1197" s="62" t="n"/>
      <c r="P1197" s="63" t="str">
        <f>IF(OR(B1197="",NOT(ISNUMBER(L1197))),"",IF(L1197&lt;=0,"",IFERROR(ROUND(L1197*N(INDEX(art_w,MATCH(H1197,art_ref,0))),3),"")))</f>
        <v/>
      </c>
      <c r="Q1197" s="59" t="n"/>
      <c r="R1197" s="54" t="n"/>
      <c r="S1197" s="59" t="n"/>
      <c r="T1197" s="59" t="n"/>
      <c r="U1197" s="64" t="str">
        <f>IF(OR(B1197="",H1197=""),"",IFERROR(IF(A1197="BL",IF(N(INDEX(art_price,MATCH(H1197,art_ref,0)))=0,"",N(INDEX(art_price,MATCH(H1197,art_ref,0)))),IF(N(INDEX(art_cost,MATCH(H1197,art_ref,0)))=0,"",N(INDEX(art_cost,MATCH(H1197,art_ref,0))))),""))</f>
        <v/>
      </c>
      <c r="V1197" s="64" t="str">
        <f>IF(OR(U1197="",NOT(ISNUMBER(L1197))),"",IF(L1197&lt;=0,"",ROUND(L1197*U1197,2)))</f>
        <v/>
      </c>
      <c r="W1197" s="60" t="str">
        <f>IF(AND(B1197&lt;&gt;"",A1197&lt;&gt;"BS",F1197&lt;&gt;"",H1197&lt;&gt;"",ISNUMBER(K1197),ISNUMBER(L1197)),IF(AND(K1197&gt;0,L1197&gt;0,K1197-L1197&gt;0,COUNTIFS(A1198:A$2005,A1197,F1198:F$2005,F1197,H1198:H$2005,H1197,AA1198:AA$2005,"&gt;0")=0),ROUND(K1197-L1197,6),""),"")</f>
        <v/>
      </c>
      <c r="X1197" s="60" t="str">
        <f>IF(AND(A1197="",C1197="",D1197="",H1197="",L1197=""),"",IF(A1197="","Type manquant",IF(AND(A1197&lt;&gt;"BL",A1197&lt;&gt;"BR",A1197&lt;&gt;"BS"),"Type inconnu (BL, BR ou BS)",IF(AG1197=0,"Date manquante ou invalide",IF(D1197="",IF(A1197="BL","Client manquant",IF(A1197="BR","Fournisseur manquant","Service manquant")),IF(IF(A1197="BL",ISNA(MATCH(D1197,cl_code,0)),IF(A1197="BR",ISNA(MATCH(D1197,fo_code,0)),ISNA(MATCH(D1197,p_services,0)))),IF(A1197="BL","Client inconnu",IF(A1197="BR","Fournisseur inconnu","Service inconnu")),IF(H1197="","Article manquant",IF(ISNA(MATCH(H1197,art_ref,0)),"Article inconnu",IF(OR(NOT(ISNUMBER(L1197)),N(L1197)&lt;=0),"Quantité invalide",IF(AND(K1197&lt;&gt;"",OR(NOT(ISNUMBER(K1197)),N(K1197)&lt;=0)),"Qté commandée invalide",IF(AG1197&lt;SUMPRODUCT(MAX((A$6:A1196=A1197)*AG$6:AG1196)),"Date antérieure au bon précédent",IF(AND(A1197&lt;&gt;"BR",ISNUMBER(M1197),N(M1197)&gt;0),IF(A1197="BL","Livré plus que commandé","Sorti plus que demandé"),"OK"))))))))))))</f>
        <v/>
      </c>
      <c r="Y1197" s="57" t="str">
        <f>IF(AND(OR(A1197="BL",A1197="BR",A1197="BS"),AG1197&gt;0,D1197&lt;&gt;""),A1197&amp;"|"&amp;AG1197&amp;"|"&amp;D1197&amp;"|"&amp;F1197,"")</f>
        <v/>
      </c>
      <c r="Z1197" s="57" t="str">
        <f>IF(Y1197="","",IF(COUNTIF(Y$6:Y1196,Y1197)=0,1,0))</f>
        <v/>
      </c>
      <c r="AA1197" s="57" t="str">
        <f>IF(Y1197="","",IF(Z1197=1,COUNTIFS(A$6:A1197,A1197,Z$6:Z1197,1),INDEX(AA$6:AA1196,MATCH(Y1197,Y$6:Y1196,0))))</f>
        <v/>
      </c>
      <c r="AB1197" s="57" t="str">
        <f>IF(B1197="","",COUNTIF(B$6:B1197,B1197))</f>
        <v/>
      </c>
      <c r="AC1197" s="57" t="str">
        <f>IF(B1197="","",B1197&amp;"#"&amp;AB1197)</f>
        <v/>
      </c>
      <c r="AD1197" s="57" t="str">
        <f>IF(Z1197=1,A1197&amp;AA1197,"")</f>
        <v/>
      </c>
      <c r="AE1197" s="57" t="str">
        <f>IF(B1197="","",YEAR(C1197))</f>
        <v/>
      </c>
      <c r="AF1197" s="57" t="str">
        <f>IF(B1197="","",MONTH(C1197))</f>
        <v/>
      </c>
      <c r="AG1197" s="57">
        <f>IF(ISNUMBER(C1197),C1197,0)</f>
        <v>0.0</v>
      </c>
      <c r="AH1197" s="57" t="str">
        <f>IF(N(W1197)&gt;0,COUNTIF(W$6:W1197,"&gt;0"),"")</f>
        <v/>
      </c>
      <c r="AI1197" s="57" t="str">
        <f>IF(Z1197=1,COUNTIF(Z$6:Z1197,1),"")</f>
        <v/>
      </c>
    </row>
    <row r="1198">
      <c r="A1198" s="54" t="n"/>
      <c r="B1198" s="55" t="str">
        <f>IF(AA1198="","",A1198&amp;"-"&amp;RIGHT("000"&amp;AA1198,4))</f>
        <v/>
      </c>
      <c r="C1198" s="56" t="n"/>
      <c r="D1198" s="54" t="n"/>
      <c r="E1198" s="57" t="str">
        <f>IF(D1198="","",IF(A1198="BL",IFERROR(INDEX(cl_name,MATCH(D1198,cl_code,0))&amp;"","Client inconnu"),IF(A1198="BR",IFERROR(INDEX(fo_name,MATCH(D1198,fo_code,0))&amp;"","Fournisseur inconnu"),IF(A1198="BS",IF(ISNA(MATCH(D1198,p_services,0)),"Service inconnu",D1198&amp;""),""))))</f>
        <v/>
      </c>
      <c r="F1198" s="58" t="n"/>
      <c r="G1198" s="58" t="n"/>
      <c r="H1198" s="59" t="n"/>
      <c r="I1198" s="57" t="str">
        <f>IF(H1198="","",IFERROR(INDEX(art_des,MATCH(H1198,art_ref,0))&amp;"","Article inconnu"))</f>
        <v/>
      </c>
      <c r="J1198" s="60" t="str">
        <f>IF(H1198="","",IFERROR(INDEX(art_unit,MATCH(H1198,art_ref,0))&amp;"",""))</f>
        <v/>
      </c>
      <c r="K1198" s="59" t="n"/>
      <c r="L1198" s="59" t="n"/>
      <c r="M1198" s="61" t="str">
        <f>IF(OR(B1198="",NOT(ISNUMBER(K1198)),NOT(ISNUMBER(L1198))),"",IF(OR(K1198&lt;=0,L1198&lt;=0),"",ROUND(L1198-K1198,6)))</f>
        <v/>
      </c>
      <c r="N1198" s="58" t="n"/>
      <c r="O1198" s="62" t="n"/>
      <c r="P1198" s="63" t="str">
        <f>IF(OR(B1198="",NOT(ISNUMBER(L1198))),"",IF(L1198&lt;=0,"",IFERROR(ROUND(L1198*N(INDEX(art_w,MATCH(H1198,art_ref,0))),3),"")))</f>
        <v/>
      </c>
      <c r="Q1198" s="59" t="n"/>
      <c r="R1198" s="54" t="n"/>
      <c r="S1198" s="59" t="n"/>
      <c r="T1198" s="59" t="n"/>
      <c r="U1198" s="64" t="str">
        <f>IF(OR(B1198="",H1198=""),"",IFERROR(IF(A1198="BL",IF(N(INDEX(art_price,MATCH(H1198,art_ref,0)))=0,"",N(INDEX(art_price,MATCH(H1198,art_ref,0)))),IF(N(INDEX(art_cost,MATCH(H1198,art_ref,0)))=0,"",N(INDEX(art_cost,MATCH(H1198,art_ref,0))))),""))</f>
        <v/>
      </c>
      <c r="V1198" s="64" t="str">
        <f>IF(OR(U1198="",NOT(ISNUMBER(L1198))),"",IF(L1198&lt;=0,"",ROUND(L1198*U1198,2)))</f>
        <v/>
      </c>
      <c r="W1198" s="60" t="str">
        <f>IF(AND(B1198&lt;&gt;"",A1198&lt;&gt;"BS",F1198&lt;&gt;"",H1198&lt;&gt;"",ISNUMBER(K1198),ISNUMBER(L1198)),IF(AND(K1198&gt;0,L1198&gt;0,K1198-L1198&gt;0,COUNTIFS(A1199:A$2005,A1198,F1199:F$2005,F1198,H1199:H$2005,H1198,AA1199:AA$2005,"&gt;0")=0),ROUND(K1198-L1198,6),""),"")</f>
        <v/>
      </c>
      <c r="X1198" s="60" t="str">
        <f>IF(AND(A1198="",C1198="",D1198="",H1198="",L1198=""),"",IF(A1198="","Type manquant",IF(AND(A1198&lt;&gt;"BL",A1198&lt;&gt;"BR",A1198&lt;&gt;"BS"),"Type inconnu (BL, BR ou BS)",IF(AG1198=0,"Date manquante ou invalide",IF(D1198="",IF(A1198="BL","Client manquant",IF(A1198="BR","Fournisseur manquant","Service manquant")),IF(IF(A1198="BL",ISNA(MATCH(D1198,cl_code,0)),IF(A1198="BR",ISNA(MATCH(D1198,fo_code,0)),ISNA(MATCH(D1198,p_services,0)))),IF(A1198="BL","Client inconnu",IF(A1198="BR","Fournisseur inconnu","Service inconnu")),IF(H1198="","Article manquant",IF(ISNA(MATCH(H1198,art_ref,0)),"Article inconnu",IF(OR(NOT(ISNUMBER(L1198)),N(L1198)&lt;=0),"Quantité invalide",IF(AND(K1198&lt;&gt;"",OR(NOT(ISNUMBER(K1198)),N(K1198)&lt;=0)),"Qté commandée invalide",IF(AG1198&lt;SUMPRODUCT(MAX((A$6:A1197=A1198)*AG$6:AG1197)),"Date antérieure au bon précédent",IF(AND(A1198&lt;&gt;"BR",ISNUMBER(M1198),N(M1198)&gt;0),IF(A1198="BL","Livré plus que commandé","Sorti plus que demandé"),"OK"))))))))))))</f>
        <v/>
      </c>
      <c r="Y1198" s="57" t="str">
        <f>IF(AND(OR(A1198="BL",A1198="BR",A1198="BS"),AG1198&gt;0,D1198&lt;&gt;""),A1198&amp;"|"&amp;AG1198&amp;"|"&amp;D1198&amp;"|"&amp;F1198,"")</f>
        <v/>
      </c>
      <c r="Z1198" s="57" t="str">
        <f>IF(Y1198="","",IF(COUNTIF(Y$6:Y1197,Y1198)=0,1,0))</f>
        <v/>
      </c>
      <c r="AA1198" s="57" t="str">
        <f>IF(Y1198="","",IF(Z1198=1,COUNTIFS(A$6:A1198,A1198,Z$6:Z1198,1),INDEX(AA$6:AA1197,MATCH(Y1198,Y$6:Y1197,0))))</f>
        <v/>
      </c>
      <c r="AB1198" s="57" t="str">
        <f>IF(B1198="","",COUNTIF(B$6:B1198,B1198))</f>
        <v/>
      </c>
      <c r="AC1198" s="57" t="str">
        <f>IF(B1198="","",B1198&amp;"#"&amp;AB1198)</f>
        <v/>
      </c>
      <c r="AD1198" s="57" t="str">
        <f>IF(Z1198=1,A1198&amp;AA1198,"")</f>
        <v/>
      </c>
      <c r="AE1198" s="57" t="str">
        <f>IF(B1198="","",YEAR(C1198))</f>
        <v/>
      </c>
      <c r="AF1198" s="57" t="str">
        <f>IF(B1198="","",MONTH(C1198))</f>
        <v/>
      </c>
      <c r="AG1198" s="57">
        <f>IF(ISNUMBER(C1198),C1198,0)</f>
        <v>0.0</v>
      </c>
      <c r="AH1198" s="57" t="str">
        <f>IF(N(W1198)&gt;0,COUNTIF(W$6:W1198,"&gt;0"),"")</f>
        <v/>
      </c>
      <c r="AI1198" s="57" t="str">
        <f>IF(Z1198=1,COUNTIF(Z$6:Z1198,1),"")</f>
        <v/>
      </c>
    </row>
    <row r="1199">
      <c r="A1199" s="54" t="n"/>
      <c r="B1199" s="55" t="str">
        <f>IF(AA1199="","",A1199&amp;"-"&amp;RIGHT("000"&amp;AA1199,4))</f>
        <v/>
      </c>
      <c r="C1199" s="56" t="n"/>
      <c r="D1199" s="54" t="n"/>
      <c r="E1199" s="57" t="str">
        <f>IF(D1199="","",IF(A1199="BL",IFERROR(INDEX(cl_name,MATCH(D1199,cl_code,0))&amp;"","Client inconnu"),IF(A1199="BR",IFERROR(INDEX(fo_name,MATCH(D1199,fo_code,0))&amp;"","Fournisseur inconnu"),IF(A1199="BS",IF(ISNA(MATCH(D1199,p_services,0)),"Service inconnu",D1199&amp;""),""))))</f>
        <v/>
      </c>
      <c r="F1199" s="58" t="n"/>
      <c r="G1199" s="58" t="n"/>
      <c r="H1199" s="59" t="n"/>
      <c r="I1199" s="57" t="str">
        <f>IF(H1199="","",IFERROR(INDEX(art_des,MATCH(H1199,art_ref,0))&amp;"","Article inconnu"))</f>
        <v/>
      </c>
      <c r="J1199" s="60" t="str">
        <f>IF(H1199="","",IFERROR(INDEX(art_unit,MATCH(H1199,art_ref,0))&amp;"",""))</f>
        <v/>
      </c>
      <c r="K1199" s="59" t="n"/>
      <c r="L1199" s="59" t="n"/>
      <c r="M1199" s="61" t="str">
        <f>IF(OR(B1199="",NOT(ISNUMBER(K1199)),NOT(ISNUMBER(L1199))),"",IF(OR(K1199&lt;=0,L1199&lt;=0),"",ROUND(L1199-K1199,6)))</f>
        <v/>
      </c>
      <c r="N1199" s="58" t="n"/>
      <c r="O1199" s="62" t="n"/>
      <c r="P1199" s="63" t="str">
        <f>IF(OR(B1199="",NOT(ISNUMBER(L1199))),"",IF(L1199&lt;=0,"",IFERROR(ROUND(L1199*N(INDEX(art_w,MATCH(H1199,art_ref,0))),3),"")))</f>
        <v/>
      </c>
      <c r="Q1199" s="59" t="n"/>
      <c r="R1199" s="54" t="n"/>
      <c r="S1199" s="59" t="n"/>
      <c r="T1199" s="59" t="n"/>
      <c r="U1199" s="64" t="str">
        <f>IF(OR(B1199="",H1199=""),"",IFERROR(IF(A1199="BL",IF(N(INDEX(art_price,MATCH(H1199,art_ref,0)))=0,"",N(INDEX(art_price,MATCH(H1199,art_ref,0)))),IF(N(INDEX(art_cost,MATCH(H1199,art_ref,0)))=0,"",N(INDEX(art_cost,MATCH(H1199,art_ref,0))))),""))</f>
        <v/>
      </c>
      <c r="V1199" s="64" t="str">
        <f>IF(OR(U1199="",NOT(ISNUMBER(L1199))),"",IF(L1199&lt;=0,"",ROUND(L1199*U1199,2)))</f>
        <v/>
      </c>
      <c r="W1199" s="60" t="str">
        <f>IF(AND(B1199&lt;&gt;"",A1199&lt;&gt;"BS",F1199&lt;&gt;"",H1199&lt;&gt;"",ISNUMBER(K1199),ISNUMBER(L1199)),IF(AND(K1199&gt;0,L1199&gt;0,K1199-L1199&gt;0,COUNTIFS(A1200:A$2005,A1199,F1200:F$2005,F1199,H1200:H$2005,H1199,AA1200:AA$2005,"&gt;0")=0),ROUND(K1199-L1199,6),""),"")</f>
        <v/>
      </c>
      <c r="X1199" s="60" t="str">
        <f>IF(AND(A1199="",C1199="",D1199="",H1199="",L1199=""),"",IF(A1199="","Type manquant",IF(AND(A1199&lt;&gt;"BL",A1199&lt;&gt;"BR",A1199&lt;&gt;"BS"),"Type inconnu (BL, BR ou BS)",IF(AG1199=0,"Date manquante ou invalide",IF(D1199="",IF(A1199="BL","Client manquant",IF(A1199="BR","Fournisseur manquant","Service manquant")),IF(IF(A1199="BL",ISNA(MATCH(D1199,cl_code,0)),IF(A1199="BR",ISNA(MATCH(D1199,fo_code,0)),ISNA(MATCH(D1199,p_services,0)))),IF(A1199="BL","Client inconnu",IF(A1199="BR","Fournisseur inconnu","Service inconnu")),IF(H1199="","Article manquant",IF(ISNA(MATCH(H1199,art_ref,0)),"Article inconnu",IF(OR(NOT(ISNUMBER(L1199)),N(L1199)&lt;=0),"Quantité invalide",IF(AND(K1199&lt;&gt;"",OR(NOT(ISNUMBER(K1199)),N(K1199)&lt;=0)),"Qté commandée invalide",IF(AG1199&lt;SUMPRODUCT(MAX((A$6:A1198=A1199)*AG$6:AG1198)),"Date antérieure au bon précédent",IF(AND(A1199&lt;&gt;"BR",ISNUMBER(M1199),N(M1199)&gt;0),IF(A1199="BL","Livré plus que commandé","Sorti plus que demandé"),"OK"))))))))))))</f>
        <v/>
      </c>
      <c r="Y1199" s="57" t="str">
        <f>IF(AND(OR(A1199="BL",A1199="BR",A1199="BS"),AG1199&gt;0,D1199&lt;&gt;""),A1199&amp;"|"&amp;AG1199&amp;"|"&amp;D1199&amp;"|"&amp;F1199,"")</f>
        <v/>
      </c>
      <c r="Z1199" s="57" t="str">
        <f>IF(Y1199="","",IF(COUNTIF(Y$6:Y1198,Y1199)=0,1,0))</f>
        <v/>
      </c>
      <c r="AA1199" s="57" t="str">
        <f>IF(Y1199="","",IF(Z1199=1,COUNTIFS(A$6:A1199,A1199,Z$6:Z1199,1),INDEX(AA$6:AA1198,MATCH(Y1199,Y$6:Y1198,0))))</f>
        <v/>
      </c>
      <c r="AB1199" s="57" t="str">
        <f>IF(B1199="","",COUNTIF(B$6:B1199,B1199))</f>
        <v/>
      </c>
      <c r="AC1199" s="57" t="str">
        <f>IF(B1199="","",B1199&amp;"#"&amp;AB1199)</f>
        <v/>
      </c>
      <c r="AD1199" s="57" t="str">
        <f>IF(Z1199=1,A1199&amp;AA1199,"")</f>
        <v/>
      </c>
      <c r="AE1199" s="57" t="str">
        <f>IF(B1199="","",YEAR(C1199))</f>
        <v/>
      </c>
      <c r="AF1199" s="57" t="str">
        <f>IF(B1199="","",MONTH(C1199))</f>
        <v/>
      </c>
      <c r="AG1199" s="57">
        <f>IF(ISNUMBER(C1199),C1199,0)</f>
        <v>0.0</v>
      </c>
      <c r="AH1199" s="57" t="str">
        <f>IF(N(W1199)&gt;0,COUNTIF(W$6:W1199,"&gt;0"),"")</f>
        <v/>
      </c>
      <c r="AI1199" s="57" t="str">
        <f>IF(Z1199=1,COUNTIF(Z$6:Z1199,1),"")</f>
        <v/>
      </c>
    </row>
    <row r="1200">
      <c r="A1200" s="54" t="n"/>
      <c r="B1200" s="55" t="str">
        <f>IF(AA1200="","",A1200&amp;"-"&amp;RIGHT("000"&amp;AA1200,4))</f>
        <v/>
      </c>
      <c r="C1200" s="56" t="n"/>
      <c r="D1200" s="54" t="n"/>
      <c r="E1200" s="57" t="str">
        <f>IF(D1200="","",IF(A1200="BL",IFERROR(INDEX(cl_name,MATCH(D1200,cl_code,0))&amp;"","Client inconnu"),IF(A1200="BR",IFERROR(INDEX(fo_name,MATCH(D1200,fo_code,0))&amp;"","Fournisseur inconnu"),IF(A1200="BS",IF(ISNA(MATCH(D1200,p_services,0)),"Service inconnu",D1200&amp;""),""))))</f>
        <v/>
      </c>
      <c r="F1200" s="58" t="n"/>
      <c r="G1200" s="58" t="n"/>
      <c r="H1200" s="59" t="n"/>
      <c r="I1200" s="57" t="str">
        <f>IF(H1200="","",IFERROR(INDEX(art_des,MATCH(H1200,art_ref,0))&amp;"","Article inconnu"))</f>
        <v/>
      </c>
      <c r="J1200" s="60" t="str">
        <f>IF(H1200="","",IFERROR(INDEX(art_unit,MATCH(H1200,art_ref,0))&amp;"",""))</f>
        <v/>
      </c>
      <c r="K1200" s="59" t="n"/>
      <c r="L1200" s="59" t="n"/>
      <c r="M1200" s="61" t="str">
        <f>IF(OR(B1200="",NOT(ISNUMBER(K1200)),NOT(ISNUMBER(L1200))),"",IF(OR(K1200&lt;=0,L1200&lt;=0),"",ROUND(L1200-K1200,6)))</f>
        <v/>
      </c>
      <c r="N1200" s="58" t="n"/>
      <c r="O1200" s="62" t="n"/>
      <c r="P1200" s="63" t="str">
        <f>IF(OR(B1200="",NOT(ISNUMBER(L1200))),"",IF(L1200&lt;=0,"",IFERROR(ROUND(L1200*N(INDEX(art_w,MATCH(H1200,art_ref,0))),3),"")))</f>
        <v/>
      </c>
      <c r="Q1200" s="59" t="n"/>
      <c r="R1200" s="54" t="n"/>
      <c r="S1200" s="59" t="n"/>
      <c r="T1200" s="59" t="n"/>
      <c r="U1200" s="64" t="str">
        <f>IF(OR(B1200="",H1200=""),"",IFERROR(IF(A1200="BL",IF(N(INDEX(art_price,MATCH(H1200,art_ref,0)))=0,"",N(INDEX(art_price,MATCH(H1200,art_ref,0)))),IF(N(INDEX(art_cost,MATCH(H1200,art_ref,0)))=0,"",N(INDEX(art_cost,MATCH(H1200,art_ref,0))))),""))</f>
        <v/>
      </c>
      <c r="V1200" s="64" t="str">
        <f>IF(OR(U1200="",NOT(ISNUMBER(L1200))),"",IF(L1200&lt;=0,"",ROUND(L1200*U1200,2)))</f>
        <v/>
      </c>
      <c r="W1200" s="60" t="str">
        <f>IF(AND(B1200&lt;&gt;"",A1200&lt;&gt;"BS",F1200&lt;&gt;"",H1200&lt;&gt;"",ISNUMBER(K1200),ISNUMBER(L1200)),IF(AND(K1200&gt;0,L1200&gt;0,K1200-L1200&gt;0,COUNTIFS(A1201:A$2005,A1200,F1201:F$2005,F1200,H1201:H$2005,H1200,AA1201:AA$2005,"&gt;0")=0),ROUND(K1200-L1200,6),""),"")</f>
        <v/>
      </c>
      <c r="X1200" s="60" t="str">
        <f>IF(AND(A1200="",C1200="",D1200="",H1200="",L1200=""),"",IF(A1200="","Type manquant",IF(AND(A1200&lt;&gt;"BL",A1200&lt;&gt;"BR",A1200&lt;&gt;"BS"),"Type inconnu (BL, BR ou BS)",IF(AG1200=0,"Date manquante ou invalide",IF(D1200="",IF(A1200="BL","Client manquant",IF(A1200="BR","Fournisseur manquant","Service manquant")),IF(IF(A1200="BL",ISNA(MATCH(D1200,cl_code,0)),IF(A1200="BR",ISNA(MATCH(D1200,fo_code,0)),ISNA(MATCH(D1200,p_services,0)))),IF(A1200="BL","Client inconnu",IF(A1200="BR","Fournisseur inconnu","Service inconnu")),IF(H1200="","Article manquant",IF(ISNA(MATCH(H1200,art_ref,0)),"Article inconnu",IF(OR(NOT(ISNUMBER(L1200)),N(L1200)&lt;=0),"Quantité invalide",IF(AND(K1200&lt;&gt;"",OR(NOT(ISNUMBER(K1200)),N(K1200)&lt;=0)),"Qté commandée invalide",IF(AG1200&lt;SUMPRODUCT(MAX((A$6:A1199=A1200)*AG$6:AG1199)),"Date antérieure au bon précédent",IF(AND(A1200&lt;&gt;"BR",ISNUMBER(M1200),N(M1200)&gt;0),IF(A1200="BL","Livré plus que commandé","Sorti plus que demandé"),"OK"))))))))))))</f>
        <v/>
      </c>
      <c r="Y1200" s="57" t="str">
        <f>IF(AND(OR(A1200="BL",A1200="BR",A1200="BS"),AG1200&gt;0,D1200&lt;&gt;""),A1200&amp;"|"&amp;AG1200&amp;"|"&amp;D1200&amp;"|"&amp;F1200,"")</f>
        <v/>
      </c>
      <c r="Z1200" s="57" t="str">
        <f>IF(Y1200="","",IF(COUNTIF(Y$6:Y1199,Y1200)=0,1,0))</f>
        <v/>
      </c>
      <c r="AA1200" s="57" t="str">
        <f>IF(Y1200="","",IF(Z1200=1,COUNTIFS(A$6:A1200,A1200,Z$6:Z1200,1),INDEX(AA$6:AA1199,MATCH(Y1200,Y$6:Y1199,0))))</f>
        <v/>
      </c>
      <c r="AB1200" s="57" t="str">
        <f>IF(B1200="","",COUNTIF(B$6:B1200,B1200))</f>
        <v/>
      </c>
      <c r="AC1200" s="57" t="str">
        <f>IF(B1200="","",B1200&amp;"#"&amp;AB1200)</f>
        <v/>
      </c>
      <c r="AD1200" s="57" t="str">
        <f>IF(Z1200=1,A1200&amp;AA1200,"")</f>
        <v/>
      </c>
      <c r="AE1200" s="57" t="str">
        <f>IF(B1200="","",YEAR(C1200))</f>
        <v/>
      </c>
      <c r="AF1200" s="57" t="str">
        <f>IF(B1200="","",MONTH(C1200))</f>
        <v/>
      </c>
      <c r="AG1200" s="57">
        <f>IF(ISNUMBER(C1200),C1200,0)</f>
        <v>0.0</v>
      </c>
      <c r="AH1200" s="57" t="str">
        <f>IF(N(W1200)&gt;0,COUNTIF(W$6:W1200,"&gt;0"),"")</f>
        <v/>
      </c>
      <c r="AI1200" s="57" t="str">
        <f>IF(Z1200=1,COUNTIF(Z$6:Z1200,1),"")</f>
        <v/>
      </c>
    </row>
    <row r="1201">
      <c r="A1201" s="54" t="n"/>
      <c r="B1201" s="55" t="str">
        <f>IF(AA1201="","",A1201&amp;"-"&amp;RIGHT("000"&amp;AA1201,4))</f>
        <v/>
      </c>
      <c r="C1201" s="56" t="n"/>
      <c r="D1201" s="54" t="n"/>
      <c r="E1201" s="57" t="str">
        <f>IF(D1201="","",IF(A1201="BL",IFERROR(INDEX(cl_name,MATCH(D1201,cl_code,0))&amp;"","Client inconnu"),IF(A1201="BR",IFERROR(INDEX(fo_name,MATCH(D1201,fo_code,0))&amp;"","Fournisseur inconnu"),IF(A1201="BS",IF(ISNA(MATCH(D1201,p_services,0)),"Service inconnu",D1201&amp;""),""))))</f>
        <v/>
      </c>
      <c r="F1201" s="58" t="n"/>
      <c r="G1201" s="58" t="n"/>
      <c r="H1201" s="59" t="n"/>
      <c r="I1201" s="57" t="str">
        <f>IF(H1201="","",IFERROR(INDEX(art_des,MATCH(H1201,art_ref,0))&amp;"","Article inconnu"))</f>
        <v/>
      </c>
      <c r="J1201" s="60" t="str">
        <f>IF(H1201="","",IFERROR(INDEX(art_unit,MATCH(H1201,art_ref,0))&amp;"",""))</f>
        <v/>
      </c>
      <c r="K1201" s="59" t="n"/>
      <c r="L1201" s="59" t="n"/>
      <c r="M1201" s="61" t="str">
        <f>IF(OR(B1201="",NOT(ISNUMBER(K1201)),NOT(ISNUMBER(L1201))),"",IF(OR(K1201&lt;=0,L1201&lt;=0),"",ROUND(L1201-K1201,6)))</f>
        <v/>
      </c>
      <c r="N1201" s="58" t="n"/>
      <c r="O1201" s="62" t="n"/>
      <c r="P1201" s="63" t="str">
        <f>IF(OR(B1201="",NOT(ISNUMBER(L1201))),"",IF(L1201&lt;=0,"",IFERROR(ROUND(L1201*N(INDEX(art_w,MATCH(H1201,art_ref,0))),3),"")))</f>
        <v/>
      </c>
      <c r="Q1201" s="59" t="n"/>
      <c r="R1201" s="54" t="n"/>
      <c r="S1201" s="59" t="n"/>
      <c r="T1201" s="59" t="n"/>
      <c r="U1201" s="64" t="str">
        <f>IF(OR(B1201="",H1201=""),"",IFERROR(IF(A1201="BL",IF(N(INDEX(art_price,MATCH(H1201,art_ref,0)))=0,"",N(INDEX(art_price,MATCH(H1201,art_ref,0)))),IF(N(INDEX(art_cost,MATCH(H1201,art_ref,0)))=0,"",N(INDEX(art_cost,MATCH(H1201,art_ref,0))))),""))</f>
        <v/>
      </c>
      <c r="V1201" s="64" t="str">
        <f>IF(OR(U1201="",NOT(ISNUMBER(L1201))),"",IF(L1201&lt;=0,"",ROUND(L1201*U1201,2)))</f>
        <v/>
      </c>
      <c r="W1201" s="60" t="str">
        <f>IF(AND(B1201&lt;&gt;"",A1201&lt;&gt;"BS",F1201&lt;&gt;"",H1201&lt;&gt;"",ISNUMBER(K1201),ISNUMBER(L1201)),IF(AND(K1201&gt;0,L1201&gt;0,K1201-L1201&gt;0,COUNTIFS(A1202:A$2005,A1201,F1202:F$2005,F1201,H1202:H$2005,H1201,AA1202:AA$2005,"&gt;0")=0),ROUND(K1201-L1201,6),""),"")</f>
        <v/>
      </c>
      <c r="X1201" s="60" t="str">
        <f>IF(AND(A1201="",C1201="",D1201="",H1201="",L1201=""),"",IF(A1201="","Type manquant",IF(AND(A1201&lt;&gt;"BL",A1201&lt;&gt;"BR",A1201&lt;&gt;"BS"),"Type inconnu (BL, BR ou BS)",IF(AG1201=0,"Date manquante ou invalide",IF(D1201="",IF(A1201="BL","Client manquant",IF(A1201="BR","Fournisseur manquant","Service manquant")),IF(IF(A1201="BL",ISNA(MATCH(D1201,cl_code,0)),IF(A1201="BR",ISNA(MATCH(D1201,fo_code,0)),ISNA(MATCH(D1201,p_services,0)))),IF(A1201="BL","Client inconnu",IF(A1201="BR","Fournisseur inconnu","Service inconnu")),IF(H1201="","Article manquant",IF(ISNA(MATCH(H1201,art_ref,0)),"Article inconnu",IF(OR(NOT(ISNUMBER(L1201)),N(L1201)&lt;=0),"Quantité invalide",IF(AND(K1201&lt;&gt;"",OR(NOT(ISNUMBER(K1201)),N(K1201)&lt;=0)),"Qté commandée invalide",IF(AG1201&lt;SUMPRODUCT(MAX((A$6:A1200=A1201)*AG$6:AG1200)),"Date antérieure au bon précédent",IF(AND(A1201&lt;&gt;"BR",ISNUMBER(M1201),N(M1201)&gt;0),IF(A1201="BL","Livré plus que commandé","Sorti plus que demandé"),"OK"))))))))))))</f>
        <v/>
      </c>
      <c r="Y1201" s="57" t="str">
        <f>IF(AND(OR(A1201="BL",A1201="BR",A1201="BS"),AG1201&gt;0,D1201&lt;&gt;""),A1201&amp;"|"&amp;AG1201&amp;"|"&amp;D1201&amp;"|"&amp;F1201,"")</f>
        <v/>
      </c>
      <c r="Z1201" s="57" t="str">
        <f>IF(Y1201="","",IF(COUNTIF(Y$6:Y1200,Y1201)=0,1,0))</f>
        <v/>
      </c>
      <c r="AA1201" s="57" t="str">
        <f>IF(Y1201="","",IF(Z1201=1,COUNTIFS(A$6:A1201,A1201,Z$6:Z1201,1),INDEX(AA$6:AA1200,MATCH(Y1201,Y$6:Y1200,0))))</f>
        <v/>
      </c>
      <c r="AB1201" s="57" t="str">
        <f>IF(B1201="","",COUNTIF(B$6:B1201,B1201))</f>
        <v/>
      </c>
      <c r="AC1201" s="57" t="str">
        <f>IF(B1201="","",B1201&amp;"#"&amp;AB1201)</f>
        <v/>
      </c>
      <c r="AD1201" s="57" t="str">
        <f>IF(Z1201=1,A1201&amp;AA1201,"")</f>
        <v/>
      </c>
      <c r="AE1201" s="57" t="str">
        <f>IF(B1201="","",YEAR(C1201))</f>
        <v/>
      </c>
      <c r="AF1201" s="57" t="str">
        <f>IF(B1201="","",MONTH(C1201))</f>
        <v/>
      </c>
      <c r="AG1201" s="57">
        <f>IF(ISNUMBER(C1201),C1201,0)</f>
        <v>0.0</v>
      </c>
      <c r="AH1201" s="57" t="str">
        <f>IF(N(W1201)&gt;0,COUNTIF(W$6:W1201,"&gt;0"),"")</f>
        <v/>
      </c>
      <c r="AI1201" s="57" t="str">
        <f>IF(Z1201=1,COUNTIF(Z$6:Z1201,1),"")</f>
        <v/>
      </c>
    </row>
    <row r="1202">
      <c r="A1202" s="54" t="n"/>
      <c r="B1202" s="55" t="str">
        <f>IF(AA1202="","",A1202&amp;"-"&amp;RIGHT("000"&amp;AA1202,4))</f>
        <v/>
      </c>
      <c r="C1202" s="56" t="n"/>
      <c r="D1202" s="54" t="n"/>
      <c r="E1202" s="57" t="str">
        <f>IF(D1202="","",IF(A1202="BL",IFERROR(INDEX(cl_name,MATCH(D1202,cl_code,0))&amp;"","Client inconnu"),IF(A1202="BR",IFERROR(INDEX(fo_name,MATCH(D1202,fo_code,0))&amp;"","Fournisseur inconnu"),IF(A1202="BS",IF(ISNA(MATCH(D1202,p_services,0)),"Service inconnu",D1202&amp;""),""))))</f>
        <v/>
      </c>
      <c r="F1202" s="58" t="n"/>
      <c r="G1202" s="58" t="n"/>
      <c r="H1202" s="59" t="n"/>
      <c r="I1202" s="57" t="str">
        <f>IF(H1202="","",IFERROR(INDEX(art_des,MATCH(H1202,art_ref,0))&amp;"","Article inconnu"))</f>
        <v/>
      </c>
      <c r="J1202" s="60" t="str">
        <f>IF(H1202="","",IFERROR(INDEX(art_unit,MATCH(H1202,art_ref,0))&amp;"",""))</f>
        <v/>
      </c>
      <c r="K1202" s="59" t="n"/>
      <c r="L1202" s="59" t="n"/>
      <c r="M1202" s="61" t="str">
        <f>IF(OR(B1202="",NOT(ISNUMBER(K1202)),NOT(ISNUMBER(L1202))),"",IF(OR(K1202&lt;=0,L1202&lt;=0),"",ROUND(L1202-K1202,6)))</f>
        <v/>
      </c>
      <c r="N1202" s="58" t="n"/>
      <c r="O1202" s="62" t="n"/>
      <c r="P1202" s="63" t="str">
        <f>IF(OR(B1202="",NOT(ISNUMBER(L1202))),"",IF(L1202&lt;=0,"",IFERROR(ROUND(L1202*N(INDEX(art_w,MATCH(H1202,art_ref,0))),3),"")))</f>
        <v/>
      </c>
      <c r="Q1202" s="59" t="n"/>
      <c r="R1202" s="54" t="n"/>
      <c r="S1202" s="59" t="n"/>
      <c r="T1202" s="59" t="n"/>
      <c r="U1202" s="64" t="str">
        <f>IF(OR(B1202="",H1202=""),"",IFERROR(IF(A1202="BL",IF(N(INDEX(art_price,MATCH(H1202,art_ref,0)))=0,"",N(INDEX(art_price,MATCH(H1202,art_ref,0)))),IF(N(INDEX(art_cost,MATCH(H1202,art_ref,0)))=0,"",N(INDEX(art_cost,MATCH(H1202,art_ref,0))))),""))</f>
        <v/>
      </c>
      <c r="V1202" s="64" t="str">
        <f>IF(OR(U1202="",NOT(ISNUMBER(L1202))),"",IF(L1202&lt;=0,"",ROUND(L1202*U1202,2)))</f>
        <v/>
      </c>
      <c r="W1202" s="60" t="str">
        <f>IF(AND(B1202&lt;&gt;"",A1202&lt;&gt;"BS",F1202&lt;&gt;"",H1202&lt;&gt;"",ISNUMBER(K1202),ISNUMBER(L1202)),IF(AND(K1202&gt;0,L1202&gt;0,K1202-L1202&gt;0,COUNTIFS(A1203:A$2005,A1202,F1203:F$2005,F1202,H1203:H$2005,H1202,AA1203:AA$2005,"&gt;0")=0),ROUND(K1202-L1202,6),""),"")</f>
        <v/>
      </c>
      <c r="X1202" s="60" t="str">
        <f>IF(AND(A1202="",C1202="",D1202="",H1202="",L1202=""),"",IF(A1202="","Type manquant",IF(AND(A1202&lt;&gt;"BL",A1202&lt;&gt;"BR",A1202&lt;&gt;"BS"),"Type inconnu (BL, BR ou BS)",IF(AG1202=0,"Date manquante ou invalide",IF(D1202="",IF(A1202="BL","Client manquant",IF(A1202="BR","Fournisseur manquant","Service manquant")),IF(IF(A1202="BL",ISNA(MATCH(D1202,cl_code,0)),IF(A1202="BR",ISNA(MATCH(D1202,fo_code,0)),ISNA(MATCH(D1202,p_services,0)))),IF(A1202="BL","Client inconnu",IF(A1202="BR","Fournisseur inconnu","Service inconnu")),IF(H1202="","Article manquant",IF(ISNA(MATCH(H1202,art_ref,0)),"Article inconnu",IF(OR(NOT(ISNUMBER(L1202)),N(L1202)&lt;=0),"Quantité invalide",IF(AND(K1202&lt;&gt;"",OR(NOT(ISNUMBER(K1202)),N(K1202)&lt;=0)),"Qté commandée invalide",IF(AG1202&lt;SUMPRODUCT(MAX((A$6:A1201=A1202)*AG$6:AG1201)),"Date antérieure au bon précédent",IF(AND(A1202&lt;&gt;"BR",ISNUMBER(M1202),N(M1202)&gt;0),IF(A1202="BL","Livré plus que commandé","Sorti plus que demandé"),"OK"))))))))))))</f>
        <v/>
      </c>
      <c r="Y1202" s="57" t="str">
        <f>IF(AND(OR(A1202="BL",A1202="BR",A1202="BS"),AG1202&gt;0,D1202&lt;&gt;""),A1202&amp;"|"&amp;AG1202&amp;"|"&amp;D1202&amp;"|"&amp;F1202,"")</f>
        <v/>
      </c>
      <c r="Z1202" s="57" t="str">
        <f>IF(Y1202="","",IF(COUNTIF(Y$6:Y1201,Y1202)=0,1,0))</f>
        <v/>
      </c>
      <c r="AA1202" s="57" t="str">
        <f>IF(Y1202="","",IF(Z1202=1,COUNTIFS(A$6:A1202,A1202,Z$6:Z1202,1),INDEX(AA$6:AA1201,MATCH(Y1202,Y$6:Y1201,0))))</f>
        <v/>
      </c>
      <c r="AB1202" s="57" t="str">
        <f>IF(B1202="","",COUNTIF(B$6:B1202,B1202))</f>
        <v/>
      </c>
      <c r="AC1202" s="57" t="str">
        <f>IF(B1202="","",B1202&amp;"#"&amp;AB1202)</f>
        <v/>
      </c>
      <c r="AD1202" s="57" t="str">
        <f>IF(Z1202=1,A1202&amp;AA1202,"")</f>
        <v/>
      </c>
      <c r="AE1202" s="57" t="str">
        <f>IF(B1202="","",YEAR(C1202))</f>
        <v/>
      </c>
      <c r="AF1202" s="57" t="str">
        <f>IF(B1202="","",MONTH(C1202))</f>
        <v/>
      </c>
      <c r="AG1202" s="57">
        <f>IF(ISNUMBER(C1202),C1202,0)</f>
        <v>0.0</v>
      </c>
      <c r="AH1202" s="57" t="str">
        <f>IF(N(W1202)&gt;0,COUNTIF(W$6:W1202,"&gt;0"),"")</f>
        <v/>
      </c>
      <c r="AI1202" s="57" t="str">
        <f>IF(Z1202=1,COUNTIF(Z$6:Z1202,1),"")</f>
        <v/>
      </c>
    </row>
    <row r="1203">
      <c r="A1203" s="54" t="n"/>
      <c r="B1203" s="55" t="str">
        <f>IF(AA1203="","",A1203&amp;"-"&amp;RIGHT("000"&amp;AA1203,4))</f>
        <v/>
      </c>
      <c r="C1203" s="56" t="n"/>
      <c r="D1203" s="54" t="n"/>
      <c r="E1203" s="57" t="str">
        <f>IF(D1203="","",IF(A1203="BL",IFERROR(INDEX(cl_name,MATCH(D1203,cl_code,0))&amp;"","Client inconnu"),IF(A1203="BR",IFERROR(INDEX(fo_name,MATCH(D1203,fo_code,0))&amp;"","Fournisseur inconnu"),IF(A1203="BS",IF(ISNA(MATCH(D1203,p_services,0)),"Service inconnu",D1203&amp;""),""))))</f>
        <v/>
      </c>
      <c r="F1203" s="58" t="n"/>
      <c r="G1203" s="58" t="n"/>
      <c r="H1203" s="59" t="n"/>
      <c r="I1203" s="57" t="str">
        <f>IF(H1203="","",IFERROR(INDEX(art_des,MATCH(H1203,art_ref,0))&amp;"","Article inconnu"))</f>
        <v/>
      </c>
      <c r="J1203" s="60" t="str">
        <f>IF(H1203="","",IFERROR(INDEX(art_unit,MATCH(H1203,art_ref,0))&amp;"",""))</f>
        <v/>
      </c>
      <c r="K1203" s="59" t="n"/>
      <c r="L1203" s="59" t="n"/>
      <c r="M1203" s="61" t="str">
        <f>IF(OR(B1203="",NOT(ISNUMBER(K1203)),NOT(ISNUMBER(L1203))),"",IF(OR(K1203&lt;=0,L1203&lt;=0),"",ROUND(L1203-K1203,6)))</f>
        <v/>
      </c>
      <c r="N1203" s="58" t="n"/>
      <c r="O1203" s="62" t="n"/>
      <c r="P1203" s="63" t="str">
        <f>IF(OR(B1203="",NOT(ISNUMBER(L1203))),"",IF(L1203&lt;=0,"",IFERROR(ROUND(L1203*N(INDEX(art_w,MATCH(H1203,art_ref,0))),3),"")))</f>
        <v/>
      </c>
      <c r="Q1203" s="59" t="n"/>
      <c r="R1203" s="54" t="n"/>
      <c r="S1203" s="59" t="n"/>
      <c r="T1203" s="59" t="n"/>
      <c r="U1203" s="64" t="str">
        <f>IF(OR(B1203="",H1203=""),"",IFERROR(IF(A1203="BL",IF(N(INDEX(art_price,MATCH(H1203,art_ref,0)))=0,"",N(INDEX(art_price,MATCH(H1203,art_ref,0)))),IF(N(INDEX(art_cost,MATCH(H1203,art_ref,0)))=0,"",N(INDEX(art_cost,MATCH(H1203,art_ref,0))))),""))</f>
        <v/>
      </c>
      <c r="V1203" s="64" t="str">
        <f>IF(OR(U1203="",NOT(ISNUMBER(L1203))),"",IF(L1203&lt;=0,"",ROUND(L1203*U1203,2)))</f>
        <v/>
      </c>
      <c r="W1203" s="60" t="str">
        <f>IF(AND(B1203&lt;&gt;"",A1203&lt;&gt;"BS",F1203&lt;&gt;"",H1203&lt;&gt;"",ISNUMBER(K1203),ISNUMBER(L1203)),IF(AND(K1203&gt;0,L1203&gt;0,K1203-L1203&gt;0,COUNTIFS(A1204:A$2005,A1203,F1204:F$2005,F1203,H1204:H$2005,H1203,AA1204:AA$2005,"&gt;0")=0),ROUND(K1203-L1203,6),""),"")</f>
        <v/>
      </c>
      <c r="X1203" s="60" t="str">
        <f>IF(AND(A1203="",C1203="",D1203="",H1203="",L1203=""),"",IF(A1203="","Type manquant",IF(AND(A1203&lt;&gt;"BL",A1203&lt;&gt;"BR",A1203&lt;&gt;"BS"),"Type inconnu (BL, BR ou BS)",IF(AG1203=0,"Date manquante ou invalide",IF(D1203="",IF(A1203="BL","Client manquant",IF(A1203="BR","Fournisseur manquant","Service manquant")),IF(IF(A1203="BL",ISNA(MATCH(D1203,cl_code,0)),IF(A1203="BR",ISNA(MATCH(D1203,fo_code,0)),ISNA(MATCH(D1203,p_services,0)))),IF(A1203="BL","Client inconnu",IF(A1203="BR","Fournisseur inconnu","Service inconnu")),IF(H1203="","Article manquant",IF(ISNA(MATCH(H1203,art_ref,0)),"Article inconnu",IF(OR(NOT(ISNUMBER(L1203)),N(L1203)&lt;=0),"Quantité invalide",IF(AND(K1203&lt;&gt;"",OR(NOT(ISNUMBER(K1203)),N(K1203)&lt;=0)),"Qté commandée invalide",IF(AG1203&lt;SUMPRODUCT(MAX((A$6:A1202=A1203)*AG$6:AG1202)),"Date antérieure au bon précédent",IF(AND(A1203&lt;&gt;"BR",ISNUMBER(M1203),N(M1203)&gt;0),IF(A1203="BL","Livré plus que commandé","Sorti plus que demandé"),"OK"))))))))))))</f>
        <v/>
      </c>
      <c r="Y1203" s="57" t="str">
        <f>IF(AND(OR(A1203="BL",A1203="BR",A1203="BS"),AG1203&gt;0,D1203&lt;&gt;""),A1203&amp;"|"&amp;AG1203&amp;"|"&amp;D1203&amp;"|"&amp;F1203,"")</f>
        <v/>
      </c>
      <c r="Z1203" s="57" t="str">
        <f>IF(Y1203="","",IF(COUNTIF(Y$6:Y1202,Y1203)=0,1,0))</f>
        <v/>
      </c>
      <c r="AA1203" s="57" t="str">
        <f>IF(Y1203="","",IF(Z1203=1,COUNTIFS(A$6:A1203,A1203,Z$6:Z1203,1),INDEX(AA$6:AA1202,MATCH(Y1203,Y$6:Y1202,0))))</f>
        <v/>
      </c>
      <c r="AB1203" s="57" t="str">
        <f>IF(B1203="","",COUNTIF(B$6:B1203,B1203))</f>
        <v/>
      </c>
      <c r="AC1203" s="57" t="str">
        <f>IF(B1203="","",B1203&amp;"#"&amp;AB1203)</f>
        <v/>
      </c>
      <c r="AD1203" s="57" t="str">
        <f>IF(Z1203=1,A1203&amp;AA1203,"")</f>
        <v/>
      </c>
      <c r="AE1203" s="57" t="str">
        <f>IF(B1203="","",YEAR(C1203))</f>
        <v/>
      </c>
      <c r="AF1203" s="57" t="str">
        <f>IF(B1203="","",MONTH(C1203))</f>
        <v/>
      </c>
      <c r="AG1203" s="57">
        <f>IF(ISNUMBER(C1203),C1203,0)</f>
        <v>0.0</v>
      </c>
      <c r="AH1203" s="57" t="str">
        <f>IF(N(W1203)&gt;0,COUNTIF(W$6:W1203,"&gt;0"),"")</f>
        <v/>
      </c>
      <c r="AI1203" s="57" t="str">
        <f>IF(Z1203=1,COUNTIF(Z$6:Z1203,1),"")</f>
        <v/>
      </c>
    </row>
    <row r="1204">
      <c r="A1204" s="54" t="n"/>
      <c r="B1204" s="55" t="str">
        <f>IF(AA1204="","",A1204&amp;"-"&amp;RIGHT("000"&amp;AA1204,4))</f>
        <v/>
      </c>
      <c r="C1204" s="56" t="n"/>
      <c r="D1204" s="54" t="n"/>
      <c r="E1204" s="57" t="str">
        <f>IF(D1204="","",IF(A1204="BL",IFERROR(INDEX(cl_name,MATCH(D1204,cl_code,0))&amp;"","Client inconnu"),IF(A1204="BR",IFERROR(INDEX(fo_name,MATCH(D1204,fo_code,0))&amp;"","Fournisseur inconnu"),IF(A1204="BS",IF(ISNA(MATCH(D1204,p_services,0)),"Service inconnu",D1204&amp;""),""))))</f>
        <v/>
      </c>
      <c r="F1204" s="58" t="n"/>
      <c r="G1204" s="58" t="n"/>
      <c r="H1204" s="59" t="n"/>
      <c r="I1204" s="57" t="str">
        <f>IF(H1204="","",IFERROR(INDEX(art_des,MATCH(H1204,art_ref,0))&amp;"","Article inconnu"))</f>
        <v/>
      </c>
      <c r="J1204" s="60" t="str">
        <f>IF(H1204="","",IFERROR(INDEX(art_unit,MATCH(H1204,art_ref,0))&amp;"",""))</f>
        <v/>
      </c>
      <c r="K1204" s="59" t="n"/>
      <c r="L1204" s="59" t="n"/>
      <c r="M1204" s="61" t="str">
        <f>IF(OR(B1204="",NOT(ISNUMBER(K1204)),NOT(ISNUMBER(L1204))),"",IF(OR(K1204&lt;=0,L1204&lt;=0),"",ROUND(L1204-K1204,6)))</f>
        <v/>
      </c>
      <c r="N1204" s="58" t="n"/>
      <c r="O1204" s="62" t="n"/>
      <c r="P1204" s="63" t="str">
        <f>IF(OR(B1204="",NOT(ISNUMBER(L1204))),"",IF(L1204&lt;=0,"",IFERROR(ROUND(L1204*N(INDEX(art_w,MATCH(H1204,art_ref,0))),3),"")))</f>
        <v/>
      </c>
      <c r="Q1204" s="59" t="n"/>
      <c r="R1204" s="54" t="n"/>
      <c r="S1204" s="59" t="n"/>
      <c r="T1204" s="59" t="n"/>
      <c r="U1204" s="64" t="str">
        <f>IF(OR(B1204="",H1204=""),"",IFERROR(IF(A1204="BL",IF(N(INDEX(art_price,MATCH(H1204,art_ref,0)))=0,"",N(INDEX(art_price,MATCH(H1204,art_ref,0)))),IF(N(INDEX(art_cost,MATCH(H1204,art_ref,0)))=0,"",N(INDEX(art_cost,MATCH(H1204,art_ref,0))))),""))</f>
        <v/>
      </c>
      <c r="V1204" s="64" t="str">
        <f>IF(OR(U1204="",NOT(ISNUMBER(L1204))),"",IF(L1204&lt;=0,"",ROUND(L1204*U1204,2)))</f>
        <v/>
      </c>
      <c r="W1204" s="60" t="str">
        <f>IF(AND(B1204&lt;&gt;"",A1204&lt;&gt;"BS",F1204&lt;&gt;"",H1204&lt;&gt;"",ISNUMBER(K1204),ISNUMBER(L1204)),IF(AND(K1204&gt;0,L1204&gt;0,K1204-L1204&gt;0,COUNTIFS(A1205:A$2005,A1204,F1205:F$2005,F1204,H1205:H$2005,H1204,AA1205:AA$2005,"&gt;0")=0),ROUND(K1204-L1204,6),""),"")</f>
        <v/>
      </c>
      <c r="X1204" s="60" t="str">
        <f>IF(AND(A1204="",C1204="",D1204="",H1204="",L1204=""),"",IF(A1204="","Type manquant",IF(AND(A1204&lt;&gt;"BL",A1204&lt;&gt;"BR",A1204&lt;&gt;"BS"),"Type inconnu (BL, BR ou BS)",IF(AG1204=0,"Date manquante ou invalide",IF(D1204="",IF(A1204="BL","Client manquant",IF(A1204="BR","Fournisseur manquant","Service manquant")),IF(IF(A1204="BL",ISNA(MATCH(D1204,cl_code,0)),IF(A1204="BR",ISNA(MATCH(D1204,fo_code,0)),ISNA(MATCH(D1204,p_services,0)))),IF(A1204="BL","Client inconnu",IF(A1204="BR","Fournisseur inconnu","Service inconnu")),IF(H1204="","Article manquant",IF(ISNA(MATCH(H1204,art_ref,0)),"Article inconnu",IF(OR(NOT(ISNUMBER(L1204)),N(L1204)&lt;=0),"Quantité invalide",IF(AND(K1204&lt;&gt;"",OR(NOT(ISNUMBER(K1204)),N(K1204)&lt;=0)),"Qté commandée invalide",IF(AG1204&lt;SUMPRODUCT(MAX((A$6:A1203=A1204)*AG$6:AG1203)),"Date antérieure au bon précédent",IF(AND(A1204&lt;&gt;"BR",ISNUMBER(M1204),N(M1204)&gt;0),IF(A1204="BL","Livré plus que commandé","Sorti plus que demandé"),"OK"))))))))))))</f>
        <v/>
      </c>
      <c r="Y1204" s="57" t="str">
        <f>IF(AND(OR(A1204="BL",A1204="BR",A1204="BS"),AG1204&gt;0,D1204&lt;&gt;""),A1204&amp;"|"&amp;AG1204&amp;"|"&amp;D1204&amp;"|"&amp;F1204,"")</f>
        <v/>
      </c>
      <c r="Z1204" s="57" t="str">
        <f>IF(Y1204="","",IF(COUNTIF(Y$6:Y1203,Y1204)=0,1,0))</f>
        <v/>
      </c>
      <c r="AA1204" s="57" t="str">
        <f>IF(Y1204="","",IF(Z1204=1,COUNTIFS(A$6:A1204,A1204,Z$6:Z1204,1),INDEX(AA$6:AA1203,MATCH(Y1204,Y$6:Y1203,0))))</f>
        <v/>
      </c>
      <c r="AB1204" s="57" t="str">
        <f>IF(B1204="","",COUNTIF(B$6:B1204,B1204))</f>
        <v/>
      </c>
      <c r="AC1204" s="57" t="str">
        <f>IF(B1204="","",B1204&amp;"#"&amp;AB1204)</f>
        <v/>
      </c>
      <c r="AD1204" s="57" t="str">
        <f>IF(Z1204=1,A1204&amp;AA1204,"")</f>
        <v/>
      </c>
      <c r="AE1204" s="57" t="str">
        <f>IF(B1204="","",YEAR(C1204))</f>
        <v/>
      </c>
      <c r="AF1204" s="57" t="str">
        <f>IF(B1204="","",MONTH(C1204))</f>
        <v/>
      </c>
      <c r="AG1204" s="57">
        <f>IF(ISNUMBER(C1204),C1204,0)</f>
        <v>0.0</v>
      </c>
      <c r="AH1204" s="57" t="str">
        <f>IF(N(W1204)&gt;0,COUNTIF(W$6:W1204,"&gt;0"),"")</f>
        <v/>
      </c>
      <c r="AI1204" s="57" t="str">
        <f>IF(Z1204=1,COUNTIF(Z$6:Z1204,1),"")</f>
        <v/>
      </c>
    </row>
    <row r="1205">
      <c r="A1205" s="54" t="n"/>
      <c r="B1205" s="55" t="str">
        <f>IF(AA1205="","",A1205&amp;"-"&amp;RIGHT("000"&amp;AA1205,4))</f>
        <v/>
      </c>
      <c r="C1205" s="56" t="n"/>
      <c r="D1205" s="54" t="n"/>
      <c r="E1205" s="57" t="str">
        <f>IF(D1205="","",IF(A1205="BL",IFERROR(INDEX(cl_name,MATCH(D1205,cl_code,0))&amp;"","Client inconnu"),IF(A1205="BR",IFERROR(INDEX(fo_name,MATCH(D1205,fo_code,0))&amp;"","Fournisseur inconnu"),IF(A1205="BS",IF(ISNA(MATCH(D1205,p_services,0)),"Service inconnu",D1205&amp;""),""))))</f>
        <v/>
      </c>
      <c r="F1205" s="58" t="n"/>
      <c r="G1205" s="58" t="n"/>
      <c r="H1205" s="59" t="n"/>
      <c r="I1205" s="57" t="str">
        <f>IF(H1205="","",IFERROR(INDEX(art_des,MATCH(H1205,art_ref,0))&amp;"","Article inconnu"))</f>
        <v/>
      </c>
      <c r="J1205" s="60" t="str">
        <f>IF(H1205="","",IFERROR(INDEX(art_unit,MATCH(H1205,art_ref,0))&amp;"",""))</f>
        <v/>
      </c>
      <c r="K1205" s="59" t="n"/>
      <c r="L1205" s="59" t="n"/>
      <c r="M1205" s="61" t="str">
        <f>IF(OR(B1205="",NOT(ISNUMBER(K1205)),NOT(ISNUMBER(L1205))),"",IF(OR(K1205&lt;=0,L1205&lt;=0),"",ROUND(L1205-K1205,6)))</f>
        <v/>
      </c>
      <c r="N1205" s="58" t="n"/>
      <c r="O1205" s="62" t="n"/>
      <c r="P1205" s="63" t="str">
        <f>IF(OR(B1205="",NOT(ISNUMBER(L1205))),"",IF(L1205&lt;=0,"",IFERROR(ROUND(L1205*N(INDEX(art_w,MATCH(H1205,art_ref,0))),3),"")))</f>
        <v/>
      </c>
      <c r="Q1205" s="59" t="n"/>
      <c r="R1205" s="54" t="n"/>
      <c r="S1205" s="59" t="n"/>
      <c r="T1205" s="59" t="n"/>
      <c r="U1205" s="64" t="str">
        <f>IF(OR(B1205="",H1205=""),"",IFERROR(IF(A1205="BL",IF(N(INDEX(art_price,MATCH(H1205,art_ref,0)))=0,"",N(INDEX(art_price,MATCH(H1205,art_ref,0)))),IF(N(INDEX(art_cost,MATCH(H1205,art_ref,0)))=0,"",N(INDEX(art_cost,MATCH(H1205,art_ref,0))))),""))</f>
        <v/>
      </c>
      <c r="V1205" s="64" t="str">
        <f>IF(OR(U1205="",NOT(ISNUMBER(L1205))),"",IF(L1205&lt;=0,"",ROUND(L1205*U1205,2)))</f>
        <v/>
      </c>
      <c r="W1205" s="60" t="str">
        <f>IF(AND(B1205&lt;&gt;"",A1205&lt;&gt;"BS",F1205&lt;&gt;"",H1205&lt;&gt;"",ISNUMBER(K1205),ISNUMBER(L1205)),IF(AND(K1205&gt;0,L1205&gt;0,K1205-L1205&gt;0,COUNTIFS(A1206:A$2005,A1205,F1206:F$2005,F1205,H1206:H$2005,H1205,AA1206:AA$2005,"&gt;0")=0),ROUND(K1205-L1205,6),""),"")</f>
        <v/>
      </c>
      <c r="X1205" s="60" t="str">
        <f>IF(AND(A1205="",C1205="",D1205="",H1205="",L1205=""),"",IF(A1205="","Type manquant",IF(AND(A1205&lt;&gt;"BL",A1205&lt;&gt;"BR",A1205&lt;&gt;"BS"),"Type inconnu (BL, BR ou BS)",IF(AG1205=0,"Date manquante ou invalide",IF(D1205="",IF(A1205="BL","Client manquant",IF(A1205="BR","Fournisseur manquant","Service manquant")),IF(IF(A1205="BL",ISNA(MATCH(D1205,cl_code,0)),IF(A1205="BR",ISNA(MATCH(D1205,fo_code,0)),ISNA(MATCH(D1205,p_services,0)))),IF(A1205="BL","Client inconnu",IF(A1205="BR","Fournisseur inconnu","Service inconnu")),IF(H1205="","Article manquant",IF(ISNA(MATCH(H1205,art_ref,0)),"Article inconnu",IF(OR(NOT(ISNUMBER(L1205)),N(L1205)&lt;=0),"Quantité invalide",IF(AND(K1205&lt;&gt;"",OR(NOT(ISNUMBER(K1205)),N(K1205)&lt;=0)),"Qté commandée invalide",IF(AG1205&lt;SUMPRODUCT(MAX((A$6:A1204=A1205)*AG$6:AG1204)),"Date antérieure au bon précédent",IF(AND(A1205&lt;&gt;"BR",ISNUMBER(M1205),N(M1205)&gt;0),IF(A1205="BL","Livré plus que commandé","Sorti plus que demandé"),"OK"))))))))))))</f>
        <v/>
      </c>
      <c r="Y1205" s="57" t="str">
        <f>IF(AND(OR(A1205="BL",A1205="BR",A1205="BS"),AG1205&gt;0,D1205&lt;&gt;""),A1205&amp;"|"&amp;AG1205&amp;"|"&amp;D1205&amp;"|"&amp;F1205,"")</f>
        <v/>
      </c>
      <c r="Z1205" s="57" t="str">
        <f>IF(Y1205="","",IF(COUNTIF(Y$6:Y1204,Y1205)=0,1,0))</f>
        <v/>
      </c>
      <c r="AA1205" s="57" t="str">
        <f>IF(Y1205="","",IF(Z1205=1,COUNTIFS(A$6:A1205,A1205,Z$6:Z1205,1),INDEX(AA$6:AA1204,MATCH(Y1205,Y$6:Y1204,0))))</f>
        <v/>
      </c>
      <c r="AB1205" s="57" t="str">
        <f>IF(B1205="","",COUNTIF(B$6:B1205,B1205))</f>
        <v/>
      </c>
      <c r="AC1205" s="57" t="str">
        <f>IF(B1205="","",B1205&amp;"#"&amp;AB1205)</f>
        <v/>
      </c>
      <c r="AD1205" s="57" t="str">
        <f>IF(Z1205=1,A1205&amp;AA1205,"")</f>
        <v/>
      </c>
      <c r="AE1205" s="57" t="str">
        <f>IF(B1205="","",YEAR(C1205))</f>
        <v/>
      </c>
      <c r="AF1205" s="57" t="str">
        <f>IF(B1205="","",MONTH(C1205))</f>
        <v/>
      </c>
      <c r="AG1205" s="57">
        <f>IF(ISNUMBER(C1205),C1205,0)</f>
        <v>0.0</v>
      </c>
      <c r="AH1205" s="57" t="str">
        <f>IF(N(W1205)&gt;0,COUNTIF(W$6:W1205,"&gt;0"),"")</f>
        <v/>
      </c>
      <c r="AI1205" s="57" t="str">
        <f>IF(Z1205=1,COUNTIF(Z$6:Z1205,1),"")</f>
        <v/>
      </c>
    </row>
    <row r="1206">
      <c r="A1206" s="54" t="n"/>
      <c r="B1206" s="55" t="str">
        <f>IF(AA1206="","",A1206&amp;"-"&amp;RIGHT("000"&amp;AA1206,4))</f>
        <v/>
      </c>
      <c r="C1206" s="56" t="n"/>
      <c r="D1206" s="54" t="n"/>
      <c r="E1206" s="57" t="str">
        <f>IF(D1206="","",IF(A1206="BL",IFERROR(INDEX(cl_name,MATCH(D1206,cl_code,0))&amp;"","Client inconnu"),IF(A1206="BR",IFERROR(INDEX(fo_name,MATCH(D1206,fo_code,0))&amp;"","Fournisseur inconnu"),IF(A1206="BS",IF(ISNA(MATCH(D1206,p_services,0)),"Service inconnu",D1206&amp;""),""))))</f>
        <v/>
      </c>
      <c r="F1206" s="58" t="n"/>
      <c r="G1206" s="58" t="n"/>
      <c r="H1206" s="59" t="n"/>
      <c r="I1206" s="57" t="str">
        <f>IF(H1206="","",IFERROR(INDEX(art_des,MATCH(H1206,art_ref,0))&amp;"","Article inconnu"))</f>
        <v/>
      </c>
      <c r="J1206" s="60" t="str">
        <f>IF(H1206="","",IFERROR(INDEX(art_unit,MATCH(H1206,art_ref,0))&amp;"",""))</f>
        <v/>
      </c>
      <c r="K1206" s="59" t="n"/>
      <c r="L1206" s="59" t="n"/>
      <c r="M1206" s="61" t="str">
        <f>IF(OR(B1206="",NOT(ISNUMBER(K1206)),NOT(ISNUMBER(L1206))),"",IF(OR(K1206&lt;=0,L1206&lt;=0),"",ROUND(L1206-K1206,6)))</f>
        <v/>
      </c>
      <c r="N1206" s="58" t="n"/>
      <c r="O1206" s="62" t="n"/>
      <c r="P1206" s="63" t="str">
        <f>IF(OR(B1206="",NOT(ISNUMBER(L1206))),"",IF(L1206&lt;=0,"",IFERROR(ROUND(L1206*N(INDEX(art_w,MATCH(H1206,art_ref,0))),3),"")))</f>
        <v/>
      </c>
      <c r="Q1206" s="59" t="n"/>
      <c r="R1206" s="54" t="n"/>
      <c r="S1206" s="59" t="n"/>
      <c r="T1206" s="59" t="n"/>
      <c r="U1206" s="64" t="str">
        <f>IF(OR(B1206="",H1206=""),"",IFERROR(IF(A1206="BL",IF(N(INDEX(art_price,MATCH(H1206,art_ref,0)))=0,"",N(INDEX(art_price,MATCH(H1206,art_ref,0)))),IF(N(INDEX(art_cost,MATCH(H1206,art_ref,0)))=0,"",N(INDEX(art_cost,MATCH(H1206,art_ref,0))))),""))</f>
        <v/>
      </c>
      <c r="V1206" s="64" t="str">
        <f>IF(OR(U1206="",NOT(ISNUMBER(L1206))),"",IF(L1206&lt;=0,"",ROUND(L1206*U1206,2)))</f>
        <v/>
      </c>
      <c r="W1206" s="60" t="str">
        <f>IF(AND(B1206&lt;&gt;"",A1206&lt;&gt;"BS",F1206&lt;&gt;"",H1206&lt;&gt;"",ISNUMBER(K1206),ISNUMBER(L1206)),IF(AND(K1206&gt;0,L1206&gt;0,K1206-L1206&gt;0,COUNTIFS(A1207:A$2005,A1206,F1207:F$2005,F1206,H1207:H$2005,H1206,AA1207:AA$2005,"&gt;0")=0),ROUND(K1206-L1206,6),""),"")</f>
        <v/>
      </c>
      <c r="X1206" s="60" t="str">
        <f>IF(AND(A1206="",C1206="",D1206="",H1206="",L1206=""),"",IF(A1206="","Type manquant",IF(AND(A1206&lt;&gt;"BL",A1206&lt;&gt;"BR",A1206&lt;&gt;"BS"),"Type inconnu (BL, BR ou BS)",IF(AG1206=0,"Date manquante ou invalide",IF(D1206="",IF(A1206="BL","Client manquant",IF(A1206="BR","Fournisseur manquant","Service manquant")),IF(IF(A1206="BL",ISNA(MATCH(D1206,cl_code,0)),IF(A1206="BR",ISNA(MATCH(D1206,fo_code,0)),ISNA(MATCH(D1206,p_services,0)))),IF(A1206="BL","Client inconnu",IF(A1206="BR","Fournisseur inconnu","Service inconnu")),IF(H1206="","Article manquant",IF(ISNA(MATCH(H1206,art_ref,0)),"Article inconnu",IF(OR(NOT(ISNUMBER(L1206)),N(L1206)&lt;=0),"Quantité invalide",IF(AND(K1206&lt;&gt;"",OR(NOT(ISNUMBER(K1206)),N(K1206)&lt;=0)),"Qté commandée invalide",IF(AG1206&lt;SUMPRODUCT(MAX((A$6:A1205=A1206)*AG$6:AG1205)),"Date antérieure au bon précédent",IF(AND(A1206&lt;&gt;"BR",ISNUMBER(M1206),N(M1206)&gt;0),IF(A1206="BL","Livré plus que commandé","Sorti plus que demandé"),"OK"))))))))))))</f>
        <v/>
      </c>
      <c r="Y1206" s="57" t="str">
        <f>IF(AND(OR(A1206="BL",A1206="BR",A1206="BS"),AG1206&gt;0,D1206&lt;&gt;""),A1206&amp;"|"&amp;AG1206&amp;"|"&amp;D1206&amp;"|"&amp;F1206,"")</f>
        <v/>
      </c>
      <c r="Z1206" s="57" t="str">
        <f>IF(Y1206="","",IF(COUNTIF(Y$6:Y1205,Y1206)=0,1,0))</f>
        <v/>
      </c>
      <c r="AA1206" s="57" t="str">
        <f>IF(Y1206="","",IF(Z1206=1,COUNTIFS(A$6:A1206,A1206,Z$6:Z1206,1),INDEX(AA$6:AA1205,MATCH(Y1206,Y$6:Y1205,0))))</f>
        <v/>
      </c>
      <c r="AB1206" s="57" t="str">
        <f>IF(B1206="","",COUNTIF(B$6:B1206,B1206))</f>
        <v/>
      </c>
      <c r="AC1206" s="57" t="str">
        <f>IF(B1206="","",B1206&amp;"#"&amp;AB1206)</f>
        <v/>
      </c>
      <c r="AD1206" s="57" t="str">
        <f>IF(Z1206=1,A1206&amp;AA1206,"")</f>
        <v/>
      </c>
      <c r="AE1206" s="57" t="str">
        <f>IF(B1206="","",YEAR(C1206))</f>
        <v/>
      </c>
      <c r="AF1206" s="57" t="str">
        <f>IF(B1206="","",MONTH(C1206))</f>
        <v/>
      </c>
      <c r="AG1206" s="57">
        <f>IF(ISNUMBER(C1206),C1206,0)</f>
        <v>0.0</v>
      </c>
      <c r="AH1206" s="57" t="str">
        <f>IF(N(W1206)&gt;0,COUNTIF(W$6:W1206,"&gt;0"),"")</f>
        <v/>
      </c>
      <c r="AI1206" s="57" t="str">
        <f>IF(Z1206=1,COUNTIF(Z$6:Z1206,1),"")</f>
        <v/>
      </c>
    </row>
    <row r="1207">
      <c r="A1207" s="54" t="n"/>
      <c r="B1207" s="55" t="str">
        <f>IF(AA1207="","",A1207&amp;"-"&amp;RIGHT("000"&amp;AA1207,4))</f>
        <v/>
      </c>
      <c r="C1207" s="56" t="n"/>
      <c r="D1207" s="54" t="n"/>
      <c r="E1207" s="57" t="str">
        <f>IF(D1207="","",IF(A1207="BL",IFERROR(INDEX(cl_name,MATCH(D1207,cl_code,0))&amp;"","Client inconnu"),IF(A1207="BR",IFERROR(INDEX(fo_name,MATCH(D1207,fo_code,0))&amp;"","Fournisseur inconnu"),IF(A1207="BS",IF(ISNA(MATCH(D1207,p_services,0)),"Service inconnu",D1207&amp;""),""))))</f>
        <v/>
      </c>
      <c r="F1207" s="58" t="n"/>
      <c r="G1207" s="58" t="n"/>
      <c r="H1207" s="59" t="n"/>
      <c r="I1207" s="57" t="str">
        <f>IF(H1207="","",IFERROR(INDEX(art_des,MATCH(H1207,art_ref,0))&amp;"","Article inconnu"))</f>
        <v/>
      </c>
      <c r="J1207" s="60" t="str">
        <f>IF(H1207="","",IFERROR(INDEX(art_unit,MATCH(H1207,art_ref,0))&amp;"",""))</f>
        <v/>
      </c>
      <c r="K1207" s="59" t="n"/>
      <c r="L1207" s="59" t="n"/>
      <c r="M1207" s="61" t="str">
        <f>IF(OR(B1207="",NOT(ISNUMBER(K1207)),NOT(ISNUMBER(L1207))),"",IF(OR(K1207&lt;=0,L1207&lt;=0),"",ROUND(L1207-K1207,6)))</f>
        <v/>
      </c>
      <c r="N1207" s="58" t="n"/>
      <c r="O1207" s="62" t="n"/>
      <c r="P1207" s="63" t="str">
        <f>IF(OR(B1207="",NOT(ISNUMBER(L1207))),"",IF(L1207&lt;=0,"",IFERROR(ROUND(L1207*N(INDEX(art_w,MATCH(H1207,art_ref,0))),3),"")))</f>
        <v/>
      </c>
      <c r="Q1207" s="59" t="n"/>
      <c r="R1207" s="54" t="n"/>
      <c r="S1207" s="59" t="n"/>
      <c r="T1207" s="59" t="n"/>
      <c r="U1207" s="64" t="str">
        <f>IF(OR(B1207="",H1207=""),"",IFERROR(IF(A1207="BL",IF(N(INDEX(art_price,MATCH(H1207,art_ref,0)))=0,"",N(INDEX(art_price,MATCH(H1207,art_ref,0)))),IF(N(INDEX(art_cost,MATCH(H1207,art_ref,0)))=0,"",N(INDEX(art_cost,MATCH(H1207,art_ref,0))))),""))</f>
        <v/>
      </c>
      <c r="V1207" s="64" t="str">
        <f>IF(OR(U1207="",NOT(ISNUMBER(L1207))),"",IF(L1207&lt;=0,"",ROUND(L1207*U1207,2)))</f>
        <v/>
      </c>
      <c r="W1207" s="60" t="str">
        <f>IF(AND(B1207&lt;&gt;"",A1207&lt;&gt;"BS",F1207&lt;&gt;"",H1207&lt;&gt;"",ISNUMBER(K1207),ISNUMBER(L1207)),IF(AND(K1207&gt;0,L1207&gt;0,K1207-L1207&gt;0,COUNTIFS(A1208:A$2005,A1207,F1208:F$2005,F1207,H1208:H$2005,H1207,AA1208:AA$2005,"&gt;0")=0),ROUND(K1207-L1207,6),""),"")</f>
        <v/>
      </c>
      <c r="X1207" s="60" t="str">
        <f>IF(AND(A1207="",C1207="",D1207="",H1207="",L1207=""),"",IF(A1207="","Type manquant",IF(AND(A1207&lt;&gt;"BL",A1207&lt;&gt;"BR",A1207&lt;&gt;"BS"),"Type inconnu (BL, BR ou BS)",IF(AG1207=0,"Date manquante ou invalide",IF(D1207="",IF(A1207="BL","Client manquant",IF(A1207="BR","Fournisseur manquant","Service manquant")),IF(IF(A1207="BL",ISNA(MATCH(D1207,cl_code,0)),IF(A1207="BR",ISNA(MATCH(D1207,fo_code,0)),ISNA(MATCH(D1207,p_services,0)))),IF(A1207="BL","Client inconnu",IF(A1207="BR","Fournisseur inconnu","Service inconnu")),IF(H1207="","Article manquant",IF(ISNA(MATCH(H1207,art_ref,0)),"Article inconnu",IF(OR(NOT(ISNUMBER(L1207)),N(L1207)&lt;=0),"Quantité invalide",IF(AND(K1207&lt;&gt;"",OR(NOT(ISNUMBER(K1207)),N(K1207)&lt;=0)),"Qté commandée invalide",IF(AG1207&lt;SUMPRODUCT(MAX((A$6:A1206=A1207)*AG$6:AG1206)),"Date antérieure au bon précédent",IF(AND(A1207&lt;&gt;"BR",ISNUMBER(M1207),N(M1207)&gt;0),IF(A1207="BL","Livré plus que commandé","Sorti plus que demandé"),"OK"))))))))))))</f>
        <v/>
      </c>
      <c r="Y1207" s="57" t="str">
        <f>IF(AND(OR(A1207="BL",A1207="BR",A1207="BS"),AG1207&gt;0,D1207&lt;&gt;""),A1207&amp;"|"&amp;AG1207&amp;"|"&amp;D1207&amp;"|"&amp;F1207,"")</f>
        <v/>
      </c>
      <c r="Z1207" s="57" t="str">
        <f>IF(Y1207="","",IF(COUNTIF(Y$6:Y1206,Y1207)=0,1,0))</f>
        <v/>
      </c>
      <c r="AA1207" s="57" t="str">
        <f>IF(Y1207="","",IF(Z1207=1,COUNTIFS(A$6:A1207,A1207,Z$6:Z1207,1),INDEX(AA$6:AA1206,MATCH(Y1207,Y$6:Y1206,0))))</f>
        <v/>
      </c>
      <c r="AB1207" s="57" t="str">
        <f>IF(B1207="","",COUNTIF(B$6:B1207,B1207))</f>
        <v/>
      </c>
      <c r="AC1207" s="57" t="str">
        <f>IF(B1207="","",B1207&amp;"#"&amp;AB1207)</f>
        <v/>
      </c>
      <c r="AD1207" s="57" t="str">
        <f>IF(Z1207=1,A1207&amp;AA1207,"")</f>
        <v/>
      </c>
      <c r="AE1207" s="57" t="str">
        <f>IF(B1207="","",YEAR(C1207))</f>
        <v/>
      </c>
      <c r="AF1207" s="57" t="str">
        <f>IF(B1207="","",MONTH(C1207))</f>
        <v/>
      </c>
      <c r="AG1207" s="57">
        <f>IF(ISNUMBER(C1207),C1207,0)</f>
        <v>0.0</v>
      </c>
      <c r="AH1207" s="57" t="str">
        <f>IF(N(W1207)&gt;0,COUNTIF(W$6:W1207,"&gt;0"),"")</f>
        <v/>
      </c>
      <c r="AI1207" s="57" t="str">
        <f>IF(Z1207=1,COUNTIF(Z$6:Z1207,1),"")</f>
        <v/>
      </c>
    </row>
    <row r="1208">
      <c r="A1208" s="54" t="n"/>
      <c r="B1208" s="55" t="str">
        <f>IF(AA1208="","",A1208&amp;"-"&amp;RIGHT("000"&amp;AA1208,4))</f>
        <v/>
      </c>
      <c r="C1208" s="56" t="n"/>
      <c r="D1208" s="54" t="n"/>
      <c r="E1208" s="57" t="str">
        <f>IF(D1208="","",IF(A1208="BL",IFERROR(INDEX(cl_name,MATCH(D1208,cl_code,0))&amp;"","Client inconnu"),IF(A1208="BR",IFERROR(INDEX(fo_name,MATCH(D1208,fo_code,0))&amp;"","Fournisseur inconnu"),IF(A1208="BS",IF(ISNA(MATCH(D1208,p_services,0)),"Service inconnu",D1208&amp;""),""))))</f>
        <v/>
      </c>
      <c r="F1208" s="58" t="n"/>
      <c r="G1208" s="58" t="n"/>
      <c r="H1208" s="59" t="n"/>
      <c r="I1208" s="57" t="str">
        <f>IF(H1208="","",IFERROR(INDEX(art_des,MATCH(H1208,art_ref,0))&amp;"","Article inconnu"))</f>
        <v/>
      </c>
      <c r="J1208" s="60" t="str">
        <f>IF(H1208="","",IFERROR(INDEX(art_unit,MATCH(H1208,art_ref,0))&amp;"",""))</f>
        <v/>
      </c>
      <c r="K1208" s="59" t="n"/>
      <c r="L1208" s="59" t="n"/>
      <c r="M1208" s="61" t="str">
        <f>IF(OR(B1208="",NOT(ISNUMBER(K1208)),NOT(ISNUMBER(L1208))),"",IF(OR(K1208&lt;=0,L1208&lt;=0),"",ROUND(L1208-K1208,6)))</f>
        <v/>
      </c>
      <c r="N1208" s="58" t="n"/>
      <c r="O1208" s="62" t="n"/>
      <c r="P1208" s="63" t="str">
        <f>IF(OR(B1208="",NOT(ISNUMBER(L1208))),"",IF(L1208&lt;=0,"",IFERROR(ROUND(L1208*N(INDEX(art_w,MATCH(H1208,art_ref,0))),3),"")))</f>
        <v/>
      </c>
      <c r="Q1208" s="59" t="n"/>
      <c r="R1208" s="54" t="n"/>
      <c r="S1208" s="59" t="n"/>
      <c r="T1208" s="59" t="n"/>
      <c r="U1208" s="64" t="str">
        <f>IF(OR(B1208="",H1208=""),"",IFERROR(IF(A1208="BL",IF(N(INDEX(art_price,MATCH(H1208,art_ref,0)))=0,"",N(INDEX(art_price,MATCH(H1208,art_ref,0)))),IF(N(INDEX(art_cost,MATCH(H1208,art_ref,0)))=0,"",N(INDEX(art_cost,MATCH(H1208,art_ref,0))))),""))</f>
        <v/>
      </c>
      <c r="V1208" s="64" t="str">
        <f>IF(OR(U1208="",NOT(ISNUMBER(L1208))),"",IF(L1208&lt;=0,"",ROUND(L1208*U1208,2)))</f>
        <v/>
      </c>
      <c r="W1208" s="60" t="str">
        <f>IF(AND(B1208&lt;&gt;"",A1208&lt;&gt;"BS",F1208&lt;&gt;"",H1208&lt;&gt;"",ISNUMBER(K1208),ISNUMBER(L1208)),IF(AND(K1208&gt;0,L1208&gt;0,K1208-L1208&gt;0,COUNTIFS(A1209:A$2005,A1208,F1209:F$2005,F1208,H1209:H$2005,H1208,AA1209:AA$2005,"&gt;0")=0),ROUND(K1208-L1208,6),""),"")</f>
        <v/>
      </c>
      <c r="X1208" s="60" t="str">
        <f>IF(AND(A1208="",C1208="",D1208="",H1208="",L1208=""),"",IF(A1208="","Type manquant",IF(AND(A1208&lt;&gt;"BL",A1208&lt;&gt;"BR",A1208&lt;&gt;"BS"),"Type inconnu (BL, BR ou BS)",IF(AG1208=0,"Date manquante ou invalide",IF(D1208="",IF(A1208="BL","Client manquant",IF(A1208="BR","Fournisseur manquant","Service manquant")),IF(IF(A1208="BL",ISNA(MATCH(D1208,cl_code,0)),IF(A1208="BR",ISNA(MATCH(D1208,fo_code,0)),ISNA(MATCH(D1208,p_services,0)))),IF(A1208="BL","Client inconnu",IF(A1208="BR","Fournisseur inconnu","Service inconnu")),IF(H1208="","Article manquant",IF(ISNA(MATCH(H1208,art_ref,0)),"Article inconnu",IF(OR(NOT(ISNUMBER(L1208)),N(L1208)&lt;=0),"Quantité invalide",IF(AND(K1208&lt;&gt;"",OR(NOT(ISNUMBER(K1208)),N(K1208)&lt;=0)),"Qté commandée invalide",IF(AG1208&lt;SUMPRODUCT(MAX((A$6:A1207=A1208)*AG$6:AG1207)),"Date antérieure au bon précédent",IF(AND(A1208&lt;&gt;"BR",ISNUMBER(M1208),N(M1208)&gt;0),IF(A1208="BL","Livré plus que commandé","Sorti plus que demandé"),"OK"))))))))))))</f>
        <v/>
      </c>
      <c r="Y1208" s="57" t="str">
        <f>IF(AND(OR(A1208="BL",A1208="BR",A1208="BS"),AG1208&gt;0,D1208&lt;&gt;""),A1208&amp;"|"&amp;AG1208&amp;"|"&amp;D1208&amp;"|"&amp;F1208,"")</f>
        <v/>
      </c>
      <c r="Z1208" s="57" t="str">
        <f>IF(Y1208="","",IF(COUNTIF(Y$6:Y1207,Y1208)=0,1,0))</f>
        <v/>
      </c>
      <c r="AA1208" s="57" t="str">
        <f>IF(Y1208="","",IF(Z1208=1,COUNTIFS(A$6:A1208,A1208,Z$6:Z1208,1),INDEX(AA$6:AA1207,MATCH(Y1208,Y$6:Y1207,0))))</f>
        <v/>
      </c>
      <c r="AB1208" s="57" t="str">
        <f>IF(B1208="","",COUNTIF(B$6:B1208,B1208))</f>
        <v/>
      </c>
      <c r="AC1208" s="57" t="str">
        <f>IF(B1208="","",B1208&amp;"#"&amp;AB1208)</f>
        <v/>
      </c>
      <c r="AD1208" s="57" t="str">
        <f>IF(Z1208=1,A1208&amp;AA1208,"")</f>
        <v/>
      </c>
      <c r="AE1208" s="57" t="str">
        <f>IF(B1208="","",YEAR(C1208))</f>
        <v/>
      </c>
      <c r="AF1208" s="57" t="str">
        <f>IF(B1208="","",MONTH(C1208))</f>
        <v/>
      </c>
      <c r="AG1208" s="57">
        <f>IF(ISNUMBER(C1208),C1208,0)</f>
        <v>0.0</v>
      </c>
      <c r="AH1208" s="57" t="str">
        <f>IF(N(W1208)&gt;0,COUNTIF(W$6:W1208,"&gt;0"),"")</f>
        <v/>
      </c>
      <c r="AI1208" s="57" t="str">
        <f>IF(Z1208=1,COUNTIF(Z$6:Z1208,1),"")</f>
        <v/>
      </c>
    </row>
    <row r="1209">
      <c r="A1209" s="54" t="n"/>
      <c r="B1209" s="55" t="str">
        <f>IF(AA1209="","",A1209&amp;"-"&amp;RIGHT("000"&amp;AA1209,4))</f>
        <v/>
      </c>
      <c r="C1209" s="56" t="n"/>
      <c r="D1209" s="54" t="n"/>
      <c r="E1209" s="57" t="str">
        <f>IF(D1209="","",IF(A1209="BL",IFERROR(INDEX(cl_name,MATCH(D1209,cl_code,0))&amp;"","Client inconnu"),IF(A1209="BR",IFERROR(INDEX(fo_name,MATCH(D1209,fo_code,0))&amp;"","Fournisseur inconnu"),IF(A1209="BS",IF(ISNA(MATCH(D1209,p_services,0)),"Service inconnu",D1209&amp;""),""))))</f>
        <v/>
      </c>
      <c r="F1209" s="58" t="n"/>
      <c r="G1209" s="58" t="n"/>
      <c r="H1209" s="59" t="n"/>
      <c r="I1209" s="57" t="str">
        <f>IF(H1209="","",IFERROR(INDEX(art_des,MATCH(H1209,art_ref,0))&amp;"","Article inconnu"))</f>
        <v/>
      </c>
      <c r="J1209" s="60" t="str">
        <f>IF(H1209="","",IFERROR(INDEX(art_unit,MATCH(H1209,art_ref,0))&amp;"",""))</f>
        <v/>
      </c>
      <c r="K1209" s="59" t="n"/>
      <c r="L1209" s="59" t="n"/>
      <c r="M1209" s="61" t="str">
        <f>IF(OR(B1209="",NOT(ISNUMBER(K1209)),NOT(ISNUMBER(L1209))),"",IF(OR(K1209&lt;=0,L1209&lt;=0),"",ROUND(L1209-K1209,6)))</f>
        <v/>
      </c>
      <c r="N1209" s="58" t="n"/>
      <c r="O1209" s="62" t="n"/>
      <c r="P1209" s="63" t="str">
        <f>IF(OR(B1209="",NOT(ISNUMBER(L1209))),"",IF(L1209&lt;=0,"",IFERROR(ROUND(L1209*N(INDEX(art_w,MATCH(H1209,art_ref,0))),3),"")))</f>
        <v/>
      </c>
      <c r="Q1209" s="59" t="n"/>
      <c r="R1209" s="54" t="n"/>
      <c r="S1209" s="59" t="n"/>
      <c r="T1209" s="59" t="n"/>
      <c r="U1209" s="64" t="str">
        <f>IF(OR(B1209="",H1209=""),"",IFERROR(IF(A1209="BL",IF(N(INDEX(art_price,MATCH(H1209,art_ref,0)))=0,"",N(INDEX(art_price,MATCH(H1209,art_ref,0)))),IF(N(INDEX(art_cost,MATCH(H1209,art_ref,0)))=0,"",N(INDEX(art_cost,MATCH(H1209,art_ref,0))))),""))</f>
        <v/>
      </c>
      <c r="V1209" s="64" t="str">
        <f>IF(OR(U1209="",NOT(ISNUMBER(L1209))),"",IF(L1209&lt;=0,"",ROUND(L1209*U1209,2)))</f>
        <v/>
      </c>
      <c r="W1209" s="60" t="str">
        <f>IF(AND(B1209&lt;&gt;"",A1209&lt;&gt;"BS",F1209&lt;&gt;"",H1209&lt;&gt;"",ISNUMBER(K1209),ISNUMBER(L1209)),IF(AND(K1209&gt;0,L1209&gt;0,K1209-L1209&gt;0,COUNTIFS(A1210:A$2005,A1209,F1210:F$2005,F1209,H1210:H$2005,H1209,AA1210:AA$2005,"&gt;0")=0),ROUND(K1209-L1209,6),""),"")</f>
        <v/>
      </c>
      <c r="X1209" s="60" t="str">
        <f>IF(AND(A1209="",C1209="",D1209="",H1209="",L1209=""),"",IF(A1209="","Type manquant",IF(AND(A1209&lt;&gt;"BL",A1209&lt;&gt;"BR",A1209&lt;&gt;"BS"),"Type inconnu (BL, BR ou BS)",IF(AG1209=0,"Date manquante ou invalide",IF(D1209="",IF(A1209="BL","Client manquant",IF(A1209="BR","Fournisseur manquant","Service manquant")),IF(IF(A1209="BL",ISNA(MATCH(D1209,cl_code,0)),IF(A1209="BR",ISNA(MATCH(D1209,fo_code,0)),ISNA(MATCH(D1209,p_services,0)))),IF(A1209="BL","Client inconnu",IF(A1209="BR","Fournisseur inconnu","Service inconnu")),IF(H1209="","Article manquant",IF(ISNA(MATCH(H1209,art_ref,0)),"Article inconnu",IF(OR(NOT(ISNUMBER(L1209)),N(L1209)&lt;=0),"Quantité invalide",IF(AND(K1209&lt;&gt;"",OR(NOT(ISNUMBER(K1209)),N(K1209)&lt;=0)),"Qté commandée invalide",IF(AG1209&lt;SUMPRODUCT(MAX((A$6:A1208=A1209)*AG$6:AG1208)),"Date antérieure au bon précédent",IF(AND(A1209&lt;&gt;"BR",ISNUMBER(M1209),N(M1209)&gt;0),IF(A1209="BL","Livré plus que commandé","Sorti plus que demandé"),"OK"))))))))))))</f>
        <v/>
      </c>
      <c r="Y1209" s="57" t="str">
        <f>IF(AND(OR(A1209="BL",A1209="BR",A1209="BS"),AG1209&gt;0,D1209&lt;&gt;""),A1209&amp;"|"&amp;AG1209&amp;"|"&amp;D1209&amp;"|"&amp;F1209,"")</f>
        <v/>
      </c>
      <c r="Z1209" s="57" t="str">
        <f>IF(Y1209="","",IF(COUNTIF(Y$6:Y1208,Y1209)=0,1,0))</f>
        <v/>
      </c>
      <c r="AA1209" s="57" t="str">
        <f>IF(Y1209="","",IF(Z1209=1,COUNTIFS(A$6:A1209,A1209,Z$6:Z1209,1),INDEX(AA$6:AA1208,MATCH(Y1209,Y$6:Y1208,0))))</f>
        <v/>
      </c>
      <c r="AB1209" s="57" t="str">
        <f>IF(B1209="","",COUNTIF(B$6:B1209,B1209))</f>
        <v/>
      </c>
      <c r="AC1209" s="57" t="str">
        <f>IF(B1209="","",B1209&amp;"#"&amp;AB1209)</f>
        <v/>
      </c>
      <c r="AD1209" s="57" t="str">
        <f>IF(Z1209=1,A1209&amp;AA1209,"")</f>
        <v/>
      </c>
      <c r="AE1209" s="57" t="str">
        <f>IF(B1209="","",YEAR(C1209))</f>
        <v/>
      </c>
      <c r="AF1209" s="57" t="str">
        <f>IF(B1209="","",MONTH(C1209))</f>
        <v/>
      </c>
      <c r="AG1209" s="57">
        <f>IF(ISNUMBER(C1209),C1209,0)</f>
        <v>0.0</v>
      </c>
      <c r="AH1209" s="57" t="str">
        <f>IF(N(W1209)&gt;0,COUNTIF(W$6:W1209,"&gt;0"),"")</f>
        <v/>
      </c>
      <c r="AI1209" s="57" t="str">
        <f>IF(Z1209=1,COUNTIF(Z$6:Z1209,1),"")</f>
        <v/>
      </c>
    </row>
    <row r="1210">
      <c r="A1210" s="54" t="n"/>
      <c r="B1210" s="55" t="str">
        <f>IF(AA1210="","",A1210&amp;"-"&amp;RIGHT("000"&amp;AA1210,4))</f>
        <v/>
      </c>
      <c r="C1210" s="56" t="n"/>
      <c r="D1210" s="54" t="n"/>
      <c r="E1210" s="57" t="str">
        <f>IF(D1210="","",IF(A1210="BL",IFERROR(INDEX(cl_name,MATCH(D1210,cl_code,0))&amp;"","Client inconnu"),IF(A1210="BR",IFERROR(INDEX(fo_name,MATCH(D1210,fo_code,0))&amp;"","Fournisseur inconnu"),IF(A1210="BS",IF(ISNA(MATCH(D1210,p_services,0)),"Service inconnu",D1210&amp;""),""))))</f>
        <v/>
      </c>
      <c r="F1210" s="58" t="n"/>
      <c r="G1210" s="58" t="n"/>
      <c r="H1210" s="59" t="n"/>
      <c r="I1210" s="57" t="str">
        <f>IF(H1210="","",IFERROR(INDEX(art_des,MATCH(H1210,art_ref,0))&amp;"","Article inconnu"))</f>
        <v/>
      </c>
      <c r="J1210" s="60" t="str">
        <f>IF(H1210="","",IFERROR(INDEX(art_unit,MATCH(H1210,art_ref,0))&amp;"",""))</f>
        <v/>
      </c>
      <c r="K1210" s="59" t="n"/>
      <c r="L1210" s="59" t="n"/>
      <c r="M1210" s="61" t="str">
        <f>IF(OR(B1210="",NOT(ISNUMBER(K1210)),NOT(ISNUMBER(L1210))),"",IF(OR(K1210&lt;=0,L1210&lt;=0),"",ROUND(L1210-K1210,6)))</f>
        <v/>
      </c>
      <c r="N1210" s="58" t="n"/>
      <c r="O1210" s="62" t="n"/>
      <c r="P1210" s="63" t="str">
        <f>IF(OR(B1210="",NOT(ISNUMBER(L1210))),"",IF(L1210&lt;=0,"",IFERROR(ROUND(L1210*N(INDEX(art_w,MATCH(H1210,art_ref,0))),3),"")))</f>
        <v/>
      </c>
      <c r="Q1210" s="59" t="n"/>
      <c r="R1210" s="54" t="n"/>
      <c r="S1210" s="59" t="n"/>
      <c r="T1210" s="59" t="n"/>
      <c r="U1210" s="64" t="str">
        <f>IF(OR(B1210="",H1210=""),"",IFERROR(IF(A1210="BL",IF(N(INDEX(art_price,MATCH(H1210,art_ref,0)))=0,"",N(INDEX(art_price,MATCH(H1210,art_ref,0)))),IF(N(INDEX(art_cost,MATCH(H1210,art_ref,0)))=0,"",N(INDEX(art_cost,MATCH(H1210,art_ref,0))))),""))</f>
        <v/>
      </c>
      <c r="V1210" s="64" t="str">
        <f>IF(OR(U1210="",NOT(ISNUMBER(L1210))),"",IF(L1210&lt;=0,"",ROUND(L1210*U1210,2)))</f>
        <v/>
      </c>
      <c r="W1210" s="60" t="str">
        <f>IF(AND(B1210&lt;&gt;"",A1210&lt;&gt;"BS",F1210&lt;&gt;"",H1210&lt;&gt;"",ISNUMBER(K1210),ISNUMBER(L1210)),IF(AND(K1210&gt;0,L1210&gt;0,K1210-L1210&gt;0,COUNTIFS(A1211:A$2005,A1210,F1211:F$2005,F1210,H1211:H$2005,H1210,AA1211:AA$2005,"&gt;0")=0),ROUND(K1210-L1210,6),""),"")</f>
        <v/>
      </c>
      <c r="X1210" s="60" t="str">
        <f>IF(AND(A1210="",C1210="",D1210="",H1210="",L1210=""),"",IF(A1210="","Type manquant",IF(AND(A1210&lt;&gt;"BL",A1210&lt;&gt;"BR",A1210&lt;&gt;"BS"),"Type inconnu (BL, BR ou BS)",IF(AG1210=0,"Date manquante ou invalide",IF(D1210="",IF(A1210="BL","Client manquant",IF(A1210="BR","Fournisseur manquant","Service manquant")),IF(IF(A1210="BL",ISNA(MATCH(D1210,cl_code,0)),IF(A1210="BR",ISNA(MATCH(D1210,fo_code,0)),ISNA(MATCH(D1210,p_services,0)))),IF(A1210="BL","Client inconnu",IF(A1210="BR","Fournisseur inconnu","Service inconnu")),IF(H1210="","Article manquant",IF(ISNA(MATCH(H1210,art_ref,0)),"Article inconnu",IF(OR(NOT(ISNUMBER(L1210)),N(L1210)&lt;=0),"Quantité invalide",IF(AND(K1210&lt;&gt;"",OR(NOT(ISNUMBER(K1210)),N(K1210)&lt;=0)),"Qté commandée invalide",IF(AG1210&lt;SUMPRODUCT(MAX((A$6:A1209=A1210)*AG$6:AG1209)),"Date antérieure au bon précédent",IF(AND(A1210&lt;&gt;"BR",ISNUMBER(M1210),N(M1210)&gt;0),IF(A1210="BL","Livré plus que commandé","Sorti plus que demandé"),"OK"))))))))))))</f>
        <v/>
      </c>
      <c r="Y1210" s="57" t="str">
        <f>IF(AND(OR(A1210="BL",A1210="BR",A1210="BS"),AG1210&gt;0,D1210&lt;&gt;""),A1210&amp;"|"&amp;AG1210&amp;"|"&amp;D1210&amp;"|"&amp;F1210,"")</f>
        <v/>
      </c>
      <c r="Z1210" s="57" t="str">
        <f>IF(Y1210="","",IF(COUNTIF(Y$6:Y1209,Y1210)=0,1,0))</f>
        <v/>
      </c>
      <c r="AA1210" s="57" t="str">
        <f>IF(Y1210="","",IF(Z1210=1,COUNTIFS(A$6:A1210,A1210,Z$6:Z1210,1),INDEX(AA$6:AA1209,MATCH(Y1210,Y$6:Y1209,0))))</f>
        <v/>
      </c>
      <c r="AB1210" s="57" t="str">
        <f>IF(B1210="","",COUNTIF(B$6:B1210,B1210))</f>
        <v/>
      </c>
      <c r="AC1210" s="57" t="str">
        <f>IF(B1210="","",B1210&amp;"#"&amp;AB1210)</f>
        <v/>
      </c>
      <c r="AD1210" s="57" t="str">
        <f>IF(Z1210=1,A1210&amp;AA1210,"")</f>
        <v/>
      </c>
      <c r="AE1210" s="57" t="str">
        <f>IF(B1210="","",YEAR(C1210))</f>
        <v/>
      </c>
      <c r="AF1210" s="57" t="str">
        <f>IF(B1210="","",MONTH(C1210))</f>
        <v/>
      </c>
      <c r="AG1210" s="57">
        <f>IF(ISNUMBER(C1210),C1210,0)</f>
        <v>0.0</v>
      </c>
      <c r="AH1210" s="57" t="str">
        <f>IF(N(W1210)&gt;0,COUNTIF(W$6:W1210,"&gt;0"),"")</f>
        <v/>
      </c>
      <c r="AI1210" s="57" t="str">
        <f>IF(Z1210=1,COUNTIF(Z$6:Z1210,1),"")</f>
        <v/>
      </c>
    </row>
    <row r="1211">
      <c r="A1211" s="54" t="n"/>
      <c r="B1211" s="55" t="str">
        <f>IF(AA1211="","",A1211&amp;"-"&amp;RIGHT("000"&amp;AA1211,4))</f>
        <v/>
      </c>
      <c r="C1211" s="56" t="n"/>
      <c r="D1211" s="54" t="n"/>
      <c r="E1211" s="57" t="str">
        <f>IF(D1211="","",IF(A1211="BL",IFERROR(INDEX(cl_name,MATCH(D1211,cl_code,0))&amp;"","Client inconnu"),IF(A1211="BR",IFERROR(INDEX(fo_name,MATCH(D1211,fo_code,0))&amp;"","Fournisseur inconnu"),IF(A1211="BS",IF(ISNA(MATCH(D1211,p_services,0)),"Service inconnu",D1211&amp;""),""))))</f>
        <v/>
      </c>
      <c r="F1211" s="58" t="n"/>
      <c r="G1211" s="58" t="n"/>
      <c r="H1211" s="59" t="n"/>
      <c r="I1211" s="57" t="str">
        <f>IF(H1211="","",IFERROR(INDEX(art_des,MATCH(H1211,art_ref,0))&amp;"","Article inconnu"))</f>
        <v/>
      </c>
      <c r="J1211" s="60" t="str">
        <f>IF(H1211="","",IFERROR(INDEX(art_unit,MATCH(H1211,art_ref,0))&amp;"",""))</f>
        <v/>
      </c>
      <c r="K1211" s="59" t="n"/>
      <c r="L1211" s="59" t="n"/>
      <c r="M1211" s="61" t="str">
        <f>IF(OR(B1211="",NOT(ISNUMBER(K1211)),NOT(ISNUMBER(L1211))),"",IF(OR(K1211&lt;=0,L1211&lt;=0),"",ROUND(L1211-K1211,6)))</f>
        <v/>
      </c>
      <c r="N1211" s="58" t="n"/>
      <c r="O1211" s="62" t="n"/>
      <c r="P1211" s="63" t="str">
        <f>IF(OR(B1211="",NOT(ISNUMBER(L1211))),"",IF(L1211&lt;=0,"",IFERROR(ROUND(L1211*N(INDEX(art_w,MATCH(H1211,art_ref,0))),3),"")))</f>
        <v/>
      </c>
      <c r="Q1211" s="59" t="n"/>
      <c r="R1211" s="54" t="n"/>
      <c r="S1211" s="59" t="n"/>
      <c r="T1211" s="59" t="n"/>
      <c r="U1211" s="64" t="str">
        <f>IF(OR(B1211="",H1211=""),"",IFERROR(IF(A1211="BL",IF(N(INDEX(art_price,MATCH(H1211,art_ref,0)))=0,"",N(INDEX(art_price,MATCH(H1211,art_ref,0)))),IF(N(INDEX(art_cost,MATCH(H1211,art_ref,0)))=0,"",N(INDEX(art_cost,MATCH(H1211,art_ref,0))))),""))</f>
        <v/>
      </c>
      <c r="V1211" s="64" t="str">
        <f>IF(OR(U1211="",NOT(ISNUMBER(L1211))),"",IF(L1211&lt;=0,"",ROUND(L1211*U1211,2)))</f>
        <v/>
      </c>
      <c r="W1211" s="60" t="str">
        <f>IF(AND(B1211&lt;&gt;"",A1211&lt;&gt;"BS",F1211&lt;&gt;"",H1211&lt;&gt;"",ISNUMBER(K1211),ISNUMBER(L1211)),IF(AND(K1211&gt;0,L1211&gt;0,K1211-L1211&gt;0,COUNTIFS(A1212:A$2005,A1211,F1212:F$2005,F1211,H1212:H$2005,H1211,AA1212:AA$2005,"&gt;0")=0),ROUND(K1211-L1211,6),""),"")</f>
        <v/>
      </c>
      <c r="X1211" s="60" t="str">
        <f>IF(AND(A1211="",C1211="",D1211="",H1211="",L1211=""),"",IF(A1211="","Type manquant",IF(AND(A1211&lt;&gt;"BL",A1211&lt;&gt;"BR",A1211&lt;&gt;"BS"),"Type inconnu (BL, BR ou BS)",IF(AG1211=0,"Date manquante ou invalide",IF(D1211="",IF(A1211="BL","Client manquant",IF(A1211="BR","Fournisseur manquant","Service manquant")),IF(IF(A1211="BL",ISNA(MATCH(D1211,cl_code,0)),IF(A1211="BR",ISNA(MATCH(D1211,fo_code,0)),ISNA(MATCH(D1211,p_services,0)))),IF(A1211="BL","Client inconnu",IF(A1211="BR","Fournisseur inconnu","Service inconnu")),IF(H1211="","Article manquant",IF(ISNA(MATCH(H1211,art_ref,0)),"Article inconnu",IF(OR(NOT(ISNUMBER(L1211)),N(L1211)&lt;=0),"Quantité invalide",IF(AND(K1211&lt;&gt;"",OR(NOT(ISNUMBER(K1211)),N(K1211)&lt;=0)),"Qté commandée invalide",IF(AG1211&lt;SUMPRODUCT(MAX((A$6:A1210=A1211)*AG$6:AG1210)),"Date antérieure au bon précédent",IF(AND(A1211&lt;&gt;"BR",ISNUMBER(M1211),N(M1211)&gt;0),IF(A1211="BL","Livré plus que commandé","Sorti plus que demandé"),"OK"))))))))))))</f>
        <v/>
      </c>
      <c r="Y1211" s="57" t="str">
        <f>IF(AND(OR(A1211="BL",A1211="BR",A1211="BS"),AG1211&gt;0,D1211&lt;&gt;""),A1211&amp;"|"&amp;AG1211&amp;"|"&amp;D1211&amp;"|"&amp;F1211,"")</f>
        <v/>
      </c>
      <c r="Z1211" s="57" t="str">
        <f>IF(Y1211="","",IF(COUNTIF(Y$6:Y1210,Y1211)=0,1,0))</f>
        <v/>
      </c>
      <c r="AA1211" s="57" t="str">
        <f>IF(Y1211="","",IF(Z1211=1,COUNTIFS(A$6:A1211,A1211,Z$6:Z1211,1),INDEX(AA$6:AA1210,MATCH(Y1211,Y$6:Y1210,0))))</f>
        <v/>
      </c>
      <c r="AB1211" s="57" t="str">
        <f>IF(B1211="","",COUNTIF(B$6:B1211,B1211))</f>
        <v/>
      </c>
      <c r="AC1211" s="57" t="str">
        <f>IF(B1211="","",B1211&amp;"#"&amp;AB1211)</f>
        <v/>
      </c>
      <c r="AD1211" s="57" t="str">
        <f>IF(Z1211=1,A1211&amp;AA1211,"")</f>
        <v/>
      </c>
      <c r="AE1211" s="57" t="str">
        <f>IF(B1211="","",YEAR(C1211))</f>
        <v/>
      </c>
      <c r="AF1211" s="57" t="str">
        <f>IF(B1211="","",MONTH(C1211))</f>
        <v/>
      </c>
      <c r="AG1211" s="57">
        <f>IF(ISNUMBER(C1211),C1211,0)</f>
        <v>0.0</v>
      </c>
      <c r="AH1211" s="57" t="str">
        <f>IF(N(W1211)&gt;0,COUNTIF(W$6:W1211,"&gt;0"),"")</f>
        <v/>
      </c>
      <c r="AI1211" s="57" t="str">
        <f>IF(Z1211=1,COUNTIF(Z$6:Z1211,1),"")</f>
        <v/>
      </c>
    </row>
    <row r="1212">
      <c r="A1212" s="54" t="n"/>
      <c r="B1212" s="55" t="str">
        <f>IF(AA1212="","",A1212&amp;"-"&amp;RIGHT("000"&amp;AA1212,4))</f>
        <v/>
      </c>
      <c r="C1212" s="56" t="n"/>
      <c r="D1212" s="54" t="n"/>
      <c r="E1212" s="57" t="str">
        <f>IF(D1212="","",IF(A1212="BL",IFERROR(INDEX(cl_name,MATCH(D1212,cl_code,0))&amp;"","Client inconnu"),IF(A1212="BR",IFERROR(INDEX(fo_name,MATCH(D1212,fo_code,0))&amp;"","Fournisseur inconnu"),IF(A1212="BS",IF(ISNA(MATCH(D1212,p_services,0)),"Service inconnu",D1212&amp;""),""))))</f>
        <v/>
      </c>
      <c r="F1212" s="58" t="n"/>
      <c r="G1212" s="58" t="n"/>
      <c r="H1212" s="59" t="n"/>
      <c r="I1212" s="57" t="str">
        <f>IF(H1212="","",IFERROR(INDEX(art_des,MATCH(H1212,art_ref,0))&amp;"","Article inconnu"))</f>
        <v/>
      </c>
      <c r="J1212" s="60" t="str">
        <f>IF(H1212="","",IFERROR(INDEX(art_unit,MATCH(H1212,art_ref,0))&amp;"",""))</f>
        <v/>
      </c>
      <c r="K1212" s="59" t="n"/>
      <c r="L1212" s="59" t="n"/>
      <c r="M1212" s="61" t="str">
        <f>IF(OR(B1212="",NOT(ISNUMBER(K1212)),NOT(ISNUMBER(L1212))),"",IF(OR(K1212&lt;=0,L1212&lt;=0),"",ROUND(L1212-K1212,6)))</f>
        <v/>
      </c>
      <c r="N1212" s="58" t="n"/>
      <c r="O1212" s="62" t="n"/>
      <c r="P1212" s="63" t="str">
        <f>IF(OR(B1212="",NOT(ISNUMBER(L1212))),"",IF(L1212&lt;=0,"",IFERROR(ROUND(L1212*N(INDEX(art_w,MATCH(H1212,art_ref,0))),3),"")))</f>
        <v/>
      </c>
      <c r="Q1212" s="59" t="n"/>
      <c r="R1212" s="54" t="n"/>
      <c r="S1212" s="59" t="n"/>
      <c r="T1212" s="59" t="n"/>
      <c r="U1212" s="64" t="str">
        <f>IF(OR(B1212="",H1212=""),"",IFERROR(IF(A1212="BL",IF(N(INDEX(art_price,MATCH(H1212,art_ref,0)))=0,"",N(INDEX(art_price,MATCH(H1212,art_ref,0)))),IF(N(INDEX(art_cost,MATCH(H1212,art_ref,0)))=0,"",N(INDEX(art_cost,MATCH(H1212,art_ref,0))))),""))</f>
        <v/>
      </c>
      <c r="V1212" s="64" t="str">
        <f>IF(OR(U1212="",NOT(ISNUMBER(L1212))),"",IF(L1212&lt;=0,"",ROUND(L1212*U1212,2)))</f>
        <v/>
      </c>
      <c r="W1212" s="60" t="str">
        <f>IF(AND(B1212&lt;&gt;"",A1212&lt;&gt;"BS",F1212&lt;&gt;"",H1212&lt;&gt;"",ISNUMBER(K1212),ISNUMBER(L1212)),IF(AND(K1212&gt;0,L1212&gt;0,K1212-L1212&gt;0,COUNTIFS(A1213:A$2005,A1212,F1213:F$2005,F1212,H1213:H$2005,H1212,AA1213:AA$2005,"&gt;0")=0),ROUND(K1212-L1212,6),""),"")</f>
        <v/>
      </c>
      <c r="X1212" s="60" t="str">
        <f>IF(AND(A1212="",C1212="",D1212="",H1212="",L1212=""),"",IF(A1212="","Type manquant",IF(AND(A1212&lt;&gt;"BL",A1212&lt;&gt;"BR",A1212&lt;&gt;"BS"),"Type inconnu (BL, BR ou BS)",IF(AG1212=0,"Date manquante ou invalide",IF(D1212="",IF(A1212="BL","Client manquant",IF(A1212="BR","Fournisseur manquant","Service manquant")),IF(IF(A1212="BL",ISNA(MATCH(D1212,cl_code,0)),IF(A1212="BR",ISNA(MATCH(D1212,fo_code,0)),ISNA(MATCH(D1212,p_services,0)))),IF(A1212="BL","Client inconnu",IF(A1212="BR","Fournisseur inconnu","Service inconnu")),IF(H1212="","Article manquant",IF(ISNA(MATCH(H1212,art_ref,0)),"Article inconnu",IF(OR(NOT(ISNUMBER(L1212)),N(L1212)&lt;=0),"Quantité invalide",IF(AND(K1212&lt;&gt;"",OR(NOT(ISNUMBER(K1212)),N(K1212)&lt;=0)),"Qté commandée invalide",IF(AG1212&lt;SUMPRODUCT(MAX((A$6:A1211=A1212)*AG$6:AG1211)),"Date antérieure au bon précédent",IF(AND(A1212&lt;&gt;"BR",ISNUMBER(M1212),N(M1212)&gt;0),IF(A1212="BL","Livré plus que commandé","Sorti plus que demandé"),"OK"))))))))))))</f>
        <v/>
      </c>
      <c r="Y1212" s="57" t="str">
        <f>IF(AND(OR(A1212="BL",A1212="BR",A1212="BS"),AG1212&gt;0,D1212&lt;&gt;""),A1212&amp;"|"&amp;AG1212&amp;"|"&amp;D1212&amp;"|"&amp;F1212,"")</f>
        <v/>
      </c>
      <c r="Z1212" s="57" t="str">
        <f>IF(Y1212="","",IF(COUNTIF(Y$6:Y1211,Y1212)=0,1,0))</f>
        <v/>
      </c>
      <c r="AA1212" s="57" t="str">
        <f>IF(Y1212="","",IF(Z1212=1,COUNTIFS(A$6:A1212,A1212,Z$6:Z1212,1),INDEX(AA$6:AA1211,MATCH(Y1212,Y$6:Y1211,0))))</f>
        <v/>
      </c>
      <c r="AB1212" s="57" t="str">
        <f>IF(B1212="","",COUNTIF(B$6:B1212,B1212))</f>
        <v/>
      </c>
      <c r="AC1212" s="57" t="str">
        <f>IF(B1212="","",B1212&amp;"#"&amp;AB1212)</f>
        <v/>
      </c>
      <c r="AD1212" s="57" t="str">
        <f>IF(Z1212=1,A1212&amp;AA1212,"")</f>
        <v/>
      </c>
      <c r="AE1212" s="57" t="str">
        <f>IF(B1212="","",YEAR(C1212))</f>
        <v/>
      </c>
      <c r="AF1212" s="57" t="str">
        <f>IF(B1212="","",MONTH(C1212))</f>
        <v/>
      </c>
      <c r="AG1212" s="57">
        <f>IF(ISNUMBER(C1212),C1212,0)</f>
        <v>0.0</v>
      </c>
      <c r="AH1212" s="57" t="str">
        <f>IF(N(W1212)&gt;0,COUNTIF(W$6:W1212,"&gt;0"),"")</f>
        <v/>
      </c>
      <c r="AI1212" s="57" t="str">
        <f>IF(Z1212=1,COUNTIF(Z$6:Z1212,1),"")</f>
        <v/>
      </c>
    </row>
    <row r="1213">
      <c r="A1213" s="54" t="n"/>
      <c r="B1213" s="55" t="str">
        <f>IF(AA1213="","",A1213&amp;"-"&amp;RIGHT("000"&amp;AA1213,4))</f>
        <v/>
      </c>
      <c r="C1213" s="56" t="n"/>
      <c r="D1213" s="54" t="n"/>
      <c r="E1213" s="57" t="str">
        <f>IF(D1213="","",IF(A1213="BL",IFERROR(INDEX(cl_name,MATCH(D1213,cl_code,0))&amp;"","Client inconnu"),IF(A1213="BR",IFERROR(INDEX(fo_name,MATCH(D1213,fo_code,0))&amp;"","Fournisseur inconnu"),IF(A1213="BS",IF(ISNA(MATCH(D1213,p_services,0)),"Service inconnu",D1213&amp;""),""))))</f>
        <v/>
      </c>
      <c r="F1213" s="58" t="n"/>
      <c r="G1213" s="58" t="n"/>
      <c r="H1213" s="59" t="n"/>
      <c r="I1213" s="57" t="str">
        <f>IF(H1213="","",IFERROR(INDEX(art_des,MATCH(H1213,art_ref,0))&amp;"","Article inconnu"))</f>
        <v/>
      </c>
      <c r="J1213" s="60" t="str">
        <f>IF(H1213="","",IFERROR(INDEX(art_unit,MATCH(H1213,art_ref,0))&amp;"",""))</f>
        <v/>
      </c>
      <c r="K1213" s="59" t="n"/>
      <c r="L1213" s="59" t="n"/>
      <c r="M1213" s="61" t="str">
        <f>IF(OR(B1213="",NOT(ISNUMBER(K1213)),NOT(ISNUMBER(L1213))),"",IF(OR(K1213&lt;=0,L1213&lt;=0),"",ROUND(L1213-K1213,6)))</f>
        <v/>
      </c>
      <c r="N1213" s="58" t="n"/>
      <c r="O1213" s="62" t="n"/>
      <c r="P1213" s="63" t="str">
        <f>IF(OR(B1213="",NOT(ISNUMBER(L1213))),"",IF(L1213&lt;=0,"",IFERROR(ROUND(L1213*N(INDEX(art_w,MATCH(H1213,art_ref,0))),3),"")))</f>
        <v/>
      </c>
      <c r="Q1213" s="59" t="n"/>
      <c r="R1213" s="54" t="n"/>
      <c r="S1213" s="59" t="n"/>
      <c r="T1213" s="59" t="n"/>
      <c r="U1213" s="64" t="str">
        <f>IF(OR(B1213="",H1213=""),"",IFERROR(IF(A1213="BL",IF(N(INDEX(art_price,MATCH(H1213,art_ref,0)))=0,"",N(INDEX(art_price,MATCH(H1213,art_ref,0)))),IF(N(INDEX(art_cost,MATCH(H1213,art_ref,0)))=0,"",N(INDEX(art_cost,MATCH(H1213,art_ref,0))))),""))</f>
        <v/>
      </c>
      <c r="V1213" s="64" t="str">
        <f>IF(OR(U1213="",NOT(ISNUMBER(L1213))),"",IF(L1213&lt;=0,"",ROUND(L1213*U1213,2)))</f>
        <v/>
      </c>
      <c r="W1213" s="60" t="str">
        <f>IF(AND(B1213&lt;&gt;"",A1213&lt;&gt;"BS",F1213&lt;&gt;"",H1213&lt;&gt;"",ISNUMBER(K1213),ISNUMBER(L1213)),IF(AND(K1213&gt;0,L1213&gt;0,K1213-L1213&gt;0,COUNTIFS(A1214:A$2005,A1213,F1214:F$2005,F1213,H1214:H$2005,H1213,AA1214:AA$2005,"&gt;0")=0),ROUND(K1213-L1213,6),""),"")</f>
        <v/>
      </c>
      <c r="X1213" s="60" t="str">
        <f>IF(AND(A1213="",C1213="",D1213="",H1213="",L1213=""),"",IF(A1213="","Type manquant",IF(AND(A1213&lt;&gt;"BL",A1213&lt;&gt;"BR",A1213&lt;&gt;"BS"),"Type inconnu (BL, BR ou BS)",IF(AG1213=0,"Date manquante ou invalide",IF(D1213="",IF(A1213="BL","Client manquant",IF(A1213="BR","Fournisseur manquant","Service manquant")),IF(IF(A1213="BL",ISNA(MATCH(D1213,cl_code,0)),IF(A1213="BR",ISNA(MATCH(D1213,fo_code,0)),ISNA(MATCH(D1213,p_services,0)))),IF(A1213="BL","Client inconnu",IF(A1213="BR","Fournisseur inconnu","Service inconnu")),IF(H1213="","Article manquant",IF(ISNA(MATCH(H1213,art_ref,0)),"Article inconnu",IF(OR(NOT(ISNUMBER(L1213)),N(L1213)&lt;=0),"Quantité invalide",IF(AND(K1213&lt;&gt;"",OR(NOT(ISNUMBER(K1213)),N(K1213)&lt;=0)),"Qté commandée invalide",IF(AG1213&lt;SUMPRODUCT(MAX((A$6:A1212=A1213)*AG$6:AG1212)),"Date antérieure au bon précédent",IF(AND(A1213&lt;&gt;"BR",ISNUMBER(M1213),N(M1213)&gt;0),IF(A1213="BL","Livré plus que commandé","Sorti plus que demandé"),"OK"))))))))))))</f>
        <v/>
      </c>
      <c r="Y1213" s="57" t="str">
        <f>IF(AND(OR(A1213="BL",A1213="BR",A1213="BS"),AG1213&gt;0,D1213&lt;&gt;""),A1213&amp;"|"&amp;AG1213&amp;"|"&amp;D1213&amp;"|"&amp;F1213,"")</f>
        <v/>
      </c>
      <c r="Z1213" s="57" t="str">
        <f>IF(Y1213="","",IF(COUNTIF(Y$6:Y1212,Y1213)=0,1,0))</f>
        <v/>
      </c>
      <c r="AA1213" s="57" t="str">
        <f>IF(Y1213="","",IF(Z1213=1,COUNTIFS(A$6:A1213,A1213,Z$6:Z1213,1),INDEX(AA$6:AA1212,MATCH(Y1213,Y$6:Y1212,0))))</f>
        <v/>
      </c>
      <c r="AB1213" s="57" t="str">
        <f>IF(B1213="","",COUNTIF(B$6:B1213,B1213))</f>
        <v/>
      </c>
      <c r="AC1213" s="57" t="str">
        <f>IF(B1213="","",B1213&amp;"#"&amp;AB1213)</f>
        <v/>
      </c>
      <c r="AD1213" s="57" t="str">
        <f>IF(Z1213=1,A1213&amp;AA1213,"")</f>
        <v/>
      </c>
      <c r="AE1213" s="57" t="str">
        <f>IF(B1213="","",YEAR(C1213))</f>
        <v/>
      </c>
      <c r="AF1213" s="57" t="str">
        <f>IF(B1213="","",MONTH(C1213))</f>
        <v/>
      </c>
      <c r="AG1213" s="57">
        <f>IF(ISNUMBER(C1213),C1213,0)</f>
        <v>0.0</v>
      </c>
      <c r="AH1213" s="57" t="str">
        <f>IF(N(W1213)&gt;0,COUNTIF(W$6:W1213,"&gt;0"),"")</f>
        <v/>
      </c>
      <c r="AI1213" s="57" t="str">
        <f>IF(Z1213=1,COUNTIF(Z$6:Z1213,1),"")</f>
        <v/>
      </c>
    </row>
    <row r="1214">
      <c r="A1214" s="54" t="n"/>
      <c r="B1214" s="55" t="str">
        <f>IF(AA1214="","",A1214&amp;"-"&amp;RIGHT("000"&amp;AA1214,4))</f>
        <v/>
      </c>
      <c r="C1214" s="56" t="n"/>
      <c r="D1214" s="54" t="n"/>
      <c r="E1214" s="57" t="str">
        <f>IF(D1214="","",IF(A1214="BL",IFERROR(INDEX(cl_name,MATCH(D1214,cl_code,0))&amp;"","Client inconnu"),IF(A1214="BR",IFERROR(INDEX(fo_name,MATCH(D1214,fo_code,0))&amp;"","Fournisseur inconnu"),IF(A1214="BS",IF(ISNA(MATCH(D1214,p_services,0)),"Service inconnu",D1214&amp;""),""))))</f>
        <v/>
      </c>
      <c r="F1214" s="58" t="n"/>
      <c r="G1214" s="58" t="n"/>
      <c r="H1214" s="59" t="n"/>
      <c r="I1214" s="57" t="str">
        <f>IF(H1214="","",IFERROR(INDEX(art_des,MATCH(H1214,art_ref,0))&amp;"","Article inconnu"))</f>
        <v/>
      </c>
      <c r="J1214" s="60" t="str">
        <f>IF(H1214="","",IFERROR(INDEX(art_unit,MATCH(H1214,art_ref,0))&amp;"",""))</f>
        <v/>
      </c>
      <c r="K1214" s="59" t="n"/>
      <c r="L1214" s="59" t="n"/>
      <c r="M1214" s="61" t="str">
        <f>IF(OR(B1214="",NOT(ISNUMBER(K1214)),NOT(ISNUMBER(L1214))),"",IF(OR(K1214&lt;=0,L1214&lt;=0),"",ROUND(L1214-K1214,6)))</f>
        <v/>
      </c>
      <c r="N1214" s="58" t="n"/>
      <c r="O1214" s="62" t="n"/>
      <c r="P1214" s="63" t="str">
        <f>IF(OR(B1214="",NOT(ISNUMBER(L1214))),"",IF(L1214&lt;=0,"",IFERROR(ROUND(L1214*N(INDEX(art_w,MATCH(H1214,art_ref,0))),3),"")))</f>
        <v/>
      </c>
      <c r="Q1214" s="59" t="n"/>
      <c r="R1214" s="54" t="n"/>
      <c r="S1214" s="59" t="n"/>
      <c r="T1214" s="59" t="n"/>
      <c r="U1214" s="64" t="str">
        <f>IF(OR(B1214="",H1214=""),"",IFERROR(IF(A1214="BL",IF(N(INDEX(art_price,MATCH(H1214,art_ref,0)))=0,"",N(INDEX(art_price,MATCH(H1214,art_ref,0)))),IF(N(INDEX(art_cost,MATCH(H1214,art_ref,0)))=0,"",N(INDEX(art_cost,MATCH(H1214,art_ref,0))))),""))</f>
        <v/>
      </c>
      <c r="V1214" s="64" t="str">
        <f>IF(OR(U1214="",NOT(ISNUMBER(L1214))),"",IF(L1214&lt;=0,"",ROUND(L1214*U1214,2)))</f>
        <v/>
      </c>
      <c r="W1214" s="60" t="str">
        <f>IF(AND(B1214&lt;&gt;"",A1214&lt;&gt;"BS",F1214&lt;&gt;"",H1214&lt;&gt;"",ISNUMBER(K1214),ISNUMBER(L1214)),IF(AND(K1214&gt;0,L1214&gt;0,K1214-L1214&gt;0,COUNTIFS(A1215:A$2005,A1214,F1215:F$2005,F1214,H1215:H$2005,H1214,AA1215:AA$2005,"&gt;0")=0),ROUND(K1214-L1214,6),""),"")</f>
        <v/>
      </c>
      <c r="X1214" s="60" t="str">
        <f>IF(AND(A1214="",C1214="",D1214="",H1214="",L1214=""),"",IF(A1214="","Type manquant",IF(AND(A1214&lt;&gt;"BL",A1214&lt;&gt;"BR",A1214&lt;&gt;"BS"),"Type inconnu (BL, BR ou BS)",IF(AG1214=0,"Date manquante ou invalide",IF(D1214="",IF(A1214="BL","Client manquant",IF(A1214="BR","Fournisseur manquant","Service manquant")),IF(IF(A1214="BL",ISNA(MATCH(D1214,cl_code,0)),IF(A1214="BR",ISNA(MATCH(D1214,fo_code,0)),ISNA(MATCH(D1214,p_services,0)))),IF(A1214="BL","Client inconnu",IF(A1214="BR","Fournisseur inconnu","Service inconnu")),IF(H1214="","Article manquant",IF(ISNA(MATCH(H1214,art_ref,0)),"Article inconnu",IF(OR(NOT(ISNUMBER(L1214)),N(L1214)&lt;=0),"Quantité invalide",IF(AND(K1214&lt;&gt;"",OR(NOT(ISNUMBER(K1214)),N(K1214)&lt;=0)),"Qté commandée invalide",IF(AG1214&lt;SUMPRODUCT(MAX((A$6:A1213=A1214)*AG$6:AG1213)),"Date antérieure au bon précédent",IF(AND(A1214&lt;&gt;"BR",ISNUMBER(M1214),N(M1214)&gt;0),IF(A1214="BL","Livré plus que commandé","Sorti plus que demandé"),"OK"))))))))))))</f>
        <v/>
      </c>
      <c r="Y1214" s="57" t="str">
        <f>IF(AND(OR(A1214="BL",A1214="BR",A1214="BS"),AG1214&gt;0,D1214&lt;&gt;""),A1214&amp;"|"&amp;AG1214&amp;"|"&amp;D1214&amp;"|"&amp;F1214,"")</f>
        <v/>
      </c>
      <c r="Z1214" s="57" t="str">
        <f>IF(Y1214="","",IF(COUNTIF(Y$6:Y1213,Y1214)=0,1,0))</f>
        <v/>
      </c>
      <c r="AA1214" s="57" t="str">
        <f>IF(Y1214="","",IF(Z1214=1,COUNTIFS(A$6:A1214,A1214,Z$6:Z1214,1),INDEX(AA$6:AA1213,MATCH(Y1214,Y$6:Y1213,0))))</f>
        <v/>
      </c>
      <c r="AB1214" s="57" t="str">
        <f>IF(B1214="","",COUNTIF(B$6:B1214,B1214))</f>
        <v/>
      </c>
      <c r="AC1214" s="57" t="str">
        <f>IF(B1214="","",B1214&amp;"#"&amp;AB1214)</f>
        <v/>
      </c>
      <c r="AD1214" s="57" t="str">
        <f>IF(Z1214=1,A1214&amp;AA1214,"")</f>
        <v/>
      </c>
      <c r="AE1214" s="57" t="str">
        <f>IF(B1214="","",YEAR(C1214))</f>
        <v/>
      </c>
      <c r="AF1214" s="57" t="str">
        <f>IF(B1214="","",MONTH(C1214))</f>
        <v/>
      </c>
      <c r="AG1214" s="57">
        <f>IF(ISNUMBER(C1214),C1214,0)</f>
        <v>0.0</v>
      </c>
      <c r="AH1214" s="57" t="str">
        <f>IF(N(W1214)&gt;0,COUNTIF(W$6:W1214,"&gt;0"),"")</f>
        <v/>
      </c>
      <c r="AI1214" s="57" t="str">
        <f>IF(Z1214=1,COUNTIF(Z$6:Z1214,1),"")</f>
        <v/>
      </c>
    </row>
    <row r="1215">
      <c r="A1215" s="54" t="n"/>
      <c r="B1215" s="55" t="str">
        <f>IF(AA1215="","",A1215&amp;"-"&amp;RIGHT("000"&amp;AA1215,4))</f>
        <v/>
      </c>
      <c r="C1215" s="56" t="n"/>
      <c r="D1215" s="54" t="n"/>
      <c r="E1215" s="57" t="str">
        <f>IF(D1215="","",IF(A1215="BL",IFERROR(INDEX(cl_name,MATCH(D1215,cl_code,0))&amp;"","Client inconnu"),IF(A1215="BR",IFERROR(INDEX(fo_name,MATCH(D1215,fo_code,0))&amp;"","Fournisseur inconnu"),IF(A1215="BS",IF(ISNA(MATCH(D1215,p_services,0)),"Service inconnu",D1215&amp;""),""))))</f>
        <v/>
      </c>
      <c r="F1215" s="58" t="n"/>
      <c r="G1215" s="58" t="n"/>
      <c r="H1215" s="59" t="n"/>
      <c r="I1215" s="57" t="str">
        <f>IF(H1215="","",IFERROR(INDEX(art_des,MATCH(H1215,art_ref,0))&amp;"","Article inconnu"))</f>
        <v/>
      </c>
      <c r="J1215" s="60" t="str">
        <f>IF(H1215="","",IFERROR(INDEX(art_unit,MATCH(H1215,art_ref,0))&amp;"",""))</f>
        <v/>
      </c>
      <c r="K1215" s="59" t="n"/>
      <c r="L1215" s="59" t="n"/>
      <c r="M1215" s="61" t="str">
        <f>IF(OR(B1215="",NOT(ISNUMBER(K1215)),NOT(ISNUMBER(L1215))),"",IF(OR(K1215&lt;=0,L1215&lt;=0),"",ROUND(L1215-K1215,6)))</f>
        <v/>
      </c>
      <c r="N1215" s="58" t="n"/>
      <c r="O1215" s="62" t="n"/>
      <c r="P1215" s="63" t="str">
        <f>IF(OR(B1215="",NOT(ISNUMBER(L1215))),"",IF(L1215&lt;=0,"",IFERROR(ROUND(L1215*N(INDEX(art_w,MATCH(H1215,art_ref,0))),3),"")))</f>
        <v/>
      </c>
      <c r="Q1215" s="59" t="n"/>
      <c r="R1215" s="54" t="n"/>
      <c r="S1215" s="59" t="n"/>
      <c r="T1215" s="59" t="n"/>
      <c r="U1215" s="64" t="str">
        <f>IF(OR(B1215="",H1215=""),"",IFERROR(IF(A1215="BL",IF(N(INDEX(art_price,MATCH(H1215,art_ref,0)))=0,"",N(INDEX(art_price,MATCH(H1215,art_ref,0)))),IF(N(INDEX(art_cost,MATCH(H1215,art_ref,0)))=0,"",N(INDEX(art_cost,MATCH(H1215,art_ref,0))))),""))</f>
        <v/>
      </c>
      <c r="V1215" s="64" t="str">
        <f>IF(OR(U1215="",NOT(ISNUMBER(L1215))),"",IF(L1215&lt;=0,"",ROUND(L1215*U1215,2)))</f>
        <v/>
      </c>
      <c r="W1215" s="60" t="str">
        <f>IF(AND(B1215&lt;&gt;"",A1215&lt;&gt;"BS",F1215&lt;&gt;"",H1215&lt;&gt;"",ISNUMBER(K1215),ISNUMBER(L1215)),IF(AND(K1215&gt;0,L1215&gt;0,K1215-L1215&gt;0,COUNTIFS(A1216:A$2005,A1215,F1216:F$2005,F1215,H1216:H$2005,H1215,AA1216:AA$2005,"&gt;0")=0),ROUND(K1215-L1215,6),""),"")</f>
        <v/>
      </c>
      <c r="X1215" s="60" t="str">
        <f>IF(AND(A1215="",C1215="",D1215="",H1215="",L1215=""),"",IF(A1215="","Type manquant",IF(AND(A1215&lt;&gt;"BL",A1215&lt;&gt;"BR",A1215&lt;&gt;"BS"),"Type inconnu (BL, BR ou BS)",IF(AG1215=0,"Date manquante ou invalide",IF(D1215="",IF(A1215="BL","Client manquant",IF(A1215="BR","Fournisseur manquant","Service manquant")),IF(IF(A1215="BL",ISNA(MATCH(D1215,cl_code,0)),IF(A1215="BR",ISNA(MATCH(D1215,fo_code,0)),ISNA(MATCH(D1215,p_services,0)))),IF(A1215="BL","Client inconnu",IF(A1215="BR","Fournisseur inconnu","Service inconnu")),IF(H1215="","Article manquant",IF(ISNA(MATCH(H1215,art_ref,0)),"Article inconnu",IF(OR(NOT(ISNUMBER(L1215)),N(L1215)&lt;=0),"Quantité invalide",IF(AND(K1215&lt;&gt;"",OR(NOT(ISNUMBER(K1215)),N(K1215)&lt;=0)),"Qté commandée invalide",IF(AG1215&lt;SUMPRODUCT(MAX((A$6:A1214=A1215)*AG$6:AG1214)),"Date antérieure au bon précédent",IF(AND(A1215&lt;&gt;"BR",ISNUMBER(M1215),N(M1215)&gt;0),IF(A1215="BL","Livré plus que commandé","Sorti plus que demandé"),"OK"))))))))))))</f>
        <v/>
      </c>
      <c r="Y1215" s="57" t="str">
        <f>IF(AND(OR(A1215="BL",A1215="BR",A1215="BS"),AG1215&gt;0,D1215&lt;&gt;""),A1215&amp;"|"&amp;AG1215&amp;"|"&amp;D1215&amp;"|"&amp;F1215,"")</f>
        <v/>
      </c>
      <c r="Z1215" s="57" t="str">
        <f>IF(Y1215="","",IF(COUNTIF(Y$6:Y1214,Y1215)=0,1,0))</f>
        <v/>
      </c>
      <c r="AA1215" s="57" t="str">
        <f>IF(Y1215="","",IF(Z1215=1,COUNTIFS(A$6:A1215,A1215,Z$6:Z1215,1),INDEX(AA$6:AA1214,MATCH(Y1215,Y$6:Y1214,0))))</f>
        <v/>
      </c>
      <c r="AB1215" s="57" t="str">
        <f>IF(B1215="","",COUNTIF(B$6:B1215,B1215))</f>
        <v/>
      </c>
      <c r="AC1215" s="57" t="str">
        <f>IF(B1215="","",B1215&amp;"#"&amp;AB1215)</f>
        <v/>
      </c>
      <c r="AD1215" s="57" t="str">
        <f>IF(Z1215=1,A1215&amp;AA1215,"")</f>
        <v/>
      </c>
      <c r="AE1215" s="57" t="str">
        <f>IF(B1215="","",YEAR(C1215))</f>
        <v/>
      </c>
      <c r="AF1215" s="57" t="str">
        <f>IF(B1215="","",MONTH(C1215))</f>
        <v/>
      </c>
      <c r="AG1215" s="57">
        <f>IF(ISNUMBER(C1215),C1215,0)</f>
        <v>0.0</v>
      </c>
      <c r="AH1215" s="57" t="str">
        <f>IF(N(W1215)&gt;0,COUNTIF(W$6:W1215,"&gt;0"),"")</f>
        <v/>
      </c>
      <c r="AI1215" s="57" t="str">
        <f>IF(Z1215=1,COUNTIF(Z$6:Z1215,1),"")</f>
        <v/>
      </c>
    </row>
    <row r="1216">
      <c r="A1216" s="54" t="n"/>
      <c r="B1216" s="55" t="str">
        <f>IF(AA1216="","",A1216&amp;"-"&amp;RIGHT("000"&amp;AA1216,4))</f>
        <v/>
      </c>
      <c r="C1216" s="56" t="n"/>
      <c r="D1216" s="54" t="n"/>
      <c r="E1216" s="57" t="str">
        <f>IF(D1216="","",IF(A1216="BL",IFERROR(INDEX(cl_name,MATCH(D1216,cl_code,0))&amp;"","Client inconnu"),IF(A1216="BR",IFERROR(INDEX(fo_name,MATCH(D1216,fo_code,0))&amp;"","Fournisseur inconnu"),IF(A1216="BS",IF(ISNA(MATCH(D1216,p_services,0)),"Service inconnu",D1216&amp;""),""))))</f>
        <v/>
      </c>
      <c r="F1216" s="58" t="n"/>
      <c r="G1216" s="58" t="n"/>
      <c r="H1216" s="59" t="n"/>
      <c r="I1216" s="57" t="str">
        <f>IF(H1216="","",IFERROR(INDEX(art_des,MATCH(H1216,art_ref,0))&amp;"","Article inconnu"))</f>
        <v/>
      </c>
      <c r="J1216" s="60" t="str">
        <f>IF(H1216="","",IFERROR(INDEX(art_unit,MATCH(H1216,art_ref,0))&amp;"",""))</f>
        <v/>
      </c>
      <c r="K1216" s="59" t="n"/>
      <c r="L1216" s="59" t="n"/>
      <c r="M1216" s="61" t="str">
        <f>IF(OR(B1216="",NOT(ISNUMBER(K1216)),NOT(ISNUMBER(L1216))),"",IF(OR(K1216&lt;=0,L1216&lt;=0),"",ROUND(L1216-K1216,6)))</f>
        <v/>
      </c>
      <c r="N1216" s="58" t="n"/>
      <c r="O1216" s="62" t="n"/>
      <c r="P1216" s="63" t="str">
        <f>IF(OR(B1216="",NOT(ISNUMBER(L1216))),"",IF(L1216&lt;=0,"",IFERROR(ROUND(L1216*N(INDEX(art_w,MATCH(H1216,art_ref,0))),3),"")))</f>
        <v/>
      </c>
      <c r="Q1216" s="59" t="n"/>
      <c r="R1216" s="54" t="n"/>
      <c r="S1216" s="59" t="n"/>
      <c r="T1216" s="59" t="n"/>
      <c r="U1216" s="64" t="str">
        <f>IF(OR(B1216="",H1216=""),"",IFERROR(IF(A1216="BL",IF(N(INDEX(art_price,MATCH(H1216,art_ref,0)))=0,"",N(INDEX(art_price,MATCH(H1216,art_ref,0)))),IF(N(INDEX(art_cost,MATCH(H1216,art_ref,0)))=0,"",N(INDEX(art_cost,MATCH(H1216,art_ref,0))))),""))</f>
        <v/>
      </c>
      <c r="V1216" s="64" t="str">
        <f>IF(OR(U1216="",NOT(ISNUMBER(L1216))),"",IF(L1216&lt;=0,"",ROUND(L1216*U1216,2)))</f>
        <v/>
      </c>
      <c r="W1216" s="60" t="str">
        <f>IF(AND(B1216&lt;&gt;"",A1216&lt;&gt;"BS",F1216&lt;&gt;"",H1216&lt;&gt;"",ISNUMBER(K1216),ISNUMBER(L1216)),IF(AND(K1216&gt;0,L1216&gt;0,K1216-L1216&gt;0,COUNTIFS(A1217:A$2005,A1216,F1217:F$2005,F1216,H1217:H$2005,H1216,AA1217:AA$2005,"&gt;0")=0),ROUND(K1216-L1216,6),""),"")</f>
        <v/>
      </c>
      <c r="X1216" s="60" t="str">
        <f>IF(AND(A1216="",C1216="",D1216="",H1216="",L1216=""),"",IF(A1216="","Type manquant",IF(AND(A1216&lt;&gt;"BL",A1216&lt;&gt;"BR",A1216&lt;&gt;"BS"),"Type inconnu (BL, BR ou BS)",IF(AG1216=0,"Date manquante ou invalide",IF(D1216="",IF(A1216="BL","Client manquant",IF(A1216="BR","Fournisseur manquant","Service manquant")),IF(IF(A1216="BL",ISNA(MATCH(D1216,cl_code,0)),IF(A1216="BR",ISNA(MATCH(D1216,fo_code,0)),ISNA(MATCH(D1216,p_services,0)))),IF(A1216="BL","Client inconnu",IF(A1216="BR","Fournisseur inconnu","Service inconnu")),IF(H1216="","Article manquant",IF(ISNA(MATCH(H1216,art_ref,0)),"Article inconnu",IF(OR(NOT(ISNUMBER(L1216)),N(L1216)&lt;=0),"Quantité invalide",IF(AND(K1216&lt;&gt;"",OR(NOT(ISNUMBER(K1216)),N(K1216)&lt;=0)),"Qté commandée invalide",IF(AG1216&lt;SUMPRODUCT(MAX((A$6:A1215=A1216)*AG$6:AG1215)),"Date antérieure au bon précédent",IF(AND(A1216&lt;&gt;"BR",ISNUMBER(M1216),N(M1216)&gt;0),IF(A1216="BL","Livré plus que commandé","Sorti plus que demandé"),"OK"))))))))))))</f>
        <v/>
      </c>
      <c r="Y1216" s="57" t="str">
        <f>IF(AND(OR(A1216="BL",A1216="BR",A1216="BS"),AG1216&gt;0,D1216&lt;&gt;""),A1216&amp;"|"&amp;AG1216&amp;"|"&amp;D1216&amp;"|"&amp;F1216,"")</f>
        <v/>
      </c>
      <c r="Z1216" s="57" t="str">
        <f>IF(Y1216="","",IF(COUNTIF(Y$6:Y1215,Y1216)=0,1,0))</f>
        <v/>
      </c>
      <c r="AA1216" s="57" t="str">
        <f>IF(Y1216="","",IF(Z1216=1,COUNTIFS(A$6:A1216,A1216,Z$6:Z1216,1),INDEX(AA$6:AA1215,MATCH(Y1216,Y$6:Y1215,0))))</f>
        <v/>
      </c>
      <c r="AB1216" s="57" t="str">
        <f>IF(B1216="","",COUNTIF(B$6:B1216,B1216))</f>
        <v/>
      </c>
      <c r="AC1216" s="57" t="str">
        <f>IF(B1216="","",B1216&amp;"#"&amp;AB1216)</f>
        <v/>
      </c>
      <c r="AD1216" s="57" t="str">
        <f>IF(Z1216=1,A1216&amp;AA1216,"")</f>
        <v/>
      </c>
      <c r="AE1216" s="57" t="str">
        <f>IF(B1216="","",YEAR(C1216))</f>
        <v/>
      </c>
      <c r="AF1216" s="57" t="str">
        <f>IF(B1216="","",MONTH(C1216))</f>
        <v/>
      </c>
      <c r="AG1216" s="57">
        <f>IF(ISNUMBER(C1216),C1216,0)</f>
        <v>0.0</v>
      </c>
      <c r="AH1216" s="57" t="str">
        <f>IF(N(W1216)&gt;0,COUNTIF(W$6:W1216,"&gt;0"),"")</f>
        <v/>
      </c>
      <c r="AI1216" s="57" t="str">
        <f>IF(Z1216=1,COUNTIF(Z$6:Z1216,1),"")</f>
        <v/>
      </c>
    </row>
    <row r="1217">
      <c r="A1217" s="54" t="n"/>
      <c r="B1217" s="55" t="str">
        <f>IF(AA1217="","",A1217&amp;"-"&amp;RIGHT("000"&amp;AA1217,4))</f>
        <v/>
      </c>
      <c r="C1217" s="56" t="n"/>
      <c r="D1217" s="54" t="n"/>
      <c r="E1217" s="57" t="str">
        <f>IF(D1217="","",IF(A1217="BL",IFERROR(INDEX(cl_name,MATCH(D1217,cl_code,0))&amp;"","Client inconnu"),IF(A1217="BR",IFERROR(INDEX(fo_name,MATCH(D1217,fo_code,0))&amp;"","Fournisseur inconnu"),IF(A1217="BS",IF(ISNA(MATCH(D1217,p_services,0)),"Service inconnu",D1217&amp;""),""))))</f>
        <v/>
      </c>
      <c r="F1217" s="58" t="n"/>
      <c r="G1217" s="58" t="n"/>
      <c r="H1217" s="59" t="n"/>
      <c r="I1217" s="57" t="str">
        <f>IF(H1217="","",IFERROR(INDEX(art_des,MATCH(H1217,art_ref,0))&amp;"","Article inconnu"))</f>
        <v/>
      </c>
      <c r="J1217" s="60" t="str">
        <f>IF(H1217="","",IFERROR(INDEX(art_unit,MATCH(H1217,art_ref,0))&amp;"",""))</f>
        <v/>
      </c>
      <c r="K1217" s="59" t="n"/>
      <c r="L1217" s="59" t="n"/>
      <c r="M1217" s="61" t="str">
        <f>IF(OR(B1217="",NOT(ISNUMBER(K1217)),NOT(ISNUMBER(L1217))),"",IF(OR(K1217&lt;=0,L1217&lt;=0),"",ROUND(L1217-K1217,6)))</f>
        <v/>
      </c>
      <c r="N1217" s="58" t="n"/>
      <c r="O1217" s="62" t="n"/>
      <c r="P1217" s="63" t="str">
        <f>IF(OR(B1217="",NOT(ISNUMBER(L1217))),"",IF(L1217&lt;=0,"",IFERROR(ROUND(L1217*N(INDEX(art_w,MATCH(H1217,art_ref,0))),3),"")))</f>
        <v/>
      </c>
      <c r="Q1217" s="59" t="n"/>
      <c r="R1217" s="54" t="n"/>
      <c r="S1217" s="59" t="n"/>
      <c r="T1217" s="59" t="n"/>
      <c r="U1217" s="64" t="str">
        <f>IF(OR(B1217="",H1217=""),"",IFERROR(IF(A1217="BL",IF(N(INDEX(art_price,MATCH(H1217,art_ref,0)))=0,"",N(INDEX(art_price,MATCH(H1217,art_ref,0)))),IF(N(INDEX(art_cost,MATCH(H1217,art_ref,0)))=0,"",N(INDEX(art_cost,MATCH(H1217,art_ref,0))))),""))</f>
        <v/>
      </c>
      <c r="V1217" s="64" t="str">
        <f>IF(OR(U1217="",NOT(ISNUMBER(L1217))),"",IF(L1217&lt;=0,"",ROUND(L1217*U1217,2)))</f>
        <v/>
      </c>
      <c r="W1217" s="60" t="str">
        <f>IF(AND(B1217&lt;&gt;"",A1217&lt;&gt;"BS",F1217&lt;&gt;"",H1217&lt;&gt;"",ISNUMBER(K1217),ISNUMBER(L1217)),IF(AND(K1217&gt;0,L1217&gt;0,K1217-L1217&gt;0,COUNTIFS(A1218:A$2005,A1217,F1218:F$2005,F1217,H1218:H$2005,H1217,AA1218:AA$2005,"&gt;0")=0),ROUND(K1217-L1217,6),""),"")</f>
        <v/>
      </c>
      <c r="X1217" s="60" t="str">
        <f>IF(AND(A1217="",C1217="",D1217="",H1217="",L1217=""),"",IF(A1217="","Type manquant",IF(AND(A1217&lt;&gt;"BL",A1217&lt;&gt;"BR",A1217&lt;&gt;"BS"),"Type inconnu (BL, BR ou BS)",IF(AG1217=0,"Date manquante ou invalide",IF(D1217="",IF(A1217="BL","Client manquant",IF(A1217="BR","Fournisseur manquant","Service manquant")),IF(IF(A1217="BL",ISNA(MATCH(D1217,cl_code,0)),IF(A1217="BR",ISNA(MATCH(D1217,fo_code,0)),ISNA(MATCH(D1217,p_services,0)))),IF(A1217="BL","Client inconnu",IF(A1217="BR","Fournisseur inconnu","Service inconnu")),IF(H1217="","Article manquant",IF(ISNA(MATCH(H1217,art_ref,0)),"Article inconnu",IF(OR(NOT(ISNUMBER(L1217)),N(L1217)&lt;=0),"Quantité invalide",IF(AND(K1217&lt;&gt;"",OR(NOT(ISNUMBER(K1217)),N(K1217)&lt;=0)),"Qté commandée invalide",IF(AG1217&lt;SUMPRODUCT(MAX((A$6:A1216=A1217)*AG$6:AG1216)),"Date antérieure au bon précédent",IF(AND(A1217&lt;&gt;"BR",ISNUMBER(M1217),N(M1217)&gt;0),IF(A1217="BL","Livré plus que commandé","Sorti plus que demandé"),"OK"))))))))))))</f>
        <v/>
      </c>
      <c r="Y1217" s="57" t="str">
        <f>IF(AND(OR(A1217="BL",A1217="BR",A1217="BS"),AG1217&gt;0,D1217&lt;&gt;""),A1217&amp;"|"&amp;AG1217&amp;"|"&amp;D1217&amp;"|"&amp;F1217,"")</f>
        <v/>
      </c>
      <c r="Z1217" s="57" t="str">
        <f>IF(Y1217="","",IF(COUNTIF(Y$6:Y1216,Y1217)=0,1,0))</f>
        <v/>
      </c>
      <c r="AA1217" s="57" t="str">
        <f>IF(Y1217="","",IF(Z1217=1,COUNTIFS(A$6:A1217,A1217,Z$6:Z1217,1),INDEX(AA$6:AA1216,MATCH(Y1217,Y$6:Y1216,0))))</f>
        <v/>
      </c>
      <c r="AB1217" s="57" t="str">
        <f>IF(B1217="","",COUNTIF(B$6:B1217,B1217))</f>
        <v/>
      </c>
      <c r="AC1217" s="57" t="str">
        <f>IF(B1217="","",B1217&amp;"#"&amp;AB1217)</f>
        <v/>
      </c>
      <c r="AD1217" s="57" t="str">
        <f>IF(Z1217=1,A1217&amp;AA1217,"")</f>
        <v/>
      </c>
      <c r="AE1217" s="57" t="str">
        <f>IF(B1217="","",YEAR(C1217))</f>
        <v/>
      </c>
      <c r="AF1217" s="57" t="str">
        <f>IF(B1217="","",MONTH(C1217))</f>
        <v/>
      </c>
      <c r="AG1217" s="57">
        <f>IF(ISNUMBER(C1217),C1217,0)</f>
        <v>0.0</v>
      </c>
      <c r="AH1217" s="57" t="str">
        <f>IF(N(W1217)&gt;0,COUNTIF(W$6:W1217,"&gt;0"),"")</f>
        <v/>
      </c>
      <c r="AI1217" s="57" t="str">
        <f>IF(Z1217=1,COUNTIF(Z$6:Z1217,1),"")</f>
        <v/>
      </c>
    </row>
    <row r="1218">
      <c r="A1218" s="54" t="n"/>
      <c r="B1218" s="55" t="str">
        <f>IF(AA1218="","",A1218&amp;"-"&amp;RIGHT("000"&amp;AA1218,4))</f>
        <v/>
      </c>
      <c r="C1218" s="56" t="n"/>
      <c r="D1218" s="54" t="n"/>
      <c r="E1218" s="57" t="str">
        <f>IF(D1218="","",IF(A1218="BL",IFERROR(INDEX(cl_name,MATCH(D1218,cl_code,0))&amp;"","Client inconnu"),IF(A1218="BR",IFERROR(INDEX(fo_name,MATCH(D1218,fo_code,0))&amp;"","Fournisseur inconnu"),IF(A1218="BS",IF(ISNA(MATCH(D1218,p_services,0)),"Service inconnu",D1218&amp;""),""))))</f>
        <v/>
      </c>
      <c r="F1218" s="58" t="n"/>
      <c r="G1218" s="58" t="n"/>
      <c r="H1218" s="59" t="n"/>
      <c r="I1218" s="57" t="str">
        <f>IF(H1218="","",IFERROR(INDEX(art_des,MATCH(H1218,art_ref,0))&amp;"","Article inconnu"))</f>
        <v/>
      </c>
      <c r="J1218" s="60" t="str">
        <f>IF(H1218="","",IFERROR(INDEX(art_unit,MATCH(H1218,art_ref,0))&amp;"",""))</f>
        <v/>
      </c>
      <c r="K1218" s="59" t="n"/>
      <c r="L1218" s="59" t="n"/>
      <c r="M1218" s="61" t="str">
        <f>IF(OR(B1218="",NOT(ISNUMBER(K1218)),NOT(ISNUMBER(L1218))),"",IF(OR(K1218&lt;=0,L1218&lt;=0),"",ROUND(L1218-K1218,6)))</f>
        <v/>
      </c>
      <c r="N1218" s="58" t="n"/>
      <c r="O1218" s="62" t="n"/>
      <c r="P1218" s="63" t="str">
        <f>IF(OR(B1218="",NOT(ISNUMBER(L1218))),"",IF(L1218&lt;=0,"",IFERROR(ROUND(L1218*N(INDEX(art_w,MATCH(H1218,art_ref,0))),3),"")))</f>
        <v/>
      </c>
      <c r="Q1218" s="59" t="n"/>
      <c r="R1218" s="54" t="n"/>
      <c r="S1218" s="59" t="n"/>
      <c r="T1218" s="59" t="n"/>
      <c r="U1218" s="64" t="str">
        <f>IF(OR(B1218="",H1218=""),"",IFERROR(IF(A1218="BL",IF(N(INDEX(art_price,MATCH(H1218,art_ref,0)))=0,"",N(INDEX(art_price,MATCH(H1218,art_ref,0)))),IF(N(INDEX(art_cost,MATCH(H1218,art_ref,0)))=0,"",N(INDEX(art_cost,MATCH(H1218,art_ref,0))))),""))</f>
        <v/>
      </c>
      <c r="V1218" s="64" t="str">
        <f>IF(OR(U1218="",NOT(ISNUMBER(L1218))),"",IF(L1218&lt;=0,"",ROUND(L1218*U1218,2)))</f>
        <v/>
      </c>
      <c r="W1218" s="60" t="str">
        <f>IF(AND(B1218&lt;&gt;"",A1218&lt;&gt;"BS",F1218&lt;&gt;"",H1218&lt;&gt;"",ISNUMBER(K1218),ISNUMBER(L1218)),IF(AND(K1218&gt;0,L1218&gt;0,K1218-L1218&gt;0,COUNTIFS(A1219:A$2005,A1218,F1219:F$2005,F1218,H1219:H$2005,H1218,AA1219:AA$2005,"&gt;0")=0),ROUND(K1218-L1218,6),""),"")</f>
        <v/>
      </c>
      <c r="X1218" s="60" t="str">
        <f>IF(AND(A1218="",C1218="",D1218="",H1218="",L1218=""),"",IF(A1218="","Type manquant",IF(AND(A1218&lt;&gt;"BL",A1218&lt;&gt;"BR",A1218&lt;&gt;"BS"),"Type inconnu (BL, BR ou BS)",IF(AG1218=0,"Date manquante ou invalide",IF(D1218="",IF(A1218="BL","Client manquant",IF(A1218="BR","Fournisseur manquant","Service manquant")),IF(IF(A1218="BL",ISNA(MATCH(D1218,cl_code,0)),IF(A1218="BR",ISNA(MATCH(D1218,fo_code,0)),ISNA(MATCH(D1218,p_services,0)))),IF(A1218="BL","Client inconnu",IF(A1218="BR","Fournisseur inconnu","Service inconnu")),IF(H1218="","Article manquant",IF(ISNA(MATCH(H1218,art_ref,0)),"Article inconnu",IF(OR(NOT(ISNUMBER(L1218)),N(L1218)&lt;=0),"Quantité invalide",IF(AND(K1218&lt;&gt;"",OR(NOT(ISNUMBER(K1218)),N(K1218)&lt;=0)),"Qté commandée invalide",IF(AG1218&lt;SUMPRODUCT(MAX((A$6:A1217=A1218)*AG$6:AG1217)),"Date antérieure au bon précédent",IF(AND(A1218&lt;&gt;"BR",ISNUMBER(M1218),N(M1218)&gt;0),IF(A1218="BL","Livré plus que commandé","Sorti plus que demandé"),"OK"))))))))))))</f>
        <v/>
      </c>
      <c r="Y1218" s="57" t="str">
        <f>IF(AND(OR(A1218="BL",A1218="BR",A1218="BS"),AG1218&gt;0,D1218&lt;&gt;""),A1218&amp;"|"&amp;AG1218&amp;"|"&amp;D1218&amp;"|"&amp;F1218,"")</f>
        <v/>
      </c>
      <c r="Z1218" s="57" t="str">
        <f>IF(Y1218="","",IF(COUNTIF(Y$6:Y1217,Y1218)=0,1,0))</f>
        <v/>
      </c>
      <c r="AA1218" s="57" t="str">
        <f>IF(Y1218="","",IF(Z1218=1,COUNTIFS(A$6:A1218,A1218,Z$6:Z1218,1),INDEX(AA$6:AA1217,MATCH(Y1218,Y$6:Y1217,0))))</f>
        <v/>
      </c>
      <c r="AB1218" s="57" t="str">
        <f>IF(B1218="","",COUNTIF(B$6:B1218,B1218))</f>
        <v/>
      </c>
      <c r="AC1218" s="57" t="str">
        <f>IF(B1218="","",B1218&amp;"#"&amp;AB1218)</f>
        <v/>
      </c>
      <c r="AD1218" s="57" t="str">
        <f>IF(Z1218=1,A1218&amp;AA1218,"")</f>
        <v/>
      </c>
      <c r="AE1218" s="57" t="str">
        <f>IF(B1218="","",YEAR(C1218))</f>
        <v/>
      </c>
      <c r="AF1218" s="57" t="str">
        <f>IF(B1218="","",MONTH(C1218))</f>
        <v/>
      </c>
      <c r="AG1218" s="57">
        <f>IF(ISNUMBER(C1218),C1218,0)</f>
        <v>0.0</v>
      </c>
      <c r="AH1218" s="57" t="str">
        <f>IF(N(W1218)&gt;0,COUNTIF(W$6:W1218,"&gt;0"),"")</f>
        <v/>
      </c>
      <c r="AI1218" s="57" t="str">
        <f>IF(Z1218=1,COUNTIF(Z$6:Z1218,1),"")</f>
        <v/>
      </c>
    </row>
    <row r="1219">
      <c r="A1219" s="54" t="n"/>
      <c r="B1219" s="55" t="str">
        <f>IF(AA1219="","",A1219&amp;"-"&amp;RIGHT("000"&amp;AA1219,4))</f>
        <v/>
      </c>
      <c r="C1219" s="56" t="n"/>
      <c r="D1219" s="54" t="n"/>
      <c r="E1219" s="57" t="str">
        <f>IF(D1219="","",IF(A1219="BL",IFERROR(INDEX(cl_name,MATCH(D1219,cl_code,0))&amp;"","Client inconnu"),IF(A1219="BR",IFERROR(INDEX(fo_name,MATCH(D1219,fo_code,0))&amp;"","Fournisseur inconnu"),IF(A1219="BS",IF(ISNA(MATCH(D1219,p_services,0)),"Service inconnu",D1219&amp;""),""))))</f>
        <v/>
      </c>
      <c r="F1219" s="58" t="n"/>
      <c r="G1219" s="58" t="n"/>
      <c r="H1219" s="59" t="n"/>
      <c r="I1219" s="57" t="str">
        <f>IF(H1219="","",IFERROR(INDEX(art_des,MATCH(H1219,art_ref,0))&amp;"","Article inconnu"))</f>
        <v/>
      </c>
      <c r="J1219" s="60" t="str">
        <f>IF(H1219="","",IFERROR(INDEX(art_unit,MATCH(H1219,art_ref,0))&amp;"",""))</f>
        <v/>
      </c>
      <c r="K1219" s="59" t="n"/>
      <c r="L1219" s="59" t="n"/>
      <c r="M1219" s="61" t="str">
        <f>IF(OR(B1219="",NOT(ISNUMBER(K1219)),NOT(ISNUMBER(L1219))),"",IF(OR(K1219&lt;=0,L1219&lt;=0),"",ROUND(L1219-K1219,6)))</f>
        <v/>
      </c>
      <c r="N1219" s="58" t="n"/>
      <c r="O1219" s="62" t="n"/>
      <c r="P1219" s="63" t="str">
        <f>IF(OR(B1219="",NOT(ISNUMBER(L1219))),"",IF(L1219&lt;=0,"",IFERROR(ROUND(L1219*N(INDEX(art_w,MATCH(H1219,art_ref,0))),3),"")))</f>
        <v/>
      </c>
      <c r="Q1219" s="59" t="n"/>
      <c r="R1219" s="54" t="n"/>
      <c r="S1219" s="59" t="n"/>
      <c r="T1219" s="59" t="n"/>
      <c r="U1219" s="64" t="str">
        <f>IF(OR(B1219="",H1219=""),"",IFERROR(IF(A1219="BL",IF(N(INDEX(art_price,MATCH(H1219,art_ref,0)))=0,"",N(INDEX(art_price,MATCH(H1219,art_ref,0)))),IF(N(INDEX(art_cost,MATCH(H1219,art_ref,0)))=0,"",N(INDEX(art_cost,MATCH(H1219,art_ref,0))))),""))</f>
        <v/>
      </c>
      <c r="V1219" s="64" t="str">
        <f>IF(OR(U1219="",NOT(ISNUMBER(L1219))),"",IF(L1219&lt;=0,"",ROUND(L1219*U1219,2)))</f>
        <v/>
      </c>
      <c r="W1219" s="60" t="str">
        <f>IF(AND(B1219&lt;&gt;"",A1219&lt;&gt;"BS",F1219&lt;&gt;"",H1219&lt;&gt;"",ISNUMBER(K1219),ISNUMBER(L1219)),IF(AND(K1219&gt;0,L1219&gt;0,K1219-L1219&gt;0,COUNTIFS(A1220:A$2005,A1219,F1220:F$2005,F1219,H1220:H$2005,H1219,AA1220:AA$2005,"&gt;0")=0),ROUND(K1219-L1219,6),""),"")</f>
        <v/>
      </c>
      <c r="X1219" s="60" t="str">
        <f>IF(AND(A1219="",C1219="",D1219="",H1219="",L1219=""),"",IF(A1219="","Type manquant",IF(AND(A1219&lt;&gt;"BL",A1219&lt;&gt;"BR",A1219&lt;&gt;"BS"),"Type inconnu (BL, BR ou BS)",IF(AG1219=0,"Date manquante ou invalide",IF(D1219="",IF(A1219="BL","Client manquant",IF(A1219="BR","Fournisseur manquant","Service manquant")),IF(IF(A1219="BL",ISNA(MATCH(D1219,cl_code,0)),IF(A1219="BR",ISNA(MATCH(D1219,fo_code,0)),ISNA(MATCH(D1219,p_services,0)))),IF(A1219="BL","Client inconnu",IF(A1219="BR","Fournisseur inconnu","Service inconnu")),IF(H1219="","Article manquant",IF(ISNA(MATCH(H1219,art_ref,0)),"Article inconnu",IF(OR(NOT(ISNUMBER(L1219)),N(L1219)&lt;=0),"Quantité invalide",IF(AND(K1219&lt;&gt;"",OR(NOT(ISNUMBER(K1219)),N(K1219)&lt;=0)),"Qté commandée invalide",IF(AG1219&lt;SUMPRODUCT(MAX((A$6:A1218=A1219)*AG$6:AG1218)),"Date antérieure au bon précédent",IF(AND(A1219&lt;&gt;"BR",ISNUMBER(M1219),N(M1219)&gt;0),IF(A1219="BL","Livré plus que commandé","Sorti plus que demandé"),"OK"))))))))))))</f>
        <v/>
      </c>
      <c r="Y1219" s="57" t="str">
        <f>IF(AND(OR(A1219="BL",A1219="BR",A1219="BS"),AG1219&gt;0,D1219&lt;&gt;""),A1219&amp;"|"&amp;AG1219&amp;"|"&amp;D1219&amp;"|"&amp;F1219,"")</f>
        <v/>
      </c>
      <c r="Z1219" s="57" t="str">
        <f>IF(Y1219="","",IF(COUNTIF(Y$6:Y1218,Y1219)=0,1,0))</f>
        <v/>
      </c>
      <c r="AA1219" s="57" t="str">
        <f>IF(Y1219="","",IF(Z1219=1,COUNTIFS(A$6:A1219,A1219,Z$6:Z1219,1),INDEX(AA$6:AA1218,MATCH(Y1219,Y$6:Y1218,0))))</f>
        <v/>
      </c>
      <c r="AB1219" s="57" t="str">
        <f>IF(B1219="","",COUNTIF(B$6:B1219,B1219))</f>
        <v/>
      </c>
      <c r="AC1219" s="57" t="str">
        <f>IF(B1219="","",B1219&amp;"#"&amp;AB1219)</f>
        <v/>
      </c>
      <c r="AD1219" s="57" t="str">
        <f>IF(Z1219=1,A1219&amp;AA1219,"")</f>
        <v/>
      </c>
      <c r="AE1219" s="57" t="str">
        <f>IF(B1219="","",YEAR(C1219))</f>
        <v/>
      </c>
      <c r="AF1219" s="57" t="str">
        <f>IF(B1219="","",MONTH(C1219))</f>
        <v/>
      </c>
      <c r="AG1219" s="57">
        <f>IF(ISNUMBER(C1219),C1219,0)</f>
        <v>0.0</v>
      </c>
      <c r="AH1219" s="57" t="str">
        <f>IF(N(W1219)&gt;0,COUNTIF(W$6:W1219,"&gt;0"),"")</f>
        <v/>
      </c>
      <c r="AI1219" s="57" t="str">
        <f>IF(Z1219=1,COUNTIF(Z$6:Z1219,1),"")</f>
        <v/>
      </c>
    </row>
    <row r="1220">
      <c r="A1220" s="54" t="n"/>
      <c r="B1220" s="55" t="str">
        <f>IF(AA1220="","",A1220&amp;"-"&amp;RIGHT("000"&amp;AA1220,4))</f>
        <v/>
      </c>
      <c r="C1220" s="56" t="n"/>
      <c r="D1220" s="54" t="n"/>
      <c r="E1220" s="57" t="str">
        <f>IF(D1220="","",IF(A1220="BL",IFERROR(INDEX(cl_name,MATCH(D1220,cl_code,0))&amp;"","Client inconnu"),IF(A1220="BR",IFERROR(INDEX(fo_name,MATCH(D1220,fo_code,0))&amp;"","Fournisseur inconnu"),IF(A1220="BS",IF(ISNA(MATCH(D1220,p_services,0)),"Service inconnu",D1220&amp;""),""))))</f>
        <v/>
      </c>
      <c r="F1220" s="58" t="n"/>
      <c r="G1220" s="58" t="n"/>
      <c r="H1220" s="59" t="n"/>
      <c r="I1220" s="57" t="str">
        <f>IF(H1220="","",IFERROR(INDEX(art_des,MATCH(H1220,art_ref,0))&amp;"","Article inconnu"))</f>
        <v/>
      </c>
      <c r="J1220" s="60" t="str">
        <f>IF(H1220="","",IFERROR(INDEX(art_unit,MATCH(H1220,art_ref,0))&amp;"",""))</f>
        <v/>
      </c>
      <c r="K1220" s="59" t="n"/>
      <c r="L1220" s="59" t="n"/>
      <c r="M1220" s="61" t="str">
        <f>IF(OR(B1220="",NOT(ISNUMBER(K1220)),NOT(ISNUMBER(L1220))),"",IF(OR(K1220&lt;=0,L1220&lt;=0),"",ROUND(L1220-K1220,6)))</f>
        <v/>
      </c>
      <c r="N1220" s="58" t="n"/>
      <c r="O1220" s="62" t="n"/>
      <c r="P1220" s="63" t="str">
        <f>IF(OR(B1220="",NOT(ISNUMBER(L1220))),"",IF(L1220&lt;=0,"",IFERROR(ROUND(L1220*N(INDEX(art_w,MATCH(H1220,art_ref,0))),3),"")))</f>
        <v/>
      </c>
      <c r="Q1220" s="59" t="n"/>
      <c r="R1220" s="54" t="n"/>
      <c r="S1220" s="59" t="n"/>
      <c r="T1220" s="59" t="n"/>
      <c r="U1220" s="64" t="str">
        <f>IF(OR(B1220="",H1220=""),"",IFERROR(IF(A1220="BL",IF(N(INDEX(art_price,MATCH(H1220,art_ref,0)))=0,"",N(INDEX(art_price,MATCH(H1220,art_ref,0)))),IF(N(INDEX(art_cost,MATCH(H1220,art_ref,0)))=0,"",N(INDEX(art_cost,MATCH(H1220,art_ref,0))))),""))</f>
        <v/>
      </c>
      <c r="V1220" s="64" t="str">
        <f>IF(OR(U1220="",NOT(ISNUMBER(L1220))),"",IF(L1220&lt;=0,"",ROUND(L1220*U1220,2)))</f>
        <v/>
      </c>
      <c r="W1220" s="60" t="str">
        <f>IF(AND(B1220&lt;&gt;"",A1220&lt;&gt;"BS",F1220&lt;&gt;"",H1220&lt;&gt;"",ISNUMBER(K1220),ISNUMBER(L1220)),IF(AND(K1220&gt;0,L1220&gt;0,K1220-L1220&gt;0,COUNTIFS(A1221:A$2005,A1220,F1221:F$2005,F1220,H1221:H$2005,H1220,AA1221:AA$2005,"&gt;0")=0),ROUND(K1220-L1220,6),""),"")</f>
        <v/>
      </c>
      <c r="X1220" s="60" t="str">
        <f>IF(AND(A1220="",C1220="",D1220="",H1220="",L1220=""),"",IF(A1220="","Type manquant",IF(AND(A1220&lt;&gt;"BL",A1220&lt;&gt;"BR",A1220&lt;&gt;"BS"),"Type inconnu (BL, BR ou BS)",IF(AG1220=0,"Date manquante ou invalide",IF(D1220="",IF(A1220="BL","Client manquant",IF(A1220="BR","Fournisseur manquant","Service manquant")),IF(IF(A1220="BL",ISNA(MATCH(D1220,cl_code,0)),IF(A1220="BR",ISNA(MATCH(D1220,fo_code,0)),ISNA(MATCH(D1220,p_services,0)))),IF(A1220="BL","Client inconnu",IF(A1220="BR","Fournisseur inconnu","Service inconnu")),IF(H1220="","Article manquant",IF(ISNA(MATCH(H1220,art_ref,0)),"Article inconnu",IF(OR(NOT(ISNUMBER(L1220)),N(L1220)&lt;=0),"Quantité invalide",IF(AND(K1220&lt;&gt;"",OR(NOT(ISNUMBER(K1220)),N(K1220)&lt;=0)),"Qté commandée invalide",IF(AG1220&lt;SUMPRODUCT(MAX((A$6:A1219=A1220)*AG$6:AG1219)),"Date antérieure au bon précédent",IF(AND(A1220&lt;&gt;"BR",ISNUMBER(M1220),N(M1220)&gt;0),IF(A1220="BL","Livré plus que commandé","Sorti plus que demandé"),"OK"))))))))))))</f>
        <v/>
      </c>
      <c r="Y1220" s="57" t="str">
        <f>IF(AND(OR(A1220="BL",A1220="BR",A1220="BS"),AG1220&gt;0,D1220&lt;&gt;""),A1220&amp;"|"&amp;AG1220&amp;"|"&amp;D1220&amp;"|"&amp;F1220,"")</f>
        <v/>
      </c>
      <c r="Z1220" s="57" t="str">
        <f>IF(Y1220="","",IF(COUNTIF(Y$6:Y1219,Y1220)=0,1,0))</f>
        <v/>
      </c>
      <c r="AA1220" s="57" t="str">
        <f>IF(Y1220="","",IF(Z1220=1,COUNTIFS(A$6:A1220,A1220,Z$6:Z1220,1),INDEX(AA$6:AA1219,MATCH(Y1220,Y$6:Y1219,0))))</f>
        <v/>
      </c>
      <c r="AB1220" s="57" t="str">
        <f>IF(B1220="","",COUNTIF(B$6:B1220,B1220))</f>
        <v/>
      </c>
      <c r="AC1220" s="57" t="str">
        <f>IF(B1220="","",B1220&amp;"#"&amp;AB1220)</f>
        <v/>
      </c>
      <c r="AD1220" s="57" t="str">
        <f>IF(Z1220=1,A1220&amp;AA1220,"")</f>
        <v/>
      </c>
      <c r="AE1220" s="57" t="str">
        <f>IF(B1220="","",YEAR(C1220))</f>
        <v/>
      </c>
      <c r="AF1220" s="57" t="str">
        <f>IF(B1220="","",MONTH(C1220))</f>
        <v/>
      </c>
      <c r="AG1220" s="57">
        <f>IF(ISNUMBER(C1220),C1220,0)</f>
        <v>0.0</v>
      </c>
      <c r="AH1220" s="57" t="str">
        <f>IF(N(W1220)&gt;0,COUNTIF(W$6:W1220,"&gt;0"),"")</f>
        <v/>
      </c>
      <c r="AI1220" s="57" t="str">
        <f>IF(Z1220=1,COUNTIF(Z$6:Z1220,1),"")</f>
        <v/>
      </c>
    </row>
    <row r="1221">
      <c r="A1221" s="54" t="n"/>
      <c r="B1221" s="55" t="str">
        <f>IF(AA1221="","",A1221&amp;"-"&amp;RIGHT("000"&amp;AA1221,4))</f>
        <v/>
      </c>
      <c r="C1221" s="56" t="n"/>
      <c r="D1221" s="54" t="n"/>
      <c r="E1221" s="57" t="str">
        <f>IF(D1221="","",IF(A1221="BL",IFERROR(INDEX(cl_name,MATCH(D1221,cl_code,0))&amp;"","Client inconnu"),IF(A1221="BR",IFERROR(INDEX(fo_name,MATCH(D1221,fo_code,0))&amp;"","Fournisseur inconnu"),IF(A1221="BS",IF(ISNA(MATCH(D1221,p_services,0)),"Service inconnu",D1221&amp;""),""))))</f>
        <v/>
      </c>
      <c r="F1221" s="58" t="n"/>
      <c r="G1221" s="58" t="n"/>
      <c r="H1221" s="59" t="n"/>
      <c r="I1221" s="57" t="str">
        <f>IF(H1221="","",IFERROR(INDEX(art_des,MATCH(H1221,art_ref,0))&amp;"","Article inconnu"))</f>
        <v/>
      </c>
      <c r="J1221" s="60" t="str">
        <f>IF(H1221="","",IFERROR(INDEX(art_unit,MATCH(H1221,art_ref,0))&amp;"",""))</f>
        <v/>
      </c>
      <c r="K1221" s="59" t="n"/>
      <c r="L1221" s="59" t="n"/>
      <c r="M1221" s="61" t="str">
        <f>IF(OR(B1221="",NOT(ISNUMBER(K1221)),NOT(ISNUMBER(L1221))),"",IF(OR(K1221&lt;=0,L1221&lt;=0),"",ROUND(L1221-K1221,6)))</f>
        <v/>
      </c>
      <c r="N1221" s="58" t="n"/>
      <c r="O1221" s="62" t="n"/>
      <c r="P1221" s="63" t="str">
        <f>IF(OR(B1221="",NOT(ISNUMBER(L1221))),"",IF(L1221&lt;=0,"",IFERROR(ROUND(L1221*N(INDEX(art_w,MATCH(H1221,art_ref,0))),3),"")))</f>
        <v/>
      </c>
      <c r="Q1221" s="59" t="n"/>
      <c r="R1221" s="54" t="n"/>
      <c r="S1221" s="59" t="n"/>
      <c r="T1221" s="59" t="n"/>
      <c r="U1221" s="64" t="str">
        <f>IF(OR(B1221="",H1221=""),"",IFERROR(IF(A1221="BL",IF(N(INDEX(art_price,MATCH(H1221,art_ref,0)))=0,"",N(INDEX(art_price,MATCH(H1221,art_ref,0)))),IF(N(INDEX(art_cost,MATCH(H1221,art_ref,0)))=0,"",N(INDEX(art_cost,MATCH(H1221,art_ref,0))))),""))</f>
        <v/>
      </c>
      <c r="V1221" s="64" t="str">
        <f>IF(OR(U1221="",NOT(ISNUMBER(L1221))),"",IF(L1221&lt;=0,"",ROUND(L1221*U1221,2)))</f>
        <v/>
      </c>
      <c r="W1221" s="60" t="str">
        <f>IF(AND(B1221&lt;&gt;"",A1221&lt;&gt;"BS",F1221&lt;&gt;"",H1221&lt;&gt;"",ISNUMBER(K1221),ISNUMBER(L1221)),IF(AND(K1221&gt;0,L1221&gt;0,K1221-L1221&gt;0,COUNTIFS(A1222:A$2005,A1221,F1222:F$2005,F1221,H1222:H$2005,H1221,AA1222:AA$2005,"&gt;0")=0),ROUND(K1221-L1221,6),""),"")</f>
        <v/>
      </c>
      <c r="X1221" s="60" t="str">
        <f>IF(AND(A1221="",C1221="",D1221="",H1221="",L1221=""),"",IF(A1221="","Type manquant",IF(AND(A1221&lt;&gt;"BL",A1221&lt;&gt;"BR",A1221&lt;&gt;"BS"),"Type inconnu (BL, BR ou BS)",IF(AG1221=0,"Date manquante ou invalide",IF(D1221="",IF(A1221="BL","Client manquant",IF(A1221="BR","Fournisseur manquant","Service manquant")),IF(IF(A1221="BL",ISNA(MATCH(D1221,cl_code,0)),IF(A1221="BR",ISNA(MATCH(D1221,fo_code,0)),ISNA(MATCH(D1221,p_services,0)))),IF(A1221="BL","Client inconnu",IF(A1221="BR","Fournisseur inconnu","Service inconnu")),IF(H1221="","Article manquant",IF(ISNA(MATCH(H1221,art_ref,0)),"Article inconnu",IF(OR(NOT(ISNUMBER(L1221)),N(L1221)&lt;=0),"Quantité invalide",IF(AND(K1221&lt;&gt;"",OR(NOT(ISNUMBER(K1221)),N(K1221)&lt;=0)),"Qté commandée invalide",IF(AG1221&lt;SUMPRODUCT(MAX((A$6:A1220=A1221)*AG$6:AG1220)),"Date antérieure au bon précédent",IF(AND(A1221&lt;&gt;"BR",ISNUMBER(M1221),N(M1221)&gt;0),IF(A1221="BL","Livré plus que commandé","Sorti plus que demandé"),"OK"))))))))))))</f>
        <v/>
      </c>
      <c r="Y1221" s="57" t="str">
        <f>IF(AND(OR(A1221="BL",A1221="BR",A1221="BS"),AG1221&gt;0,D1221&lt;&gt;""),A1221&amp;"|"&amp;AG1221&amp;"|"&amp;D1221&amp;"|"&amp;F1221,"")</f>
        <v/>
      </c>
      <c r="Z1221" s="57" t="str">
        <f>IF(Y1221="","",IF(COUNTIF(Y$6:Y1220,Y1221)=0,1,0))</f>
        <v/>
      </c>
      <c r="AA1221" s="57" t="str">
        <f>IF(Y1221="","",IF(Z1221=1,COUNTIFS(A$6:A1221,A1221,Z$6:Z1221,1),INDEX(AA$6:AA1220,MATCH(Y1221,Y$6:Y1220,0))))</f>
        <v/>
      </c>
      <c r="AB1221" s="57" t="str">
        <f>IF(B1221="","",COUNTIF(B$6:B1221,B1221))</f>
        <v/>
      </c>
      <c r="AC1221" s="57" t="str">
        <f>IF(B1221="","",B1221&amp;"#"&amp;AB1221)</f>
        <v/>
      </c>
      <c r="AD1221" s="57" t="str">
        <f>IF(Z1221=1,A1221&amp;AA1221,"")</f>
        <v/>
      </c>
      <c r="AE1221" s="57" t="str">
        <f>IF(B1221="","",YEAR(C1221))</f>
        <v/>
      </c>
      <c r="AF1221" s="57" t="str">
        <f>IF(B1221="","",MONTH(C1221))</f>
        <v/>
      </c>
      <c r="AG1221" s="57">
        <f>IF(ISNUMBER(C1221),C1221,0)</f>
        <v>0.0</v>
      </c>
      <c r="AH1221" s="57" t="str">
        <f>IF(N(W1221)&gt;0,COUNTIF(W$6:W1221,"&gt;0"),"")</f>
        <v/>
      </c>
      <c r="AI1221" s="57" t="str">
        <f>IF(Z1221=1,COUNTIF(Z$6:Z1221,1),"")</f>
        <v/>
      </c>
    </row>
    <row r="1222">
      <c r="A1222" s="54" t="n"/>
      <c r="B1222" s="55" t="str">
        <f>IF(AA1222="","",A1222&amp;"-"&amp;RIGHT("000"&amp;AA1222,4))</f>
        <v/>
      </c>
      <c r="C1222" s="56" t="n"/>
      <c r="D1222" s="54" t="n"/>
      <c r="E1222" s="57" t="str">
        <f>IF(D1222="","",IF(A1222="BL",IFERROR(INDEX(cl_name,MATCH(D1222,cl_code,0))&amp;"","Client inconnu"),IF(A1222="BR",IFERROR(INDEX(fo_name,MATCH(D1222,fo_code,0))&amp;"","Fournisseur inconnu"),IF(A1222="BS",IF(ISNA(MATCH(D1222,p_services,0)),"Service inconnu",D1222&amp;""),""))))</f>
        <v/>
      </c>
      <c r="F1222" s="58" t="n"/>
      <c r="G1222" s="58" t="n"/>
      <c r="H1222" s="59" t="n"/>
      <c r="I1222" s="57" t="str">
        <f>IF(H1222="","",IFERROR(INDEX(art_des,MATCH(H1222,art_ref,0))&amp;"","Article inconnu"))</f>
        <v/>
      </c>
      <c r="J1222" s="60" t="str">
        <f>IF(H1222="","",IFERROR(INDEX(art_unit,MATCH(H1222,art_ref,0))&amp;"",""))</f>
        <v/>
      </c>
      <c r="K1222" s="59" t="n"/>
      <c r="L1222" s="59" t="n"/>
      <c r="M1222" s="61" t="str">
        <f>IF(OR(B1222="",NOT(ISNUMBER(K1222)),NOT(ISNUMBER(L1222))),"",IF(OR(K1222&lt;=0,L1222&lt;=0),"",ROUND(L1222-K1222,6)))</f>
        <v/>
      </c>
      <c r="N1222" s="58" t="n"/>
      <c r="O1222" s="62" t="n"/>
      <c r="P1222" s="63" t="str">
        <f>IF(OR(B1222="",NOT(ISNUMBER(L1222))),"",IF(L1222&lt;=0,"",IFERROR(ROUND(L1222*N(INDEX(art_w,MATCH(H1222,art_ref,0))),3),"")))</f>
        <v/>
      </c>
      <c r="Q1222" s="59" t="n"/>
      <c r="R1222" s="54" t="n"/>
      <c r="S1222" s="59" t="n"/>
      <c r="T1222" s="59" t="n"/>
      <c r="U1222" s="64" t="str">
        <f>IF(OR(B1222="",H1222=""),"",IFERROR(IF(A1222="BL",IF(N(INDEX(art_price,MATCH(H1222,art_ref,0)))=0,"",N(INDEX(art_price,MATCH(H1222,art_ref,0)))),IF(N(INDEX(art_cost,MATCH(H1222,art_ref,0)))=0,"",N(INDEX(art_cost,MATCH(H1222,art_ref,0))))),""))</f>
        <v/>
      </c>
      <c r="V1222" s="64" t="str">
        <f>IF(OR(U1222="",NOT(ISNUMBER(L1222))),"",IF(L1222&lt;=0,"",ROUND(L1222*U1222,2)))</f>
        <v/>
      </c>
      <c r="W1222" s="60" t="str">
        <f>IF(AND(B1222&lt;&gt;"",A1222&lt;&gt;"BS",F1222&lt;&gt;"",H1222&lt;&gt;"",ISNUMBER(K1222),ISNUMBER(L1222)),IF(AND(K1222&gt;0,L1222&gt;0,K1222-L1222&gt;0,COUNTIFS(A1223:A$2005,A1222,F1223:F$2005,F1222,H1223:H$2005,H1222,AA1223:AA$2005,"&gt;0")=0),ROUND(K1222-L1222,6),""),"")</f>
        <v/>
      </c>
      <c r="X1222" s="60" t="str">
        <f>IF(AND(A1222="",C1222="",D1222="",H1222="",L1222=""),"",IF(A1222="","Type manquant",IF(AND(A1222&lt;&gt;"BL",A1222&lt;&gt;"BR",A1222&lt;&gt;"BS"),"Type inconnu (BL, BR ou BS)",IF(AG1222=0,"Date manquante ou invalide",IF(D1222="",IF(A1222="BL","Client manquant",IF(A1222="BR","Fournisseur manquant","Service manquant")),IF(IF(A1222="BL",ISNA(MATCH(D1222,cl_code,0)),IF(A1222="BR",ISNA(MATCH(D1222,fo_code,0)),ISNA(MATCH(D1222,p_services,0)))),IF(A1222="BL","Client inconnu",IF(A1222="BR","Fournisseur inconnu","Service inconnu")),IF(H1222="","Article manquant",IF(ISNA(MATCH(H1222,art_ref,0)),"Article inconnu",IF(OR(NOT(ISNUMBER(L1222)),N(L1222)&lt;=0),"Quantité invalide",IF(AND(K1222&lt;&gt;"",OR(NOT(ISNUMBER(K1222)),N(K1222)&lt;=0)),"Qté commandée invalide",IF(AG1222&lt;SUMPRODUCT(MAX((A$6:A1221=A1222)*AG$6:AG1221)),"Date antérieure au bon précédent",IF(AND(A1222&lt;&gt;"BR",ISNUMBER(M1222),N(M1222)&gt;0),IF(A1222="BL","Livré plus que commandé","Sorti plus que demandé"),"OK"))))))))))))</f>
        <v/>
      </c>
      <c r="Y1222" s="57" t="str">
        <f>IF(AND(OR(A1222="BL",A1222="BR",A1222="BS"),AG1222&gt;0,D1222&lt;&gt;""),A1222&amp;"|"&amp;AG1222&amp;"|"&amp;D1222&amp;"|"&amp;F1222,"")</f>
        <v/>
      </c>
      <c r="Z1222" s="57" t="str">
        <f>IF(Y1222="","",IF(COUNTIF(Y$6:Y1221,Y1222)=0,1,0))</f>
        <v/>
      </c>
      <c r="AA1222" s="57" t="str">
        <f>IF(Y1222="","",IF(Z1222=1,COUNTIFS(A$6:A1222,A1222,Z$6:Z1222,1),INDEX(AA$6:AA1221,MATCH(Y1222,Y$6:Y1221,0))))</f>
        <v/>
      </c>
      <c r="AB1222" s="57" t="str">
        <f>IF(B1222="","",COUNTIF(B$6:B1222,B1222))</f>
        <v/>
      </c>
      <c r="AC1222" s="57" t="str">
        <f>IF(B1222="","",B1222&amp;"#"&amp;AB1222)</f>
        <v/>
      </c>
      <c r="AD1222" s="57" t="str">
        <f>IF(Z1222=1,A1222&amp;AA1222,"")</f>
        <v/>
      </c>
      <c r="AE1222" s="57" t="str">
        <f>IF(B1222="","",YEAR(C1222))</f>
        <v/>
      </c>
      <c r="AF1222" s="57" t="str">
        <f>IF(B1222="","",MONTH(C1222))</f>
        <v/>
      </c>
      <c r="AG1222" s="57">
        <f>IF(ISNUMBER(C1222),C1222,0)</f>
        <v>0.0</v>
      </c>
      <c r="AH1222" s="57" t="str">
        <f>IF(N(W1222)&gt;0,COUNTIF(W$6:W1222,"&gt;0"),"")</f>
        <v/>
      </c>
      <c r="AI1222" s="57" t="str">
        <f>IF(Z1222=1,COUNTIF(Z$6:Z1222,1),"")</f>
        <v/>
      </c>
    </row>
    <row r="1223">
      <c r="A1223" s="54" t="n"/>
      <c r="B1223" s="55" t="str">
        <f>IF(AA1223="","",A1223&amp;"-"&amp;RIGHT("000"&amp;AA1223,4))</f>
        <v/>
      </c>
      <c r="C1223" s="56" t="n"/>
      <c r="D1223" s="54" t="n"/>
      <c r="E1223" s="57" t="str">
        <f>IF(D1223="","",IF(A1223="BL",IFERROR(INDEX(cl_name,MATCH(D1223,cl_code,0))&amp;"","Client inconnu"),IF(A1223="BR",IFERROR(INDEX(fo_name,MATCH(D1223,fo_code,0))&amp;"","Fournisseur inconnu"),IF(A1223="BS",IF(ISNA(MATCH(D1223,p_services,0)),"Service inconnu",D1223&amp;""),""))))</f>
        <v/>
      </c>
      <c r="F1223" s="58" t="n"/>
      <c r="G1223" s="58" t="n"/>
      <c r="H1223" s="59" t="n"/>
      <c r="I1223" s="57" t="str">
        <f>IF(H1223="","",IFERROR(INDEX(art_des,MATCH(H1223,art_ref,0))&amp;"","Article inconnu"))</f>
        <v/>
      </c>
      <c r="J1223" s="60" t="str">
        <f>IF(H1223="","",IFERROR(INDEX(art_unit,MATCH(H1223,art_ref,0))&amp;"",""))</f>
        <v/>
      </c>
      <c r="K1223" s="59" t="n"/>
      <c r="L1223" s="59" t="n"/>
      <c r="M1223" s="61" t="str">
        <f>IF(OR(B1223="",NOT(ISNUMBER(K1223)),NOT(ISNUMBER(L1223))),"",IF(OR(K1223&lt;=0,L1223&lt;=0),"",ROUND(L1223-K1223,6)))</f>
        <v/>
      </c>
      <c r="N1223" s="58" t="n"/>
      <c r="O1223" s="62" t="n"/>
      <c r="P1223" s="63" t="str">
        <f>IF(OR(B1223="",NOT(ISNUMBER(L1223))),"",IF(L1223&lt;=0,"",IFERROR(ROUND(L1223*N(INDEX(art_w,MATCH(H1223,art_ref,0))),3),"")))</f>
        <v/>
      </c>
      <c r="Q1223" s="59" t="n"/>
      <c r="R1223" s="54" t="n"/>
      <c r="S1223" s="59" t="n"/>
      <c r="T1223" s="59" t="n"/>
      <c r="U1223" s="64" t="str">
        <f>IF(OR(B1223="",H1223=""),"",IFERROR(IF(A1223="BL",IF(N(INDEX(art_price,MATCH(H1223,art_ref,0)))=0,"",N(INDEX(art_price,MATCH(H1223,art_ref,0)))),IF(N(INDEX(art_cost,MATCH(H1223,art_ref,0)))=0,"",N(INDEX(art_cost,MATCH(H1223,art_ref,0))))),""))</f>
        <v/>
      </c>
      <c r="V1223" s="64" t="str">
        <f>IF(OR(U1223="",NOT(ISNUMBER(L1223))),"",IF(L1223&lt;=0,"",ROUND(L1223*U1223,2)))</f>
        <v/>
      </c>
      <c r="W1223" s="60" t="str">
        <f>IF(AND(B1223&lt;&gt;"",A1223&lt;&gt;"BS",F1223&lt;&gt;"",H1223&lt;&gt;"",ISNUMBER(K1223),ISNUMBER(L1223)),IF(AND(K1223&gt;0,L1223&gt;0,K1223-L1223&gt;0,COUNTIFS(A1224:A$2005,A1223,F1224:F$2005,F1223,H1224:H$2005,H1223,AA1224:AA$2005,"&gt;0")=0),ROUND(K1223-L1223,6),""),"")</f>
        <v/>
      </c>
      <c r="X1223" s="60" t="str">
        <f>IF(AND(A1223="",C1223="",D1223="",H1223="",L1223=""),"",IF(A1223="","Type manquant",IF(AND(A1223&lt;&gt;"BL",A1223&lt;&gt;"BR",A1223&lt;&gt;"BS"),"Type inconnu (BL, BR ou BS)",IF(AG1223=0,"Date manquante ou invalide",IF(D1223="",IF(A1223="BL","Client manquant",IF(A1223="BR","Fournisseur manquant","Service manquant")),IF(IF(A1223="BL",ISNA(MATCH(D1223,cl_code,0)),IF(A1223="BR",ISNA(MATCH(D1223,fo_code,0)),ISNA(MATCH(D1223,p_services,0)))),IF(A1223="BL","Client inconnu",IF(A1223="BR","Fournisseur inconnu","Service inconnu")),IF(H1223="","Article manquant",IF(ISNA(MATCH(H1223,art_ref,0)),"Article inconnu",IF(OR(NOT(ISNUMBER(L1223)),N(L1223)&lt;=0),"Quantité invalide",IF(AND(K1223&lt;&gt;"",OR(NOT(ISNUMBER(K1223)),N(K1223)&lt;=0)),"Qté commandée invalide",IF(AG1223&lt;SUMPRODUCT(MAX((A$6:A1222=A1223)*AG$6:AG1222)),"Date antérieure au bon précédent",IF(AND(A1223&lt;&gt;"BR",ISNUMBER(M1223),N(M1223)&gt;0),IF(A1223="BL","Livré plus que commandé","Sorti plus que demandé"),"OK"))))))))))))</f>
        <v/>
      </c>
      <c r="Y1223" s="57" t="str">
        <f>IF(AND(OR(A1223="BL",A1223="BR",A1223="BS"),AG1223&gt;0,D1223&lt;&gt;""),A1223&amp;"|"&amp;AG1223&amp;"|"&amp;D1223&amp;"|"&amp;F1223,"")</f>
        <v/>
      </c>
      <c r="Z1223" s="57" t="str">
        <f>IF(Y1223="","",IF(COUNTIF(Y$6:Y1222,Y1223)=0,1,0))</f>
        <v/>
      </c>
      <c r="AA1223" s="57" t="str">
        <f>IF(Y1223="","",IF(Z1223=1,COUNTIFS(A$6:A1223,A1223,Z$6:Z1223,1),INDEX(AA$6:AA1222,MATCH(Y1223,Y$6:Y1222,0))))</f>
        <v/>
      </c>
      <c r="AB1223" s="57" t="str">
        <f>IF(B1223="","",COUNTIF(B$6:B1223,B1223))</f>
        <v/>
      </c>
      <c r="AC1223" s="57" t="str">
        <f>IF(B1223="","",B1223&amp;"#"&amp;AB1223)</f>
        <v/>
      </c>
      <c r="AD1223" s="57" t="str">
        <f>IF(Z1223=1,A1223&amp;AA1223,"")</f>
        <v/>
      </c>
      <c r="AE1223" s="57" t="str">
        <f>IF(B1223="","",YEAR(C1223))</f>
        <v/>
      </c>
      <c r="AF1223" s="57" t="str">
        <f>IF(B1223="","",MONTH(C1223))</f>
        <v/>
      </c>
      <c r="AG1223" s="57">
        <f>IF(ISNUMBER(C1223),C1223,0)</f>
        <v>0.0</v>
      </c>
      <c r="AH1223" s="57" t="str">
        <f>IF(N(W1223)&gt;0,COUNTIF(W$6:W1223,"&gt;0"),"")</f>
        <v/>
      </c>
      <c r="AI1223" s="57" t="str">
        <f>IF(Z1223=1,COUNTIF(Z$6:Z1223,1),"")</f>
        <v/>
      </c>
    </row>
    <row r="1224">
      <c r="A1224" s="54" t="n"/>
      <c r="B1224" s="55" t="str">
        <f>IF(AA1224="","",A1224&amp;"-"&amp;RIGHT("000"&amp;AA1224,4))</f>
        <v/>
      </c>
      <c r="C1224" s="56" t="n"/>
      <c r="D1224" s="54" t="n"/>
      <c r="E1224" s="57" t="str">
        <f>IF(D1224="","",IF(A1224="BL",IFERROR(INDEX(cl_name,MATCH(D1224,cl_code,0))&amp;"","Client inconnu"),IF(A1224="BR",IFERROR(INDEX(fo_name,MATCH(D1224,fo_code,0))&amp;"","Fournisseur inconnu"),IF(A1224="BS",IF(ISNA(MATCH(D1224,p_services,0)),"Service inconnu",D1224&amp;""),""))))</f>
        <v/>
      </c>
      <c r="F1224" s="58" t="n"/>
      <c r="G1224" s="58" t="n"/>
      <c r="H1224" s="59" t="n"/>
      <c r="I1224" s="57" t="str">
        <f>IF(H1224="","",IFERROR(INDEX(art_des,MATCH(H1224,art_ref,0))&amp;"","Article inconnu"))</f>
        <v/>
      </c>
      <c r="J1224" s="60" t="str">
        <f>IF(H1224="","",IFERROR(INDEX(art_unit,MATCH(H1224,art_ref,0))&amp;"",""))</f>
        <v/>
      </c>
      <c r="K1224" s="59" t="n"/>
      <c r="L1224" s="59" t="n"/>
      <c r="M1224" s="61" t="str">
        <f>IF(OR(B1224="",NOT(ISNUMBER(K1224)),NOT(ISNUMBER(L1224))),"",IF(OR(K1224&lt;=0,L1224&lt;=0),"",ROUND(L1224-K1224,6)))</f>
        <v/>
      </c>
      <c r="N1224" s="58" t="n"/>
      <c r="O1224" s="62" t="n"/>
      <c r="P1224" s="63" t="str">
        <f>IF(OR(B1224="",NOT(ISNUMBER(L1224))),"",IF(L1224&lt;=0,"",IFERROR(ROUND(L1224*N(INDEX(art_w,MATCH(H1224,art_ref,0))),3),"")))</f>
        <v/>
      </c>
      <c r="Q1224" s="59" t="n"/>
      <c r="R1224" s="54" t="n"/>
      <c r="S1224" s="59" t="n"/>
      <c r="T1224" s="59" t="n"/>
      <c r="U1224" s="64" t="str">
        <f>IF(OR(B1224="",H1224=""),"",IFERROR(IF(A1224="BL",IF(N(INDEX(art_price,MATCH(H1224,art_ref,0)))=0,"",N(INDEX(art_price,MATCH(H1224,art_ref,0)))),IF(N(INDEX(art_cost,MATCH(H1224,art_ref,0)))=0,"",N(INDEX(art_cost,MATCH(H1224,art_ref,0))))),""))</f>
        <v/>
      </c>
      <c r="V1224" s="64" t="str">
        <f>IF(OR(U1224="",NOT(ISNUMBER(L1224))),"",IF(L1224&lt;=0,"",ROUND(L1224*U1224,2)))</f>
        <v/>
      </c>
      <c r="W1224" s="60" t="str">
        <f>IF(AND(B1224&lt;&gt;"",A1224&lt;&gt;"BS",F1224&lt;&gt;"",H1224&lt;&gt;"",ISNUMBER(K1224),ISNUMBER(L1224)),IF(AND(K1224&gt;0,L1224&gt;0,K1224-L1224&gt;0,COUNTIFS(A1225:A$2005,A1224,F1225:F$2005,F1224,H1225:H$2005,H1224,AA1225:AA$2005,"&gt;0")=0),ROUND(K1224-L1224,6),""),"")</f>
        <v/>
      </c>
      <c r="X1224" s="60" t="str">
        <f>IF(AND(A1224="",C1224="",D1224="",H1224="",L1224=""),"",IF(A1224="","Type manquant",IF(AND(A1224&lt;&gt;"BL",A1224&lt;&gt;"BR",A1224&lt;&gt;"BS"),"Type inconnu (BL, BR ou BS)",IF(AG1224=0,"Date manquante ou invalide",IF(D1224="",IF(A1224="BL","Client manquant",IF(A1224="BR","Fournisseur manquant","Service manquant")),IF(IF(A1224="BL",ISNA(MATCH(D1224,cl_code,0)),IF(A1224="BR",ISNA(MATCH(D1224,fo_code,0)),ISNA(MATCH(D1224,p_services,0)))),IF(A1224="BL","Client inconnu",IF(A1224="BR","Fournisseur inconnu","Service inconnu")),IF(H1224="","Article manquant",IF(ISNA(MATCH(H1224,art_ref,0)),"Article inconnu",IF(OR(NOT(ISNUMBER(L1224)),N(L1224)&lt;=0),"Quantité invalide",IF(AND(K1224&lt;&gt;"",OR(NOT(ISNUMBER(K1224)),N(K1224)&lt;=0)),"Qté commandée invalide",IF(AG1224&lt;SUMPRODUCT(MAX((A$6:A1223=A1224)*AG$6:AG1223)),"Date antérieure au bon précédent",IF(AND(A1224&lt;&gt;"BR",ISNUMBER(M1224),N(M1224)&gt;0),IF(A1224="BL","Livré plus que commandé","Sorti plus que demandé"),"OK"))))))))))))</f>
        <v/>
      </c>
      <c r="Y1224" s="57" t="str">
        <f>IF(AND(OR(A1224="BL",A1224="BR",A1224="BS"),AG1224&gt;0,D1224&lt;&gt;""),A1224&amp;"|"&amp;AG1224&amp;"|"&amp;D1224&amp;"|"&amp;F1224,"")</f>
        <v/>
      </c>
      <c r="Z1224" s="57" t="str">
        <f>IF(Y1224="","",IF(COUNTIF(Y$6:Y1223,Y1224)=0,1,0))</f>
        <v/>
      </c>
      <c r="AA1224" s="57" t="str">
        <f>IF(Y1224="","",IF(Z1224=1,COUNTIFS(A$6:A1224,A1224,Z$6:Z1224,1),INDEX(AA$6:AA1223,MATCH(Y1224,Y$6:Y1223,0))))</f>
        <v/>
      </c>
      <c r="AB1224" s="57" t="str">
        <f>IF(B1224="","",COUNTIF(B$6:B1224,B1224))</f>
        <v/>
      </c>
      <c r="AC1224" s="57" t="str">
        <f>IF(B1224="","",B1224&amp;"#"&amp;AB1224)</f>
        <v/>
      </c>
      <c r="AD1224" s="57" t="str">
        <f>IF(Z1224=1,A1224&amp;AA1224,"")</f>
        <v/>
      </c>
      <c r="AE1224" s="57" t="str">
        <f>IF(B1224="","",YEAR(C1224))</f>
        <v/>
      </c>
      <c r="AF1224" s="57" t="str">
        <f>IF(B1224="","",MONTH(C1224))</f>
        <v/>
      </c>
      <c r="AG1224" s="57">
        <f>IF(ISNUMBER(C1224),C1224,0)</f>
        <v>0.0</v>
      </c>
      <c r="AH1224" s="57" t="str">
        <f>IF(N(W1224)&gt;0,COUNTIF(W$6:W1224,"&gt;0"),"")</f>
        <v/>
      </c>
      <c r="AI1224" s="57" t="str">
        <f>IF(Z1224=1,COUNTIF(Z$6:Z1224,1),"")</f>
        <v/>
      </c>
    </row>
    <row r="1225">
      <c r="A1225" s="54" t="n"/>
      <c r="B1225" s="55" t="str">
        <f>IF(AA1225="","",A1225&amp;"-"&amp;RIGHT("000"&amp;AA1225,4))</f>
        <v/>
      </c>
      <c r="C1225" s="56" t="n"/>
      <c r="D1225" s="54" t="n"/>
      <c r="E1225" s="57" t="str">
        <f>IF(D1225="","",IF(A1225="BL",IFERROR(INDEX(cl_name,MATCH(D1225,cl_code,0))&amp;"","Client inconnu"),IF(A1225="BR",IFERROR(INDEX(fo_name,MATCH(D1225,fo_code,0))&amp;"","Fournisseur inconnu"),IF(A1225="BS",IF(ISNA(MATCH(D1225,p_services,0)),"Service inconnu",D1225&amp;""),""))))</f>
        <v/>
      </c>
      <c r="F1225" s="58" t="n"/>
      <c r="G1225" s="58" t="n"/>
      <c r="H1225" s="59" t="n"/>
      <c r="I1225" s="57" t="str">
        <f>IF(H1225="","",IFERROR(INDEX(art_des,MATCH(H1225,art_ref,0))&amp;"","Article inconnu"))</f>
        <v/>
      </c>
      <c r="J1225" s="60" t="str">
        <f>IF(H1225="","",IFERROR(INDEX(art_unit,MATCH(H1225,art_ref,0))&amp;"",""))</f>
        <v/>
      </c>
      <c r="K1225" s="59" t="n"/>
      <c r="L1225" s="59" t="n"/>
      <c r="M1225" s="61" t="str">
        <f>IF(OR(B1225="",NOT(ISNUMBER(K1225)),NOT(ISNUMBER(L1225))),"",IF(OR(K1225&lt;=0,L1225&lt;=0),"",ROUND(L1225-K1225,6)))</f>
        <v/>
      </c>
      <c r="N1225" s="58" t="n"/>
      <c r="O1225" s="62" t="n"/>
      <c r="P1225" s="63" t="str">
        <f>IF(OR(B1225="",NOT(ISNUMBER(L1225))),"",IF(L1225&lt;=0,"",IFERROR(ROUND(L1225*N(INDEX(art_w,MATCH(H1225,art_ref,0))),3),"")))</f>
        <v/>
      </c>
      <c r="Q1225" s="59" t="n"/>
      <c r="R1225" s="54" t="n"/>
      <c r="S1225" s="59" t="n"/>
      <c r="T1225" s="59" t="n"/>
      <c r="U1225" s="64" t="str">
        <f>IF(OR(B1225="",H1225=""),"",IFERROR(IF(A1225="BL",IF(N(INDEX(art_price,MATCH(H1225,art_ref,0)))=0,"",N(INDEX(art_price,MATCH(H1225,art_ref,0)))),IF(N(INDEX(art_cost,MATCH(H1225,art_ref,0)))=0,"",N(INDEX(art_cost,MATCH(H1225,art_ref,0))))),""))</f>
        <v/>
      </c>
      <c r="V1225" s="64" t="str">
        <f>IF(OR(U1225="",NOT(ISNUMBER(L1225))),"",IF(L1225&lt;=0,"",ROUND(L1225*U1225,2)))</f>
        <v/>
      </c>
      <c r="W1225" s="60" t="str">
        <f>IF(AND(B1225&lt;&gt;"",A1225&lt;&gt;"BS",F1225&lt;&gt;"",H1225&lt;&gt;"",ISNUMBER(K1225),ISNUMBER(L1225)),IF(AND(K1225&gt;0,L1225&gt;0,K1225-L1225&gt;0,COUNTIFS(A1226:A$2005,A1225,F1226:F$2005,F1225,H1226:H$2005,H1225,AA1226:AA$2005,"&gt;0")=0),ROUND(K1225-L1225,6),""),"")</f>
        <v/>
      </c>
      <c r="X1225" s="60" t="str">
        <f>IF(AND(A1225="",C1225="",D1225="",H1225="",L1225=""),"",IF(A1225="","Type manquant",IF(AND(A1225&lt;&gt;"BL",A1225&lt;&gt;"BR",A1225&lt;&gt;"BS"),"Type inconnu (BL, BR ou BS)",IF(AG1225=0,"Date manquante ou invalide",IF(D1225="",IF(A1225="BL","Client manquant",IF(A1225="BR","Fournisseur manquant","Service manquant")),IF(IF(A1225="BL",ISNA(MATCH(D1225,cl_code,0)),IF(A1225="BR",ISNA(MATCH(D1225,fo_code,0)),ISNA(MATCH(D1225,p_services,0)))),IF(A1225="BL","Client inconnu",IF(A1225="BR","Fournisseur inconnu","Service inconnu")),IF(H1225="","Article manquant",IF(ISNA(MATCH(H1225,art_ref,0)),"Article inconnu",IF(OR(NOT(ISNUMBER(L1225)),N(L1225)&lt;=0),"Quantité invalide",IF(AND(K1225&lt;&gt;"",OR(NOT(ISNUMBER(K1225)),N(K1225)&lt;=0)),"Qté commandée invalide",IF(AG1225&lt;SUMPRODUCT(MAX((A$6:A1224=A1225)*AG$6:AG1224)),"Date antérieure au bon précédent",IF(AND(A1225&lt;&gt;"BR",ISNUMBER(M1225),N(M1225)&gt;0),IF(A1225="BL","Livré plus que commandé","Sorti plus que demandé"),"OK"))))))))))))</f>
        <v/>
      </c>
      <c r="Y1225" s="57" t="str">
        <f>IF(AND(OR(A1225="BL",A1225="BR",A1225="BS"),AG1225&gt;0,D1225&lt;&gt;""),A1225&amp;"|"&amp;AG1225&amp;"|"&amp;D1225&amp;"|"&amp;F1225,"")</f>
        <v/>
      </c>
      <c r="Z1225" s="57" t="str">
        <f>IF(Y1225="","",IF(COUNTIF(Y$6:Y1224,Y1225)=0,1,0))</f>
        <v/>
      </c>
      <c r="AA1225" s="57" t="str">
        <f>IF(Y1225="","",IF(Z1225=1,COUNTIFS(A$6:A1225,A1225,Z$6:Z1225,1),INDEX(AA$6:AA1224,MATCH(Y1225,Y$6:Y1224,0))))</f>
        <v/>
      </c>
      <c r="AB1225" s="57" t="str">
        <f>IF(B1225="","",COUNTIF(B$6:B1225,B1225))</f>
        <v/>
      </c>
      <c r="AC1225" s="57" t="str">
        <f>IF(B1225="","",B1225&amp;"#"&amp;AB1225)</f>
        <v/>
      </c>
      <c r="AD1225" s="57" t="str">
        <f>IF(Z1225=1,A1225&amp;AA1225,"")</f>
        <v/>
      </c>
      <c r="AE1225" s="57" t="str">
        <f>IF(B1225="","",YEAR(C1225))</f>
        <v/>
      </c>
      <c r="AF1225" s="57" t="str">
        <f>IF(B1225="","",MONTH(C1225))</f>
        <v/>
      </c>
      <c r="AG1225" s="57">
        <f>IF(ISNUMBER(C1225),C1225,0)</f>
        <v>0.0</v>
      </c>
      <c r="AH1225" s="57" t="str">
        <f>IF(N(W1225)&gt;0,COUNTIF(W$6:W1225,"&gt;0"),"")</f>
        <v/>
      </c>
      <c r="AI1225" s="57" t="str">
        <f>IF(Z1225=1,COUNTIF(Z$6:Z1225,1),"")</f>
        <v/>
      </c>
    </row>
    <row r="1226">
      <c r="A1226" s="54" t="n"/>
      <c r="B1226" s="55" t="str">
        <f>IF(AA1226="","",A1226&amp;"-"&amp;RIGHT("000"&amp;AA1226,4))</f>
        <v/>
      </c>
      <c r="C1226" s="56" t="n"/>
      <c r="D1226" s="54" t="n"/>
      <c r="E1226" s="57" t="str">
        <f>IF(D1226="","",IF(A1226="BL",IFERROR(INDEX(cl_name,MATCH(D1226,cl_code,0))&amp;"","Client inconnu"),IF(A1226="BR",IFERROR(INDEX(fo_name,MATCH(D1226,fo_code,0))&amp;"","Fournisseur inconnu"),IF(A1226="BS",IF(ISNA(MATCH(D1226,p_services,0)),"Service inconnu",D1226&amp;""),""))))</f>
        <v/>
      </c>
      <c r="F1226" s="58" t="n"/>
      <c r="G1226" s="58" t="n"/>
      <c r="H1226" s="59" t="n"/>
      <c r="I1226" s="57" t="str">
        <f>IF(H1226="","",IFERROR(INDEX(art_des,MATCH(H1226,art_ref,0))&amp;"","Article inconnu"))</f>
        <v/>
      </c>
      <c r="J1226" s="60" t="str">
        <f>IF(H1226="","",IFERROR(INDEX(art_unit,MATCH(H1226,art_ref,0))&amp;"",""))</f>
        <v/>
      </c>
      <c r="K1226" s="59" t="n"/>
      <c r="L1226" s="59" t="n"/>
      <c r="M1226" s="61" t="str">
        <f>IF(OR(B1226="",NOT(ISNUMBER(K1226)),NOT(ISNUMBER(L1226))),"",IF(OR(K1226&lt;=0,L1226&lt;=0),"",ROUND(L1226-K1226,6)))</f>
        <v/>
      </c>
      <c r="N1226" s="58" t="n"/>
      <c r="O1226" s="62" t="n"/>
      <c r="P1226" s="63" t="str">
        <f>IF(OR(B1226="",NOT(ISNUMBER(L1226))),"",IF(L1226&lt;=0,"",IFERROR(ROUND(L1226*N(INDEX(art_w,MATCH(H1226,art_ref,0))),3),"")))</f>
        <v/>
      </c>
      <c r="Q1226" s="59" t="n"/>
      <c r="R1226" s="54" t="n"/>
      <c r="S1226" s="59" t="n"/>
      <c r="T1226" s="59" t="n"/>
      <c r="U1226" s="64" t="str">
        <f>IF(OR(B1226="",H1226=""),"",IFERROR(IF(A1226="BL",IF(N(INDEX(art_price,MATCH(H1226,art_ref,0)))=0,"",N(INDEX(art_price,MATCH(H1226,art_ref,0)))),IF(N(INDEX(art_cost,MATCH(H1226,art_ref,0)))=0,"",N(INDEX(art_cost,MATCH(H1226,art_ref,0))))),""))</f>
        <v/>
      </c>
      <c r="V1226" s="64" t="str">
        <f>IF(OR(U1226="",NOT(ISNUMBER(L1226))),"",IF(L1226&lt;=0,"",ROUND(L1226*U1226,2)))</f>
        <v/>
      </c>
      <c r="W1226" s="60" t="str">
        <f>IF(AND(B1226&lt;&gt;"",A1226&lt;&gt;"BS",F1226&lt;&gt;"",H1226&lt;&gt;"",ISNUMBER(K1226),ISNUMBER(L1226)),IF(AND(K1226&gt;0,L1226&gt;0,K1226-L1226&gt;0,COUNTIFS(A1227:A$2005,A1226,F1227:F$2005,F1226,H1227:H$2005,H1226,AA1227:AA$2005,"&gt;0")=0),ROUND(K1226-L1226,6),""),"")</f>
        <v/>
      </c>
      <c r="X1226" s="60" t="str">
        <f>IF(AND(A1226="",C1226="",D1226="",H1226="",L1226=""),"",IF(A1226="","Type manquant",IF(AND(A1226&lt;&gt;"BL",A1226&lt;&gt;"BR",A1226&lt;&gt;"BS"),"Type inconnu (BL, BR ou BS)",IF(AG1226=0,"Date manquante ou invalide",IF(D1226="",IF(A1226="BL","Client manquant",IF(A1226="BR","Fournisseur manquant","Service manquant")),IF(IF(A1226="BL",ISNA(MATCH(D1226,cl_code,0)),IF(A1226="BR",ISNA(MATCH(D1226,fo_code,0)),ISNA(MATCH(D1226,p_services,0)))),IF(A1226="BL","Client inconnu",IF(A1226="BR","Fournisseur inconnu","Service inconnu")),IF(H1226="","Article manquant",IF(ISNA(MATCH(H1226,art_ref,0)),"Article inconnu",IF(OR(NOT(ISNUMBER(L1226)),N(L1226)&lt;=0),"Quantité invalide",IF(AND(K1226&lt;&gt;"",OR(NOT(ISNUMBER(K1226)),N(K1226)&lt;=0)),"Qté commandée invalide",IF(AG1226&lt;SUMPRODUCT(MAX((A$6:A1225=A1226)*AG$6:AG1225)),"Date antérieure au bon précédent",IF(AND(A1226&lt;&gt;"BR",ISNUMBER(M1226),N(M1226)&gt;0),IF(A1226="BL","Livré plus que commandé","Sorti plus que demandé"),"OK"))))))))))))</f>
        <v/>
      </c>
      <c r="Y1226" s="57" t="str">
        <f>IF(AND(OR(A1226="BL",A1226="BR",A1226="BS"),AG1226&gt;0,D1226&lt;&gt;""),A1226&amp;"|"&amp;AG1226&amp;"|"&amp;D1226&amp;"|"&amp;F1226,"")</f>
        <v/>
      </c>
      <c r="Z1226" s="57" t="str">
        <f>IF(Y1226="","",IF(COUNTIF(Y$6:Y1225,Y1226)=0,1,0))</f>
        <v/>
      </c>
      <c r="AA1226" s="57" t="str">
        <f>IF(Y1226="","",IF(Z1226=1,COUNTIFS(A$6:A1226,A1226,Z$6:Z1226,1),INDEX(AA$6:AA1225,MATCH(Y1226,Y$6:Y1225,0))))</f>
        <v/>
      </c>
      <c r="AB1226" s="57" t="str">
        <f>IF(B1226="","",COUNTIF(B$6:B1226,B1226))</f>
        <v/>
      </c>
      <c r="AC1226" s="57" t="str">
        <f>IF(B1226="","",B1226&amp;"#"&amp;AB1226)</f>
        <v/>
      </c>
      <c r="AD1226" s="57" t="str">
        <f>IF(Z1226=1,A1226&amp;AA1226,"")</f>
        <v/>
      </c>
      <c r="AE1226" s="57" t="str">
        <f>IF(B1226="","",YEAR(C1226))</f>
        <v/>
      </c>
      <c r="AF1226" s="57" t="str">
        <f>IF(B1226="","",MONTH(C1226))</f>
        <v/>
      </c>
      <c r="AG1226" s="57">
        <f>IF(ISNUMBER(C1226),C1226,0)</f>
        <v>0.0</v>
      </c>
      <c r="AH1226" s="57" t="str">
        <f>IF(N(W1226)&gt;0,COUNTIF(W$6:W1226,"&gt;0"),"")</f>
        <v/>
      </c>
      <c r="AI1226" s="57" t="str">
        <f>IF(Z1226=1,COUNTIF(Z$6:Z1226,1),"")</f>
        <v/>
      </c>
    </row>
    <row r="1227">
      <c r="A1227" s="54" t="n"/>
      <c r="B1227" s="55" t="str">
        <f>IF(AA1227="","",A1227&amp;"-"&amp;RIGHT("000"&amp;AA1227,4))</f>
        <v/>
      </c>
      <c r="C1227" s="56" t="n"/>
      <c r="D1227" s="54" t="n"/>
      <c r="E1227" s="57" t="str">
        <f>IF(D1227="","",IF(A1227="BL",IFERROR(INDEX(cl_name,MATCH(D1227,cl_code,0))&amp;"","Client inconnu"),IF(A1227="BR",IFERROR(INDEX(fo_name,MATCH(D1227,fo_code,0))&amp;"","Fournisseur inconnu"),IF(A1227="BS",IF(ISNA(MATCH(D1227,p_services,0)),"Service inconnu",D1227&amp;""),""))))</f>
        <v/>
      </c>
      <c r="F1227" s="58" t="n"/>
      <c r="G1227" s="58" t="n"/>
      <c r="H1227" s="59" t="n"/>
      <c r="I1227" s="57" t="str">
        <f>IF(H1227="","",IFERROR(INDEX(art_des,MATCH(H1227,art_ref,0))&amp;"","Article inconnu"))</f>
        <v/>
      </c>
      <c r="J1227" s="60" t="str">
        <f>IF(H1227="","",IFERROR(INDEX(art_unit,MATCH(H1227,art_ref,0))&amp;"",""))</f>
        <v/>
      </c>
      <c r="K1227" s="59" t="n"/>
      <c r="L1227" s="59" t="n"/>
      <c r="M1227" s="61" t="str">
        <f>IF(OR(B1227="",NOT(ISNUMBER(K1227)),NOT(ISNUMBER(L1227))),"",IF(OR(K1227&lt;=0,L1227&lt;=0),"",ROUND(L1227-K1227,6)))</f>
        <v/>
      </c>
      <c r="N1227" s="58" t="n"/>
      <c r="O1227" s="62" t="n"/>
      <c r="P1227" s="63" t="str">
        <f>IF(OR(B1227="",NOT(ISNUMBER(L1227))),"",IF(L1227&lt;=0,"",IFERROR(ROUND(L1227*N(INDEX(art_w,MATCH(H1227,art_ref,0))),3),"")))</f>
        <v/>
      </c>
      <c r="Q1227" s="59" t="n"/>
      <c r="R1227" s="54" t="n"/>
      <c r="S1227" s="59" t="n"/>
      <c r="T1227" s="59" t="n"/>
      <c r="U1227" s="64" t="str">
        <f>IF(OR(B1227="",H1227=""),"",IFERROR(IF(A1227="BL",IF(N(INDEX(art_price,MATCH(H1227,art_ref,0)))=0,"",N(INDEX(art_price,MATCH(H1227,art_ref,0)))),IF(N(INDEX(art_cost,MATCH(H1227,art_ref,0)))=0,"",N(INDEX(art_cost,MATCH(H1227,art_ref,0))))),""))</f>
        <v/>
      </c>
      <c r="V1227" s="64" t="str">
        <f>IF(OR(U1227="",NOT(ISNUMBER(L1227))),"",IF(L1227&lt;=0,"",ROUND(L1227*U1227,2)))</f>
        <v/>
      </c>
      <c r="W1227" s="60" t="str">
        <f>IF(AND(B1227&lt;&gt;"",A1227&lt;&gt;"BS",F1227&lt;&gt;"",H1227&lt;&gt;"",ISNUMBER(K1227),ISNUMBER(L1227)),IF(AND(K1227&gt;0,L1227&gt;0,K1227-L1227&gt;0,COUNTIFS(A1228:A$2005,A1227,F1228:F$2005,F1227,H1228:H$2005,H1227,AA1228:AA$2005,"&gt;0")=0),ROUND(K1227-L1227,6),""),"")</f>
        <v/>
      </c>
      <c r="X1227" s="60" t="str">
        <f>IF(AND(A1227="",C1227="",D1227="",H1227="",L1227=""),"",IF(A1227="","Type manquant",IF(AND(A1227&lt;&gt;"BL",A1227&lt;&gt;"BR",A1227&lt;&gt;"BS"),"Type inconnu (BL, BR ou BS)",IF(AG1227=0,"Date manquante ou invalide",IF(D1227="",IF(A1227="BL","Client manquant",IF(A1227="BR","Fournisseur manquant","Service manquant")),IF(IF(A1227="BL",ISNA(MATCH(D1227,cl_code,0)),IF(A1227="BR",ISNA(MATCH(D1227,fo_code,0)),ISNA(MATCH(D1227,p_services,0)))),IF(A1227="BL","Client inconnu",IF(A1227="BR","Fournisseur inconnu","Service inconnu")),IF(H1227="","Article manquant",IF(ISNA(MATCH(H1227,art_ref,0)),"Article inconnu",IF(OR(NOT(ISNUMBER(L1227)),N(L1227)&lt;=0),"Quantité invalide",IF(AND(K1227&lt;&gt;"",OR(NOT(ISNUMBER(K1227)),N(K1227)&lt;=0)),"Qté commandée invalide",IF(AG1227&lt;SUMPRODUCT(MAX((A$6:A1226=A1227)*AG$6:AG1226)),"Date antérieure au bon précédent",IF(AND(A1227&lt;&gt;"BR",ISNUMBER(M1227),N(M1227)&gt;0),IF(A1227="BL","Livré plus que commandé","Sorti plus que demandé"),"OK"))))))))))))</f>
        <v/>
      </c>
      <c r="Y1227" s="57" t="str">
        <f>IF(AND(OR(A1227="BL",A1227="BR",A1227="BS"),AG1227&gt;0,D1227&lt;&gt;""),A1227&amp;"|"&amp;AG1227&amp;"|"&amp;D1227&amp;"|"&amp;F1227,"")</f>
        <v/>
      </c>
      <c r="Z1227" s="57" t="str">
        <f>IF(Y1227="","",IF(COUNTIF(Y$6:Y1226,Y1227)=0,1,0))</f>
        <v/>
      </c>
      <c r="AA1227" s="57" t="str">
        <f>IF(Y1227="","",IF(Z1227=1,COUNTIFS(A$6:A1227,A1227,Z$6:Z1227,1),INDEX(AA$6:AA1226,MATCH(Y1227,Y$6:Y1226,0))))</f>
        <v/>
      </c>
      <c r="AB1227" s="57" t="str">
        <f>IF(B1227="","",COUNTIF(B$6:B1227,B1227))</f>
        <v/>
      </c>
      <c r="AC1227" s="57" t="str">
        <f>IF(B1227="","",B1227&amp;"#"&amp;AB1227)</f>
        <v/>
      </c>
      <c r="AD1227" s="57" t="str">
        <f>IF(Z1227=1,A1227&amp;AA1227,"")</f>
        <v/>
      </c>
      <c r="AE1227" s="57" t="str">
        <f>IF(B1227="","",YEAR(C1227))</f>
        <v/>
      </c>
      <c r="AF1227" s="57" t="str">
        <f>IF(B1227="","",MONTH(C1227))</f>
        <v/>
      </c>
      <c r="AG1227" s="57">
        <f>IF(ISNUMBER(C1227),C1227,0)</f>
        <v>0.0</v>
      </c>
      <c r="AH1227" s="57" t="str">
        <f>IF(N(W1227)&gt;0,COUNTIF(W$6:W1227,"&gt;0"),"")</f>
        <v/>
      </c>
      <c r="AI1227" s="57" t="str">
        <f>IF(Z1227=1,COUNTIF(Z$6:Z1227,1),"")</f>
        <v/>
      </c>
    </row>
    <row r="1228">
      <c r="A1228" s="54" t="n"/>
      <c r="B1228" s="55" t="str">
        <f>IF(AA1228="","",A1228&amp;"-"&amp;RIGHT("000"&amp;AA1228,4))</f>
        <v/>
      </c>
      <c r="C1228" s="56" t="n"/>
      <c r="D1228" s="54" t="n"/>
      <c r="E1228" s="57" t="str">
        <f>IF(D1228="","",IF(A1228="BL",IFERROR(INDEX(cl_name,MATCH(D1228,cl_code,0))&amp;"","Client inconnu"),IF(A1228="BR",IFERROR(INDEX(fo_name,MATCH(D1228,fo_code,0))&amp;"","Fournisseur inconnu"),IF(A1228="BS",IF(ISNA(MATCH(D1228,p_services,0)),"Service inconnu",D1228&amp;""),""))))</f>
        <v/>
      </c>
      <c r="F1228" s="58" t="n"/>
      <c r="G1228" s="58" t="n"/>
      <c r="H1228" s="59" t="n"/>
      <c r="I1228" s="57" t="str">
        <f>IF(H1228="","",IFERROR(INDEX(art_des,MATCH(H1228,art_ref,0))&amp;"","Article inconnu"))</f>
        <v/>
      </c>
      <c r="J1228" s="60" t="str">
        <f>IF(H1228="","",IFERROR(INDEX(art_unit,MATCH(H1228,art_ref,0))&amp;"",""))</f>
        <v/>
      </c>
      <c r="K1228" s="59" t="n"/>
      <c r="L1228" s="59" t="n"/>
      <c r="M1228" s="61" t="str">
        <f>IF(OR(B1228="",NOT(ISNUMBER(K1228)),NOT(ISNUMBER(L1228))),"",IF(OR(K1228&lt;=0,L1228&lt;=0),"",ROUND(L1228-K1228,6)))</f>
        <v/>
      </c>
      <c r="N1228" s="58" t="n"/>
      <c r="O1228" s="62" t="n"/>
      <c r="P1228" s="63" t="str">
        <f>IF(OR(B1228="",NOT(ISNUMBER(L1228))),"",IF(L1228&lt;=0,"",IFERROR(ROUND(L1228*N(INDEX(art_w,MATCH(H1228,art_ref,0))),3),"")))</f>
        <v/>
      </c>
      <c r="Q1228" s="59" t="n"/>
      <c r="R1228" s="54" t="n"/>
      <c r="S1228" s="59" t="n"/>
      <c r="T1228" s="59" t="n"/>
      <c r="U1228" s="64" t="str">
        <f>IF(OR(B1228="",H1228=""),"",IFERROR(IF(A1228="BL",IF(N(INDEX(art_price,MATCH(H1228,art_ref,0)))=0,"",N(INDEX(art_price,MATCH(H1228,art_ref,0)))),IF(N(INDEX(art_cost,MATCH(H1228,art_ref,0)))=0,"",N(INDEX(art_cost,MATCH(H1228,art_ref,0))))),""))</f>
        <v/>
      </c>
      <c r="V1228" s="64" t="str">
        <f>IF(OR(U1228="",NOT(ISNUMBER(L1228))),"",IF(L1228&lt;=0,"",ROUND(L1228*U1228,2)))</f>
        <v/>
      </c>
      <c r="W1228" s="60" t="str">
        <f>IF(AND(B1228&lt;&gt;"",A1228&lt;&gt;"BS",F1228&lt;&gt;"",H1228&lt;&gt;"",ISNUMBER(K1228),ISNUMBER(L1228)),IF(AND(K1228&gt;0,L1228&gt;0,K1228-L1228&gt;0,COUNTIFS(A1229:A$2005,A1228,F1229:F$2005,F1228,H1229:H$2005,H1228,AA1229:AA$2005,"&gt;0")=0),ROUND(K1228-L1228,6),""),"")</f>
        <v/>
      </c>
      <c r="X1228" s="60" t="str">
        <f>IF(AND(A1228="",C1228="",D1228="",H1228="",L1228=""),"",IF(A1228="","Type manquant",IF(AND(A1228&lt;&gt;"BL",A1228&lt;&gt;"BR",A1228&lt;&gt;"BS"),"Type inconnu (BL, BR ou BS)",IF(AG1228=0,"Date manquante ou invalide",IF(D1228="",IF(A1228="BL","Client manquant",IF(A1228="BR","Fournisseur manquant","Service manquant")),IF(IF(A1228="BL",ISNA(MATCH(D1228,cl_code,0)),IF(A1228="BR",ISNA(MATCH(D1228,fo_code,0)),ISNA(MATCH(D1228,p_services,0)))),IF(A1228="BL","Client inconnu",IF(A1228="BR","Fournisseur inconnu","Service inconnu")),IF(H1228="","Article manquant",IF(ISNA(MATCH(H1228,art_ref,0)),"Article inconnu",IF(OR(NOT(ISNUMBER(L1228)),N(L1228)&lt;=0),"Quantité invalide",IF(AND(K1228&lt;&gt;"",OR(NOT(ISNUMBER(K1228)),N(K1228)&lt;=0)),"Qté commandée invalide",IF(AG1228&lt;SUMPRODUCT(MAX((A$6:A1227=A1228)*AG$6:AG1227)),"Date antérieure au bon précédent",IF(AND(A1228&lt;&gt;"BR",ISNUMBER(M1228),N(M1228)&gt;0),IF(A1228="BL","Livré plus que commandé","Sorti plus que demandé"),"OK"))))))))))))</f>
        <v/>
      </c>
      <c r="Y1228" s="57" t="str">
        <f>IF(AND(OR(A1228="BL",A1228="BR",A1228="BS"),AG1228&gt;0,D1228&lt;&gt;""),A1228&amp;"|"&amp;AG1228&amp;"|"&amp;D1228&amp;"|"&amp;F1228,"")</f>
        <v/>
      </c>
      <c r="Z1228" s="57" t="str">
        <f>IF(Y1228="","",IF(COUNTIF(Y$6:Y1227,Y1228)=0,1,0))</f>
        <v/>
      </c>
      <c r="AA1228" s="57" t="str">
        <f>IF(Y1228="","",IF(Z1228=1,COUNTIFS(A$6:A1228,A1228,Z$6:Z1228,1),INDEX(AA$6:AA1227,MATCH(Y1228,Y$6:Y1227,0))))</f>
        <v/>
      </c>
      <c r="AB1228" s="57" t="str">
        <f>IF(B1228="","",COUNTIF(B$6:B1228,B1228))</f>
        <v/>
      </c>
      <c r="AC1228" s="57" t="str">
        <f>IF(B1228="","",B1228&amp;"#"&amp;AB1228)</f>
        <v/>
      </c>
      <c r="AD1228" s="57" t="str">
        <f>IF(Z1228=1,A1228&amp;AA1228,"")</f>
        <v/>
      </c>
      <c r="AE1228" s="57" t="str">
        <f>IF(B1228="","",YEAR(C1228))</f>
        <v/>
      </c>
      <c r="AF1228" s="57" t="str">
        <f>IF(B1228="","",MONTH(C1228))</f>
        <v/>
      </c>
      <c r="AG1228" s="57">
        <f>IF(ISNUMBER(C1228),C1228,0)</f>
        <v>0.0</v>
      </c>
      <c r="AH1228" s="57" t="str">
        <f>IF(N(W1228)&gt;0,COUNTIF(W$6:W1228,"&gt;0"),"")</f>
        <v/>
      </c>
      <c r="AI1228" s="57" t="str">
        <f>IF(Z1228=1,COUNTIF(Z$6:Z1228,1),"")</f>
        <v/>
      </c>
    </row>
    <row r="1229">
      <c r="A1229" s="54" t="n"/>
      <c r="B1229" s="55" t="str">
        <f>IF(AA1229="","",A1229&amp;"-"&amp;RIGHT("000"&amp;AA1229,4))</f>
        <v/>
      </c>
      <c r="C1229" s="56" t="n"/>
      <c r="D1229" s="54" t="n"/>
      <c r="E1229" s="57" t="str">
        <f>IF(D1229="","",IF(A1229="BL",IFERROR(INDEX(cl_name,MATCH(D1229,cl_code,0))&amp;"","Client inconnu"),IF(A1229="BR",IFERROR(INDEX(fo_name,MATCH(D1229,fo_code,0))&amp;"","Fournisseur inconnu"),IF(A1229="BS",IF(ISNA(MATCH(D1229,p_services,0)),"Service inconnu",D1229&amp;""),""))))</f>
        <v/>
      </c>
      <c r="F1229" s="58" t="n"/>
      <c r="G1229" s="58" t="n"/>
      <c r="H1229" s="59" t="n"/>
      <c r="I1229" s="57" t="str">
        <f>IF(H1229="","",IFERROR(INDEX(art_des,MATCH(H1229,art_ref,0))&amp;"","Article inconnu"))</f>
        <v/>
      </c>
      <c r="J1229" s="60" t="str">
        <f>IF(H1229="","",IFERROR(INDEX(art_unit,MATCH(H1229,art_ref,0))&amp;"",""))</f>
        <v/>
      </c>
      <c r="K1229" s="59" t="n"/>
      <c r="L1229" s="59" t="n"/>
      <c r="M1229" s="61" t="str">
        <f>IF(OR(B1229="",NOT(ISNUMBER(K1229)),NOT(ISNUMBER(L1229))),"",IF(OR(K1229&lt;=0,L1229&lt;=0),"",ROUND(L1229-K1229,6)))</f>
        <v/>
      </c>
      <c r="N1229" s="58" t="n"/>
      <c r="O1229" s="62" t="n"/>
      <c r="P1229" s="63" t="str">
        <f>IF(OR(B1229="",NOT(ISNUMBER(L1229))),"",IF(L1229&lt;=0,"",IFERROR(ROUND(L1229*N(INDEX(art_w,MATCH(H1229,art_ref,0))),3),"")))</f>
        <v/>
      </c>
      <c r="Q1229" s="59" t="n"/>
      <c r="R1229" s="54" t="n"/>
      <c r="S1229" s="59" t="n"/>
      <c r="T1229" s="59" t="n"/>
      <c r="U1229" s="64" t="str">
        <f>IF(OR(B1229="",H1229=""),"",IFERROR(IF(A1229="BL",IF(N(INDEX(art_price,MATCH(H1229,art_ref,0)))=0,"",N(INDEX(art_price,MATCH(H1229,art_ref,0)))),IF(N(INDEX(art_cost,MATCH(H1229,art_ref,0)))=0,"",N(INDEX(art_cost,MATCH(H1229,art_ref,0))))),""))</f>
        <v/>
      </c>
      <c r="V1229" s="64" t="str">
        <f>IF(OR(U1229="",NOT(ISNUMBER(L1229))),"",IF(L1229&lt;=0,"",ROUND(L1229*U1229,2)))</f>
        <v/>
      </c>
      <c r="W1229" s="60" t="str">
        <f>IF(AND(B1229&lt;&gt;"",A1229&lt;&gt;"BS",F1229&lt;&gt;"",H1229&lt;&gt;"",ISNUMBER(K1229),ISNUMBER(L1229)),IF(AND(K1229&gt;0,L1229&gt;0,K1229-L1229&gt;0,COUNTIFS(A1230:A$2005,A1229,F1230:F$2005,F1229,H1230:H$2005,H1229,AA1230:AA$2005,"&gt;0")=0),ROUND(K1229-L1229,6),""),"")</f>
        <v/>
      </c>
      <c r="X1229" s="60" t="str">
        <f>IF(AND(A1229="",C1229="",D1229="",H1229="",L1229=""),"",IF(A1229="","Type manquant",IF(AND(A1229&lt;&gt;"BL",A1229&lt;&gt;"BR",A1229&lt;&gt;"BS"),"Type inconnu (BL, BR ou BS)",IF(AG1229=0,"Date manquante ou invalide",IF(D1229="",IF(A1229="BL","Client manquant",IF(A1229="BR","Fournisseur manquant","Service manquant")),IF(IF(A1229="BL",ISNA(MATCH(D1229,cl_code,0)),IF(A1229="BR",ISNA(MATCH(D1229,fo_code,0)),ISNA(MATCH(D1229,p_services,0)))),IF(A1229="BL","Client inconnu",IF(A1229="BR","Fournisseur inconnu","Service inconnu")),IF(H1229="","Article manquant",IF(ISNA(MATCH(H1229,art_ref,0)),"Article inconnu",IF(OR(NOT(ISNUMBER(L1229)),N(L1229)&lt;=0),"Quantité invalide",IF(AND(K1229&lt;&gt;"",OR(NOT(ISNUMBER(K1229)),N(K1229)&lt;=0)),"Qté commandée invalide",IF(AG1229&lt;SUMPRODUCT(MAX((A$6:A1228=A1229)*AG$6:AG1228)),"Date antérieure au bon précédent",IF(AND(A1229&lt;&gt;"BR",ISNUMBER(M1229),N(M1229)&gt;0),IF(A1229="BL","Livré plus que commandé","Sorti plus que demandé"),"OK"))))))))))))</f>
        <v/>
      </c>
      <c r="Y1229" s="57" t="str">
        <f>IF(AND(OR(A1229="BL",A1229="BR",A1229="BS"),AG1229&gt;0,D1229&lt;&gt;""),A1229&amp;"|"&amp;AG1229&amp;"|"&amp;D1229&amp;"|"&amp;F1229,"")</f>
        <v/>
      </c>
      <c r="Z1229" s="57" t="str">
        <f>IF(Y1229="","",IF(COUNTIF(Y$6:Y1228,Y1229)=0,1,0))</f>
        <v/>
      </c>
      <c r="AA1229" s="57" t="str">
        <f>IF(Y1229="","",IF(Z1229=1,COUNTIFS(A$6:A1229,A1229,Z$6:Z1229,1),INDEX(AA$6:AA1228,MATCH(Y1229,Y$6:Y1228,0))))</f>
        <v/>
      </c>
      <c r="AB1229" s="57" t="str">
        <f>IF(B1229="","",COUNTIF(B$6:B1229,B1229))</f>
        <v/>
      </c>
      <c r="AC1229" s="57" t="str">
        <f>IF(B1229="","",B1229&amp;"#"&amp;AB1229)</f>
        <v/>
      </c>
      <c r="AD1229" s="57" t="str">
        <f>IF(Z1229=1,A1229&amp;AA1229,"")</f>
        <v/>
      </c>
      <c r="AE1229" s="57" t="str">
        <f>IF(B1229="","",YEAR(C1229))</f>
        <v/>
      </c>
      <c r="AF1229" s="57" t="str">
        <f>IF(B1229="","",MONTH(C1229))</f>
        <v/>
      </c>
      <c r="AG1229" s="57">
        <f>IF(ISNUMBER(C1229),C1229,0)</f>
        <v>0.0</v>
      </c>
      <c r="AH1229" s="57" t="str">
        <f>IF(N(W1229)&gt;0,COUNTIF(W$6:W1229,"&gt;0"),"")</f>
        <v/>
      </c>
      <c r="AI1229" s="57" t="str">
        <f>IF(Z1229=1,COUNTIF(Z$6:Z1229,1),"")</f>
        <v/>
      </c>
    </row>
    <row r="1230">
      <c r="A1230" s="54" t="n"/>
      <c r="B1230" s="55" t="str">
        <f>IF(AA1230="","",A1230&amp;"-"&amp;RIGHT("000"&amp;AA1230,4))</f>
        <v/>
      </c>
      <c r="C1230" s="56" t="n"/>
      <c r="D1230" s="54" t="n"/>
      <c r="E1230" s="57" t="str">
        <f>IF(D1230="","",IF(A1230="BL",IFERROR(INDEX(cl_name,MATCH(D1230,cl_code,0))&amp;"","Client inconnu"),IF(A1230="BR",IFERROR(INDEX(fo_name,MATCH(D1230,fo_code,0))&amp;"","Fournisseur inconnu"),IF(A1230="BS",IF(ISNA(MATCH(D1230,p_services,0)),"Service inconnu",D1230&amp;""),""))))</f>
        <v/>
      </c>
      <c r="F1230" s="58" t="n"/>
      <c r="G1230" s="58" t="n"/>
      <c r="H1230" s="59" t="n"/>
      <c r="I1230" s="57" t="str">
        <f>IF(H1230="","",IFERROR(INDEX(art_des,MATCH(H1230,art_ref,0))&amp;"","Article inconnu"))</f>
        <v/>
      </c>
      <c r="J1230" s="60" t="str">
        <f>IF(H1230="","",IFERROR(INDEX(art_unit,MATCH(H1230,art_ref,0))&amp;"",""))</f>
        <v/>
      </c>
      <c r="K1230" s="59" t="n"/>
      <c r="L1230" s="59" t="n"/>
      <c r="M1230" s="61" t="str">
        <f>IF(OR(B1230="",NOT(ISNUMBER(K1230)),NOT(ISNUMBER(L1230))),"",IF(OR(K1230&lt;=0,L1230&lt;=0),"",ROUND(L1230-K1230,6)))</f>
        <v/>
      </c>
      <c r="N1230" s="58" t="n"/>
      <c r="O1230" s="62" t="n"/>
      <c r="P1230" s="63" t="str">
        <f>IF(OR(B1230="",NOT(ISNUMBER(L1230))),"",IF(L1230&lt;=0,"",IFERROR(ROUND(L1230*N(INDEX(art_w,MATCH(H1230,art_ref,0))),3),"")))</f>
        <v/>
      </c>
      <c r="Q1230" s="59" t="n"/>
      <c r="R1230" s="54" t="n"/>
      <c r="S1230" s="59" t="n"/>
      <c r="T1230" s="59" t="n"/>
      <c r="U1230" s="64" t="str">
        <f>IF(OR(B1230="",H1230=""),"",IFERROR(IF(A1230="BL",IF(N(INDEX(art_price,MATCH(H1230,art_ref,0)))=0,"",N(INDEX(art_price,MATCH(H1230,art_ref,0)))),IF(N(INDEX(art_cost,MATCH(H1230,art_ref,0)))=0,"",N(INDEX(art_cost,MATCH(H1230,art_ref,0))))),""))</f>
        <v/>
      </c>
      <c r="V1230" s="64" t="str">
        <f>IF(OR(U1230="",NOT(ISNUMBER(L1230))),"",IF(L1230&lt;=0,"",ROUND(L1230*U1230,2)))</f>
        <v/>
      </c>
      <c r="W1230" s="60" t="str">
        <f>IF(AND(B1230&lt;&gt;"",A1230&lt;&gt;"BS",F1230&lt;&gt;"",H1230&lt;&gt;"",ISNUMBER(K1230),ISNUMBER(L1230)),IF(AND(K1230&gt;0,L1230&gt;0,K1230-L1230&gt;0,COUNTIFS(A1231:A$2005,A1230,F1231:F$2005,F1230,H1231:H$2005,H1230,AA1231:AA$2005,"&gt;0")=0),ROUND(K1230-L1230,6),""),"")</f>
        <v/>
      </c>
      <c r="X1230" s="60" t="str">
        <f>IF(AND(A1230="",C1230="",D1230="",H1230="",L1230=""),"",IF(A1230="","Type manquant",IF(AND(A1230&lt;&gt;"BL",A1230&lt;&gt;"BR",A1230&lt;&gt;"BS"),"Type inconnu (BL, BR ou BS)",IF(AG1230=0,"Date manquante ou invalide",IF(D1230="",IF(A1230="BL","Client manquant",IF(A1230="BR","Fournisseur manquant","Service manquant")),IF(IF(A1230="BL",ISNA(MATCH(D1230,cl_code,0)),IF(A1230="BR",ISNA(MATCH(D1230,fo_code,0)),ISNA(MATCH(D1230,p_services,0)))),IF(A1230="BL","Client inconnu",IF(A1230="BR","Fournisseur inconnu","Service inconnu")),IF(H1230="","Article manquant",IF(ISNA(MATCH(H1230,art_ref,0)),"Article inconnu",IF(OR(NOT(ISNUMBER(L1230)),N(L1230)&lt;=0),"Quantité invalide",IF(AND(K1230&lt;&gt;"",OR(NOT(ISNUMBER(K1230)),N(K1230)&lt;=0)),"Qté commandée invalide",IF(AG1230&lt;SUMPRODUCT(MAX((A$6:A1229=A1230)*AG$6:AG1229)),"Date antérieure au bon précédent",IF(AND(A1230&lt;&gt;"BR",ISNUMBER(M1230),N(M1230)&gt;0),IF(A1230="BL","Livré plus que commandé","Sorti plus que demandé"),"OK"))))))))))))</f>
        <v/>
      </c>
      <c r="Y1230" s="57" t="str">
        <f>IF(AND(OR(A1230="BL",A1230="BR",A1230="BS"),AG1230&gt;0,D1230&lt;&gt;""),A1230&amp;"|"&amp;AG1230&amp;"|"&amp;D1230&amp;"|"&amp;F1230,"")</f>
        <v/>
      </c>
      <c r="Z1230" s="57" t="str">
        <f>IF(Y1230="","",IF(COUNTIF(Y$6:Y1229,Y1230)=0,1,0))</f>
        <v/>
      </c>
      <c r="AA1230" s="57" t="str">
        <f>IF(Y1230="","",IF(Z1230=1,COUNTIFS(A$6:A1230,A1230,Z$6:Z1230,1),INDEX(AA$6:AA1229,MATCH(Y1230,Y$6:Y1229,0))))</f>
        <v/>
      </c>
      <c r="AB1230" s="57" t="str">
        <f>IF(B1230="","",COUNTIF(B$6:B1230,B1230))</f>
        <v/>
      </c>
      <c r="AC1230" s="57" t="str">
        <f>IF(B1230="","",B1230&amp;"#"&amp;AB1230)</f>
        <v/>
      </c>
      <c r="AD1230" s="57" t="str">
        <f>IF(Z1230=1,A1230&amp;AA1230,"")</f>
        <v/>
      </c>
      <c r="AE1230" s="57" t="str">
        <f>IF(B1230="","",YEAR(C1230))</f>
        <v/>
      </c>
      <c r="AF1230" s="57" t="str">
        <f>IF(B1230="","",MONTH(C1230))</f>
        <v/>
      </c>
      <c r="AG1230" s="57">
        <f>IF(ISNUMBER(C1230),C1230,0)</f>
        <v>0.0</v>
      </c>
      <c r="AH1230" s="57" t="str">
        <f>IF(N(W1230)&gt;0,COUNTIF(W$6:W1230,"&gt;0"),"")</f>
        <v/>
      </c>
      <c r="AI1230" s="57" t="str">
        <f>IF(Z1230=1,COUNTIF(Z$6:Z1230,1),"")</f>
        <v/>
      </c>
    </row>
    <row r="1231">
      <c r="A1231" s="54" t="n"/>
      <c r="B1231" s="55" t="str">
        <f>IF(AA1231="","",A1231&amp;"-"&amp;RIGHT("000"&amp;AA1231,4))</f>
        <v/>
      </c>
      <c r="C1231" s="56" t="n"/>
      <c r="D1231" s="54" t="n"/>
      <c r="E1231" s="57" t="str">
        <f>IF(D1231="","",IF(A1231="BL",IFERROR(INDEX(cl_name,MATCH(D1231,cl_code,0))&amp;"","Client inconnu"),IF(A1231="BR",IFERROR(INDEX(fo_name,MATCH(D1231,fo_code,0))&amp;"","Fournisseur inconnu"),IF(A1231="BS",IF(ISNA(MATCH(D1231,p_services,0)),"Service inconnu",D1231&amp;""),""))))</f>
        <v/>
      </c>
      <c r="F1231" s="58" t="n"/>
      <c r="G1231" s="58" t="n"/>
      <c r="H1231" s="59" t="n"/>
      <c r="I1231" s="57" t="str">
        <f>IF(H1231="","",IFERROR(INDEX(art_des,MATCH(H1231,art_ref,0))&amp;"","Article inconnu"))</f>
        <v/>
      </c>
      <c r="J1231" s="60" t="str">
        <f>IF(H1231="","",IFERROR(INDEX(art_unit,MATCH(H1231,art_ref,0))&amp;"",""))</f>
        <v/>
      </c>
      <c r="K1231" s="59" t="n"/>
      <c r="L1231" s="59" t="n"/>
      <c r="M1231" s="61" t="str">
        <f>IF(OR(B1231="",NOT(ISNUMBER(K1231)),NOT(ISNUMBER(L1231))),"",IF(OR(K1231&lt;=0,L1231&lt;=0),"",ROUND(L1231-K1231,6)))</f>
        <v/>
      </c>
      <c r="N1231" s="58" t="n"/>
      <c r="O1231" s="62" t="n"/>
      <c r="P1231" s="63" t="str">
        <f>IF(OR(B1231="",NOT(ISNUMBER(L1231))),"",IF(L1231&lt;=0,"",IFERROR(ROUND(L1231*N(INDEX(art_w,MATCH(H1231,art_ref,0))),3),"")))</f>
        <v/>
      </c>
      <c r="Q1231" s="59" t="n"/>
      <c r="R1231" s="54" t="n"/>
      <c r="S1231" s="59" t="n"/>
      <c r="T1231" s="59" t="n"/>
      <c r="U1231" s="64" t="str">
        <f>IF(OR(B1231="",H1231=""),"",IFERROR(IF(A1231="BL",IF(N(INDEX(art_price,MATCH(H1231,art_ref,0)))=0,"",N(INDEX(art_price,MATCH(H1231,art_ref,0)))),IF(N(INDEX(art_cost,MATCH(H1231,art_ref,0)))=0,"",N(INDEX(art_cost,MATCH(H1231,art_ref,0))))),""))</f>
        <v/>
      </c>
      <c r="V1231" s="64" t="str">
        <f>IF(OR(U1231="",NOT(ISNUMBER(L1231))),"",IF(L1231&lt;=0,"",ROUND(L1231*U1231,2)))</f>
        <v/>
      </c>
      <c r="W1231" s="60" t="str">
        <f>IF(AND(B1231&lt;&gt;"",A1231&lt;&gt;"BS",F1231&lt;&gt;"",H1231&lt;&gt;"",ISNUMBER(K1231),ISNUMBER(L1231)),IF(AND(K1231&gt;0,L1231&gt;0,K1231-L1231&gt;0,COUNTIFS(A1232:A$2005,A1231,F1232:F$2005,F1231,H1232:H$2005,H1231,AA1232:AA$2005,"&gt;0")=0),ROUND(K1231-L1231,6),""),"")</f>
        <v/>
      </c>
      <c r="X1231" s="60" t="str">
        <f>IF(AND(A1231="",C1231="",D1231="",H1231="",L1231=""),"",IF(A1231="","Type manquant",IF(AND(A1231&lt;&gt;"BL",A1231&lt;&gt;"BR",A1231&lt;&gt;"BS"),"Type inconnu (BL, BR ou BS)",IF(AG1231=0,"Date manquante ou invalide",IF(D1231="",IF(A1231="BL","Client manquant",IF(A1231="BR","Fournisseur manquant","Service manquant")),IF(IF(A1231="BL",ISNA(MATCH(D1231,cl_code,0)),IF(A1231="BR",ISNA(MATCH(D1231,fo_code,0)),ISNA(MATCH(D1231,p_services,0)))),IF(A1231="BL","Client inconnu",IF(A1231="BR","Fournisseur inconnu","Service inconnu")),IF(H1231="","Article manquant",IF(ISNA(MATCH(H1231,art_ref,0)),"Article inconnu",IF(OR(NOT(ISNUMBER(L1231)),N(L1231)&lt;=0),"Quantité invalide",IF(AND(K1231&lt;&gt;"",OR(NOT(ISNUMBER(K1231)),N(K1231)&lt;=0)),"Qté commandée invalide",IF(AG1231&lt;SUMPRODUCT(MAX((A$6:A1230=A1231)*AG$6:AG1230)),"Date antérieure au bon précédent",IF(AND(A1231&lt;&gt;"BR",ISNUMBER(M1231),N(M1231)&gt;0),IF(A1231="BL","Livré plus que commandé","Sorti plus que demandé"),"OK"))))))))))))</f>
        <v/>
      </c>
      <c r="Y1231" s="57" t="str">
        <f>IF(AND(OR(A1231="BL",A1231="BR",A1231="BS"),AG1231&gt;0,D1231&lt;&gt;""),A1231&amp;"|"&amp;AG1231&amp;"|"&amp;D1231&amp;"|"&amp;F1231,"")</f>
        <v/>
      </c>
      <c r="Z1231" s="57" t="str">
        <f>IF(Y1231="","",IF(COUNTIF(Y$6:Y1230,Y1231)=0,1,0))</f>
        <v/>
      </c>
      <c r="AA1231" s="57" t="str">
        <f>IF(Y1231="","",IF(Z1231=1,COUNTIFS(A$6:A1231,A1231,Z$6:Z1231,1),INDEX(AA$6:AA1230,MATCH(Y1231,Y$6:Y1230,0))))</f>
        <v/>
      </c>
      <c r="AB1231" s="57" t="str">
        <f>IF(B1231="","",COUNTIF(B$6:B1231,B1231))</f>
        <v/>
      </c>
      <c r="AC1231" s="57" t="str">
        <f>IF(B1231="","",B1231&amp;"#"&amp;AB1231)</f>
        <v/>
      </c>
      <c r="AD1231" s="57" t="str">
        <f>IF(Z1231=1,A1231&amp;AA1231,"")</f>
        <v/>
      </c>
      <c r="AE1231" s="57" t="str">
        <f>IF(B1231="","",YEAR(C1231))</f>
        <v/>
      </c>
      <c r="AF1231" s="57" t="str">
        <f>IF(B1231="","",MONTH(C1231))</f>
        <v/>
      </c>
      <c r="AG1231" s="57">
        <f>IF(ISNUMBER(C1231),C1231,0)</f>
        <v>0.0</v>
      </c>
      <c r="AH1231" s="57" t="str">
        <f>IF(N(W1231)&gt;0,COUNTIF(W$6:W1231,"&gt;0"),"")</f>
        <v/>
      </c>
      <c r="AI1231" s="57" t="str">
        <f>IF(Z1231=1,COUNTIF(Z$6:Z1231,1),"")</f>
        <v/>
      </c>
    </row>
    <row r="1232">
      <c r="A1232" s="54" t="n"/>
      <c r="B1232" s="55" t="str">
        <f>IF(AA1232="","",A1232&amp;"-"&amp;RIGHT("000"&amp;AA1232,4))</f>
        <v/>
      </c>
      <c r="C1232" s="56" t="n"/>
      <c r="D1232" s="54" t="n"/>
      <c r="E1232" s="57" t="str">
        <f>IF(D1232="","",IF(A1232="BL",IFERROR(INDEX(cl_name,MATCH(D1232,cl_code,0))&amp;"","Client inconnu"),IF(A1232="BR",IFERROR(INDEX(fo_name,MATCH(D1232,fo_code,0))&amp;"","Fournisseur inconnu"),IF(A1232="BS",IF(ISNA(MATCH(D1232,p_services,0)),"Service inconnu",D1232&amp;""),""))))</f>
        <v/>
      </c>
      <c r="F1232" s="58" t="n"/>
      <c r="G1232" s="58" t="n"/>
      <c r="H1232" s="59" t="n"/>
      <c r="I1232" s="57" t="str">
        <f>IF(H1232="","",IFERROR(INDEX(art_des,MATCH(H1232,art_ref,0))&amp;"","Article inconnu"))</f>
        <v/>
      </c>
      <c r="J1232" s="60" t="str">
        <f>IF(H1232="","",IFERROR(INDEX(art_unit,MATCH(H1232,art_ref,0))&amp;"",""))</f>
        <v/>
      </c>
      <c r="K1232" s="59" t="n"/>
      <c r="L1232" s="59" t="n"/>
      <c r="M1232" s="61" t="str">
        <f>IF(OR(B1232="",NOT(ISNUMBER(K1232)),NOT(ISNUMBER(L1232))),"",IF(OR(K1232&lt;=0,L1232&lt;=0),"",ROUND(L1232-K1232,6)))</f>
        <v/>
      </c>
      <c r="N1232" s="58" t="n"/>
      <c r="O1232" s="62" t="n"/>
      <c r="P1232" s="63" t="str">
        <f>IF(OR(B1232="",NOT(ISNUMBER(L1232))),"",IF(L1232&lt;=0,"",IFERROR(ROUND(L1232*N(INDEX(art_w,MATCH(H1232,art_ref,0))),3),"")))</f>
        <v/>
      </c>
      <c r="Q1232" s="59" t="n"/>
      <c r="R1232" s="54" t="n"/>
      <c r="S1232" s="59" t="n"/>
      <c r="T1232" s="59" t="n"/>
      <c r="U1232" s="64" t="str">
        <f>IF(OR(B1232="",H1232=""),"",IFERROR(IF(A1232="BL",IF(N(INDEX(art_price,MATCH(H1232,art_ref,0)))=0,"",N(INDEX(art_price,MATCH(H1232,art_ref,0)))),IF(N(INDEX(art_cost,MATCH(H1232,art_ref,0)))=0,"",N(INDEX(art_cost,MATCH(H1232,art_ref,0))))),""))</f>
        <v/>
      </c>
      <c r="V1232" s="64" t="str">
        <f>IF(OR(U1232="",NOT(ISNUMBER(L1232))),"",IF(L1232&lt;=0,"",ROUND(L1232*U1232,2)))</f>
        <v/>
      </c>
      <c r="W1232" s="60" t="str">
        <f>IF(AND(B1232&lt;&gt;"",A1232&lt;&gt;"BS",F1232&lt;&gt;"",H1232&lt;&gt;"",ISNUMBER(K1232),ISNUMBER(L1232)),IF(AND(K1232&gt;0,L1232&gt;0,K1232-L1232&gt;0,COUNTIFS(A1233:A$2005,A1232,F1233:F$2005,F1232,H1233:H$2005,H1232,AA1233:AA$2005,"&gt;0")=0),ROUND(K1232-L1232,6),""),"")</f>
        <v/>
      </c>
      <c r="X1232" s="60" t="str">
        <f>IF(AND(A1232="",C1232="",D1232="",H1232="",L1232=""),"",IF(A1232="","Type manquant",IF(AND(A1232&lt;&gt;"BL",A1232&lt;&gt;"BR",A1232&lt;&gt;"BS"),"Type inconnu (BL, BR ou BS)",IF(AG1232=0,"Date manquante ou invalide",IF(D1232="",IF(A1232="BL","Client manquant",IF(A1232="BR","Fournisseur manquant","Service manquant")),IF(IF(A1232="BL",ISNA(MATCH(D1232,cl_code,0)),IF(A1232="BR",ISNA(MATCH(D1232,fo_code,0)),ISNA(MATCH(D1232,p_services,0)))),IF(A1232="BL","Client inconnu",IF(A1232="BR","Fournisseur inconnu","Service inconnu")),IF(H1232="","Article manquant",IF(ISNA(MATCH(H1232,art_ref,0)),"Article inconnu",IF(OR(NOT(ISNUMBER(L1232)),N(L1232)&lt;=0),"Quantité invalide",IF(AND(K1232&lt;&gt;"",OR(NOT(ISNUMBER(K1232)),N(K1232)&lt;=0)),"Qté commandée invalide",IF(AG1232&lt;SUMPRODUCT(MAX((A$6:A1231=A1232)*AG$6:AG1231)),"Date antérieure au bon précédent",IF(AND(A1232&lt;&gt;"BR",ISNUMBER(M1232),N(M1232)&gt;0),IF(A1232="BL","Livré plus que commandé","Sorti plus que demandé"),"OK"))))))))))))</f>
        <v/>
      </c>
      <c r="Y1232" s="57" t="str">
        <f>IF(AND(OR(A1232="BL",A1232="BR",A1232="BS"),AG1232&gt;0,D1232&lt;&gt;""),A1232&amp;"|"&amp;AG1232&amp;"|"&amp;D1232&amp;"|"&amp;F1232,"")</f>
        <v/>
      </c>
      <c r="Z1232" s="57" t="str">
        <f>IF(Y1232="","",IF(COUNTIF(Y$6:Y1231,Y1232)=0,1,0))</f>
        <v/>
      </c>
      <c r="AA1232" s="57" t="str">
        <f>IF(Y1232="","",IF(Z1232=1,COUNTIFS(A$6:A1232,A1232,Z$6:Z1232,1),INDEX(AA$6:AA1231,MATCH(Y1232,Y$6:Y1231,0))))</f>
        <v/>
      </c>
      <c r="AB1232" s="57" t="str">
        <f>IF(B1232="","",COUNTIF(B$6:B1232,B1232))</f>
        <v/>
      </c>
      <c r="AC1232" s="57" t="str">
        <f>IF(B1232="","",B1232&amp;"#"&amp;AB1232)</f>
        <v/>
      </c>
      <c r="AD1232" s="57" t="str">
        <f>IF(Z1232=1,A1232&amp;AA1232,"")</f>
        <v/>
      </c>
      <c r="AE1232" s="57" t="str">
        <f>IF(B1232="","",YEAR(C1232))</f>
        <v/>
      </c>
      <c r="AF1232" s="57" t="str">
        <f>IF(B1232="","",MONTH(C1232))</f>
        <v/>
      </c>
      <c r="AG1232" s="57">
        <f>IF(ISNUMBER(C1232),C1232,0)</f>
        <v>0.0</v>
      </c>
      <c r="AH1232" s="57" t="str">
        <f>IF(N(W1232)&gt;0,COUNTIF(W$6:W1232,"&gt;0"),"")</f>
        <v/>
      </c>
      <c r="AI1232" s="57" t="str">
        <f>IF(Z1232=1,COUNTIF(Z$6:Z1232,1),"")</f>
        <v/>
      </c>
    </row>
    <row r="1233">
      <c r="A1233" s="54" t="n"/>
      <c r="B1233" s="55" t="str">
        <f>IF(AA1233="","",A1233&amp;"-"&amp;RIGHT("000"&amp;AA1233,4))</f>
        <v/>
      </c>
      <c r="C1233" s="56" t="n"/>
      <c r="D1233" s="54" t="n"/>
      <c r="E1233" s="57" t="str">
        <f>IF(D1233="","",IF(A1233="BL",IFERROR(INDEX(cl_name,MATCH(D1233,cl_code,0))&amp;"","Client inconnu"),IF(A1233="BR",IFERROR(INDEX(fo_name,MATCH(D1233,fo_code,0))&amp;"","Fournisseur inconnu"),IF(A1233="BS",IF(ISNA(MATCH(D1233,p_services,0)),"Service inconnu",D1233&amp;""),""))))</f>
        <v/>
      </c>
      <c r="F1233" s="58" t="n"/>
      <c r="G1233" s="58" t="n"/>
      <c r="H1233" s="59" t="n"/>
      <c r="I1233" s="57" t="str">
        <f>IF(H1233="","",IFERROR(INDEX(art_des,MATCH(H1233,art_ref,0))&amp;"","Article inconnu"))</f>
        <v/>
      </c>
      <c r="J1233" s="60" t="str">
        <f>IF(H1233="","",IFERROR(INDEX(art_unit,MATCH(H1233,art_ref,0))&amp;"",""))</f>
        <v/>
      </c>
      <c r="K1233" s="59" t="n"/>
      <c r="L1233" s="59" t="n"/>
      <c r="M1233" s="61" t="str">
        <f>IF(OR(B1233="",NOT(ISNUMBER(K1233)),NOT(ISNUMBER(L1233))),"",IF(OR(K1233&lt;=0,L1233&lt;=0),"",ROUND(L1233-K1233,6)))</f>
        <v/>
      </c>
      <c r="N1233" s="58" t="n"/>
      <c r="O1233" s="62" t="n"/>
      <c r="P1233" s="63" t="str">
        <f>IF(OR(B1233="",NOT(ISNUMBER(L1233))),"",IF(L1233&lt;=0,"",IFERROR(ROUND(L1233*N(INDEX(art_w,MATCH(H1233,art_ref,0))),3),"")))</f>
        <v/>
      </c>
      <c r="Q1233" s="59" t="n"/>
      <c r="R1233" s="54" t="n"/>
      <c r="S1233" s="59" t="n"/>
      <c r="T1233" s="59" t="n"/>
      <c r="U1233" s="64" t="str">
        <f>IF(OR(B1233="",H1233=""),"",IFERROR(IF(A1233="BL",IF(N(INDEX(art_price,MATCH(H1233,art_ref,0)))=0,"",N(INDEX(art_price,MATCH(H1233,art_ref,0)))),IF(N(INDEX(art_cost,MATCH(H1233,art_ref,0)))=0,"",N(INDEX(art_cost,MATCH(H1233,art_ref,0))))),""))</f>
        <v/>
      </c>
      <c r="V1233" s="64" t="str">
        <f>IF(OR(U1233="",NOT(ISNUMBER(L1233))),"",IF(L1233&lt;=0,"",ROUND(L1233*U1233,2)))</f>
        <v/>
      </c>
      <c r="W1233" s="60" t="str">
        <f>IF(AND(B1233&lt;&gt;"",A1233&lt;&gt;"BS",F1233&lt;&gt;"",H1233&lt;&gt;"",ISNUMBER(K1233),ISNUMBER(L1233)),IF(AND(K1233&gt;0,L1233&gt;0,K1233-L1233&gt;0,COUNTIFS(A1234:A$2005,A1233,F1234:F$2005,F1233,H1234:H$2005,H1233,AA1234:AA$2005,"&gt;0")=0),ROUND(K1233-L1233,6),""),"")</f>
        <v/>
      </c>
      <c r="X1233" s="60" t="str">
        <f>IF(AND(A1233="",C1233="",D1233="",H1233="",L1233=""),"",IF(A1233="","Type manquant",IF(AND(A1233&lt;&gt;"BL",A1233&lt;&gt;"BR",A1233&lt;&gt;"BS"),"Type inconnu (BL, BR ou BS)",IF(AG1233=0,"Date manquante ou invalide",IF(D1233="",IF(A1233="BL","Client manquant",IF(A1233="BR","Fournisseur manquant","Service manquant")),IF(IF(A1233="BL",ISNA(MATCH(D1233,cl_code,0)),IF(A1233="BR",ISNA(MATCH(D1233,fo_code,0)),ISNA(MATCH(D1233,p_services,0)))),IF(A1233="BL","Client inconnu",IF(A1233="BR","Fournisseur inconnu","Service inconnu")),IF(H1233="","Article manquant",IF(ISNA(MATCH(H1233,art_ref,0)),"Article inconnu",IF(OR(NOT(ISNUMBER(L1233)),N(L1233)&lt;=0),"Quantité invalide",IF(AND(K1233&lt;&gt;"",OR(NOT(ISNUMBER(K1233)),N(K1233)&lt;=0)),"Qté commandée invalide",IF(AG1233&lt;SUMPRODUCT(MAX((A$6:A1232=A1233)*AG$6:AG1232)),"Date antérieure au bon précédent",IF(AND(A1233&lt;&gt;"BR",ISNUMBER(M1233),N(M1233)&gt;0),IF(A1233="BL","Livré plus que commandé","Sorti plus que demandé"),"OK"))))))))))))</f>
        <v/>
      </c>
      <c r="Y1233" s="57" t="str">
        <f>IF(AND(OR(A1233="BL",A1233="BR",A1233="BS"),AG1233&gt;0,D1233&lt;&gt;""),A1233&amp;"|"&amp;AG1233&amp;"|"&amp;D1233&amp;"|"&amp;F1233,"")</f>
        <v/>
      </c>
      <c r="Z1233" s="57" t="str">
        <f>IF(Y1233="","",IF(COUNTIF(Y$6:Y1232,Y1233)=0,1,0))</f>
        <v/>
      </c>
      <c r="AA1233" s="57" t="str">
        <f>IF(Y1233="","",IF(Z1233=1,COUNTIFS(A$6:A1233,A1233,Z$6:Z1233,1),INDEX(AA$6:AA1232,MATCH(Y1233,Y$6:Y1232,0))))</f>
        <v/>
      </c>
      <c r="AB1233" s="57" t="str">
        <f>IF(B1233="","",COUNTIF(B$6:B1233,B1233))</f>
        <v/>
      </c>
      <c r="AC1233" s="57" t="str">
        <f>IF(B1233="","",B1233&amp;"#"&amp;AB1233)</f>
        <v/>
      </c>
      <c r="AD1233" s="57" t="str">
        <f>IF(Z1233=1,A1233&amp;AA1233,"")</f>
        <v/>
      </c>
      <c r="AE1233" s="57" t="str">
        <f>IF(B1233="","",YEAR(C1233))</f>
        <v/>
      </c>
      <c r="AF1233" s="57" t="str">
        <f>IF(B1233="","",MONTH(C1233))</f>
        <v/>
      </c>
      <c r="AG1233" s="57">
        <f>IF(ISNUMBER(C1233),C1233,0)</f>
        <v>0.0</v>
      </c>
      <c r="AH1233" s="57" t="str">
        <f>IF(N(W1233)&gt;0,COUNTIF(W$6:W1233,"&gt;0"),"")</f>
        <v/>
      </c>
      <c r="AI1233" s="57" t="str">
        <f>IF(Z1233=1,COUNTIF(Z$6:Z1233,1),"")</f>
        <v/>
      </c>
    </row>
    <row r="1234">
      <c r="A1234" s="54" t="n"/>
      <c r="B1234" s="55" t="str">
        <f>IF(AA1234="","",A1234&amp;"-"&amp;RIGHT("000"&amp;AA1234,4))</f>
        <v/>
      </c>
      <c r="C1234" s="56" t="n"/>
      <c r="D1234" s="54" t="n"/>
      <c r="E1234" s="57" t="str">
        <f>IF(D1234="","",IF(A1234="BL",IFERROR(INDEX(cl_name,MATCH(D1234,cl_code,0))&amp;"","Client inconnu"),IF(A1234="BR",IFERROR(INDEX(fo_name,MATCH(D1234,fo_code,0))&amp;"","Fournisseur inconnu"),IF(A1234="BS",IF(ISNA(MATCH(D1234,p_services,0)),"Service inconnu",D1234&amp;""),""))))</f>
        <v/>
      </c>
      <c r="F1234" s="58" t="n"/>
      <c r="G1234" s="58" t="n"/>
      <c r="H1234" s="59" t="n"/>
      <c r="I1234" s="57" t="str">
        <f>IF(H1234="","",IFERROR(INDEX(art_des,MATCH(H1234,art_ref,0))&amp;"","Article inconnu"))</f>
        <v/>
      </c>
      <c r="J1234" s="60" t="str">
        <f>IF(H1234="","",IFERROR(INDEX(art_unit,MATCH(H1234,art_ref,0))&amp;"",""))</f>
        <v/>
      </c>
      <c r="K1234" s="59" t="n"/>
      <c r="L1234" s="59" t="n"/>
      <c r="M1234" s="61" t="str">
        <f>IF(OR(B1234="",NOT(ISNUMBER(K1234)),NOT(ISNUMBER(L1234))),"",IF(OR(K1234&lt;=0,L1234&lt;=0),"",ROUND(L1234-K1234,6)))</f>
        <v/>
      </c>
      <c r="N1234" s="58" t="n"/>
      <c r="O1234" s="62" t="n"/>
      <c r="P1234" s="63" t="str">
        <f>IF(OR(B1234="",NOT(ISNUMBER(L1234))),"",IF(L1234&lt;=0,"",IFERROR(ROUND(L1234*N(INDEX(art_w,MATCH(H1234,art_ref,0))),3),"")))</f>
        <v/>
      </c>
      <c r="Q1234" s="59" t="n"/>
      <c r="R1234" s="54" t="n"/>
      <c r="S1234" s="59" t="n"/>
      <c r="T1234" s="59" t="n"/>
      <c r="U1234" s="64" t="str">
        <f>IF(OR(B1234="",H1234=""),"",IFERROR(IF(A1234="BL",IF(N(INDEX(art_price,MATCH(H1234,art_ref,0)))=0,"",N(INDEX(art_price,MATCH(H1234,art_ref,0)))),IF(N(INDEX(art_cost,MATCH(H1234,art_ref,0)))=0,"",N(INDEX(art_cost,MATCH(H1234,art_ref,0))))),""))</f>
        <v/>
      </c>
      <c r="V1234" s="64" t="str">
        <f>IF(OR(U1234="",NOT(ISNUMBER(L1234))),"",IF(L1234&lt;=0,"",ROUND(L1234*U1234,2)))</f>
        <v/>
      </c>
      <c r="W1234" s="60" t="str">
        <f>IF(AND(B1234&lt;&gt;"",A1234&lt;&gt;"BS",F1234&lt;&gt;"",H1234&lt;&gt;"",ISNUMBER(K1234),ISNUMBER(L1234)),IF(AND(K1234&gt;0,L1234&gt;0,K1234-L1234&gt;0,COUNTIFS(A1235:A$2005,A1234,F1235:F$2005,F1234,H1235:H$2005,H1234,AA1235:AA$2005,"&gt;0")=0),ROUND(K1234-L1234,6),""),"")</f>
        <v/>
      </c>
      <c r="X1234" s="60" t="str">
        <f>IF(AND(A1234="",C1234="",D1234="",H1234="",L1234=""),"",IF(A1234="","Type manquant",IF(AND(A1234&lt;&gt;"BL",A1234&lt;&gt;"BR",A1234&lt;&gt;"BS"),"Type inconnu (BL, BR ou BS)",IF(AG1234=0,"Date manquante ou invalide",IF(D1234="",IF(A1234="BL","Client manquant",IF(A1234="BR","Fournisseur manquant","Service manquant")),IF(IF(A1234="BL",ISNA(MATCH(D1234,cl_code,0)),IF(A1234="BR",ISNA(MATCH(D1234,fo_code,0)),ISNA(MATCH(D1234,p_services,0)))),IF(A1234="BL","Client inconnu",IF(A1234="BR","Fournisseur inconnu","Service inconnu")),IF(H1234="","Article manquant",IF(ISNA(MATCH(H1234,art_ref,0)),"Article inconnu",IF(OR(NOT(ISNUMBER(L1234)),N(L1234)&lt;=0),"Quantité invalide",IF(AND(K1234&lt;&gt;"",OR(NOT(ISNUMBER(K1234)),N(K1234)&lt;=0)),"Qté commandée invalide",IF(AG1234&lt;SUMPRODUCT(MAX((A$6:A1233=A1234)*AG$6:AG1233)),"Date antérieure au bon précédent",IF(AND(A1234&lt;&gt;"BR",ISNUMBER(M1234),N(M1234)&gt;0),IF(A1234="BL","Livré plus que commandé","Sorti plus que demandé"),"OK"))))))))))))</f>
        <v/>
      </c>
      <c r="Y1234" s="57" t="str">
        <f>IF(AND(OR(A1234="BL",A1234="BR",A1234="BS"),AG1234&gt;0,D1234&lt;&gt;""),A1234&amp;"|"&amp;AG1234&amp;"|"&amp;D1234&amp;"|"&amp;F1234,"")</f>
        <v/>
      </c>
      <c r="Z1234" s="57" t="str">
        <f>IF(Y1234="","",IF(COUNTIF(Y$6:Y1233,Y1234)=0,1,0))</f>
        <v/>
      </c>
      <c r="AA1234" s="57" t="str">
        <f>IF(Y1234="","",IF(Z1234=1,COUNTIFS(A$6:A1234,A1234,Z$6:Z1234,1),INDEX(AA$6:AA1233,MATCH(Y1234,Y$6:Y1233,0))))</f>
        <v/>
      </c>
      <c r="AB1234" s="57" t="str">
        <f>IF(B1234="","",COUNTIF(B$6:B1234,B1234))</f>
        <v/>
      </c>
      <c r="AC1234" s="57" t="str">
        <f>IF(B1234="","",B1234&amp;"#"&amp;AB1234)</f>
        <v/>
      </c>
      <c r="AD1234" s="57" t="str">
        <f>IF(Z1234=1,A1234&amp;AA1234,"")</f>
        <v/>
      </c>
      <c r="AE1234" s="57" t="str">
        <f>IF(B1234="","",YEAR(C1234))</f>
        <v/>
      </c>
      <c r="AF1234" s="57" t="str">
        <f>IF(B1234="","",MONTH(C1234))</f>
        <v/>
      </c>
      <c r="AG1234" s="57">
        <f>IF(ISNUMBER(C1234),C1234,0)</f>
        <v>0.0</v>
      </c>
      <c r="AH1234" s="57" t="str">
        <f>IF(N(W1234)&gt;0,COUNTIF(W$6:W1234,"&gt;0"),"")</f>
        <v/>
      </c>
      <c r="AI1234" s="57" t="str">
        <f>IF(Z1234=1,COUNTIF(Z$6:Z1234,1),"")</f>
        <v/>
      </c>
    </row>
    <row r="1235">
      <c r="A1235" s="54" t="n"/>
      <c r="B1235" s="55" t="str">
        <f>IF(AA1235="","",A1235&amp;"-"&amp;RIGHT("000"&amp;AA1235,4))</f>
        <v/>
      </c>
      <c r="C1235" s="56" t="n"/>
      <c r="D1235" s="54" t="n"/>
      <c r="E1235" s="57" t="str">
        <f>IF(D1235="","",IF(A1235="BL",IFERROR(INDEX(cl_name,MATCH(D1235,cl_code,0))&amp;"","Client inconnu"),IF(A1235="BR",IFERROR(INDEX(fo_name,MATCH(D1235,fo_code,0))&amp;"","Fournisseur inconnu"),IF(A1235="BS",IF(ISNA(MATCH(D1235,p_services,0)),"Service inconnu",D1235&amp;""),""))))</f>
        <v/>
      </c>
      <c r="F1235" s="58" t="n"/>
      <c r="G1235" s="58" t="n"/>
      <c r="H1235" s="59" t="n"/>
      <c r="I1235" s="57" t="str">
        <f>IF(H1235="","",IFERROR(INDEX(art_des,MATCH(H1235,art_ref,0))&amp;"","Article inconnu"))</f>
        <v/>
      </c>
      <c r="J1235" s="60" t="str">
        <f>IF(H1235="","",IFERROR(INDEX(art_unit,MATCH(H1235,art_ref,0))&amp;"",""))</f>
        <v/>
      </c>
      <c r="K1235" s="59" t="n"/>
      <c r="L1235" s="59" t="n"/>
      <c r="M1235" s="61" t="str">
        <f>IF(OR(B1235="",NOT(ISNUMBER(K1235)),NOT(ISNUMBER(L1235))),"",IF(OR(K1235&lt;=0,L1235&lt;=0),"",ROUND(L1235-K1235,6)))</f>
        <v/>
      </c>
      <c r="N1235" s="58" t="n"/>
      <c r="O1235" s="62" t="n"/>
      <c r="P1235" s="63" t="str">
        <f>IF(OR(B1235="",NOT(ISNUMBER(L1235))),"",IF(L1235&lt;=0,"",IFERROR(ROUND(L1235*N(INDEX(art_w,MATCH(H1235,art_ref,0))),3),"")))</f>
        <v/>
      </c>
      <c r="Q1235" s="59" t="n"/>
      <c r="R1235" s="54" t="n"/>
      <c r="S1235" s="59" t="n"/>
      <c r="T1235" s="59" t="n"/>
      <c r="U1235" s="64" t="str">
        <f>IF(OR(B1235="",H1235=""),"",IFERROR(IF(A1235="BL",IF(N(INDEX(art_price,MATCH(H1235,art_ref,0)))=0,"",N(INDEX(art_price,MATCH(H1235,art_ref,0)))),IF(N(INDEX(art_cost,MATCH(H1235,art_ref,0)))=0,"",N(INDEX(art_cost,MATCH(H1235,art_ref,0))))),""))</f>
        <v/>
      </c>
      <c r="V1235" s="64" t="str">
        <f>IF(OR(U1235="",NOT(ISNUMBER(L1235))),"",IF(L1235&lt;=0,"",ROUND(L1235*U1235,2)))</f>
        <v/>
      </c>
      <c r="W1235" s="60" t="str">
        <f>IF(AND(B1235&lt;&gt;"",A1235&lt;&gt;"BS",F1235&lt;&gt;"",H1235&lt;&gt;"",ISNUMBER(K1235),ISNUMBER(L1235)),IF(AND(K1235&gt;0,L1235&gt;0,K1235-L1235&gt;0,COUNTIFS(A1236:A$2005,A1235,F1236:F$2005,F1235,H1236:H$2005,H1235,AA1236:AA$2005,"&gt;0")=0),ROUND(K1235-L1235,6),""),"")</f>
        <v/>
      </c>
      <c r="X1235" s="60" t="str">
        <f>IF(AND(A1235="",C1235="",D1235="",H1235="",L1235=""),"",IF(A1235="","Type manquant",IF(AND(A1235&lt;&gt;"BL",A1235&lt;&gt;"BR",A1235&lt;&gt;"BS"),"Type inconnu (BL, BR ou BS)",IF(AG1235=0,"Date manquante ou invalide",IF(D1235="",IF(A1235="BL","Client manquant",IF(A1235="BR","Fournisseur manquant","Service manquant")),IF(IF(A1235="BL",ISNA(MATCH(D1235,cl_code,0)),IF(A1235="BR",ISNA(MATCH(D1235,fo_code,0)),ISNA(MATCH(D1235,p_services,0)))),IF(A1235="BL","Client inconnu",IF(A1235="BR","Fournisseur inconnu","Service inconnu")),IF(H1235="","Article manquant",IF(ISNA(MATCH(H1235,art_ref,0)),"Article inconnu",IF(OR(NOT(ISNUMBER(L1235)),N(L1235)&lt;=0),"Quantité invalide",IF(AND(K1235&lt;&gt;"",OR(NOT(ISNUMBER(K1235)),N(K1235)&lt;=0)),"Qté commandée invalide",IF(AG1235&lt;SUMPRODUCT(MAX((A$6:A1234=A1235)*AG$6:AG1234)),"Date antérieure au bon précédent",IF(AND(A1235&lt;&gt;"BR",ISNUMBER(M1235),N(M1235)&gt;0),IF(A1235="BL","Livré plus que commandé","Sorti plus que demandé"),"OK"))))))))))))</f>
        <v/>
      </c>
      <c r="Y1235" s="57" t="str">
        <f>IF(AND(OR(A1235="BL",A1235="BR",A1235="BS"),AG1235&gt;0,D1235&lt;&gt;""),A1235&amp;"|"&amp;AG1235&amp;"|"&amp;D1235&amp;"|"&amp;F1235,"")</f>
        <v/>
      </c>
      <c r="Z1235" s="57" t="str">
        <f>IF(Y1235="","",IF(COUNTIF(Y$6:Y1234,Y1235)=0,1,0))</f>
        <v/>
      </c>
      <c r="AA1235" s="57" t="str">
        <f>IF(Y1235="","",IF(Z1235=1,COUNTIFS(A$6:A1235,A1235,Z$6:Z1235,1),INDEX(AA$6:AA1234,MATCH(Y1235,Y$6:Y1234,0))))</f>
        <v/>
      </c>
      <c r="AB1235" s="57" t="str">
        <f>IF(B1235="","",COUNTIF(B$6:B1235,B1235))</f>
        <v/>
      </c>
      <c r="AC1235" s="57" t="str">
        <f>IF(B1235="","",B1235&amp;"#"&amp;AB1235)</f>
        <v/>
      </c>
      <c r="AD1235" s="57" t="str">
        <f>IF(Z1235=1,A1235&amp;AA1235,"")</f>
        <v/>
      </c>
      <c r="AE1235" s="57" t="str">
        <f>IF(B1235="","",YEAR(C1235))</f>
        <v/>
      </c>
      <c r="AF1235" s="57" t="str">
        <f>IF(B1235="","",MONTH(C1235))</f>
        <v/>
      </c>
      <c r="AG1235" s="57">
        <f>IF(ISNUMBER(C1235),C1235,0)</f>
        <v>0.0</v>
      </c>
      <c r="AH1235" s="57" t="str">
        <f>IF(N(W1235)&gt;0,COUNTIF(W$6:W1235,"&gt;0"),"")</f>
        <v/>
      </c>
      <c r="AI1235" s="57" t="str">
        <f>IF(Z1235=1,COUNTIF(Z$6:Z1235,1),"")</f>
        <v/>
      </c>
    </row>
    <row r="1236">
      <c r="A1236" s="54" t="n"/>
      <c r="B1236" s="55" t="str">
        <f>IF(AA1236="","",A1236&amp;"-"&amp;RIGHT("000"&amp;AA1236,4))</f>
        <v/>
      </c>
      <c r="C1236" s="56" t="n"/>
      <c r="D1236" s="54" t="n"/>
      <c r="E1236" s="57" t="str">
        <f>IF(D1236="","",IF(A1236="BL",IFERROR(INDEX(cl_name,MATCH(D1236,cl_code,0))&amp;"","Client inconnu"),IF(A1236="BR",IFERROR(INDEX(fo_name,MATCH(D1236,fo_code,0))&amp;"","Fournisseur inconnu"),IF(A1236="BS",IF(ISNA(MATCH(D1236,p_services,0)),"Service inconnu",D1236&amp;""),""))))</f>
        <v/>
      </c>
      <c r="F1236" s="58" t="n"/>
      <c r="G1236" s="58" t="n"/>
      <c r="H1236" s="59" t="n"/>
      <c r="I1236" s="57" t="str">
        <f>IF(H1236="","",IFERROR(INDEX(art_des,MATCH(H1236,art_ref,0))&amp;"","Article inconnu"))</f>
        <v/>
      </c>
      <c r="J1236" s="60" t="str">
        <f>IF(H1236="","",IFERROR(INDEX(art_unit,MATCH(H1236,art_ref,0))&amp;"",""))</f>
        <v/>
      </c>
      <c r="K1236" s="59" t="n"/>
      <c r="L1236" s="59" t="n"/>
      <c r="M1236" s="61" t="str">
        <f>IF(OR(B1236="",NOT(ISNUMBER(K1236)),NOT(ISNUMBER(L1236))),"",IF(OR(K1236&lt;=0,L1236&lt;=0),"",ROUND(L1236-K1236,6)))</f>
        <v/>
      </c>
      <c r="N1236" s="58" t="n"/>
      <c r="O1236" s="62" t="n"/>
      <c r="P1236" s="63" t="str">
        <f>IF(OR(B1236="",NOT(ISNUMBER(L1236))),"",IF(L1236&lt;=0,"",IFERROR(ROUND(L1236*N(INDEX(art_w,MATCH(H1236,art_ref,0))),3),"")))</f>
        <v/>
      </c>
      <c r="Q1236" s="59" t="n"/>
      <c r="R1236" s="54" t="n"/>
      <c r="S1236" s="59" t="n"/>
      <c r="T1236" s="59" t="n"/>
      <c r="U1236" s="64" t="str">
        <f>IF(OR(B1236="",H1236=""),"",IFERROR(IF(A1236="BL",IF(N(INDEX(art_price,MATCH(H1236,art_ref,0)))=0,"",N(INDEX(art_price,MATCH(H1236,art_ref,0)))),IF(N(INDEX(art_cost,MATCH(H1236,art_ref,0)))=0,"",N(INDEX(art_cost,MATCH(H1236,art_ref,0))))),""))</f>
        <v/>
      </c>
      <c r="V1236" s="64" t="str">
        <f>IF(OR(U1236="",NOT(ISNUMBER(L1236))),"",IF(L1236&lt;=0,"",ROUND(L1236*U1236,2)))</f>
        <v/>
      </c>
      <c r="W1236" s="60" t="str">
        <f>IF(AND(B1236&lt;&gt;"",A1236&lt;&gt;"BS",F1236&lt;&gt;"",H1236&lt;&gt;"",ISNUMBER(K1236),ISNUMBER(L1236)),IF(AND(K1236&gt;0,L1236&gt;0,K1236-L1236&gt;0,COUNTIFS(A1237:A$2005,A1236,F1237:F$2005,F1236,H1237:H$2005,H1236,AA1237:AA$2005,"&gt;0")=0),ROUND(K1236-L1236,6),""),"")</f>
        <v/>
      </c>
      <c r="X1236" s="60" t="str">
        <f>IF(AND(A1236="",C1236="",D1236="",H1236="",L1236=""),"",IF(A1236="","Type manquant",IF(AND(A1236&lt;&gt;"BL",A1236&lt;&gt;"BR",A1236&lt;&gt;"BS"),"Type inconnu (BL, BR ou BS)",IF(AG1236=0,"Date manquante ou invalide",IF(D1236="",IF(A1236="BL","Client manquant",IF(A1236="BR","Fournisseur manquant","Service manquant")),IF(IF(A1236="BL",ISNA(MATCH(D1236,cl_code,0)),IF(A1236="BR",ISNA(MATCH(D1236,fo_code,0)),ISNA(MATCH(D1236,p_services,0)))),IF(A1236="BL","Client inconnu",IF(A1236="BR","Fournisseur inconnu","Service inconnu")),IF(H1236="","Article manquant",IF(ISNA(MATCH(H1236,art_ref,0)),"Article inconnu",IF(OR(NOT(ISNUMBER(L1236)),N(L1236)&lt;=0),"Quantité invalide",IF(AND(K1236&lt;&gt;"",OR(NOT(ISNUMBER(K1236)),N(K1236)&lt;=0)),"Qté commandée invalide",IF(AG1236&lt;SUMPRODUCT(MAX((A$6:A1235=A1236)*AG$6:AG1235)),"Date antérieure au bon précédent",IF(AND(A1236&lt;&gt;"BR",ISNUMBER(M1236),N(M1236)&gt;0),IF(A1236="BL","Livré plus que commandé","Sorti plus que demandé"),"OK"))))))))))))</f>
        <v/>
      </c>
      <c r="Y1236" s="57" t="str">
        <f>IF(AND(OR(A1236="BL",A1236="BR",A1236="BS"),AG1236&gt;0,D1236&lt;&gt;""),A1236&amp;"|"&amp;AG1236&amp;"|"&amp;D1236&amp;"|"&amp;F1236,"")</f>
        <v/>
      </c>
      <c r="Z1236" s="57" t="str">
        <f>IF(Y1236="","",IF(COUNTIF(Y$6:Y1235,Y1236)=0,1,0))</f>
        <v/>
      </c>
      <c r="AA1236" s="57" t="str">
        <f>IF(Y1236="","",IF(Z1236=1,COUNTIFS(A$6:A1236,A1236,Z$6:Z1236,1),INDEX(AA$6:AA1235,MATCH(Y1236,Y$6:Y1235,0))))</f>
        <v/>
      </c>
      <c r="AB1236" s="57" t="str">
        <f>IF(B1236="","",COUNTIF(B$6:B1236,B1236))</f>
        <v/>
      </c>
      <c r="AC1236" s="57" t="str">
        <f>IF(B1236="","",B1236&amp;"#"&amp;AB1236)</f>
        <v/>
      </c>
      <c r="AD1236" s="57" t="str">
        <f>IF(Z1236=1,A1236&amp;AA1236,"")</f>
        <v/>
      </c>
      <c r="AE1236" s="57" t="str">
        <f>IF(B1236="","",YEAR(C1236))</f>
        <v/>
      </c>
      <c r="AF1236" s="57" t="str">
        <f>IF(B1236="","",MONTH(C1236))</f>
        <v/>
      </c>
      <c r="AG1236" s="57">
        <f>IF(ISNUMBER(C1236),C1236,0)</f>
        <v>0.0</v>
      </c>
      <c r="AH1236" s="57" t="str">
        <f>IF(N(W1236)&gt;0,COUNTIF(W$6:W1236,"&gt;0"),"")</f>
        <v/>
      </c>
      <c r="AI1236" s="57" t="str">
        <f>IF(Z1236=1,COUNTIF(Z$6:Z1236,1),"")</f>
        <v/>
      </c>
    </row>
    <row r="1237">
      <c r="A1237" s="54" t="n"/>
      <c r="B1237" s="55" t="str">
        <f>IF(AA1237="","",A1237&amp;"-"&amp;RIGHT("000"&amp;AA1237,4))</f>
        <v/>
      </c>
      <c r="C1237" s="56" t="n"/>
      <c r="D1237" s="54" t="n"/>
      <c r="E1237" s="57" t="str">
        <f>IF(D1237="","",IF(A1237="BL",IFERROR(INDEX(cl_name,MATCH(D1237,cl_code,0))&amp;"","Client inconnu"),IF(A1237="BR",IFERROR(INDEX(fo_name,MATCH(D1237,fo_code,0))&amp;"","Fournisseur inconnu"),IF(A1237="BS",IF(ISNA(MATCH(D1237,p_services,0)),"Service inconnu",D1237&amp;""),""))))</f>
        <v/>
      </c>
      <c r="F1237" s="58" t="n"/>
      <c r="G1237" s="58" t="n"/>
      <c r="H1237" s="59" t="n"/>
      <c r="I1237" s="57" t="str">
        <f>IF(H1237="","",IFERROR(INDEX(art_des,MATCH(H1237,art_ref,0))&amp;"","Article inconnu"))</f>
        <v/>
      </c>
      <c r="J1237" s="60" t="str">
        <f>IF(H1237="","",IFERROR(INDEX(art_unit,MATCH(H1237,art_ref,0))&amp;"",""))</f>
        <v/>
      </c>
      <c r="K1237" s="59" t="n"/>
      <c r="L1237" s="59" t="n"/>
      <c r="M1237" s="61" t="str">
        <f>IF(OR(B1237="",NOT(ISNUMBER(K1237)),NOT(ISNUMBER(L1237))),"",IF(OR(K1237&lt;=0,L1237&lt;=0),"",ROUND(L1237-K1237,6)))</f>
        <v/>
      </c>
      <c r="N1237" s="58" t="n"/>
      <c r="O1237" s="62" t="n"/>
      <c r="P1237" s="63" t="str">
        <f>IF(OR(B1237="",NOT(ISNUMBER(L1237))),"",IF(L1237&lt;=0,"",IFERROR(ROUND(L1237*N(INDEX(art_w,MATCH(H1237,art_ref,0))),3),"")))</f>
        <v/>
      </c>
      <c r="Q1237" s="59" t="n"/>
      <c r="R1237" s="54" t="n"/>
      <c r="S1237" s="59" t="n"/>
      <c r="T1237" s="59" t="n"/>
      <c r="U1237" s="64" t="str">
        <f>IF(OR(B1237="",H1237=""),"",IFERROR(IF(A1237="BL",IF(N(INDEX(art_price,MATCH(H1237,art_ref,0)))=0,"",N(INDEX(art_price,MATCH(H1237,art_ref,0)))),IF(N(INDEX(art_cost,MATCH(H1237,art_ref,0)))=0,"",N(INDEX(art_cost,MATCH(H1237,art_ref,0))))),""))</f>
        <v/>
      </c>
      <c r="V1237" s="64" t="str">
        <f>IF(OR(U1237="",NOT(ISNUMBER(L1237))),"",IF(L1237&lt;=0,"",ROUND(L1237*U1237,2)))</f>
        <v/>
      </c>
      <c r="W1237" s="60" t="str">
        <f>IF(AND(B1237&lt;&gt;"",A1237&lt;&gt;"BS",F1237&lt;&gt;"",H1237&lt;&gt;"",ISNUMBER(K1237),ISNUMBER(L1237)),IF(AND(K1237&gt;0,L1237&gt;0,K1237-L1237&gt;0,COUNTIFS(A1238:A$2005,A1237,F1238:F$2005,F1237,H1238:H$2005,H1237,AA1238:AA$2005,"&gt;0")=0),ROUND(K1237-L1237,6),""),"")</f>
        <v/>
      </c>
      <c r="X1237" s="60" t="str">
        <f>IF(AND(A1237="",C1237="",D1237="",H1237="",L1237=""),"",IF(A1237="","Type manquant",IF(AND(A1237&lt;&gt;"BL",A1237&lt;&gt;"BR",A1237&lt;&gt;"BS"),"Type inconnu (BL, BR ou BS)",IF(AG1237=0,"Date manquante ou invalide",IF(D1237="",IF(A1237="BL","Client manquant",IF(A1237="BR","Fournisseur manquant","Service manquant")),IF(IF(A1237="BL",ISNA(MATCH(D1237,cl_code,0)),IF(A1237="BR",ISNA(MATCH(D1237,fo_code,0)),ISNA(MATCH(D1237,p_services,0)))),IF(A1237="BL","Client inconnu",IF(A1237="BR","Fournisseur inconnu","Service inconnu")),IF(H1237="","Article manquant",IF(ISNA(MATCH(H1237,art_ref,0)),"Article inconnu",IF(OR(NOT(ISNUMBER(L1237)),N(L1237)&lt;=0),"Quantité invalide",IF(AND(K1237&lt;&gt;"",OR(NOT(ISNUMBER(K1237)),N(K1237)&lt;=0)),"Qté commandée invalide",IF(AG1237&lt;SUMPRODUCT(MAX((A$6:A1236=A1237)*AG$6:AG1236)),"Date antérieure au bon précédent",IF(AND(A1237&lt;&gt;"BR",ISNUMBER(M1237),N(M1237)&gt;0),IF(A1237="BL","Livré plus que commandé","Sorti plus que demandé"),"OK"))))))))))))</f>
        <v/>
      </c>
      <c r="Y1237" s="57" t="str">
        <f>IF(AND(OR(A1237="BL",A1237="BR",A1237="BS"),AG1237&gt;0,D1237&lt;&gt;""),A1237&amp;"|"&amp;AG1237&amp;"|"&amp;D1237&amp;"|"&amp;F1237,"")</f>
        <v/>
      </c>
      <c r="Z1237" s="57" t="str">
        <f>IF(Y1237="","",IF(COUNTIF(Y$6:Y1236,Y1237)=0,1,0))</f>
        <v/>
      </c>
      <c r="AA1237" s="57" t="str">
        <f>IF(Y1237="","",IF(Z1237=1,COUNTIFS(A$6:A1237,A1237,Z$6:Z1237,1),INDEX(AA$6:AA1236,MATCH(Y1237,Y$6:Y1236,0))))</f>
        <v/>
      </c>
      <c r="AB1237" s="57" t="str">
        <f>IF(B1237="","",COUNTIF(B$6:B1237,B1237))</f>
        <v/>
      </c>
      <c r="AC1237" s="57" t="str">
        <f>IF(B1237="","",B1237&amp;"#"&amp;AB1237)</f>
        <v/>
      </c>
      <c r="AD1237" s="57" t="str">
        <f>IF(Z1237=1,A1237&amp;AA1237,"")</f>
        <v/>
      </c>
      <c r="AE1237" s="57" t="str">
        <f>IF(B1237="","",YEAR(C1237))</f>
        <v/>
      </c>
      <c r="AF1237" s="57" t="str">
        <f>IF(B1237="","",MONTH(C1237))</f>
        <v/>
      </c>
      <c r="AG1237" s="57">
        <f>IF(ISNUMBER(C1237),C1237,0)</f>
        <v>0.0</v>
      </c>
      <c r="AH1237" s="57" t="str">
        <f>IF(N(W1237)&gt;0,COUNTIF(W$6:W1237,"&gt;0"),"")</f>
        <v/>
      </c>
      <c r="AI1237" s="57" t="str">
        <f>IF(Z1237=1,COUNTIF(Z$6:Z1237,1),"")</f>
        <v/>
      </c>
    </row>
    <row r="1238">
      <c r="A1238" s="54" t="n"/>
      <c r="B1238" s="55" t="str">
        <f>IF(AA1238="","",A1238&amp;"-"&amp;RIGHT("000"&amp;AA1238,4))</f>
        <v/>
      </c>
      <c r="C1238" s="56" t="n"/>
      <c r="D1238" s="54" t="n"/>
      <c r="E1238" s="57" t="str">
        <f>IF(D1238="","",IF(A1238="BL",IFERROR(INDEX(cl_name,MATCH(D1238,cl_code,0))&amp;"","Client inconnu"),IF(A1238="BR",IFERROR(INDEX(fo_name,MATCH(D1238,fo_code,0))&amp;"","Fournisseur inconnu"),IF(A1238="BS",IF(ISNA(MATCH(D1238,p_services,0)),"Service inconnu",D1238&amp;""),""))))</f>
        <v/>
      </c>
      <c r="F1238" s="58" t="n"/>
      <c r="G1238" s="58" t="n"/>
      <c r="H1238" s="59" t="n"/>
      <c r="I1238" s="57" t="str">
        <f>IF(H1238="","",IFERROR(INDEX(art_des,MATCH(H1238,art_ref,0))&amp;"","Article inconnu"))</f>
        <v/>
      </c>
      <c r="J1238" s="60" t="str">
        <f>IF(H1238="","",IFERROR(INDEX(art_unit,MATCH(H1238,art_ref,0))&amp;"",""))</f>
        <v/>
      </c>
      <c r="K1238" s="59" t="n"/>
      <c r="L1238" s="59" t="n"/>
      <c r="M1238" s="61" t="str">
        <f>IF(OR(B1238="",NOT(ISNUMBER(K1238)),NOT(ISNUMBER(L1238))),"",IF(OR(K1238&lt;=0,L1238&lt;=0),"",ROUND(L1238-K1238,6)))</f>
        <v/>
      </c>
      <c r="N1238" s="58" t="n"/>
      <c r="O1238" s="62" t="n"/>
      <c r="P1238" s="63" t="str">
        <f>IF(OR(B1238="",NOT(ISNUMBER(L1238))),"",IF(L1238&lt;=0,"",IFERROR(ROUND(L1238*N(INDEX(art_w,MATCH(H1238,art_ref,0))),3),"")))</f>
        <v/>
      </c>
      <c r="Q1238" s="59" t="n"/>
      <c r="R1238" s="54" t="n"/>
      <c r="S1238" s="59" t="n"/>
      <c r="T1238" s="59" t="n"/>
      <c r="U1238" s="64" t="str">
        <f>IF(OR(B1238="",H1238=""),"",IFERROR(IF(A1238="BL",IF(N(INDEX(art_price,MATCH(H1238,art_ref,0)))=0,"",N(INDEX(art_price,MATCH(H1238,art_ref,0)))),IF(N(INDEX(art_cost,MATCH(H1238,art_ref,0)))=0,"",N(INDEX(art_cost,MATCH(H1238,art_ref,0))))),""))</f>
        <v/>
      </c>
      <c r="V1238" s="64" t="str">
        <f>IF(OR(U1238="",NOT(ISNUMBER(L1238))),"",IF(L1238&lt;=0,"",ROUND(L1238*U1238,2)))</f>
        <v/>
      </c>
      <c r="W1238" s="60" t="str">
        <f>IF(AND(B1238&lt;&gt;"",A1238&lt;&gt;"BS",F1238&lt;&gt;"",H1238&lt;&gt;"",ISNUMBER(K1238),ISNUMBER(L1238)),IF(AND(K1238&gt;0,L1238&gt;0,K1238-L1238&gt;0,COUNTIFS(A1239:A$2005,A1238,F1239:F$2005,F1238,H1239:H$2005,H1238,AA1239:AA$2005,"&gt;0")=0),ROUND(K1238-L1238,6),""),"")</f>
        <v/>
      </c>
      <c r="X1238" s="60" t="str">
        <f>IF(AND(A1238="",C1238="",D1238="",H1238="",L1238=""),"",IF(A1238="","Type manquant",IF(AND(A1238&lt;&gt;"BL",A1238&lt;&gt;"BR",A1238&lt;&gt;"BS"),"Type inconnu (BL, BR ou BS)",IF(AG1238=0,"Date manquante ou invalide",IF(D1238="",IF(A1238="BL","Client manquant",IF(A1238="BR","Fournisseur manquant","Service manquant")),IF(IF(A1238="BL",ISNA(MATCH(D1238,cl_code,0)),IF(A1238="BR",ISNA(MATCH(D1238,fo_code,0)),ISNA(MATCH(D1238,p_services,0)))),IF(A1238="BL","Client inconnu",IF(A1238="BR","Fournisseur inconnu","Service inconnu")),IF(H1238="","Article manquant",IF(ISNA(MATCH(H1238,art_ref,0)),"Article inconnu",IF(OR(NOT(ISNUMBER(L1238)),N(L1238)&lt;=0),"Quantité invalide",IF(AND(K1238&lt;&gt;"",OR(NOT(ISNUMBER(K1238)),N(K1238)&lt;=0)),"Qté commandée invalide",IF(AG1238&lt;SUMPRODUCT(MAX((A$6:A1237=A1238)*AG$6:AG1237)),"Date antérieure au bon précédent",IF(AND(A1238&lt;&gt;"BR",ISNUMBER(M1238),N(M1238)&gt;0),IF(A1238="BL","Livré plus que commandé","Sorti plus que demandé"),"OK"))))))))))))</f>
        <v/>
      </c>
      <c r="Y1238" s="57" t="str">
        <f>IF(AND(OR(A1238="BL",A1238="BR",A1238="BS"),AG1238&gt;0,D1238&lt;&gt;""),A1238&amp;"|"&amp;AG1238&amp;"|"&amp;D1238&amp;"|"&amp;F1238,"")</f>
        <v/>
      </c>
      <c r="Z1238" s="57" t="str">
        <f>IF(Y1238="","",IF(COUNTIF(Y$6:Y1237,Y1238)=0,1,0))</f>
        <v/>
      </c>
      <c r="AA1238" s="57" t="str">
        <f>IF(Y1238="","",IF(Z1238=1,COUNTIFS(A$6:A1238,A1238,Z$6:Z1238,1),INDEX(AA$6:AA1237,MATCH(Y1238,Y$6:Y1237,0))))</f>
        <v/>
      </c>
      <c r="AB1238" s="57" t="str">
        <f>IF(B1238="","",COUNTIF(B$6:B1238,B1238))</f>
        <v/>
      </c>
      <c r="AC1238" s="57" t="str">
        <f>IF(B1238="","",B1238&amp;"#"&amp;AB1238)</f>
        <v/>
      </c>
      <c r="AD1238" s="57" t="str">
        <f>IF(Z1238=1,A1238&amp;AA1238,"")</f>
        <v/>
      </c>
      <c r="AE1238" s="57" t="str">
        <f>IF(B1238="","",YEAR(C1238))</f>
        <v/>
      </c>
      <c r="AF1238" s="57" t="str">
        <f>IF(B1238="","",MONTH(C1238))</f>
        <v/>
      </c>
      <c r="AG1238" s="57">
        <f>IF(ISNUMBER(C1238),C1238,0)</f>
        <v>0.0</v>
      </c>
      <c r="AH1238" s="57" t="str">
        <f>IF(N(W1238)&gt;0,COUNTIF(W$6:W1238,"&gt;0"),"")</f>
        <v/>
      </c>
      <c r="AI1238" s="57" t="str">
        <f>IF(Z1238=1,COUNTIF(Z$6:Z1238,1),"")</f>
        <v/>
      </c>
    </row>
    <row r="1239">
      <c r="A1239" s="54" t="n"/>
      <c r="B1239" s="55" t="str">
        <f>IF(AA1239="","",A1239&amp;"-"&amp;RIGHT("000"&amp;AA1239,4))</f>
        <v/>
      </c>
      <c r="C1239" s="56" t="n"/>
      <c r="D1239" s="54" t="n"/>
      <c r="E1239" s="57" t="str">
        <f>IF(D1239="","",IF(A1239="BL",IFERROR(INDEX(cl_name,MATCH(D1239,cl_code,0))&amp;"","Client inconnu"),IF(A1239="BR",IFERROR(INDEX(fo_name,MATCH(D1239,fo_code,0))&amp;"","Fournisseur inconnu"),IF(A1239="BS",IF(ISNA(MATCH(D1239,p_services,0)),"Service inconnu",D1239&amp;""),""))))</f>
        <v/>
      </c>
      <c r="F1239" s="58" t="n"/>
      <c r="G1239" s="58" t="n"/>
      <c r="H1239" s="59" t="n"/>
      <c r="I1239" s="57" t="str">
        <f>IF(H1239="","",IFERROR(INDEX(art_des,MATCH(H1239,art_ref,0))&amp;"","Article inconnu"))</f>
        <v/>
      </c>
      <c r="J1239" s="60" t="str">
        <f>IF(H1239="","",IFERROR(INDEX(art_unit,MATCH(H1239,art_ref,0))&amp;"",""))</f>
        <v/>
      </c>
      <c r="K1239" s="59" t="n"/>
      <c r="L1239" s="59" t="n"/>
      <c r="M1239" s="61" t="str">
        <f>IF(OR(B1239="",NOT(ISNUMBER(K1239)),NOT(ISNUMBER(L1239))),"",IF(OR(K1239&lt;=0,L1239&lt;=0),"",ROUND(L1239-K1239,6)))</f>
        <v/>
      </c>
      <c r="N1239" s="58" t="n"/>
      <c r="O1239" s="62" t="n"/>
      <c r="P1239" s="63" t="str">
        <f>IF(OR(B1239="",NOT(ISNUMBER(L1239))),"",IF(L1239&lt;=0,"",IFERROR(ROUND(L1239*N(INDEX(art_w,MATCH(H1239,art_ref,0))),3),"")))</f>
        <v/>
      </c>
      <c r="Q1239" s="59" t="n"/>
      <c r="R1239" s="54" t="n"/>
      <c r="S1239" s="59" t="n"/>
      <c r="T1239" s="59" t="n"/>
      <c r="U1239" s="64" t="str">
        <f>IF(OR(B1239="",H1239=""),"",IFERROR(IF(A1239="BL",IF(N(INDEX(art_price,MATCH(H1239,art_ref,0)))=0,"",N(INDEX(art_price,MATCH(H1239,art_ref,0)))),IF(N(INDEX(art_cost,MATCH(H1239,art_ref,0)))=0,"",N(INDEX(art_cost,MATCH(H1239,art_ref,0))))),""))</f>
        <v/>
      </c>
      <c r="V1239" s="64" t="str">
        <f>IF(OR(U1239="",NOT(ISNUMBER(L1239))),"",IF(L1239&lt;=0,"",ROUND(L1239*U1239,2)))</f>
        <v/>
      </c>
      <c r="W1239" s="60" t="str">
        <f>IF(AND(B1239&lt;&gt;"",A1239&lt;&gt;"BS",F1239&lt;&gt;"",H1239&lt;&gt;"",ISNUMBER(K1239),ISNUMBER(L1239)),IF(AND(K1239&gt;0,L1239&gt;0,K1239-L1239&gt;0,COUNTIFS(A1240:A$2005,A1239,F1240:F$2005,F1239,H1240:H$2005,H1239,AA1240:AA$2005,"&gt;0")=0),ROUND(K1239-L1239,6),""),"")</f>
        <v/>
      </c>
      <c r="X1239" s="60" t="str">
        <f>IF(AND(A1239="",C1239="",D1239="",H1239="",L1239=""),"",IF(A1239="","Type manquant",IF(AND(A1239&lt;&gt;"BL",A1239&lt;&gt;"BR",A1239&lt;&gt;"BS"),"Type inconnu (BL, BR ou BS)",IF(AG1239=0,"Date manquante ou invalide",IF(D1239="",IF(A1239="BL","Client manquant",IF(A1239="BR","Fournisseur manquant","Service manquant")),IF(IF(A1239="BL",ISNA(MATCH(D1239,cl_code,0)),IF(A1239="BR",ISNA(MATCH(D1239,fo_code,0)),ISNA(MATCH(D1239,p_services,0)))),IF(A1239="BL","Client inconnu",IF(A1239="BR","Fournisseur inconnu","Service inconnu")),IF(H1239="","Article manquant",IF(ISNA(MATCH(H1239,art_ref,0)),"Article inconnu",IF(OR(NOT(ISNUMBER(L1239)),N(L1239)&lt;=0),"Quantité invalide",IF(AND(K1239&lt;&gt;"",OR(NOT(ISNUMBER(K1239)),N(K1239)&lt;=0)),"Qté commandée invalide",IF(AG1239&lt;SUMPRODUCT(MAX((A$6:A1238=A1239)*AG$6:AG1238)),"Date antérieure au bon précédent",IF(AND(A1239&lt;&gt;"BR",ISNUMBER(M1239),N(M1239)&gt;0),IF(A1239="BL","Livré plus que commandé","Sorti plus que demandé"),"OK"))))))))))))</f>
        <v/>
      </c>
      <c r="Y1239" s="57" t="str">
        <f>IF(AND(OR(A1239="BL",A1239="BR",A1239="BS"),AG1239&gt;0,D1239&lt;&gt;""),A1239&amp;"|"&amp;AG1239&amp;"|"&amp;D1239&amp;"|"&amp;F1239,"")</f>
        <v/>
      </c>
      <c r="Z1239" s="57" t="str">
        <f>IF(Y1239="","",IF(COUNTIF(Y$6:Y1238,Y1239)=0,1,0))</f>
        <v/>
      </c>
      <c r="AA1239" s="57" t="str">
        <f>IF(Y1239="","",IF(Z1239=1,COUNTIFS(A$6:A1239,A1239,Z$6:Z1239,1),INDEX(AA$6:AA1238,MATCH(Y1239,Y$6:Y1238,0))))</f>
        <v/>
      </c>
      <c r="AB1239" s="57" t="str">
        <f>IF(B1239="","",COUNTIF(B$6:B1239,B1239))</f>
        <v/>
      </c>
      <c r="AC1239" s="57" t="str">
        <f>IF(B1239="","",B1239&amp;"#"&amp;AB1239)</f>
        <v/>
      </c>
      <c r="AD1239" s="57" t="str">
        <f>IF(Z1239=1,A1239&amp;AA1239,"")</f>
        <v/>
      </c>
      <c r="AE1239" s="57" t="str">
        <f>IF(B1239="","",YEAR(C1239))</f>
        <v/>
      </c>
      <c r="AF1239" s="57" t="str">
        <f>IF(B1239="","",MONTH(C1239))</f>
        <v/>
      </c>
      <c r="AG1239" s="57">
        <f>IF(ISNUMBER(C1239),C1239,0)</f>
        <v>0.0</v>
      </c>
      <c r="AH1239" s="57" t="str">
        <f>IF(N(W1239)&gt;0,COUNTIF(W$6:W1239,"&gt;0"),"")</f>
        <v/>
      </c>
      <c r="AI1239" s="57" t="str">
        <f>IF(Z1239=1,COUNTIF(Z$6:Z1239,1),"")</f>
        <v/>
      </c>
    </row>
    <row r="1240">
      <c r="A1240" s="54" t="n"/>
      <c r="B1240" s="55" t="str">
        <f>IF(AA1240="","",A1240&amp;"-"&amp;RIGHT("000"&amp;AA1240,4))</f>
        <v/>
      </c>
      <c r="C1240" s="56" t="n"/>
      <c r="D1240" s="54" t="n"/>
      <c r="E1240" s="57" t="str">
        <f>IF(D1240="","",IF(A1240="BL",IFERROR(INDEX(cl_name,MATCH(D1240,cl_code,0))&amp;"","Client inconnu"),IF(A1240="BR",IFERROR(INDEX(fo_name,MATCH(D1240,fo_code,0))&amp;"","Fournisseur inconnu"),IF(A1240="BS",IF(ISNA(MATCH(D1240,p_services,0)),"Service inconnu",D1240&amp;""),""))))</f>
        <v/>
      </c>
      <c r="F1240" s="58" t="n"/>
      <c r="G1240" s="58" t="n"/>
      <c r="H1240" s="59" t="n"/>
      <c r="I1240" s="57" t="str">
        <f>IF(H1240="","",IFERROR(INDEX(art_des,MATCH(H1240,art_ref,0))&amp;"","Article inconnu"))</f>
        <v/>
      </c>
      <c r="J1240" s="60" t="str">
        <f>IF(H1240="","",IFERROR(INDEX(art_unit,MATCH(H1240,art_ref,0))&amp;"",""))</f>
        <v/>
      </c>
      <c r="K1240" s="59" t="n"/>
      <c r="L1240" s="59" t="n"/>
      <c r="M1240" s="61" t="str">
        <f>IF(OR(B1240="",NOT(ISNUMBER(K1240)),NOT(ISNUMBER(L1240))),"",IF(OR(K1240&lt;=0,L1240&lt;=0),"",ROUND(L1240-K1240,6)))</f>
        <v/>
      </c>
      <c r="N1240" s="58" t="n"/>
      <c r="O1240" s="62" t="n"/>
      <c r="P1240" s="63" t="str">
        <f>IF(OR(B1240="",NOT(ISNUMBER(L1240))),"",IF(L1240&lt;=0,"",IFERROR(ROUND(L1240*N(INDEX(art_w,MATCH(H1240,art_ref,0))),3),"")))</f>
        <v/>
      </c>
      <c r="Q1240" s="59" t="n"/>
      <c r="R1240" s="54" t="n"/>
      <c r="S1240" s="59" t="n"/>
      <c r="T1240" s="59" t="n"/>
      <c r="U1240" s="64" t="str">
        <f>IF(OR(B1240="",H1240=""),"",IFERROR(IF(A1240="BL",IF(N(INDEX(art_price,MATCH(H1240,art_ref,0)))=0,"",N(INDEX(art_price,MATCH(H1240,art_ref,0)))),IF(N(INDEX(art_cost,MATCH(H1240,art_ref,0)))=0,"",N(INDEX(art_cost,MATCH(H1240,art_ref,0))))),""))</f>
        <v/>
      </c>
      <c r="V1240" s="64" t="str">
        <f>IF(OR(U1240="",NOT(ISNUMBER(L1240))),"",IF(L1240&lt;=0,"",ROUND(L1240*U1240,2)))</f>
        <v/>
      </c>
      <c r="W1240" s="60" t="str">
        <f>IF(AND(B1240&lt;&gt;"",A1240&lt;&gt;"BS",F1240&lt;&gt;"",H1240&lt;&gt;"",ISNUMBER(K1240),ISNUMBER(L1240)),IF(AND(K1240&gt;0,L1240&gt;0,K1240-L1240&gt;0,COUNTIFS(A1241:A$2005,A1240,F1241:F$2005,F1240,H1241:H$2005,H1240,AA1241:AA$2005,"&gt;0")=0),ROUND(K1240-L1240,6),""),"")</f>
        <v/>
      </c>
      <c r="X1240" s="60" t="str">
        <f>IF(AND(A1240="",C1240="",D1240="",H1240="",L1240=""),"",IF(A1240="","Type manquant",IF(AND(A1240&lt;&gt;"BL",A1240&lt;&gt;"BR",A1240&lt;&gt;"BS"),"Type inconnu (BL, BR ou BS)",IF(AG1240=0,"Date manquante ou invalide",IF(D1240="",IF(A1240="BL","Client manquant",IF(A1240="BR","Fournisseur manquant","Service manquant")),IF(IF(A1240="BL",ISNA(MATCH(D1240,cl_code,0)),IF(A1240="BR",ISNA(MATCH(D1240,fo_code,0)),ISNA(MATCH(D1240,p_services,0)))),IF(A1240="BL","Client inconnu",IF(A1240="BR","Fournisseur inconnu","Service inconnu")),IF(H1240="","Article manquant",IF(ISNA(MATCH(H1240,art_ref,0)),"Article inconnu",IF(OR(NOT(ISNUMBER(L1240)),N(L1240)&lt;=0),"Quantité invalide",IF(AND(K1240&lt;&gt;"",OR(NOT(ISNUMBER(K1240)),N(K1240)&lt;=0)),"Qté commandée invalide",IF(AG1240&lt;SUMPRODUCT(MAX((A$6:A1239=A1240)*AG$6:AG1239)),"Date antérieure au bon précédent",IF(AND(A1240&lt;&gt;"BR",ISNUMBER(M1240),N(M1240)&gt;0),IF(A1240="BL","Livré plus que commandé","Sorti plus que demandé"),"OK"))))))))))))</f>
        <v/>
      </c>
      <c r="Y1240" s="57" t="str">
        <f>IF(AND(OR(A1240="BL",A1240="BR",A1240="BS"),AG1240&gt;0,D1240&lt;&gt;""),A1240&amp;"|"&amp;AG1240&amp;"|"&amp;D1240&amp;"|"&amp;F1240,"")</f>
        <v/>
      </c>
      <c r="Z1240" s="57" t="str">
        <f>IF(Y1240="","",IF(COUNTIF(Y$6:Y1239,Y1240)=0,1,0))</f>
        <v/>
      </c>
      <c r="AA1240" s="57" t="str">
        <f>IF(Y1240="","",IF(Z1240=1,COUNTIFS(A$6:A1240,A1240,Z$6:Z1240,1),INDEX(AA$6:AA1239,MATCH(Y1240,Y$6:Y1239,0))))</f>
        <v/>
      </c>
      <c r="AB1240" s="57" t="str">
        <f>IF(B1240="","",COUNTIF(B$6:B1240,B1240))</f>
        <v/>
      </c>
      <c r="AC1240" s="57" t="str">
        <f>IF(B1240="","",B1240&amp;"#"&amp;AB1240)</f>
        <v/>
      </c>
      <c r="AD1240" s="57" t="str">
        <f>IF(Z1240=1,A1240&amp;AA1240,"")</f>
        <v/>
      </c>
      <c r="AE1240" s="57" t="str">
        <f>IF(B1240="","",YEAR(C1240))</f>
        <v/>
      </c>
      <c r="AF1240" s="57" t="str">
        <f>IF(B1240="","",MONTH(C1240))</f>
        <v/>
      </c>
      <c r="AG1240" s="57">
        <f>IF(ISNUMBER(C1240),C1240,0)</f>
        <v>0.0</v>
      </c>
      <c r="AH1240" s="57" t="str">
        <f>IF(N(W1240)&gt;0,COUNTIF(W$6:W1240,"&gt;0"),"")</f>
        <v/>
      </c>
      <c r="AI1240" s="57" t="str">
        <f>IF(Z1240=1,COUNTIF(Z$6:Z1240,1),"")</f>
        <v/>
      </c>
    </row>
    <row r="1241">
      <c r="A1241" s="54" t="n"/>
      <c r="B1241" s="55" t="str">
        <f>IF(AA1241="","",A1241&amp;"-"&amp;RIGHT("000"&amp;AA1241,4))</f>
        <v/>
      </c>
      <c r="C1241" s="56" t="n"/>
      <c r="D1241" s="54" t="n"/>
      <c r="E1241" s="57" t="str">
        <f>IF(D1241="","",IF(A1241="BL",IFERROR(INDEX(cl_name,MATCH(D1241,cl_code,0))&amp;"","Client inconnu"),IF(A1241="BR",IFERROR(INDEX(fo_name,MATCH(D1241,fo_code,0))&amp;"","Fournisseur inconnu"),IF(A1241="BS",IF(ISNA(MATCH(D1241,p_services,0)),"Service inconnu",D1241&amp;""),""))))</f>
        <v/>
      </c>
      <c r="F1241" s="58" t="n"/>
      <c r="G1241" s="58" t="n"/>
      <c r="H1241" s="59" t="n"/>
      <c r="I1241" s="57" t="str">
        <f>IF(H1241="","",IFERROR(INDEX(art_des,MATCH(H1241,art_ref,0))&amp;"","Article inconnu"))</f>
        <v/>
      </c>
      <c r="J1241" s="60" t="str">
        <f>IF(H1241="","",IFERROR(INDEX(art_unit,MATCH(H1241,art_ref,0))&amp;"",""))</f>
        <v/>
      </c>
      <c r="K1241" s="59" t="n"/>
      <c r="L1241" s="59" t="n"/>
      <c r="M1241" s="61" t="str">
        <f>IF(OR(B1241="",NOT(ISNUMBER(K1241)),NOT(ISNUMBER(L1241))),"",IF(OR(K1241&lt;=0,L1241&lt;=0),"",ROUND(L1241-K1241,6)))</f>
        <v/>
      </c>
      <c r="N1241" s="58" t="n"/>
      <c r="O1241" s="62" t="n"/>
      <c r="P1241" s="63" t="str">
        <f>IF(OR(B1241="",NOT(ISNUMBER(L1241))),"",IF(L1241&lt;=0,"",IFERROR(ROUND(L1241*N(INDEX(art_w,MATCH(H1241,art_ref,0))),3),"")))</f>
        <v/>
      </c>
      <c r="Q1241" s="59" t="n"/>
      <c r="R1241" s="54" t="n"/>
      <c r="S1241" s="59" t="n"/>
      <c r="T1241" s="59" t="n"/>
      <c r="U1241" s="64" t="str">
        <f>IF(OR(B1241="",H1241=""),"",IFERROR(IF(A1241="BL",IF(N(INDEX(art_price,MATCH(H1241,art_ref,0)))=0,"",N(INDEX(art_price,MATCH(H1241,art_ref,0)))),IF(N(INDEX(art_cost,MATCH(H1241,art_ref,0)))=0,"",N(INDEX(art_cost,MATCH(H1241,art_ref,0))))),""))</f>
        <v/>
      </c>
      <c r="V1241" s="64" t="str">
        <f>IF(OR(U1241="",NOT(ISNUMBER(L1241))),"",IF(L1241&lt;=0,"",ROUND(L1241*U1241,2)))</f>
        <v/>
      </c>
      <c r="W1241" s="60" t="str">
        <f>IF(AND(B1241&lt;&gt;"",A1241&lt;&gt;"BS",F1241&lt;&gt;"",H1241&lt;&gt;"",ISNUMBER(K1241),ISNUMBER(L1241)),IF(AND(K1241&gt;0,L1241&gt;0,K1241-L1241&gt;0,COUNTIFS(A1242:A$2005,A1241,F1242:F$2005,F1241,H1242:H$2005,H1241,AA1242:AA$2005,"&gt;0")=0),ROUND(K1241-L1241,6),""),"")</f>
        <v/>
      </c>
      <c r="X1241" s="60" t="str">
        <f>IF(AND(A1241="",C1241="",D1241="",H1241="",L1241=""),"",IF(A1241="","Type manquant",IF(AND(A1241&lt;&gt;"BL",A1241&lt;&gt;"BR",A1241&lt;&gt;"BS"),"Type inconnu (BL, BR ou BS)",IF(AG1241=0,"Date manquante ou invalide",IF(D1241="",IF(A1241="BL","Client manquant",IF(A1241="BR","Fournisseur manquant","Service manquant")),IF(IF(A1241="BL",ISNA(MATCH(D1241,cl_code,0)),IF(A1241="BR",ISNA(MATCH(D1241,fo_code,0)),ISNA(MATCH(D1241,p_services,0)))),IF(A1241="BL","Client inconnu",IF(A1241="BR","Fournisseur inconnu","Service inconnu")),IF(H1241="","Article manquant",IF(ISNA(MATCH(H1241,art_ref,0)),"Article inconnu",IF(OR(NOT(ISNUMBER(L1241)),N(L1241)&lt;=0),"Quantité invalide",IF(AND(K1241&lt;&gt;"",OR(NOT(ISNUMBER(K1241)),N(K1241)&lt;=0)),"Qté commandée invalide",IF(AG1241&lt;SUMPRODUCT(MAX((A$6:A1240=A1241)*AG$6:AG1240)),"Date antérieure au bon précédent",IF(AND(A1241&lt;&gt;"BR",ISNUMBER(M1241),N(M1241)&gt;0),IF(A1241="BL","Livré plus que commandé","Sorti plus que demandé"),"OK"))))))))))))</f>
        <v/>
      </c>
      <c r="Y1241" s="57" t="str">
        <f>IF(AND(OR(A1241="BL",A1241="BR",A1241="BS"),AG1241&gt;0,D1241&lt;&gt;""),A1241&amp;"|"&amp;AG1241&amp;"|"&amp;D1241&amp;"|"&amp;F1241,"")</f>
        <v/>
      </c>
      <c r="Z1241" s="57" t="str">
        <f>IF(Y1241="","",IF(COUNTIF(Y$6:Y1240,Y1241)=0,1,0))</f>
        <v/>
      </c>
      <c r="AA1241" s="57" t="str">
        <f>IF(Y1241="","",IF(Z1241=1,COUNTIFS(A$6:A1241,A1241,Z$6:Z1241,1),INDEX(AA$6:AA1240,MATCH(Y1241,Y$6:Y1240,0))))</f>
        <v/>
      </c>
      <c r="AB1241" s="57" t="str">
        <f>IF(B1241="","",COUNTIF(B$6:B1241,B1241))</f>
        <v/>
      </c>
      <c r="AC1241" s="57" t="str">
        <f>IF(B1241="","",B1241&amp;"#"&amp;AB1241)</f>
        <v/>
      </c>
      <c r="AD1241" s="57" t="str">
        <f>IF(Z1241=1,A1241&amp;AA1241,"")</f>
        <v/>
      </c>
      <c r="AE1241" s="57" t="str">
        <f>IF(B1241="","",YEAR(C1241))</f>
        <v/>
      </c>
      <c r="AF1241" s="57" t="str">
        <f>IF(B1241="","",MONTH(C1241))</f>
        <v/>
      </c>
      <c r="AG1241" s="57">
        <f>IF(ISNUMBER(C1241),C1241,0)</f>
        <v>0.0</v>
      </c>
      <c r="AH1241" s="57" t="str">
        <f>IF(N(W1241)&gt;0,COUNTIF(W$6:W1241,"&gt;0"),"")</f>
        <v/>
      </c>
      <c r="AI1241" s="57" t="str">
        <f>IF(Z1241=1,COUNTIF(Z$6:Z1241,1),"")</f>
        <v/>
      </c>
    </row>
    <row r="1242">
      <c r="A1242" s="54" t="n"/>
      <c r="B1242" s="55" t="str">
        <f>IF(AA1242="","",A1242&amp;"-"&amp;RIGHT("000"&amp;AA1242,4))</f>
        <v/>
      </c>
      <c r="C1242" s="56" t="n"/>
      <c r="D1242" s="54" t="n"/>
      <c r="E1242" s="57" t="str">
        <f>IF(D1242="","",IF(A1242="BL",IFERROR(INDEX(cl_name,MATCH(D1242,cl_code,0))&amp;"","Client inconnu"),IF(A1242="BR",IFERROR(INDEX(fo_name,MATCH(D1242,fo_code,0))&amp;"","Fournisseur inconnu"),IF(A1242="BS",IF(ISNA(MATCH(D1242,p_services,0)),"Service inconnu",D1242&amp;""),""))))</f>
        <v/>
      </c>
      <c r="F1242" s="58" t="n"/>
      <c r="G1242" s="58" t="n"/>
      <c r="H1242" s="59" t="n"/>
      <c r="I1242" s="57" t="str">
        <f>IF(H1242="","",IFERROR(INDEX(art_des,MATCH(H1242,art_ref,0))&amp;"","Article inconnu"))</f>
        <v/>
      </c>
      <c r="J1242" s="60" t="str">
        <f>IF(H1242="","",IFERROR(INDEX(art_unit,MATCH(H1242,art_ref,0))&amp;"",""))</f>
        <v/>
      </c>
      <c r="K1242" s="59" t="n"/>
      <c r="L1242" s="59" t="n"/>
      <c r="M1242" s="61" t="str">
        <f>IF(OR(B1242="",NOT(ISNUMBER(K1242)),NOT(ISNUMBER(L1242))),"",IF(OR(K1242&lt;=0,L1242&lt;=0),"",ROUND(L1242-K1242,6)))</f>
        <v/>
      </c>
      <c r="N1242" s="58" t="n"/>
      <c r="O1242" s="62" t="n"/>
      <c r="P1242" s="63" t="str">
        <f>IF(OR(B1242="",NOT(ISNUMBER(L1242))),"",IF(L1242&lt;=0,"",IFERROR(ROUND(L1242*N(INDEX(art_w,MATCH(H1242,art_ref,0))),3),"")))</f>
        <v/>
      </c>
      <c r="Q1242" s="59" t="n"/>
      <c r="R1242" s="54" t="n"/>
      <c r="S1242" s="59" t="n"/>
      <c r="T1242" s="59" t="n"/>
      <c r="U1242" s="64" t="str">
        <f>IF(OR(B1242="",H1242=""),"",IFERROR(IF(A1242="BL",IF(N(INDEX(art_price,MATCH(H1242,art_ref,0)))=0,"",N(INDEX(art_price,MATCH(H1242,art_ref,0)))),IF(N(INDEX(art_cost,MATCH(H1242,art_ref,0)))=0,"",N(INDEX(art_cost,MATCH(H1242,art_ref,0))))),""))</f>
        <v/>
      </c>
      <c r="V1242" s="64" t="str">
        <f>IF(OR(U1242="",NOT(ISNUMBER(L1242))),"",IF(L1242&lt;=0,"",ROUND(L1242*U1242,2)))</f>
        <v/>
      </c>
      <c r="W1242" s="60" t="str">
        <f>IF(AND(B1242&lt;&gt;"",A1242&lt;&gt;"BS",F1242&lt;&gt;"",H1242&lt;&gt;"",ISNUMBER(K1242),ISNUMBER(L1242)),IF(AND(K1242&gt;0,L1242&gt;0,K1242-L1242&gt;0,COUNTIFS(A1243:A$2005,A1242,F1243:F$2005,F1242,H1243:H$2005,H1242,AA1243:AA$2005,"&gt;0")=0),ROUND(K1242-L1242,6),""),"")</f>
        <v/>
      </c>
      <c r="X1242" s="60" t="str">
        <f>IF(AND(A1242="",C1242="",D1242="",H1242="",L1242=""),"",IF(A1242="","Type manquant",IF(AND(A1242&lt;&gt;"BL",A1242&lt;&gt;"BR",A1242&lt;&gt;"BS"),"Type inconnu (BL, BR ou BS)",IF(AG1242=0,"Date manquante ou invalide",IF(D1242="",IF(A1242="BL","Client manquant",IF(A1242="BR","Fournisseur manquant","Service manquant")),IF(IF(A1242="BL",ISNA(MATCH(D1242,cl_code,0)),IF(A1242="BR",ISNA(MATCH(D1242,fo_code,0)),ISNA(MATCH(D1242,p_services,0)))),IF(A1242="BL","Client inconnu",IF(A1242="BR","Fournisseur inconnu","Service inconnu")),IF(H1242="","Article manquant",IF(ISNA(MATCH(H1242,art_ref,0)),"Article inconnu",IF(OR(NOT(ISNUMBER(L1242)),N(L1242)&lt;=0),"Quantité invalide",IF(AND(K1242&lt;&gt;"",OR(NOT(ISNUMBER(K1242)),N(K1242)&lt;=0)),"Qté commandée invalide",IF(AG1242&lt;SUMPRODUCT(MAX((A$6:A1241=A1242)*AG$6:AG1241)),"Date antérieure au bon précédent",IF(AND(A1242&lt;&gt;"BR",ISNUMBER(M1242),N(M1242)&gt;0),IF(A1242="BL","Livré plus que commandé","Sorti plus que demandé"),"OK"))))))))))))</f>
        <v/>
      </c>
      <c r="Y1242" s="57" t="str">
        <f>IF(AND(OR(A1242="BL",A1242="BR",A1242="BS"),AG1242&gt;0,D1242&lt;&gt;""),A1242&amp;"|"&amp;AG1242&amp;"|"&amp;D1242&amp;"|"&amp;F1242,"")</f>
        <v/>
      </c>
      <c r="Z1242" s="57" t="str">
        <f>IF(Y1242="","",IF(COUNTIF(Y$6:Y1241,Y1242)=0,1,0))</f>
        <v/>
      </c>
      <c r="AA1242" s="57" t="str">
        <f>IF(Y1242="","",IF(Z1242=1,COUNTIFS(A$6:A1242,A1242,Z$6:Z1242,1),INDEX(AA$6:AA1241,MATCH(Y1242,Y$6:Y1241,0))))</f>
        <v/>
      </c>
      <c r="AB1242" s="57" t="str">
        <f>IF(B1242="","",COUNTIF(B$6:B1242,B1242))</f>
        <v/>
      </c>
      <c r="AC1242" s="57" t="str">
        <f>IF(B1242="","",B1242&amp;"#"&amp;AB1242)</f>
        <v/>
      </c>
      <c r="AD1242" s="57" t="str">
        <f>IF(Z1242=1,A1242&amp;AA1242,"")</f>
        <v/>
      </c>
      <c r="AE1242" s="57" t="str">
        <f>IF(B1242="","",YEAR(C1242))</f>
        <v/>
      </c>
      <c r="AF1242" s="57" t="str">
        <f>IF(B1242="","",MONTH(C1242))</f>
        <v/>
      </c>
      <c r="AG1242" s="57">
        <f>IF(ISNUMBER(C1242),C1242,0)</f>
        <v>0.0</v>
      </c>
      <c r="AH1242" s="57" t="str">
        <f>IF(N(W1242)&gt;0,COUNTIF(W$6:W1242,"&gt;0"),"")</f>
        <v/>
      </c>
      <c r="AI1242" s="57" t="str">
        <f>IF(Z1242=1,COUNTIF(Z$6:Z1242,1),"")</f>
        <v/>
      </c>
    </row>
    <row r="1243">
      <c r="A1243" s="54" t="n"/>
      <c r="B1243" s="55" t="str">
        <f>IF(AA1243="","",A1243&amp;"-"&amp;RIGHT("000"&amp;AA1243,4))</f>
        <v/>
      </c>
      <c r="C1243" s="56" t="n"/>
      <c r="D1243" s="54" t="n"/>
      <c r="E1243" s="57" t="str">
        <f>IF(D1243="","",IF(A1243="BL",IFERROR(INDEX(cl_name,MATCH(D1243,cl_code,0))&amp;"","Client inconnu"),IF(A1243="BR",IFERROR(INDEX(fo_name,MATCH(D1243,fo_code,0))&amp;"","Fournisseur inconnu"),IF(A1243="BS",IF(ISNA(MATCH(D1243,p_services,0)),"Service inconnu",D1243&amp;""),""))))</f>
        <v/>
      </c>
      <c r="F1243" s="58" t="n"/>
      <c r="G1243" s="58" t="n"/>
      <c r="H1243" s="59" t="n"/>
      <c r="I1243" s="57" t="str">
        <f>IF(H1243="","",IFERROR(INDEX(art_des,MATCH(H1243,art_ref,0))&amp;"","Article inconnu"))</f>
        <v/>
      </c>
      <c r="J1243" s="60" t="str">
        <f>IF(H1243="","",IFERROR(INDEX(art_unit,MATCH(H1243,art_ref,0))&amp;"",""))</f>
        <v/>
      </c>
      <c r="K1243" s="59" t="n"/>
      <c r="L1243" s="59" t="n"/>
      <c r="M1243" s="61" t="str">
        <f>IF(OR(B1243="",NOT(ISNUMBER(K1243)),NOT(ISNUMBER(L1243))),"",IF(OR(K1243&lt;=0,L1243&lt;=0),"",ROUND(L1243-K1243,6)))</f>
        <v/>
      </c>
      <c r="N1243" s="58" t="n"/>
      <c r="O1243" s="62" t="n"/>
      <c r="P1243" s="63" t="str">
        <f>IF(OR(B1243="",NOT(ISNUMBER(L1243))),"",IF(L1243&lt;=0,"",IFERROR(ROUND(L1243*N(INDEX(art_w,MATCH(H1243,art_ref,0))),3),"")))</f>
        <v/>
      </c>
      <c r="Q1243" s="59" t="n"/>
      <c r="R1243" s="54" t="n"/>
      <c r="S1243" s="59" t="n"/>
      <c r="T1243" s="59" t="n"/>
      <c r="U1243" s="64" t="str">
        <f>IF(OR(B1243="",H1243=""),"",IFERROR(IF(A1243="BL",IF(N(INDEX(art_price,MATCH(H1243,art_ref,0)))=0,"",N(INDEX(art_price,MATCH(H1243,art_ref,0)))),IF(N(INDEX(art_cost,MATCH(H1243,art_ref,0)))=0,"",N(INDEX(art_cost,MATCH(H1243,art_ref,0))))),""))</f>
        <v/>
      </c>
      <c r="V1243" s="64" t="str">
        <f>IF(OR(U1243="",NOT(ISNUMBER(L1243))),"",IF(L1243&lt;=0,"",ROUND(L1243*U1243,2)))</f>
        <v/>
      </c>
      <c r="W1243" s="60" t="str">
        <f>IF(AND(B1243&lt;&gt;"",A1243&lt;&gt;"BS",F1243&lt;&gt;"",H1243&lt;&gt;"",ISNUMBER(K1243),ISNUMBER(L1243)),IF(AND(K1243&gt;0,L1243&gt;0,K1243-L1243&gt;0,COUNTIFS(A1244:A$2005,A1243,F1244:F$2005,F1243,H1244:H$2005,H1243,AA1244:AA$2005,"&gt;0")=0),ROUND(K1243-L1243,6),""),"")</f>
        <v/>
      </c>
      <c r="X1243" s="60" t="str">
        <f>IF(AND(A1243="",C1243="",D1243="",H1243="",L1243=""),"",IF(A1243="","Type manquant",IF(AND(A1243&lt;&gt;"BL",A1243&lt;&gt;"BR",A1243&lt;&gt;"BS"),"Type inconnu (BL, BR ou BS)",IF(AG1243=0,"Date manquante ou invalide",IF(D1243="",IF(A1243="BL","Client manquant",IF(A1243="BR","Fournisseur manquant","Service manquant")),IF(IF(A1243="BL",ISNA(MATCH(D1243,cl_code,0)),IF(A1243="BR",ISNA(MATCH(D1243,fo_code,0)),ISNA(MATCH(D1243,p_services,0)))),IF(A1243="BL","Client inconnu",IF(A1243="BR","Fournisseur inconnu","Service inconnu")),IF(H1243="","Article manquant",IF(ISNA(MATCH(H1243,art_ref,0)),"Article inconnu",IF(OR(NOT(ISNUMBER(L1243)),N(L1243)&lt;=0),"Quantité invalide",IF(AND(K1243&lt;&gt;"",OR(NOT(ISNUMBER(K1243)),N(K1243)&lt;=0)),"Qté commandée invalide",IF(AG1243&lt;SUMPRODUCT(MAX((A$6:A1242=A1243)*AG$6:AG1242)),"Date antérieure au bon précédent",IF(AND(A1243&lt;&gt;"BR",ISNUMBER(M1243),N(M1243)&gt;0),IF(A1243="BL","Livré plus que commandé","Sorti plus que demandé"),"OK"))))))))))))</f>
        <v/>
      </c>
      <c r="Y1243" s="57" t="str">
        <f>IF(AND(OR(A1243="BL",A1243="BR",A1243="BS"),AG1243&gt;0,D1243&lt;&gt;""),A1243&amp;"|"&amp;AG1243&amp;"|"&amp;D1243&amp;"|"&amp;F1243,"")</f>
        <v/>
      </c>
      <c r="Z1243" s="57" t="str">
        <f>IF(Y1243="","",IF(COUNTIF(Y$6:Y1242,Y1243)=0,1,0))</f>
        <v/>
      </c>
      <c r="AA1243" s="57" t="str">
        <f>IF(Y1243="","",IF(Z1243=1,COUNTIFS(A$6:A1243,A1243,Z$6:Z1243,1),INDEX(AA$6:AA1242,MATCH(Y1243,Y$6:Y1242,0))))</f>
        <v/>
      </c>
      <c r="AB1243" s="57" t="str">
        <f>IF(B1243="","",COUNTIF(B$6:B1243,B1243))</f>
        <v/>
      </c>
      <c r="AC1243" s="57" t="str">
        <f>IF(B1243="","",B1243&amp;"#"&amp;AB1243)</f>
        <v/>
      </c>
      <c r="AD1243" s="57" t="str">
        <f>IF(Z1243=1,A1243&amp;AA1243,"")</f>
        <v/>
      </c>
      <c r="AE1243" s="57" t="str">
        <f>IF(B1243="","",YEAR(C1243))</f>
        <v/>
      </c>
      <c r="AF1243" s="57" t="str">
        <f>IF(B1243="","",MONTH(C1243))</f>
        <v/>
      </c>
      <c r="AG1243" s="57">
        <f>IF(ISNUMBER(C1243),C1243,0)</f>
        <v>0.0</v>
      </c>
      <c r="AH1243" s="57" t="str">
        <f>IF(N(W1243)&gt;0,COUNTIF(W$6:W1243,"&gt;0"),"")</f>
        <v/>
      </c>
      <c r="AI1243" s="57" t="str">
        <f>IF(Z1243=1,COUNTIF(Z$6:Z1243,1),"")</f>
        <v/>
      </c>
    </row>
    <row r="1244">
      <c r="A1244" s="54" t="n"/>
      <c r="B1244" s="55" t="str">
        <f>IF(AA1244="","",A1244&amp;"-"&amp;RIGHT("000"&amp;AA1244,4))</f>
        <v/>
      </c>
      <c r="C1244" s="56" t="n"/>
      <c r="D1244" s="54" t="n"/>
      <c r="E1244" s="57" t="str">
        <f>IF(D1244="","",IF(A1244="BL",IFERROR(INDEX(cl_name,MATCH(D1244,cl_code,0))&amp;"","Client inconnu"),IF(A1244="BR",IFERROR(INDEX(fo_name,MATCH(D1244,fo_code,0))&amp;"","Fournisseur inconnu"),IF(A1244="BS",IF(ISNA(MATCH(D1244,p_services,0)),"Service inconnu",D1244&amp;""),""))))</f>
        <v/>
      </c>
      <c r="F1244" s="58" t="n"/>
      <c r="G1244" s="58" t="n"/>
      <c r="H1244" s="59" t="n"/>
      <c r="I1244" s="57" t="str">
        <f>IF(H1244="","",IFERROR(INDEX(art_des,MATCH(H1244,art_ref,0))&amp;"","Article inconnu"))</f>
        <v/>
      </c>
      <c r="J1244" s="60" t="str">
        <f>IF(H1244="","",IFERROR(INDEX(art_unit,MATCH(H1244,art_ref,0))&amp;"",""))</f>
        <v/>
      </c>
      <c r="K1244" s="59" t="n"/>
      <c r="L1244" s="59" t="n"/>
      <c r="M1244" s="61" t="str">
        <f>IF(OR(B1244="",NOT(ISNUMBER(K1244)),NOT(ISNUMBER(L1244))),"",IF(OR(K1244&lt;=0,L1244&lt;=0),"",ROUND(L1244-K1244,6)))</f>
        <v/>
      </c>
      <c r="N1244" s="58" t="n"/>
      <c r="O1244" s="62" t="n"/>
      <c r="P1244" s="63" t="str">
        <f>IF(OR(B1244="",NOT(ISNUMBER(L1244))),"",IF(L1244&lt;=0,"",IFERROR(ROUND(L1244*N(INDEX(art_w,MATCH(H1244,art_ref,0))),3),"")))</f>
        <v/>
      </c>
      <c r="Q1244" s="59" t="n"/>
      <c r="R1244" s="54" t="n"/>
      <c r="S1244" s="59" t="n"/>
      <c r="T1244" s="59" t="n"/>
      <c r="U1244" s="64" t="str">
        <f>IF(OR(B1244="",H1244=""),"",IFERROR(IF(A1244="BL",IF(N(INDEX(art_price,MATCH(H1244,art_ref,0)))=0,"",N(INDEX(art_price,MATCH(H1244,art_ref,0)))),IF(N(INDEX(art_cost,MATCH(H1244,art_ref,0)))=0,"",N(INDEX(art_cost,MATCH(H1244,art_ref,0))))),""))</f>
        <v/>
      </c>
      <c r="V1244" s="64" t="str">
        <f>IF(OR(U1244="",NOT(ISNUMBER(L1244))),"",IF(L1244&lt;=0,"",ROUND(L1244*U1244,2)))</f>
        <v/>
      </c>
      <c r="W1244" s="60" t="str">
        <f>IF(AND(B1244&lt;&gt;"",A1244&lt;&gt;"BS",F1244&lt;&gt;"",H1244&lt;&gt;"",ISNUMBER(K1244),ISNUMBER(L1244)),IF(AND(K1244&gt;0,L1244&gt;0,K1244-L1244&gt;0,COUNTIFS(A1245:A$2005,A1244,F1245:F$2005,F1244,H1245:H$2005,H1244,AA1245:AA$2005,"&gt;0")=0),ROUND(K1244-L1244,6),""),"")</f>
        <v/>
      </c>
      <c r="X1244" s="60" t="str">
        <f>IF(AND(A1244="",C1244="",D1244="",H1244="",L1244=""),"",IF(A1244="","Type manquant",IF(AND(A1244&lt;&gt;"BL",A1244&lt;&gt;"BR",A1244&lt;&gt;"BS"),"Type inconnu (BL, BR ou BS)",IF(AG1244=0,"Date manquante ou invalide",IF(D1244="",IF(A1244="BL","Client manquant",IF(A1244="BR","Fournisseur manquant","Service manquant")),IF(IF(A1244="BL",ISNA(MATCH(D1244,cl_code,0)),IF(A1244="BR",ISNA(MATCH(D1244,fo_code,0)),ISNA(MATCH(D1244,p_services,0)))),IF(A1244="BL","Client inconnu",IF(A1244="BR","Fournisseur inconnu","Service inconnu")),IF(H1244="","Article manquant",IF(ISNA(MATCH(H1244,art_ref,0)),"Article inconnu",IF(OR(NOT(ISNUMBER(L1244)),N(L1244)&lt;=0),"Quantité invalide",IF(AND(K1244&lt;&gt;"",OR(NOT(ISNUMBER(K1244)),N(K1244)&lt;=0)),"Qté commandée invalide",IF(AG1244&lt;SUMPRODUCT(MAX((A$6:A1243=A1244)*AG$6:AG1243)),"Date antérieure au bon précédent",IF(AND(A1244&lt;&gt;"BR",ISNUMBER(M1244),N(M1244)&gt;0),IF(A1244="BL","Livré plus que commandé","Sorti plus que demandé"),"OK"))))))))))))</f>
        <v/>
      </c>
      <c r="Y1244" s="57" t="str">
        <f>IF(AND(OR(A1244="BL",A1244="BR",A1244="BS"),AG1244&gt;0,D1244&lt;&gt;""),A1244&amp;"|"&amp;AG1244&amp;"|"&amp;D1244&amp;"|"&amp;F1244,"")</f>
        <v/>
      </c>
      <c r="Z1244" s="57" t="str">
        <f>IF(Y1244="","",IF(COUNTIF(Y$6:Y1243,Y1244)=0,1,0))</f>
        <v/>
      </c>
      <c r="AA1244" s="57" t="str">
        <f>IF(Y1244="","",IF(Z1244=1,COUNTIFS(A$6:A1244,A1244,Z$6:Z1244,1),INDEX(AA$6:AA1243,MATCH(Y1244,Y$6:Y1243,0))))</f>
        <v/>
      </c>
      <c r="AB1244" s="57" t="str">
        <f>IF(B1244="","",COUNTIF(B$6:B1244,B1244))</f>
        <v/>
      </c>
      <c r="AC1244" s="57" t="str">
        <f>IF(B1244="","",B1244&amp;"#"&amp;AB1244)</f>
        <v/>
      </c>
      <c r="AD1244" s="57" t="str">
        <f>IF(Z1244=1,A1244&amp;AA1244,"")</f>
        <v/>
      </c>
      <c r="AE1244" s="57" t="str">
        <f>IF(B1244="","",YEAR(C1244))</f>
        <v/>
      </c>
      <c r="AF1244" s="57" t="str">
        <f>IF(B1244="","",MONTH(C1244))</f>
        <v/>
      </c>
      <c r="AG1244" s="57">
        <f>IF(ISNUMBER(C1244),C1244,0)</f>
        <v>0.0</v>
      </c>
      <c r="AH1244" s="57" t="str">
        <f>IF(N(W1244)&gt;0,COUNTIF(W$6:W1244,"&gt;0"),"")</f>
        <v/>
      </c>
      <c r="AI1244" s="57" t="str">
        <f>IF(Z1244=1,COUNTIF(Z$6:Z1244,1),"")</f>
        <v/>
      </c>
    </row>
    <row r="1245">
      <c r="A1245" s="54" t="n"/>
      <c r="B1245" s="55" t="str">
        <f>IF(AA1245="","",A1245&amp;"-"&amp;RIGHT("000"&amp;AA1245,4))</f>
        <v/>
      </c>
      <c r="C1245" s="56" t="n"/>
      <c r="D1245" s="54" t="n"/>
      <c r="E1245" s="57" t="str">
        <f>IF(D1245="","",IF(A1245="BL",IFERROR(INDEX(cl_name,MATCH(D1245,cl_code,0))&amp;"","Client inconnu"),IF(A1245="BR",IFERROR(INDEX(fo_name,MATCH(D1245,fo_code,0))&amp;"","Fournisseur inconnu"),IF(A1245="BS",IF(ISNA(MATCH(D1245,p_services,0)),"Service inconnu",D1245&amp;""),""))))</f>
        <v/>
      </c>
      <c r="F1245" s="58" t="n"/>
      <c r="G1245" s="58" t="n"/>
      <c r="H1245" s="59" t="n"/>
      <c r="I1245" s="57" t="str">
        <f>IF(H1245="","",IFERROR(INDEX(art_des,MATCH(H1245,art_ref,0))&amp;"","Article inconnu"))</f>
        <v/>
      </c>
      <c r="J1245" s="60" t="str">
        <f>IF(H1245="","",IFERROR(INDEX(art_unit,MATCH(H1245,art_ref,0))&amp;"",""))</f>
        <v/>
      </c>
      <c r="K1245" s="59" t="n"/>
      <c r="L1245" s="59" t="n"/>
      <c r="M1245" s="61" t="str">
        <f>IF(OR(B1245="",NOT(ISNUMBER(K1245)),NOT(ISNUMBER(L1245))),"",IF(OR(K1245&lt;=0,L1245&lt;=0),"",ROUND(L1245-K1245,6)))</f>
        <v/>
      </c>
      <c r="N1245" s="58" t="n"/>
      <c r="O1245" s="62" t="n"/>
      <c r="P1245" s="63" t="str">
        <f>IF(OR(B1245="",NOT(ISNUMBER(L1245))),"",IF(L1245&lt;=0,"",IFERROR(ROUND(L1245*N(INDEX(art_w,MATCH(H1245,art_ref,0))),3),"")))</f>
        <v/>
      </c>
      <c r="Q1245" s="59" t="n"/>
      <c r="R1245" s="54" t="n"/>
      <c r="S1245" s="59" t="n"/>
      <c r="T1245" s="59" t="n"/>
      <c r="U1245" s="64" t="str">
        <f>IF(OR(B1245="",H1245=""),"",IFERROR(IF(A1245="BL",IF(N(INDEX(art_price,MATCH(H1245,art_ref,0)))=0,"",N(INDEX(art_price,MATCH(H1245,art_ref,0)))),IF(N(INDEX(art_cost,MATCH(H1245,art_ref,0)))=0,"",N(INDEX(art_cost,MATCH(H1245,art_ref,0))))),""))</f>
        <v/>
      </c>
      <c r="V1245" s="64" t="str">
        <f>IF(OR(U1245="",NOT(ISNUMBER(L1245))),"",IF(L1245&lt;=0,"",ROUND(L1245*U1245,2)))</f>
        <v/>
      </c>
      <c r="W1245" s="60" t="str">
        <f>IF(AND(B1245&lt;&gt;"",A1245&lt;&gt;"BS",F1245&lt;&gt;"",H1245&lt;&gt;"",ISNUMBER(K1245),ISNUMBER(L1245)),IF(AND(K1245&gt;0,L1245&gt;0,K1245-L1245&gt;0,COUNTIFS(A1246:A$2005,A1245,F1246:F$2005,F1245,H1246:H$2005,H1245,AA1246:AA$2005,"&gt;0")=0),ROUND(K1245-L1245,6),""),"")</f>
        <v/>
      </c>
      <c r="X1245" s="60" t="str">
        <f>IF(AND(A1245="",C1245="",D1245="",H1245="",L1245=""),"",IF(A1245="","Type manquant",IF(AND(A1245&lt;&gt;"BL",A1245&lt;&gt;"BR",A1245&lt;&gt;"BS"),"Type inconnu (BL, BR ou BS)",IF(AG1245=0,"Date manquante ou invalide",IF(D1245="",IF(A1245="BL","Client manquant",IF(A1245="BR","Fournisseur manquant","Service manquant")),IF(IF(A1245="BL",ISNA(MATCH(D1245,cl_code,0)),IF(A1245="BR",ISNA(MATCH(D1245,fo_code,0)),ISNA(MATCH(D1245,p_services,0)))),IF(A1245="BL","Client inconnu",IF(A1245="BR","Fournisseur inconnu","Service inconnu")),IF(H1245="","Article manquant",IF(ISNA(MATCH(H1245,art_ref,0)),"Article inconnu",IF(OR(NOT(ISNUMBER(L1245)),N(L1245)&lt;=0),"Quantité invalide",IF(AND(K1245&lt;&gt;"",OR(NOT(ISNUMBER(K1245)),N(K1245)&lt;=0)),"Qté commandée invalide",IF(AG1245&lt;SUMPRODUCT(MAX((A$6:A1244=A1245)*AG$6:AG1244)),"Date antérieure au bon précédent",IF(AND(A1245&lt;&gt;"BR",ISNUMBER(M1245),N(M1245)&gt;0),IF(A1245="BL","Livré plus que commandé","Sorti plus que demandé"),"OK"))))))))))))</f>
        <v/>
      </c>
      <c r="Y1245" s="57" t="str">
        <f>IF(AND(OR(A1245="BL",A1245="BR",A1245="BS"),AG1245&gt;0,D1245&lt;&gt;""),A1245&amp;"|"&amp;AG1245&amp;"|"&amp;D1245&amp;"|"&amp;F1245,"")</f>
        <v/>
      </c>
      <c r="Z1245" s="57" t="str">
        <f>IF(Y1245="","",IF(COUNTIF(Y$6:Y1244,Y1245)=0,1,0))</f>
        <v/>
      </c>
      <c r="AA1245" s="57" t="str">
        <f>IF(Y1245="","",IF(Z1245=1,COUNTIFS(A$6:A1245,A1245,Z$6:Z1245,1),INDEX(AA$6:AA1244,MATCH(Y1245,Y$6:Y1244,0))))</f>
        <v/>
      </c>
      <c r="AB1245" s="57" t="str">
        <f>IF(B1245="","",COUNTIF(B$6:B1245,B1245))</f>
        <v/>
      </c>
      <c r="AC1245" s="57" t="str">
        <f>IF(B1245="","",B1245&amp;"#"&amp;AB1245)</f>
        <v/>
      </c>
      <c r="AD1245" s="57" t="str">
        <f>IF(Z1245=1,A1245&amp;AA1245,"")</f>
        <v/>
      </c>
      <c r="AE1245" s="57" t="str">
        <f>IF(B1245="","",YEAR(C1245))</f>
        <v/>
      </c>
      <c r="AF1245" s="57" t="str">
        <f>IF(B1245="","",MONTH(C1245))</f>
        <v/>
      </c>
      <c r="AG1245" s="57">
        <f>IF(ISNUMBER(C1245),C1245,0)</f>
        <v>0.0</v>
      </c>
      <c r="AH1245" s="57" t="str">
        <f>IF(N(W1245)&gt;0,COUNTIF(W$6:W1245,"&gt;0"),"")</f>
        <v/>
      </c>
      <c r="AI1245" s="57" t="str">
        <f>IF(Z1245=1,COUNTIF(Z$6:Z1245,1),"")</f>
        <v/>
      </c>
    </row>
    <row r="1246">
      <c r="A1246" s="54" t="n"/>
      <c r="B1246" s="55" t="str">
        <f>IF(AA1246="","",A1246&amp;"-"&amp;RIGHT("000"&amp;AA1246,4))</f>
        <v/>
      </c>
      <c r="C1246" s="56" t="n"/>
      <c r="D1246" s="54" t="n"/>
      <c r="E1246" s="57" t="str">
        <f>IF(D1246="","",IF(A1246="BL",IFERROR(INDEX(cl_name,MATCH(D1246,cl_code,0))&amp;"","Client inconnu"),IF(A1246="BR",IFERROR(INDEX(fo_name,MATCH(D1246,fo_code,0))&amp;"","Fournisseur inconnu"),IF(A1246="BS",IF(ISNA(MATCH(D1246,p_services,0)),"Service inconnu",D1246&amp;""),""))))</f>
        <v/>
      </c>
      <c r="F1246" s="58" t="n"/>
      <c r="G1246" s="58" t="n"/>
      <c r="H1246" s="59" t="n"/>
      <c r="I1246" s="57" t="str">
        <f>IF(H1246="","",IFERROR(INDEX(art_des,MATCH(H1246,art_ref,0))&amp;"","Article inconnu"))</f>
        <v/>
      </c>
      <c r="J1246" s="60" t="str">
        <f>IF(H1246="","",IFERROR(INDEX(art_unit,MATCH(H1246,art_ref,0))&amp;"",""))</f>
        <v/>
      </c>
      <c r="K1246" s="59" t="n"/>
      <c r="L1246" s="59" t="n"/>
      <c r="M1246" s="61" t="str">
        <f>IF(OR(B1246="",NOT(ISNUMBER(K1246)),NOT(ISNUMBER(L1246))),"",IF(OR(K1246&lt;=0,L1246&lt;=0),"",ROUND(L1246-K1246,6)))</f>
        <v/>
      </c>
      <c r="N1246" s="58" t="n"/>
      <c r="O1246" s="62" t="n"/>
      <c r="P1246" s="63" t="str">
        <f>IF(OR(B1246="",NOT(ISNUMBER(L1246))),"",IF(L1246&lt;=0,"",IFERROR(ROUND(L1246*N(INDEX(art_w,MATCH(H1246,art_ref,0))),3),"")))</f>
        <v/>
      </c>
      <c r="Q1246" s="59" t="n"/>
      <c r="R1246" s="54" t="n"/>
      <c r="S1246" s="59" t="n"/>
      <c r="T1246" s="59" t="n"/>
      <c r="U1246" s="64" t="str">
        <f>IF(OR(B1246="",H1246=""),"",IFERROR(IF(A1246="BL",IF(N(INDEX(art_price,MATCH(H1246,art_ref,0)))=0,"",N(INDEX(art_price,MATCH(H1246,art_ref,0)))),IF(N(INDEX(art_cost,MATCH(H1246,art_ref,0)))=0,"",N(INDEX(art_cost,MATCH(H1246,art_ref,0))))),""))</f>
        <v/>
      </c>
      <c r="V1246" s="64" t="str">
        <f>IF(OR(U1246="",NOT(ISNUMBER(L1246))),"",IF(L1246&lt;=0,"",ROUND(L1246*U1246,2)))</f>
        <v/>
      </c>
      <c r="W1246" s="60" t="str">
        <f>IF(AND(B1246&lt;&gt;"",A1246&lt;&gt;"BS",F1246&lt;&gt;"",H1246&lt;&gt;"",ISNUMBER(K1246),ISNUMBER(L1246)),IF(AND(K1246&gt;0,L1246&gt;0,K1246-L1246&gt;0,COUNTIFS(A1247:A$2005,A1246,F1247:F$2005,F1246,H1247:H$2005,H1246,AA1247:AA$2005,"&gt;0")=0),ROUND(K1246-L1246,6),""),"")</f>
        <v/>
      </c>
      <c r="X1246" s="60" t="str">
        <f>IF(AND(A1246="",C1246="",D1246="",H1246="",L1246=""),"",IF(A1246="","Type manquant",IF(AND(A1246&lt;&gt;"BL",A1246&lt;&gt;"BR",A1246&lt;&gt;"BS"),"Type inconnu (BL, BR ou BS)",IF(AG1246=0,"Date manquante ou invalide",IF(D1246="",IF(A1246="BL","Client manquant",IF(A1246="BR","Fournisseur manquant","Service manquant")),IF(IF(A1246="BL",ISNA(MATCH(D1246,cl_code,0)),IF(A1246="BR",ISNA(MATCH(D1246,fo_code,0)),ISNA(MATCH(D1246,p_services,0)))),IF(A1246="BL","Client inconnu",IF(A1246="BR","Fournisseur inconnu","Service inconnu")),IF(H1246="","Article manquant",IF(ISNA(MATCH(H1246,art_ref,0)),"Article inconnu",IF(OR(NOT(ISNUMBER(L1246)),N(L1246)&lt;=0),"Quantité invalide",IF(AND(K1246&lt;&gt;"",OR(NOT(ISNUMBER(K1246)),N(K1246)&lt;=0)),"Qté commandée invalide",IF(AG1246&lt;SUMPRODUCT(MAX((A$6:A1245=A1246)*AG$6:AG1245)),"Date antérieure au bon précédent",IF(AND(A1246&lt;&gt;"BR",ISNUMBER(M1246),N(M1246)&gt;0),IF(A1246="BL","Livré plus que commandé","Sorti plus que demandé"),"OK"))))))))))))</f>
        <v/>
      </c>
      <c r="Y1246" s="57" t="str">
        <f>IF(AND(OR(A1246="BL",A1246="BR",A1246="BS"),AG1246&gt;0,D1246&lt;&gt;""),A1246&amp;"|"&amp;AG1246&amp;"|"&amp;D1246&amp;"|"&amp;F1246,"")</f>
        <v/>
      </c>
      <c r="Z1246" s="57" t="str">
        <f>IF(Y1246="","",IF(COUNTIF(Y$6:Y1245,Y1246)=0,1,0))</f>
        <v/>
      </c>
      <c r="AA1246" s="57" t="str">
        <f>IF(Y1246="","",IF(Z1246=1,COUNTIFS(A$6:A1246,A1246,Z$6:Z1246,1),INDEX(AA$6:AA1245,MATCH(Y1246,Y$6:Y1245,0))))</f>
        <v/>
      </c>
      <c r="AB1246" s="57" t="str">
        <f>IF(B1246="","",COUNTIF(B$6:B1246,B1246))</f>
        <v/>
      </c>
      <c r="AC1246" s="57" t="str">
        <f>IF(B1246="","",B1246&amp;"#"&amp;AB1246)</f>
        <v/>
      </c>
      <c r="AD1246" s="57" t="str">
        <f>IF(Z1246=1,A1246&amp;AA1246,"")</f>
        <v/>
      </c>
      <c r="AE1246" s="57" t="str">
        <f>IF(B1246="","",YEAR(C1246))</f>
        <v/>
      </c>
      <c r="AF1246" s="57" t="str">
        <f>IF(B1246="","",MONTH(C1246))</f>
        <v/>
      </c>
      <c r="AG1246" s="57">
        <f>IF(ISNUMBER(C1246),C1246,0)</f>
        <v>0.0</v>
      </c>
      <c r="AH1246" s="57" t="str">
        <f>IF(N(W1246)&gt;0,COUNTIF(W$6:W1246,"&gt;0"),"")</f>
        <v/>
      </c>
      <c r="AI1246" s="57" t="str">
        <f>IF(Z1246=1,COUNTIF(Z$6:Z1246,1),"")</f>
        <v/>
      </c>
    </row>
    <row r="1247">
      <c r="A1247" s="54" t="n"/>
      <c r="B1247" s="55" t="str">
        <f>IF(AA1247="","",A1247&amp;"-"&amp;RIGHT("000"&amp;AA1247,4))</f>
        <v/>
      </c>
      <c r="C1247" s="56" t="n"/>
      <c r="D1247" s="54" t="n"/>
      <c r="E1247" s="57" t="str">
        <f>IF(D1247="","",IF(A1247="BL",IFERROR(INDEX(cl_name,MATCH(D1247,cl_code,0))&amp;"","Client inconnu"),IF(A1247="BR",IFERROR(INDEX(fo_name,MATCH(D1247,fo_code,0))&amp;"","Fournisseur inconnu"),IF(A1247="BS",IF(ISNA(MATCH(D1247,p_services,0)),"Service inconnu",D1247&amp;""),""))))</f>
        <v/>
      </c>
      <c r="F1247" s="58" t="n"/>
      <c r="G1247" s="58" t="n"/>
      <c r="H1247" s="59" t="n"/>
      <c r="I1247" s="57" t="str">
        <f>IF(H1247="","",IFERROR(INDEX(art_des,MATCH(H1247,art_ref,0))&amp;"","Article inconnu"))</f>
        <v/>
      </c>
      <c r="J1247" s="60" t="str">
        <f>IF(H1247="","",IFERROR(INDEX(art_unit,MATCH(H1247,art_ref,0))&amp;"",""))</f>
        <v/>
      </c>
      <c r="K1247" s="59" t="n"/>
      <c r="L1247" s="59" t="n"/>
      <c r="M1247" s="61" t="str">
        <f>IF(OR(B1247="",NOT(ISNUMBER(K1247)),NOT(ISNUMBER(L1247))),"",IF(OR(K1247&lt;=0,L1247&lt;=0),"",ROUND(L1247-K1247,6)))</f>
        <v/>
      </c>
      <c r="N1247" s="58" t="n"/>
      <c r="O1247" s="62" t="n"/>
      <c r="P1247" s="63" t="str">
        <f>IF(OR(B1247="",NOT(ISNUMBER(L1247))),"",IF(L1247&lt;=0,"",IFERROR(ROUND(L1247*N(INDEX(art_w,MATCH(H1247,art_ref,0))),3),"")))</f>
        <v/>
      </c>
      <c r="Q1247" s="59" t="n"/>
      <c r="R1247" s="54" t="n"/>
      <c r="S1247" s="59" t="n"/>
      <c r="T1247" s="59" t="n"/>
      <c r="U1247" s="64" t="str">
        <f>IF(OR(B1247="",H1247=""),"",IFERROR(IF(A1247="BL",IF(N(INDEX(art_price,MATCH(H1247,art_ref,0)))=0,"",N(INDEX(art_price,MATCH(H1247,art_ref,0)))),IF(N(INDEX(art_cost,MATCH(H1247,art_ref,0)))=0,"",N(INDEX(art_cost,MATCH(H1247,art_ref,0))))),""))</f>
        <v/>
      </c>
      <c r="V1247" s="64" t="str">
        <f>IF(OR(U1247="",NOT(ISNUMBER(L1247))),"",IF(L1247&lt;=0,"",ROUND(L1247*U1247,2)))</f>
        <v/>
      </c>
      <c r="W1247" s="60" t="str">
        <f>IF(AND(B1247&lt;&gt;"",A1247&lt;&gt;"BS",F1247&lt;&gt;"",H1247&lt;&gt;"",ISNUMBER(K1247),ISNUMBER(L1247)),IF(AND(K1247&gt;0,L1247&gt;0,K1247-L1247&gt;0,COUNTIFS(A1248:A$2005,A1247,F1248:F$2005,F1247,H1248:H$2005,H1247,AA1248:AA$2005,"&gt;0")=0),ROUND(K1247-L1247,6),""),"")</f>
        <v/>
      </c>
      <c r="X1247" s="60" t="str">
        <f>IF(AND(A1247="",C1247="",D1247="",H1247="",L1247=""),"",IF(A1247="","Type manquant",IF(AND(A1247&lt;&gt;"BL",A1247&lt;&gt;"BR",A1247&lt;&gt;"BS"),"Type inconnu (BL, BR ou BS)",IF(AG1247=0,"Date manquante ou invalide",IF(D1247="",IF(A1247="BL","Client manquant",IF(A1247="BR","Fournisseur manquant","Service manquant")),IF(IF(A1247="BL",ISNA(MATCH(D1247,cl_code,0)),IF(A1247="BR",ISNA(MATCH(D1247,fo_code,0)),ISNA(MATCH(D1247,p_services,0)))),IF(A1247="BL","Client inconnu",IF(A1247="BR","Fournisseur inconnu","Service inconnu")),IF(H1247="","Article manquant",IF(ISNA(MATCH(H1247,art_ref,0)),"Article inconnu",IF(OR(NOT(ISNUMBER(L1247)),N(L1247)&lt;=0),"Quantité invalide",IF(AND(K1247&lt;&gt;"",OR(NOT(ISNUMBER(K1247)),N(K1247)&lt;=0)),"Qté commandée invalide",IF(AG1247&lt;SUMPRODUCT(MAX((A$6:A1246=A1247)*AG$6:AG1246)),"Date antérieure au bon précédent",IF(AND(A1247&lt;&gt;"BR",ISNUMBER(M1247),N(M1247)&gt;0),IF(A1247="BL","Livré plus que commandé","Sorti plus que demandé"),"OK"))))))))))))</f>
        <v/>
      </c>
      <c r="Y1247" s="57" t="str">
        <f>IF(AND(OR(A1247="BL",A1247="BR",A1247="BS"),AG1247&gt;0,D1247&lt;&gt;""),A1247&amp;"|"&amp;AG1247&amp;"|"&amp;D1247&amp;"|"&amp;F1247,"")</f>
        <v/>
      </c>
      <c r="Z1247" s="57" t="str">
        <f>IF(Y1247="","",IF(COUNTIF(Y$6:Y1246,Y1247)=0,1,0))</f>
        <v/>
      </c>
      <c r="AA1247" s="57" t="str">
        <f>IF(Y1247="","",IF(Z1247=1,COUNTIFS(A$6:A1247,A1247,Z$6:Z1247,1),INDEX(AA$6:AA1246,MATCH(Y1247,Y$6:Y1246,0))))</f>
        <v/>
      </c>
      <c r="AB1247" s="57" t="str">
        <f>IF(B1247="","",COUNTIF(B$6:B1247,B1247))</f>
        <v/>
      </c>
      <c r="AC1247" s="57" t="str">
        <f>IF(B1247="","",B1247&amp;"#"&amp;AB1247)</f>
        <v/>
      </c>
      <c r="AD1247" s="57" t="str">
        <f>IF(Z1247=1,A1247&amp;AA1247,"")</f>
        <v/>
      </c>
      <c r="AE1247" s="57" t="str">
        <f>IF(B1247="","",YEAR(C1247))</f>
        <v/>
      </c>
      <c r="AF1247" s="57" t="str">
        <f>IF(B1247="","",MONTH(C1247))</f>
        <v/>
      </c>
      <c r="AG1247" s="57">
        <f>IF(ISNUMBER(C1247),C1247,0)</f>
        <v>0.0</v>
      </c>
      <c r="AH1247" s="57" t="str">
        <f>IF(N(W1247)&gt;0,COUNTIF(W$6:W1247,"&gt;0"),"")</f>
        <v/>
      </c>
      <c r="AI1247" s="57" t="str">
        <f>IF(Z1247=1,COUNTIF(Z$6:Z1247,1),"")</f>
        <v/>
      </c>
    </row>
    <row r="1248">
      <c r="A1248" s="54" t="n"/>
      <c r="B1248" s="55" t="str">
        <f>IF(AA1248="","",A1248&amp;"-"&amp;RIGHT("000"&amp;AA1248,4))</f>
        <v/>
      </c>
      <c r="C1248" s="56" t="n"/>
      <c r="D1248" s="54" t="n"/>
      <c r="E1248" s="57" t="str">
        <f>IF(D1248="","",IF(A1248="BL",IFERROR(INDEX(cl_name,MATCH(D1248,cl_code,0))&amp;"","Client inconnu"),IF(A1248="BR",IFERROR(INDEX(fo_name,MATCH(D1248,fo_code,0))&amp;"","Fournisseur inconnu"),IF(A1248="BS",IF(ISNA(MATCH(D1248,p_services,0)),"Service inconnu",D1248&amp;""),""))))</f>
        <v/>
      </c>
      <c r="F1248" s="58" t="n"/>
      <c r="G1248" s="58" t="n"/>
      <c r="H1248" s="59" t="n"/>
      <c r="I1248" s="57" t="str">
        <f>IF(H1248="","",IFERROR(INDEX(art_des,MATCH(H1248,art_ref,0))&amp;"","Article inconnu"))</f>
        <v/>
      </c>
      <c r="J1248" s="60" t="str">
        <f>IF(H1248="","",IFERROR(INDEX(art_unit,MATCH(H1248,art_ref,0))&amp;"",""))</f>
        <v/>
      </c>
      <c r="K1248" s="59" t="n"/>
      <c r="L1248" s="59" t="n"/>
      <c r="M1248" s="61" t="str">
        <f>IF(OR(B1248="",NOT(ISNUMBER(K1248)),NOT(ISNUMBER(L1248))),"",IF(OR(K1248&lt;=0,L1248&lt;=0),"",ROUND(L1248-K1248,6)))</f>
        <v/>
      </c>
      <c r="N1248" s="58" t="n"/>
      <c r="O1248" s="62" t="n"/>
      <c r="P1248" s="63" t="str">
        <f>IF(OR(B1248="",NOT(ISNUMBER(L1248))),"",IF(L1248&lt;=0,"",IFERROR(ROUND(L1248*N(INDEX(art_w,MATCH(H1248,art_ref,0))),3),"")))</f>
        <v/>
      </c>
      <c r="Q1248" s="59" t="n"/>
      <c r="R1248" s="54" t="n"/>
      <c r="S1248" s="59" t="n"/>
      <c r="T1248" s="59" t="n"/>
      <c r="U1248" s="64" t="str">
        <f>IF(OR(B1248="",H1248=""),"",IFERROR(IF(A1248="BL",IF(N(INDEX(art_price,MATCH(H1248,art_ref,0)))=0,"",N(INDEX(art_price,MATCH(H1248,art_ref,0)))),IF(N(INDEX(art_cost,MATCH(H1248,art_ref,0)))=0,"",N(INDEX(art_cost,MATCH(H1248,art_ref,0))))),""))</f>
        <v/>
      </c>
      <c r="V1248" s="64" t="str">
        <f>IF(OR(U1248="",NOT(ISNUMBER(L1248))),"",IF(L1248&lt;=0,"",ROUND(L1248*U1248,2)))</f>
        <v/>
      </c>
      <c r="W1248" s="60" t="str">
        <f>IF(AND(B1248&lt;&gt;"",A1248&lt;&gt;"BS",F1248&lt;&gt;"",H1248&lt;&gt;"",ISNUMBER(K1248),ISNUMBER(L1248)),IF(AND(K1248&gt;0,L1248&gt;0,K1248-L1248&gt;0,COUNTIFS(A1249:A$2005,A1248,F1249:F$2005,F1248,H1249:H$2005,H1248,AA1249:AA$2005,"&gt;0")=0),ROUND(K1248-L1248,6),""),"")</f>
        <v/>
      </c>
      <c r="X1248" s="60" t="str">
        <f>IF(AND(A1248="",C1248="",D1248="",H1248="",L1248=""),"",IF(A1248="","Type manquant",IF(AND(A1248&lt;&gt;"BL",A1248&lt;&gt;"BR",A1248&lt;&gt;"BS"),"Type inconnu (BL, BR ou BS)",IF(AG1248=0,"Date manquante ou invalide",IF(D1248="",IF(A1248="BL","Client manquant",IF(A1248="BR","Fournisseur manquant","Service manquant")),IF(IF(A1248="BL",ISNA(MATCH(D1248,cl_code,0)),IF(A1248="BR",ISNA(MATCH(D1248,fo_code,0)),ISNA(MATCH(D1248,p_services,0)))),IF(A1248="BL","Client inconnu",IF(A1248="BR","Fournisseur inconnu","Service inconnu")),IF(H1248="","Article manquant",IF(ISNA(MATCH(H1248,art_ref,0)),"Article inconnu",IF(OR(NOT(ISNUMBER(L1248)),N(L1248)&lt;=0),"Quantité invalide",IF(AND(K1248&lt;&gt;"",OR(NOT(ISNUMBER(K1248)),N(K1248)&lt;=0)),"Qté commandée invalide",IF(AG1248&lt;SUMPRODUCT(MAX((A$6:A1247=A1248)*AG$6:AG1247)),"Date antérieure au bon précédent",IF(AND(A1248&lt;&gt;"BR",ISNUMBER(M1248),N(M1248)&gt;0),IF(A1248="BL","Livré plus que commandé","Sorti plus que demandé"),"OK"))))))))))))</f>
        <v/>
      </c>
      <c r="Y1248" s="57" t="str">
        <f>IF(AND(OR(A1248="BL",A1248="BR",A1248="BS"),AG1248&gt;0,D1248&lt;&gt;""),A1248&amp;"|"&amp;AG1248&amp;"|"&amp;D1248&amp;"|"&amp;F1248,"")</f>
        <v/>
      </c>
      <c r="Z1248" s="57" t="str">
        <f>IF(Y1248="","",IF(COUNTIF(Y$6:Y1247,Y1248)=0,1,0))</f>
        <v/>
      </c>
      <c r="AA1248" s="57" t="str">
        <f>IF(Y1248="","",IF(Z1248=1,COUNTIFS(A$6:A1248,A1248,Z$6:Z1248,1),INDEX(AA$6:AA1247,MATCH(Y1248,Y$6:Y1247,0))))</f>
        <v/>
      </c>
      <c r="AB1248" s="57" t="str">
        <f>IF(B1248="","",COUNTIF(B$6:B1248,B1248))</f>
        <v/>
      </c>
      <c r="AC1248" s="57" t="str">
        <f>IF(B1248="","",B1248&amp;"#"&amp;AB1248)</f>
        <v/>
      </c>
      <c r="AD1248" s="57" t="str">
        <f>IF(Z1248=1,A1248&amp;AA1248,"")</f>
        <v/>
      </c>
      <c r="AE1248" s="57" t="str">
        <f>IF(B1248="","",YEAR(C1248))</f>
        <v/>
      </c>
      <c r="AF1248" s="57" t="str">
        <f>IF(B1248="","",MONTH(C1248))</f>
        <v/>
      </c>
      <c r="AG1248" s="57">
        <f>IF(ISNUMBER(C1248),C1248,0)</f>
        <v>0.0</v>
      </c>
      <c r="AH1248" s="57" t="str">
        <f>IF(N(W1248)&gt;0,COUNTIF(W$6:W1248,"&gt;0"),"")</f>
        <v/>
      </c>
      <c r="AI1248" s="57" t="str">
        <f>IF(Z1248=1,COUNTIF(Z$6:Z1248,1),"")</f>
        <v/>
      </c>
    </row>
    <row r="1249">
      <c r="A1249" s="54" t="n"/>
      <c r="B1249" s="55" t="str">
        <f>IF(AA1249="","",A1249&amp;"-"&amp;RIGHT("000"&amp;AA1249,4))</f>
        <v/>
      </c>
      <c r="C1249" s="56" t="n"/>
      <c r="D1249" s="54" t="n"/>
      <c r="E1249" s="57" t="str">
        <f>IF(D1249="","",IF(A1249="BL",IFERROR(INDEX(cl_name,MATCH(D1249,cl_code,0))&amp;"","Client inconnu"),IF(A1249="BR",IFERROR(INDEX(fo_name,MATCH(D1249,fo_code,0))&amp;"","Fournisseur inconnu"),IF(A1249="BS",IF(ISNA(MATCH(D1249,p_services,0)),"Service inconnu",D1249&amp;""),""))))</f>
        <v/>
      </c>
      <c r="F1249" s="58" t="n"/>
      <c r="G1249" s="58" t="n"/>
      <c r="H1249" s="59" t="n"/>
      <c r="I1249" s="57" t="str">
        <f>IF(H1249="","",IFERROR(INDEX(art_des,MATCH(H1249,art_ref,0))&amp;"","Article inconnu"))</f>
        <v/>
      </c>
      <c r="J1249" s="60" t="str">
        <f>IF(H1249="","",IFERROR(INDEX(art_unit,MATCH(H1249,art_ref,0))&amp;"",""))</f>
        <v/>
      </c>
      <c r="K1249" s="59" t="n"/>
      <c r="L1249" s="59" t="n"/>
      <c r="M1249" s="61" t="str">
        <f>IF(OR(B1249="",NOT(ISNUMBER(K1249)),NOT(ISNUMBER(L1249))),"",IF(OR(K1249&lt;=0,L1249&lt;=0),"",ROUND(L1249-K1249,6)))</f>
        <v/>
      </c>
      <c r="N1249" s="58" t="n"/>
      <c r="O1249" s="62" t="n"/>
      <c r="P1249" s="63" t="str">
        <f>IF(OR(B1249="",NOT(ISNUMBER(L1249))),"",IF(L1249&lt;=0,"",IFERROR(ROUND(L1249*N(INDEX(art_w,MATCH(H1249,art_ref,0))),3),"")))</f>
        <v/>
      </c>
      <c r="Q1249" s="59" t="n"/>
      <c r="R1249" s="54" t="n"/>
      <c r="S1249" s="59" t="n"/>
      <c r="T1249" s="59" t="n"/>
      <c r="U1249" s="64" t="str">
        <f>IF(OR(B1249="",H1249=""),"",IFERROR(IF(A1249="BL",IF(N(INDEX(art_price,MATCH(H1249,art_ref,0)))=0,"",N(INDEX(art_price,MATCH(H1249,art_ref,0)))),IF(N(INDEX(art_cost,MATCH(H1249,art_ref,0)))=0,"",N(INDEX(art_cost,MATCH(H1249,art_ref,0))))),""))</f>
        <v/>
      </c>
      <c r="V1249" s="64" t="str">
        <f>IF(OR(U1249="",NOT(ISNUMBER(L1249))),"",IF(L1249&lt;=0,"",ROUND(L1249*U1249,2)))</f>
        <v/>
      </c>
      <c r="W1249" s="60" t="str">
        <f>IF(AND(B1249&lt;&gt;"",A1249&lt;&gt;"BS",F1249&lt;&gt;"",H1249&lt;&gt;"",ISNUMBER(K1249),ISNUMBER(L1249)),IF(AND(K1249&gt;0,L1249&gt;0,K1249-L1249&gt;0,COUNTIFS(A1250:A$2005,A1249,F1250:F$2005,F1249,H1250:H$2005,H1249,AA1250:AA$2005,"&gt;0")=0),ROUND(K1249-L1249,6),""),"")</f>
        <v/>
      </c>
      <c r="X1249" s="60" t="str">
        <f>IF(AND(A1249="",C1249="",D1249="",H1249="",L1249=""),"",IF(A1249="","Type manquant",IF(AND(A1249&lt;&gt;"BL",A1249&lt;&gt;"BR",A1249&lt;&gt;"BS"),"Type inconnu (BL, BR ou BS)",IF(AG1249=0,"Date manquante ou invalide",IF(D1249="",IF(A1249="BL","Client manquant",IF(A1249="BR","Fournisseur manquant","Service manquant")),IF(IF(A1249="BL",ISNA(MATCH(D1249,cl_code,0)),IF(A1249="BR",ISNA(MATCH(D1249,fo_code,0)),ISNA(MATCH(D1249,p_services,0)))),IF(A1249="BL","Client inconnu",IF(A1249="BR","Fournisseur inconnu","Service inconnu")),IF(H1249="","Article manquant",IF(ISNA(MATCH(H1249,art_ref,0)),"Article inconnu",IF(OR(NOT(ISNUMBER(L1249)),N(L1249)&lt;=0),"Quantité invalide",IF(AND(K1249&lt;&gt;"",OR(NOT(ISNUMBER(K1249)),N(K1249)&lt;=0)),"Qté commandée invalide",IF(AG1249&lt;SUMPRODUCT(MAX((A$6:A1248=A1249)*AG$6:AG1248)),"Date antérieure au bon précédent",IF(AND(A1249&lt;&gt;"BR",ISNUMBER(M1249),N(M1249)&gt;0),IF(A1249="BL","Livré plus que commandé","Sorti plus que demandé"),"OK"))))))))))))</f>
        <v/>
      </c>
      <c r="Y1249" s="57" t="str">
        <f>IF(AND(OR(A1249="BL",A1249="BR",A1249="BS"),AG1249&gt;0,D1249&lt;&gt;""),A1249&amp;"|"&amp;AG1249&amp;"|"&amp;D1249&amp;"|"&amp;F1249,"")</f>
        <v/>
      </c>
      <c r="Z1249" s="57" t="str">
        <f>IF(Y1249="","",IF(COUNTIF(Y$6:Y1248,Y1249)=0,1,0))</f>
        <v/>
      </c>
      <c r="AA1249" s="57" t="str">
        <f>IF(Y1249="","",IF(Z1249=1,COUNTIFS(A$6:A1249,A1249,Z$6:Z1249,1),INDEX(AA$6:AA1248,MATCH(Y1249,Y$6:Y1248,0))))</f>
        <v/>
      </c>
      <c r="AB1249" s="57" t="str">
        <f>IF(B1249="","",COUNTIF(B$6:B1249,B1249))</f>
        <v/>
      </c>
      <c r="AC1249" s="57" t="str">
        <f>IF(B1249="","",B1249&amp;"#"&amp;AB1249)</f>
        <v/>
      </c>
      <c r="AD1249" s="57" t="str">
        <f>IF(Z1249=1,A1249&amp;AA1249,"")</f>
        <v/>
      </c>
      <c r="AE1249" s="57" t="str">
        <f>IF(B1249="","",YEAR(C1249))</f>
        <v/>
      </c>
      <c r="AF1249" s="57" t="str">
        <f>IF(B1249="","",MONTH(C1249))</f>
        <v/>
      </c>
      <c r="AG1249" s="57">
        <f>IF(ISNUMBER(C1249),C1249,0)</f>
        <v>0.0</v>
      </c>
      <c r="AH1249" s="57" t="str">
        <f>IF(N(W1249)&gt;0,COUNTIF(W$6:W1249,"&gt;0"),"")</f>
        <v/>
      </c>
      <c r="AI1249" s="57" t="str">
        <f>IF(Z1249=1,COUNTIF(Z$6:Z1249,1),"")</f>
        <v/>
      </c>
    </row>
    <row r="1250">
      <c r="A1250" s="54" t="n"/>
      <c r="B1250" s="55" t="str">
        <f>IF(AA1250="","",A1250&amp;"-"&amp;RIGHT("000"&amp;AA1250,4))</f>
        <v/>
      </c>
      <c r="C1250" s="56" t="n"/>
      <c r="D1250" s="54" t="n"/>
      <c r="E1250" s="57" t="str">
        <f>IF(D1250="","",IF(A1250="BL",IFERROR(INDEX(cl_name,MATCH(D1250,cl_code,0))&amp;"","Client inconnu"),IF(A1250="BR",IFERROR(INDEX(fo_name,MATCH(D1250,fo_code,0))&amp;"","Fournisseur inconnu"),IF(A1250="BS",IF(ISNA(MATCH(D1250,p_services,0)),"Service inconnu",D1250&amp;""),""))))</f>
        <v/>
      </c>
      <c r="F1250" s="58" t="n"/>
      <c r="G1250" s="58" t="n"/>
      <c r="H1250" s="59" t="n"/>
      <c r="I1250" s="57" t="str">
        <f>IF(H1250="","",IFERROR(INDEX(art_des,MATCH(H1250,art_ref,0))&amp;"","Article inconnu"))</f>
        <v/>
      </c>
      <c r="J1250" s="60" t="str">
        <f>IF(H1250="","",IFERROR(INDEX(art_unit,MATCH(H1250,art_ref,0))&amp;"",""))</f>
        <v/>
      </c>
      <c r="K1250" s="59" t="n"/>
      <c r="L1250" s="59" t="n"/>
      <c r="M1250" s="61" t="str">
        <f>IF(OR(B1250="",NOT(ISNUMBER(K1250)),NOT(ISNUMBER(L1250))),"",IF(OR(K1250&lt;=0,L1250&lt;=0),"",ROUND(L1250-K1250,6)))</f>
        <v/>
      </c>
      <c r="N1250" s="58" t="n"/>
      <c r="O1250" s="62" t="n"/>
      <c r="P1250" s="63" t="str">
        <f>IF(OR(B1250="",NOT(ISNUMBER(L1250))),"",IF(L1250&lt;=0,"",IFERROR(ROUND(L1250*N(INDEX(art_w,MATCH(H1250,art_ref,0))),3),"")))</f>
        <v/>
      </c>
      <c r="Q1250" s="59" t="n"/>
      <c r="R1250" s="54" t="n"/>
      <c r="S1250" s="59" t="n"/>
      <c r="T1250" s="59" t="n"/>
      <c r="U1250" s="64" t="str">
        <f>IF(OR(B1250="",H1250=""),"",IFERROR(IF(A1250="BL",IF(N(INDEX(art_price,MATCH(H1250,art_ref,0)))=0,"",N(INDEX(art_price,MATCH(H1250,art_ref,0)))),IF(N(INDEX(art_cost,MATCH(H1250,art_ref,0)))=0,"",N(INDEX(art_cost,MATCH(H1250,art_ref,0))))),""))</f>
        <v/>
      </c>
      <c r="V1250" s="64" t="str">
        <f>IF(OR(U1250="",NOT(ISNUMBER(L1250))),"",IF(L1250&lt;=0,"",ROUND(L1250*U1250,2)))</f>
        <v/>
      </c>
      <c r="W1250" s="60" t="str">
        <f>IF(AND(B1250&lt;&gt;"",A1250&lt;&gt;"BS",F1250&lt;&gt;"",H1250&lt;&gt;"",ISNUMBER(K1250),ISNUMBER(L1250)),IF(AND(K1250&gt;0,L1250&gt;0,K1250-L1250&gt;0,COUNTIFS(A1251:A$2005,A1250,F1251:F$2005,F1250,H1251:H$2005,H1250,AA1251:AA$2005,"&gt;0")=0),ROUND(K1250-L1250,6),""),"")</f>
        <v/>
      </c>
      <c r="X1250" s="60" t="str">
        <f>IF(AND(A1250="",C1250="",D1250="",H1250="",L1250=""),"",IF(A1250="","Type manquant",IF(AND(A1250&lt;&gt;"BL",A1250&lt;&gt;"BR",A1250&lt;&gt;"BS"),"Type inconnu (BL, BR ou BS)",IF(AG1250=0,"Date manquante ou invalide",IF(D1250="",IF(A1250="BL","Client manquant",IF(A1250="BR","Fournisseur manquant","Service manquant")),IF(IF(A1250="BL",ISNA(MATCH(D1250,cl_code,0)),IF(A1250="BR",ISNA(MATCH(D1250,fo_code,0)),ISNA(MATCH(D1250,p_services,0)))),IF(A1250="BL","Client inconnu",IF(A1250="BR","Fournisseur inconnu","Service inconnu")),IF(H1250="","Article manquant",IF(ISNA(MATCH(H1250,art_ref,0)),"Article inconnu",IF(OR(NOT(ISNUMBER(L1250)),N(L1250)&lt;=0),"Quantité invalide",IF(AND(K1250&lt;&gt;"",OR(NOT(ISNUMBER(K1250)),N(K1250)&lt;=0)),"Qté commandée invalide",IF(AG1250&lt;SUMPRODUCT(MAX((A$6:A1249=A1250)*AG$6:AG1249)),"Date antérieure au bon précédent",IF(AND(A1250&lt;&gt;"BR",ISNUMBER(M1250),N(M1250)&gt;0),IF(A1250="BL","Livré plus que commandé","Sorti plus que demandé"),"OK"))))))))))))</f>
        <v/>
      </c>
      <c r="Y1250" s="57" t="str">
        <f>IF(AND(OR(A1250="BL",A1250="BR",A1250="BS"),AG1250&gt;0,D1250&lt;&gt;""),A1250&amp;"|"&amp;AG1250&amp;"|"&amp;D1250&amp;"|"&amp;F1250,"")</f>
        <v/>
      </c>
      <c r="Z1250" s="57" t="str">
        <f>IF(Y1250="","",IF(COUNTIF(Y$6:Y1249,Y1250)=0,1,0))</f>
        <v/>
      </c>
      <c r="AA1250" s="57" t="str">
        <f>IF(Y1250="","",IF(Z1250=1,COUNTIFS(A$6:A1250,A1250,Z$6:Z1250,1),INDEX(AA$6:AA1249,MATCH(Y1250,Y$6:Y1249,0))))</f>
        <v/>
      </c>
      <c r="AB1250" s="57" t="str">
        <f>IF(B1250="","",COUNTIF(B$6:B1250,B1250))</f>
        <v/>
      </c>
      <c r="AC1250" s="57" t="str">
        <f>IF(B1250="","",B1250&amp;"#"&amp;AB1250)</f>
        <v/>
      </c>
      <c r="AD1250" s="57" t="str">
        <f>IF(Z1250=1,A1250&amp;AA1250,"")</f>
        <v/>
      </c>
      <c r="AE1250" s="57" t="str">
        <f>IF(B1250="","",YEAR(C1250))</f>
        <v/>
      </c>
      <c r="AF1250" s="57" t="str">
        <f>IF(B1250="","",MONTH(C1250))</f>
        <v/>
      </c>
      <c r="AG1250" s="57">
        <f>IF(ISNUMBER(C1250),C1250,0)</f>
        <v>0.0</v>
      </c>
      <c r="AH1250" s="57" t="str">
        <f>IF(N(W1250)&gt;0,COUNTIF(W$6:W1250,"&gt;0"),"")</f>
        <v/>
      </c>
      <c r="AI1250" s="57" t="str">
        <f>IF(Z1250=1,COUNTIF(Z$6:Z1250,1),"")</f>
        <v/>
      </c>
    </row>
    <row r="1251">
      <c r="A1251" s="54" t="n"/>
      <c r="B1251" s="55" t="str">
        <f>IF(AA1251="","",A1251&amp;"-"&amp;RIGHT("000"&amp;AA1251,4))</f>
        <v/>
      </c>
      <c r="C1251" s="56" t="n"/>
      <c r="D1251" s="54" t="n"/>
      <c r="E1251" s="57" t="str">
        <f>IF(D1251="","",IF(A1251="BL",IFERROR(INDEX(cl_name,MATCH(D1251,cl_code,0))&amp;"","Client inconnu"),IF(A1251="BR",IFERROR(INDEX(fo_name,MATCH(D1251,fo_code,0))&amp;"","Fournisseur inconnu"),IF(A1251="BS",IF(ISNA(MATCH(D1251,p_services,0)),"Service inconnu",D1251&amp;""),""))))</f>
        <v/>
      </c>
      <c r="F1251" s="58" t="n"/>
      <c r="G1251" s="58" t="n"/>
      <c r="H1251" s="59" t="n"/>
      <c r="I1251" s="57" t="str">
        <f>IF(H1251="","",IFERROR(INDEX(art_des,MATCH(H1251,art_ref,0))&amp;"","Article inconnu"))</f>
        <v/>
      </c>
      <c r="J1251" s="60" t="str">
        <f>IF(H1251="","",IFERROR(INDEX(art_unit,MATCH(H1251,art_ref,0))&amp;"",""))</f>
        <v/>
      </c>
      <c r="K1251" s="59" t="n"/>
      <c r="L1251" s="59" t="n"/>
      <c r="M1251" s="61" t="str">
        <f>IF(OR(B1251="",NOT(ISNUMBER(K1251)),NOT(ISNUMBER(L1251))),"",IF(OR(K1251&lt;=0,L1251&lt;=0),"",ROUND(L1251-K1251,6)))</f>
        <v/>
      </c>
      <c r="N1251" s="58" t="n"/>
      <c r="O1251" s="62" t="n"/>
      <c r="P1251" s="63" t="str">
        <f>IF(OR(B1251="",NOT(ISNUMBER(L1251))),"",IF(L1251&lt;=0,"",IFERROR(ROUND(L1251*N(INDEX(art_w,MATCH(H1251,art_ref,0))),3),"")))</f>
        <v/>
      </c>
      <c r="Q1251" s="59" t="n"/>
      <c r="R1251" s="54" t="n"/>
      <c r="S1251" s="59" t="n"/>
      <c r="T1251" s="59" t="n"/>
      <c r="U1251" s="64" t="str">
        <f>IF(OR(B1251="",H1251=""),"",IFERROR(IF(A1251="BL",IF(N(INDEX(art_price,MATCH(H1251,art_ref,0)))=0,"",N(INDEX(art_price,MATCH(H1251,art_ref,0)))),IF(N(INDEX(art_cost,MATCH(H1251,art_ref,0)))=0,"",N(INDEX(art_cost,MATCH(H1251,art_ref,0))))),""))</f>
        <v/>
      </c>
      <c r="V1251" s="64" t="str">
        <f>IF(OR(U1251="",NOT(ISNUMBER(L1251))),"",IF(L1251&lt;=0,"",ROUND(L1251*U1251,2)))</f>
        <v/>
      </c>
      <c r="W1251" s="60" t="str">
        <f>IF(AND(B1251&lt;&gt;"",A1251&lt;&gt;"BS",F1251&lt;&gt;"",H1251&lt;&gt;"",ISNUMBER(K1251),ISNUMBER(L1251)),IF(AND(K1251&gt;0,L1251&gt;0,K1251-L1251&gt;0,COUNTIFS(A1252:A$2005,A1251,F1252:F$2005,F1251,H1252:H$2005,H1251,AA1252:AA$2005,"&gt;0")=0),ROUND(K1251-L1251,6),""),"")</f>
        <v/>
      </c>
      <c r="X1251" s="60" t="str">
        <f>IF(AND(A1251="",C1251="",D1251="",H1251="",L1251=""),"",IF(A1251="","Type manquant",IF(AND(A1251&lt;&gt;"BL",A1251&lt;&gt;"BR",A1251&lt;&gt;"BS"),"Type inconnu (BL, BR ou BS)",IF(AG1251=0,"Date manquante ou invalide",IF(D1251="",IF(A1251="BL","Client manquant",IF(A1251="BR","Fournisseur manquant","Service manquant")),IF(IF(A1251="BL",ISNA(MATCH(D1251,cl_code,0)),IF(A1251="BR",ISNA(MATCH(D1251,fo_code,0)),ISNA(MATCH(D1251,p_services,0)))),IF(A1251="BL","Client inconnu",IF(A1251="BR","Fournisseur inconnu","Service inconnu")),IF(H1251="","Article manquant",IF(ISNA(MATCH(H1251,art_ref,0)),"Article inconnu",IF(OR(NOT(ISNUMBER(L1251)),N(L1251)&lt;=0),"Quantité invalide",IF(AND(K1251&lt;&gt;"",OR(NOT(ISNUMBER(K1251)),N(K1251)&lt;=0)),"Qté commandée invalide",IF(AG1251&lt;SUMPRODUCT(MAX((A$6:A1250=A1251)*AG$6:AG1250)),"Date antérieure au bon précédent",IF(AND(A1251&lt;&gt;"BR",ISNUMBER(M1251),N(M1251)&gt;0),IF(A1251="BL","Livré plus que commandé","Sorti plus que demandé"),"OK"))))))))))))</f>
        <v/>
      </c>
      <c r="Y1251" s="57" t="str">
        <f>IF(AND(OR(A1251="BL",A1251="BR",A1251="BS"),AG1251&gt;0,D1251&lt;&gt;""),A1251&amp;"|"&amp;AG1251&amp;"|"&amp;D1251&amp;"|"&amp;F1251,"")</f>
        <v/>
      </c>
      <c r="Z1251" s="57" t="str">
        <f>IF(Y1251="","",IF(COUNTIF(Y$6:Y1250,Y1251)=0,1,0))</f>
        <v/>
      </c>
      <c r="AA1251" s="57" t="str">
        <f>IF(Y1251="","",IF(Z1251=1,COUNTIFS(A$6:A1251,A1251,Z$6:Z1251,1),INDEX(AA$6:AA1250,MATCH(Y1251,Y$6:Y1250,0))))</f>
        <v/>
      </c>
      <c r="AB1251" s="57" t="str">
        <f>IF(B1251="","",COUNTIF(B$6:B1251,B1251))</f>
        <v/>
      </c>
      <c r="AC1251" s="57" t="str">
        <f>IF(B1251="","",B1251&amp;"#"&amp;AB1251)</f>
        <v/>
      </c>
      <c r="AD1251" s="57" t="str">
        <f>IF(Z1251=1,A1251&amp;AA1251,"")</f>
        <v/>
      </c>
      <c r="AE1251" s="57" t="str">
        <f>IF(B1251="","",YEAR(C1251))</f>
        <v/>
      </c>
      <c r="AF1251" s="57" t="str">
        <f>IF(B1251="","",MONTH(C1251))</f>
        <v/>
      </c>
      <c r="AG1251" s="57">
        <f>IF(ISNUMBER(C1251),C1251,0)</f>
        <v>0.0</v>
      </c>
      <c r="AH1251" s="57" t="str">
        <f>IF(N(W1251)&gt;0,COUNTIF(W$6:W1251,"&gt;0"),"")</f>
        <v/>
      </c>
      <c r="AI1251" s="57" t="str">
        <f>IF(Z1251=1,COUNTIF(Z$6:Z1251,1),"")</f>
        <v/>
      </c>
    </row>
    <row r="1252">
      <c r="A1252" s="54" t="n"/>
      <c r="B1252" s="55" t="str">
        <f>IF(AA1252="","",A1252&amp;"-"&amp;RIGHT("000"&amp;AA1252,4))</f>
        <v/>
      </c>
      <c r="C1252" s="56" t="n"/>
      <c r="D1252" s="54" t="n"/>
      <c r="E1252" s="57" t="str">
        <f>IF(D1252="","",IF(A1252="BL",IFERROR(INDEX(cl_name,MATCH(D1252,cl_code,0))&amp;"","Client inconnu"),IF(A1252="BR",IFERROR(INDEX(fo_name,MATCH(D1252,fo_code,0))&amp;"","Fournisseur inconnu"),IF(A1252="BS",IF(ISNA(MATCH(D1252,p_services,0)),"Service inconnu",D1252&amp;""),""))))</f>
        <v/>
      </c>
      <c r="F1252" s="58" t="n"/>
      <c r="G1252" s="58" t="n"/>
      <c r="H1252" s="59" t="n"/>
      <c r="I1252" s="57" t="str">
        <f>IF(H1252="","",IFERROR(INDEX(art_des,MATCH(H1252,art_ref,0))&amp;"","Article inconnu"))</f>
        <v/>
      </c>
      <c r="J1252" s="60" t="str">
        <f>IF(H1252="","",IFERROR(INDEX(art_unit,MATCH(H1252,art_ref,0))&amp;"",""))</f>
        <v/>
      </c>
      <c r="K1252" s="59" t="n"/>
      <c r="L1252" s="59" t="n"/>
      <c r="M1252" s="61" t="str">
        <f>IF(OR(B1252="",NOT(ISNUMBER(K1252)),NOT(ISNUMBER(L1252))),"",IF(OR(K1252&lt;=0,L1252&lt;=0),"",ROUND(L1252-K1252,6)))</f>
        <v/>
      </c>
      <c r="N1252" s="58" t="n"/>
      <c r="O1252" s="62" t="n"/>
      <c r="P1252" s="63" t="str">
        <f>IF(OR(B1252="",NOT(ISNUMBER(L1252))),"",IF(L1252&lt;=0,"",IFERROR(ROUND(L1252*N(INDEX(art_w,MATCH(H1252,art_ref,0))),3),"")))</f>
        <v/>
      </c>
      <c r="Q1252" s="59" t="n"/>
      <c r="R1252" s="54" t="n"/>
      <c r="S1252" s="59" t="n"/>
      <c r="T1252" s="59" t="n"/>
      <c r="U1252" s="64" t="str">
        <f>IF(OR(B1252="",H1252=""),"",IFERROR(IF(A1252="BL",IF(N(INDEX(art_price,MATCH(H1252,art_ref,0)))=0,"",N(INDEX(art_price,MATCH(H1252,art_ref,0)))),IF(N(INDEX(art_cost,MATCH(H1252,art_ref,0)))=0,"",N(INDEX(art_cost,MATCH(H1252,art_ref,0))))),""))</f>
        <v/>
      </c>
      <c r="V1252" s="64" t="str">
        <f>IF(OR(U1252="",NOT(ISNUMBER(L1252))),"",IF(L1252&lt;=0,"",ROUND(L1252*U1252,2)))</f>
        <v/>
      </c>
      <c r="W1252" s="60" t="str">
        <f>IF(AND(B1252&lt;&gt;"",A1252&lt;&gt;"BS",F1252&lt;&gt;"",H1252&lt;&gt;"",ISNUMBER(K1252),ISNUMBER(L1252)),IF(AND(K1252&gt;0,L1252&gt;0,K1252-L1252&gt;0,COUNTIFS(A1253:A$2005,A1252,F1253:F$2005,F1252,H1253:H$2005,H1252,AA1253:AA$2005,"&gt;0")=0),ROUND(K1252-L1252,6),""),"")</f>
        <v/>
      </c>
      <c r="X1252" s="60" t="str">
        <f>IF(AND(A1252="",C1252="",D1252="",H1252="",L1252=""),"",IF(A1252="","Type manquant",IF(AND(A1252&lt;&gt;"BL",A1252&lt;&gt;"BR",A1252&lt;&gt;"BS"),"Type inconnu (BL, BR ou BS)",IF(AG1252=0,"Date manquante ou invalide",IF(D1252="",IF(A1252="BL","Client manquant",IF(A1252="BR","Fournisseur manquant","Service manquant")),IF(IF(A1252="BL",ISNA(MATCH(D1252,cl_code,0)),IF(A1252="BR",ISNA(MATCH(D1252,fo_code,0)),ISNA(MATCH(D1252,p_services,0)))),IF(A1252="BL","Client inconnu",IF(A1252="BR","Fournisseur inconnu","Service inconnu")),IF(H1252="","Article manquant",IF(ISNA(MATCH(H1252,art_ref,0)),"Article inconnu",IF(OR(NOT(ISNUMBER(L1252)),N(L1252)&lt;=0),"Quantité invalide",IF(AND(K1252&lt;&gt;"",OR(NOT(ISNUMBER(K1252)),N(K1252)&lt;=0)),"Qté commandée invalide",IF(AG1252&lt;SUMPRODUCT(MAX((A$6:A1251=A1252)*AG$6:AG1251)),"Date antérieure au bon précédent",IF(AND(A1252&lt;&gt;"BR",ISNUMBER(M1252),N(M1252)&gt;0),IF(A1252="BL","Livré plus que commandé","Sorti plus que demandé"),"OK"))))))))))))</f>
        <v/>
      </c>
      <c r="Y1252" s="57" t="str">
        <f>IF(AND(OR(A1252="BL",A1252="BR",A1252="BS"),AG1252&gt;0,D1252&lt;&gt;""),A1252&amp;"|"&amp;AG1252&amp;"|"&amp;D1252&amp;"|"&amp;F1252,"")</f>
        <v/>
      </c>
      <c r="Z1252" s="57" t="str">
        <f>IF(Y1252="","",IF(COUNTIF(Y$6:Y1251,Y1252)=0,1,0))</f>
        <v/>
      </c>
      <c r="AA1252" s="57" t="str">
        <f>IF(Y1252="","",IF(Z1252=1,COUNTIFS(A$6:A1252,A1252,Z$6:Z1252,1),INDEX(AA$6:AA1251,MATCH(Y1252,Y$6:Y1251,0))))</f>
        <v/>
      </c>
      <c r="AB1252" s="57" t="str">
        <f>IF(B1252="","",COUNTIF(B$6:B1252,B1252))</f>
        <v/>
      </c>
      <c r="AC1252" s="57" t="str">
        <f>IF(B1252="","",B1252&amp;"#"&amp;AB1252)</f>
        <v/>
      </c>
      <c r="AD1252" s="57" t="str">
        <f>IF(Z1252=1,A1252&amp;AA1252,"")</f>
        <v/>
      </c>
      <c r="AE1252" s="57" t="str">
        <f>IF(B1252="","",YEAR(C1252))</f>
        <v/>
      </c>
      <c r="AF1252" s="57" t="str">
        <f>IF(B1252="","",MONTH(C1252))</f>
        <v/>
      </c>
      <c r="AG1252" s="57">
        <f>IF(ISNUMBER(C1252),C1252,0)</f>
        <v>0.0</v>
      </c>
      <c r="AH1252" s="57" t="str">
        <f>IF(N(W1252)&gt;0,COUNTIF(W$6:W1252,"&gt;0"),"")</f>
        <v/>
      </c>
      <c r="AI1252" s="57" t="str">
        <f>IF(Z1252=1,COUNTIF(Z$6:Z1252,1),"")</f>
        <v/>
      </c>
    </row>
    <row r="1253">
      <c r="A1253" s="54" t="n"/>
      <c r="B1253" s="55" t="str">
        <f>IF(AA1253="","",A1253&amp;"-"&amp;RIGHT("000"&amp;AA1253,4))</f>
        <v/>
      </c>
      <c r="C1253" s="56" t="n"/>
      <c r="D1253" s="54" t="n"/>
      <c r="E1253" s="57" t="str">
        <f>IF(D1253="","",IF(A1253="BL",IFERROR(INDEX(cl_name,MATCH(D1253,cl_code,0))&amp;"","Client inconnu"),IF(A1253="BR",IFERROR(INDEX(fo_name,MATCH(D1253,fo_code,0))&amp;"","Fournisseur inconnu"),IF(A1253="BS",IF(ISNA(MATCH(D1253,p_services,0)),"Service inconnu",D1253&amp;""),""))))</f>
        <v/>
      </c>
      <c r="F1253" s="58" t="n"/>
      <c r="G1253" s="58" t="n"/>
      <c r="H1253" s="59" t="n"/>
      <c r="I1253" s="57" t="str">
        <f>IF(H1253="","",IFERROR(INDEX(art_des,MATCH(H1253,art_ref,0))&amp;"","Article inconnu"))</f>
        <v/>
      </c>
      <c r="J1253" s="60" t="str">
        <f>IF(H1253="","",IFERROR(INDEX(art_unit,MATCH(H1253,art_ref,0))&amp;"",""))</f>
        <v/>
      </c>
      <c r="K1253" s="59" t="n"/>
      <c r="L1253" s="59" t="n"/>
      <c r="M1253" s="61" t="str">
        <f>IF(OR(B1253="",NOT(ISNUMBER(K1253)),NOT(ISNUMBER(L1253))),"",IF(OR(K1253&lt;=0,L1253&lt;=0),"",ROUND(L1253-K1253,6)))</f>
        <v/>
      </c>
      <c r="N1253" s="58" t="n"/>
      <c r="O1253" s="62" t="n"/>
      <c r="P1253" s="63" t="str">
        <f>IF(OR(B1253="",NOT(ISNUMBER(L1253))),"",IF(L1253&lt;=0,"",IFERROR(ROUND(L1253*N(INDEX(art_w,MATCH(H1253,art_ref,0))),3),"")))</f>
        <v/>
      </c>
      <c r="Q1253" s="59" t="n"/>
      <c r="R1253" s="54" t="n"/>
      <c r="S1253" s="59" t="n"/>
      <c r="T1253" s="59" t="n"/>
      <c r="U1253" s="64" t="str">
        <f>IF(OR(B1253="",H1253=""),"",IFERROR(IF(A1253="BL",IF(N(INDEX(art_price,MATCH(H1253,art_ref,0)))=0,"",N(INDEX(art_price,MATCH(H1253,art_ref,0)))),IF(N(INDEX(art_cost,MATCH(H1253,art_ref,0)))=0,"",N(INDEX(art_cost,MATCH(H1253,art_ref,0))))),""))</f>
        <v/>
      </c>
      <c r="V1253" s="64" t="str">
        <f>IF(OR(U1253="",NOT(ISNUMBER(L1253))),"",IF(L1253&lt;=0,"",ROUND(L1253*U1253,2)))</f>
        <v/>
      </c>
      <c r="W1253" s="60" t="str">
        <f>IF(AND(B1253&lt;&gt;"",A1253&lt;&gt;"BS",F1253&lt;&gt;"",H1253&lt;&gt;"",ISNUMBER(K1253),ISNUMBER(L1253)),IF(AND(K1253&gt;0,L1253&gt;0,K1253-L1253&gt;0,COUNTIFS(A1254:A$2005,A1253,F1254:F$2005,F1253,H1254:H$2005,H1253,AA1254:AA$2005,"&gt;0")=0),ROUND(K1253-L1253,6),""),"")</f>
        <v/>
      </c>
      <c r="X1253" s="60" t="str">
        <f>IF(AND(A1253="",C1253="",D1253="",H1253="",L1253=""),"",IF(A1253="","Type manquant",IF(AND(A1253&lt;&gt;"BL",A1253&lt;&gt;"BR",A1253&lt;&gt;"BS"),"Type inconnu (BL, BR ou BS)",IF(AG1253=0,"Date manquante ou invalide",IF(D1253="",IF(A1253="BL","Client manquant",IF(A1253="BR","Fournisseur manquant","Service manquant")),IF(IF(A1253="BL",ISNA(MATCH(D1253,cl_code,0)),IF(A1253="BR",ISNA(MATCH(D1253,fo_code,0)),ISNA(MATCH(D1253,p_services,0)))),IF(A1253="BL","Client inconnu",IF(A1253="BR","Fournisseur inconnu","Service inconnu")),IF(H1253="","Article manquant",IF(ISNA(MATCH(H1253,art_ref,0)),"Article inconnu",IF(OR(NOT(ISNUMBER(L1253)),N(L1253)&lt;=0),"Quantité invalide",IF(AND(K1253&lt;&gt;"",OR(NOT(ISNUMBER(K1253)),N(K1253)&lt;=0)),"Qté commandée invalide",IF(AG1253&lt;SUMPRODUCT(MAX((A$6:A1252=A1253)*AG$6:AG1252)),"Date antérieure au bon précédent",IF(AND(A1253&lt;&gt;"BR",ISNUMBER(M1253),N(M1253)&gt;0),IF(A1253="BL","Livré plus que commandé","Sorti plus que demandé"),"OK"))))))))))))</f>
        <v/>
      </c>
      <c r="Y1253" s="57" t="str">
        <f>IF(AND(OR(A1253="BL",A1253="BR",A1253="BS"),AG1253&gt;0,D1253&lt;&gt;""),A1253&amp;"|"&amp;AG1253&amp;"|"&amp;D1253&amp;"|"&amp;F1253,"")</f>
        <v/>
      </c>
      <c r="Z1253" s="57" t="str">
        <f>IF(Y1253="","",IF(COUNTIF(Y$6:Y1252,Y1253)=0,1,0))</f>
        <v/>
      </c>
      <c r="AA1253" s="57" t="str">
        <f>IF(Y1253="","",IF(Z1253=1,COUNTIFS(A$6:A1253,A1253,Z$6:Z1253,1),INDEX(AA$6:AA1252,MATCH(Y1253,Y$6:Y1252,0))))</f>
        <v/>
      </c>
      <c r="AB1253" s="57" t="str">
        <f>IF(B1253="","",COUNTIF(B$6:B1253,B1253))</f>
        <v/>
      </c>
      <c r="AC1253" s="57" t="str">
        <f>IF(B1253="","",B1253&amp;"#"&amp;AB1253)</f>
        <v/>
      </c>
      <c r="AD1253" s="57" t="str">
        <f>IF(Z1253=1,A1253&amp;AA1253,"")</f>
        <v/>
      </c>
      <c r="AE1253" s="57" t="str">
        <f>IF(B1253="","",YEAR(C1253))</f>
        <v/>
      </c>
      <c r="AF1253" s="57" t="str">
        <f>IF(B1253="","",MONTH(C1253))</f>
        <v/>
      </c>
      <c r="AG1253" s="57">
        <f>IF(ISNUMBER(C1253),C1253,0)</f>
        <v>0.0</v>
      </c>
      <c r="AH1253" s="57" t="str">
        <f>IF(N(W1253)&gt;0,COUNTIF(W$6:W1253,"&gt;0"),"")</f>
        <v/>
      </c>
      <c r="AI1253" s="57" t="str">
        <f>IF(Z1253=1,COUNTIF(Z$6:Z1253,1),"")</f>
        <v/>
      </c>
    </row>
    <row r="1254">
      <c r="A1254" s="54" t="n"/>
      <c r="B1254" s="55" t="str">
        <f>IF(AA1254="","",A1254&amp;"-"&amp;RIGHT("000"&amp;AA1254,4))</f>
        <v/>
      </c>
      <c r="C1254" s="56" t="n"/>
      <c r="D1254" s="54" t="n"/>
      <c r="E1254" s="57" t="str">
        <f>IF(D1254="","",IF(A1254="BL",IFERROR(INDEX(cl_name,MATCH(D1254,cl_code,0))&amp;"","Client inconnu"),IF(A1254="BR",IFERROR(INDEX(fo_name,MATCH(D1254,fo_code,0))&amp;"","Fournisseur inconnu"),IF(A1254="BS",IF(ISNA(MATCH(D1254,p_services,0)),"Service inconnu",D1254&amp;""),""))))</f>
        <v/>
      </c>
      <c r="F1254" s="58" t="n"/>
      <c r="G1254" s="58" t="n"/>
      <c r="H1254" s="59" t="n"/>
      <c r="I1254" s="57" t="str">
        <f>IF(H1254="","",IFERROR(INDEX(art_des,MATCH(H1254,art_ref,0))&amp;"","Article inconnu"))</f>
        <v/>
      </c>
      <c r="J1254" s="60" t="str">
        <f>IF(H1254="","",IFERROR(INDEX(art_unit,MATCH(H1254,art_ref,0))&amp;"",""))</f>
        <v/>
      </c>
      <c r="K1254" s="59" t="n"/>
      <c r="L1254" s="59" t="n"/>
      <c r="M1254" s="61" t="str">
        <f>IF(OR(B1254="",NOT(ISNUMBER(K1254)),NOT(ISNUMBER(L1254))),"",IF(OR(K1254&lt;=0,L1254&lt;=0),"",ROUND(L1254-K1254,6)))</f>
        <v/>
      </c>
      <c r="N1254" s="58" t="n"/>
      <c r="O1254" s="62" t="n"/>
      <c r="P1254" s="63" t="str">
        <f>IF(OR(B1254="",NOT(ISNUMBER(L1254))),"",IF(L1254&lt;=0,"",IFERROR(ROUND(L1254*N(INDEX(art_w,MATCH(H1254,art_ref,0))),3),"")))</f>
        <v/>
      </c>
      <c r="Q1254" s="59" t="n"/>
      <c r="R1254" s="54" t="n"/>
      <c r="S1254" s="59" t="n"/>
      <c r="T1254" s="59" t="n"/>
      <c r="U1254" s="64" t="str">
        <f>IF(OR(B1254="",H1254=""),"",IFERROR(IF(A1254="BL",IF(N(INDEX(art_price,MATCH(H1254,art_ref,0)))=0,"",N(INDEX(art_price,MATCH(H1254,art_ref,0)))),IF(N(INDEX(art_cost,MATCH(H1254,art_ref,0)))=0,"",N(INDEX(art_cost,MATCH(H1254,art_ref,0))))),""))</f>
        <v/>
      </c>
      <c r="V1254" s="64" t="str">
        <f>IF(OR(U1254="",NOT(ISNUMBER(L1254))),"",IF(L1254&lt;=0,"",ROUND(L1254*U1254,2)))</f>
        <v/>
      </c>
      <c r="W1254" s="60" t="str">
        <f>IF(AND(B1254&lt;&gt;"",A1254&lt;&gt;"BS",F1254&lt;&gt;"",H1254&lt;&gt;"",ISNUMBER(K1254),ISNUMBER(L1254)),IF(AND(K1254&gt;0,L1254&gt;0,K1254-L1254&gt;0,COUNTIFS(A1255:A$2005,A1254,F1255:F$2005,F1254,H1255:H$2005,H1254,AA1255:AA$2005,"&gt;0")=0),ROUND(K1254-L1254,6),""),"")</f>
        <v/>
      </c>
      <c r="X1254" s="60" t="str">
        <f>IF(AND(A1254="",C1254="",D1254="",H1254="",L1254=""),"",IF(A1254="","Type manquant",IF(AND(A1254&lt;&gt;"BL",A1254&lt;&gt;"BR",A1254&lt;&gt;"BS"),"Type inconnu (BL, BR ou BS)",IF(AG1254=0,"Date manquante ou invalide",IF(D1254="",IF(A1254="BL","Client manquant",IF(A1254="BR","Fournisseur manquant","Service manquant")),IF(IF(A1254="BL",ISNA(MATCH(D1254,cl_code,0)),IF(A1254="BR",ISNA(MATCH(D1254,fo_code,0)),ISNA(MATCH(D1254,p_services,0)))),IF(A1254="BL","Client inconnu",IF(A1254="BR","Fournisseur inconnu","Service inconnu")),IF(H1254="","Article manquant",IF(ISNA(MATCH(H1254,art_ref,0)),"Article inconnu",IF(OR(NOT(ISNUMBER(L1254)),N(L1254)&lt;=0),"Quantité invalide",IF(AND(K1254&lt;&gt;"",OR(NOT(ISNUMBER(K1254)),N(K1254)&lt;=0)),"Qté commandée invalide",IF(AG1254&lt;SUMPRODUCT(MAX((A$6:A1253=A1254)*AG$6:AG1253)),"Date antérieure au bon précédent",IF(AND(A1254&lt;&gt;"BR",ISNUMBER(M1254),N(M1254)&gt;0),IF(A1254="BL","Livré plus que commandé","Sorti plus que demandé"),"OK"))))))))))))</f>
        <v/>
      </c>
      <c r="Y1254" s="57" t="str">
        <f>IF(AND(OR(A1254="BL",A1254="BR",A1254="BS"),AG1254&gt;0,D1254&lt;&gt;""),A1254&amp;"|"&amp;AG1254&amp;"|"&amp;D1254&amp;"|"&amp;F1254,"")</f>
        <v/>
      </c>
      <c r="Z1254" s="57" t="str">
        <f>IF(Y1254="","",IF(COUNTIF(Y$6:Y1253,Y1254)=0,1,0))</f>
        <v/>
      </c>
      <c r="AA1254" s="57" t="str">
        <f>IF(Y1254="","",IF(Z1254=1,COUNTIFS(A$6:A1254,A1254,Z$6:Z1254,1),INDEX(AA$6:AA1253,MATCH(Y1254,Y$6:Y1253,0))))</f>
        <v/>
      </c>
      <c r="AB1254" s="57" t="str">
        <f>IF(B1254="","",COUNTIF(B$6:B1254,B1254))</f>
        <v/>
      </c>
      <c r="AC1254" s="57" t="str">
        <f>IF(B1254="","",B1254&amp;"#"&amp;AB1254)</f>
        <v/>
      </c>
      <c r="AD1254" s="57" t="str">
        <f>IF(Z1254=1,A1254&amp;AA1254,"")</f>
        <v/>
      </c>
      <c r="AE1254" s="57" t="str">
        <f>IF(B1254="","",YEAR(C1254))</f>
        <v/>
      </c>
      <c r="AF1254" s="57" t="str">
        <f>IF(B1254="","",MONTH(C1254))</f>
        <v/>
      </c>
      <c r="AG1254" s="57">
        <f>IF(ISNUMBER(C1254),C1254,0)</f>
        <v>0.0</v>
      </c>
      <c r="AH1254" s="57" t="str">
        <f>IF(N(W1254)&gt;0,COUNTIF(W$6:W1254,"&gt;0"),"")</f>
        <v/>
      </c>
      <c r="AI1254" s="57" t="str">
        <f>IF(Z1254=1,COUNTIF(Z$6:Z1254,1),"")</f>
        <v/>
      </c>
    </row>
    <row r="1255">
      <c r="A1255" s="54" t="n"/>
      <c r="B1255" s="55" t="str">
        <f>IF(AA1255="","",A1255&amp;"-"&amp;RIGHT("000"&amp;AA1255,4))</f>
        <v/>
      </c>
      <c r="C1255" s="56" t="n"/>
      <c r="D1255" s="54" t="n"/>
      <c r="E1255" s="57" t="str">
        <f>IF(D1255="","",IF(A1255="BL",IFERROR(INDEX(cl_name,MATCH(D1255,cl_code,0))&amp;"","Client inconnu"),IF(A1255="BR",IFERROR(INDEX(fo_name,MATCH(D1255,fo_code,0))&amp;"","Fournisseur inconnu"),IF(A1255="BS",IF(ISNA(MATCH(D1255,p_services,0)),"Service inconnu",D1255&amp;""),""))))</f>
        <v/>
      </c>
      <c r="F1255" s="58" t="n"/>
      <c r="G1255" s="58" t="n"/>
      <c r="H1255" s="59" t="n"/>
      <c r="I1255" s="57" t="str">
        <f>IF(H1255="","",IFERROR(INDEX(art_des,MATCH(H1255,art_ref,0))&amp;"","Article inconnu"))</f>
        <v/>
      </c>
      <c r="J1255" s="60" t="str">
        <f>IF(H1255="","",IFERROR(INDEX(art_unit,MATCH(H1255,art_ref,0))&amp;"",""))</f>
        <v/>
      </c>
      <c r="K1255" s="59" t="n"/>
      <c r="L1255" s="59" t="n"/>
      <c r="M1255" s="61" t="str">
        <f>IF(OR(B1255="",NOT(ISNUMBER(K1255)),NOT(ISNUMBER(L1255))),"",IF(OR(K1255&lt;=0,L1255&lt;=0),"",ROUND(L1255-K1255,6)))</f>
        <v/>
      </c>
      <c r="N1255" s="58" t="n"/>
      <c r="O1255" s="62" t="n"/>
      <c r="P1255" s="63" t="str">
        <f>IF(OR(B1255="",NOT(ISNUMBER(L1255))),"",IF(L1255&lt;=0,"",IFERROR(ROUND(L1255*N(INDEX(art_w,MATCH(H1255,art_ref,0))),3),"")))</f>
        <v/>
      </c>
      <c r="Q1255" s="59" t="n"/>
      <c r="R1255" s="54" t="n"/>
      <c r="S1255" s="59" t="n"/>
      <c r="T1255" s="59" t="n"/>
      <c r="U1255" s="64" t="str">
        <f>IF(OR(B1255="",H1255=""),"",IFERROR(IF(A1255="BL",IF(N(INDEX(art_price,MATCH(H1255,art_ref,0)))=0,"",N(INDEX(art_price,MATCH(H1255,art_ref,0)))),IF(N(INDEX(art_cost,MATCH(H1255,art_ref,0)))=0,"",N(INDEX(art_cost,MATCH(H1255,art_ref,0))))),""))</f>
        <v/>
      </c>
      <c r="V1255" s="64" t="str">
        <f>IF(OR(U1255="",NOT(ISNUMBER(L1255))),"",IF(L1255&lt;=0,"",ROUND(L1255*U1255,2)))</f>
        <v/>
      </c>
      <c r="W1255" s="60" t="str">
        <f>IF(AND(B1255&lt;&gt;"",A1255&lt;&gt;"BS",F1255&lt;&gt;"",H1255&lt;&gt;"",ISNUMBER(K1255),ISNUMBER(L1255)),IF(AND(K1255&gt;0,L1255&gt;0,K1255-L1255&gt;0,COUNTIFS(A1256:A$2005,A1255,F1256:F$2005,F1255,H1256:H$2005,H1255,AA1256:AA$2005,"&gt;0")=0),ROUND(K1255-L1255,6),""),"")</f>
        <v/>
      </c>
      <c r="X1255" s="60" t="str">
        <f>IF(AND(A1255="",C1255="",D1255="",H1255="",L1255=""),"",IF(A1255="","Type manquant",IF(AND(A1255&lt;&gt;"BL",A1255&lt;&gt;"BR",A1255&lt;&gt;"BS"),"Type inconnu (BL, BR ou BS)",IF(AG1255=0,"Date manquante ou invalide",IF(D1255="",IF(A1255="BL","Client manquant",IF(A1255="BR","Fournisseur manquant","Service manquant")),IF(IF(A1255="BL",ISNA(MATCH(D1255,cl_code,0)),IF(A1255="BR",ISNA(MATCH(D1255,fo_code,0)),ISNA(MATCH(D1255,p_services,0)))),IF(A1255="BL","Client inconnu",IF(A1255="BR","Fournisseur inconnu","Service inconnu")),IF(H1255="","Article manquant",IF(ISNA(MATCH(H1255,art_ref,0)),"Article inconnu",IF(OR(NOT(ISNUMBER(L1255)),N(L1255)&lt;=0),"Quantité invalide",IF(AND(K1255&lt;&gt;"",OR(NOT(ISNUMBER(K1255)),N(K1255)&lt;=0)),"Qté commandée invalide",IF(AG1255&lt;SUMPRODUCT(MAX((A$6:A1254=A1255)*AG$6:AG1254)),"Date antérieure au bon précédent",IF(AND(A1255&lt;&gt;"BR",ISNUMBER(M1255),N(M1255)&gt;0),IF(A1255="BL","Livré plus que commandé","Sorti plus que demandé"),"OK"))))))))))))</f>
        <v/>
      </c>
      <c r="Y1255" s="57" t="str">
        <f>IF(AND(OR(A1255="BL",A1255="BR",A1255="BS"),AG1255&gt;0,D1255&lt;&gt;""),A1255&amp;"|"&amp;AG1255&amp;"|"&amp;D1255&amp;"|"&amp;F1255,"")</f>
        <v/>
      </c>
      <c r="Z1255" s="57" t="str">
        <f>IF(Y1255="","",IF(COUNTIF(Y$6:Y1254,Y1255)=0,1,0))</f>
        <v/>
      </c>
      <c r="AA1255" s="57" t="str">
        <f>IF(Y1255="","",IF(Z1255=1,COUNTIFS(A$6:A1255,A1255,Z$6:Z1255,1),INDEX(AA$6:AA1254,MATCH(Y1255,Y$6:Y1254,0))))</f>
        <v/>
      </c>
      <c r="AB1255" s="57" t="str">
        <f>IF(B1255="","",COUNTIF(B$6:B1255,B1255))</f>
        <v/>
      </c>
      <c r="AC1255" s="57" t="str">
        <f>IF(B1255="","",B1255&amp;"#"&amp;AB1255)</f>
        <v/>
      </c>
      <c r="AD1255" s="57" t="str">
        <f>IF(Z1255=1,A1255&amp;AA1255,"")</f>
        <v/>
      </c>
      <c r="AE1255" s="57" t="str">
        <f>IF(B1255="","",YEAR(C1255))</f>
        <v/>
      </c>
      <c r="AF1255" s="57" t="str">
        <f>IF(B1255="","",MONTH(C1255))</f>
        <v/>
      </c>
      <c r="AG1255" s="57">
        <f>IF(ISNUMBER(C1255),C1255,0)</f>
        <v>0.0</v>
      </c>
      <c r="AH1255" s="57" t="str">
        <f>IF(N(W1255)&gt;0,COUNTIF(W$6:W1255,"&gt;0"),"")</f>
        <v/>
      </c>
      <c r="AI1255" s="57" t="str">
        <f>IF(Z1255=1,COUNTIF(Z$6:Z1255,1),"")</f>
        <v/>
      </c>
    </row>
    <row r="1256">
      <c r="A1256" s="54" t="n"/>
      <c r="B1256" s="55" t="str">
        <f>IF(AA1256="","",A1256&amp;"-"&amp;RIGHT("000"&amp;AA1256,4))</f>
        <v/>
      </c>
      <c r="C1256" s="56" t="n"/>
      <c r="D1256" s="54" t="n"/>
      <c r="E1256" s="57" t="str">
        <f>IF(D1256="","",IF(A1256="BL",IFERROR(INDEX(cl_name,MATCH(D1256,cl_code,0))&amp;"","Client inconnu"),IF(A1256="BR",IFERROR(INDEX(fo_name,MATCH(D1256,fo_code,0))&amp;"","Fournisseur inconnu"),IF(A1256="BS",IF(ISNA(MATCH(D1256,p_services,0)),"Service inconnu",D1256&amp;""),""))))</f>
        <v/>
      </c>
      <c r="F1256" s="58" t="n"/>
      <c r="G1256" s="58" t="n"/>
      <c r="H1256" s="59" t="n"/>
      <c r="I1256" s="57" t="str">
        <f>IF(H1256="","",IFERROR(INDEX(art_des,MATCH(H1256,art_ref,0))&amp;"","Article inconnu"))</f>
        <v/>
      </c>
      <c r="J1256" s="60" t="str">
        <f>IF(H1256="","",IFERROR(INDEX(art_unit,MATCH(H1256,art_ref,0))&amp;"",""))</f>
        <v/>
      </c>
      <c r="K1256" s="59" t="n"/>
      <c r="L1256" s="59" t="n"/>
      <c r="M1256" s="61" t="str">
        <f>IF(OR(B1256="",NOT(ISNUMBER(K1256)),NOT(ISNUMBER(L1256))),"",IF(OR(K1256&lt;=0,L1256&lt;=0),"",ROUND(L1256-K1256,6)))</f>
        <v/>
      </c>
      <c r="N1256" s="58" t="n"/>
      <c r="O1256" s="62" t="n"/>
      <c r="P1256" s="63" t="str">
        <f>IF(OR(B1256="",NOT(ISNUMBER(L1256))),"",IF(L1256&lt;=0,"",IFERROR(ROUND(L1256*N(INDEX(art_w,MATCH(H1256,art_ref,0))),3),"")))</f>
        <v/>
      </c>
      <c r="Q1256" s="59" t="n"/>
      <c r="R1256" s="54" t="n"/>
      <c r="S1256" s="59" t="n"/>
      <c r="T1256" s="59" t="n"/>
      <c r="U1256" s="64" t="str">
        <f>IF(OR(B1256="",H1256=""),"",IFERROR(IF(A1256="BL",IF(N(INDEX(art_price,MATCH(H1256,art_ref,0)))=0,"",N(INDEX(art_price,MATCH(H1256,art_ref,0)))),IF(N(INDEX(art_cost,MATCH(H1256,art_ref,0)))=0,"",N(INDEX(art_cost,MATCH(H1256,art_ref,0))))),""))</f>
        <v/>
      </c>
      <c r="V1256" s="64" t="str">
        <f>IF(OR(U1256="",NOT(ISNUMBER(L1256))),"",IF(L1256&lt;=0,"",ROUND(L1256*U1256,2)))</f>
        <v/>
      </c>
      <c r="W1256" s="60" t="str">
        <f>IF(AND(B1256&lt;&gt;"",A1256&lt;&gt;"BS",F1256&lt;&gt;"",H1256&lt;&gt;"",ISNUMBER(K1256),ISNUMBER(L1256)),IF(AND(K1256&gt;0,L1256&gt;0,K1256-L1256&gt;0,COUNTIFS(A1257:A$2005,A1256,F1257:F$2005,F1256,H1257:H$2005,H1256,AA1257:AA$2005,"&gt;0")=0),ROUND(K1256-L1256,6),""),"")</f>
        <v/>
      </c>
      <c r="X1256" s="60" t="str">
        <f>IF(AND(A1256="",C1256="",D1256="",H1256="",L1256=""),"",IF(A1256="","Type manquant",IF(AND(A1256&lt;&gt;"BL",A1256&lt;&gt;"BR",A1256&lt;&gt;"BS"),"Type inconnu (BL, BR ou BS)",IF(AG1256=0,"Date manquante ou invalide",IF(D1256="",IF(A1256="BL","Client manquant",IF(A1256="BR","Fournisseur manquant","Service manquant")),IF(IF(A1256="BL",ISNA(MATCH(D1256,cl_code,0)),IF(A1256="BR",ISNA(MATCH(D1256,fo_code,0)),ISNA(MATCH(D1256,p_services,0)))),IF(A1256="BL","Client inconnu",IF(A1256="BR","Fournisseur inconnu","Service inconnu")),IF(H1256="","Article manquant",IF(ISNA(MATCH(H1256,art_ref,0)),"Article inconnu",IF(OR(NOT(ISNUMBER(L1256)),N(L1256)&lt;=0),"Quantité invalide",IF(AND(K1256&lt;&gt;"",OR(NOT(ISNUMBER(K1256)),N(K1256)&lt;=0)),"Qté commandée invalide",IF(AG1256&lt;SUMPRODUCT(MAX((A$6:A1255=A1256)*AG$6:AG1255)),"Date antérieure au bon précédent",IF(AND(A1256&lt;&gt;"BR",ISNUMBER(M1256),N(M1256)&gt;0),IF(A1256="BL","Livré plus que commandé","Sorti plus que demandé"),"OK"))))))))))))</f>
        <v/>
      </c>
      <c r="Y1256" s="57" t="str">
        <f>IF(AND(OR(A1256="BL",A1256="BR",A1256="BS"),AG1256&gt;0,D1256&lt;&gt;""),A1256&amp;"|"&amp;AG1256&amp;"|"&amp;D1256&amp;"|"&amp;F1256,"")</f>
        <v/>
      </c>
      <c r="Z1256" s="57" t="str">
        <f>IF(Y1256="","",IF(COUNTIF(Y$6:Y1255,Y1256)=0,1,0))</f>
        <v/>
      </c>
      <c r="AA1256" s="57" t="str">
        <f>IF(Y1256="","",IF(Z1256=1,COUNTIFS(A$6:A1256,A1256,Z$6:Z1256,1),INDEX(AA$6:AA1255,MATCH(Y1256,Y$6:Y1255,0))))</f>
        <v/>
      </c>
      <c r="AB1256" s="57" t="str">
        <f>IF(B1256="","",COUNTIF(B$6:B1256,B1256))</f>
        <v/>
      </c>
      <c r="AC1256" s="57" t="str">
        <f>IF(B1256="","",B1256&amp;"#"&amp;AB1256)</f>
        <v/>
      </c>
      <c r="AD1256" s="57" t="str">
        <f>IF(Z1256=1,A1256&amp;AA1256,"")</f>
        <v/>
      </c>
      <c r="AE1256" s="57" t="str">
        <f>IF(B1256="","",YEAR(C1256))</f>
        <v/>
      </c>
      <c r="AF1256" s="57" t="str">
        <f>IF(B1256="","",MONTH(C1256))</f>
        <v/>
      </c>
      <c r="AG1256" s="57">
        <f>IF(ISNUMBER(C1256),C1256,0)</f>
        <v>0.0</v>
      </c>
      <c r="AH1256" s="57" t="str">
        <f>IF(N(W1256)&gt;0,COUNTIF(W$6:W1256,"&gt;0"),"")</f>
        <v/>
      </c>
      <c r="AI1256" s="57" t="str">
        <f>IF(Z1256=1,COUNTIF(Z$6:Z1256,1),"")</f>
        <v/>
      </c>
    </row>
    <row r="1257">
      <c r="A1257" s="54" t="n"/>
      <c r="B1257" s="55" t="str">
        <f>IF(AA1257="","",A1257&amp;"-"&amp;RIGHT("000"&amp;AA1257,4))</f>
        <v/>
      </c>
      <c r="C1257" s="56" t="n"/>
      <c r="D1257" s="54" t="n"/>
      <c r="E1257" s="57" t="str">
        <f>IF(D1257="","",IF(A1257="BL",IFERROR(INDEX(cl_name,MATCH(D1257,cl_code,0))&amp;"","Client inconnu"),IF(A1257="BR",IFERROR(INDEX(fo_name,MATCH(D1257,fo_code,0))&amp;"","Fournisseur inconnu"),IF(A1257="BS",IF(ISNA(MATCH(D1257,p_services,0)),"Service inconnu",D1257&amp;""),""))))</f>
        <v/>
      </c>
      <c r="F1257" s="58" t="n"/>
      <c r="G1257" s="58" t="n"/>
      <c r="H1257" s="59" t="n"/>
      <c r="I1257" s="57" t="str">
        <f>IF(H1257="","",IFERROR(INDEX(art_des,MATCH(H1257,art_ref,0))&amp;"","Article inconnu"))</f>
        <v/>
      </c>
      <c r="J1257" s="60" t="str">
        <f>IF(H1257="","",IFERROR(INDEX(art_unit,MATCH(H1257,art_ref,0))&amp;"",""))</f>
        <v/>
      </c>
      <c r="K1257" s="59" t="n"/>
      <c r="L1257" s="59" t="n"/>
      <c r="M1257" s="61" t="str">
        <f>IF(OR(B1257="",NOT(ISNUMBER(K1257)),NOT(ISNUMBER(L1257))),"",IF(OR(K1257&lt;=0,L1257&lt;=0),"",ROUND(L1257-K1257,6)))</f>
        <v/>
      </c>
      <c r="N1257" s="58" t="n"/>
      <c r="O1257" s="62" t="n"/>
      <c r="P1257" s="63" t="str">
        <f>IF(OR(B1257="",NOT(ISNUMBER(L1257))),"",IF(L1257&lt;=0,"",IFERROR(ROUND(L1257*N(INDEX(art_w,MATCH(H1257,art_ref,0))),3),"")))</f>
        <v/>
      </c>
      <c r="Q1257" s="59" t="n"/>
      <c r="R1257" s="54" t="n"/>
      <c r="S1257" s="59" t="n"/>
      <c r="T1257" s="59" t="n"/>
      <c r="U1257" s="64" t="str">
        <f>IF(OR(B1257="",H1257=""),"",IFERROR(IF(A1257="BL",IF(N(INDEX(art_price,MATCH(H1257,art_ref,0)))=0,"",N(INDEX(art_price,MATCH(H1257,art_ref,0)))),IF(N(INDEX(art_cost,MATCH(H1257,art_ref,0)))=0,"",N(INDEX(art_cost,MATCH(H1257,art_ref,0))))),""))</f>
        <v/>
      </c>
      <c r="V1257" s="64" t="str">
        <f>IF(OR(U1257="",NOT(ISNUMBER(L1257))),"",IF(L1257&lt;=0,"",ROUND(L1257*U1257,2)))</f>
        <v/>
      </c>
      <c r="W1257" s="60" t="str">
        <f>IF(AND(B1257&lt;&gt;"",A1257&lt;&gt;"BS",F1257&lt;&gt;"",H1257&lt;&gt;"",ISNUMBER(K1257),ISNUMBER(L1257)),IF(AND(K1257&gt;0,L1257&gt;0,K1257-L1257&gt;0,COUNTIFS(A1258:A$2005,A1257,F1258:F$2005,F1257,H1258:H$2005,H1257,AA1258:AA$2005,"&gt;0")=0),ROUND(K1257-L1257,6),""),"")</f>
        <v/>
      </c>
      <c r="X1257" s="60" t="str">
        <f>IF(AND(A1257="",C1257="",D1257="",H1257="",L1257=""),"",IF(A1257="","Type manquant",IF(AND(A1257&lt;&gt;"BL",A1257&lt;&gt;"BR",A1257&lt;&gt;"BS"),"Type inconnu (BL, BR ou BS)",IF(AG1257=0,"Date manquante ou invalide",IF(D1257="",IF(A1257="BL","Client manquant",IF(A1257="BR","Fournisseur manquant","Service manquant")),IF(IF(A1257="BL",ISNA(MATCH(D1257,cl_code,0)),IF(A1257="BR",ISNA(MATCH(D1257,fo_code,0)),ISNA(MATCH(D1257,p_services,0)))),IF(A1257="BL","Client inconnu",IF(A1257="BR","Fournisseur inconnu","Service inconnu")),IF(H1257="","Article manquant",IF(ISNA(MATCH(H1257,art_ref,0)),"Article inconnu",IF(OR(NOT(ISNUMBER(L1257)),N(L1257)&lt;=0),"Quantité invalide",IF(AND(K1257&lt;&gt;"",OR(NOT(ISNUMBER(K1257)),N(K1257)&lt;=0)),"Qté commandée invalide",IF(AG1257&lt;SUMPRODUCT(MAX((A$6:A1256=A1257)*AG$6:AG1256)),"Date antérieure au bon précédent",IF(AND(A1257&lt;&gt;"BR",ISNUMBER(M1257),N(M1257)&gt;0),IF(A1257="BL","Livré plus que commandé","Sorti plus que demandé"),"OK"))))))))))))</f>
        <v/>
      </c>
      <c r="Y1257" s="57" t="str">
        <f>IF(AND(OR(A1257="BL",A1257="BR",A1257="BS"),AG1257&gt;0,D1257&lt;&gt;""),A1257&amp;"|"&amp;AG1257&amp;"|"&amp;D1257&amp;"|"&amp;F1257,"")</f>
        <v/>
      </c>
      <c r="Z1257" s="57" t="str">
        <f>IF(Y1257="","",IF(COUNTIF(Y$6:Y1256,Y1257)=0,1,0))</f>
        <v/>
      </c>
      <c r="AA1257" s="57" t="str">
        <f>IF(Y1257="","",IF(Z1257=1,COUNTIFS(A$6:A1257,A1257,Z$6:Z1257,1),INDEX(AA$6:AA1256,MATCH(Y1257,Y$6:Y1256,0))))</f>
        <v/>
      </c>
      <c r="AB1257" s="57" t="str">
        <f>IF(B1257="","",COUNTIF(B$6:B1257,B1257))</f>
        <v/>
      </c>
      <c r="AC1257" s="57" t="str">
        <f>IF(B1257="","",B1257&amp;"#"&amp;AB1257)</f>
        <v/>
      </c>
      <c r="AD1257" s="57" t="str">
        <f>IF(Z1257=1,A1257&amp;AA1257,"")</f>
        <v/>
      </c>
      <c r="AE1257" s="57" t="str">
        <f>IF(B1257="","",YEAR(C1257))</f>
        <v/>
      </c>
      <c r="AF1257" s="57" t="str">
        <f>IF(B1257="","",MONTH(C1257))</f>
        <v/>
      </c>
      <c r="AG1257" s="57">
        <f>IF(ISNUMBER(C1257),C1257,0)</f>
        <v>0.0</v>
      </c>
      <c r="AH1257" s="57" t="str">
        <f>IF(N(W1257)&gt;0,COUNTIF(W$6:W1257,"&gt;0"),"")</f>
        <v/>
      </c>
      <c r="AI1257" s="57" t="str">
        <f>IF(Z1257=1,COUNTIF(Z$6:Z1257,1),"")</f>
        <v/>
      </c>
    </row>
    <row r="1258">
      <c r="A1258" s="54" t="n"/>
      <c r="B1258" s="55" t="str">
        <f>IF(AA1258="","",A1258&amp;"-"&amp;RIGHT("000"&amp;AA1258,4))</f>
        <v/>
      </c>
      <c r="C1258" s="56" t="n"/>
      <c r="D1258" s="54" t="n"/>
      <c r="E1258" s="57" t="str">
        <f>IF(D1258="","",IF(A1258="BL",IFERROR(INDEX(cl_name,MATCH(D1258,cl_code,0))&amp;"","Client inconnu"),IF(A1258="BR",IFERROR(INDEX(fo_name,MATCH(D1258,fo_code,0))&amp;"","Fournisseur inconnu"),IF(A1258="BS",IF(ISNA(MATCH(D1258,p_services,0)),"Service inconnu",D1258&amp;""),""))))</f>
        <v/>
      </c>
      <c r="F1258" s="58" t="n"/>
      <c r="G1258" s="58" t="n"/>
      <c r="H1258" s="59" t="n"/>
      <c r="I1258" s="57" t="str">
        <f>IF(H1258="","",IFERROR(INDEX(art_des,MATCH(H1258,art_ref,0))&amp;"","Article inconnu"))</f>
        <v/>
      </c>
      <c r="J1258" s="60" t="str">
        <f>IF(H1258="","",IFERROR(INDEX(art_unit,MATCH(H1258,art_ref,0))&amp;"",""))</f>
        <v/>
      </c>
      <c r="K1258" s="59" t="n"/>
      <c r="L1258" s="59" t="n"/>
      <c r="M1258" s="61" t="str">
        <f>IF(OR(B1258="",NOT(ISNUMBER(K1258)),NOT(ISNUMBER(L1258))),"",IF(OR(K1258&lt;=0,L1258&lt;=0),"",ROUND(L1258-K1258,6)))</f>
        <v/>
      </c>
      <c r="N1258" s="58" t="n"/>
      <c r="O1258" s="62" t="n"/>
      <c r="P1258" s="63" t="str">
        <f>IF(OR(B1258="",NOT(ISNUMBER(L1258))),"",IF(L1258&lt;=0,"",IFERROR(ROUND(L1258*N(INDEX(art_w,MATCH(H1258,art_ref,0))),3),"")))</f>
        <v/>
      </c>
      <c r="Q1258" s="59" t="n"/>
      <c r="R1258" s="54" t="n"/>
      <c r="S1258" s="59" t="n"/>
      <c r="T1258" s="59" t="n"/>
      <c r="U1258" s="64" t="str">
        <f>IF(OR(B1258="",H1258=""),"",IFERROR(IF(A1258="BL",IF(N(INDEX(art_price,MATCH(H1258,art_ref,0)))=0,"",N(INDEX(art_price,MATCH(H1258,art_ref,0)))),IF(N(INDEX(art_cost,MATCH(H1258,art_ref,0)))=0,"",N(INDEX(art_cost,MATCH(H1258,art_ref,0))))),""))</f>
        <v/>
      </c>
      <c r="V1258" s="64" t="str">
        <f>IF(OR(U1258="",NOT(ISNUMBER(L1258))),"",IF(L1258&lt;=0,"",ROUND(L1258*U1258,2)))</f>
        <v/>
      </c>
      <c r="W1258" s="60" t="str">
        <f>IF(AND(B1258&lt;&gt;"",A1258&lt;&gt;"BS",F1258&lt;&gt;"",H1258&lt;&gt;"",ISNUMBER(K1258),ISNUMBER(L1258)),IF(AND(K1258&gt;0,L1258&gt;0,K1258-L1258&gt;0,COUNTIFS(A1259:A$2005,A1258,F1259:F$2005,F1258,H1259:H$2005,H1258,AA1259:AA$2005,"&gt;0")=0),ROUND(K1258-L1258,6),""),"")</f>
        <v/>
      </c>
      <c r="X1258" s="60" t="str">
        <f>IF(AND(A1258="",C1258="",D1258="",H1258="",L1258=""),"",IF(A1258="","Type manquant",IF(AND(A1258&lt;&gt;"BL",A1258&lt;&gt;"BR",A1258&lt;&gt;"BS"),"Type inconnu (BL, BR ou BS)",IF(AG1258=0,"Date manquante ou invalide",IF(D1258="",IF(A1258="BL","Client manquant",IF(A1258="BR","Fournisseur manquant","Service manquant")),IF(IF(A1258="BL",ISNA(MATCH(D1258,cl_code,0)),IF(A1258="BR",ISNA(MATCH(D1258,fo_code,0)),ISNA(MATCH(D1258,p_services,0)))),IF(A1258="BL","Client inconnu",IF(A1258="BR","Fournisseur inconnu","Service inconnu")),IF(H1258="","Article manquant",IF(ISNA(MATCH(H1258,art_ref,0)),"Article inconnu",IF(OR(NOT(ISNUMBER(L1258)),N(L1258)&lt;=0),"Quantité invalide",IF(AND(K1258&lt;&gt;"",OR(NOT(ISNUMBER(K1258)),N(K1258)&lt;=0)),"Qté commandée invalide",IF(AG1258&lt;SUMPRODUCT(MAX((A$6:A1257=A1258)*AG$6:AG1257)),"Date antérieure au bon précédent",IF(AND(A1258&lt;&gt;"BR",ISNUMBER(M1258),N(M1258)&gt;0),IF(A1258="BL","Livré plus que commandé","Sorti plus que demandé"),"OK"))))))))))))</f>
        <v/>
      </c>
      <c r="Y1258" s="57" t="str">
        <f>IF(AND(OR(A1258="BL",A1258="BR",A1258="BS"),AG1258&gt;0,D1258&lt;&gt;""),A1258&amp;"|"&amp;AG1258&amp;"|"&amp;D1258&amp;"|"&amp;F1258,"")</f>
        <v/>
      </c>
      <c r="Z1258" s="57" t="str">
        <f>IF(Y1258="","",IF(COUNTIF(Y$6:Y1257,Y1258)=0,1,0))</f>
        <v/>
      </c>
      <c r="AA1258" s="57" t="str">
        <f>IF(Y1258="","",IF(Z1258=1,COUNTIFS(A$6:A1258,A1258,Z$6:Z1258,1),INDEX(AA$6:AA1257,MATCH(Y1258,Y$6:Y1257,0))))</f>
        <v/>
      </c>
      <c r="AB1258" s="57" t="str">
        <f>IF(B1258="","",COUNTIF(B$6:B1258,B1258))</f>
        <v/>
      </c>
      <c r="AC1258" s="57" t="str">
        <f>IF(B1258="","",B1258&amp;"#"&amp;AB1258)</f>
        <v/>
      </c>
      <c r="AD1258" s="57" t="str">
        <f>IF(Z1258=1,A1258&amp;AA1258,"")</f>
        <v/>
      </c>
      <c r="AE1258" s="57" t="str">
        <f>IF(B1258="","",YEAR(C1258))</f>
        <v/>
      </c>
      <c r="AF1258" s="57" t="str">
        <f>IF(B1258="","",MONTH(C1258))</f>
        <v/>
      </c>
      <c r="AG1258" s="57">
        <f>IF(ISNUMBER(C1258),C1258,0)</f>
        <v>0.0</v>
      </c>
      <c r="AH1258" s="57" t="str">
        <f>IF(N(W1258)&gt;0,COUNTIF(W$6:W1258,"&gt;0"),"")</f>
        <v/>
      </c>
      <c r="AI1258" s="57" t="str">
        <f>IF(Z1258=1,COUNTIF(Z$6:Z1258,1),"")</f>
        <v/>
      </c>
    </row>
    <row r="1259">
      <c r="A1259" s="54" t="n"/>
      <c r="B1259" s="55" t="str">
        <f>IF(AA1259="","",A1259&amp;"-"&amp;RIGHT("000"&amp;AA1259,4))</f>
        <v/>
      </c>
      <c r="C1259" s="56" t="n"/>
      <c r="D1259" s="54" t="n"/>
      <c r="E1259" s="57" t="str">
        <f>IF(D1259="","",IF(A1259="BL",IFERROR(INDEX(cl_name,MATCH(D1259,cl_code,0))&amp;"","Client inconnu"),IF(A1259="BR",IFERROR(INDEX(fo_name,MATCH(D1259,fo_code,0))&amp;"","Fournisseur inconnu"),IF(A1259="BS",IF(ISNA(MATCH(D1259,p_services,0)),"Service inconnu",D1259&amp;""),""))))</f>
        <v/>
      </c>
      <c r="F1259" s="58" t="n"/>
      <c r="G1259" s="58" t="n"/>
      <c r="H1259" s="59" t="n"/>
      <c r="I1259" s="57" t="str">
        <f>IF(H1259="","",IFERROR(INDEX(art_des,MATCH(H1259,art_ref,0))&amp;"","Article inconnu"))</f>
        <v/>
      </c>
      <c r="J1259" s="60" t="str">
        <f>IF(H1259="","",IFERROR(INDEX(art_unit,MATCH(H1259,art_ref,0))&amp;"",""))</f>
        <v/>
      </c>
      <c r="K1259" s="59" t="n"/>
      <c r="L1259" s="59" t="n"/>
      <c r="M1259" s="61" t="str">
        <f>IF(OR(B1259="",NOT(ISNUMBER(K1259)),NOT(ISNUMBER(L1259))),"",IF(OR(K1259&lt;=0,L1259&lt;=0),"",ROUND(L1259-K1259,6)))</f>
        <v/>
      </c>
      <c r="N1259" s="58" t="n"/>
      <c r="O1259" s="62" t="n"/>
      <c r="P1259" s="63" t="str">
        <f>IF(OR(B1259="",NOT(ISNUMBER(L1259))),"",IF(L1259&lt;=0,"",IFERROR(ROUND(L1259*N(INDEX(art_w,MATCH(H1259,art_ref,0))),3),"")))</f>
        <v/>
      </c>
      <c r="Q1259" s="59" t="n"/>
      <c r="R1259" s="54" t="n"/>
      <c r="S1259" s="59" t="n"/>
      <c r="T1259" s="59" t="n"/>
      <c r="U1259" s="64" t="str">
        <f>IF(OR(B1259="",H1259=""),"",IFERROR(IF(A1259="BL",IF(N(INDEX(art_price,MATCH(H1259,art_ref,0)))=0,"",N(INDEX(art_price,MATCH(H1259,art_ref,0)))),IF(N(INDEX(art_cost,MATCH(H1259,art_ref,0)))=0,"",N(INDEX(art_cost,MATCH(H1259,art_ref,0))))),""))</f>
        <v/>
      </c>
      <c r="V1259" s="64" t="str">
        <f>IF(OR(U1259="",NOT(ISNUMBER(L1259))),"",IF(L1259&lt;=0,"",ROUND(L1259*U1259,2)))</f>
        <v/>
      </c>
      <c r="W1259" s="60" t="str">
        <f>IF(AND(B1259&lt;&gt;"",A1259&lt;&gt;"BS",F1259&lt;&gt;"",H1259&lt;&gt;"",ISNUMBER(K1259),ISNUMBER(L1259)),IF(AND(K1259&gt;0,L1259&gt;0,K1259-L1259&gt;0,COUNTIFS(A1260:A$2005,A1259,F1260:F$2005,F1259,H1260:H$2005,H1259,AA1260:AA$2005,"&gt;0")=0),ROUND(K1259-L1259,6),""),"")</f>
        <v/>
      </c>
      <c r="X1259" s="60" t="str">
        <f>IF(AND(A1259="",C1259="",D1259="",H1259="",L1259=""),"",IF(A1259="","Type manquant",IF(AND(A1259&lt;&gt;"BL",A1259&lt;&gt;"BR",A1259&lt;&gt;"BS"),"Type inconnu (BL, BR ou BS)",IF(AG1259=0,"Date manquante ou invalide",IF(D1259="",IF(A1259="BL","Client manquant",IF(A1259="BR","Fournisseur manquant","Service manquant")),IF(IF(A1259="BL",ISNA(MATCH(D1259,cl_code,0)),IF(A1259="BR",ISNA(MATCH(D1259,fo_code,0)),ISNA(MATCH(D1259,p_services,0)))),IF(A1259="BL","Client inconnu",IF(A1259="BR","Fournisseur inconnu","Service inconnu")),IF(H1259="","Article manquant",IF(ISNA(MATCH(H1259,art_ref,0)),"Article inconnu",IF(OR(NOT(ISNUMBER(L1259)),N(L1259)&lt;=0),"Quantité invalide",IF(AND(K1259&lt;&gt;"",OR(NOT(ISNUMBER(K1259)),N(K1259)&lt;=0)),"Qté commandée invalide",IF(AG1259&lt;SUMPRODUCT(MAX((A$6:A1258=A1259)*AG$6:AG1258)),"Date antérieure au bon précédent",IF(AND(A1259&lt;&gt;"BR",ISNUMBER(M1259),N(M1259)&gt;0),IF(A1259="BL","Livré plus que commandé","Sorti plus que demandé"),"OK"))))))))))))</f>
        <v/>
      </c>
      <c r="Y1259" s="57" t="str">
        <f>IF(AND(OR(A1259="BL",A1259="BR",A1259="BS"),AG1259&gt;0,D1259&lt;&gt;""),A1259&amp;"|"&amp;AG1259&amp;"|"&amp;D1259&amp;"|"&amp;F1259,"")</f>
        <v/>
      </c>
      <c r="Z1259" s="57" t="str">
        <f>IF(Y1259="","",IF(COUNTIF(Y$6:Y1258,Y1259)=0,1,0))</f>
        <v/>
      </c>
      <c r="AA1259" s="57" t="str">
        <f>IF(Y1259="","",IF(Z1259=1,COUNTIFS(A$6:A1259,A1259,Z$6:Z1259,1),INDEX(AA$6:AA1258,MATCH(Y1259,Y$6:Y1258,0))))</f>
        <v/>
      </c>
      <c r="AB1259" s="57" t="str">
        <f>IF(B1259="","",COUNTIF(B$6:B1259,B1259))</f>
        <v/>
      </c>
      <c r="AC1259" s="57" t="str">
        <f>IF(B1259="","",B1259&amp;"#"&amp;AB1259)</f>
        <v/>
      </c>
      <c r="AD1259" s="57" t="str">
        <f>IF(Z1259=1,A1259&amp;AA1259,"")</f>
        <v/>
      </c>
      <c r="AE1259" s="57" t="str">
        <f>IF(B1259="","",YEAR(C1259))</f>
        <v/>
      </c>
      <c r="AF1259" s="57" t="str">
        <f>IF(B1259="","",MONTH(C1259))</f>
        <v/>
      </c>
      <c r="AG1259" s="57">
        <f>IF(ISNUMBER(C1259),C1259,0)</f>
        <v>0.0</v>
      </c>
      <c r="AH1259" s="57" t="str">
        <f>IF(N(W1259)&gt;0,COUNTIF(W$6:W1259,"&gt;0"),"")</f>
        <v/>
      </c>
      <c r="AI1259" s="57" t="str">
        <f>IF(Z1259=1,COUNTIF(Z$6:Z1259,1),"")</f>
        <v/>
      </c>
    </row>
    <row r="1260">
      <c r="A1260" s="54" t="n"/>
      <c r="B1260" s="55" t="str">
        <f>IF(AA1260="","",A1260&amp;"-"&amp;RIGHT("000"&amp;AA1260,4))</f>
        <v/>
      </c>
      <c r="C1260" s="56" t="n"/>
      <c r="D1260" s="54" t="n"/>
      <c r="E1260" s="57" t="str">
        <f>IF(D1260="","",IF(A1260="BL",IFERROR(INDEX(cl_name,MATCH(D1260,cl_code,0))&amp;"","Client inconnu"),IF(A1260="BR",IFERROR(INDEX(fo_name,MATCH(D1260,fo_code,0))&amp;"","Fournisseur inconnu"),IF(A1260="BS",IF(ISNA(MATCH(D1260,p_services,0)),"Service inconnu",D1260&amp;""),""))))</f>
        <v/>
      </c>
      <c r="F1260" s="58" t="n"/>
      <c r="G1260" s="58" t="n"/>
      <c r="H1260" s="59" t="n"/>
      <c r="I1260" s="57" t="str">
        <f>IF(H1260="","",IFERROR(INDEX(art_des,MATCH(H1260,art_ref,0))&amp;"","Article inconnu"))</f>
        <v/>
      </c>
      <c r="J1260" s="60" t="str">
        <f>IF(H1260="","",IFERROR(INDEX(art_unit,MATCH(H1260,art_ref,0))&amp;"",""))</f>
        <v/>
      </c>
      <c r="K1260" s="59" t="n"/>
      <c r="L1260" s="59" t="n"/>
      <c r="M1260" s="61" t="str">
        <f>IF(OR(B1260="",NOT(ISNUMBER(K1260)),NOT(ISNUMBER(L1260))),"",IF(OR(K1260&lt;=0,L1260&lt;=0),"",ROUND(L1260-K1260,6)))</f>
        <v/>
      </c>
      <c r="N1260" s="58" t="n"/>
      <c r="O1260" s="62" t="n"/>
      <c r="P1260" s="63" t="str">
        <f>IF(OR(B1260="",NOT(ISNUMBER(L1260))),"",IF(L1260&lt;=0,"",IFERROR(ROUND(L1260*N(INDEX(art_w,MATCH(H1260,art_ref,0))),3),"")))</f>
        <v/>
      </c>
      <c r="Q1260" s="59" t="n"/>
      <c r="R1260" s="54" t="n"/>
      <c r="S1260" s="59" t="n"/>
      <c r="T1260" s="59" t="n"/>
      <c r="U1260" s="64" t="str">
        <f>IF(OR(B1260="",H1260=""),"",IFERROR(IF(A1260="BL",IF(N(INDEX(art_price,MATCH(H1260,art_ref,0)))=0,"",N(INDEX(art_price,MATCH(H1260,art_ref,0)))),IF(N(INDEX(art_cost,MATCH(H1260,art_ref,0)))=0,"",N(INDEX(art_cost,MATCH(H1260,art_ref,0))))),""))</f>
        <v/>
      </c>
      <c r="V1260" s="64" t="str">
        <f>IF(OR(U1260="",NOT(ISNUMBER(L1260))),"",IF(L1260&lt;=0,"",ROUND(L1260*U1260,2)))</f>
        <v/>
      </c>
      <c r="W1260" s="60" t="str">
        <f>IF(AND(B1260&lt;&gt;"",A1260&lt;&gt;"BS",F1260&lt;&gt;"",H1260&lt;&gt;"",ISNUMBER(K1260),ISNUMBER(L1260)),IF(AND(K1260&gt;0,L1260&gt;0,K1260-L1260&gt;0,COUNTIFS(A1261:A$2005,A1260,F1261:F$2005,F1260,H1261:H$2005,H1260,AA1261:AA$2005,"&gt;0")=0),ROUND(K1260-L1260,6),""),"")</f>
        <v/>
      </c>
      <c r="X1260" s="60" t="str">
        <f>IF(AND(A1260="",C1260="",D1260="",H1260="",L1260=""),"",IF(A1260="","Type manquant",IF(AND(A1260&lt;&gt;"BL",A1260&lt;&gt;"BR",A1260&lt;&gt;"BS"),"Type inconnu (BL, BR ou BS)",IF(AG1260=0,"Date manquante ou invalide",IF(D1260="",IF(A1260="BL","Client manquant",IF(A1260="BR","Fournisseur manquant","Service manquant")),IF(IF(A1260="BL",ISNA(MATCH(D1260,cl_code,0)),IF(A1260="BR",ISNA(MATCH(D1260,fo_code,0)),ISNA(MATCH(D1260,p_services,0)))),IF(A1260="BL","Client inconnu",IF(A1260="BR","Fournisseur inconnu","Service inconnu")),IF(H1260="","Article manquant",IF(ISNA(MATCH(H1260,art_ref,0)),"Article inconnu",IF(OR(NOT(ISNUMBER(L1260)),N(L1260)&lt;=0),"Quantité invalide",IF(AND(K1260&lt;&gt;"",OR(NOT(ISNUMBER(K1260)),N(K1260)&lt;=0)),"Qté commandée invalide",IF(AG1260&lt;SUMPRODUCT(MAX((A$6:A1259=A1260)*AG$6:AG1259)),"Date antérieure au bon précédent",IF(AND(A1260&lt;&gt;"BR",ISNUMBER(M1260),N(M1260)&gt;0),IF(A1260="BL","Livré plus que commandé","Sorti plus que demandé"),"OK"))))))))))))</f>
        <v/>
      </c>
      <c r="Y1260" s="57" t="str">
        <f>IF(AND(OR(A1260="BL",A1260="BR",A1260="BS"),AG1260&gt;0,D1260&lt;&gt;""),A1260&amp;"|"&amp;AG1260&amp;"|"&amp;D1260&amp;"|"&amp;F1260,"")</f>
        <v/>
      </c>
      <c r="Z1260" s="57" t="str">
        <f>IF(Y1260="","",IF(COUNTIF(Y$6:Y1259,Y1260)=0,1,0))</f>
        <v/>
      </c>
      <c r="AA1260" s="57" t="str">
        <f>IF(Y1260="","",IF(Z1260=1,COUNTIFS(A$6:A1260,A1260,Z$6:Z1260,1),INDEX(AA$6:AA1259,MATCH(Y1260,Y$6:Y1259,0))))</f>
        <v/>
      </c>
      <c r="AB1260" s="57" t="str">
        <f>IF(B1260="","",COUNTIF(B$6:B1260,B1260))</f>
        <v/>
      </c>
      <c r="AC1260" s="57" t="str">
        <f>IF(B1260="","",B1260&amp;"#"&amp;AB1260)</f>
        <v/>
      </c>
      <c r="AD1260" s="57" t="str">
        <f>IF(Z1260=1,A1260&amp;AA1260,"")</f>
        <v/>
      </c>
      <c r="AE1260" s="57" t="str">
        <f>IF(B1260="","",YEAR(C1260))</f>
        <v/>
      </c>
      <c r="AF1260" s="57" t="str">
        <f>IF(B1260="","",MONTH(C1260))</f>
        <v/>
      </c>
      <c r="AG1260" s="57">
        <f>IF(ISNUMBER(C1260),C1260,0)</f>
        <v>0.0</v>
      </c>
      <c r="AH1260" s="57" t="str">
        <f>IF(N(W1260)&gt;0,COUNTIF(W$6:W1260,"&gt;0"),"")</f>
        <v/>
      </c>
      <c r="AI1260" s="57" t="str">
        <f>IF(Z1260=1,COUNTIF(Z$6:Z1260,1),"")</f>
        <v/>
      </c>
    </row>
    <row r="1261">
      <c r="A1261" s="54" t="n"/>
      <c r="B1261" s="55" t="str">
        <f>IF(AA1261="","",A1261&amp;"-"&amp;RIGHT("000"&amp;AA1261,4))</f>
        <v/>
      </c>
      <c r="C1261" s="56" t="n"/>
      <c r="D1261" s="54" t="n"/>
      <c r="E1261" s="57" t="str">
        <f>IF(D1261="","",IF(A1261="BL",IFERROR(INDEX(cl_name,MATCH(D1261,cl_code,0))&amp;"","Client inconnu"),IF(A1261="BR",IFERROR(INDEX(fo_name,MATCH(D1261,fo_code,0))&amp;"","Fournisseur inconnu"),IF(A1261="BS",IF(ISNA(MATCH(D1261,p_services,0)),"Service inconnu",D1261&amp;""),""))))</f>
        <v/>
      </c>
      <c r="F1261" s="58" t="n"/>
      <c r="G1261" s="58" t="n"/>
      <c r="H1261" s="59" t="n"/>
      <c r="I1261" s="57" t="str">
        <f>IF(H1261="","",IFERROR(INDEX(art_des,MATCH(H1261,art_ref,0))&amp;"","Article inconnu"))</f>
        <v/>
      </c>
      <c r="J1261" s="60" t="str">
        <f>IF(H1261="","",IFERROR(INDEX(art_unit,MATCH(H1261,art_ref,0))&amp;"",""))</f>
        <v/>
      </c>
      <c r="K1261" s="59" t="n"/>
      <c r="L1261" s="59" t="n"/>
      <c r="M1261" s="61" t="str">
        <f>IF(OR(B1261="",NOT(ISNUMBER(K1261)),NOT(ISNUMBER(L1261))),"",IF(OR(K1261&lt;=0,L1261&lt;=0),"",ROUND(L1261-K1261,6)))</f>
        <v/>
      </c>
      <c r="N1261" s="58" t="n"/>
      <c r="O1261" s="62" t="n"/>
      <c r="P1261" s="63" t="str">
        <f>IF(OR(B1261="",NOT(ISNUMBER(L1261))),"",IF(L1261&lt;=0,"",IFERROR(ROUND(L1261*N(INDEX(art_w,MATCH(H1261,art_ref,0))),3),"")))</f>
        <v/>
      </c>
      <c r="Q1261" s="59" t="n"/>
      <c r="R1261" s="54" t="n"/>
      <c r="S1261" s="59" t="n"/>
      <c r="T1261" s="59" t="n"/>
      <c r="U1261" s="64" t="str">
        <f>IF(OR(B1261="",H1261=""),"",IFERROR(IF(A1261="BL",IF(N(INDEX(art_price,MATCH(H1261,art_ref,0)))=0,"",N(INDEX(art_price,MATCH(H1261,art_ref,0)))),IF(N(INDEX(art_cost,MATCH(H1261,art_ref,0)))=0,"",N(INDEX(art_cost,MATCH(H1261,art_ref,0))))),""))</f>
        <v/>
      </c>
      <c r="V1261" s="64" t="str">
        <f>IF(OR(U1261="",NOT(ISNUMBER(L1261))),"",IF(L1261&lt;=0,"",ROUND(L1261*U1261,2)))</f>
        <v/>
      </c>
      <c r="W1261" s="60" t="str">
        <f>IF(AND(B1261&lt;&gt;"",A1261&lt;&gt;"BS",F1261&lt;&gt;"",H1261&lt;&gt;"",ISNUMBER(K1261),ISNUMBER(L1261)),IF(AND(K1261&gt;0,L1261&gt;0,K1261-L1261&gt;0,COUNTIFS(A1262:A$2005,A1261,F1262:F$2005,F1261,H1262:H$2005,H1261,AA1262:AA$2005,"&gt;0")=0),ROUND(K1261-L1261,6),""),"")</f>
        <v/>
      </c>
      <c r="X1261" s="60" t="str">
        <f>IF(AND(A1261="",C1261="",D1261="",H1261="",L1261=""),"",IF(A1261="","Type manquant",IF(AND(A1261&lt;&gt;"BL",A1261&lt;&gt;"BR",A1261&lt;&gt;"BS"),"Type inconnu (BL, BR ou BS)",IF(AG1261=0,"Date manquante ou invalide",IF(D1261="",IF(A1261="BL","Client manquant",IF(A1261="BR","Fournisseur manquant","Service manquant")),IF(IF(A1261="BL",ISNA(MATCH(D1261,cl_code,0)),IF(A1261="BR",ISNA(MATCH(D1261,fo_code,0)),ISNA(MATCH(D1261,p_services,0)))),IF(A1261="BL","Client inconnu",IF(A1261="BR","Fournisseur inconnu","Service inconnu")),IF(H1261="","Article manquant",IF(ISNA(MATCH(H1261,art_ref,0)),"Article inconnu",IF(OR(NOT(ISNUMBER(L1261)),N(L1261)&lt;=0),"Quantité invalide",IF(AND(K1261&lt;&gt;"",OR(NOT(ISNUMBER(K1261)),N(K1261)&lt;=0)),"Qté commandée invalide",IF(AG1261&lt;SUMPRODUCT(MAX((A$6:A1260=A1261)*AG$6:AG1260)),"Date antérieure au bon précédent",IF(AND(A1261&lt;&gt;"BR",ISNUMBER(M1261),N(M1261)&gt;0),IF(A1261="BL","Livré plus que commandé","Sorti plus que demandé"),"OK"))))))))))))</f>
        <v/>
      </c>
      <c r="Y1261" s="57" t="str">
        <f>IF(AND(OR(A1261="BL",A1261="BR",A1261="BS"),AG1261&gt;0,D1261&lt;&gt;""),A1261&amp;"|"&amp;AG1261&amp;"|"&amp;D1261&amp;"|"&amp;F1261,"")</f>
        <v/>
      </c>
      <c r="Z1261" s="57" t="str">
        <f>IF(Y1261="","",IF(COUNTIF(Y$6:Y1260,Y1261)=0,1,0))</f>
        <v/>
      </c>
      <c r="AA1261" s="57" t="str">
        <f>IF(Y1261="","",IF(Z1261=1,COUNTIFS(A$6:A1261,A1261,Z$6:Z1261,1),INDEX(AA$6:AA1260,MATCH(Y1261,Y$6:Y1260,0))))</f>
        <v/>
      </c>
      <c r="AB1261" s="57" t="str">
        <f>IF(B1261="","",COUNTIF(B$6:B1261,B1261))</f>
        <v/>
      </c>
      <c r="AC1261" s="57" t="str">
        <f>IF(B1261="","",B1261&amp;"#"&amp;AB1261)</f>
        <v/>
      </c>
      <c r="AD1261" s="57" t="str">
        <f>IF(Z1261=1,A1261&amp;AA1261,"")</f>
        <v/>
      </c>
      <c r="AE1261" s="57" t="str">
        <f>IF(B1261="","",YEAR(C1261))</f>
        <v/>
      </c>
      <c r="AF1261" s="57" t="str">
        <f>IF(B1261="","",MONTH(C1261))</f>
        <v/>
      </c>
      <c r="AG1261" s="57">
        <f>IF(ISNUMBER(C1261),C1261,0)</f>
        <v>0.0</v>
      </c>
      <c r="AH1261" s="57" t="str">
        <f>IF(N(W1261)&gt;0,COUNTIF(W$6:W1261,"&gt;0"),"")</f>
        <v/>
      </c>
      <c r="AI1261" s="57" t="str">
        <f>IF(Z1261=1,COUNTIF(Z$6:Z1261,1),"")</f>
        <v/>
      </c>
    </row>
    <row r="1262">
      <c r="A1262" s="54" t="n"/>
      <c r="B1262" s="55" t="str">
        <f>IF(AA1262="","",A1262&amp;"-"&amp;RIGHT("000"&amp;AA1262,4))</f>
        <v/>
      </c>
      <c r="C1262" s="56" t="n"/>
      <c r="D1262" s="54" t="n"/>
      <c r="E1262" s="57" t="str">
        <f>IF(D1262="","",IF(A1262="BL",IFERROR(INDEX(cl_name,MATCH(D1262,cl_code,0))&amp;"","Client inconnu"),IF(A1262="BR",IFERROR(INDEX(fo_name,MATCH(D1262,fo_code,0))&amp;"","Fournisseur inconnu"),IF(A1262="BS",IF(ISNA(MATCH(D1262,p_services,0)),"Service inconnu",D1262&amp;""),""))))</f>
        <v/>
      </c>
      <c r="F1262" s="58" t="n"/>
      <c r="G1262" s="58" t="n"/>
      <c r="H1262" s="59" t="n"/>
      <c r="I1262" s="57" t="str">
        <f>IF(H1262="","",IFERROR(INDEX(art_des,MATCH(H1262,art_ref,0))&amp;"","Article inconnu"))</f>
        <v/>
      </c>
      <c r="J1262" s="60" t="str">
        <f>IF(H1262="","",IFERROR(INDEX(art_unit,MATCH(H1262,art_ref,0))&amp;"",""))</f>
        <v/>
      </c>
      <c r="K1262" s="59" t="n"/>
      <c r="L1262" s="59" t="n"/>
      <c r="M1262" s="61" t="str">
        <f>IF(OR(B1262="",NOT(ISNUMBER(K1262)),NOT(ISNUMBER(L1262))),"",IF(OR(K1262&lt;=0,L1262&lt;=0),"",ROUND(L1262-K1262,6)))</f>
        <v/>
      </c>
      <c r="N1262" s="58" t="n"/>
      <c r="O1262" s="62" t="n"/>
      <c r="P1262" s="63" t="str">
        <f>IF(OR(B1262="",NOT(ISNUMBER(L1262))),"",IF(L1262&lt;=0,"",IFERROR(ROUND(L1262*N(INDEX(art_w,MATCH(H1262,art_ref,0))),3),"")))</f>
        <v/>
      </c>
      <c r="Q1262" s="59" t="n"/>
      <c r="R1262" s="54" t="n"/>
      <c r="S1262" s="59" t="n"/>
      <c r="T1262" s="59" t="n"/>
      <c r="U1262" s="64" t="str">
        <f>IF(OR(B1262="",H1262=""),"",IFERROR(IF(A1262="BL",IF(N(INDEX(art_price,MATCH(H1262,art_ref,0)))=0,"",N(INDEX(art_price,MATCH(H1262,art_ref,0)))),IF(N(INDEX(art_cost,MATCH(H1262,art_ref,0)))=0,"",N(INDEX(art_cost,MATCH(H1262,art_ref,0))))),""))</f>
        <v/>
      </c>
      <c r="V1262" s="64" t="str">
        <f>IF(OR(U1262="",NOT(ISNUMBER(L1262))),"",IF(L1262&lt;=0,"",ROUND(L1262*U1262,2)))</f>
        <v/>
      </c>
      <c r="W1262" s="60" t="str">
        <f>IF(AND(B1262&lt;&gt;"",A1262&lt;&gt;"BS",F1262&lt;&gt;"",H1262&lt;&gt;"",ISNUMBER(K1262),ISNUMBER(L1262)),IF(AND(K1262&gt;0,L1262&gt;0,K1262-L1262&gt;0,COUNTIFS(A1263:A$2005,A1262,F1263:F$2005,F1262,H1263:H$2005,H1262,AA1263:AA$2005,"&gt;0")=0),ROUND(K1262-L1262,6),""),"")</f>
        <v/>
      </c>
      <c r="X1262" s="60" t="str">
        <f>IF(AND(A1262="",C1262="",D1262="",H1262="",L1262=""),"",IF(A1262="","Type manquant",IF(AND(A1262&lt;&gt;"BL",A1262&lt;&gt;"BR",A1262&lt;&gt;"BS"),"Type inconnu (BL, BR ou BS)",IF(AG1262=0,"Date manquante ou invalide",IF(D1262="",IF(A1262="BL","Client manquant",IF(A1262="BR","Fournisseur manquant","Service manquant")),IF(IF(A1262="BL",ISNA(MATCH(D1262,cl_code,0)),IF(A1262="BR",ISNA(MATCH(D1262,fo_code,0)),ISNA(MATCH(D1262,p_services,0)))),IF(A1262="BL","Client inconnu",IF(A1262="BR","Fournisseur inconnu","Service inconnu")),IF(H1262="","Article manquant",IF(ISNA(MATCH(H1262,art_ref,0)),"Article inconnu",IF(OR(NOT(ISNUMBER(L1262)),N(L1262)&lt;=0),"Quantité invalide",IF(AND(K1262&lt;&gt;"",OR(NOT(ISNUMBER(K1262)),N(K1262)&lt;=0)),"Qté commandée invalide",IF(AG1262&lt;SUMPRODUCT(MAX((A$6:A1261=A1262)*AG$6:AG1261)),"Date antérieure au bon précédent",IF(AND(A1262&lt;&gt;"BR",ISNUMBER(M1262),N(M1262)&gt;0),IF(A1262="BL","Livré plus que commandé","Sorti plus que demandé"),"OK"))))))))))))</f>
        <v/>
      </c>
      <c r="Y1262" s="57" t="str">
        <f>IF(AND(OR(A1262="BL",A1262="BR",A1262="BS"),AG1262&gt;0,D1262&lt;&gt;""),A1262&amp;"|"&amp;AG1262&amp;"|"&amp;D1262&amp;"|"&amp;F1262,"")</f>
        <v/>
      </c>
      <c r="Z1262" s="57" t="str">
        <f>IF(Y1262="","",IF(COUNTIF(Y$6:Y1261,Y1262)=0,1,0))</f>
        <v/>
      </c>
      <c r="AA1262" s="57" t="str">
        <f>IF(Y1262="","",IF(Z1262=1,COUNTIFS(A$6:A1262,A1262,Z$6:Z1262,1),INDEX(AA$6:AA1261,MATCH(Y1262,Y$6:Y1261,0))))</f>
        <v/>
      </c>
      <c r="AB1262" s="57" t="str">
        <f>IF(B1262="","",COUNTIF(B$6:B1262,B1262))</f>
        <v/>
      </c>
      <c r="AC1262" s="57" t="str">
        <f>IF(B1262="","",B1262&amp;"#"&amp;AB1262)</f>
        <v/>
      </c>
      <c r="AD1262" s="57" t="str">
        <f>IF(Z1262=1,A1262&amp;AA1262,"")</f>
        <v/>
      </c>
      <c r="AE1262" s="57" t="str">
        <f>IF(B1262="","",YEAR(C1262))</f>
        <v/>
      </c>
      <c r="AF1262" s="57" t="str">
        <f>IF(B1262="","",MONTH(C1262))</f>
        <v/>
      </c>
      <c r="AG1262" s="57">
        <f>IF(ISNUMBER(C1262),C1262,0)</f>
        <v>0.0</v>
      </c>
      <c r="AH1262" s="57" t="str">
        <f>IF(N(W1262)&gt;0,COUNTIF(W$6:W1262,"&gt;0"),"")</f>
        <v/>
      </c>
      <c r="AI1262" s="57" t="str">
        <f>IF(Z1262=1,COUNTIF(Z$6:Z1262,1),"")</f>
        <v/>
      </c>
    </row>
    <row r="1263">
      <c r="A1263" s="54" t="n"/>
      <c r="B1263" s="55" t="str">
        <f>IF(AA1263="","",A1263&amp;"-"&amp;RIGHT("000"&amp;AA1263,4))</f>
        <v/>
      </c>
      <c r="C1263" s="56" t="n"/>
      <c r="D1263" s="54" t="n"/>
      <c r="E1263" s="57" t="str">
        <f>IF(D1263="","",IF(A1263="BL",IFERROR(INDEX(cl_name,MATCH(D1263,cl_code,0))&amp;"","Client inconnu"),IF(A1263="BR",IFERROR(INDEX(fo_name,MATCH(D1263,fo_code,0))&amp;"","Fournisseur inconnu"),IF(A1263="BS",IF(ISNA(MATCH(D1263,p_services,0)),"Service inconnu",D1263&amp;""),""))))</f>
        <v/>
      </c>
      <c r="F1263" s="58" t="n"/>
      <c r="G1263" s="58" t="n"/>
      <c r="H1263" s="59" t="n"/>
      <c r="I1263" s="57" t="str">
        <f>IF(H1263="","",IFERROR(INDEX(art_des,MATCH(H1263,art_ref,0))&amp;"","Article inconnu"))</f>
        <v/>
      </c>
      <c r="J1263" s="60" t="str">
        <f>IF(H1263="","",IFERROR(INDEX(art_unit,MATCH(H1263,art_ref,0))&amp;"",""))</f>
        <v/>
      </c>
      <c r="K1263" s="59" t="n"/>
      <c r="L1263" s="59" t="n"/>
      <c r="M1263" s="61" t="str">
        <f>IF(OR(B1263="",NOT(ISNUMBER(K1263)),NOT(ISNUMBER(L1263))),"",IF(OR(K1263&lt;=0,L1263&lt;=0),"",ROUND(L1263-K1263,6)))</f>
        <v/>
      </c>
      <c r="N1263" s="58" t="n"/>
      <c r="O1263" s="62" t="n"/>
      <c r="P1263" s="63" t="str">
        <f>IF(OR(B1263="",NOT(ISNUMBER(L1263))),"",IF(L1263&lt;=0,"",IFERROR(ROUND(L1263*N(INDEX(art_w,MATCH(H1263,art_ref,0))),3),"")))</f>
        <v/>
      </c>
      <c r="Q1263" s="59" t="n"/>
      <c r="R1263" s="54" t="n"/>
      <c r="S1263" s="59" t="n"/>
      <c r="T1263" s="59" t="n"/>
      <c r="U1263" s="64" t="str">
        <f>IF(OR(B1263="",H1263=""),"",IFERROR(IF(A1263="BL",IF(N(INDEX(art_price,MATCH(H1263,art_ref,0)))=0,"",N(INDEX(art_price,MATCH(H1263,art_ref,0)))),IF(N(INDEX(art_cost,MATCH(H1263,art_ref,0)))=0,"",N(INDEX(art_cost,MATCH(H1263,art_ref,0))))),""))</f>
        <v/>
      </c>
      <c r="V1263" s="64" t="str">
        <f>IF(OR(U1263="",NOT(ISNUMBER(L1263))),"",IF(L1263&lt;=0,"",ROUND(L1263*U1263,2)))</f>
        <v/>
      </c>
      <c r="W1263" s="60" t="str">
        <f>IF(AND(B1263&lt;&gt;"",A1263&lt;&gt;"BS",F1263&lt;&gt;"",H1263&lt;&gt;"",ISNUMBER(K1263),ISNUMBER(L1263)),IF(AND(K1263&gt;0,L1263&gt;0,K1263-L1263&gt;0,COUNTIFS(A1264:A$2005,A1263,F1264:F$2005,F1263,H1264:H$2005,H1263,AA1264:AA$2005,"&gt;0")=0),ROUND(K1263-L1263,6),""),"")</f>
        <v/>
      </c>
      <c r="X1263" s="60" t="str">
        <f>IF(AND(A1263="",C1263="",D1263="",H1263="",L1263=""),"",IF(A1263="","Type manquant",IF(AND(A1263&lt;&gt;"BL",A1263&lt;&gt;"BR",A1263&lt;&gt;"BS"),"Type inconnu (BL, BR ou BS)",IF(AG1263=0,"Date manquante ou invalide",IF(D1263="",IF(A1263="BL","Client manquant",IF(A1263="BR","Fournisseur manquant","Service manquant")),IF(IF(A1263="BL",ISNA(MATCH(D1263,cl_code,0)),IF(A1263="BR",ISNA(MATCH(D1263,fo_code,0)),ISNA(MATCH(D1263,p_services,0)))),IF(A1263="BL","Client inconnu",IF(A1263="BR","Fournisseur inconnu","Service inconnu")),IF(H1263="","Article manquant",IF(ISNA(MATCH(H1263,art_ref,0)),"Article inconnu",IF(OR(NOT(ISNUMBER(L1263)),N(L1263)&lt;=0),"Quantité invalide",IF(AND(K1263&lt;&gt;"",OR(NOT(ISNUMBER(K1263)),N(K1263)&lt;=0)),"Qté commandée invalide",IF(AG1263&lt;SUMPRODUCT(MAX((A$6:A1262=A1263)*AG$6:AG1262)),"Date antérieure au bon précédent",IF(AND(A1263&lt;&gt;"BR",ISNUMBER(M1263),N(M1263)&gt;0),IF(A1263="BL","Livré plus que commandé","Sorti plus que demandé"),"OK"))))))))))))</f>
        <v/>
      </c>
      <c r="Y1263" s="57" t="str">
        <f>IF(AND(OR(A1263="BL",A1263="BR",A1263="BS"),AG1263&gt;0,D1263&lt;&gt;""),A1263&amp;"|"&amp;AG1263&amp;"|"&amp;D1263&amp;"|"&amp;F1263,"")</f>
        <v/>
      </c>
      <c r="Z1263" s="57" t="str">
        <f>IF(Y1263="","",IF(COUNTIF(Y$6:Y1262,Y1263)=0,1,0))</f>
        <v/>
      </c>
      <c r="AA1263" s="57" t="str">
        <f>IF(Y1263="","",IF(Z1263=1,COUNTIFS(A$6:A1263,A1263,Z$6:Z1263,1),INDEX(AA$6:AA1262,MATCH(Y1263,Y$6:Y1262,0))))</f>
        <v/>
      </c>
      <c r="AB1263" s="57" t="str">
        <f>IF(B1263="","",COUNTIF(B$6:B1263,B1263))</f>
        <v/>
      </c>
      <c r="AC1263" s="57" t="str">
        <f>IF(B1263="","",B1263&amp;"#"&amp;AB1263)</f>
        <v/>
      </c>
      <c r="AD1263" s="57" t="str">
        <f>IF(Z1263=1,A1263&amp;AA1263,"")</f>
        <v/>
      </c>
      <c r="AE1263" s="57" t="str">
        <f>IF(B1263="","",YEAR(C1263))</f>
        <v/>
      </c>
      <c r="AF1263" s="57" t="str">
        <f>IF(B1263="","",MONTH(C1263))</f>
        <v/>
      </c>
      <c r="AG1263" s="57">
        <f>IF(ISNUMBER(C1263),C1263,0)</f>
        <v>0.0</v>
      </c>
      <c r="AH1263" s="57" t="str">
        <f>IF(N(W1263)&gt;0,COUNTIF(W$6:W1263,"&gt;0"),"")</f>
        <v/>
      </c>
      <c r="AI1263" s="57" t="str">
        <f>IF(Z1263=1,COUNTIF(Z$6:Z1263,1),"")</f>
        <v/>
      </c>
    </row>
    <row r="1264">
      <c r="A1264" s="54" t="n"/>
      <c r="B1264" s="55" t="str">
        <f>IF(AA1264="","",A1264&amp;"-"&amp;RIGHT("000"&amp;AA1264,4))</f>
        <v/>
      </c>
      <c r="C1264" s="56" t="n"/>
      <c r="D1264" s="54" t="n"/>
      <c r="E1264" s="57" t="str">
        <f>IF(D1264="","",IF(A1264="BL",IFERROR(INDEX(cl_name,MATCH(D1264,cl_code,0))&amp;"","Client inconnu"),IF(A1264="BR",IFERROR(INDEX(fo_name,MATCH(D1264,fo_code,0))&amp;"","Fournisseur inconnu"),IF(A1264="BS",IF(ISNA(MATCH(D1264,p_services,0)),"Service inconnu",D1264&amp;""),""))))</f>
        <v/>
      </c>
      <c r="F1264" s="58" t="n"/>
      <c r="G1264" s="58" t="n"/>
      <c r="H1264" s="59" t="n"/>
      <c r="I1264" s="57" t="str">
        <f>IF(H1264="","",IFERROR(INDEX(art_des,MATCH(H1264,art_ref,0))&amp;"","Article inconnu"))</f>
        <v/>
      </c>
      <c r="J1264" s="60" t="str">
        <f>IF(H1264="","",IFERROR(INDEX(art_unit,MATCH(H1264,art_ref,0))&amp;"",""))</f>
        <v/>
      </c>
      <c r="K1264" s="59" t="n"/>
      <c r="L1264" s="59" t="n"/>
      <c r="M1264" s="61" t="str">
        <f>IF(OR(B1264="",NOT(ISNUMBER(K1264)),NOT(ISNUMBER(L1264))),"",IF(OR(K1264&lt;=0,L1264&lt;=0),"",ROUND(L1264-K1264,6)))</f>
        <v/>
      </c>
      <c r="N1264" s="58" t="n"/>
      <c r="O1264" s="62" t="n"/>
      <c r="P1264" s="63" t="str">
        <f>IF(OR(B1264="",NOT(ISNUMBER(L1264))),"",IF(L1264&lt;=0,"",IFERROR(ROUND(L1264*N(INDEX(art_w,MATCH(H1264,art_ref,0))),3),"")))</f>
        <v/>
      </c>
      <c r="Q1264" s="59" t="n"/>
      <c r="R1264" s="54" t="n"/>
      <c r="S1264" s="59" t="n"/>
      <c r="T1264" s="59" t="n"/>
      <c r="U1264" s="64" t="str">
        <f>IF(OR(B1264="",H1264=""),"",IFERROR(IF(A1264="BL",IF(N(INDEX(art_price,MATCH(H1264,art_ref,0)))=0,"",N(INDEX(art_price,MATCH(H1264,art_ref,0)))),IF(N(INDEX(art_cost,MATCH(H1264,art_ref,0)))=0,"",N(INDEX(art_cost,MATCH(H1264,art_ref,0))))),""))</f>
        <v/>
      </c>
      <c r="V1264" s="64" t="str">
        <f>IF(OR(U1264="",NOT(ISNUMBER(L1264))),"",IF(L1264&lt;=0,"",ROUND(L1264*U1264,2)))</f>
        <v/>
      </c>
      <c r="W1264" s="60" t="str">
        <f>IF(AND(B1264&lt;&gt;"",A1264&lt;&gt;"BS",F1264&lt;&gt;"",H1264&lt;&gt;"",ISNUMBER(K1264),ISNUMBER(L1264)),IF(AND(K1264&gt;0,L1264&gt;0,K1264-L1264&gt;0,COUNTIFS(A1265:A$2005,A1264,F1265:F$2005,F1264,H1265:H$2005,H1264,AA1265:AA$2005,"&gt;0")=0),ROUND(K1264-L1264,6),""),"")</f>
        <v/>
      </c>
      <c r="X1264" s="60" t="str">
        <f>IF(AND(A1264="",C1264="",D1264="",H1264="",L1264=""),"",IF(A1264="","Type manquant",IF(AND(A1264&lt;&gt;"BL",A1264&lt;&gt;"BR",A1264&lt;&gt;"BS"),"Type inconnu (BL, BR ou BS)",IF(AG1264=0,"Date manquante ou invalide",IF(D1264="",IF(A1264="BL","Client manquant",IF(A1264="BR","Fournisseur manquant","Service manquant")),IF(IF(A1264="BL",ISNA(MATCH(D1264,cl_code,0)),IF(A1264="BR",ISNA(MATCH(D1264,fo_code,0)),ISNA(MATCH(D1264,p_services,0)))),IF(A1264="BL","Client inconnu",IF(A1264="BR","Fournisseur inconnu","Service inconnu")),IF(H1264="","Article manquant",IF(ISNA(MATCH(H1264,art_ref,0)),"Article inconnu",IF(OR(NOT(ISNUMBER(L1264)),N(L1264)&lt;=0),"Quantité invalide",IF(AND(K1264&lt;&gt;"",OR(NOT(ISNUMBER(K1264)),N(K1264)&lt;=0)),"Qté commandée invalide",IF(AG1264&lt;SUMPRODUCT(MAX((A$6:A1263=A1264)*AG$6:AG1263)),"Date antérieure au bon précédent",IF(AND(A1264&lt;&gt;"BR",ISNUMBER(M1264),N(M1264)&gt;0),IF(A1264="BL","Livré plus que commandé","Sorti plus que demandé"),"OK"))))))))))))</f>
        <v/>
      </c>
      <c r="Y1264" s="57" t="str">
        <f>IF(AND(OR(A1264="BL",A1264="BR",A1264="BS"),AG1264&gt;0,D1264&lt;&gt;""),A1264&amp;"|"&amp;AG1264&amp;"|"&amp;D1264&amp;"|"&amp;F1264,"")</f>
        <v/>
      </c>
      <c r="Z1264" s="57" t="str">
        <f>IF(Y1264="","",IF(COUNTIF(Y$6:Y1263,Y1264)=0,1,0))</f>
        <v/>
      </c>
      <c r="AA1264" s="57" t="str">
        <f>IF(Y1264="","",IF(Z1264=1,COUNTIFS(A$6:A1264,A1264,Z$6:Z1264,1),INDEX(AA$6:AA1263,MATCH(Y1264,Y$6:Y1263,0))))</f>
        <v/>
      </c>
      <c r="AB1264" s="57" t="str">
        <f>IF(B1264="","",COUNTIF(B$6:B1264,B1264))</f>
        <v/>
      </c>
      <c r="AC1264" s="57" t="str">
        <f>IF(B1264="","",B1264&amp;"#"&amp;AB1264)</f>
        <v/>
      </c>
      <c r="AD1264" s="57" t="str">
        <f>IF(Z1264=1,A1264&amp;AA1264,"")</f>
        <v/>
      </c>
      <c r="AE1264" s="57" t="str">
        <f>IF(B1264="","",YEAR(C1264))</f>
        <v/>
      </c>
      <c r="AF1264" s="57" t="str">
        <f>IF(B1264="","",MONTH(C1264))</f>
        <v/>
      </c>
      <c r="AG1264" s="57">
        <f>IF(ISNUMBER(C1264),C1264,0)</f>
        <v>0.0</v>
      </c>
      <c r="AH1264" s="57" t="str">
        <f>IF(N(W1264)&gt;0,COUNTIF(W$6:W1264,"&gt;0"),"")</f>
        <v/>
      </c>
      <c r="AI1264" s="57" t="str">
        <f>IF(Z1264=1,COUNTIF(Z$6:Z1264,1),"")</f>
        <v/>
      </c>
    </row>
    <row r="1265">
      <c r="A1265" s="54" t="n"/>
      <c r="B1265" s="55" t="str">
        <f>IF(AA1265="","",A1265&amp;"-"&amp;RIGHT("000"&amp;AA1265,4))</f>
        <v/>
      </c>
      <c r="C1265" s="56" t="n"/>
      <c r="D1265" s="54" t="n"/>
      <c r="E1265" s="57" t="str">
        <f>IF(D1265="","",IF(A1265="BL",IFERROR(INDEX(cl_name,MATCH(D1265,cl_code,0))&amp;"","Client inconnu"),IF(A1265="BR",IFERROR(INDEX(fo_name,MATCH(D1265,fo_code,0))&amp;"","Fournisseur inconnu"),IF(A1265="BS",IF(ISNA(MATCH(D1265,p_services,0)),"Service inconnu",D1265&amp;""),""))))</f>
        <v/>
      </c>
      <c r="F1265" s="58" t="n"/>
      <c r="G1265" s="58" t="n"/>
      <c r="H1265" s="59" t="n"/>
      <c r="I1265" s="57" t="str">
        <f>IF(H1265="","",IFERROR(INDEX(art_des,MATCH(H1265,art_ref,0))&amp;"","Article inconnu"))</f>
        <v/>
      </c>
      <c r="J1265" s="60" t="str">
        <f>IF(H1265="","",IFERROR(INDEX(art_unit,MATCH(H1265,art_ref,0))&amp;"",""))</f>
        <v/>
      </c>
      <c r="K1265" s="59" t="n"/>
      <c r="L1265" s="59" t="n"/>
      <c r="M1265" s="61" t="str">
        <f>IF(OR(B1265="",NOT(ISNUMBER(K1265)),NOT(ISNUMBER(L1265))),"",IF(OR(K1265&lt;=0,L1265&lt;=0),"",ROUND(L1265-K1265,6)))</f>
        <v/>
      </c>
      <c r="N1265" s="58" t="n"/>
      <c r="O1265" s="62" t="n"/>
      <c r="P1265" s="63" t="str">
        <f>IF(OR(B1265="",NOT(ISNUMBER(L1265))),"",IF(L1265&lt;=0,"",IFERROR(ROUND(L1265*N(INDEX(art_w,MATCH(H1265,art_ref,0))),3),"")))</f>
        <v/>
      </c>
      <c r="Q1265" s="59" t="n"/>
      <c r="R1265" s="54" t="n"/>
      <c r="S1265" s="59" t="n"/>
      <c r="T1265" s="59" t="n"/>
      <c r="U1265" s="64" t="str">
        <f>IF(OR(B1265="",H1265=""),"",IFERROR(IF(A1265="BL",IF(N(INDEX(art_price,MATCH(H1265,art_ref,0)))=0,"",N(INDEX(art_price,MATCH(H1265,art_ref,0)))),IF(N(INDEX(art_cost,MATCH(H1265,art_ref,0)))=0,"",N(INDEX(art_cost,MATCH(H1265,art_ref,0))))),""))</f>
        <v/>
      </c>
      <c r="V1265" s="64" t="str">
        <f>IF(OR(U1265="",NOT(ISNUMBER(L1265))),"",IF(L1265&lt;=0,"",ROUND(L1265*U1265,2)))</f>
        <v/>
      </c>
      <c r="W1265" s="60" t="str">
        <f>IF(AND(B1265&lt;&gt;"",A1265&lt;&gt;"BS",F1265&lt;&gt;"",H1265&lt;&gt;"",ISNUMBER(K1265),ISNUMBER(L1265)),IF(AND(K1265&gt;0,L1265&gt;0,K1265-L1265&gt;0,COUNTIFS(A1266:A$2005,A1265,F1266:F$2005,F1265,H1266:H$2005,H1265,AA1266:AA$2005,"&gt;0")=0),ROUND(K1265-L1265,6),""),"")</f>
        <v/>
      </c>
      <c r="X1265" s="60" t="str">
        <f>IF(AND(A1265="",C1265="",D1265="",H1265="",L1265=""),"",IF(A1265="","Type manquant",IF(AND(A1265&lt;&gt;"BL",A1265&lt;&gt;"BR",A1265&lt;&gt;"BS"),"Type inconnu (BL, BR ou BS)",IF(AG1265=0,"Date manquante ou invalide",IF(D1265="",IF(A1265="BL","Client manquant",IF(A1265="BR","Fournisseur manquant","Service manquant")),IF(IF(A1265="BL",ISNA(MATCH(D1265,cl_code,0)),IF(A1265="BR",ISNA(MATCH(D1265,fo_code,0)),ISNA(MATCH(D1265,p_services,0)))),IF(A1265="BL","Client inconnu",IF(A1265="BR","Fournisseur inconnu","Service inconnu")),IF(H1265="","Article manquant",IF(ISNA(MATCH(H1265,art_ref,0)),"Article inconnu",IF(OR(NOT(ISNUMBER(L1265)),N(L1265)&lt;=0),"Quantité invalide",IF(AND(K1265&lt;&gt;"",OR(NOT(ISNUMBER(K1265)),N(K1265)&lt;=0)),"Qté commandée invalide",IF(AG1265&lt;SUMPRODUCT(MAX((A$6:A1264=A1265)*AG$6:AG1264)),"Date antérieure au bon précédent",IF(AND(A1265&lt;&gt;"BR",ISNUMBER(M1265),N(M1265)&gt;0),IF(A1265="BL","Livré plus que commandé","Sorti plus que demandé"),"OK"))))))))))))</f>
        <v/>
      </c>
      <c r="Y1265" s="57" t="str">
        <f>IF(AND(OR(A1265="BL",A1265="BR",A1265="BS"),AG1265&gt;0,D1265&lt;&gt;""),A1265&amp;"|"&amp;AG1265&amp;"|"&amp;D1265&amp;"|"&amp;F1265,"")</f>
        <v/>
      </c>
      <c r="Z1265" s="57" t="str">
        <f>IF(Y1265="","",IF(COUNTIF(Y$6:Y1264,Y1265)=0,1,0))</f>
        <v/>
      </c>
      <c r="AA1265" s="57" t="str">
        <f>IF(Y1265="","",IF(Z1265=1,COUNTIFS(A$6:A1265,A1265,Z$6:Z1265,1),INDEX(AA$6:AA1264,MATCH(Y1265,Y$6:Y1264,0))))</f>
        <v/>
      </c>
      <c r="AB1265" s="57" t="str">
        <f>IF(B1265="","",COUNTIF(B$6:B1265,B1265))</f>
        <v/>
      </c>
      <c r="AC1265" s="57" t="str">
        <f>IF(B1265="","",B1265&amp;"#"&amp;AB1265)</f>
        <v/>
      </c>
      <c r="AD1265" s="57" t="str">
        <f>IF(Z1265=1,A1265&amp;AA1265,"")</f>
        <v/>
      </c>
      <c r="AE1265" s="57" t="str">
        <f>IF(B1265="","",YEAR(C1265))</f>
        <v/>
      </c>
      <c r="AF1265" s="57" t="str">
        <f>IF(B1265="","",MONTH(C1265))</f>
        <v/>
      </c>
      <c r="AG1265" s="57">
        <f>IF(ISNUMBER(C1265),C1265,0)</f>
        <v>0.0</v>
      </c>
      <c r="AH1265" s="57" t="str">
        <f>IF(N(W1265)&gt;0,COUNTIF(W$6:W1265,"&gt;0"),"")</f>
        <v/>
      </c>
      <c r="AI1265" s="57" t="str">
        <f>IF(Z1265=1,COUNTIF(Z$6:Z1265,1),"")</f>
        <v/>
      </c>
    </row>
    <row r="1266">
      <c r="A1266" s="54" t="n"/>
      <c r="B1266" s="55" t="str">
        <f>IF(AA1266="","",A1266&amp;"-"&amp;RIGHT("000"&amp;AA1266,4))</f>
        <v/>
      </c>
      <c r="C1266" s="56" t="n"/>
      <c r="D1266" s="54" t="n"/>
      <c r="E1266" s="57" t="str">
        <f>IF(D1266="","",IF(A1266="BL",IFERROR(INDEX(cl_name,MATCH(D1266,cl_code,0))&amp;"","Client inconnu"),IF(A1266="BR",IFERROR(INDEX(fo_name,MATCH(D1266,fo_code,0))&amp;"","Fournisseur inconnu"),IF(A1266="BS",IF(ISNA(MATCH(D1266,p_services,0)),"Service inconnu",D1266&amp;""),""))))</f>
        <v/>
      </c>
      <c r="F1266" s="58" t="n"/>
      <c r="G1266" s="58" t="n"/>
      <c r="H1266" s="59" t="n"/>
      <c r="I1266" s="57" t="str">
        <f>IF(H1266="","",IFERROR(INDEX(art_des,MATCH(H1266,art_ref,0))&amp;"","Article inconnu"))</f>
        <v/>
      </c>
      <c r="J1266" s="60" t="str">
        <f>IF(H1266="","",IFERROR(INDEX(art_unit,MATCH(H1266,art_ref,0))&amp;"",""))</f>
        <v/>
      </c>
      <c r="K1266" s="59" t="n"/>
      <c r="L1266" s="59" t="n"/>
      <c r="M1266" s="61" t="str">
        <f>IF(OR(B1266="",NOT(ISNUMBER(K1266)),NOT(ISNUMBER(L1266))),"",IF(OR(K1266&lt;=0,L1266&lt;=0),"",ROUND(L1266-K1266,6)))</f>
        <v/>
      </c>
      <c r="N1266" s="58" t="n"/>
      <c r="O1266" s="62" t="n"/>
      <c r="P1266" s="63" t="str">
        <f>IF(OR(B1266="",NOT(ISNUMBER(L1266))),"",IF(L1266&lt;=0,"",IFERROR(ROUND(L1266*N(INDEX(art_w,MATCH(H1266,art_ref,0))),3),"")))</f>
        <v/>
      </c>
      <c r="Q1266" s="59" t="n"/>
      <c r="R1266" s="54" t="n"/>
      <c r="S1266" s="59" t="n"/>
      <c r="T1266" s="59" t="n"/>
      <c r="U1266" s="64" t="str">
        <f>IF(OR(B1266="",H1266=""),"",IFERROR(IF(A1266="BL",IF(N(INDEX(art_price,MATCH(H1266,art_ref,0)))=0,"",N(INDEX(art_price,MATCH(H1266,art_ref,0)))),IF(N(INDEX(art_cost,MATCH(H1266,art_ref,0)))=0,"",N(INDEX(art_cost,MATCH(H1266,art_ref,0))))),""))</f>
        <v/>
      </c>
      <c r="V1266" s="64" t="str">
        <f>IF(OR(U1266="",NOT(ISNUMBER(L1266))),"",IF(L1266&lt;=0,"",ROUND(L1266*U1266,2)))</f>
        <v/>
      </c>
      <c r="W1266" s="60" t="str">
        <f>IF(AND(B1266&lt;&gt;"",A1266&lt;&gt;"BS",F1266&lt;&gt;"",H1266&lt;&gt;"",ISNUMBER(K1266),ISNUMBER(L1266)),IF(AND(K1266&gt;0,L1266&gt;0,K1266-L1266&gt;0,COUNTIFS(A1267:A$2005,A1266,F1267:F$2005,F1266,H1267:H$2005,H1266,AA1267:AA$2005,"&gt;0")=0),ROUND(K1266-L1266,6),""),"")</f>
        <v/>
      </c>
      <c r="X1266" s="60" t="str">
        <f>IF(AND(A1266="",C1266="",D1266="",H1266="",L1266=""),"",IF(A1266="","Type manquant",IF(AND(A1266&lt;&gt;"BL",A1266&lt;&gt;"BR",A1266&lt;&gt;"BS"),"Type inconnu (BL, BR ou BS)",IF(AG1266=0,"Date manquante ou invalide",IF(D1266="",IF(A1266="BL","Client manquant",IF(A1266="BR","Fournisseur manquant","Service manquant")),IF(IF(A1266="BL",ISNA(MATCH(D1266,cl_code,0)),IF(A1266="BR",ISNA(MATCH(D1266,fo_code,0)),ISNA(MATCH(D1266,p_services,0)))),IF(A1266="BL","Client inconnu",IF(A1266="BR","Fournisseur inconnu","Service inconnu")),IF(H1266="","Article manquant",IF(ISNA(MATCH(H1266,art_ref,0)),"Article inconnu",IF(OR(NOT(ISNUMBER(L1266)),N(L1266)&lt;=0),"Quantité invalide",IF(AND(K1266&lt;&gt;"",OR(NOT(ISNUMBER(K1266)),N(K1266)&lt;=0)),"Qté commandée invalide",IF(AG1266&lt;SUMPRODUCT(MAX((A$6:A1265=A1266)*AG$6:AG1265)),"Date antérieure au bon précédent",IF(AND(A1266&lt;&gt;"BR",ISNUMBER(M1266),N(M1266)&gt;0),IF(A1266="BL","Livré plus que commandé","Sorti plus que demandé"),"OK"))))))))))))</f>
        <v/>
      </c>
      <c r="Y1266" s="57" t="str">
        <f>IF(AND(OR(A1266="BL",A1266="BR",A1266="BS"),AG1266&gt;0,D1266&lt;&gt;""),A1266&amp;"|"&amp;AG1266&amp;"|"&amp;D1266&amp;"|"&amp;F1266,"")</f>
        <v/>
      </c>
      <c r="Z1266" s="57" t="str">
        <f>IF(Y1266="","",IF(COUNTIF(Y$6:Y1265,Y1266)=0,1,0))</f>
        <v/>
      </c>
      <c r="AA1266" s="57" t="str">
        <f>IF(Y1266="","",IF(Z1266=1,COUNTIFS(A$6:A1266,A1266,Z$6:Z1266,1),INDEX(AA$6:AA1265,MATCH(Y1266,Y$6:Y1265,0))))</f>
        <v/>
      </c>
      <c r="AB1266" s="57" t="str">
        <f>IF(B1266="","",COUNTIF(B$6:B1266,B1266))</f>
        <v/>
      </c>
      <c r="AC1266" s="57" t="str">
        <f>IF(B1266="","",B1266&amp;"#"&amp;AB1266)</f>
        <v/>
      </c>
      <c r="AD1266" s="57" t="str">
        <f>IF(Z1266=1,A1266&amp;AA1266,"")</f>
        <v/>
      </c>
      <c r="AE1266" s="57" t="str">
        <f>IF(B1266="","",YEAR(C1266))</f>
        <v/>
      </c>
      <c r="AF1266" s="57" t="str">
        <f>IF(B1266="","",MONTH(C1266))</f>
        <v/>
      </c>
      <c r="AG1266" s="57">
        <f>IF(ISNUMBER(C1266),C1266,0)</f>
        <v>0.0</v>
      </c>
      <c r="AH1266" s="57" t="str">
        <f>IF(N(W1266)&gt;0,COUNTIF(W$6:W1266,"&gt;0"),"")</f>
        <v/>
      </c>
      <c r="AI1266" s="57" t="str">
        <f>IF(Z1266=1,COUNTIF(Z$6:Z1266,1),"")</f>
        <v/>
      </c>
    </row>
    <row r="1267">
      <c r="A1267" s="54" t="n"/>
      <c r="B1267" s="55" t="str">
        <f>IF(AA1267="","",A1267&amp;"-"&amp;RIGHT("000"&amp;AA1267,4))</f>
        <v/>
      </c>
      <c r="C1267" s="56" t="n"/>
      <c r="D1267" s="54" t="n"/>
      <c r="E1267" s="57" t="str">
        <f>IF(D1267="","",IF(A1267="BL",IFERROR(INDEX(cl_name,MATCH(D1267,cl_code,0))&amp;"","Client inconnu"),IF(A1267="BR",IFERROR(INDEX(fo_name,MATCH(D1267,fo_code,0))&amp;"","Fournisseur inconnu"),IF(A1267="BS",IF(ISNA(MATCH(D1267,p_services,0)),"Service inconnu",D1267&amp;""),""))))</f>
        <v/>
      </c>
      <c r="F1267" s="58" t="n"/>
      <c r="G1267" s="58" t="n"/>
      <c r="H1267" s="59" t="n"/>
      <c r="I1267" s="57" t="str">
        <f>IF(H1267="","",IFERROR(INDEX(art_des,MATCH(H1267,art_ref,0))&amp;"","Article inconnu"))</f>
        <v/>
      </c>
      <c r="J1267" s="60" t="str">
        <f>IF(H1267="","",IFERROR(INDEX(art_unit,MATCH(H1267,art_ref,0))&amp;"",""))</f>
        <v/>
      </c>
      <c r="K1267" s="59" t="n"/>
      <c r="L1267" s="59" t="n"/>
      <c r="M1267" s="61" t="str">
        <f>IF(OR(B1267="",NOT(ISNUMBER(K1267)),NOT(ISNUMBER(L1267))),"",IF(OR(K1267&lt;=0,L1267&lt;=0),"",ROUND(L1267-K1267,6)))</f>
        <v/>
      </c>
      <c r="N1267" s="58" t="n"/>
      <c r="O1267" s="62" t="n"/>
      <c r="P1267" s="63" t="str">
        <f>IF(OR(B1267="",NOT(ISNUMBER(L1267))),"",IF(L1267&lt;=0,"",IFERROR(ROUND(L1267*N(INDEX(art_w,MATCH(H1267,art_ref,0))),3),"")))</f>
        <v/>
      </c>
      <c r="Q1267" s="59" t="n"/>
      <c r="R1267" s="54" t="n"/>
      <c r="S1267" s="59" t="n"/>
      <c r="T1267" s="59" t="n"/>
      <c r="U1267" s="64" t="str">
        <f>IF(OR(B1267="",H1267=""),"",IFERROR(IF(A1267="BL",IF(N(INDEX(art_price,MATCH(H1267,art_ref,0)))=0,"",N(INDEX(art_price,MATCH(H1267,art_ref,0)))),IF(N(INDEX(art_cost,MATCH(H1267,art_ref,0)))=0,"",N(INDEX(art_cost,MATCH(H1267,art_ref,0))))),""))</f>
        <v/>
      </c>
      <c r="V1267" s="64" t="str">
        <f>IF(OR(U1267="",NOT(ISNUMBER(L1267))),"",IF(L1267&lt;=0,"",ROUND(L1267*U1267,2)))</f>
        <v/>
      </c>
      <c r="W1267" s="60" t="str">
        <f>IF(AND(B1267&lt;&gt;"",A1267&lt;&gt;"BS",F1267&lt;&gt;"",H1267&lt;&gt;"",ISNUMBER(K1267),ISNUMBER(L1267)),IF(AND(K1267&gt;0,L1267&gt;0,K1267-L1267&gt;0,COUNTIFS(A1268:A$2005,A1267,F1268:F$2005,F1267,H1268:H$2005,H1267,AA1268:AA$2005,"&gt;0")=0),ROUND(K1267-L1267,6),""),"")</f>
        <v/>
      </c>
      <c r="X1267" s="60" t="str">
        <f>IF(AND(A1267="",C1267="",D1267="",H1267="",L1267=""),"",IF(A1267="","Type manquant",IF(AND(A1267&lt;&gt;"BL",A1267&lt;&gt;"BR",A1267&lt;&gt;"BS"),"Type inconnu (BL, BR ou BS)",IF(AG1267=0,"Date manquante ou invalide",IF(D1267="",IF(A1267="BL","Client manquant",IF(A1267="BR","Fournisseur manquant","Service manquant")),IF(IF(A1267="BL",ISNA(MATCH(D1267,cl_code,0)),IF(A1267="BR",ISNA(MATCH(D1267,fo_code,0)),ISNA(MATCH(D1267,p_services,0)))),IF(A1267="BL","Client inconnu",IF(A1267="BR","Fournisseur inconnu","Service inconnu")),IF(H1267="","Article manquant",IF(ISNA(MATCH(H1267,art_ref,0)),"Article inconnu",IF(OR(NOT(ISNUMBER(L1267)),N(L1267)&lt;=0),"Quantité invalide",IF(AND(K1267&lt;&gt;"",OR(NOT(ISNUMBER(K1267)),N(K1267)&lt;=0)),"Qté commandée invalide",IF(AG1267&lt;SUMPRODUCT(MAX((A$6:A1266=A1267)*AG$6:AG1266)),"Date antérieure au bon précédent",IF(AND(A1267&lt;&gt;"BR",ISNUMBER(M1267),N(M1267)&gt;0),IF(A1267="BL","Livré plus que commandé","Sorti plus que demandé"),"OK"))))))))))))</f>
        <v/>
      </c>
      <c r="Y1267" s="57" t="str">
        <f>IF(AND(OR(A1267="BL",A1267="BR",A1267="BS"),AG1267&gt;0,D1267&lt;&gt;""),A1267&amp;"|"&amp;AG1267&amp;"|"&amp;D1267&amp;"|"&amp;F1267,"")</f>
        <v/>
      </c>
      <c r="Z1267" s="57" t="str">
        <f>IF(Y1267="","",IF(COUNTIF(Y$6:Y1266,Y1267)=0,1,0))</f>
        <v/>
      </c>
      <c r="AA1267" s="57" t="str">
        <f>IF(Y1267="","",IF(Z1267=1,COUNTIFS(A$6:A1267,A1267,Z$6:Z1267,1),INDEX(AA$6:AA1266,MATCH(Y1267,Y$6:Y1266,0))))</f>
        <v/>
      </c>
      <c r="AB1267" s="57" t="str">
        <f>IF(B1267="","",COUNTIF(B$6:B1267,B1267))</f>
        <v/>
      </c>
      <c r="AC1267" s="57" t="str">
        <f>IF(B1267="","",B1267&amp;"#"&amp;AB1267)</f>
        <v/>
      </c>
      <c r="AD1267" s="57" t="str">
        <f>IF(Z1267=1,A1267&amp;AA1267,"")</f>
        <v/>
      </c>
      <c r="AE1267" s="57" t="str">
        <f>IF(B1267="","",YEAR(C1267))</f>
        <v/>
      </c>
      <c r="AF1267" s="57" t="str">
        <f>IF(B1267="","",MONTH(C1267))</f>
        <v/>
      </c>
      <c r="AG1267" s="57">
        <f>IF(ISNUMBER(C1267),C1267,0)</f>
        <v>0.0</v>
      </c>
      <c r="AH1267" s="57" t="str">
        <f>IF(N(W1267)&gt;0,COUNTIF(W$6:W1267,"&gt;0"),"")</f>
        <v/>
      </c>
      <c r="AI1267" s="57" t="str">
        <f>IF(Z1267=1,COUNTIF(Z$6:Z1267,1),"")</f>
        <v/>
      </c>
    </row>
    <row r="1268">
      <c r="A1268" s="54" t="n"/>
      <c r="B1268" s="55" t="str">
        <f>IF(AA1268="","",A1268&amp;"-"&amp;RIGHT("000"&amp;AA1268,4))</f>
        <v/>
      </c>
      <c r="C1268" s="56" t="n"/>
      <c r="D1268" s="54" t="n"/>
      <c r="E1268" s="57" t="str">
        <f>IF(D1268="","",IF(A1268="BL",IFERROR(INDEX(cl_name,MATCH(D1268,cl_code,0))&amp;"","Client inconnu"),IF(A1268="BR",IFERROR(INDEX(fo_name,MATCH(D1268,fo_code,0))&amp;"","Fournisseur inconnu"),IF(A1268="BS",IF(ISNA(MATCH(D1268,p_services,0)),"Service inconnu",D1268&amp;""),""))))</f>
        <v/>
      </c>
      <c r="F1268" s="58" t="n"/>
      <c r="G1268" s="58" t="n"/>
      <c r="H1268" s="59" t="n"/>
      <c r="I1268" s="57" t="str">
        <f>IF(H1268="","",IFERROR(INDEX(art_des,MATCH(H1268,art_ref,0))&amp;"","Article inconnu"))</f>
        <v/>
      </c>
      <c r="J1268" s="60" t="str">
        <f>IF(H1268="","",IFERROR(INDEX(art_unit,MATCH(H1268,art_ref,0))&amp;"",""))</f>
        <v/>
      </c>
      <c r="K1268" s="59" t="n"/>
      <c r="L1268" s="59" t="n"/>
      <c r="M1268" s="61" t="str">
        <f>IF(OR(B1268="",NOT(ISNUMBER(K1268)),NOT(ISNUMBER(L1268))),"",IF(OR(K1268&lt;=0,L1268&lt;=0),"",ROUND(L1268-K1268,6)))</f>
        <v/>
      </c>
      <c r="N1268" s="58" t="n"/>
      <c r="O1268" s="62" t="n"/>
      <c r="P1268" s="63" t="str">
        <f>IF(OR(B1268="",NOT(ISNUMBER(L1268))),"",IF(L1268&lt;=0,"",IFERROR(ROUND(L1268*N(INDEX(art_w,MATCH(H1268,art_ref,0))),3),"")))</f>
        <v/>
      </c>
      <c r="Q1268" s="59" t="n"/>
      <c r="R1268" s="54" t="n"/>
      <c r="S1268" s="59" t="n"/>
      <c r="T1268" s="59" t="n"/>
      <c r="U1268" s="64" t="str">
        <f>IF(OR(B1268="",H1268=""),"",IFERROR(IF(A1268="BL",IF(N(INDEX(art_price,MATCH(H1268,art_ref,0)))=0,"",N(INDEX(art_price,MATCH(H1268,art_ref,0)))),IF(N(INDEX(art_cost,MATCH(H1268,art_ref,0)))=0,"",N(INDEX(art_cost,MATCH(H1268,art_ref,0))))),""))</f>
        <v/>
      </c>
      <c r="V1268" s="64" t="str">
        <f>IF(OR(U1268="",NOT(ISNUMBER(L1268))),"",IF(L1268&lt;=0,"",ROUND(L1268*U1268,2)))</f>
        <v/>
      </c>
      <c r="W1268" s="60" t="str">
        <f>IF(AND(B1268&lt;&gt;"",A1268&lt;&gt;"BS",F1268&lt;&gt;"",H1268&lt;&gt;"",ISNUMBER(K1268),ISNUMBER(L1268)),IF(AND(K1268&gt;0,L1268&gt;0,K1268-L1268&gt;0,COUNTIFS(A1269:A$2005,A1268,F1269:F$2005,F1268,H1269:H$2005,H1268,AA1269:AA$2005,"&gt;0")=0),ROUND(K1268-L1268,6),""),"")</f>
        <v/>
      </c>
      <c r="X1268" s="60" t="str">
        <f>IF(AND(A1268="",C1268="",D1268="",H1268="",L1268=""),"",IF(A1268="","Type manquant",IF(AND(A1268&lt;&gt;"BL",A1268&lt;&gt;"BR",A1268&lt;&gt;"BS"),"Type inconnu (BL, BR ou BS)",IF(AG1268=0,"Date manquante ou invalide",IF(D1268="",IF(A1268="BL","Client manquant",IF(A1268="BR","Fournisseur manquant","Service manquant")),IF(IF(A1268="BL",ISNA(MATCH(D1268,cl_code,0)),IF(A1268="BR",ISNA(MATCH(D1268,fo_code,0)),ISNA(MATCH(D1268,p_services,0)))),IF(A1268="BL","Client inconnu",IF(A1268="BR","Fournisseur inconnu","Service inconnu")),IF(H1268="","Article manquant",IF(ISNA(MATCH(H1268,art_ref,0)),"Article inconnu",IF(OR(NOT(ISNUMBER(L1268)),N(L1268)&lt;=0),"Quantité invalide",IF(AND(K1268&lt;&gt;"",OR(NOT(ISNUMBER(K1268)),N(K1268)&lt;=0)),"Qté commandée invalide",IF(AG1268&lt;SUMPRODUCT(MAX((A$6:A1267=A1268)*AG$6:AG1267)),"Date antérieure au bon précédent",IF(AND(A1268&lt;&gt;"BR",ISNUMBER(M1268),N(M1268)&gt;0),IF(A1268="BL","Livré plus que commandé","Sorti plus que demandé"),"OK"))))))))))))</f>
        <v/>
      </c>
      <c r="Y1268" s="57" t="str">
        <f>IF(AND(OR(A1268="BL",A1268="BR",A1268="BS"),AG1268&gt;0,D1268&lt;&gt;""),A1268&amp;"|"&amp;AG1268&amp;"|"&amp;D1268&amp;"|"&amp;F1268,"")</f>
        <v/>
      </c>
      <c r="Z1268" s="57" t="str">
        <f>IF(Y1268="","",IF(COUNTIF(Y$6:Y1267,Y1268)=0,1,0))</f>
        <v/>
      </c>
      <c r="AA1268" s="57" t="str">
        <f>IF(Y1268="","",IF(Z1268=1,COUNTIFS(A$6:A1268,A1268,Z$6:Z1268,1),INDEX(AA$6:AA1267,MATCH(Y1268,Y$6:Y1267,0))))</f>
        <v/>
      </c>
      <c r="AB1268" s="57" t="str">
        <f>IF(B1268="","",COUNTIF(B$6:B1268,B1268))</f>
        <v/>
      </c>
      <c r="AC1268" s="57" t="str">
        <f>IF(B1268="","",B1268&amp;"#"&amp;AB1268)</f>
        <v/>
      </c>
      <c r="AD1268" s="57" t="str">
        <f>IF(Z1268=1,A1268&amp;AA1268,"")</f>
        <v/>
      </c>
      <c r="AE1268" s="57" t="str">
        <f>IF(B1268="","",YEAR(C1268))</f>
        <v/>
      </c>
      <c r="AF1268" s="57" t="str">
        <f>IF(B1268="","",MONTH(C1268))</f>
        <v/>
      </c>
      <c r="AG1268" s="57">
        <f>IF(ISNUMBER(C1268),C1268,0)</f>
        <v>0.0</v>
      </c>
      <c r="AH1268" s="57" t="str">
        <f>IF(N(W1268)&gt;0,COUNTIF(W$6:W1268,"&gt;0"),"")</f>
        <v/>
      </c>
      <c r="AI1268" s="57" t="str">
        <f>IF(Z1268=1,COUNTIF(Z$6:Z1268,1),"")</f>
        <v/>
      </c>
    </row>
    <row r="1269">
      <c r="A1269" s="54" t="n"/>
      <c r="B1269" s="55" t="str">
        <f>IF(AA1269="","",A1269&amp;"-"&amp;RIGHT("000"&amp;AA1269,4))</f>
        <v/>
      </c>
      <c r="C1269" s="56" t="n"/>
      <c r="D1269" s="54" t="n"/>
      <c r="E1269" s="57" t="str">
        <f>IF(D1269="","",IF(A1269="BL",IFERROR(INDEX(cl_name,MATCH(D1269,cl_code,0))&amp;"","Client inconnu"),IF(A1269="BR",IFERROR(INDEX(fo_name,MATCH(D1269,fo_code,0))&amp;"","Fournisseur inconnu"),IF(A1269="BS",IF(ISNA(MATCH(D1269,p_services,0)),"Service inconnu",D1269&amp;""),""))))</f>
        <v/>
      </c>
      <c r="F1269" s="58" t="n"/>
      <c r="G1269" s="58" t="n"/>
      <c r="H1269" s="59" t="n"/>
      <c r="I1269" s="57" t="str">
        <f>IF(H1269="","",IFERROR(INDEX(art_des,MATCH(H1269,art_ref,0))&amp;"","Article inconnu"))</f>
        <v/>
      </c>
      <c r="J1269" s="60" t="str">
        <f>IF(H1269="","",IFERROR(INDEX(art_unit,MATCH(H1269,art_ref,0))&amp;"",""))</f>
        <v/>
      </c>
      <c r="K1269" s="59" t="n"/>
      <c r="L1269" s="59" t="n"/>
      <c r="M1269" s="61" t="str">
        <f>IF(OR(B1269="",NOT(ISNUMBER(K1269)),NOT(ISNUMBER(L1269))),"",IF(OR(K1269&lt;=0,L1269&lt;=0),"",ROUND(L1269-K1269,6)))</f>
        <v/>
      </c>
      <c r="N1269" s="58" t="n"/>
      <c r="O1269" s="62" t="n"/>
      <c r="P1269" s="63" t="str">
        <f>IF(OR(B1269="",NOT(ISNUMBER(L1269))),"",IF(L1269&lt;=0,"",IFERROR(ROUND(L1269*N(INDEX(art_w,MATCH(H1269,art_ref,0))),3),"")))</f>
        <v/>
      </c>
      <c r="Q1269" s="59" t="n"/>
      <c r="R1269" s="54" t="n"/>
      <c r="S1269" s="59" t="n"/>
      <c r="T1269" s="59" t="n"/>
      <c r="U1269" s="64" t="str">
        <f>IF(OR(B1269="",H1269=""),"",IFERROR(IF(A1269="BL",IF(N(INDEX(art_price,MATCH(H1269,art_ref,0)))=0,"",N(INDEX(art_price,MATCH(H1269,art_ref,0)))),IF(N(INDEX(art_cost,MATCH(H1269,art_ref,0)))=0,"",N(INDEX(art_cost,MATCH(H1269,art_ref,0))))),""))</f>
        <v/>
      </c>
      <c r="V1269" s="64" t="str">
        <f>IF(OR(U1269="",NOT(ISNUMBER(L1269))),"",IF(L1269&lt;=0,"",ROUND(L1269*U1269,2)))</f>
        <v/>
      </c>
      <c r="W1269" s="60" t="str">
        <f>IF(AND(B1269&lt;&gt;"",A1269&lt;&gt;"BS",F1269&lt;&gt;"",H1269&lt;&gt;"",ISNUMBER(K1269),ISNUMBER(L1269)),IF(AND(K1269&gt;0,L1269&gt;0,K1269-L1269&gt;0,COUNTIFS(A1270:A$2005,A1269,F1270:F$2005,F1269,H1270:H$2005,H1269,AA1270:AA$2005,"&gt;0")=0),ROUND(K1269-L1269,6),""),"")</f>
        <v/>
      </c>
      <c r="X1269" s="60" t="str">
        <f>IF(AND(A1269="",C1269="",D1269="",H1269="",L1269=""),"",IF(A1269="","Type manquant",IF(AND(A1269&lt;&gt;"BL",A1269&lt;&gt;"BR",A1269&lt;&gt;"BS"),"Type inconnu (BL, BR ou BS)",IF(AG1269=0,"Date manquante ou invalide",IF(D1269="",IF(A1269="BL","Client manquant",IF(A1269="BR","Fournisseur manquant","Service manquant")),IF(IF(A1269="BL",ISNA(MATCH(D1269,cl_code,0)),IF(A1269="BR",ISNA(MATCH(D1269,fo_code,0)),ISNA(MATCH(D1269,p_services,0)))),IF(A1269="BL","Client inconnu",IF(A1269="BR","Fournisseur inconnu","Service inconnu")),IF(H1269="","Article manquant",IF(ISNA(MATCH(H1269,art_ref,0)),"Article inconnu",IF(OR(NOT(ISNUMBER(L1269)),N(L1269)&lt;=0),"Quantité invalide",IF(AND(K1269&lt;&gt;"",OR(NOT(ISNUMBER(K1269)),N(K1269)&lt;=0)),"Qté commandée invalide",IF(AG1269&lt;SUMPRODUCT(MAX((A$6:A1268=A1269)*AG$6:AG1268)),"Date antérieure au bon précédent",IF(AND(A1269&lt;&gt;"BR",ISNUMBER(M1269),N(M1269)&gt;0),IF(A1269="BL","Livré plus que commandé","Sorti plus que demandé"),"OK"))))))))))))</f>
        <v/>
      </c>
      <c r="Y1269" s="57" t="str">
        <f>IF(AND(OR(A1269="BL",A1269="BR",A1269="BS"),AG1269&gt;0,D1269&lt;&gt;""),A1269&amp;"|"&amp;AG1269&amp;"|"&amp;D1269&amp;"|"&amp;F1269,"")</f>
        <v/>
      </c>
      <c r="Z1269" s="57" t="str">
        <f>IF(Y1269="","",IF(COUNTIF(Y$6:Y1268,Y1269)=0,1,0))</f>
        <v/>
      </c>
      <c r="AA1269" s="57" t="str">
        <f>IF(Y1269="","",IF(Z1269=1,COUNTIFS(A$6:A1269,A1269,Z$6:Z1269,1),INDEX(AA$6:AA1268,MATCH(Y1269,Y$6:Y1268,0))))</f>
        <v/>
      </c>
      <c r="AB1269" s="57" t="str">
        <f>IF(B1269="","",COUNTIF(B$6:B1269,B1269))</f>
        <v/>
      </c>
      <c r="AC1269" s="57" t="str">
        <f>IF(B1269="","",B1269&amp;"#"&amp;AB1269)</f>
        <v/>
      </c>
      <c r="AD1269" s="57" t="str">
        <f>IF(Z1269=1,A1269&amp;AA1269,"")</f>
        <v/>
      </c>
      <c r="AE1269" s="57" t="str">
        <f>IF(B1269="","",YEAR(C1269))</f>
        <v/>
      </c>
      <c r="AF1269" s="57" t="str">
        <f>IF(B1269="","",MONTH(C1269))</f>
        <v/>
      </c>
      <c r="AG1269" s="57">
        <f>IF(ISNUMBER(C1269),C1269,0)</f>
        <v>0.0</v>
      </c>
      <c r="AH1269" s="57" t="str">
        <f>IF(N(W1269)&gt;0,COUNTIF(W$6:W1269,"&gt;0"),"")</f>
        <v/>
      </c>
      <c r="AI1269" s="57" t="str">
        <f>IF(Z1269=1,COUNTIF(Z$6:Z1269,1),"")</f>
        <v/>
      </c>
    </row>
    <row r="1270">
      <c r="A1270" s="54" t="n"/>
      <c r="B1270" s="55" t="str">
        <f>IF(AA1270="","",A1270&amp;"-"&amp;RIGHT("000"&amp;AA1270,4))</f>
        <v/>
      </c>
      <c r="C1270" s="56" t="n"/>
      <c r="D1270" s="54" t="n"/>
      <c r="E1270" s="57" t="str">
        <f>IF(D1270="","",IF(A1270="BL",IFERROR(INDEX(cl_name,MATCH(D1270,cl_code,0))&amp;"","Client inconnu"),IF(A1270="BR",IFERROR(INDEX(fo_name,MATCH(D1270,fo_code,0))&amp;"","Fournisseur inconnu"),IF(A1270="BS",IF(ISNA(MATCH(D1270,p_services,0)),"Service inconnu",D1270&amp;""),""))))</f>
        <v/>
      </c>
      <c r="F1270" s="58" t="n"/>
      <c r="G1270" s="58" t="n"/>
      <c r="H1270" s="59" t="n"/>
      <c r="I1270" s="57" t="str">
        <f>IF(H1270="","",IFERROR(INDEX(art_des,MATCH(H1270,art_ref,0))&amp;"","Article inconnu"))</f>
        <v/>
      </c>
      <c r="J1270" s="60" t="str">
        <f>IF(H1270="","",IFERROR(INDEX(art_unit,MATCH(H1270,art_ref,0))&amp;"",""))</f>
        <v/>
      </c>
      <c r="K1270" s="59" t="n"/>
      <c r="L1270" s="59" t="n"/>
      <c r="M1270" s="61" t="str">
        <f>IF(OR(B1270="",NOT(ISNUMBER(K1270)),NOT(ISNUMBER(L1270))),"",IF(OR(K1270&lt;=0,L1270&lt;=0),"",ROUND(L1270-K1270,6)))</f>
        <v/>
      </c>
      <c r="N1270" s="58" t="n"/>
      <c r="O1270" s="62" t="n"/>
      <c r="P1270" s="63" t="str">
        <f>IF(OR(B1270="",NOT(ISNUMBER(L1270))),"",IF(L1270&lt;=0,"",IFERROR(ROUND(L1270*N(INDEX(art_w,MATCH(H1270,art_ref,0))),3),"")))</f>
        <v/>
      </c>
      <c r="Q1270" s="59" t="n"/>
      <c r="R1270" s="54" t="n"/>
      <c r="S1270" s="59" t="n"/>
      <c r="T1270" s="59" t="n"/>
      <c r="U1270" s="64" t="str">
        <f>IF(OR(B1270="",H1270=""),"",IFERROR(IF(A1270="BL",IF(N(INDEX(art_price,MATCH(H1270,art_ref,0)))=0,"",N(INDEX(art_price,MATCH(H1270,art_ref,0)))),IF(N(INDEX(art_cost,MATCH(H1270,art_ref,0)))=0,"",N(INDEX(art_cost,MATCH(H1270,art_ref,0))))),""))</f>
        <v/>
      </c>
      <c r="V1270" s="64" t="str">
        <f>IF(OR(U1270="",NOT(ISNUMBER(L1270))),"",IF(L1270&lt;=0,"",ROUND(L1270*U1270,2)))</f>
        <v/>
      </c>
      <c r="W1270" s="60" t="str">
        <f>IF(AND(B1270&lt;&gt;"",A1270&lt;&gt;"BS",F1270&lt;&gt;"",H1270&lt;&gt;"",ISNUMBER(K1270),ISNUMBER(L1270)),IF(AND(K1270&gt;0,L1270&gt;0,K1270-L1270&gt;0,COUNTIFS(A1271:A$2005,A1270,F1271:F$2005,F1270,H1271:H$2005,H1270,AA1271:AA$2005,"&gt;0")=0),ROUND(K1270-L1270,6),""),"")</f>
        <v/>
      </c>
      <c r="X1270" s="60" t="str">
        <f>IF(AND(A1270="",C1270="",D1270="",H1270="",L1270=""),"",IF(A1270="","Type manquant",IF(AND(A1270&lt;&gt;"BL",A1270&lt;&gt;"BR",A1270&lt;&gt;"BS"),"Type inconnu (BL, BR ou BS)",IF(AG1270=0,"Date manquante ou invalide",IF(D1270="",IF(A1270="BL","Client manquant",IF(A1270="BR","Fournisseur manquant","Service manquant")),IF(IF(A1270="BL",ISNA(MATCH(D1270,cl_code,0)),IF(A1270="BR",ISNA(MATCH(D1270,fo_code,0)),ISNA(MATCH(D1270,p_services,0)))),IF(A1270="BL","Client inconnu",IF(A1270="BR","Fournisseur inconnu","Service inconnu")),IF(H1270="","Article manquant",IF(ISNA(MATCH(H1270,art_ref,0)),"Article inconnu",IF(OR(NOT(ISNUMBER(L1270)),N(L1270)&lt;=0),"Quantité invalide",IF(AND(K1270&lt;&gt;"",OR(NOT(ISNUMBER(K1270)),N(K1270)&lt;=0)),"Qté commandée invalide",IF(AG1270&lt;SUMPRODUCT(MAX((A$6:A1269=A1270)*AG$6:AG1269)),"Date antérieure au bon précédent",IF(AND(A1270&lt;&gt;"BR",ISNUMBER(M1270),N(M1270)&gt;0),IF(A1270="BL","Livré plus que commandé","Sorti plus que demandé"),"OK"))))))))))))</f>
        <v/>
      </c>
      <c r="Y1270" s="57" t="str">
        <f>IF(AND(OR(A1270="BL",A1270="BR",A1270="BS"),AG1270&gt;0,D1270&lt;&gt;""),A1270&amp;"|"&amp;AG1270&amp;"|"&amp;D1270&amp;"|"&amp;F1270,"")</f>
        <v/>
      </c>
      <c r="Z1270" s="57" t="str">
        <f>IF(Y1270="","",IF(COUNTIF(Y$6:Y1269,Y1270)=0,1,0))</f>
        <v/>
      </c>
      <c r="AA1270" s="57" t="str">
        <f>IF(Y1270="","",IF(Z1270=1,COUNTIFS(A$6:A1270,A1270,Z$6:Z1270,1),INDEX(AA$6:AA1269,MATCH(Y1270,Y$6:Y1269,0))))</f>
        <v/>
      </c>
      <c r="AB1270" s="57" t="str">
        <f>IF(B1270="","",COUNTIF(B$6:B1270,B1270))</f>
        <v/>
      </c>
      <c r="AC1270" s="57" t="str">
        <f>IF(B1270="","",B1270&amp;"#"&amp;AB1270)</f>
        <v/>
      </c>
      <c r="AD1270" s="57" t="str">
        <f>IF(Z1270=1,A1270&amp;AA1270,"")</f>
        <v/>
      </c>
      <c r="AE1270" s="57" t="str">
        <f>IF(B1270="","",YEAR(C1270))</f>
        <v/>
      </c>
      <c r="AF1270" s="57" t="str">
        <f>IF(B1270="","",MONTH(C1270))</f>
        <v/>
      </c>
      <c r="AG1270" s="57">
        <f>IF(ISNUMBER(C1270),C1270,0)</f>
        <v>0.0</v>
      </c>
      <c r="AH1270" s="57" t="str">
        <f>IF(N(W1270)&gt;0,COUNTIF(W$6:W1270,"&gt;0"),"")</f>
        <v/>
      </c>
      <c r="AI1270" s="57" t="str">
        <f>IF(Z1270=1,COUNTIF(Z$6:Z1270,1),"")</f>
        <v/>
      </c>
    </row>
    <row r="1271">
      <c r="A1271" s="54" t="n"/>
      <c r="B1271" s="55" t="str">
        <f>IF(AA1271="","",A1271&amp;"-"&amp;RIGHT("000"&amp;AA1271,4))</f>
        <v/>
      </c>
      <c r="C1271" s="56" t="n"/>
      <c r="D1271" s="54" t="n"/>
      <c r="E1271" s="57" t="str">
        <f>IF(D1271="","",IF(A1271="BL",IFERROR(INDEX(cl_name,MATCH(D1271,cl_code,0))&amp;"","Client inconnu"),IF(A1271="BR",IFERROR(INDEX(fo_name,MATCH(D1271,fo_code,0))&amp;"","Fournisseur inconnu"),IF(A1271="BS",IF(ISNA(MATCH(D1271,p_services,0)),"Service inconnu",D1271&amp;""),""))))</f>
        <v/>
      </c>
      <c r="F1271" s="58" t="n"/>
      <c r="G1271" s="58" t="n"/>
      <c r="H1271" s="59" t="n"/>
      <c r="I1271" s="57" t="str">
        <f>IF(H1271="","",IFERROR(INDEX(art_des,MATCH(H1271,art_ref,0))&amp;"","Article inconnu"))</f>
        <v/>
      </c>
      <c r="J1271" s="60" t="str">
        <f>IF(H1271="","",IFERROR(INDEX(art_unit,MATCH(H1271,art_ref,0))&amp;"",""))</f>
        <v/>
      </c>
      <c r="K1271" s="59" t="n"/>
      <c r="L1271" s="59" t="n"/>
      <c r="M1271" s="61" t="str">
        <f>IF(OR(B1271="",NOT(ISNUMBER(K1271)),NOT(ISNUMBER(L1271))),"",IF(OR(K1271&lt;=0,L1271&lt;=0),"",ROUND(L1271-K1271,6)))</f>
        <v/>
      </c>
      <c r="N1271" s="58" t="n"/>
      <c r="O1271" s="62" t="n"/>
      <c r="P1271" s="63" t="str">
        <f>IF(OR(B1271="",NOT(ISNUMBER(L1271))),"",IF(L1271&lt;=0,"",IFERROR(ROUND(L1271*N(INDEX(art_w,MATCH(H1271,art_ref,0))),3),"")))</f>
        <v/>
      </c>
      <c r="Q1271" s="59" t="n"/>
      <c r="R1271" s="54" t="n"/>
      <c r="S1271" s="59" t="n"/>
      <c r="T1271" s="59" t="n"/>
      <c r="U1271" s="64" t="str">
        <f>IF(OR(B1271="",H1271=""),"",IFERROR(IF(A1271="BL",IF(N(INDEX(art_price,MATCH(H1271,art_ref,0)))=0,"",N(INDEX(art_price,MATCH(H1271,art_ref,0)))),IF(N(INDEX(art_cost,MATCH(H1271,art_ref,0)))=0,"",N(INDEX(art_cost,MATCH(H1271,art_ref,0))))),""))</f>
        <v/>
      </c>
      <c r="V1271" s="64" t="str">
        <f>IF(OR(U1271="",NOT(ISNUMBER(L1271))),"",IF(L1271&lt;=0,"",ROUND(L1271*U1271,2)))</f>
        <v/>
      </c>
      <c r="W1271" s="60" t="str">
        <f>IF(AND(B1271&lt;&gt;"",A1271&lt;&gt;"BS",F1271&lt;&gt;"",H1271&lt;&gt;"",ISNUMBER(K1271),ISNUMBER(L1271)),IF(AND(K1271&gt;0,L1271&gt;0,K1271-L1271&gt;0,COUNTIFS(A1272:A$2005,A1271,F1272:F$2005,F1271,H1272:H$2005,H1271,AA1272:AA$2005,"&gt;0")=0),ROUND(K1271-L1271,6),""),"")</f>
        <v/>
      </c>
      <c r="X1271" s="60" t="str">
        <f>IF(AND(A1271="",C1271="",D1271="",H1271="",L1271=""),"",IF(A1271="","Type manquant",IF(AND(A1271&lt;&gt;"BL",A1271&lt;&gt;"BR",A1271&lt;&gt;"BS"),"Type inconnu (BL, BR ou BS)",IF(AG1271=0,"Date manquante ou invalide",IF(D1271="",IF(A1271="BL","Client manquant",IF(A1271="BR","Fournisseur manquant","Service manquant")),IF(IF(A1271="BL",ISNA(MATCH(D1271,cl_code,0)),IF(A1271="BR",ISNA(MATCH(D1271,fo_code,0)),ISNA(MATCH(D1271,p_services,0)))),IF(A1271="BL","Client inconnu",IF(A1271="BR","Fournisseur inconnu","Service inconnu")),IF(H1271="","Article manquant",IF(ISNA(MATCH(H1271,art_ref,0)),"Article inconnu",IF(OR(NOT(ISNUMBER(L1271)),N(L1271)&lt;=0),"Quantité invalide",IF(AND(K1271&lt;&gt;"",OR(NOT(ISNUMBER(K1271)),N(K1271)&lt;=0)),"Qté commandée invalide",IF(AG1271&lt;SUMPRODUCT(MAX((A$6:A1270=A1271)*AG$6:AG1270)),"Date antérieure au bon précédent",IF(AND(A1271&lt;&gt;"BR",ISNUMBER(M1271),N(M1271)&gt;0),IF(A1271="BL","Livré plus que commandé","Sorti plus que demandé"),"OK"))))))))))))</f>
        <v/>
      </c>
      <c r="Y1271" s="57" t="str">
        <f>IF(AND(OR(A1271="BL",A1271="BR",A1271="BS"),AG1271&gt;0,D1271&lt;&gt;""),A1271&amp;"|"&amp;AG1271&amp;"|"&amp;D1271&amp;"|"&amp;F1271,"")</f>
        <v/>
      </c>
      <c r="Z1271" s="57" t="str">
        <f>IF(Y1271="","",IF(COUNTIF(Y$6:Y1270,Y1271)=0,1,0))</f>
        <v/>
      </c>
      <c r="AA1271" s="57" t="str">
        <f>IF(Y1271="","",IF(Z1271=1,COUNTIFS(A$6:A1271,A1271,Z$6:Z1271,1),INDEX(AA$6:AA1270,MATCH(Y1271,Y$6:Y1270,0))))</f>
        <v/>
      </c>
      <c r="AB1271" s="57" t="str">
        <f>IF(B1271="","",COUNTIF(B$6:B1271,B1271))</f>
        <v/>
      </c>
      <c r="AC1271" s="57" t="str">
        <f>IF(B1271="","",B1271&amp;"#"&amp;AB1271)</f>
        <v/>
      </c>
      <c r="AD1271" s="57" t="str">
        <f>IF(Z1271=1,A1271&amp;AA1271,"")</f>
        <v/>
      </c>
      <c r="AE1271" s="57" t="str">
        <f>IF(B1271="","",YEAR(C1271))</f>
        <v/>
      </c>
      <c r="AF1271" s="57" t="str">
        <f>IF(B1271="","",MONTH(C1271))</f>
        <v/>
      </c>
      <c r="AG1271" s="57">
        <f>IF(ISNUMBER(C1271),C1271,0)</f>
        <v>0.0</v>
      </c>
      <c r="AH1271" s="57" t="str">
        <f>IF(N(W1271)&gt;0,COUNTIF(W$6:W1271,"&gt;0"),"")</f>
        <v/>
      </c>
      <c r="AI1271" s="57" t="str">
        <f>IF(Z1271=1,COUNTIF(Z$6:Z1271,1),"")</f>
        <v/>
      </c>
    </row>
    <row r="1272">
      <c r="A1272" s="54" t="n"/>
      <c r="B1272" s="55" t="str">
        <f>IF(AA1272="","",A1272&amp;"-"&amp;RIGHT("000"&amp;AA1272,4))</f>
        <v/>
      </c>
      <c r="C1272" s="56" t="n"/>
      <c r="D1272" s="54" t="n"/>
      <c r="E1272" s="57" t="str">
        <f>IF(D1272="","",IF(A1272="BL",IFERROR(INDEX(cl_name,MATCH(D1272,cl_code,0))&amp;"","Client inconnu"),IF(A1272="BR",IFERROR(INDEX(fo_name,MATCH(D1272,fo_code,0))&amp;"","Fournisseur inconnu"),IF(A1272="BS",IF(ISNA(MATCH(D1272,p_services,0)),"Service inconnu",D1272&amp;""),""))))</f>
        <v/>
      </c>
      <c r="F1272" s="58" t="n"/>
      <c r="G1272" s="58" t="n"/>
      <c r="H1272" s="59" t="n"/>
      <c r="I1272" s="57" t="str">
        <f>IF(H1272="","",IFERROR(INDEX(art_des,MATCH(H1272,art_ref,0))&amp;"","Article inconnu"))</f>
        <v/>
      </c>
      <c r="J1272" s="60" t="str">
        <f>IF(H1272="","",IFERROR(INDEX(art_unit,MATCH(H1272,art_ref,0))&amp;"",""))</f>
        <v/>
      </c>
      <c r="K1272" s="59" t="n"/>
      <c r="L1272" s="59" t="n"/>
      <c r="M1272" s="61" t="str">
        <f>IF(OR(B1272="",NOT(ISNUMBER(K1272)),NOT(ISNUMBER(L1272))),"",IF(OR(K1272&lt;=0,L1272&lt;=0),"",ROUND(L1272-K1272,6)))</f>
        <v/>
      </c>
      <c r="N1272" s="58" t="n"/>
      <c r="O1272" s="62" t="n"/>
      <c r="P1272" s="63" t="str">
        <f>IF(OR(B1272="",NOT(ISNUMBER(L1272))),"",IF(L1272&lt;=0,"",IFERROR(ROUND(L1272*N(INDEX(art_w,MATCH(H1272,art_ref,0))),3),"")))</f>
        <v/>
      </c>
      <c r="Q1272" s="59" t="n"/>
      <c r="R1272" s="54" t="n"/>
      <c r="S1272" s="59" t="n"/>
      <c r="T1272" s="59" t="n"/>
      <c r="U1272" s="64" t="str">
        <f>IF(OR(B1272="",H1272=""),"",IFERROR(IF(A1272="BL",IF(N(INDEX(art_price,MATCH(H1272,art_ref,0)))=0,"",N(INDEX(art_price,MATCH(H1272,art_ref,0)))),IF(N(INDEX(art_cost,MATCH(H1272,art_ref,0)))=0,"",N(INDEX(art_cost,MATCH(H1272,art_ref,0))))),""))</f>
        <v/>
      </c>
      <c r="V1272" s="64" t="str">
        <f>IF(OR(U1272="",NOT(ISNUMBER(L1272))),"",IF(L1272&lt;=0,"",ROUND(L1272*U1272,2)))</f>
        <v/>
      </c>
      <c r="W1272" s="60" t="str">
        <f>IF(AND(B1272&lt;&gt;"",A1272&lt;&gt;"BS",F1272&lt;&gt;"",H1272&lt;&gt;"",ISNUMBER(K1272),ISNUMBER(L1272)),IF(AND(K1272&gt;0,L1272&gt;0,K1272-L1272&gt;0,COUNTIFS(A1273:A$2005,A1272,F1273:F$2005,F1272,H1273:H$2005,H1272,AA1273:AA$2005,"&gt;0")=0),ROUND(K1272-L1272,6),""),"")</f>
        <v/>
      </c>
      <c r="X1272" s="60" t="str">
        <f>IF(AND(A1272="",C1272="",D1272="",H1272="",L1272=""),"",IF(A1272="","Type manquant",IF(AND(A1272&lt;&gt;"BL",A1272&lt;&gt;"BR",A1272&lt;&gt;"BS"),"Type inconnu (BL, BR ou BS)",IF(AG1272=0,"Date manquante ou invalide",IF(D1272="",IF(A1272="BL","Client manquant",IF(A1272="BR","Fournisseur manquant","Service manquant")),IF(IF(A1272="BL",ISNA(MATCH(D1272,cl_code,0)),IF(A1272="BR",ISNA(MATCH(D1272,fo_code,0)),ISNA(MATCH(D1272,p_services,0)))),IF(A1272="BL","Client inconnu",IF(A1272="BR","Fournisseur inconnu","Service inconnu")),IF(H1272="","Article manquant",IF(ISNA(MATCH(H1272,art_ref,0)),"Article inconnu",IF(OR(NOT(ISNUMBER(L1272)),N(L1272)&lt;=0),"Quantité invalide",IF(AND(K1272&lt;&gt;"",OR(NOT(ISNUMBER(K1272)),N(K1272)&lt;=0)),"Qté commandée invalide",IF(AG1272&lt;SUMPRODUCT(MAX((A$6:A1271=A1272)*AG$6:AG1271)),"Date antérieure au bon précédent",IF(AND(A1272&lt;&gt;"BR",ISNUMBER(M1272),N(M1272)&gt;0),IF(A1272="BL","Livré plus que commandé","Sorti plus que demandé"),"OK"))))))))))))</f>
        <v/>
      </c>
      <c r="Y1272" s="57" t="str">
        <f>IF(AND(OR(A1272="BL",A1272="BR",A1272="BS"),AG1272&gt;0,D1272&lt;&gt;""),A1272&amp;"|"&amp;AG1272&amp;"|"&amp;D1272&amp;"|"&amp;F1272,"")</f>
        <v/>
      </c>
      <c r="Z1272" s="57" t="str">
        <f>IF(Y1272="","",IF(COUNTIF(Y$6:Y1271,Y1272)=0,1,0))</f>
        <v/>
      </c>
      <c r="AA1272" s="57" t="str">
        <f>IF(Y1272="","",IF(Z1272=1,COUNTIFS(A$6:A1272,A1272,Z$6:Z1272,1),INDEX(AA$6:AA1271,MATCH(Y1272,Y$6:Y1271,0))))</f>
        <v/>
      </c>
      <c r="AB1272" s="57" t="str">
        <f>IF(B1272="","",COUNTIF(B$6:B1272,B1272))</f>
        <v/>
      </c>
      <c r="AC1272" s="57" t="str">
        <f>IF(B1272="","",B1272&amp;"#"&amp;AB1272)</f>
        <v/>
      </c>
      <c r="AD1272" s="57" t="str">
        <f>IF(Z1272=1,A1272&amp;AA1272,"")</f>
        <v/>
      </c>
      <c r="AE1272" s="57" t="str">
        <f>IF(B1272="","",YEAR(C1272))</f>
        <v/>
      </c>
      <c r="AF1272" s="57" t="str">
        <f>IF(B1272="","",MONTH(C1272))</f>
        <v/>
      </c>
      <c r="AG1272" s="57">
        <f>IF(ISNUMBER(C1272),C1272,0)</f>
        <v>0.0</v>
      </c>
      <c r="AH1272" s="57" t="str">
        <f>IF(N(W1272)&gt;0,COUNTIF(W$6:W1272,"&gt;0"),"")</f>
        <v/>
      </c>
      <c r="AI1272" s="57" t="str">
        <f>IF(Z1272=1,COUNTIF(Z$6:Z1272,1),"")</f>
        <v/>
      </c>
    </row>
    <row r="1273">
      <c r="A1273" s="54" t="n"/>
      <c r="B1273" s="55" t="str">
        <f>IF(AA1273="","",A1273&amp;"-"&amp;RIGHT("000"&amp;AA1273,4))</f>
        <v/>
      </c>
      <c r="C1273" s="56" t="n"/>
      <c r="D1273" s="54" t="n"/>
      <c r="E1273" s="57" t="str">
        <f>IF(D1273="","",IF(A1273="BL",IFERROR(INDEX(cl_name,MATCH(D1273,cl_code,0))&amp;"","Client inconnu"),IF(A1273="BR",IFERROR(INDEX(fo_name,MATCH(D1273,fo_code,0))&amp;"","Fournisseur inconnu"),IF(A1273="BS",IF(ISNA(MATCH(D1273,p_services,0)),"Service inconnu",D1273&amp;""),""))))</f>
        <v/>
      </c>
      <c r="F1273" s="58" t="n"/>
      <c r="G1273" s="58" t="n"/>
      <c r="H1273" s="59" t="n"/>
      <c r="I1273" s="57" t="str">
        <f>IF(H1273="","",IFERROR(INDEX(art_des,MATCH(H1273,art_ref,0))&amp;"","Article inconnu"))</f>
        <v/>
      </c>
      <c r="J1273" s="60" t="str">
        <f>IF(H1273="","",IFERROR(INDEX(art_unit,MATCH(H1273,art_ref,0))&amp;"",""))</f>
        <v/>
      </c>
      <c r="K1273" s="59" t="n"/>
      <c r="L1273" s="59" t="n"/>
      <c r="M1273" s="61" t="str">
        <f>IF(OR(B1273="",NOT(ISNUMBER(K1273)),NOT(ISNUMBER(L1273))),"",IF(OR(K1273&lt;=0,L1273&lt;=0),"",ROUND(L1273-K1273,6)))</f>
        <v/>
      </c>
      <c r="N1273" s="58" t="n"/>
      <c r="O1273" s="62" t="n"/>
      <c r="P1273" s="63" t="str">
        <f>IF(OR(B1273="",NOT(ISNUMBER(L1273))),"",IF(L1273&lt;=0,"",IFERROR(ROUND(L1273*N(INDEX(art_w,MATCH(H1273,art_ref,0))),3),"")))</f>
        <v/>
      </c>
      <c r="Q1273" s="59" t="n"/>
      <c r="R1273" s="54" t="n"/>
      <c r="S1273" s="59" t="n"/>
      <c r="T1273" s="59" t="n"/>
      <c r="U1273" s="64" t="str">
        <f>IF(OR(B1273="",H1273=""),"",IFERROR(IF(A1273="BL",IF(N(INDEX(art_price,MATCH(H1273,art_ref,0)))=0,"",N(INDEX(art_price,MATCH(H1273,art_ref,0)))),IF(N(INDEX(art_cost,MATCH(H1273,art_ref,0)))=0,"",N(INDEX(art_cost,MATCH(H1273,art_ref,0))))),""))</f>
        <v/>
      </c>
      <c r="V1273" s="64" t="str">
        <f>IF(OR(U1273="",NOT(ISNUMBER(L1273))),"",IF(L1273&lt;=0,"",ROUND(L1273*U1273,2)))</f>
        <v/>
      </c>
      <c r="W1273" s="60" t="str">
        <f>IF(AND(B1273&lt;&gt;"",A1273&lt;&gt;"BS",F1273&lt;&gt;"",H1273&lt;&gt;"",ISNUMBER(K1273),ISNUMBER(L1273)),IF(AND(K1273&gt;0,L1273&gt;0,K1273-L1273&gt;0,COUNTIFS(A1274:A$2005,A1273,F1274:F$2005,F1273,H1274:H$2005,H1273,AA1274:AA$2005,"&gt;0")=0),ROUND(K1273-L1273,6),""),"")</f>
        <v/>
      </c>
      <c r="X1273" s="60" t="str">
        <f>IF(AND(A1273="",C1273="",D1273="",H1273="",L1273=""),"",IF(A1273="","Type manquant",IF(AND(A1273&lt;&gt;"BL",A1273&lt;&gt;"BR",A1273&lt;&gt;"BS"),"Type inconnu (BL, BR ou BS)",IF(AG1273=0,"Date manquante ou invalide",IF(D1273="",IF(A1273="BL","Client manquant",IF(A1273="BR","Fournisseur manquant","Service manquant")),IF(IF(A1273="BL",ISNA(MATCH(D1273,cl_code,0)),IF(A1273="BR",ISNA(MATCH(D1273,fo_code,0)),ISNA(MATCH(D1273,p_services,0)))),IF(A1273="BL","Client inconnu",IF(A1273="BR","Fournisseur inconnu","Service inconnu")),IF(H1273="","Article manquant",IF(ISNA(MATCH(H1273,art_ref,0)),"Article inconnu",IF(OR(NOT(ISNUMBER(L1273)),N(L1273)&lt;=0),"Quantité invalide",IF(AND(K1273&lt;&gt;"",OR(NOT(ISNUMBER(K1273)),N(K1273)&lt;=0)),"Qté commandée invalide",IF(AG1273&lt;SUMPRODUCT(MAX((A$6:A1272=A1273)*AG$6:AG1272)),"Date antérieure au bon précédent",IF(AND(A1273&lt;&gt;"BR",ISNUMBER(M1273),N(M1273)&gt;0),IF(A1273="BL","Livré plus que commandé","Sorti plus que demandé"),"OK"))))))))))))</f>
        <v/>
      </c>
      <c r="Y1273" s="57" t="str">
        <f>IF(AND(OR(A1273="BL",A1273="BR",A1273="BS"),AG1273&gt;0,D1273&lt;&gt;""),A1273&amp;"|"&amp;AG1273&amp;"|"&amp;D1273&amp;"|"&amp;F1273,"")</f>
        <v/>
      </c>
      <c r="Z1273" s="57" t="str">
        <f>IF(Y1273="","",IF(COUNTIF(Y$6:Y1272,Y1273)=0,1,0))</f>
        <v/>
      </c>
      <c r="AA1273" s="57" t="str">
        <f>IF(Y1273="","",IF(Z1273=1,COUNTIFS(A$6:A1273,A1273,Z$6:Z1273,1),INDEX(AA$6:AA1272,MATCH(Y1273,Y$6:Y1272,0))))</f>
        <v/>
      </c>
      <c r="AB1273" s="57" t="str">
        <f>IF(B1273="","",COUNTIF(B$6:B1273,B1273))</f>
        <v/>
      </c>
      <c r="AC1273" s="57" t="str">
        <f>IF(B1273="","",B1273&amp;"#"&amp;AB1273)</f>
        <v/>
      </c>
      <c r="AD1273" s="57" t="str">
        <f>IF(Z1273=1,A1273&amp;AA1273,"")</f>
        <v/>
      </c>
      <c r="AE1273" s="57" t="str">
        <f>IF(B1273="","",YEAR(C1273))</f>
        <v/>
      </c>
      <c r="AF1273" s="57" t="str">
        <f>IF(B1273="","",MONTH(C1273))</f>
        <v/>
      </c>
      <c r="AG1273" s="57">
        <f>IF(ISNUMBER(C1273),C1273,0)</f>
        <v>0.0</v>
      </c>
      <c r="AH1273" s="57" t="str">
        <f>IF(N(W1273)&gt;0,COUNTIF(W$6:W1273,"&gt;0"),"")</f>
        <v/>
      </c>
      <c r="AI1273" s="57" t="str">
        <f>IF(Z1273=1,COUNTIF(Z$6:Z1273,1),"")</f>
        <v/>
      </c>
    </row>
    <row r="1274">
      <c r="A1274" s="54" t="n"/>
      <c r="B1274" s="55" t="str">
        <f>IF(AA1274="","",A1274&amp;"-"&amp;RIGHT("000"&amp;AA1274,4))</f>
        <v/>
      </c>
      <c r="C1274" s="56" t="n"/>
      <c r="D1274" s="54" t="n"/>
      <c r="E1274" s="57" t="str">
        <f>IF(D1274="","",IF(A1274="BL",IFERROR(INDEX(cl_name,MATCH(D1274,cl_code,0))&amp;"","Client inconnu"),IF(A1274="BR",IFERROR(INDEX(fo_name,MATCH(D1274,fo_code,0))&amp;"","Fournisseur inconnu"),IF(A1274="BS",IF(ISNA(MATCH(D1274,p_services,0)),"Service inconnu",D1274&amp;""),""))))</f>
        <v/>
      </c>
      <c r="F1274" s="58" t="n"/>
      <c r="G1274" s="58" t="n"/>
      <c r="H1274" s="59" t="n"/>
      <c r="I1274" s="57" t="str">
        <f>IF(H1274="","",IFERROR(INDEX(art_des,MATCH(H1274,art_ref,0))&amp;"","Article inconnu"))</f>
        <v/>
      </c>
      <c r="J1274" s="60" t="str">
        <f>IF(H1274="","",IFERROR(INDEX(art_unit,MATCH(H1274,art_ref,0))&amp;"",""))</f>
        <v/>
      </c>
      <c r="K1274" s="59" t="n"/>
      <c r="L1274" s="59" t="n"/>
      <c r="M1274" s="61" t="str">
        <f>IF(OR(B1274="",NOT(ISNUMBER(K1274)),NOT(ISNUMBER(L1274))),"",IF(OR(K1274&lt;=0,L1274&lt;=0),"",ROUND(L1274-K1274,6)))</f>
        <v/>
      </c>
      <c r="N1274" s="58" t="n"/>
      <c r="O1274" s="62" t="n"/>
      <c r="P1274" s="63" t="str">
        <f>IF(OR(B1274="",NOT(ISNUMBER(L1274))),"",IF(L1274&lt;=0,"",IFERROR(ROUND(L1274*N(INDEX(art_w,MATCH(H1274,art_ref,0))),3),"")))</f>
        <v/>
      </c>
      <c r="Q1274" s="59" t="n"/>
      <c r="R1274" s="54" t="n"/>
      <c r="S1274" s="59" t="n"/>
      <c r="T1274" s="59" t="n"/>
      <c r="U1274" s="64" t="str">
        <f>IF(OR(B1274="",H1274=""),"",IFERROR(IF(A1274="BL",IF(N(INDEX(art_price,MATCH(H1274,art_ref,0)))=0,"",N(INDEX(art_price,MATCH(H1274,art_ref,0)))),IF(N(INDEX(art_cost,MATCH(H1274,art_ref,0)))=0,"",N(INDEX(art_cost,MATCH(H1274,art_ref,0))))),""))</f>
        <v/>
      </c>
      <c r="V1274" s="64" t="str">
        <f>IF(OR(U1274="",NOT(ISNUMBER(L1274))),"",IF(L1274&lt;=0,"",ROUND(L1274*U1274,2)))</f>
        <v/>
      </c>
      <c r="W1274" s="60" t="str">
        <f>IF(AND(B1274&lt;&gt;"",A1274&lt;&gt;"BS",F1274&lt;&gt;"",H1274&lt;&gt;"",ISNUMBER(K1274),ISNUMBER(L1274)),IF(AND(K1274&gt;0,L1274&gt;0,K1274-L1274&gt;0,COUNTIFS(A1275:A$2005,A1274,F1275:F$2005,F1274,H1275:H$2005,H1274,AA1275:AA$2005,"&gt;0")=0),ROUND(K1274-L1274,6),""),"")</f>
        <v/>
      </c>
      <c r="X1274" s="60" t="str">
        <f>IF(AND(A1274="",C1274="",D1274="",H1274="",L1274=""),"",IF(A1274="","Type manquant",IF(AND(A1274&lt;&gt;"BL",A1274&lt;&gt;"BR",A1274&lt;&gt;"BS"),"Type inconnu (BL, BR ou BS)",IF(AG1274=0,"Date manquante ou invalide",IF(D1274="",IF(A1274="BL","Client manquant",IF(A1274="BR","Fournisseur manquant","Service manquant")),IF(IF(A1274="BL",ISNA(MATCH(D1274,cl_code,0)),IF(A1274="BR",ISNA(MATCH(D1274,fo_code,0)),ISNA(MATCH(D1274,p_services,0)))),IF(A1274="BL","Client inconnu",IF(A1274="BR","Fournisseur inconnu","Service inconnu")),IF(H1274="","Article manquant",IF(ISNA(MATCH(H1274,art_ref,0)),"Article inconnu",IF(OR(NOT(ISNUMBER(L1274)),N(L1274)&lt;=0),"Quantité invalide",IF(AND(K1274&lt;&gt;"",OR(NOT(ISNUMBER(K1274)),N(K1274)&lt;=0)),"Qté commandée invalide",IF(AG1274&lt;SUMPRODUCT(MAX((A$6:A1273=A1274)*AG$6:AG1273)),"Date antérieure au bon précédent",IF(AND(A1274&lt;&gt;"BR",ISNUMBER(M1274),N(M1274)&gt;0),IF(A1274="BL","Livré plus que commandé","Sorti plus que demandé"),"OK"))))))))))))</f>
        <v/>
      </c>
      <c r="Y1274" s="57" t="str">
        <f>IF(AND(OR(A1274="BL",A1274="BR",A1274="BS"),AG1274&gt;0,D1274&lt;&gt;""),A1274&amp;"|"&amp;AG1274&amp;"|"&amp;D1274&amp;"|"&amp;F1274,"")</f>
        <v/>
      </c>
      <c r="Z1274" s="57" t="str">
        <f>IF(Y1274="","",IF(COUNTIF(Y$6:Y1273,Y1274)=0,1,0))</f>
        <v/>
      </c>
      <c r="AA1274" s="57" t="str">
        <f>IF(Y1274="","",IF(Z1274=1,COUNTIFS(A$6:A1274,A1274,Z$6:Z1274,1),INDEX(AA$6:AA1273,MATCH(Y1274,Y$6:Y1273,0))))</f>
        <v/>
      </c>
      <c r="AB1274" s="57" t="str">
        <f>IF(B1274="","",COUNTIF(B$6:B1274,B1274))</f>
        <v/>
      </c>
      <c r="AC1274" s="57" t="str">
        <f>IF(B1274="","",B1274&amp;"#"&amp;AB1274)</f>
        <v/>
      </c>
      <c r="AD1274" s="57" t="str">
        <f>IF(Z1274=1,A1274&amp;AA1274,"")</f>
        <v/>
      </c>
      <c r="AE1274" s="57" t="str">
        <f>IF(B1274="","",YEAR(C1274))</f>
        <v/>
      </c>
      <c r="AF1274" s="57" t="str">
        <f>IF(B1274="","",MONTH(C1274))</f>
        <v/>
      </c>
      <c r="AG1274" s="57">
        <f>IF(ISNUMBER(C1274),C1274,0)</f>
        <v>0.0</v>
      </c>
      <c r="AH1274" s="57" t="str">
        <f>IF(N(W1274)&gt;0,COUNTIF(W$6:W1274,"&gt;0"),"")</f>
        <v/>
      </c>
      <c r="AI1274" s="57" t="str">
        <f>IF(Z1274=1,COUNTIF(Z$6:Z1274,1),"")</f>
        <v/>
      </c>
    </row>
    <row r="1275">
      <c r="A1275" s="54" t="n"/>
      <c r="B1275" s="55" t="str">
        <f>IF(AA1275="","",A1275&amp;"-"&amp;RIGHT("000"&amp;AA1275,4))</f>
        <v/>
      </c>
      <c r="C1275" s="56" t="n"/>
      <c r="D1275" s="54" t="n"/>
      <c r="E1275" s="57" t="str">
        <f>IF(D1275="","",IF(A1275="BL",IFERROR(INDEX(cl_name,MATCH(D1275,cl_code,0))&amp;"","Client inconnu"),IF(A1275="BR",IFERROR(INDEX(fo_name,MATCH(D1275,fo_code,0))&amp;"","Fournisseur inconnu"),IF(A1275="BS",IF(ISNA(MATCH(D1275,p_services,0)),"Service inconnu",D1275&amp;""),""))))</f>
        <v/>
      </c>
      <c r="F1275" s="58" t="n"/>
      <c r="G1275" s="58" t="n"/>
      <c r="H1275" s="59" t="n"/>
      <c r="I1275" s="57" t="str">
        <f>IF(H1275="","",IFERROR(INDEX(art_des,MATCH(H1275,art_ref,0))&amp;"","Article inconnu"))</f>
        <v/>
      </c>
      <c r="J1275" s="60" t="str">
        <f>IF(H1275="","",IFERROR(INDEX(art_unit,MATCH(H1275,art_ref,0))&amp;"",""))</f>
        <v/>
      </c>
      <c r="K1275" s="59" t="n"/>
      <c r="L1275" s="59" t="n"/>
      <c r="M1275" s="61" t="str">
        <f>IF(OR(B1275="",NOT(ISNUMBER(K1275)),NOT(ISNUMBER(L1275))),"",IF(OR(K1275&lt;=0,L1275&lt;=0),"",ROUND(L1275-K1275,6)))</f>
        <v/>
      </c>
      <c r="N1275" s="58" t="n"/>
      <c r="O1275" s="62" t="n"/>
      <c r="P1275" s="63" t="str">
        <f>IF(OR(B1275="",NOT(ISNUMBER(L1275))),"",IF(L1275&lt;=0,"",IFERROR(ROUND(L1275*N(INDEX(art_w,MATCH(H1275,art_ref,0))),3),"")))</f>
        <v/>
      </c>
      <c r="Q1275" s="59" t="n"/>
      <c r="R1275" s="54" t="n"/>
      <c r="S1275" s="59" t="n"/>
      <c r="T1275" s="59" t="n"/>
      <c r="U1275" s="64" t="str">
        <f>IF(OR(B1275="",H1275=""),"",IFERROR(IF(A1275="BL",IF(N(INDEX(art_price,MATCH(H1275,art_ref,0)))=0,"",N(INDEX(art_price,MATCH(H1275,art_ref,0)))),IF(N(INDEX(art_cost,MATCH(H1275,art_ref,0)))=0,"",N(INDEX(art_cost,MATCH(H1275,art_ref,0))))),""))</f>
        <v/>
      </c>
      <c r="V1275" s="64" t="str">
        <f>IF(OR(U1275="",NOT(ISNUMBER(L1275))),"",IF(L1275&lt;=0,"",ROUND(L1275*U1275,2)))</f>
        <v/>
      </c>
      <c r="W1275" s="60" t="str">
        <f>IF(AND(B1275&lt;&gt;"",A1275&lt;&gt;"BS",F1275&lt;&gt;"",H1275&lt;&gt;"",ISNUMBER(K1275),ISNUMBER(L1275)),IF(AND(K1275&gt;0,L1275&gt;0,K1275-L1275&gt;0,COUNTIFS(A1276:A$2005,A1275,F1276:F$2005,F1275,H1276:H$2005,H1275,AA1276:AA$2005,"&gt;0")=0),ROUND(K1275-L1275,6),""),"")</f>
        <v/>
      </c>
      <c r="X1275" s="60" t="str">
        <f>IF(AND(A1275="",C1275="",D1275="",H1275="",L1275=""),"",IF(A1275="","Type manquant",IF(AND(A1275&lt;&gt;"BL",A1275&lt;&gt;"BR",A1275&lt;&gt;"BS"),"Type inconnu (BL, BR ou BS)",IF(AG1275=0,"Date manquante ou invalide",IF(D1275="",IF(A1275="BL","Client manquant",IF(A1275="BR","Fournisseur manquant","Service manquant")),IF(IF(A1275="BL",ISNA(MATCH(D1275,cl_code,0)),IF(A1275="BR",ISNA(MATCH(D1275,fo_code,0)),ISNA(MATCH(D1275,p_services,0)))),IF(A1275="BL","Client inconnu",IF(A1275="BR","Fournisseur inconnu","Service inconnu")),IF(H1275="","Article manquant",IF(ISNA(MATCH(H1275,art_ref,0)),"Article inconnu",IF(OR(NOT(ISNUMBER(L1275)),N(L1275)&lt;=0),"Quantité invalide",IF(AND(K1275&lt;&gt;"",OR(NOT(ISNUMBER(K1275)),N(K1275)&lt;=0)),"Qté commandée invalide",IF(AG1275&lt;SUMPRODUCT(MAX((A$6:A1274=A1275)*AG$6:AG1274)),"Date antérieure au bon précédent",IF(AND(A1275&lt;&gt;"BR",ISNUMBER(M1275),N(M1275)&gt;0),IF(A1275="BL","Livré plus que commandé","Sorti plus que demandé"),"OK"))))))))))))</f>
        <v/>
      </c>
      <c r="Y1275" s="57" t="str">
        <f>IF(AND(OR(A1275="BL",A1275="BR",A1275="BS"),AG1275&gt;0,D1275&lt;&gt;""),A1275&amp;"|"&amp;AG1275&amp;"|"&amp;D1275&amp;"|"&amp;F1275,"")</f>
        <v/>
      </c>
      <c r="Z1275" s="57" t="str">
        <f>IF(Y1275="","",IF(COUNTIF(Y$6:Y1274,Y1275)=0,1,0))</f>
        <v/>
      </c>
      <c r="AA1275" s="57" t="str">
        <f>IF(Y1275="","",IF(Z1275=1,COUNTIFS(A$6:A1275,A1275,Z$6:Z1275,1),INDEX(AA$6:AA1274,MATCH(Y1275,Y$6:Y1274,0))))</f>
        <v/>
      </c>
      <c r="AB1275" s="57" t="str">
        <f>IF(B1275="","",COUNTIF(B$6:B1275,B1275))</f>
        <v/>
      </c>
      <c r="AC1275" s="57" t="str">
        <f>IF(B1275="","",B1275&amp;"#"&amp;AB1275)</f>
        <v/>
      </c>
      <c r="AD1275" s="57" t="str">
        <f>IF(Z1275=1,A1275&amp;AA1275,"")</f>
        <v/>
      </c>
      <c r="AE1275" s="57" t="str">
        <f>IF(B1275="","",YEAR(C1275))</f>
        <v/>
      </c>
      <c r="AF1275" s="57" t="str">
        <f>IF(B1275="","",MONTH(C1275))</f>
        <v/>
      </c>
      <c r="AG1275" s="57">
        <f>IF(ISNUMBER(C1275),C1275,0)</f>
        <v>0.0</v>
      </c>
      <c r="AH1275" s="57" t="str">
        <f>IF(N(W1275)&gt;0,COUNTIF(W$6:W1275,"&gt;0"),"")</f>
        <v/>
      </c>
      <c r="AI1275" s="57" t="str">
        <f>IF(Z1275=1,COUNTIF(Z$6:Z1275,1),"")</f>
        <v/>
      </c>
    </row>
    <row r="1276">
      <c r="A1276" s="54" t="n"/>
      <c r="B1276" s="55" t="str">
        <f>IF(AA1276="","",A1276&amp;"-"&amp;RIGHT("000"&amp;AA1276,4))</f>
        <v/>
      </c>
      <c r="C1276" s="56" t="n"/>
      <c r="D1276" s="54" t="n"/>
      <c r="E1276" s="57" t="str">
        <f>IF(D1276="","",IF(A1276="BL",IFERROR(INDEX(cl_name,MATCH(D1276,cl_code,0))&amp;"","Client inconnu"),IF(A1276="BR",IFERROR(INDEX(fo_name,MATCH(D1276,fo_code,0))&amp;"","Fournisseur inconnu"),IF(A1276="BS",IF(ISNA(MATCH(D1276,p_services,0)),"Service inconnu",D1276&amp;""),""))))</f>
        <v/>
      </c>
      <c r="F1276" s="58" t="n"/>
      <c r="G1276" s="58" t="n"/>
      <c r="H1276" s="59" t="n"/>
      <c r="I1276" s="57" t="str">
        <f>IF(H1276="","",IFERROR(INDEX(art_des,MATCH(H1276,art_ref,0))&amp;"","Article inconnu"))</f>
        <v/>
      </c>
      <c r="J1276" s="60" t="str">
        <f>IF(H1276="","",IFERROR(INDEX(art_unit,MATCH(H1276,art_ref,0))&amp;"",""))</f>
        <v/>
      </c>
      <c r="K1276" s="59" t="n"/>
      <c r="L1276" s="59" t="n"/>
      <c r="M1276" s="61" t="str">
        <f>IF(OR(B1276="",NOT(ISNUMBER(K1276)),NOT(ISNUMBER(L1276))),"",IF(OR(K1276&lt;=0,L1276&lt;=0),"",ROUND(L1276-K1276,6)))</f>
        <v/>
      </c>
      <c r="N1276" s="58" t="n"/>
      <c r="O1276" s="62" t="n"/>
      <c r="P1276" s="63" t="str">
        <f>IF(OR(B1276="",NOT(ISNUMBER(L1276))),"",IF(L1276&lt;=0,"",IFERROR(ROUND(L1276*N(INDEX(art_w,MATCH(H1276,art_ref,0))),3),"")))</f>
        <v/>
      </c>
      <c r="Q1276" s="59" t="n"/>
      <c r="R1276" s="54" t="n"/>
      <c r="S1276" s="59" t="n"/>
      <c r="T1276" s="59" t="n"/>
      <c r="U1276" s="64" t="str">
        <f>IF(OR(B1276="",H1276=""),"",IFERROR(IF(A1276="BL",IF(N(INDEX(art_price,MATCH(H1276,art_ref,0)))=0,"",N(INDEX(art_price,MATCH(H1276,art_ref,0)))),IF(N(INDEX(art_cost,MATCH(H1276,art_ref,0)))=0,"",N(INDEX(art_cost,MATCH(H1276,art_ref,0))))),""))</f>
        <v/>
      </c>
      <c r="V1276" s="64" t="str">
        <f>IF(OR(U1276="",NOT(ISNUMBER(L1276))),"",IF(L1276&lt;=0,"",ROUND(L1276*U1276,2)))</f>
        <v/>
      </c>
      <c r="W1276" s="60" t="str">
        <f>IF(AND(B1276&lt;&gt;"",A1276&lt;&gt;"BS",F1276&lt;&gt;"",H1276&lt;&gt;"",ISNUMBER(K1276),ISNUMBER(L1276)),IF(AND(K1276&gt;0,L1276&gt;0,K1276-L1276&gt;0,COUNTIFS(A1277:A$2005,A1276,F1277:F$2005,F1276,H1277:H$2005,H1276,AA1277:AA$2005,"&gt;0")=0),ROUND(K1276-L1276,6),""),"")</f>
        <v/>
      </c>
      <c r="X1276" s="60" t="str">
        <f>IF(AND(A1276="",C1276="",D1276="",H1276="",L1276=""),"",IF(A1276="","Type manquant",IF(AND(A1276&lt;&gt;"BL",A1276&lt;&gt;"BR",A1276&lt;&gt;"BS"),"Type inconnu (BL, BR ou BS)",IF(AG1276=0,"Date manquante ou invalide",IF(D1276="",IF(A1276="BL","Client manquant",IF(A1276="BR","Fournisseur manquant","Service manquant")),IF(IF(A1276="BL",ISNA(MATCH(D1276,cl_code,0)),IF(A1276="BR",ISNA(MATCH(D1276,fo_code,0)),ISNA(MATCH(D1276,p_services,0)))),IF(A1276="BL","Client inconnu",IF(A1276="BR","Fournisseur inconnu","Service inconnu")),IF(H1276="","Article manquant",IF(ISNA(MATCH(H1276,art_ref,0)),"Article inconnu",IF(OR(NOT(ISNUMBER(L1276)),N(L1276)&lt;=0),"Quantité invalide",IF(AND(K1276&lt;&gt;"",OR(NOT(ISNUMBER(K1276)),N(K1276)&lt;=0)),"Qté commandée invalide",IF(AG1276&lt;SUMPRODUCT(MAX((A$6:A1275=A1276)*AG$6:AG1275)),"Date antérieure au bon précédent",IF(AND(A1276&lt;&gt;"BR",ISNUMBER(M1276),N(M1276)&gt;0),IF(A1276="BL","Livré plus que commandé","Sorti plus que demandé"),"OK"))))))))))))</f>
        <v/>
      </c>
      <c r="Y1276" s="57" t="str">
        <f>IF(AND(OR(A1276="BL",A1276="BR",A1276="BS"),AG1276&gt;0,D1276&lt;&gt;""),A1276&amp;"|"&amp;AG1276&amp;"|"&amp;D1276&amp;"|"&amp;F1276,"")</f>
        <v/>
      </c>
      <c r="Z1276" s="57" t="str">
        <f>IF(Y1276="","",IF(COUNTIF(Y$6:Y1275,Y1276)=0,1,0))</f>
        <v/>
      </c>
      <c r="AA1276" s="57" t="str">
        <f>IF(Y1276="","",IF(Z1276=1,COUNTIFS(A$6:A1276,A1276,Z$6:Z1276,1),INDEX(AA$6:AA1275,MATCH(Y1276,Y$6:Y1275,0))))</f>
        <v/>
      </c>
      <c r="AB1276" s="57" t="str">
        <f>IF(B1276="","",COUNTIF(B$6:B1276,B1276))</f>
        <v/>
      </c>
      <c r="AC1276" s="57" t="str">
        <f>IF(B1276="","",B1276&amp;"#"&amp;AB1276)</f>
        <v/>
      </c>
      <c r="AD1276" s="57" t="str">
        <f>IF(Z1276=1,A1276&amp;AA1276,"")</f>
        <v/>
      </c>
      <c r="AE1276" s="57" t="str">
        <f>IF(B1276="","",YEAR(C1276))</f>
        <v/>
      </c>
      <c r="AF1276" s="57" t="str">
        <f>IF(B1276="","",MONTH(C1276))</f>
        <v/>
      </c>
      <c r="AG1276" s="57">
        <f>IF(ISNUMBER(C1276),C1276,0)</f>
        <v>0.0</v>
      </c>
      <c r="AH1276" s="57" t="str">
        <f>IF(N(W1276)&gt;0,COUNTIF(W$6:W1276,"&gt;0"),"")</f>
        <v/>
      </c>
      <c r="AI1276" s="57" t="str">
        <f>IF(Z1276=1,COUNTIF(Z$6:Z1276,1),"")</f>
        <v/>
      </c>
    </row>
    <row r="1277">
      <c r="A1277" s="54" t="n"/>
      <c r="B1277" s="55" t="str">
        <f>IF(AA1277="","",A1277&amp;"-"&amp;RIGHT("000"&amp;AA1277,4))</f>
        <v/>
      </c>
      <c r="C1277" s="56" t="n"/>
      <c r="D1277" s="54" t="n"/>
      <c r="E1277" s="57" t="str">
        <f>IF(D1277="","",IF(A1277="BL",IFERROR(INDEX(cl_name,MATCH(D1277,cl_code,0))&amp;"","Client inconnu"),IF(A1277="BR",IFERROR(INDEX(fo_name,MATCH(D1277,fo_code,0))&amp;"","Fournisseur inconnu"),IF(A1277="BS",IF(ISNA(MATCH(D1277,p_services,0)),"Service inconnu",D1277&amp;""),""))))</f>
        <v/>
      </c>
      <c r="F1277" s="58" t="n"/>
      <c r="G1277" s="58" t="n"/>
      <c r="H1277" s="59" t="n"/>
      <c r="I1277" s="57" t="str">
        <f>IF(H1277="","",IFERROR(INDEX(art_des,MATCH(H1277,art_ref,0))&amp;"","Article inconnu"))</f>
        <v/>
      </c>
      <c r="J1277" s="60" t="str">
        <f>IF(H1277="","",IFERROR(INDEX(art_unit,MATCH(H1277,art_ref,0))&amp;"",""))</f>
        <v/>
      </c>
      <c r="K1277" s="59" t="n"/>
      <c r="L1277" s="59" t="n"/>
      <c r="M1277" s="61" t="str">
        <f>IF(OR(B1277="",NOT(ISNUMBER(K1277)),NOT(ISNUMBER(L1277))),"",IF(OR(K1277&lt;=0,L1277&lt;=0),"",ROUND(L1277-K1277,6)))</f>
        <v/>
      </c>
      <c r="N1277" s="58" t="n"/>
      <c r="O1277" s="62" t="n"/>
      <c r="P1277" s="63" t="str">
        <f>IF(OR(B1277="",NOT(ISNUMBER(L1277))),"",IF(L1277&lt;=0,"",IFERROR(ROUND(L1277*N(INDEX(art_w,MATCH(H1277,art_ref,0))),3),"")))</f>
        <v/>
      </c>
      <c r="Q1277" s="59" t="n"/>
      <c r="R1277" s="54" t="n"/>
      <c r="S1277" s="59" t="n"/>
      <c r="T1277" s="59" t="n"/>
      <c r="U1277" s="64" t="str">
        <f>IF(OR(B1277="",H1277=""),"",IFERROR(IF(A1277="BL",IF(N(INDEX(art_price,MATCH(H1277,art_ref,0)))=0,"",N(INDEX(art_price,MATCH(H1277,art_ref,0)))),IF(N(INDEX(art_cost,MATCH(H1277,art_ref,0)))=0,"",N(INDEX(art_cost,MATCH(H1277,art_ref,0))))),""))</f>
        <v/>
      </c>
      <c r="V1277" s="64" t="str">
        <f>IF(OR(U1277="",NOT(ISNUMBER(L1277))),"",IF(L1277&lt;=0,"",ROUND(L1277*U1277,2)))</f>
        <v/>
      </c>
      <c r="W1277" s="60" t="str">
        <f>IF(AND(B1277&lt;&gt;"",A1277&lt;&gt;"BS",F1277&lt;&gt;"",H1277&lt;&gt;"",ISNUMBER(K1277),ISNUMBER(L1277)),IF(AND(K1277&gt;0,L1277&gt;0,K1277-L1277&gt;0,COUNTIFS(A1278:A$2005,A1277,F1278:F$2005,F1277,H1278:H$2005,H1277,AA1278:AA$2005,"&gt;0")=0),ROUND(K1277-L1277,6),""),"")</f>
        <v/>
      </c>
      <c r="X1277" s="60" t="str">
        <f>IF(AND(A1277="",C1277="",D1277="",H1277="",L1277=""),"",IF(A1277="","Type manquant",IF(AND(A1277&lt;&gt;"BL",A1277&lt;&gt;"BR",A1277&lt;&gt;"BS"),"Type inconnu (BL, BR ou BS)",IF(AG1277=0,"Date manquante ou invalide",IF(D1277="",IF(A1277="BL","Client manquant",IF(A1277="BR","Fournisseur manquant","Service manquant")),IF(IF(A1277="BL",ISNA(MATCH(D1277,cl_code,0)),IF(A1277="BR",ISNA(MATCH(D1277,fo_code,0)),ISNA(MATCH(D1277,p_services,0)))),IF(A1277="BL","Client inconnu",IF(A1277="BR","Fournisseur inconnu","Service inconnu")),IF(H1277="","Article manquant",IF(ISNA(MATCH(H1277,art_ref,0)),"Article inconnu",IF(OR(NOT(ISNUMBER(L1277)),N(L1277)&lt;=0),"Quantité invalide",IF(AND(K1277&lt;&gt;"",OR(NOT(ISNUMBER(K1277)),N(K1277)&lt;=0)),"Qté commandée invalide",IF(AG1277&lt;SUMPRODUCT(MAX((A$6:A1276=A1277)*AG$6:AG1276)),"Date antérieure au bon précédent",IF(AND(A1277&lt;&gt;"BR",ISNUMBER(M1277),N(M1277)&gt;0),IF(A1277="BL","Livré plus que commandé","Sorti plus que demandé"),"OK"))))))))))))</f>
        <v/>
      </c>
      <c r="Y1277" s="57" t="str">
        <f>IF(AND(OR(A1277="BL",A1277="BR",A1277="BS"),AG1277&gt;0,D1277&lt;&gt;""),A1277&amp;"|"&amp;AG1277&amp;"|"&amp;D1277&amp;"|"&amp;F1277,"")</f>
        <v/>
      </c>
      <c r="Z1277" s="57" t="str">
        <f>IF(Y1277="","",IF(COUNTIF(Y$6:Y1276,Y1277)=0,1,0))</f>
        <v/>
      </c>
      <c r="AA1277" s="57" t="str">
        <f>IF(Y1277="","",IF(Z1277=1,COUNTIFS(A$6:A1277,A1277,Z$6:Z1277,1),INDEX(AA$6:AA1276,MATCH(Y1277,Y$6:Y1276,0))))</f>
        <v/>
      </c>
      <c r="AB1277" s="57" t="str">
        <f>IF(B1277="","",COUNTIF(B$6:B1277,B1277))</f>
        <v/>
      </c>
      <c r="AC1277" s="57" t="str">
        <f>IF(B1277="","",B1277&amp;"#"&amp;AB1277)</f>
        <v/>
      </c>
      <c r="AD1277" s="57" t="str">
        <f>IF(Z1277=1,A1277&amp;AA1277,"")</f>
        <v/>
      </c>
      <c r="AE1277" s="57" t="str">
        <f>IF(B1277="","",YEAR(C1277))</f>
        <v/>
      </c>
      <c r="AF1277" s="57" t="str">
        <f>IF(B1277="","",MONTH(C1277))</f>
        <v/>
      </c>
      <c r="AG1277" s="57">
        <f>IF(ISNUMBER(C1277),C1277,0)</f>
        <v>0.0</v>
      </c>
      <c r="AH1277" s="57" t="str">
        <f>IF(N(W1277)&gt;0,COUNTIF(W$6:W1277,"&gt;0"),"")</f>
        <v/>
      </c>
      <c r="AI1277" s="57" t="str">
        <f>IF(Z1277=1,COUNTIF(Z$6:Z1277,1),"")</f>
        <v/>
      </c>
    </row>
    <row r="1278">
      <c r="A1278" s="54" t="n"/>
      <c r="B1278" s="55" t="str">
        <f>IF(AA1278="","",A1278&amp;"-"&amp;RIGHT("000"&amp;AA1278,4))</f>
        <v/>
      </c>
      <c r="C1278" s="56" t="n"/>
      <c r="D1278" s="54" t="n"/>
      <c r="E1278" s="57" t="str">
        <f>IF(D1278="","",IF(A1278="BL",IFERROR(INDEX(cl_name,MATCH(D1278,cl_code,0))&amp;"","Client inconnu"),IF(A1278="BR",IFERROR(INDEX(fo_name,MATCH(D1278,fo_code,0))&amp;"","Fournisseur inconnu"),IF(A1278="BS",IF(ISNA(MATCH(D1278,p_services,0)),"Service inconnu",D1278&amp;""),""))))</f>
        <v/>
      </c>
      <c r="F1278" s="58" t="n"/>
      <c r="G1278" s="58" t="n"/>
      <c r="H1278" s="59" t="n"/>
      <c r="I1278" s="57" t="str">
        <f>IF(H1278="","",IFERROR(INDEX(art_des,MATCH(H1278,art_ref,0))&amp;"","Article inconnu"))</f>
        <v/>
      </c>
      <c r="J1278" s="60" t="str">
        <f>IF(H1278="","",IFERROR(INDEX(art_unit,MATCH(H1278,art_ref,0))&amp;"",""))</f>
        <v/>
      </c>
      <c r="K1278" s="59" t="n"/>
      <c r="L1278" s="59" t="n"/>
      <c r="M1278" s="61" t="str">
        <f>IF(OR(B1278="",NOT(ISNUMBER(K1278)),NOT(ISNUMBER(L1278))),"",IF(OR(K1278&lt;=0,L1278&lt;=0),"",ROUND(L1278-K1278,6)))</f>
        <v/>
      </c>
      <c r="N1278" s="58" t="n"/>
      <c r="O1278" s="62" t="n"/>
      <c r="P1278" s="63" t="str">
        <f>IF(OR(B1278="",NOT(ISNUMBER(L1278))),"",IF(L1278&lt;=0,"",IFERROR(ROUND(L1278*N(INDEX(art_w,MATCH(H1278,art_ref,0))),3),"")))</f>
        <v/>
      </c>
      <c r="Q1278" s="59" t="n"/>
      <c r="R1278" s="54" t="n"/>
      <c r="S1278" s="59" t="n"/>
      <c r="T1278" s="59" t="n"/>
      <c r="U1278" s="64" t="str">
        <f>IF(OR(B1278="",H1278=""),"",IFERROR(IF(A1278="BL",IF(N(INDEX(art_price,MATCH(H1278,art_ref,0)))=0,"",N(INDEX(art_price,MATCH(H1278,art_ref,0)))),IF(N(INDEX(art_cost,MATCH(H1278,art_ref,0)))=0,"",N(INDEX(art_cost,MATCH(H1278,art_ref,0))))),""))</f>
        <v/>
      </c>
      <c r="V1278" s="64" t="str">
        <f>IF(OR(U1278="",NOT(ISNUMBER(L1278))),"",IF(L1278&lt;=0,"",ROUND(L1278*U1278,2)))</f>
        <v/>
      </c>
      <c r="W1278" s="60" t="str">
        <f>IF(AND(B1278&lt;&gt;"",A1278&lt;&gt;"BS",F1278&lt;&gt;"",H1278&lt;&gt;"",ISNUMBER(K1278),ISNUMBER(L1278)),IF(AND(K1278&gt;0,L1278&gt;0,K1278-L1278&gt;0,COUNTIFS(A1279:A$2005,A1278,F1279:F$2005,F1278,H1279:H$2005,H1278,AA1279:AA$2005,"&gt;0")=0),ROUND(K1278-L1278,6),""),"")</f>
        <v/>
      </c>
      <c r="X1278" s="60" t="str">
        <f>IF(AND(A1278="",C1278="",D1278="",H1278="",L1278=""),"",IF(A1278="","Type manquant",IF(AND(A1278&lt;&gt;"BL",A1278&lt;&gt;"BR",A1278&lt;&gt;"BS"),"Type inconnu (BL, BR ou BS)",IF(AG1278=0,"Date manquante ou invalide",IF(D1278="",IF(A1278="BL","Client manquant",IF(A1278="BR","Fournisseur manquant","Service manquant")),IF(IF(A1278="BL",ISNA(MATCH(D1278,cl_code,0)),IF(A1278="BR",ISNA(MATCH(D1278,fo_code,0)),ISNA(MATCH(D1278,p_services,0)))),IF(A1278="BL","Client inconnu",IF(A1278="BR","Fournisseur inconnu","Service inconnu")),IF(H1278="","Article manquant",IF(ISNA(MATCH(H1278,art_ref,0)),"Article inconnu",IF(OR(NOT(ISNUMBER(L1278)),N(L1278)&lt;=0),"Quantité invalide",IF(AND(K1278&lt;&gt;"",OR(NOT(ISNUMBER(K1278)),N(K1278)&lt;=0)),"Qté commandée invalide",IF(AG1278&lt;SUMPRODUCT(MAX((A$6:A1277=A1278)*AG$6:AG1277)),"Date antérieure au bon précédent",IF(AND(A1278&lt;&gt;"BR",ISNUMBER(M1278),N(M1278)&gt;0),IF(A1278="BL","Livré plus que commandé","Sorti plus que demandé"),"OK"))))))))))))</f>
        <v/>
      </c>
      <c r="Y1278" s="57" t="str">
        <f>IF(AND(OR(A1278="BL",A1278="BR",A1278="BS"),AG1278&gt;0,D1278&lt;&gt;""),A1278&amp;"|"&amp;AG1278&amp;"|"&amp;D1278&amp;"|"&amp;F1278,"")</f>
        <v/>
      </c>
      <c r="Z1278" s="57" t="str">
        <f>IF(Y1278="","",IF(COUNTIF(Y$6:Y1277,Y1278)=0,1,0))</f>
        <v/>
      </c>
      <c r="AA1278" s="57" t="str">
        <f>IF(Y1278="","",IF(Z1278=1,COUNTIFS(A$6:A1278,A1278,Z$6:Z1278,1),INDEX(AA$6:AA1277,MATCH(Y1278,Y$6:Y1277,0))))</f>
        <v/>
      </c>
      <c r="AB1278" s="57" t="str">
        <f>IF(B1278="","",COUNTIF(B$6:B1278,B1278))</f>
        <v/>
      </c>
      <c r="AC1278" s="57" t="str">
        <f>IF(B1278="","",B1278&amp;"#"&amp;AB1278)</f>
        <v/>
      </c>
      <c r="AD1278" s="57" t="str">
        <f>IF(Z1278=1,A1278&amp;AA1278,"")</f>
        <v/>
      </c>
      <c r="AE1278" s="57" t="str">
        <f>IF(B1278="","",YEAR(C1278))</f>
        <v/>
      </c>
      <c r="AF1278" s="57" t="str">
        <f>IF(B1278="","",MONTH(C1278))</f>
        <v/>
      </c>
      <c r="AG1278" s="57">
        <f>IF(ISNUMBER(C1278),C1278,0)</f>
        <v>0.0</v>
      </c>
      <c r="AH1278" s="57" t="str">
        <f>IF(N(W1278)&gt;0,COUNTIF(W$6:W1278,"&gt;0"),"")</f>
        <v/>
      </c>
      <c r="AI1278" s="57" t="str">
        <f>IF(Z1278=1,COUNTIF(Z$6:Z1278,1),"")</f>
        <v/>
      </c>
    </row>
    <row r="1279">
      <c r="A1279" s="54" t="n"/>
      <c r="B1279" s="55" t="str">
        <f>IF(AA1279="","",A1279&amp;"-"&amp;RIGHT("000"&amp;AA1279,4))</f>
        <v/>
      </c>
      <c r="C1279" s="56" t="n"/>
      <c r="D1279" s="54" t="n"/>
      <c r="E1279" s="57" t="str">
        <f>IF(D1279="","",IF(A1279="BL",IFERROR(INDEX(cl_name,MATCH(D1279,cl_code,0))&amp;"","Client inconnu"),IF(A1279="BR",IFERROR(INDEX(fo_name,MATCH(D1279,fo_code,0))&amp;"","Fournisseur inconnu"),IF(A1279="BS",IF(ISNA(MATCH(D1279,p_services,0)),"Service inconnu",D1279&amp;""),""))))</f>
        <v/>
      </c>
      <c r="F1279" s="58" t="n"/>
      <c r="G1279" s="58" t="n"/>
      <c r="H1279" s="59" t="n"/>
      <c r="I1279" s="57" t="str">
        <f>IF(H1279="","",IFERROR(INDEX(art_des,MATCH(H1279,art_ref,0))&amp;"","Article inconnu"))</f>
        <v/>
      </c>
      <c r="J1279" s="60" t="str">
        <f>IF(H1279="","",IFERROR(INDEX(art_unit,MATCH(H1279,art_ref,0))&amp;"",""))</f>
        <v/>
      </c>
      <c r="K1279" s="59" t="n"/>
      <c r="L1279" s="59" t="n"/>
      <c r="M1279" s="61" t="str">
        <f>IF(OR(B1279="",NOT(ISNUMBER(K1279)),NOT(ISNUMBER(L1279))),"",IF(OR(K1279&lt;=0,L1279&lt;=0),"",ROUND(L1279-K1279,6)))</f>
        <v/>
      </c>
      <c r="N1279" s="58" t="n"/>
      <c r="O1279" s="62" t="n"/>
      <c r="P1279" s="63" t="str">
        <f>IF(OR(B1279="",NOT(ISNUMBER(L1279))),"",IF(L1279&lt;=0,"",IFERROR(ROUND(L1279*N(INDEX(art_w,MATCH(H1279,art_ref,0))),3),"")))</f>
        <v/>
      </c>
      <c r="Q1279" s="59" t="n"/>
      <c r="R1279" s="54" t="n"/>
      <c r="S1279" s="59" t="n"/>
      <c r="T1279" s="59" t="n"/>
      <c r="U1279" s="64" t="str">
        <f>IF(OR(B1279="",H1279=""),"",IFERROR(IF(A1279="BL",IF(N(INDEX(art_price,MATCH(H1279,art_ref,0)))=0,"",N(INDEX(art_price,MATCH(H1279,art_ref,0)))),IF(N(INDEX(art_cost,MATCH(H1279,art_ref,0)))=0,"",N(INDEX(art_cost,MATCH(H1279,art_ref,0))))),""))</f>
        <v/>
      </c>
      <c r="V1279" s="64" t="str">
        <f>IF(OR(U1279="",NOT(ISNUMBER(L1279))),"",IF(L1279&lt;=0,"",ROUND(L1279*U1279,2)))</f>
        <v/>
      </c>
      <c r="W1279" s="60" t="str">
        <f>IF(AND(B1279&lt;&gt;"",A1279&lt;&gt;"BS",F1279&lt;&gt;"",H1279&lt;&gt;"",ISNUMBER(K1279),ISNUMBER(L1279)),IF(AND(K1279&gt;0,L1279&gt;0,K1279-L1279&gt;0,COUNTIFS(A1280:A$2005,A1279,F1280:F$2005,F1279,H1280:H$2005,H1279,AA1280:AA$2005,"&gt;0")=0),ROUND(K1279-L1279,6),""),"")</f>
        <v/>
      </c>
      <c r="X1279" s="60" t="str">
        <f>IF(AND(A1279="",C1279="",D1279="",H1279="",L1279=""),"",IF(A1279="","Type manquant",IF(AND(A1279&lt;&gt;"BL",A1279&lt;&gt;"BR",A1279&lt;&gt;"BS"),"Type inconnu (BL, BR ou BS)",IF(AG1279=0,"Date manquante ou invalide",IF(D1279="",IF(A1279="BL","Client manquant",IF(A1279="BR","Fournisseur manquant","Service manquant")),IF(IF(A1279="BL",ISNA(MATCH(D1279,cl_code,0)),IF(A1279="BR",ISNA(MATCH(D1279,fo_code,0)),ISNA(MATCH(D1279,p_services,0)))),IF(A1279="BL","Client inconnu",IF(A1279="BR","Fournisseur inconnu","Service inconnu")),IF(H1279="","Article manquant",IF(ISNA(MATCH(H1279,art_ref,0)),"Article inconnu",IF(OR(NOT(ISNUMBER(L1279)),N(L1279)&lt;=0),"Quantité invalide",IF(AND(K1279&lt;&gt;"",OR(NOT(ISNUMBER(K1279)),N(K1279)&lt;=0)),"Qté commandée invalide",IF(AG1279&lt;SUMPRODUCT(MAX((A$6:A1278=A1279)*AG$6:AG1278)),"Date antérieure au bon précédent",IF(AND(A1279&lt;&gt;"BR",ISNUMBER(M1279),N(M1279)&gt;0),IF(A1279="BL","Livré plus que commandé","Sorti plus que demandé"),"OK"))))))))))))</f>
        <v/>
      </c>
      <c r="Y1279" s="57" t="str">
        <f>IF(AND(OR(A1279="BL",A1279="BR",A1279="BS"),AG1279&gt;0,D1279&lt;&gt;""),A1279&amp;"|"&amp;AG1279&amp;"|"&amp;D1279&amp;"|"&amp;F1279,"")</f>
        <v/>
      </c>
      <c r="Z1279" s="57" t="str">
        <f>IF(Y1279="","",IF(COUNTIF(Y$6:Y1278,Y1279)=0,1,0))</f>
        <v/>
      </c>
      <c r="AA1279" s="57" t="str">
        <f>IF(Y1279="","",IF(Z1279=1,COUNTIFS(A$6:A1279,A1279,Z$6:Z1279,1),INDEX(AA$6:AA1278,MATCH(Y1279,Y$6:Y1278,0))))</f>
        <v/>
      </c>
      <c r="AB1279" s="57" t="str">
        <f>IF(B1279="","",COUNTIF(B$6:B1279,B1279))</f>
        <v/>
      </c>
      <c r="AC1279" s="57" t="str">
        <f>IF(B1279="","",B1279&amp;"#"&amp;AB1279)</f>
        <v/>
      </c>
      <c r="AD1279" s="57" t="str">
        <f>IF(Z1279=1,A1279&amp;AA1279,"")</f>
        <v/>
      </c>
      <c r="AE1279" s="57" t="str">
        <f>IF(B1279="","",YEAR(C1279))</f>
        <v/>
      </c>
      <c r="AF1279" s="57" t="str">
        <f>IF(B1279="","",MONTH(C1279))</f>
        <v/>
      </c>
      <c r="AG1279" s="57">
        <f>IF(ISNUMBER(C1279),C1279,0)</f>
        <v>0.0</v>
      </c>
      <c r="AH1279" s="57" t="str">
        <f>IF(N(W1279)&gt;0,COUNTIF(W$6:W1279,"&gt;0"),"")</f>
        <v/>
      </c>
      <c r="AI1279" s="57" t="str">
        <f>IF(Z1279=1,COUNTIF(Z$6:Z1279,1),"")</f>
        <v/>
      </c>
    </row>
    <row r="1280">
      <c r="A1280" s="54" t="n"/>
      <c r="B1280" s="55" t="str">
        <f>IF(AA1280="","",A1280&amp;"-"&amp;RIGHT("000"&amp;AA1280,4))</f>
        <v/>
      </c>
      <c r="C1280" s="56" t="n"/>
      <c r="D1280" s="54" t="n"/>
      <c r="E1280" s="57" t="str">
        <f>IF(D1280="","",IF(A1280="BL",IFERROR(INDEX(cl_name,MATCH(D1280,cl_code,0))&amp;"","Client inconnu"),IF(A1280="BR",IFERROR(INDEX(fo_name,MATCH(D1280,fo_code,0))&amp;"","Fournisseur inconnu"),IF(A1280="BS",IF(ISNA(MATCH(D1280,p_services,0)),"Service inconnu",D1280&amp;""),""))))</f>
        <v/>
      </c>
      <c r="F1280" s="58" t="n"/>
      <c r="G1280" s="58" t="n"/>
      <c r="H1280" s="59" t="n"/>
      <c r="I1280" s="57" t="str">
        <f>IF(H1280="","",IFERROR(INDEX(art_des,MATCH(H1280,art_ref,0))&amp;"","Article inconnu"))</f>
        <v/>
      </c>
      <c r="J1280" s="60" t="str">
        <f>IF(H1280="","",IFERROR(INDEX(art_unit,MATCH(H1280,art_ref,0))&amp;"",""))</f>
        <v/>
      </c>
      <c r="K1280" s="59" t="n"/>
      <c r="L1280" s="59" t="n"/>
      <c r="M1280" s="61" t="str">
        <f>IF(OR(B1280="",NOT(ISNUMBER(K1280)),NOT(ISNUMBER(L1280))),"",IF(OR(K1280&lt;=0,L1280&lt;=0),"",ROUND(L1280-K1280,6)))</f>
        <v/>
      </c>
      <c r="N1280" s="58" t="n"/>
      <c r="O1280" s="62" t="n"/>
      <c r="P1280" s="63" t="str">
        <f>IF(OR(B1280="",NOT(ISNUMBER(L1280))),"",IF(L1280&lt;=0,"",IFERROR(ROUND(L1280*N(INDEX(art_w,MATCH(H1280,art_ref,0))),3),"")))</f>
        <v/>
      </c>
      <c r="Q1280" s="59" t="n"/>
      <c r="R1280" s="54" t="n"/>
      <c r="S1280" s="59" t="n"/>
      <c r="T1280" s="59" t="n"/>
      <c r="U1280" s="64" t="str">
        <f>IF(OR(B1280="",H1280=""),"",IFERROR(IF(A1280="BL",IF(N(INDEX(art_price,MATCH(H1280,art_ref,0)))=0,"",N(INDEX(art_price,MATCH(H1280,art_ref,0)))),IF(N(INDEX(art_cost,MATCH(H1280,art_ref,0)))=0,"",N(INDEX(art_cost,MATCH(H1280,art_ref,0))))),""))</f>
        <v/>
      </c>
      <c r="V1280" s="64" t="str">
        <f>IF(OR(U1280="",NOT(ISNUMBER(L1280))),"",IF(L1280&lt;=0,"",ROUND(L1280*U1280,2)))</f>
        <v/>
      </c>
      <c r="W1280" s="60" t="str">
        <f>IF(AND(B1280&lt;&gt;"",A1280&lt;&gt;"BS",F1280&lt;&gt;"",H1280&lt;&gt;"",ISNUMBER(K1280),ISNUMBER(L1280)),IF(AND(K1280&gt;0,L1280&gt;0,K1280-L1280&gt;0,COUNTIFS(A1281:A$2005,A1280,F1281:F$2005,F1280,H1281:H$2005,H1280,AA1281:AA$2005,"&gt;0")=0),ROUND(K1280-L1280,6),""),"")</f>
        <v/>
      </c>
      <c r="X1280" s="60" t="str">
        <f>IF(AND(A1280="",C1280="",D1280="",H1280="",L1280=""),"",IF(A1280="","Type manquant",IF(AND(A1280&lt;&gt;"BL",A1280&lt;&gt;"BR",A1280&lt;&gt;"BS"),"Type inconnu (BL, BR ou BS)",IF(AG1280=0,"Date manquante ou invalide",IF(D1280="",IF(A1280="BL","Client manquant",IF(A1280="BR","Fournisseur manquant","Service manquant")),IF(IF(A1280="BL",ISNA(MATCH(D1280,cl_code,0)),IF(A1280="BR",ISNA(MATCH(D1280,fo_code,0)),ISNA(MATCH(D1280,p_services,0)))),IF(A1280="BL","Client inconnu",IF(A1280="BR","Fournisseur inconnu","Service inconnu")),IF(H1280="","Article manquant",IF(ISNA(MATCH(H1280,art_ref,0)),"Article inconnu",IF(OR(NOT(ISNUMBER(L1280)),N(L1280)&lt;=0),"Quantité invalide",IF(AND(K1280&lt;&gt;"",OR(NOT(ISNUMBER(K1280)),N(K1280)&lt;=0)),"Qté commandée invalide",IF(AG1280&lt;SUMPRODUCT(MAX((A$6:A1279=A1280)*AG$6:AG1279)),"Date antérieure au bon précédent",IF(AND(A1280&lt;&gt;"BR",ISNUMBER(M1280),N(M1280)&gt;0),IF(A1280="BL","Livré plus que commandé","Sorti plus que demandé"),"OK"))))))))))))</f>
        <v/>
      </c>
      <c r="Y1280" s="57" t="str">
        <f>IF(AND(OR(A1280="BL",A1280="BR",A1280="BS"),AG1280&gt;0,D1280&lt;&gt;""),A1280&amp;"|"&amp;AG1280&amp;"|"&amp;D1280&amp;"|"&amp;F1280,"")</f>
        <v/>
      </c>
      <c r="Z1280" s="57" t="str">
        <f>IF(Y1280="","",IF(COUNTIF(Y$6:Y1279,Y1280)=0,1,0))</f>
        <v/>
      </c>
      <c r="AA1280" s="57" t="str">
        <f>IF(Y1280="","",IF(Z1280=1,COUNTIFS(A$6:A1280,A1280,Z$6:Z1280,1),INDEX(AA$6:AA1279,MATCH(Y1280,Y$6:Y1279,0))))</f>
        <v/>
      </c>
      <c r="AB1280" s="57" t="str">
        <f>IF(B1280="","",COUNTIF(B$6:B1280,B1280))</f>
        <v/>
      </c>
      <c r="AC1280" s="57" t="str">
        <f>IF(B1280="","",B1280&amp;"#"&amp;AB1280)</f>
        <v/>
      </c>
      <c r="AD1280" s="57" t="str">
        <f>IF(Z1280=1,A1280&amp;AA1280,"")</f>
        <v/>
      </c>
      <c r="AE1280" s="57" t="str">
        <f>IF(B1280="","",YEAR(C1280))</f>
        <v/>
      </c>
      <c r="AF1280" s="57" t="str">
        <f>IF(B1280="","",MONTH(C1280))</f>
        <v/>
      </c>
      <c r="AG1280" s="57">
        <f>IF(ISNUMBER(C1280),C1280,0)</f>
        <v>0.0</v>
      </c>
      <c r="AH1280" s="57" t="str">
        <f>IF(N(W1280)&gt;0,COUNTIF(W$6:W1280,"&gt;0"),"")</f>
        <v/>
      </c>
      <c r="AI1280" s="57" t="str">
        <f>IF(Z1280=1,COUNTIF(Z$6:Z1280,1),"")</f>
        <v/>
      </c>
    </row>
    <row r="1281">
      <c r="A1281" s="54" t="n"/>
      <c r="B1281" s="55" t="str">
        <f>IF(AA1281="","",A1281&amp;"-"&amp;RIGHT("000"&amp;AA1281,4))</f>
        <v/>
      </c>
      <c r="C1281" s="56" t="n"/>
      <c r="D1281" s="54" t="n"/>
      <c r="E1281" s="57" t="str">
        <f>IF(D1281="","",IF(A1281="BL",IFERROR(INDEX(cl_name,MATCH(D1281,cl_code,0))&amp;"","Client inconnu"),IF(A1281="BR",IFERROR(INDEX(fo_name,MATCH(D1281,fo_code,0))&amp;"","Fournisseur inconnu"),IF(A1281="BS",IF(ISNA(MATCH(D1281,p_services,0)),"Service inconnu",D1281&amp;""),""))))</f>
        <v/>
      </c>
      <c r="F1281" s="58" t="n"/>
      <c r="G1281" s="58" t="n"/>
      <c r="H1281" s="59" t="n"/>
      <c r="I1281" s="57" t="str">
        <f>IF(H1281="","",IFERROR(INDEX(art_des,MATCH(H1281,art_ref,0))&amp;"","Article inconnu"))</f>
        <v/>
      </c>
      <c r="J1281" s="60" t="str">
        <f>IF(H1281="","",IFERROR(INDEX(art_unit,MATCH(H1281,art_ref,0))&amp;"",""))</f>
        <v/>
      </c>
      <c r="K1281" s="59" t="n"/>
      <c r="L1281" s="59" t="n"/>
      <c r="M1281" s="61" t="str">
        <f>IF(OR(B1281="",NOT(ISNUMBER(K1281)),NOT(ISNUMBER(L1281))),"",IF(OR(K1281&lt;=0,L1281&lt;=0),"",ROUND(L1281-K1281,6)))</f>
        <v/>
      </c>
      <c r="N1281" s="58" t="n"/>
      <c r="O1281" s="62" t="n"/>
      <c r="P1281" s="63" t="str">
        <f>IF(OR(B1281="",NOT(ISNUMBER(L1281))),"",IF(L1281&lt;=0,"",IFERROR(ROUND(L1281*N(INDEX(art_w,MATCH(H1281,art_ref,0))),3),"")))</f>
        <v/>
      </c>
      <c r="Q1281" s="59" t="n"/>
      <c r="R1281" s="54" t="n"/>
      <c r="S1281" s="59" t="n"/>
      <c r="T1281" s="59" t="n"/>
      <c r="U1281" s="64" t="str">
        <f>IF(OR(B1281="",H1281=""),"",IFERROR(IF(A1281="BL",IF(N(INDEX(art_price,MATCH(H1281,art_ref,0)))=0,"",N(INDEX(art_price,MATCH(H1281,art_ref,0)))),IF(N(INDEX(art_cost,MATCH(H1281,art_ref,0)))=0,"",N(INDEX(art_cost,MATCH(H1281,art_ref,0))))),""))</f>
        <v/>
      </c>
      <c r="V1281" s="64" t="str">
        <f>IF(OR(U1281="",NOT(ISNUMBER(L1281))),"",IF(L1281&lt;=0,"",ROUND(L1281*U1281,2)))</f>
        <v/>
      </c>
      <c r="W1281" s="60" t="str">
        <f>IF(AND(B1281&lt;&gt;"",A1281&lt;&gt;"BS",F1281&lt;&gt;"",H1281&lt;&gt;"",ISNUMBER(K1281),ISNUMBER(L1281)),IF(AND(K1281&gt;0,L1281&gt;0,K1281-L1281&gt;0,COUNTIFS(A1282:A$2005,A1281,F1282:F$2005,F1281,H1282:H$2005,H1281,AA1282:AA$2005,"&gt;0")=0),ROUND(K1281-L1281,6),""),"")</f>
        <v/>
      </c>
      <c r="X1281" s="60" t="str">
        <f>IF(AND(A1281="",C1281="",D1281="",H1281="",L1281=""),"",IF(A1281="","Type manquant",IF(AND(A1281&lt;&gt;"BL",A1281&lt;&gt;"BR",A1281&lt;&gt;"BS"),"Type inconnu (BL, BR ou BS)",IF(AG1281=0,"Date manquante ou invalide",IF(D1281="",IF(A1281="BL","Client manquant",IF(A1281="BR","Fournisseur manquant","Service manquant")),IF(IF(A1281="BL",ISNA(MATCH(D1281,cl_code,0)),IF(A1281="BR",ISNA(MATCH(D1281,fo_code,0)),ISNA(MATCH(D1281,p_services,0)))),IF(A1281="BL","Client inconnu",IF(A1281="BR","Fournisseur inconnu","Service inconnu")),IF(H1281="","Article manquant",IF(ISNA(MATCH(H1281,art_ref,0)),"Article inconnu",IF(OR(NOT(ISNUMBER(L1281)),N(L1281)&lt;=0),"Quantité invalide",IF(AND(K1281&lt;&gt;"",OR(NOT(ISNUMBER(K1281)),N(K1281)&lt;=0)),"Qté commandée invalide",IF(AG1281&lt;SUMPRODUCT(MAX((A$6:A1280=A1281)*AG$6:AG1280)),"Date antérieure au bon précédent",IF(AND(A1281&lt;&gt;"BR",ISNUMBER(M1281),N(M1281)&gt;0),IF(A1281="BL","Livré plus que commandé","Sorti plus que demandé"),"OK"))))))))))))</f>
        <v/>
      </c>
      <c r="Y1281" s="57" t="str">
        <f>IF(AND(OR(A1281="BL",A1281="BR",A1281="BS"),AG1281&gt;0,D1281&lt;&gt;""),A1281&amp;"|"&amp;AG1281&amp;"|"&amp;D1281&amp;"|"&amp;F1281,"")</f>
        <v/>
      </c>
      <c r="Z1281" s="57" t="str">
        <f>IF(Y1281="","",IF(COUNTIF(Y$6:Y1280,Y1281)=0,1,0))</f>
        <v/>
      </c>
      <c r="AA1281" s="57" t="str">
        <f>IF(Y1281="","",IF(Z1281=1,COUNTIFS(A$6:A1281,A1281,Z$6:Z1281,1),INDEX(AA$6:AA1280,MATCH(Y1281,Y$6:Y1280,0))))</f>
        <v/>
      </c>
      <c r="AB1281" s="57" t="str">
        <f>IF(B1281="","",COUNTIF(B$6:B1281,B1281))</f>
        <v/>
      </c>
      <c r="AC1281" s="57" t="str">
        <f>IF(B1281="","",B1281&amp;"#"&amp;AB1281)</f>
        <v/>
      </c>
      <c r="AD1281" s="57" t="str">
        <f>IF(Z1281=1,A1281&amp;AA1281,"")</f>
        <v/>
      </c>
      <c r="AE1281" s="57" t="str">
        <f>IF(B1281="","",YEAR(C1281))</f>
        <v/>
      </c>
      <c r="AF1281" s="57" t="str">
        <f>IF(B1281="","",MONTH(C1281))</f>
        <v/>
      </c>
      <c r="AG1281" s="57">
        <f>IF(ISNUMBER(C1281),C1281,0)</f>
        <v>0.0</v>
      </c>
      <c r="AH1281" s="57" t="str">
        <f>IF(N(W1281)&gt;0,COUNTIF(W$6:W1281,"&gt;0"),"")</f>
        <v/>
      </c>
      <c r="AI1281" s="57" t="str">
        <f>IF(Z1281=1,COUNTIF(Z$6:Z1281,1),"")</f>
        <v/>
      </c>
    </row>
    <row r="1282">
      <c r="A1282" s="54" t="n"/>
      <c r="B1282" s="55" t="str">
        <f>IF(AA1282="","",A1282&amp;"-"&amp;RIGHT("000"&amp;AA1282,4))</f>
        <v/>
      </c>
      <c r="C1282" s="56" t="n"/>
      <c r="D1282" s="54" t="n"/>
      <c r="E1282" s="57" t="str">
        <f>IF(D1282="","",IF(A1282="BL",IFERROR(INDEX(cl_name,MATCH(D1282,cl_code,0))&amp;"","Client inconnu"),IF(A1282="BR",IFERROR(INDEX(fo_name,MATCH(D1282,fo_code,0))&amp;"","Fournisseur inconnu"),IF(A1282="BS",IF(ISNA(MATCH(D1282,p_services,0)),"Service inconnu",D1282&amp;""),""))))</f>
        <v/>
      </c>
      <c r="F1282" s="58" t="n"/>
      <c r="G1282" s="58" t="n"/>
      <c r="H1282" s="59" t="n"/>
      <c r="I1282" s="57" t="str">
        <f>IF(H1282="","",IFERROR(INDEX(art_des,MATCH(H1282,art_ref,0))&amp;"","Article inconnu"))</f>
        <v/>
      </c>
      <c r="J1282" s="60" t="str">
        <f>IF(H1282="","",IFERROR(INDEX(art_unit,MATCH(H1282,art_ref,0))&amp;"",""))</f>
        <v/>
      </c>
      <c r="K1282" s="59" t="n"/>
      <c r="L1282" s="59" t="n"/>
      <c r="M1282" s="61" t="str">
        <f>IF(OR(B1282="",NOT(ISNUMBER(K1282)),NOT(ISNUMBER(L1282))),"",IF(OR(K1282&lt;=0,L1282&lt;=0),"",ROUND(L1282-K1282,6)))</f>
        <v/>
      </c>
      <c r="N1282" s="58" t="n"/>
      <c r="O1282" s="62" t="n"/>
      <c r="P1282" s="63" t="str">
        <f>IF(OR(B1282="",NOT(ISNUMBER(L1282))),"",IF(L1282&lt;=0,"",IFERROR(ROUND(L1282*N(INDEX(art_w,MATCH(H1282,art_ref,0))),3),"")))</f>
        <v/>
      </c>
      <c r="Q1282" s="59" t="n"/>
      <c r="R1282" s="54" t="n"/>
      <c r="S1282" s="59" t="n"/>
      <c r="T1282" s="59" t="n"/>
      <c r="U1282" s="64" t="str">
        <f>IF(OR(B1282="",H1282=""),"",IFERROR(IF(A1282="BL",IF(N(INDEX(art_price,MATCH(H1282,art_ref,0)))=0,"",N(INDEX(art_price,MATCH(H1282,art_ref,0)))),IF(N(INDEX(art_cost,MATCH(H1282,art_ref,0)))=0,"",N(INDEX(art_cost,MATCH(H1282,art_ref,0))))),""))</f>
        <v/>
      </c>
      <c r="V1282" s="64" t="str">
        <f>IF(OR(U1282="",NOT(ISNUMBER(L1282))),"",IF(L1282&lt;=0,"",ROUND(L1282*U1282,2)))</f>
        <v/>
      </c>
      <c r="W1282" s="60" t="str">
        <f>IF(AND(B1282&lt;&gt;"",A1282&lt;&gt;"BS",F1282&lt;&gt;"",H1282&lt;&gt;"",ISNUMBER(K1282),ISNUMBER(L1282)),IF(AND(K1282&gt;0,L1282&gt;0,K1282-L1282&gt;0,COUNTIFS(A1283:A$2005,A1282,F1283:F$2005,F1282,H1283:H$2005,H1282,AA1283:AA$2005,"&gt;0")=0),ROUND(K1282-L1282,6),""),"")</f>
        <v/>
      </c>
      <c r="X1282" s="60" t="str">
        <f>IF(AND(A1282="",C1282="",D1282="",H1282="",L1282=""),"",IF(A1282="","Type manquant",IF(AND(A1282&lt;&gt;"BL",A1282&lt;&gt;"BR",A1282&lt;&gt;"BS"),"Type inconnu (BL, BR ou BS)",IF(AG1282=0,"Date manquante ou invalide",IF(D1282="",IF(A1282="BL","Client manquant",IF(A1282="BR","Fournisseur manquant","Service manquant")),IF(IF(A1282="BL",ISNA(MATCH(D1282,cl_code,0)),IF(A1282="BR",ISNA(MATCH(D1282,fo_code,0)),ISNA(MATCH(D1282,p_services,0)))),IF(A1282="BL","Client inconnu",IF(A1282="BR","Fournisseur inconnu","Service inconnu")),IF(H1282="","Article manquant",IF(ISNA(MATCH(H1282,art_ref,0)),"Article inconnu",IF(OR(NOT(ISNUMBER(L1282)),N(L1282)&lt;=0),"Quantité invalide",IF(AND(K1282&lt;&gt;"",OR(NOT(ISNUMBER(K1282)),N(K1282)&lt;=0)),"Qté commandée invalide",IF(AG1282&lt;SUMPRODUCT(MAX((A$6:A1281=A1282)*AG$6:AG1281)),"Date antérieure au bon précédent",IF(AND(A1282&lt;&gt;"BR",ISNUMBER(M1282),N(M1282)&gt;0),IF(A1282="BL","Livré plus que commandé","Sorti plus que demandé"),"OK"))))))))))))</f>
        <v/>
      </c>
      <c r="Y1282" s="57" t="str">
        <f>IF(AND(OR(A1282="BL",A1282="BR",A1282="BS"),AG1282&gt;0,D1282&lt;&gt;""),A1282&amp;"|"&amp;AG1282&amp;"|"&amp;D1282&amp;"|"&amp;F1282,"")</f>
        <v/>
      </c>
      <c r="Z1282" s="57" t="str">
        <f>IF(Y1282="","",IF(COUNTIF(Y$6:Y1281,Y1282)=0,1,0))</f>
        <v/>
      </c>
      <c r="AA1282" s="57" t="str">
        <f>IF(Y1282="","",IF(Z1282=1,COUNTIFS(A$6:A1282,A1282,Z$6:Z1282,1),INDEX(AA$6:AA1281,MATCH(Y1282,Y$6:Y1281,0))))</f>
        <v/>
      </c>
      <c r="AB1282" s="57" t="str">
        <f>IF(B1282="","",COUNTIF(B$6:B1282,B1282))</f>
        <v/>
      </c>
      <c r="AC1282" s="57" t="str">
        <f>IF(B1282="","",B1282&amp;"#"&amp;AB1282)</f>
        <v/>
      </c>
      <c r="AD1282" s="57" t="str">
        <f>IF(Z1282=1,A1282&amp;AA1282,"")</f>
        <v/>
      </c>
      <c r="AE1282" s="57" t="str">
        <f>IF(B1282="","",YEAR(C1282))</f>
        <v/>
      </c>
      <c r="AF1282" s="57" t="str">
        <f>IF(B1282="","",MONTH(C1282))</f>
        <v/>
      </c>
      <c r="AG1282" s="57">
        <f>IF(ISNUMBER(C1282),C1282,0)</f>
        <v>0.0</v>
      </c>
      <c r="AH1282" s="57" t="str">
        <f>IF(N(W1282)&gt;0,COUNTIF(W$6:W1282,"&gt;0"),"")</f>
        <v/>
      </c>
      <c r="AI1282" s="57" t="str">
        <f>IF(Z1282=1,COUNTIF(Z$6:Z1282,1),"")</f>
        <v/>
      </c>
    </row>
    <row r="1283">
      <c r="A1283" s="54" t="n"/>
      <c r="B1283" s="55" t="str">
        <f>IF(AA1283="","",A1283&amp;"-"&amp;RIGHT("000"&amp;AA1283,4))</f>
        <v/>
      </c>
      <c r="C1283" s="56" t="n"/>
      <c r="D1283" s="54" t="n"/>
      <c r="E1283" s="57" t="str">
        <f>IF(D1283="","",IF(A1283="BL",IFERROR(INDEX(cl_name,MATCH(D1283,cl_code,0))&amp;"","Client inconnu"),IF(A1283="BR",IFERROR(INDEX(fo_name,MATCH(D1283,fo_code,0))&amp;"","Fournisseur inconnu"),IF(A1283="BS",IF(ISNA(MATCH(D1283,p_services,0)),"Service inconnu",D1283&amp;""),""))))</f>
        <v/>
      </c>
      <c r="F1283" s="58" t="n"/>
      <c r="G1283" s="58" t="n"/>
      <c r="H1283" s="59" t="n"/>
      <c r="I1283" s="57" t="str">
        <f>IF(H1283="","",IFERROR(INDEX(art_des,MATCH(H1283,art_ref,0))&amp;"","Article inconnu"))</f>
        <v/>
      </c>
      <c r="J1283" s="60" t="str">
        <f>IF(H1283="","",IFERROR(INDEX(art_unit,MATCH(H1283,art_ref,0))&amp;"",""))</f>
        <v/>
      </c>
      <c r="K1283" s="59" t="n"/>
      <c r="L1283" s="59" t="n"/>
      <c r="M1283" s="61" t="str">
        <f>IF(OR(B1283="",NOT(ISNUMBER(K1283)),NOT(ISNUMBER(L1283))),"",IF(OR(K1283&lt;=0,L1283&lt;=0),"",ROUND(L1283-K1283,6)))</f>
        <v/>
      </c>
      <c r="N1283" s="58" t="n"/>
      <c r="O1283" s="62" t="n"/>
      <c r="P1283" s="63" t="str">
        <f>IF(OR(B1283="",NOT(ISNUMBER(L1283))),"",IF(L1283&lt;=0,"",IFERROR(ROUND(L1283*N(INDEX(art_w,MATCH(H1283,art_ref,0))),3),"")))</f>
        <v/>
      </c>
      <c r="Q1283" s="59" t="n"/>
      <c r="R1283" s="54" t="n"/>
      <c r="S1283" s="59" t="n"/>
      <c r="T1283" s="59" t="n"/>
      <c r="U1283" s="64" t="str">
        <f>IF(OR(B1283="",H1283=""),"",IFERROR(IF(A1283="BL",IF(N(INDEX(art_price,MATCH(H1283,art_ref,0)))=0,"",N(INDEX(art_price,MATCH(H1283,art_ref,0)))),IF(N(INDEX(art_cost,MATCH(H1283,art_ref,0)))=0,"",N(INDEX(art_cost,MATCH(H1283,art_ref,0))))),""))</f>
        <v/>
      </c>
      <c r="V1283" s="64" t="str">
        <f>IF(OR(U1283="",NOT(ISNUMBER(L1283))),"",IF(L1283&lt;=0,"",ROUND(L1283*U1283,2)))</f>
        <v/>
      </c>
      <c r="W1283" s="60" t="str">
        <f>IF(AND(B1283&lt;&gt;"",A1283&lt;&gt;"BS",F1283&lt;&gt;"",H1283&lt;&gt;"",ISNUMBER(K1283),ISNUMBER(L1283)),IF(AND(K1283&gt;0,L1283&gt;0,K1283-L1283&gt;0,COUNTIFS(A1284:A$2005,A1283,F1284:F$2005,F1283,H1284:H$2005,H1283,AA1284:AA$2005,"&gt;0")=0),ROUND(K1283-L1283,6),""),"")</f>
        <v/>
      </c>
      <c r="X1283" s="60" t="str">
        <f>IF(AND(A1283="",C1283="",D1283="",H1283="",L1283=""),"",IF(A1283="","Type manquant",IF(AND(A1283&lt;&gt;"BL",A1283&lt;&gt;"BR",A1283&lt;&gt;"BS"),"Type inconnu (BL, BR ou BS)",IF(AG1283=0,"Date manquante ou invalide",IF(D1283="",IF(A1283="BL","Client manquant",IF(A1283="BR","Fournisseur manquant","Service manquant")),IF(IF(A1283="BL",ISNA(MATCH(D1283,cl_code,0)),IF(A1283="BR",ISNA(MATCH(D1283,fo_code,0)),ISNA(MATCH(D1283,p_services,0)))),IF(A1283="BL","Client inconnu",IF(A1283="BR","Fournisseur inconnu","Service inconnu")),IF(H1283="","Article manquant",IF(ISNA(MATCH(H1283,art_ref,0)),"Article inconnu",IF(OR(NOT(ISNUMBER(L1283)),N(L1283)&lt;=0),"Quantité invalide",IF(AND(K1283&lt;&gt;"",OR(NOT(ISNUMBER(K1283)),N(K1283)&lt;=0)),"Qté commandée invalide",IF(AG1283&lt;SUMPRODUCT(MAX((A$6:A1282=A1283)*AG$6:AG1282)),"Date antérieure au bon précédent",IF(AND(A1283&lt;&gt;"BR",ISNUMBER(M1283),N(M1283)&gt;0),IF(A1283="BL","Livré plus que commandé","Sorti plus que demandé"),"OK"))))))))))))</f>
        <v/>
      </c>
      <c r="Y1283" s="57" t="str">
        <f>IF(AND(OR(A1283="BL",A1283="BR",A1283="BS"),AG1283&gt;0,D1283&lt;&gt;""),A1283&amp;"|"&amp;AG1283&amp;"|"&amp;D1283&amp;"|"&amp;F1283,"")</f>
        <v/>
      </c>
      <c r="Z1283" s="57" t="str">
        <f>IF(Y1283="","",IF(COUNTIF(Y$6:Y1282,Y1283)=0,1,0))</f>
        <v/>
      </c>
      <c r="AA1283" s="57" t="str">
        <f>IF(Y1283="","",IF(Z1283=1,COUNTIFS(A$6:A1283,A1283,Z$6:Z1283,1),INDEX(AA$6:AA1282,MATCH(Y1283,Y$6:Y1282,0))))</f>
        <v/>
      </c>
      <c r="AB1283" s="57" t="str">
        <f>IF(B1283="","",COUNTIF(B$6:B1283,B1283))</f>
        <v/>
      </c>
      <c r="AC1283" s="57" t="str">
        <f>IF(B1283="","",B1283&amp;"#"&amp;AB1283)</f>
        <v/>
      </c>
      <c r="AD1283" s="57" t="str">
        <f>IF(Z1283=1,A1283&amp;AA1283,"")</f>
        <v/>
      </c>
      <c r="AE1283" s="57" t="str">
        <f>IF(B1283="","",YEAR(C1283))</f>
        <v/>
      </c>
      <c r="AF1283" s="57" t="str">
        <f>IF(B1283="","",MONTH(C1283))</f>
        <v/>
      </c>
      <c r="AG1283" s="57">
        <f>IF(ISNUMBER(C1283),C1283,0)</f>
        <v>0.0</v>
      </c>
      <c r="AH1283" s="57" t="str">
        <f>IF(N(W1283)&gt;0,COUNTIF(W$6:W1283,"&gt;0"),"")</f>
        <v/>
      </c>
      <c r="AI1283" s="57" t="str">
        <f>IF(Z1283=1,COUNTIF(Z$6:Z1283,1),"")</f>
        <v/>
      </c>
    </row>
    <row r="1284">
      <c r="A1284" s="54" t="n"/>
      <c r="B1284" s="55" t="str">
        <f>IF(AA1284="","",A1284&amp;"-"&amp;RIGHT("000"&amp;AA1284,4))</f>
        <v/>
      </c>
      <c r="C1284" s="56" t="n"/>
      <c r="D1284" s="54" t="n"/>
      <c r="E1284" s="57" t="str">
        <f>IF(D1284="","",IF(A1284="BL",IFERROR(INDEX(cl_name,MATCH(D1284,cl_code,0))&amp;"","Client inconnu"),IF(A1284="BR",IFERROR(INDEX(fo_name,MATCH(D1284,fo_code,0))&amp;"","Fournisseur inconnu"),IF(A1284="BS",IF(ISNA(MATCH(D1284,p_services,0)),"Service inconnu",D1284&amp;""),""))))</f>
        <v/>
      </c>
      <c r="F1284" s="58" t="n"/>
      <c r="G1284" s="58" t="n"/>
      <c r="H1284" s="59" t="n"/>
      <c r="I1284" s="57" t="str">
        <f>IF(H1284="","",IFERROR(INDEX(art_des,MATCH(H1284,art_ref,0))&amp;"","Article inconnu"))</f>
        <v/>
      </c>
      <c r="J1284" s="60" t="str">
        <f>IF(H1284="","",IFERROR(INDEX(art_unit,MATCH(H1284,art_ref,0))&amp;"",""))</f>
        <v/>
      </c>
      <c r="K1284" s="59" t="n"/>
      <c r="L1284" s="59" t="n"/>
      <c r="M1284" s="61" t="str">
        <f>IF(OR(B1284="",NOT(ISNUMBER(K1284)),NOT(ISNUMBER(L1284))),"",IF(OR(K1284&lt;=0,L1284&lt;=0),"",ROUND(L1284-K1284,6)))</f>
        <v/>
      </c>
      <c r="N1284" s="58" t="n"/>
      <c r="O1284" s="62" t="n"/>
      <c r="P1284" s="63" t="str">
        <f>IF(OR(B1284="",NOT(ISNUMBER(L1284))),"",IF(L1284&lt;=0,"",IFERROR(ROUND(L1284*N(INDEX(art_w,MATCH(H1284,art_ref,0))),3),"")))</f>
        <v/>
      </c>
      <c r="Q1284" s="59" t="n"/>
      <c r="R1284" s="54" t="n"/>
      <c r="S1284" s="59" t="n"/>
      <c r="T1284" s="59" t="n"/>
      <c r="U1284" s="64" t="str">
        <f>IF(OR(B1284="",H1284=""),"",IFERROR(IF(A1284="BL",IF(N(INDEX(art_price,MATCH(H1284,art_ref,0)))=0,"",N(INDEX(art_price,MATCH(H1284,art_ref,0)))),IF(N(INDEX(art_cost,MATCH(H1284,art_ref,0)))=0,"",N(INDEX(art_cost,MATCH(H1284,art_ref,0))))),""))</f>
        <v/>
      </c>
      <c r="V1284" s="64" t="str">
        <f>IF(OR(U1284="",NOT(ISNUMBER(L1284))),"",IF(L1284&lt;=0,"",ROUND(L1284*U1284,2)))</f>
        <v/>
      </c>
      <c r="W1284" s="60" t="str">
        <f>IF(AND(B1284&lt;&gt;"",A1284&lt;&gt;"BS",F1284&lt;&gt;"",H1284&lt;&gt;"",ISNUMBER(K1284),ISNUMBER(L1284)),IF(AND(K1284&gt;0,L1284&gt;0,K1284-L1284&gt;0,COUNTIFS(A1285:A$2005,A1284,F1285:F$2005,F1284,H1285:H$2005,H1284,AA1285:AA$2005,"&gt;0")=0),ROUND(K1284-L1284,6),""),"")</f>
        <v/>
      </c>
      <c r="X1284" s="60" t="str">
        <f>IF(AND(A1284="",C1284="",D1284="",H1284="",L1284=""),"",IF(A1284="","Type manquant",IF(AND(A1284&lt;&gt;"BL",A1284&lt;&gt;"BR",A1284&lt;&gt;"BS"),"Type inconnu (BL, BR ou BS)",IF(AG1284=0,"Date manquante ou invalide",IF(D1284="",IF(A1284="BL","Client manquant",IF(A1284="BR","Fournisseur manquant","Service manquant")),IF(IF(A1284="BL",ISNA(MATCH(D1284,cl_code,0)),IF(A1284="BR",ISNA(MATCH(D1284,fo_code,0)),ISNA(MATCH(D1284,p_services,0)))),IF(A1284="BL","Client inconnu",IF(A1284="BR","Fournisseur inconnu","Service inconnu")),IF(H1284="","Article manquant",IF(ISNA(MATCH(H1284,art_ref,0)),"Article inconnu",IF(OR(NOT(ISNUMBER(L1284)),N(L1284)&lt;=0),"Quantité invalide",IF(AND(K1284&lt;&gt;"",OR(NOT(ISNUMBER(K1284)),N(K1284)&lt;=0)),"Qté commandée invalide",IF(AG1284&lt;SUMPRODUCT(MAX((A$6:A1283=A1284)*AG$6:AG1283)),"Date antérieure au bon précédent",IF(AND(A1284&lt;&gt;"BR",ISNUMBER(M1284),N(M1284)&gt;0),IF(A1284="BL","Livré plus que commandé","Sorti plus que demandé"),"OK"))))))))))))</f>
        <v/>
      </c>
      <c r="Y1284" s="57" t="str">
        <f>IF(AND(OR(A1284="BL",A1284="BR",A1284="BS"),AG1284&gt;0,D1284&lt;&gt;""),A1284&amp;"|"&amp;AG1284&amp;"|"&amp;D1284&amp;"|"&amp;F1284,"")</f>
        <v/>
      </c>
      <c r="Z1284" s="57" t="str">
        <f>IF(Y1284="","",IF(COUNTIF(Y$6:Y1283,Y1284)=0,1,0))</f>
        <v/>
      </c>
      <c r="AA1284" s="57" t="str">
        <f>IF(Y1284="","",IF(Z1284=1,COUNTIFS(A$6:A1284,A1284,Z$6:Z1284,1),INDEX(AA$6:AA1283,MATCH(Y1284,Y$6:Y1283,0))))</f>
        <v/>
      </c>
      <c r="AB1284" s="57" t="str">
        <f>IF(B1284="","",COUNTIF(B$6:B1284,B1284))</f>
        <v/>
      </c>
      <c r="AC1284" s="57" t="str">
        <f>IF(B1284="","",B1284&amp;"#"&amp;AB1284)</f>
        <v/>
      </c>
      <c r="AD1284" s="57" t="str">
        <f>IF(Z1284=1,A1284&amp;AA1284,"")</f>
        <v/>
      </c>
      <c r="AE1284" s="57" t="str">
        <f>IF(B1284="","",YEAR(C1284))</f>
        <v/>
      </c>
      <c r="AF1284" s="57" t="str">
        <f>IF(B1284="","",MONTH(C1284))</f>
        <v/>
      </c>
      <c r="AG1284" s="57">
        <f>IF(ISNUMBER(C1284),C1284,0)</f>
        <v>0.0</v>
      </c>
      <c r="AH1284" s="57" t="str">
        <f>IF(N(W1284)&gt;0,COUNTIF(W$6:W1284,"&gt;0"),"")</f>
        <v/>
      </c>
      <c r="AI1284" s="57" t="str">
        <f>IF(Z1284=1,COUNTIF(Z$6:Z1284,1),"")</f>
        <v/>
      </c>
    </row>
    <row r="1285">
      <c r="A1285" s="54" t="n"/>
      <c r="B1285" s="55" t="str">
        <f>IF(AA1285="","",A1285&amp;"-"&amp;RIGHT("000"&amp;AA1285,4))</f>
        <v/>
      </c>
      <c r="C1285" s="56" t="n"/>
      <c r="D1285" s="54" t="n"/>
      <c r="E1285" s="57" t="str">
        <f>IF(D1285="","",IF(A1285="BL",IFERROR(INDEX(cl_name,MATCH(D1285,cl_code,0))&amp;"","Client inconnu"),IF(A1285="BR",IFERROR(INDEX(fo_name,MATCH(D1285,fo_code,0))&amp;"","Fournisseur inconnu"),IF(A1285="BS",IF(ISNA(MATCH(D1285,p_services,0)),"Service inconnu",D1285&amp;""),""))))</f>
        <v/>
      </c>
      <c r="F1285" s="58" t="n"/>
      <c r="G1285" s="58" t="n"/>
      <c r="H1285" s="59" t="n"/>
      <c r="I1285" s="57" t="str">
        <f>IF(H1285="","",IFERROR(INDEX(art_des,MATCH(H1285,art_ref,0))&amp;"","Article inconnu"))</f>
        <v/>
      </c>
      <c r="J1285" s="60" t="str">
        <f>IF(H1285="","",IFERROR(INDEX(art_unit,MATCH(H1285,art_ref,0))&amp;"",""))</f>
        <v/>
      </c>
      <c r="K1285" s="59" t="n"/>
      <c r="L1285" s="59" t="n"/>
      <c r="M1285" s="61" t="str">
        <f>IF(OR(B1285="",NOT(ISNUMBER(K1285)),NOT(ISNUMBER(L1285))),"",IF(OR(K1285&lt;=0,L1285&lt;=0),"",ROUND(L1285-K1285,6)))</f>
        <v/>
      </c>
      <c r="N1285" s="58" t="n"/>
      <c r="O1285" s="62" t="n"/>
      <c r="P1285" s="63" t="str">
        <f>IF(OR(B1285="",NOT(ISNUMBER(L1285))),"",IF(L1285&lt;=0,"",IFERROR(ROUND(L1285*N(INDEX(art_w,MATCH(H1285,art_ref,0))),3),"")))</f>
        <v/>
      </c>
      <c r="Q1285" s="59" t="n"/>
      <c r="R1285" s="54" t="n"/>
      <c r="S1285" s="59" t="n"/>
      <c r="T1285" s="59" t="n"/>
      <c r="U1285" s="64" t="str">
        <f>IF(OR(B1285="",H1285=""),"",IFERROR(IF(A1285="BL",IF(N(INDEX(art_price,MATCH(H1285,art_ref,0)))=0,"",N(INDEX(art_price,MATCH(H1285,art_ref,0)))),IF(N(INDEX(art_cost,MATCH(H1285,art_ref,0)))=0,"",N(INDEX(art_cost,MATCH(H1285,art_ref,0))))),""))</f>
        <v/>
      </c>
      <c r="V1285" s="64" t="str">
        <f>IF(OR(U1285="",NOT(ISNUMBER(L1285))),"",IF(L1285&lt;=0,"",ROUND(L1285*U1285,2)))</f>
        <v/>
      </c>
      <c r="W1285" s="60" t="str">
        <f>IF(AND(B1285&lt;&gt;"",A1285&lt;&gt;"BS",F1285&lt;&gt;"",H1285&lt;&gt;"",ISNUMBER(K1285),ISNUMBER(L1285)),IF(AND(K1285&gt;0,L1285&gt;0,K1285-L1285&gt;0,COUNTIFS(A1286:A$2005,A1285,F1286:F$2005,F1285,H1286:H$2005,H1285,AA1286:AA$2005,"&gt;0")=0),ROUND(K1285-L1285,6),""),"")</f>
        <v/>
      </c>
      <c r="X1285" s="60" t="str">
        <f>IF(AND(A1285="",C1285="",D1285="",H1285="",L1285=""),"",IF(A1285="","Type manquant",IF(AND(A1285&lt;&gt;"BL",A1285&lt;&gt;"BR",A1285&lt;&gt;"BS"),"Type inconnu (BL, BR ou BS)",IF(AG1285=0,"Date manquante ou invalide",IF(D1285="",IF(A1285="BL","Client manquant",IF(A1285="BR","Fournisseur manquant","Service manquant")),IF(IF(A1285="BL",ISNA(MATCH(D1285,cl_code,0)),IF(A1285="BR",ISNA(MATCH(D1285,fo_code,0)),ISNA(MATCH(D1285,p_services,0)))),IF(A1285="BL","Client inconnu",IF(A1285="BR","Fournisseur inconnu","Service inconnu")),IF(H1285="","Article manquant",IF(ISNA(MATCH(H1285,art_ref,0)),"Article inconnu",IF(OR(NOT(ISNUMBER(L1285)),N(L1285)&lt;=0),"Quantité invalide",IF(AND(K1285&lt;&gt;"",OR(NOT(ISNUMBER(K1285)),N(K1285)&lt;=0)),"Qté commandée invalide",IF(AG1285&lt;SUMPRODUCT(MAX((A$6:A1284=A1285)*AG$6:AG1284)),"Date antérieure au bon précédent",IF(AND(A1285&lt;&gt;"BR",ISNUMBER(M1285),N(M1285)&gt;0),IF(A1285="BL","Livré plus que commandé","Sorti plus que demandé"),"OK"))))))))))))</f>
        <v/>
      </c>
      <c r="Y1285" s="57" t="str">
        <f>IF(AND(OR(A1285="BL",A1285="BR",A1285="BS"),AG1285&gt;0,D1285&lt;&gt;""),A1285&amp;"|"&amp;AG1285&amp;"|"&amp;D1285&amp;"|"&amp;F1285,"")</f>
        <v/>
      </c>
      <c r="Z1285" s="57" t="str">
        <f>IF(Y1285="","",IF(COUNTIF(Y$6:Y1284,Y1285)=0,1,0))</f>
        <v/>
      </c>
      <c r="AA1285" s="57" t="str">
        <f>IF(Y1285="","",IF(Z1285=1,COUNTIFS(A$6:A1285,A1285,Z$6:Z1285,1),INDEX(AA$6:AA1284,MATCH(Y1285,Y$6:Y1284,0))))</f>
        <v/>
      </c>
      <c r="AB1285" s="57" t="str">
        <f>IF(B1285="","",COUNTIF(B$6:B1285,B1285))</f>
        <v/>
      </c>
      <c r="AC1285" s="57" t="str">
        <f>IF(B1285="","",B1285&amp;"#"&amp;AB1285)</f>
        <v/>
      </c>
      <c r="AD1285" s="57" t="str">
        <f>IF(Z1285=1,A1285&amp;AA1285,"")</f>
        <v/>
      </c>
      <c r="AE1285" s="57" t="str">
        <f>IF(B1285="","",YEAR(C1285))</f>
        <v/>
      </c>
      <c r="AF1285" s="57" t="str">
        <f>IF(B1285="","",MONTH(C1285))</f>
        <v/>
      </c>
      <c r="AG1285" s="57">
        <f>IF(ISNUMBER(C1285),C1285,0)</f>
        <v>0.0</v>
      </c>
      <c r="AH1285" s="57" t="str">
        <f>IF(N(W1285)&gt;0,COUNTIF(W$6:W1285,"&gt;0"),"")</f>
        <v/>
      </c>
      <c r="AI1285" s="57" t="str">
        <f>IF(Z1285=1,COUNTIF(Z$6:Z1285,1),"")</f>
        <v/>
      </c>
    </row>
    <row r="1286">
      <c r="A1286" s="54" t="n"/>
      <c r="B1286" s="55" t="str">
        <f>IF(AA1286="","",A1286&amp;"-"&amp;RIGHT("000"&amp;AA1286,4))</f>
        <v/>
      </c>
      <c r="C1286" s="56" t="n"/>
      <c r="D1286" s="54" t="n"/>
      <c r="E1286" s="57" t="str">
        <f>IF(D1286="","",IF(A1286="BL",IFERROR(INDEX(cl_name,MATCH(D1286,cl_code,0))&amp;"","Client inconnu"),IF(A1286="BR",IFERROR(INDEX(fo_name,MATCH(D1286,fo_code,0))&amp;"","Fournisseur inconnu"),IF(A1286="BS",IF(ISNA(MATCH(D1286,p_services,0)),"Service inconnu",D1286&amp;""),""))))</f>
        <v/>
      </c>
      <c r="F1286" s="58" t="n"/>
      <c r="G1286" s="58" t="n"/>
      <c r="H1286" s="59" t="n"/>
      <c r="I1286" s="57" t="str">
        <f>IF(H1286="","",IFERROR(INDEX(art_des,MATCH(H1286,art_ref,0))&amp;"","Article inconnu"))</f>
        <v/>
      </c>
      <c r="J1286" s="60" t="str">
        <f>IF(H1286="","",IFERROR(INDEX(art_unit,MATCH(H1286,art_ref,0))&amp;"",""))</f>
        <v/>
      </c>
      <c r="K1286" s="59" t="n"/>
      <c r="L1286" s="59" t="n"/>
      <c r="M1286" s="61" t="str">
        <f>IF(OR(B1286="",NOT(ISNUMBER(K1286)),NOT(ISNUMBER(L1286))),"",IF(OR(K1286&lt;=0,L1286&lt;=0),"",ROUND(L1286-K1286,6)))</f>
        <v/>
      </c>
      <c r="N1286" s="58" t="n"/>
      <c r="O1286" s="62" t="n"/>
      <c r="P1286" s="63" t="str">
        <f>IF(OR(B1286="",NOT(ISNUMBER(L1286))),"",IF(L1286&lt;=0,"",IFERROR(ROUND(L1286*N(INDEX(art_w,MATCH(H1286,art_ref,0))),3),"")))</f>
        <v/>
      </c>
      <c r="Q1286" s="59" t="n"/>
      <c r="R1286" s="54" t="n"/>
      <c r="S1286" s="59" t="n"/>
      <c r="T1286" s="59" t="n"/>
      <c r="U1286" s="64" t="str">
        <f>IF(OR(B1286="",H1286=""),"",IFERROR(IF(A1286="BL",IF(N(INDEX(art_price,MATCH(H1286,art_ref,0)))=0,"",N(INDEX(art_price,MATCH(H1286,art_ref,0)))),IF(N(INDEX(art_cost,MATCH(H1286,art_ref,0)))=0,"",N(INDEX(art_cost,MATCH(H1286,art_ref,0))))),""))</f>
        <v/>
      </c>
      <c r="V1286" s="64" t="str">
        <f>IF(OR(U1286="",NOT(ISNUMBER(L1286))),"",IF(L1286&lt;=0,"",ROUND(L1286*U1286,2)))</f>
        <v/>
      </c>
      <c r="W1286" s="60" t="str">
        <f>IF(AND(B1286&lt;&gt;"",A1286&lt;&gt;"BS",F1286&lt;&gt;"",H1286&lt;&gt;"",ISNUMBER(K1286),ISNUMBER(L1286)),IF(AND(K1286&gt;0,L1286&gt;0,K1286-L1286&gt;0,COUNTIFS(A1287:A$2005,A1286,F1287:F$2005,F1286,H1287:H$2005,H1286,AA1287:AA$2005,"&gt;0")=0),ROUND(K1286-L1286,6),""),"")</f>
        <v/>
      </c>
      <c r="X1286" s="60" t="str">
        <f>IF(AND(A1286="",C1286="",D1286="",H1286="",L1286=""),"",IF(A1286="","Type manquant",IF(AND(A1286&lt;&gt;"BL",A1286&lt;&gt;"BR",A1286&lt;&gt;"BS"),"Type inconnu (BL, BR ou BS)",IF(AG1286=0,"Date manquante ou invalide",IF(D1286="",IF(A1286="BL","Client manquant",IF(A1286="BR","Fournisseur manquant","Service manquant")),IF(IF(A1286="BL",ISNA(MATCH(D1286,cl_code,0)),IF(A1286="BR",ISNA(MATCH(D1286,fo_code,0)),ISNA(MATCH(D1286,p_services,0)))),IF(A1286="BL","Client inconnu",IF(A1286="BR","Fournisseur inconnu","Service inconnu")),IF(H1286="","Article manquant",IF(ISNA(MATCH(H1286,art_ref,0)),"Article inconnu",IF(OR(NOT(ISNUMBER(L1286)),N(L1286)&lt;=0),"Quantité invalide",IF(AND(K1286&lt;&gt;"",OR(NOT(ISNUMBER(K1286)),N(K1286)&lt;=0)),"Qté commandée invalide",IF(AG1286&lt;SUMPRODUCT(MAX((A$6:A1285=A1286)*AG$6:AG1285)),"Date antérieure au bon précédent",IF(AND(A1286&lt;&gt;"BR",ISNUMBER(M1286),N(M1286)&gt;0),IF(A1286="BL","Livré plus que commandé","Sorti plus que demandé"),"OK"))))))))))))</f>
        <v/>
      </c>
      <c r="Y1286" s="57" t="str">
        <f>IF(AND(OR(A1286="BL",A1286="BR",A1286="BS"),AG1286&gt;0,D1286&lt;&gt;""),A1286&amp;"|"&amp;AG1286&amp;"|"&amp;D1286&amp;"|"&amp;F1286,"")</f>
        <v/>
      </c>
      <c r="Z1286" s="57" t="str">
        <f>IF(Y1286="","",IF(COUNTIF(Y$6:Y1285,Y1286)=0,1,0))</f>
        <v/>
      </c>
      <c r="AA1286" s="57" t="str">
        <f>IF(Y1286="","",IF(Z1286=1,COUNTIFS(A$6:A1286,A1286,Z$6:Z1286,1),INDEX(AA$6:AA1285,MATCH(Y1286,Y$6:Y1285,0))))</f>
        <v/>
      </c>
      <c r="AB1286" s="57" t="str">
        <f>IF(B1286="","",COUNTIF(B$6:B1286,B1286))</f>
        <v/>
      </c>
      <c r="AC1286" s="57" t="str">
        <f>IF(B1286="","",B1286&amp;"#"&amp;AB1286)</f>
        <v/>
      </c>
      <c r="AD1286" s="57" t="str">
        <f>IF(Z1286=1,A1286&amp;AA1286,"")</f>
        <v/>
      </c>
      <c r="AE1286" s="57" t="str">
        <f>IF(B1286="","",YEAR(C1286))</f>
        <v/>
      </c>
      <c r="AF1286" s="57" t="str">
        <f>IF(B1286="","",MONTH(C1286))</f>
        <v/>
      </c>
      <c r="AG1286" s="57">
        <f>IF(ISNUMBER(C1286),C1286,0)</f>
        <v>0.0</v>
      </c>
      <c r="AH1286" s="57" t="str">
        <f>IF(N(W1286)&gt;0,COUNTIF(W$6:W1286,"&gt;0"),"")</f>
        <v/>
      </c>
      <c r="AI1286" s="57" t="str">
        <f>IF(Z1286=1,COUNTIF(Z$6:Z1286,1),"")</f>
        <v/>
      </c>
    </row>
    <row r="1287">
      <c r="A1287" s="54" t="n"/>
      <c r="B1287" s="55" t="str">
        <f>IF(AA1287="","",A1287&amp;"-"&amp;RIGHT("000"&amp;AA1287,4))</f>
        <v/>
      </c>
      <c r="C1287" s="56" t="n"/>
      <c r="D1287" s="54" t="n"/>
      <c r="E1287" s="57" t="str">
        <f>IF(D1287="","",IF(A1287="BL",IFERROR(INDEX(cl_name,MATCH(D1287,cl_code,0))&amp;"","Client inconnu"),IF(A1287="BR",IFERROR(INDEX(fo_name,MATCH(D1287,fo_code,0))&amp;"","Fournisseur inconnu"),IF(A1287="BS",IF(ISNA(MATCH(D1287,p_services,0)),"Service inconnu",D1287&amp;""),""))))</f>
        <v/>
      </c>
      <c r="F1287" s="58" t="n"/>
      <c r="G1287" s="58" t="n"/>
      <c r="H1287" s="59" t="n"/>
      <c r="I1287" s="57" t="str">
        <f>IF(H1287="","",IFERROR(INDEX(art_des,MATCH(H1287,art_ref,0))&amp;"","Article inconnu"))</f>
        <v/>
      </c>
      <c r="J1287" s="60" t="str">
        <f>IF(H1287="","",IFERROR(INDEX(art_unit,MATCH(H1287,art_ref,0))&amp;"",""))</f>
        <v/>
      </c>
      <c r="K1287" s="59" t="n"/>
      <c r="L1287" s="59" t="n"/>
      <c r="M1287" s="61" t="str">
        <f>IF(OR(B1287="",NOT(ISNUMBER(K1287)),NOT(ISNUMBER(L1287))),"",IF(OR(K1287&lt;=0,L1287&lt;=0),"",ROUND(L1287-K1287,6)))</f>
        <v/>
      </c>
      <c r="N1287" s="58" t="n"/>
      <c r="O1287" s="62" t="n"/>
      <c r="P1287" s="63" t="str">
        <f>IF(OR(B1287="",NOT(ISNUMBER(L1287))),"",IF(L1287&lt;=0,"",IFERROR(ROUND(L1287*N(INDEX(art_w,MATCH(H1287,art_ref,0))),3),"")))</f>
        <v/>
      </c>
      <c r="Q1287" s="59" t="n"/>
      <c r="R1287" s="54" t="n"/>
      <c r="S1287" s="59" t="n"/>
      <c r="T1287" s="59" t="n"/>
      <c r="U1287" s="64" t="str">
        <f>IF(OR(B1287="",H1287=""),"",IFERROR(IF(A1287="BL",IF(N(INDEX(art_price,MATCH(H1287,art_ref,0)))=0,"",N(INDEX(art_price,MATCH(H1287,art_ref,0)))),IF(N(INDEX(art_cost,MATCH(H1287,art_ref,0)))=0,"",N(INDEX(art_cost,MATCH(H1287,art_ref,0))))),""))</f>
        <v/>
      </c>
      <c r="V1287" s="64" t="str">
        <f>IF(OR(U1287="",NOT(ISNUMBER(L1287))),"",IF(L1287&lt;=0,"",ROUND(L1287*U1287,2)))</f>
        <v/>
      </c>
      <c r="W1287" s="60" t="str">
        <f>IF(AND(B1287&lt;&gt;"",A1287&lt;&gt;"BS",F1287&lt;&gt;"",H1287&lt;&gt;"",ISNUMBER(K1287),ISNUMBER(L1287)),IF(AND(K1287&gt;0,L1287&gt;0,K1287-L1287&gt;0,COUNTIFS(A1288:A$2005,A1287,F1288:F$2005,F1287,H1288:H$2005,H1287,AA1288:AA$2005,"&gt;0")=0),ROUND(K1287-L1287,6),""),"")</f>
        <v/>
      </c>
      <c r="X1287" s="60" t="str">
        <f>IF(AND(A1287="",C1287="",D1287="",H1287="",L1287=""),"",IF(A1287="","Type manquant",IF(AND(A1287&lt;&gt;"BL",A1287&lt;&gt;"BR",A1287&lt;&gt;"BS"),"Type inconnu (BL, BR ou BS)",IF(AG1287=0,"Date manquante ou invalide",IF(D1287="",IF(A1287="BL","Client manquant",IF(A1287="BR","Fournisseur manquant","Service manquant")),IF(IF(A1287="BL",ISNA(MATCH(D1287,cl_code,0)),IF(A1287="BR",ISNA(MATCH(D1287,fo_code,0)),ISNA(MATCH(D1287,p_services,0)))),IF(A1287="BL","Client inconnu",IF(A1287="BR","Fournisseur inconnu","Service inconnu")),IF(H1287="","Article manquant",IF(ISNA(MATCH(H1287,art_ref,0)),"Article inconnu",IF(OR(NOT(ISNUMBER(L1287)),N(L1287)&lt;=0),"Quantité invalide",IF(AND(K1287&lt;&gt;"",OR(NOT(ISNUMBER(K1287)),N(K1287)&lt;=0)),"Qté commandée invalide",IF(AG1287&lt;SUMPRODUCT(MAX((A$6:A1286=A1287)*AG$6:AG1286)),"Date antérieure au bon précédent",IF(AND(A1287&lt;&gt;"BR",ISNUMBER(M1287),N(M1287)&gt;0),IF(A1287="BL","Livré plus que commandé","Sorti plus que demandé"),"OK"))))))))))))</f>
        <v/>
      </c>
      <c r="Y1287" s="57" t="str">
        <f>IF(AND(OR(A1287="BL",A1287="BR",A1287="BS"),AG1287&gt;0,D1287&lt;&gt;""),A1287&amp;"|"&amp;AG1287&amp;"|"&amp;D1287&amp;"|"&amp;F1287,"")</f>
        <v/>
      </c>
      <c r="Z1287" s="57" t="str">
        <f>IF(Y1287="","",IF(COUNTIF(Y$6:Y1286,Y1287)=0,1,0))</f>
        <v/>
      </c>
      <c r="AA1287" s="57" t="str">
        <f>IF(Y1287="","",IF(Z1287=1,COUNTIFS(A$6:A1287,A1287,Z$6:Z1287,1),INDEX(AA$6:AA1286,MATCH(Y1287,Y$6:Y1286,0))))</f>
        <v/>
      </c>
      <c r="AB1287" s="57" t="str">
        <f>IF(B1287="","",COUNTIF(B$6:B1287,B1287))</f>
        <v/>
      </c>
      <c r="AC1287" s="57" t="str">
        <f>IF(B1287="","",B1287&amp;"#"&amp;AB1287)</f>
        <v/>
      </c>
      <c r="AD1287" s="57" t="str">
        <f>IF(Z1287=1,A1287&amp;AA1287,"")</f>
        <v/>
      </c>
      <c r="AE1287" s="57" t="str">
        <f>IF(B1287="","",YEAR(C1287))</f>
        <v/>
      </c>
      <c r="AF1287" s="57" t="str">
        <f>IF(B1287="","",MONTH(C1287))</f>
        <v/>
      </c>
      <c r="AG1287" s="57">
        <f>IF(ISNUMBER(C1287),C1287,0)</f>
        <v>0.0</v>
      </c>
      <c r="AH1287" s="57" t="str">
        <f>IF(N(W1287)&gt;0,COUNTIF(W$6:W1287,"&gt;0"),"")</f>
        <v/>
      </c>
      <c r="AI1287" s="57" t="str">
        <f>IF(Z1287=1,COUNTIF(Z$6:Z1287,1),"")</f>
        <v/>
      </c>
    </row>
    <row r="1288">
      <c r="A1288" s="54" t="n"/>
      <c r="B1288" s="55" t="str">
        <f>IF(AA1288="","",A1288&amp;"-"&amp;RIGHT("000"&amp;AA1288,4))</f>
        <v/>
      </c>
      <c r="C1288" s="56" t="n"/>
      <c r="D1288" s="54" t="n"/>
      <c r="E1288" s="57" t="str">
        <f>IF(D1288="","",IF(A1288="BL",IFERROR(INDEX(cl_name,MATCH(D1288,cl_code,0))&amp;"","Client inconnu"),IF(A1288="BR",IFERROR(INDEX(fo_name,MATCH(D1288,fo_code,0))&amp;"","Fournisseur inconnu"),IF(A1288="BS",IF(ISNA(MATCH(D1288,p_services,0)),"Service inconnu",D1288&amp;""),""))))</f>
        <v/>
      </c>
      <c r="F1288" s="58" t="n"/>
      <c r="G1288" s="58" t="n"/>
      <c r="H1288" s="59" t="n"/>
      <c r="I1288" s="57" t="str">
        <f>IF(H1288="","",IFERROR(INDEX(art_des,MATCH(H1288,art_ref,0))&amp;"","Article inconnu"))</f>
        <v/>
      </c>
      <c r="J1288" s="60" t="str">
        <f>IF(H1288="","",IFERROR(INDEX(art_unit,MATCH(H1288,art_ref,0))&amp;"",""))</f>
        <v/>
      </c>
      <c r="K1288" s="59" t="n"/>
      <c r="L1288" s="59" t="n"/>
      <c r="M1288" s="61" t="str">
        <f>IF(OR(B1288="",NOT(ISNUMBER(K1288)),NOT(ISNUMBER(L1288))),"",IF(OR(K1288&lt;=0,L1288&lt;=0),"",ROUND(L1288-K1288,6)))</f>
        <v/>
      </c>
      <c r="N1288" s="58" t="n"/>
      <c r="O1288" s="62" t="n"/>
      <c r="P1288" s="63" t="str">
        <f>IF(OR(B1288="",NOT(ISNUMBER(L1288))),"",IF(L1288&lt;=0,"",IFERROR(ROUND(L1288*N(INDEX(art_w,MATCH(H1288,art_ref,0))),3),"")))</f>
        <v/>
      </c>
      <c r="Q1288" s="59" t="n"/>
      <c r="R1288" s="54" t="n"/>
      <c r="S1288" s="59" t="n"/>
      <c r="T1288" s="59" t="n"/>
      <c r="U1288" s="64" t="str">
        <f>IF(OR(B1288="",H1288=""),"",IFERROR(IF(A1288="BL",IF(N(INDEX(art_price,MATCH(H1288,art_ref,0)))=0,"",N(INDEX(art_price,MATCH(H1288,art_ref,0)))),IF(N(INDEX(art_cost,MATCH(H1288,art_ref,0)))=0,"",N(INDEX(art_cost,MATCH(H1288,art_ref,0))))),""))</f>
        <v/>
      </c>
      <c r="V1288" s="64" t="str">
        <f>IF(OR(U1288="",NOT(ISNUMBER(L1288))),"",IF(L1288&lt;=0,"",ROUND(L1288*U1288,2)))</f>
        <v/>
      </c>
      <c r="W1288" s="60" t="str">
        <f>IF(AND(B1288&lt;&gt;"",A1288&lt;&gt;"BS",F1288&lt;&gt;"",H1288&lt;&gt;"",ISNUMBER(K1288),ISNUMBER(L1288)),IF(AND(K1288&gt;0,L1288&gt;0,K1288-L1288&gt;0,COUNTIFS(A1289:A$2005,A1288,F1289:F$2005,F1288,H1289:H$2005,H1288,AA1289:AA$2005,"&gt;0")=0),ROUND(K1288-L1288,6),""),"")</f>
        <v/>
      </c>
      <c r="X1288" s="60" t="str">
        <f>IF(AND(A1288="",C1288="",D1288="",H1288="",L1288=""),"",IF(A1288="","Type manquant",IF(AND(A1288&lt;&gt;"BL",A1288&lt;&gt;"BR",A1288&lt;&gt;"BS"),"Type inconnu (BL, BR ou BS)",IF(AG1288=0,"Date manquante ou invalide",IF(D1288="",IF(A1288="BL","Client manquant",IF(A1288="BR","Fournisseur manquant","Service manquant")),IF(IF(A1288="BL",ISNA(MATCH(D1288,cl_code,0)),IF(A1288="BR",ISNA(MATCH(D1288,fo_code,0)),ISNA(MATCH(D1288,p_services,0)))),IF(A1288="BL","Client inconnu",IF(A1288="BR","Fournisseur inconnu","Service inconnu")),IF(H1288="","Article manquant",IF(ISNA(MATCH(H1288,art_ref,0)),"Article inconnu",IF(OR(NOT(ISNUMBER(L1288)),N(L1288)&lt;=0),"Quantité invalide",IF(AND(K1288&lt;&gt;"",OR(NOT(ISNUMBER(K1288)),N(K1288)&lt;=0)),"Qté commandée invalide",IF(AG1288&lt;SUMPRODUCT(MAX((A$6:A1287=A1288)*AG$6:AG1287)),"Date antérieure au bon précédent",IF(AND(A1288&lt;&gt;"BR",ISNUMBER(M1288),N(M1288)&gt;0),IF(A1288="BL","Livré plus que commandé","Sorti plus que demandé"),"OK"))))))))))))</f>
        <v/>
      </c>
      <c r="Y1288" s="57" t="str">
        <f>IF(AND(OR(A1288="BL",A1288="BR",A1288="BS"),AG1288&gt;0,D1288&lt;&gt;""),A1288&amp;"|"&amp;AG1288&amp;"|"&amp;D1288&amp;"|"&amp;F1288,"")</f>
        <v/>
      </c>
      <c r="Z1288" s="57" t="str">
        <f>IF(Y1288="","",IF(COUNTIF(Y$6:Y1287,Y1288)=0,1,0))</f>
        <v/>
      </c>
      <c r="AA1288" s="57" t="str">
        <f>IF(Y1288="","",IF(Z1288=1,COUNTIFS(A$6:A1288,A1288,Z$6:Z1288,1),INDEX(AA$6:AA1287,MATCH(Y1288,Y$6:Y1287,0))))</f>
        <v/>
      </c>
      <c r="AB1288" s="57" t="str">
        <f>IF(B1288="","",COUNTIF(B$6:B1288,B1288))</f>
        <v/>
      </c>
      <c r="AC1288" s="57" t="str">
        <f>IF(B1288="","",B1288&amp;"#"&amp;AB1288)</f>
        <v/>
      </c>
      <c r="AD1288" s="57" t="str">
        <f>IF(Z1288=1,A1288&amp;AA1288,"")</f>
        <v/>
      </c>
      <c r="AE1288" s="57" t="str">
        <f>IF(B1288="","",YEAR(C1288))</f>
        <v/>
      </c>
      <c r="AF1288" s="57" t="str">
        <f>IF(B1288="","",MONTH(C1288))</f>
        <v/>
      </c>
      <c r="AG1288" s="57">
        <f>IF(ISNUMBER(C1288),C1288,0)</f>
        <v>0.0</v>
      </c>
      <c r="AH1288" s="57" t="str">
        <f>IF(N(W1288)&gt;0,COUNTIF(W$6:W1288,"&gt;0"),"")</f>
        <v/>
      </c>
      <c r="AI1288" s="57" t="str">
        <f>IF(Z1288=1,COUNTIF(Z$6:Z1288,1),"")</f>
        <v/>
      </c>
    </row>
    <row r="1289">
      <c r="A1289" s="54" t="n"/>
      <c r="B1289" s="55" t="str">
        <f>IF(AA1289="","",A1289&amp;"-"&amp;RIGHT("000"&amp;AA1289,4))</f>
        <v/>
      </c>
      <c r="C1289" s="56" t="n"/>
      <c r="D1289" s="54" t="n"/>
      <c r="E1289" s="57" t="str">
        <f>IF(D1289="","",IF(A1289="BL",IFERROR(INDEX(cl_name,MATCH(D1289,cl_code,0))&amp;"","Client inconnu"),IF(A1289="BR",IFERROR(INDEX(fo_name,MATCH(D1289,fo_code,0))&amp;"","Fournisseur inconnu"),IF(A1289="BS",IF(ISNA(MATCH(D1289,p_services,0)),"Service inconnu",D1289&amp;""),""))))</f>
        <v/>
      </c>
      <c r="F1289" s="58" t="n"/>
      <c r="G1289" s="58" t="n"/>
      <c r="H1289" s="59" t="n"/>
      <c r="I1289" s="57" t="str">
        <f>IF(H1289="","",IFERROR(INDEX(art_des,MATCH(H1289,art_ref,0))&amp;"","Article inconnu"))</f>
        <v/>
      </c>
      <c r="J1289" s="60" t="str">
        <f>IF(H1289="","",IFERROR(INDEX(art_unit,MATCH(H1289,art_ref,0))&amp;"",""))</f>
        <v/>
      </c>
      <c r="K1289" s="59" t="n"/>
      <c r="L1289" s="59" t="n"/>
      <c r="M1289" s="61" t="str">
        <f>IF(OR(B1289="",NOT(ISNUMBER(K1289)),NOT(ISNUMBER(L1289))),"",IF(OR(K1289&lt;=0,L1289&lt;=0),"",ROUND(L1289-K1289,6)))</f>
        <v/>
      </c>
      <c r="N1289" s="58" t="n"/>
      <c r="O1289" s="62" t="n"/>
      <c r="P1289" s="63" t="str">
        <f>IF(OR(B1289="",NOT(ISNUMBER(L1289))),"",IF(L1289&lt;=0,"",IFERROR(ROUND(L1289*N(INDEX(art_w,MATCH(H1289,art_ref,0))),3),"")))</f>
        <v/>
      </c>
      <c r="Q1289" s="59" t="n"/>
      <c r="R1289" s="54" t="n"/>
      <c r="S1289" s="59" t="n"/>
      <c r="T1289" s="59" t="n"/>
      <c r="U1289" s="64" t="str">
        <f>IF(OR(B1289="",H1289=""),"",IFERROR(IF(A1289="BL",IF(N(INDEX(art_price,MATCH(H1289,art_ref,0)))=0,"",N(INDEX(art_price,MATCH(H1289,art_ref,0)))),IF(N(INDEX(art_cost,MATCH(H1289,art_ref,0)))=0,"",N(INDEX(art_cost,MATCH(H1289,art_ref,0))))),""))</f>
        <v/>
      </c>
      <c r="V1289" s="64" t="str">
        <f>IF(OR(U1289="",NOT(ISNUMBER(L1289))),"",IF(L1289&lt;=0,"",ROUND(L1289*U1289,2)))</f>
        <v/>
      </c>
      <c r="W1289" s="60" t="str">
        <f>IF(AND(B1289&lt;&gt;"",A1289&lt;&gt;"BS",F1289&lt;&gt;"",H1289&lt;&gt;"",ISNUMBER(K1289),ISNUMBER(L1289)),IF(AND(K1289&gt;0,L1289&gt;0,K1289-L1289&gt;0,COUNTIFS(A1290:A$2005,A1289,F1290:F$2005,F1289,H1290:H$2005,H1289,AA1290:AA$2005,"&gt;0")=0),ROUND(K1289-L1289,6),""),"")</f>
        <v/>
      </c>
      <c r="X1289" s="60" t="str">
        <f>IF(AND(A1289="",C1289="",D1289="",H1289="",L1289=""),"",IF(A1289="","Type manquant",IF(AND(A1289&lt;&gt;"BL",A1289&lt;&gt;"BR",A1289&lt;&gt;"BS"),"Type inconnu (BL, BR ou BS)",IF(AG1289=0,"Date manquante ou invalide",IF(D1289="",IF(A1289="BL","Client manquant",IF(A1289="BR","Fournisseur manquant","Service manquant")),IF(IF(A1289="BL",ISNA(MATCH(D1289,cl_code,0)),IF(A1289="BR",ISNA(MATCH(D1289,fo_code,0)),ISNA(MATCH(D1289,p_services,0)))),IF(A1289="BL","Client inconnu",IF(A1289="BR","Fournisseur inconnu","Service inconnu")),IF(H1289="","Article manquant",IF(ISNA(MATCH(H1289,art_ref,0)),"Article inconnu",IF(OR(NOT(ISNUMBER(L1289)),N(L1289)&lt;=0),"Quantité invalide",IF(AND(K1289&lt;&gt;"",OR(NOT(ISNUMBER(K1289)),N(K1289)&lt;=0)),"Qté commandée invalide",IF(AG1289&lt;SUMPRODUCT(MAX((A$6:A1288=A1289)*AG$6:AG1288)),"Date antérieure au bon précédent",IF(AND(A1289&lt;&gt;"BR",ISNUMBER(M1289),N(M1289)&gt;0),IF(A1289="BL","Livré plus que commandé","Sorti plus que demandé"),"OK"))))))))))))</f>
        <v/>
      </c>
      <c r="Y1289" s="57" t="str">
        <f>IF(AND(OR(A1289="BL",A1289="BR",A1289="BS"),AG1289&gt;0,D1289&lt;&gt;""),A1289&amp;"|"&amp;AG1289&amp;"|"&amp;D1289&amp;"|"&amp;F1289,"")</f>
        <v/>
      </c>
      <c r="Z1289" s="57" t="str">
        <f>IF(Y1289="","",IF(COUNTIF(Y$6:Y1288,Y1289)=0,1,0))</f>
        <v/>
      </c>
      <c r="AA1289" s="57" t="str">
        <f>IF(Y1289="","",IF(Z1289=1,COUNTIFS(A$6:A1289,A1289,Z$6:Z1289,1),INDEX(AA$6:AA1288,MATCH(Y1289,Y$6:Y1288,0))))</f>
        <v/>
      </c>
      <c r="AB1289" s="57" t="str">
        <f>IF(B1289="","",COUNTIF(B$6:B1289,B1289))</f>
        <v/>
      </c>
      <c r="AC1289" s="57" t="str">
        <f>IF(B1289="","",B1289&amp;"#"&amp;AB1289)</f>
        <v/>
      </c>
      <c r="AD1289" s="57" t="str">
        <f>IF(Z1289=1,A1289&amp;AA1289,"")</f>
        <v/>
      </c>
      <c r="AE1289" s="57" t="str">
        <f>IF(B1289="","",YEAR(C1289))</f>
        <v/>
      </c>
      <c r="AF1289" s="57" t="str">
        <f>IF(B1289="","",MONTH(C1289))</f>
        <v/>
      </c>
      <c r="AG1289" s="57">
        <f>IF(ISNUMBER(C1289),C1289,0)</f>
        <v>0.0</v>
      </c>
      <c r="AH1289" s="57" t="str">
        <f>IF(N(W1289)&gt;0,COUNTIF(W$6:W1289,"&gt;0"),"")</f>
        <v/>
      </c>
      <c r="AI1289" s="57" t="str">
        <f>IF(Z1289=1,COUNTIF(Z$6:Z1289,1),"")</f>
        <v/>
      </c>
    </row>
    <row r="1290">
      <c r="A1290" s="54" t="n"/>
      <c r="B1290" s="55" t="str">
        <f>IF(AA1290="","",A1290&amp;"-"&amp;RIGHT("000"&amp;AA1290,4))</f>
        <v/>
      </c>
      <c r="C1290" s="56" t="n"/>
      <c r="D1290" s="54" t="n"/>
      <c r="E1290" s="57" t="str">
        <f>IF(D1290="","",IF(A1290="BL",IFERROR(INDEX(cl_name,MATCH(D1290,cl_code,0))&amp;"","Client inconnu"),IF(A1290="BR",IFERROR(INDEX(fo_name,MATCH(D1290,fo_code,0))&amp;"","Fournisseur inconnu"),IF(A1290="BS",IF(ISNA(MATCH(D1290,p_services,0)),"Service inconnu",D1290&amp;""),""))))</f>
        <v/>
      </c>
      <c r="F1290" s="58" t="n"/>
      <c r="G1290" s="58" t="n"/>
      <c r="H1290" s="59" t="n"/>
      <c r="I1290" s="57" t="str">
        <f>IF(H1290="","",IFERROR(INDEX(art_des,MATCH(H1290,art_ref,0))&amp;"","Article inconnu"))</f>
        <v/>
      </c>
      <c r="J1290" s="60" t="str">
        <f>IF(H1290="","",IFERROR(INDEX(art_unit,MATCH(H1290,art_ref,0))&amp;"",""))</f>
        <v/>
      </c>
      <c r="K1290" s="59" t="n"/>
      <c r="L1290" s="59" t="n"/>
      <c r="M1290" s="61" t="str">
        <f>IF(OR(B1290="",NOT(ISNUMBER(K1290)),NOT(ISNUMBER(L1290))),"",IF(OR(K1290&lt;=0,L1290&lt;=0),"",ROUND(L1290-K1290,6)))</f>
        <v/>
      </c>
      <c r="N1290" s="58" t="n"/>
      <c r="O1290" s="62" t="n"/>
      <c r="P1290" s="63" t="str">
        <f>IF(OR(B1290="",NOT(ISNUMBER(L1290))),"",IF(L1290&lt;=0,"",IFERROR(ROUND(L1290*N(INDEX(art_w,MATCH(H1290,art_ref,0))),3),"")))</f>
        <v/>
      </c>
      <c r="Q1290" s="59" t="n"/>
      <c r="R1290" s="54" t="n"/>
      <c r="S1290" s="59" t="n"/>
      <c r="T1290" s="59" t="n"/>
      <c r="U1290" s="64" t="str">
        <f>IF(OR(B1290="",H1290=""),"",IFERROR(IF(A1290="BL",IF(N(INDEX(art_price,MATCH(H1290,art_ref,0)))=0,"",N(INDEX(art_price,MATCH(H1290,art_ref,0)))),IF(N(INDEX(art_cost,MATCH(H1290,art_ref,0)))=0,"",N(INDEX(art_cost,MATCH(H1290,art_ref,0))))),""))</f>
        <v/>
      </c>
      <c r="V1290" s="64" t="str">
        <f>IF(OR(U1290="",NOT(ISNUMBER(L1290))),"",IF(L1290&lt;=0,"",ROUND(L1290*U1290,2)))</f>
        <v/>
      </c>
      <c r="W1290" s="60" t="str">
        <f>IF(AND(B1290&lt;&gt;"",A1290&lt;&gt;"BS",F1290&lt;&gt;"",H1290&lt;&gt;"",ISNUMBER(K1290),ISNUMBER(L1290)),IF(AND(K1290&gt;0,L1290&gt;0,K1290-L1290&gt;0,COUNTIFS(A1291:A$2005,A1290,F1291:F$2005,F1290,H1291:H$2005,H1290,AA1291:AA$2005,"&gt;0")=0),ROUND(K1290-L1290,6),""),"")</f>
        <v/>
      </c>
      <c r="X1290" s="60" t="str">
        <f>IF(AND(A1290="",C1290="",D1290="",H1290="",L1290=""),"",IF(A1290="","Type manquant",IF(AND(A1290&lt;&gt;"BL",A1290&lt;&gt;"BR",A1290&lt;&gt;"BS"),"Type inconnu (BL, BR ou BS)",IF(AG1290=0,"Date manquante ou invalide",IF(D1290="",IF(A1290="BL","Client manquant",IF(A1290="BR","Fournisseur manquant","Service manquant")),IF(IF(A1290="BL",ISNA(MATCH(D1290,cl_code,0)),IF(A1290="BR",ISNA(MATCH(D1290,fo_code,0)),ISNA(MATCH(D1290,p_services,0)))),IF(A1290="BL","Client inconnu",IF(A1290="BR","Fournisseur inconnu","Service inconnu")),IF(H1290="","Article manquant",IF(ISNA(MATCH(H1290,art_ref,0)),"Article inconnu",IF(OR(NOT(ISNUMBER(L1290)),N(L1290)&lt;=0),"Quantité invalide",IF(AND(K1290&lt;&gt;"",OR(NOT(ISNUMBER(K1290)),N(K1290)&lt;=0)),"Qté commandée invalide",IF(AG1290&lt;SUMPRODUCT(MAX((A$6:A1289=A1290)*AG$6:AG1289)),"Date antérieure au bon précédent",IF(AND(A1290&lt;&gt;"BR",ISNUMBER(M1290),N(M1290)&gt;0),IF(A1290="BL","Livré plus que commandé","Sorti plus que demandé"),"OK"))))))))))))</f>
        <v/>
      </c>
      <c r="Y1290" s="57" t="str">
        <f>IF(AND(OR(A1290="BL",A1290="BR",A1290="BS"),AG1290&gt;0,D1290&lt;&gt;""),A1290&amp;"|"&amp;AG1290&amp;"|"&amp;D1290&amp;"|"&amp;F1290,"")</f>
        <v/>
      </c>
      <c r="Z1290" s="57" t="str">
        <f>IF(Y1290="","",IF(COUNTIF(Y$6:Y1289,Y1290)=0,1,0))</f>
        <v/>
      </c>
      <c r="AA1290" s="57" t="str">
        <f>IF(Y1290="","",IF(Z1290=1,COUNTIFS(A$6:A1290,A1290,Z$6:Z1290,1),INDEX(AA$6:AA1289,MATCH(Y1290,Y$6:Y1289,0))))</f>
        <v/>
      </c>
      <c r="AB1290" s="57" t="str">
        <f>IF(B1290="","",COUNTIF(B$6:B1290,B1290))</f>
        <v/>
      </c>
      <c r="AC1290" s="57" t="str">
        <f>IF(B1290="","",B1290&amp;"#"&amp;AB1290)</f>
        <v/>
      </c>
      <c r="AD1290" s="57" t="str">
        <f>IF(Z1290=1,A1290&amp;AA1290,"")</f>
        <v/>
      </c>
      <c r="AE1290" s="57" t="str">
        <f>IF(B1290="","",YEAR(C1290))</f>
        <v/>
      </c>
      <c r="AF1290" s="57" t="str">
        <f>IF(B1290="","",MONTH(C1290))</f>
        <v/>
      </c>
      <c r="AG1290" s="57">
        <f>IF(ISNUMBER(C1290),C1290,0)</f>
        <v>0.0</v>
      </c>
      <c r="AH1290" s="57" t="str">
        <f>IF(N(W1290)&gt;0,COUNTIF(W$6:W1290,"&gt;0"),"")</f>
        <v/>
      </c>
      <c r="AI1290" s="57" t="str">
        <f>IF(Z1290=1,COUNTIF(Z$6:Z1290,1),"")</f>
        <v/>
      </c>
    </row>
    <row r="1291">
      <c r="A1291" s="54" t="n"/>
      <c r="B1291" s="55" t="str">
        <f>IF(AA1291="","",A1291&amp;"-"&amp;RIGHT("000"&amp;AA1291,4))</f>
        <v/>
      </c>
      <c r="C1291" s="56" t="n"/>
      <c r="D1291" s="54" t="n"/>
      <c r="E1291" s="57" t="str">
        <f>IF(D1291="","",IF(A1291="BL",IFERROR(INDEX(cl_name,MATCH(D1291,cl_code,0))&amp;"","Client inconnu"),IF(A1291="BR",IFERROR(INDEX(fo_name,MATCH(D1291,fo_code,0))&amp;"","Fournisseur inconnu"),IF(A1291="BS",IF(ISNA(MATCH(D1291,p_services,0)),"Service inconnu",D1291&amp;""),""))))</f>
        <v/>
      </c>
      <c r="F1291" s="58" t="n"/>
      <c r="G1291" s="58" t="n"/>
      <c r="H1291" s="59" t="n"/>
      <c r="I1291" s="57" t="str">
        <f>IF(H1291="","",IFERROR(INDEX(art_des,MATCH(H1291,art_ref,0))&amp;"","Article inconnu"))</f>
        <v/>
      </c>
      <c r="J1291" s="60" t="str">
        <f>IF(H1291="","",IFERROR(INDEX(art_unit,MATCH(H1291,art_ref,0))&amp;"",""))</f>
        <v/>
      </c>
      <c r="K1291" s="59" t="n"/>
      <c r="L1291" s="59" t="n"/>
      <c r="M1291" s="61" t="str">
        <f>IF(OR(B1291="",NOT(ISNUMBER(K1291)),NOT(ISNUMBER(L1291))),"",IF(OR(K1291&lt;=0,L1291&lt;=0),"",ROUND(L1291-K1291,6)))</f>
        <v/>
      </c>
      <c r="N1291" s="58" t="n"/>
      <c r="O1291" s="62" t="n"/>
      <c r="P1291" s="63" t="str">
        <f>IF(OR(B1291="",NOT(ISNUMBER(L1291))),"",IF(L1291&lt;=0,"",IFERROR(ROUND(L1291*N(INDEX(art_w,MATCH(H1291,art_ref,0))),3),"")))</f>
        <v/>
      </c>
      <c r="Q1291" s="59" t="n"/>
      <c r="R1291" s="54" t="n"/>
      <c r="S1291" s="59" t="n"/>
      <c r="T1291" s="59" t="n"/>
      <c r="U1291" s="64" t="str">
        <f>IF(OR(B1291="",H1291=""),"",IFERROR(IF(A1291="BL",IF(N(INDEX(art_price,MATCH(H1291,art_ref,0)))=0,"",N(INDEX(art_price,MATCH(H1291,art_ref,0)))),IF(N(INDEX(art_cost,MATCH(H1291,art_ref,0)))=0,"",N(INDEX(art_cost,MATCH(H1291,art_ref,0))))),""))</f>
        <v/>
      </c>
      <c r="V1291" s="64" t="str">
        <f>IF(OR(U1291="",NOT(ISNUMBER(L1291))),"",IF(L1291&lt;=0,"",ROUND(L1291*U1291,2)))</f>
        <v/>
      </c>
      <c r="W1291" s="60" t="str">
        <f>IF(AND(B1291&lt;&gt;"",A1291&lt;&gt;"BS",F1291&lt;&gt;"",H1291&lt;&gt;"",ISNUMBER(K1291),ISNUMBER(L1291)),IF(AND(K1291&gt;0,L1291&gt;0,K1291-L1291&gt;0,COUNTIFS(A1292:A$2005,A1291,F1292:F$2005,F1291,H1292:H$2005,H1291,AA1292:AA$2005,"&gt;0")=0),ROUND(K1291-L1291,6),""),"")</f>
        <v/>
      </c>
      <c r="X1291" s="60" t="str">
        <f>IF(AND(A1291="",C1291="",D1291="",H1291="",L1291=""),"",IF(A1291="","Type manquant",IF(AND(A1291&lt;&gt;"BL",A1291&lt;&gt;"BR",A1291&lt;&gt;"BS"),"Type inconnu (BL, BR ou BS)",IF(AG1291=0,"Date manquante ou invalide",IF(D1291="",IF(A1291="BL","Client manquant",IF(A1291="BR","Fournisseur manquant","Service manquant")),IF(IF(A1291="BL",ISNA(MATCH(D1291,cl_code,0)),IF(A1291="BR",ISNA(MATCH(D1291,fo_code,0)),ISNA(MATCH(D1291,p_services,0)))),IF(A1291="BL","Client inconnu",IF(A1291="BR","Fournisseur inconnu","Service inconnu")),IF(H1291="","Article manquant",IF(ISNA(MATCH(H1291,art_ref,0)),"Article inconnu",IF(OR(NOT(ISNUMBER(L1291)),N(L1291)&lt;=0),"Quantité invalide",IF(AND(K1291&lt;&gt;"",OR(NOT(ISNUMBER(K1291)),N(K1291)&lt;=0)),"Qté commandée invalide",IF(AG1291&lt;SUMPRODUCT(MAX((A$6:A1290=A1291)*AG$6:AG1290)),"Date antérieure au bon précédent",IF(AND(A1291&lt;&gt;"BR",ISNUMBER(M1291),N(M1291)&gt;0),IF(A1291="BL","Livré plus que commandé","Sorti plus que demandé"),"OK"))))))))))))</f>
        <v/>
      </c>
      <c r="Y1291" s="57" t="str">
        <f>IF(AND(OR(A1291="BL",A1291="BR",A1291="BS"),AG1291&gt;0,D1291&lt;&gt;""),A1291&amp;"|"&amp;AG1291&amp;"|"&amp;D1291&amp;"|"&amp;F1291,"")</f>
        <v/>
      </c>
      <c r="Z1291" s="57" t="str">
        <f>IF(Y1291="","",IF(COUNTIF(Y$6:Y1290,Y1291)=0,1,0))</f>
        <v/>
      </c>
      <c r="AA1291" s="57" t="str">
        <f>IF(Y1291="","",IF(Z1291=1,COUNTIFS(A$6:A1291,A1291,Z$6:Z1291,1),INDEX(AA$6:AA1290,MATCH(Y1291,Y$6:Y1290,0))))</f>
        <v/>
      </c>
      <c r="AB1291" s="57" t="str">
        <f>IF(B1291="","",COUNTIF(B$6:B1291,B1291))</f>
        <v/>
      </c>
      <c r="AC1291" s="57" t="str">
        <f>IF(B1291="","",B1291&amp;"#"&amp;AB1291)</f>
        <v/>
      </c>
      <c r="AD1291" s="57" t="str">
        <f>IF(Z1291=1,A1291&amp;AA1291,"")</f>
        <v/>
      </c>
      <c r="AE1291" s="57" t="str">
        <f>IF(B1291="","",YEAR(C1291))</f>
        <v/>
      </c>
      <c r="AF1291" s="57" t="str">
        <f>IF(B1291="","",MONTH(C1291))</f>
        <v/>
      </c>
      <c r="AG1291" s="57">
        <f>IF(ISNUMBER(C1291),C1291,0)</f>
        <v>0.0</v>
      </c>
      <c r="AH1291" s="57" t="str">
        <f>IF(N(W1291)&gt;0,COUNTIF(W$6:W1291,"&gt;0"),"")</f>
        <v/>
      </c>
      <c r="AI1291" s="57" t="str">
        <f>IF(Z1291=1,COUNTIF(Z$6:Z1291,1),"")</f>
        <v/>
      </c>
    </row>
    <row r="1292">
      <c r="A1292" s="54" t="n"/>
      <c r="B1292" s="55" t="str">
        <f>IF(AA1292="","",A1292&amp;"-"&amp;RIGHT("000"&amp;AA1292,4))</f>
        <v/>
      </c>
      <c r="C1292" s="56" t="n"/>
      <c r="D1292" s="54" t="n"/>
      <c r="E1292" s="57" t="str">
        <f>IF(D1292="","",IF(A1292="BL",IFERROR(INDEX(cl_name,MATCH(D1292,cl_code,0))&amp;"","Client inconnu"),IF(A1292="BR",IFERROR(INDEX(fo_name,MATCH(D1292,fo_code,0))&amp;"","Fournisseur inconnu"),IF(A1292="BS",IF(ISNA(MATCH(D1292,p_services,0)),"Service inconnu",D1292&amp;""),""))))</f>
        <v/>
      </c>
      <c r="F1292" s="58" t="n"/>
      <c r="G1292" s="58" t="n"/>
      <c r="H1292" s="59" t="n"/>
      <c r="I1292" s="57" t="str">
        <f>IF(H1292="","",IFERROR(INDEX(art_des,MATCH(H1292,art_ref,0))&amp;"","Article inconnu"))</f>
        <v/>
      </c>
      <c r="J1292" s="60" t="str">
        <f>IF(H1292="","",IFERROR(INDEX(art_unit,MATCH(H1292,art_ref,0))&amp;"",""))</f>
        <v/>
      </c>
      <c r="K1292" s="59" t="n"/>
      <c r="L1292" s="59" t="n"/>
      <c r="M1292" s="61" t="str">
        <f>IF(OR(B1292="",NOT(ISNUMBER(K1292)),NOT(ISNUMBER(L1292))),"",IF(OR(K1292&lt;=0,L1292&lt;=0),"",ROUND(L1292-K1292,6)))</f>
        <v/>
      </c>
      <c r="N1292" s="58" t="n"/>
      <c r="O1292" s="62" t="n"/>
      <c r="P1292" s="63" t="str">
        <f>IF(OR(B1292="",NOT(ISNUMBER(L1292))),"",IF(L1292&lt;=0,"",IFERROR(ROUND(L1292*N(INDEX(art_w,MATCH(H1292,art_ref,0))),3),"")))</f>
        <v/>
      </c>
      <c r="Q1292" s="59" t="n"/>
      <c r="R1292" s="54" t="n"/>
      <c r="S1292" s="59" t="n"/>
      <c r="T1292" s="59" t="n"/>
      <c r="U1292" s="64" t="str">
        <f>IF(OR(B1292="",H1292=""),"",IFERROR(IF(A1292="BL",IF(N(INDEX(art_price,MATCH(H1292,art_ref,0)))=0,"",N(INDEX(art_price,MATCH(H1292,art_ref,0)))),IF(N(INDEX(art_cost,MATCH(H1292,art_ref,0)))=0,"",N(INDEX(art_cost,MATCH(H1292,art_ref,0))))),""))</f>
        <v/>
      </c>
      <c r="V1292" s="64" t="str">
        <f>IF(OR(U1292="",NOT(ISNUMBER(L1292))),"",IF(L1292&lt;=0,"",ROUND(L1292*U1292,2)))</f>
        <v/>
      </c>
      <c r="W1292" s="60" t="str">
        <f>IF(AND(B1292&lt;&gt;"",A1292&lt;&gt;"BS",F1292&lt;&gt;"",H1292&lt;&gt;"",ISNUMBER(K1292),ISNUMBER(L1292)),IF(AND(K1292&gt;0,L1292&gt;0,K1292-L1292&gt;0,COUNTIFS(A1293:A$2005,A1292,F1293:F$2005,F1292,H1293:H$2005,H1292,AA1293:AA$2005,"&gt;0")=0),ROUND(K1292-L1292,6),""),"")</f>
        <v/>
      </c>
      <c r="X1292" s="60" t="str">
        <f>IF(AND(A1292="",C1292="",D1292="",H1292="",L1292=""),"",IF(A1292="","Type manquant",IF(AND(A1292&lt;&gt;"BL",A1292&lt;&gt;"BR",A1292&lt;&gt;"BS"),"Type inconnu (BL, BR ou BS)",IF(AG1292=0,"Date manquante ou invalide",IF(D1292="",IF(A1292="BL","Client manquant",IF(A1292="BR","Fournisseur manquant","Service manquant")),IF(IF(A1292="BL",ISNA(MATCH(D1292,cl_code,0)),IF(A1292="BR",ISNA(MATCH(D1292,fo_code,0)),ISNA(MATCH(D1292,p_services,0)))),IF(A1292="BL","Client inconnu",IF(A1292="BR","Fournisseur inconnu","Service inconnu")),IF(H1292="","Article manquant",IF(ISNA(MATCH(H1292,art_ref,0)),"Article inconnu",IF(OR(NOT(ISNUMBER(L1292)),N(L1292)&lt;=0),"Quantité invalide",IF(AND(K1292&lt;&gt;"",OR(NOT(ISNUMBER(K1292)),N(K1292)&lt;=0)),"Qté commandée invalide",IF(AG1292&lt;SUMPRODUCT(MAX((A$6:A1291=A1292)*AG$6:AG1291)),"Date antérieure au bon précédent",IF(AND(A1292&lt;&gt;"BR",ISNUMBER(M1292),N(M1292)&gt;0),IF(A1292="BL","Livré plus que commandé","Sorti plus que demandé"),"OK"))))))))))))</f>
        <v/>
      </c>
      <c r="Y1292" s="57" t="str">
        <f>IF(AND(OR(A1292="BL",A1292="BR",A1292="BS"),AG1292&gt;0,D1292&lt;&gt;""),A1292&amp;"|"&amp;AG1292&amp;"|"&amp;D1292&amp;"|"&amp;F1292,"")</f>
        <v/>
      </c>
      <c r="Z1292" s="57" t="str">
        <f>IF(Y1292="","",IF(COUNTIF(Y$6:Y1291,Y1292)=0,1,0))</f>
        <v/>
      </c>
      <c r="AA1292" s="57" t="str">
        <f>IF(Y1292="","",IF(Z1292=1,COUNTIFS(A$6:A1292,A1292,Z$6:Z1292,1),INDEX(AA$6:AA1291,MATCH(Y1292,Y$6:Y1291,0))))</f>
        <v/>
      </c>
      <c r="AB1292" s="57" t="str">
        <f>IF(B1292="","",COUNTIF(B$6:B1292,B1292))</f>
        <v/>
      </c>
      <c r="AC1292" s="57" t="str">
        <f>IF(B1292="","",B1292&amp;"#"&amp;AB1292)</f>
        <v/>
      </c>
      <c r="AD1292" s="57" t="str">
        <f>IF(Z1292=1,A1292&amp;AA1292,"")</f>
        <v/>
      </c>
      <c r="AE1292" s="57" t="str">
        <f>IF(B1292="","",YEAR(C1292))</f>
        <v/>
      </c>
      <c r="AF1292" s="57" t="str">
        <f>IF(B1292="","",MONTH(C1292))</f>
        <v/>
      </c>
      <c r="AG1292" s="57">
        <f>IF(ISNUMBER(C1292),C1292,0)</f>
        <v>0.0</v>
      </c>
      <c r="AH1292" s="57" t="str">
        <f>IF(N(W1292)&gt;0,COUNTIF(W$6:W1292,"&gt;0"),"")</f>
        <v/>
      </c>
      <c r="AI1292" s="57" t="str">
        <f>IF(Z1292=1,COUNTIF(Z$6:Z1292,1),"")</f>
        <v/>
      </c>
    </row>
    <row r="1293">
      <c r="A1293" s="54" t="n"/>
      <c r="B1293" s="55" t="str">
        <f>IF(AA1293="","",A1293&amp;"-"&amp;RIGHT("000"&amp;AA1293,4))</f>
        <v/>
      </c>
      <c r="C1293" s="56" t="n"/>
      <c r="D1293" s="54" t="n"/>
      <c r="E1293" s="57" t="str">
        <f>IF(D1293="","",IF(A1293="BL",IFERROR(INDEX(cl_name,MATCH(D1293,cl_code,0))&amp;"","Client inconnu"),IF(A1293="BR",IFERROR(INDEX(fo_name,MATCH(D1293,fo_code,0))&amp;"","Fournisseur inconnu"),IF(A1293="BS",IF(ISNA(MATCH(D1293,p_services,0)),"Service inconnu",D1293&amp;""),""))))</f>
        <v/>
      </c>
      <c r="F1293" s="58" t="n"/>
      <c r="G1293" s="58" t="n"/>
      <c r="H1293" s="59" t="n"/>
      <c r="I1293" s="57" t="str">
        <f>IF(H1293="","",IFERROR(INDEX(art_des,MATCH(H1293,art_ref,0))&amp;"","Article inconnu"))</f>
        <v/>
      </c>
      <c r="J1293" s="60" t="str">
        <f>IF(H1293="","",IFERROR(INDEX(art_unit,MATCH(H1293,art_ref,0))&amp;"",""))</f>
        <v/>
      </c>
      <c r="K1293" s="59" t="n"/>
      <c r="L1293" s="59" t="n"/>
      <c r="M1293" s="61" t="str">
        <f>IF(OR(B1293="",NOT(ISNUMBER(K1293)),NOT(ISNUMBER(L1293))),"",IF(OR(K1293&lt;=0,L1293&lt;=0),"",ROUND(L1293-K1293,6)))</f>
        <v/>
      </c>
      <c r="N1293" s="58" t="n"/>
      <c r="O1293" s="62" t="n"/>
      <c r="P1293" s="63" t="str">
        <f>IF(OR(B1293="",NOT(ISNUMBER(L1293))),"",IF(L1293&lt;=0,"",IFERROR(ROUND(L1293*N(INDEX(art_w,MATCH(H1293,art_ref,0))),3),"")))</f>
        <v/>
      </c>
      <c r="Q1293" s="59" t="n"/>
      <c r="R1293" s="54" t="n"/>
      <c r="S1293" s="59" t="n"/>
      <c r="T1293" s="59" t="n"/>
      <c r="U1293" s="64" t="str">
        <f>IF(OR(B1293="",H1293=""),"",IFERROR(IF(A1293="BL",IF(N(INDEX(art_price,MATCH(H1293,art_ref,0)))=0,"",N(INDEX(art_price,MATCH(H1293,art_ref,0)))),IF(N(INDEX(art_cost,MATCH(H1293,art_ref,0)))=0,"",N(INDEX(art_cost,MATCH(H1293,art_ref,0))))),""))</f>
        <v/>
      </c>
      <c r="V1293" s="64" t="str">
        <f>IF(OR(U1293="",NOT(ISNUMBER(L1293))),"",IF(L1293&lt;=0,"",ROUND(L1293*U1293,2)))</f>
        <v/>
      </c>
      <c r="W1293" s="60" t="str">
        <f>IF(AND(B1293&lt;&gt;"",A1293&lt;&gt;"BS",F1293&lt;&gt;"",H1293&lt;&gt;"",ISNUMBER(K1293),ISNUMBER(L1293)),IF(AND(K1293&gt;0,L1293&gt;0,K1293-L1293&gt;0,COUNTIFS(A1294:A$2005,A1293,F1294:F$2005,F1293,H1294:H$2005,H1293,AA1294:AA$2005,"&gt;0")=0),ROUND(K1293-L1293,6),""),"")</f>
        <v/>
      </c>
      <c r="X1293" s="60" t="str">
        <f>IF(AND(A1293="",C1293="",D1293="",H1293="",L1293=""),"",IF(A1293="","Type manquant",IF(AND(A1293&lt;&gt;"BL",A1293&lt;&gt;"BR",A1293&lt;&gt;"BS"),"Type inconnu (BL, BR ou BS)",IF(AG1293=0,"Date manquante ou invalide",IF(D1293="",IF(A1293="BL","Client manquant",IF(A1293="BR","Fournisseur manquant","Service manquant")),IF(IF(A1293="BL",ISNA(MATCH(D1293,cl_code,0)),IF(A1293="BR",ISNA(MATCH(D1293,fo_code,0)),ISNA(MATCH(D1293,p_services,0)))),IF(A1293="BL","Client inconnu",IF(A1293="BR","Fournisseur inconnu","Service inconnu")),IF(H1293="","Article manquant",IF(ISNA(MATCH(H1293,art_ref,0)),"Article inconnu",IF(OR(NOT(ISNUMBER(L1293)),N(L1293)&lt;=0),"Quantité invalide",IF(AND(K1293&lt;&gt;"",OR(NOT(ISNUMBER(K1293)),N(K1293)&lt;=0)),"Qté commandée invalide",IF(AG1293&lt;SUMPRODUCT(MAX((A$6:A1292=A1293)*AG$6:AG1292)),"Date antérieure au bon précédent",IF(AND(A1293&lt;&gt;"BR",ISNUMBER(M1293),N(M1293)&gt;0),IF(A1293="BL","Livré plus que commandé","Sorti plus que demandé"),"OK"))))))))))))</f>
        <v/>
      </c>
      <c r="Y1293" s="57" t="str">
        <f>IF(AND(OR(A1293="BL",A1293="BR",A1293="BS"),AG1293&gt;0,D1293&lt;&gt;""),A1293&amp;"|"&amp;AG1293&amp;"|"&amp;D1293&amp;"|"&amp;F1293,"")</f>
        <v/>
      </c>
      <c r="Z1293" s="57" t="str">
        <f>IF(Y1293="","",IF(COUNTIF(Y$6:Y1292,Y1293)=0,1,0))</f>
        <v/>
      </c>
      <c r="AA1293" s="57" t="str">
        <f>IF(Y1293="","",IF(Z1293=1,COUNTIFS(A$6:A1293,A1293,Z$6:Z1293,1),INDEX(AA$6:AA1292,MATCH(Y1293,Y$6:Y1292,0))))</f>
        <v/>
      </c>
      <c r="AB1293" s="57" t="str">
        <f>IF(B1293="","",COUNTIF(B$6:B1293,B1293))</f>
        <v/>
      </c>
      <c r="AC1293" s="57" t="str">
        <f>IF(B1293="","",B1293&amp;"#"&amp;AB1293)</f>
        <v/>
      </c>
      <c r="AD1293" s="57" t="str">
        <f>IF(Z1293=1,A1293&amp;AA1293,"")</f>
        <v/>
      </c>
      <c r="AE1293" s="57" t="str">
        <f>IF(B1293="","",YEAR(C1293))</f>
        <v/>
      </c>
      <c r="AF1293" s="57" t="str">
        <f>IF(B1293="","",MONTH(C1293))</f>
        <v/>
      </c>
      <c r="AG1293" s="57">
        <f>IF(ISNUMBER(C1293),C1293,0)</f>
        <v>0.0</v>
      </c>
      <c r="AH1293" s="57" t="str">
        <f>IF(N(W1293)&gt;0,COUNTIF(W$6:W1293,"&gt;0"),"")</f>
        <v/>
      </c>
      <c r="AI1293" s="57" t="str">
        <f>IF(Z1293=1,COUNTIF(Z$6:Z1293,1),"")</f>
        <v/>
      </c>
    </row>
    <row r="1294">
      <c r="A1294" s="54" t="n"/>
      <c r="B1294" s="55" t="str">
        <f>IF(AA1294="","",A1294&amp;"-"&amp;RIGHT("000"&amp;AA1294,4))</f>
        <v/>
      </c>
      <c r="C1294" s="56" t="n"/>
      <c r="D1294" s="54" t="n"/>
      <c r="E1294" s="57" t="str">
        <f>IF(D1294="","",IF(A1294="BL",IFERROR(INDEX(cl_name,MATCH(D1294,cl_code,0))&amp;"","Client inconnu"),IF(A1294="BR",IFERROR(INDEX(fo_name,MATCH(D1294,fo_code,0))&amp;"","Fournisseur inconnu"),IF(A1294="BS",IF(ISNA(MATCH(D1294,p_services,0)),"Service inconnu",D1294&amp;""),""))))</f>
        <v/>
      </c>
      <c r="F1294" s="58" t="n"/>
      <c r="G1294" s="58" t="n"/>
      <c r="H1294" s="59" t="n"/>
      <c r="I1294" s="57" t="str">
        <f>IF(H1294="","",IFERROR(INDEX(art_des,MATCH(H1294,art_ref,0))&amp;"","Article inconnu"))</f>
        <v/>
      </c>
      <c r="J1294" s="60" t="str">
        <f>IF(H1294="","",IFERROR(INDEX(art_unit,MATCH(H1294,art_ref,0))&amp;"",""))</f>
        <v/>
      </c>
      <c r="K1294" s="59" t="n"/>
      <c r="L1294" s="59" t="n"/>
      <c r="M1294" s="61" t="str">
        <f>IF(OR(B1294="",NOT(ISNUMBER(K1294)),NOT(ISNUMBER(L1294))),"",IF(OR(K1294&lt;=0,L1294&lt;=0),"",ROUND(L1294-K1294,6)))</f>
        <v/>
      </c>
      <c r="N1294" s="58" t="n"/>
      <c r="O1294" s="62" t="n"/>
      <c r="P1294" s="63" t="str">
        <f>IF(OR(B1294="",NOT(ISNUMBER(L1294))),"",IF(L1294&lt;=0,"",IFERROR(ROUND(L1294*N(INDEX(art_w,MATCH(H1294,art_ref,0))),3),"")))</f>
        <v/>
      </c>
      <c r="Q1294" s="59" t="n"/>
      <c r="R1294" s="54" t="n"/>
      <c r="S1294" s="59" t="n"/>
      <c r="T1294" s="59" t="n"/>
      <c r="U1294" s="64" t="str">
        <f>IF(OR(B1294="",H1294=""),"",IFERROR(IF(A1294="BL",IF(N(INDEX(art_price,MATCH(H1294,art_ref,0)))=0,"",N(INDEX(art_price,MATCH(H1294,art_ref,0)))),IF(N(INDEX(art_cost,MATCH(H1294,art_ref,0)))=0,"",N(INDEX(art_cost,MATCH(H1294,art_ref,0))))),""))</f>
        <v/>
      </c>
      <c r="V1294" s="64" t="str">
        <f>IF(OR(U1294="",NOT(ISNUMBER(L1294))),"",IF(L1294&lt;=0,"",ROUND(L1294*U1294,2)))</f>
        <v/>
      </c>
      <c r="W1294" s="60" t="str">
        <f>IF(AND(B1294&lt;&gt;"",A1294&lt;&gt;"BS",F1294&lt;&gt;"",H1294&lt;&gt;"",ISNUMBER(K1294),ISNUMBER(L1294)),IF(AND(K1294&gt;0,L1294&gt;0,K1294-L1294&gt;0,COUNTIFS(A1295:A$2005,A1294,F1295:F$2005,F1294,H1295:H$2005,H1294,AA1295:AA$2005,"&gt;0")=0),ROUND(K1294-L1294,6),""),"")</f>
        <v/>
      </c>
      <c r="X1294" s="60" t="str">
        <f>IF(AND(A1294="",C1294="",D1294="",H1294="",L1294=""),"",IF(A1294="","Type manquant",IF(AND(A1294&lt;&gt;"BL",A1294&lt;&gt;"BR",A1294&lt;&gt;"BS"),"Type inconnu (BL, BR ou BS)",IF(AG1294=0,"Date manquante ou invalide",IF(D1294="",IF(A1294="BL","Client manquant",IF(A1294="BR","Fournisseur manquant","Service manquant")),IF(IF(A1294="BL",ISNA(MATCH(D1294,cl_code,0)),IF(A1294="BR",ISNA(MATCH(D1294,fo_code,0)),ISNA(MATCH(D1294,p_services,0)))),IF(A1294="BL","Client inconnu",IF(A1294="BR","Fournisseur inconnu","Service inconnu")),IF(H1294="","Article manquant",IF(ISNA(MATCH(H1294,art_ref,0)),"Article inconnu",IF(OR(NOT(ISNUMBER(L1294)),N(L1294)&lt;=0),"Quantité invalide",IF(AND(K1294&lt;&gt;"",OR(NOT(ISNUMBER(K1294)),N(K1294)&lt;=0)),"Qté commandée invalide",IF(AG1294&lt;SUMPRODUCT(MAX((A$6:A1293=A1294)*AG$6:AG1293)),"Date antérieure au bon précédent",IF(AND(A1294&lt;&gt;"BR",ISNUMBER(M1294),N(M1294)&gt;0),IF(A1294="BL","Livré plus que commandé","Sorti plus que demandé"),"OK"))))))))))))</f>
        <v/>
      </c>
      <c r="Y1294" s="57" t="str">
        <f>IF(AND(OR(A1294="BL",A1294="BR",A1294="BS"),AG1294&gt;0,D1294&lt;&gt;""),A1294&amp;"|"&amp;AG1294&amp;"|"&amp;D1294&amp;"|"&amp;F1294,"")</f>
        <v/>
      </c>
      <c r="Z1294" s="57" t="str">
        <f>IF(Y1294="","",IF(COUNTIF(Y$6:Y1293,Y1294)=0,1,0))</f>
        <v/>
      </c>
      <c r="AA1294" s="57" t="str">
        <f>IF(Y1294="","",IF(Z1294=1,COUNTIFS(A$6:A1294,A1294,Z$6:Z1294,1),INDEX(AA$6:AA1293,MATCH(Y1294,Y$6:Y1293,0))))</f>
        <v/>
      </c>
      <c r="AB1294" s="57" t="str">
        <f>IF(B1294="","",COUNTIF(B$6:B1294,B1294))</f>
        <v/>
      </c>
      <c r="AC1294" s="57" t="str">
        <f>IF(B1294="","",B1294&amp;"#"&amp;AB1294)</f>
        <v/>
      </c>
      <c r="AD1294" s="57" t="str">
        <f>IF(Z1294=1,A1294&amp;AA1294,"")</f>
        <v/>
      </c>
      <c r="AE1294" s="57" t="str">
        <f>IF(B1294="","",YEAR(C1294))</f>
        <v/>
      </c>
      <c r="AF1294" s="57" t="str">
        <f>IF(B1294="","",MONTH(C1294))</f>
        <v/>
      </c>
      <c r="AG1294" s="57">
        <f>IF(ISNUMBER(C1294),C1294,0)</f>
        <v>0.0</v>
      </c>
      <c r="AH1294" s="57" t="str">
        <f>IF(N(W1294)&gt;0,COUNTIF(W$6:W1294,"&gt;0"),"")</f>
        <v/>
      </c>
      <c r="AI1294" s="57" t="str">
        <f>IF(Z1294=1,COUNTIF(Z$6:Z1294,1),"")</f>
        <v/>
      </c>
    </row>
    <row r="1295">
      <c r="A1295" s="54" t="n"/>
      <c r="B1295" s="55" t="str">
        <f>IF(AA1295="","",A1295&amp;"-"&amp;RIGHT("000"&amp;AA1295,4))</f>
        <v/>
      </c>
      <c r="C1295" s="56" t="n"/>
      <c r="D1295" s="54" t="n"/>
      <c r="E1295" s="57" t="str">
        <f>IF(D1295="","",IF(A1295="BL",IFERROR(INDEX(cl_name,MATCH(D1295,cl_code,0))&amp;"","Client inconnu"),IF(A1295="BR",IFERROR(INDEX(fo_name,MATCH(D1295,fo_code,0))&amp;"","Fournisseur inconnu"),IF(A1295="BS",IF(ISNA(MATCH(D1295,p_services,0)),"Service inconnu",D1295&amp;""),""))))</f>
        <v/>
      </c>
      <c r="F1295" s="58" t="n"/>
      <c r="G1295" s="58" t="n"/>
      <c r="H1295" s="59" t="n"/>
      <c r="I1295" s="57" t="str">
        <f>IF(H1295="","",IFERROR(INDEX(art_des,MATCH(H1295,art_ref,0))&amp;"","Article inconnu"))</f>
        <v/>
      </c>
      <c r="J1295" s="60" t="str">
        <f>IF(H1295="","",IFERROR(INDEX(art_unit,MATCH(H1295,art_ref,0))&amp;"",""))</f>
        <v/>
      </c>
      <c r="K1295" s="59" t="n"/>
      <c r="L1295" s="59" t="n"/>
      <c r="M1295" s="61" t="str">
        <f>IF(OR(B1295="",NOT(ISNUMBER(K1295)),NOT(ISNUMBER(L1295))),"",IF(OR(K1295&lt;=0,L1295&lt;=0),"",ROUND(L1295-K1295,6)))</f>
        <v/>
      </c>
      <c r="N1295" s="58" t="n"/>
      <c r="O1295" s="62" t="n"/>
      <c r="P1295" s="63" t="str">
        <f>IF(OR(B1295="",NOT(ISNUMBER(L1295))),"",IF(L1295&lt;=0,"",IFERROR(ROUND(L1295*N(INDEX(art_w,MATCH(H1295,art_ref,0))),3),"")))</f>
        <v/>
      </c>
      <c r="Q1295" s="59" t="n"/>
      <c r="R1295" s="54" t="n"/>
      <c r="S1295" s="59" t="n"/>
      <c r="T1295" s="59" t="n"/>
      <c r="U1295" s="64" t="str">
        <f>IF(OR(B1295="",H1295=""),"",IFERROR(IF(A1295="BL",IF(N(INDEX(art_price,MATCH(H1295,art_ref,0)))=0,"",N(INDEX(art_price,MATCH(H1295,art_ref,0)))),IF(N(INDEX(art_cost,MATCH(H1295,art_ref,0)))=0,"",N(INDEX(art_cost,MATCH(H1295,art_ref,0))))),""))</f>
        <v/>
      </c>
      <c r="V1295" s="64" t="str">
        <f>IF(OR(U1295="",NOT(ISNUMBER(L1295))),"",IF(L1295&lt;=0,"",ROUND(L1295*U1295,2)))</f>
        <v/>
      </c>
      <c r="W1295" s="60" t="str">
        <f>IF(AND(B1295&lt;&gt;"",A1295&lt;&gt;"BS",F1295&lt;&gt;"",H1295&lt;&gt;"",ISNUMBER(K1295),ISNUMBER(L1295)),IF(AND(K1295&gt;0,L1295&gt;0,K1295-L1295&gt;0,COUNTIFS(A1296:A$2005,A1295,F1296:F$2005,F1295,H1296:H$2005,H1295,AA1296:AA$2005,"&gt;0")=0),ROUND(K1295-L1295,6),""),"")</f>
        <v/>
      </c>
      <c r="X1295" s="60" t="str">
        <f>IF(AND(A1295="",C1295="",D1295="",H1295="",L1295=""),"",IF(A1295="","Type manquant",IF(AND(A1295&lt;&gt;"BL",A1295&lt;&gt;"BR",A1295&lt;&gt;"BS"),"Type inconnu (BL, BR ou BS)",IF(AG1295=0,"Date manquante ou invalide",IF(D1295="",IF(A1295="BL","Client manquant",IF(A1295="BR","Fournisseur manquant","Service manquant")),IF(IF(A1295="BL",ISNA(MATCH(D1295,cl_code,0)),IF(A1295="BR",ISNA(MATCH(D1295,fo_code,0)),ISNA(MATCH(D1295,p_services,0)))),IF(A1295="BL","Client inconnu",IF(A1295="BR","Fournisseur inconnu","Service inconnu")),IF(H1295="","Article manquant",IF(ISNA(MATCH(H1295,art_ref,0)),"Article inconnu",IF(OR(NOT(ISNUMBER(L1295)),N(L1295)&lt;=0),"Quantité invalide",IF(AND(K1295&lt;&gt;"",OR(NOT(ISNUMBER(K1295)),N(K1295)&lt;=0)),"Qté commandée invalide",IF(AG1295&lt;SUMPRODUCT(MAX((A$6:A1294=A1295)*AG$6:AG1294)),"Date antérieure au bon précédent",IF(AND(A1295&lt;&gt;"BR",ISNUMBER(M1295),N(M1295)&gt;0),IF(A1295="BL","Livré plus que commandé","Sorti plus que demandé"),"OK"))))))))))))</f>
        <v/>
      </c>
      <c r="Y1295" s="57" t="str">
        <f>IF(AND(OR(A1295="BL",A1295="BR",A1295="BS"),AG1295&gt;0,D1295&lt;&gt;""),A1295&amp;"|"&amp;AG1295&amp;"|"&amp;D1295&amp;"|"&amp;F1295,"")</f>
        <v/>
      </c>
      <c r="Z1295" s="57" t="str">
        <f>IF(Y1295="","",IF(COUNTIF(Y$6:Y1294,Y1295)=0,1,0))</f>
        <v/>
      </c>
      <c r="AA1295" s="57" t="str">
        <f>IF(Y1295="","",IF(Z1295=1,COUNTIFS(A$6:A1295,A1295,Z$6:Z1295,1),INDEX(AA$6:AA1294,MATCH(Y1295,Y$6:Y1294,0))))</f>
        <v/>
      </c>
      <c r="AB1295" s="57" t="str">
        <f>IF(B1295="","",COUNTIF(B$6:B1295,B1295))</f>
        <v/>
      </c>
      <c r="AC1295" s="57" t="str">
        <f>IF(B1295="","",B1295&amp;"#"&amp;AB1295)</f>
        <v/>
      </c>
      <c r="AD1295" s="57" t="str">
        <f>IF(Z1295=1,A1295&amp;AA1295,"")</f>
        <v/>
      </c>
      <c r="AE1295" s="57" t="str">
        <f>IF(B1295="","",YEAR(C1295))</f>
        <v/>
      </c>
      <c r="AF1295" s="57" t="str">
        <f>IF(B1295="","",MONTH(C1295))</f>
        <v/>
      </c>
      <c r="AG1295" s="57">
        <f>IF(ISNUMBER(C1295),C1295,0)</f>
        <v>0.0</v>
      </c>
      <c r="AH1295" s="57" t="str">
        <f>IF(N(W1295)&gt;0,COUNTIF(W$6:W1295,"&gt;0"),"")</f>
        <v/>
      </c>
      <c r="AI1295" s="57" t="str">
        <f>IF(Z1295=1,COUNTIF(Z$6:Z1295,1),"")</f>
        <v/>
      </c>
    </row>
    <row r="1296">
      <c r="A1296" s="54" t="n"/>
      <c r="B1296" s="55" t="str">
        <f>IF(AA1296="","",A1296&amp;"-"&amp;RIGHT("000"&amp;AA1296,4))</f>
        <v/>
      </c>
      <c r="C1296" s="56" t="n"/>
      <c r="D1296" s="54" t="n"/>
      <c r="E1296" s="57" t="str">
        <f>IF(D1296="","",IF(A1296="BL",IFERROR(INDEX(cl_name,MATCH(D1296,cl_code,0))&amp;"","Client inconnu"),IF(A1296="BR",IFERROR(INDEX(fo_name,MATCH(D1296,fo_code,0))&amp;"","Fournisseur inconnu"),IF(A1296="BS",IF(ISNA(MATCH(D1296,p_services,0)),"Service inconnu",D1296&amp;""),""))))</f>
        <v/>
      </c>
      <c r="F1296" s="58" t="n"/>
      <c r="G1296" s="58" t="n"/>
      <c r="H1296" s="59" t="n"/>
      <c r="I1296" s="57" t="str">
        <f>IF(H1296="","",IFERROR(INDEX(art_des,MATCH(H1296,art_ref,0))&amp;"","Article inconnu"))</f>
        <v/>
      </c>
      <c r="J1296" s="60" t="str">
        <f>IF(H1296="","",IFERROR(INDEX(art_unit,MATCH(H1296,art_ref,0))&amp;"",""))</f>
        <v/>
      </c>
      <c r="K1296" s="59" t="n"/>
      <c r="L1296" s="59" t="n"/>
      <c r="M1296" s="61" t="str">
        <f>IF(OR(B1296="",NOT(ISNUMBER(K1296)),NOT(ISNUMBER(L1296))),"",IF(OR(K1296&lt;=0,L1296&lt;=0),"",ROUND(L1296-K1296,6)))</f>
        <v/>
      </c>
      <c r="N1296" s="58" t="n"/>
      <c r="O1296" s="62" t="n"/>
      <c r="P1296" s="63" t="str">
        <f>IF(OR(B1296="",NOT(ISNUMBER(L1296))),"",IF(L1296&lt;=0,"",IFERROR(ROUND(L1296*N(INDEX(art_w,MATCH(H1296,art_ref,0))),3),"")))</f>
        <v/>
      </c>
      <c r="Q1296" s="59" t="n"/>
      <c r="R1296" s="54" t="n"/>
      <c r="S1296" s="59" t="n"/>
      <c r="T1296" s="59" t="n"/>
      <c r="U1296" s="64" t="str">
        <f>IF(OR(B1296="",H1296=""),"",IFERROR(IF(A1296="BL",IF(N(INDEX(art_price,MATCH(H1296,art_ref,0)))=0,"",N(INDEX(art_price,MATCH(H1296,art_ref,0)))),IF(N(INDEX(art_cost,MATCH(H1296,art_ref,0)))=0,"",N(INDEX(art_cost,MATCH(H1296,art_ref,0))))),""))</f>
        <v/>
      </c>
      <c r="V1296" s="64" t="str">
        <f>IF(OR(U1296="",NOT(ISNUMBER(L1296))),"",IF(L1296&lt;=0,"",ROUND(L1296*U1296,2)))</f>
        <v/>
      </c>
      <c r="W1296" s="60" t="str">
        <f>IF(AND(B1296&lt;&gt;"",A1296&lt;&gt;"BS",F1296&lt;&gt;"",H1296&lt;&gt;"",ISNUMBER(K1296),ISNUMBER(L1296)),IF(AND(K1296&gt;0,L1296&gt;0,K1296-L1296&gt;0,COUNTIFS(A1297:A$2005,A1296,F1297:F$2005,F1296,H1297:H$2005,H1296,AA1297:AA$2005,"&gt;0")=0),ROUND(K1296-L1296,6),""),"")</f>
        <v/>
      </c>
      <c r="X1296" s="60" t="str">
        <f>IF(AND(A1296="",C1296="",D1296="",H1296="",L1296=""),"",IF(A1296="","Type manquant",IF(AND(A1296&lt;&gt;"BL",A1296&lt;&gt;"BR",A1296&lt;&gt;"BS"),"Type inconnu (BL, BR ou BS)",IF(AG1296=0,"Date manquante ou invalide",IF(D1296="",IF(A1296="BL","Client manquant",IF(A1296="BR","Fournisseur manquant","Service manquant")),IF(IF(A1296="BL",ISNA(MATCH(D1296,cl_code,0)),IF(A1296="BR",ISNA(MATCH(D1296,fo_code,0)),ISNA(MATCH(D1296,p_services,0)))),IF(A1296="BL","Client inconnu",IF(A1296="BR","Fournisseur inconnu","Service inconnu")),IF(H1296="","Article manquant",IF(ISNA(MATCH(H1296,art_ref,0)),"Article inconnu",IF(OR(NOT(ISNUMBER(L1296)),N(L1296)&lt;=0),"Quantité invalide",IF(AND(K1296&lt;&gt;"",OR(NOT(ISNUMBER(K1296)),N(K1296)&lt;=0)),"Qté commandée invalide",IF(AG1296&lt;SUMPRODUCT(MAX((A$6:A1295=A1296)*AG$6:AG1295)),"Date antérieure au bon précédent",IF(AND(A1296&lt;&gt;"BR",ISNUMBER(M1296),N(M1296)&gt;0),IF(A1296="BL","Livré plus que commandé","Sorti plus que demandé"),"OK"))))))))))))</f>
        <v/>
      </c>
      <c r="Y1296" s="57" t="str">
        <f>IF(AND(OR(A1296="BL",A1296="BR",A1296="BS"),AG1296&gt;0,D1296&lt;&gt;""),A1296&amp;"|"&amp;AG1296&amp;"|"&amp;D1296&amp;"|"&amp;F1296,"")</f>
        <v/>
      </c>
      <c r="Z1296" s="57" t="str">
        <f>IF(Y1296="","",IF(COUNTIF(Y$6:Y1295,Y1296)=0,1,0))</f>
        <v/>
      </c>
      <c r="AA1296" s="57" t="str">
        <f>IF(Y1296="","",IF(Z1296=1,COUNTIFS(A$6:A1296,A1296,Z$6:Z1296,1),INDEX(AA$6:AA1295,MATCH(Y1296,Y$6:Y1295,0))))</f>
        <v/>
      </c>
      <c r="AB1296" s="57" t="str">
        <f>IF(B1296="","",COUNTIF(B$6:B1296,B1296))</f>
        <v/>
      </c>
      <c r="AC1296" s="57" t="str">
        <f>IF(B1296="","",B1296&amp;"#"&amp;AB1296)</f>
        <v/>
      </c>
      <c r="AD1296" s="57" t="str">
        <f>IF(Z1296=1,A1296&amp;AA1296,"")</f>
        <v/>
      </c>
      <c r="AE1296" s="57" t="str">
        <f>IF(B1296="","",YEAR(C1296))</f>
        <v/>
      </c>
      <c r="AF1296" s="57" t="str">
        <f>IF(B1296="","",MONTH(C1296))</f>
        <v/>
      </c>
      <c r="AG1296" s="57">
        <f>IF(ISNUMBER(C1296),C1296,0)</f>
        <v>0.0</v>
      </c>
      <c r="AH1296" s="57" t="str">
        <f>IF(N(W1296)&gt;0,COUNTIF(W$6:W1296,"&gt;0"),"")</f>
        <v/>
      </c>
      <c r="AI1296" s="57" t="str">
        <f>IF(Z1296=1,COUNTIF(Z$6:Z1296,1),"")</f>
        <v/>
      </c>
    </row>
    <row r="1297">
      <c r="A1297" s="54" t="n"/>
      <c r="B1297" s="55" t="str">
        <f>IF(AA1297="","",A1297&amp;"-"&amp;RIGHT("000"&amp;AA1297,4))</f>
        <v/>
      </c>
      <c r="C1297" s="56" t="n"/>
      <c r="D1297" s="54" t="n"/>
      <c r="E1297" s="57" t="str">
        <f>IF(D1297="","",IF(A1297="BL",IFERROR(INDEX(cl_name,MATCH(D1297,cl_code,0))&amp;"","Client inconnu"),IF(A1297="BR",IFERROR(INDEX(fo_name,MATCH(D1297,fo_code,0))&amp;"","Fournisseur inconnu"),IF(A1297="BS",IF(ISNA(MATCH(D1297,p_services,0)),"Service inconnu",D1297&amp;""),""))))</f>
        <v/>
      </c>
      <c r="F1297" s="58" t="n"/>
      <c r="G1297" s="58" t="n"/>
      <c r="H1297" s="59" t="n"/>
      <c r="I1297" s="57" t="str">
        <f>IF(H1297="","",IFERROR(INDEX(art_des,MATCH(H1297,art_ref,0))&amp;"","Article inconnu"))</f>
        <v/>
      </c>
      <c r="J1297" s="60" t="str">
        <f>IF(H1297="","",IFERROR(INDEX(art_unit,MATCH(H1297,art_ref,0))&amp;"",""))</f>
        <v/>
      </c>
      <c r="K1297" s="59" t="n"/>
      <c r="L1297" s="59" t="n"/>
      <c r="M1297" s="61" t="str">
        <f>IF(OR(B1297="",NOT(ISNUMBER(K1297)),NOT(ISNUMBER(L1297))),"",IF(OR(K1297&lt;=0,L1297&lt;=0),"",ROUND(L1297-K1297,6)))</f>
        <v/>
      </c>
      <c r="N1297" s="58" t="n"/>
      <c r="O1297" s="62" t="n"/>
      <c r="P1297" s="63" t="str">
        <f>IF(OR(B1297="",NOT(ISNUMBER(L1297))),"",IF(L1297&lt;=0,"",IFERROR(ROUND(L1297*N(INDEX(art_w,MATCH(H1297,art_ref,0))),3),"")))</f>
        <v/>
      </c>
      <c r="Q1297" s="59" t="n"/>
      <c r="R1297" s="54" t="n"/>
      <c r="S1297" s="59" t="n"/>
      <c r="T1297" s="59" t="n"/>
      <c r="U1297" s="64" t="str">
        <f>IF(OR(B1297="",H1297=""),"",IFERROR(IF(A1297="BL",IF(N(INDEX(art_price,MATCH(H1297,art_ref,0)))=0,"",N(INDEX(art_price,MATCH(H1297,art_ref,0)))),IF(N(INDEX(art_cost,MATCH(H1297,art_ref,0)))=0,"",N(INDEX(art_cost,MATCH(H1297,art_ref,0))))),""))</f>
        <v/>
      </c>
      <c r="V1297" s="64" t="str">
        <f>IF(OR(U1297="",NOT(ISNUMBER(L1297))),"",IF(L1297&lt;=0,"",ROUND(L1297*U1297,2)))</f>
        <v/>
      </c>
      <c r="W1297" s="60" t="str">
        <f>IF(AND(B1297&lt;&gt;"",A1297&lt;&gt;"BS",F1297&lt;&gt;"",H1297&lt;&gt;"",ISNUMBER(K1297),ISNUMBER(L1297)),IF(AND(K1297&gt;0,L1297&gt;0,K1297-L1297&gt;0,COUNTIFS(A1298:A$2005,A1297,F1298:F$2005,F1297,H1298:H$2005,H1297,AA1298:AA$2005,"&gt;0")=0),ROUND(K1297-L1297,6),""),"")</f>
        <v/>
      </c>
      <c r="X1297" s="60" t="str">
        <f>IF(AND(A1297="",C1297="",D1297="",H1297="",L1297=""),"",IF(A1297="","Type manquant",IF(AND(A1297&lt;&gt;"BL",A1297&lt;&gt;"BR",A1297&lt;&gt;"BS"),"Type inconnu (BL, BR ou BS)",IF(AG1297=0,"Date manquante ou invalide",IF(D1297="",IF(A1297="BL","Client manquant",IF(A1297="BR","Fournisseur manquant","Service manquant")),IF(IF(A1297="BL",ISNA(MATCH(D1297,cl_code,0)),IF(A1297="BR",ISNA(MATCH(D1297,fo_code,0)),ISNA(MATCH(D1297,p_services,0)))),IF(A1297="BL","Client inconnu",IF(A1297="BR","Fournisseur inconnu","Service inconnu")),IF(H1297="","Article manquant",IF(ISNA(MATCH(H1297,art_ref,0)),"Article inconnu",IF(OR(NOT(ISNUMBER(L1297)),N(L1297)&lt;=0),"Quantité invalide",IF(AND(K1297&lt;&gt;"",OR(NOT(ISNUMBER(K1297)),N(K1297)&lt;=0)),"Qté commandée invalide",IF(AG1297&lt;SUMPRODUCT(MAX((A$6:A1296=A1297)*AG$6:AG1296)),"Date antérieure au bon précédent",IF(AND(A1297&lt;&gt;"BR",ISNUMBER(M1297),N(M1297)&gt;0),IF(A1297="BL","Livré plus que commandé","Sorti plus que demandé"),"OK"))))))))))))</f>
        <v/>
      </c>
      <c r="Y1297" s="57" t="str">
        <f>IF(AND(OR(A1297="BL",A1297="BR",A1297="BS"),AG1297&gt;0,D1297&lt;&gt;""),A1297&amp;"|"&amp;AG1297&amp;"|"&amp;D1297&amp;"|"&amp;F1297,"")</f>
        <v/>
      </c>
      <c r="Z1297" s="57" t="str">
        <f>IF(Y1297="","",IF(COUNTIF(Y$6:Y1296,Y1297)=0,1,0))</f>
        <v/>
      </c>
      <c r="AA1297" s="57" t="str">
        <f>IF(Y1297="","",IF(Z1297=1,COUNTIFS(A$6:A1297,A1297,Z$6:Z1297,1),INDEX(AA$6:AA1296,MATCH(Y1297,Y$6:Y1296,0))))</f>
        <v/>
      </c>
      <c r="AB1297" s="57" t="str">
        <f>IF(B1297="","",COUNTIF(B$6:B1297,B1297))</f>
        <v/>
      </c>
      <c r="AC1297" s="57" t="str">
        <f>IF(B1297="","",B1297&amp;"#"&amp;AB1297)</f>
        <v/>
      </c>
      <c r="AD1297" s="57" t="str">
        <f>IF(Z1297=1,A1297&amp;AA1297,"")</f>
        <v/>
      </c>
      <c r="AE1297" s="57" t="str">
        <f>IF(B1297="","",YEAR(C1297))</f>
        <v/>
      </c>
      <c r="AF1297" s="57" t="str">
        <f>IF(B1297="","",MONTH(C1297))</f>
        <v/>
      </c>
      <c r="AG1297" s="57">
        <f>IF(ISNUMBER(C1297),C1297,0)</f>
        <v>0.0</v>
      </c>
      <c r="AH1297" s="57" t="str">
        <f>IF(N(W1297)&gt;0,COUNTIF(W$6:W1297,"&gt;0"),"")</f>
        <v/>
      </c>
      <c r="AI1297" s="57" t="str">
        <f>IF(Z1297=1,COUNTIF(Z$6:Z1297,1),"")</f>
        <v/>
      </c>
    </row>
    <row r="1298">
      <c r="A1298" s="54" t="n"/>
      <c r="B1298" s="55" t="str">
        <f>IF(AA1298="","",A1298&amp;"-"&amp;RIGHT("000"&amp;AA1298,4))</f>
        <v/>
      </c>
      <c r="C1298" s="56" t="n"/>
      <c r="D1298" s="54" t="n"/>
      <c r="E1298" s="57" t="str">
        <f>IF(D1298="","",IF(A1298="BL",IFERROR(INDEX(cl_name,MATCH(D1298,cl_code,0))&amp;"","Client inconnu"),IF(A1298="BR",IFERROR(INDEX(fo_name,MATCH(D1298,fo_code,0))&amp;"","Fournisseur inconnu"),IF(A1298="BS",IF(ISNA(MATCH(D1298,p_services,0)),"Service inconnu",D1298&amp;""),""))))</f>
        <v/>
      </c>
      <c r="F1298" s="58" t="n"/>
      <c r="G1298" s="58" t="n"/>
      <c r="H1298" s="59" t="n"/>
      <c r="I1298" s="57" t="str">
        <f>IF(H1298="","",IFERROR(INDEX(art_des,MATCH(H1298,art_ref,0))&amp;"","Article inconnu"))</f>
        <v/>
      </c>
      <c r="J1298" s="60" t="str">
        <f>IF(H1298="","",IFERROR(INDEX(art_unit,MATCH(H1298,art_ref,0))&amp;"",""))</f>
        <v/>
      </c>
      <c r="K1298" s="59" t="n"/>
      <c r="L1298" s="59" t="n"/>
      <c r="M1298" s="61" t="str">
        <f>IF(OR(B1298="",NOT(ISNUMBER(K1298)),NOT(ISNUMBER(L1298))),"",IF(OR(K1298&lt;=0,L1298&lt;=0),"",ROUND(L1298-K1298,6)))</f>
        <v/>
      </c>
      <c r="N1298" s="58" t="n"/>
      <c r="O1298" s="62" t="n"/>
      <c r="P1298" s="63" t="str">
        <f>IF(OR(B1298="",NOT(ISNUMBER(L1298))),"",IF(L1298&lt;=0,"",IFERROR(ROUND(L1298*N(INDEX(art_w,MATCH(H1298,art_ref,0))),3),"")))</f>
        <v/>
      </c>
      <c r="Q1298" s="59" t="n"/>
      <c r="R1298" s="54" t="n"/>
      <c r="S1298" s="59" t="n"/>
      <c r="T1298" s="59" t="n"/>
      <c r="U1298" s="64" t="str">
        <f>IF(OR(B1298="",H1298=""),"",IFERROR(IF(A1298="BL",IF(N(INDEX(art_price,MATCH(H1298,art_ref,0)))=0,"",N(INDEX(art_price,MATCH(H1298,art_ref,0)))),IF(N(INDEX(art_cost,MATCH(H1298,art_ref,0)))=0,"",N(INDEX(art_cost,MATCH(H1298,art_ref,0))))),""))</f>
        <v/>
      </c>
      <c r="V1298" s="64" t="str">
        <f>IF(OR(U1298="",NOT(ISNUMBER(L1298))),"",IF(L1298&lt;=0,"",ROUND(L1298*U1298,2)))</f>
        <v/>
      </c>
      <c r="W1298" s="60" t="str">
        <f>IF(AND(B1298&lt;&gt;"",A1298&lt;&gt;"BS",F1298&lt;&gt;"",H1298&lt;&gt;"",ISNUMBER(K1298),ISNUMBER(L1298)),IF(AND(K1298&gt;0,L1298&gt;0,K1298-L1298&gt;0,COUNTIFS(A1299:A$2005,A1298,F1299:F$2005,F1298,H1299:H$2005,H1298,AA1299:AA$2005,"&gt;0")=0),ROUND(K1298-L1298,6),""),"")</f>
        <v/>
      </c>
      <c r="X1298" s="60" t="str">
        <f>IF(AND(A1298="",C1298="",D1298="",H1298="",L1298=""),"",IF(A1298="","Type manquant",IF(AND(A1298&lt;&gt;"BL",A1298&lt;&gt;"BR",A1298&lt;&gt;"BS"),"Type inconnu (BL, BR ou BS)",IF(AG1298=0,"Date manquante ou invalide",IF(D1298="",IF(A1298="BL","Client manquant",IF(A1298="BR","Fournisseur manquant","Service manquant")),IF(IF(A1298="BL",ISNA(MATCH(D1298,cl_code,0)),IF(A1298="BR",ISNA(MATCH(D1298,fo_code,0)),ISNA(MATCH(D1298,p_services,0)))),IF(A1298="BL","Client inconnu",IF(A1298="BR","Fournisseur inconnu","Service inconnu")),IF(H1298="","Article manquant",IF(ISNA(MATCH(H1298,art_ref,0)),"Article inconnu",IF(OR(NOT(ISNUMBER(L1298)),N(L1298)&lt;=0),"Quantité invalide",IF(AND(K1298&lt;&gt;"",OR(NOT(ISNUMBER(K1298)),N(K1298)&lt;=0)),"Qté commandée invalide",IF(AG1298&lt;SUMPRODUCT(MAX((A$6:A1297=A1298)*AG$6:AG1297)),"Date antérieure au bon précédent",IF(AND(A1298&lt;&gt;"BR",ISNUMBER(M1298),N(M1298)&gt;0),IF(A1298="BL","Livré plus que commandé","Sorti plus que demandé"),"OK"))))))))))))</f>
        <v/>
      </c>
      <c r="Y1298" s="57" t="str">
        <f>IF(AND(OR(A1298="BL",A1298="BR",A1298="BS"),AG1298&gt;0,D1298&lt;&gt;""),A1298&amp;"|"&amp;AG1298&amp;"|"&amp;D1298&amp;"|"&amp;F1298,"")</f>
        <v/>
      </c>
      <c r="Z1298" s="57" t="str">
        <f>IF(Y1298="","",IF(COUNTIF(Y$6:Y1297,Y1298)=0,1,0))</f>
        <v/>
      </c>
      <c r="AA1298" s="57" t="str">
        <f>IF(Y1298="","",IF(Z1298=1,COUNTIFS(A$6:A1298,A1298,Z$6:Z1298,1),INDEX(AA$6:AA1297,MATCH(Y1298,Y$6:Y1297,0))))</f>
        <v/>
      </c>
      <c r="AB1298" s="57" t="str">
        <f>IF(B1298="","",COUNTIF(B$6:B1298,B1298))</f>
        <v/>
      </c>
      <c r="AC1298" s="57" t="str">
        <f>IF(B1298="","",B1298&amp;"#"&amp;AB1298)</f>
        <v/>
      </c>
      <c r="AD1298" s="57" t="str">
        <f>IF(Z1298=1,A1298&amp;AA1298,"")</f>
        <v/>
      </c>
      <c r="AE1298" s="57" t="str">
        <f>IF(B1298="","",YEAR(C1298))</f>
        <v/>
      </c>
      <c r="AF1298" s="57" t="str">
        <f>IF(B1298="","",MONTH(C1298))</f>
        <v/>
      </c>
      <c r="AG1298" s="57">
        <f>IF(ISNUMBER(C1298),C1298,0)</f>
        <v>0.0</v>
      </c>
      <c r="AH1298" s="57" t="str">
        <f>IF(N(W1298)&gt;0,COUNTIF(W$6:W1298,"&gt;0"),"")</f>
        <v/>
      </c>
      <c r="AI1298" s="57" t="str">
        <f>IF(Z1298=1,COUNTIF(Z$6:Z1298,1),"")</f>
        <v/>
      </c>
    </row>
    <row r="1299">
      <c r="A1299" s="54" t="n"/>
      <c r="B1299" s="55" t="str">
        <f>IF(AA1299="","",A1299&amp;"-"&amp;RIGHT("000"&amp;AA1299,4))</f>
        <v/>
      </c>
      <c r="C1299" s="56" t="n"/>
      <c r="D1299" s="54" t="n"/>
      <c r="E1299" s="57" t="str">
        <f>IF(D1299="","",IF(A1299="BL",IFERROR(INDEX(cl_name,MATCH(D1299,cl_code,0))&amp;"","Client inconnu"),IF(A1299="BR",IFERROR(INDEX(fo_name,MATCH(D1299,fo_code,0))&amp;"","Fournisseur inconnu"),IF(A1299="BS",IF(ISNA(MATCH(D1299,p_services,0)),"Service inconnu",D1299&amp;""),""))))</f>
        <v/>
      </c>
      <c r="F1299" s="58" t="n"/>
      <c r="G1299" s="58" t="n"/>
      <c r="H1299" s="59" t="n"/>
      <c r="I1299" s="57" t="str">
        <f>IF(H1299="","",IFERROR(INDEX(art_des,MATCH(H1299,art_ref,0))&amp;"","Article inconnu"))</f>
        <v/>
      </c>
      <c r="J1299" s="60" t="str">
        <f>IF(H1299="","",IFERROR(INDEX(art_unit,MATCH(H1299,art_ref,0))&amp;"",""))</f>
        <v/>
      </c>
      <c r="K1299" s="59" t="n"/>
      <c r="L1299" s="59" t="n"/>
      <c r="M1299" s="61" t="str">
        <f>IF(OR(B1299="",NOT(ISNUMBER(K1299)),NOT(ISNUMBER(L1299))),"",IF(OR(K1299&lt;=0,L1299&lt;=0),"",ROUND(L1299-K1299,6)))</f>
        <v/>
      </c>
      <c r="N1299" s="58" t="n"/>
      <c r="O1299" s="62" t="n"/>
      <c r="P1299" s="63" t="str">
        <f>IF(OR(B1299="",NOT(ISNUMBER(L1299))),"",IF(L1299&lt;=0,"",IFERROR(ROUND(L1299*N(INDEX(art_w,MATCH(H1299,art_ref,0))),3),"")))</f>
        <v/>
      </c>
      <c r="Q1299" s="59" t="n"/>
      <c r="R1299" s="54" t="n"/>
      <c r="S1299" s="59" t="n"/>
      <c r="T1299" s="59" t="n"/>
      <c r="U1299" s="64" t="str">
        <f>IF(OR(B1299="",H1299=""),"",IFERROR(IF(A1299="BL",IF(N(INDEX(art_price,MATCH(H1299,art_ref,0)))=0,"",N(INDEX(art_price,MATCH(H1299,art_ref,0)))),IF(N(INDEX(art_cost,MATCH(H1299,art_ref,0)))=0,"",N(INDEX(art_cost,MATCH(H1299,art_ref,0))))),""))</f>
        <v/>
      </c>
      <c r="V1299" s="64" t="str">
        <f>IF(OR(U1299="",NOT(ISNUMBER(L1299))),"",IF(L1299&lt;=0,"",ROUND(L1299*U1299,2)))</f>
        <v/>
      </c>
      <c r="W1299" s="60" t="str">
        <f>IF(AND(B1299&lt;&gt;"",A1299&lt;&gt;"BS",F1299&lt;&gt;"",H1299&lt;&gt;"",ISNUMBER(K1299),ISNUMBER(L1299)),IF(AND(K1299&gt;0,L1299&gt;0,K1299-L1299&gt;0,COUNTIFS(A1300:A$2005,A1299,F1300:F$2005,F1299,H1300:H$2005,H1299,AA1300:AA$2005,"&gt;0")=0),ROUND(K1299-L1299,6),""),"")</f>
        <v/>
      </c>
      <c r="X1299" s="60" t="str">
        <f>IF(AND(A1299="",C1299="",D1299="",H1299="",L1299=""),"",IF(A1299="","Type manquant",IF(AND(A1299&lt;&gt;"BL",A1299&lt;&gt;"BR",A1299&lt;&gt;"BS"),"Type inconnu (BL, BR ou BS)",IF(AG1299=0,"Date manquante ou invalide",IF(D1299="",IF(A1299="BL","Client manquant",IF(A1299="BR","Fournisseur manquant","Service manquant")),IF(IF(A1299="BL",ISNA(MATCH(D1299,cl_code,0)),IF(A1299="BR",ISNA(MATCH(D1299,fo_code,0)),ISNA(MATCH(D1299,p_services,0)))),IF(A1299="BL","Client inconnu",IF(A1299="BR","Fournisseur inconnu","Service inconnu")),IF(H1299="","Article manquant",IF(ISNA(MATCH(H1299,art_ref,0)),"Article inconnu",IF(OR(NOT(ISNUMBER(L1299)),N(L1299)&lt;=0),"Quantité invalide",IF(AND(K1299&lt;&gt;"",OR(NOT(ISNUMBER(K1299)),N(K1299)&lt;=0)),"Qté commandée invalide",IF(AG1299&lt;SUMPRODUCT(MAX((A$6:A1298=A1299)*AG$6:AG1298)),"Date antérieure au bon précédent",IF(AND(A1299&lt;&gt;"BR",ISNUMBER(M1299),N(M1299)&gt;0),IF(A1299="BL","Livré plus que commandé","Sorti plus que demandé"),"OK"))))))))))))</f>
        <v/>
      </c>
      <c r="Y1299" s="57" t="str">
        <f>IF(AND(OR(A1299="BL",A1299="BR",A1299="BS"),AG1299&gt;0,D1299&lt;&gt;""),A1299&amp;"|"&amp;AG1299&amp;"|"&amp;D1299&amp;"|"&amp;F1299,"")</f>
        <v/>
      </c>
      <c r="Z1299" s="57" t="str">
        <f>IF(Y1299="","",IF(COUNTIF(Y$6:Y1298,Y1299)=0,1,0))</f>
        <v/>
      </c>
      <c r="AA1299" s="57" t="str">
        <f>IF(Y1299="","",IF(Z1299=1,COUNTIFS(A$6:A1299,A1299,Z$6:Z1299,1),INDEX(AA$6:AA1298,MATCH(Y1299,Y$6:Y1298,0))))</f>
        <v/>
      </c>
      <c r="AB1299" s="57" t="str">
        <f>IF(B1299="","",COUNTIF(B$6:B1299,B1299))</f>
        <v/>
      </c>
      <c r="AC1299" s="57" t="str">
        <f>IF(B1299="","",B1299&amp;"#"&amp;AB1299)</f>
        <v/>
      </c>
      <c r="AD1299" s="57" t="str">
        <f>IF(Z1299=1,A1299&amp;AA1299,"")</f>
        <v/>
      </c>
      <c r="AE1299" s="57" t="str">
        <f>IF(B1299="","",YEAR(C1299))</f>
        <v/>
      </c>
      <c r="AF1299" s="57" t="str">
        <f>IF(B1299="","",MONTH(C1299))</f>
        <v/>
      </c>
      <c r="AG1299" s="57">
        <f>IF(ISNUMBER(C1299),C1299,0)</f>
        <v>0.0</v>
      </c>
      <c r="AH1299" s="57" t="str">
        <f>IF(N(W1299)&gt;0,COUNTIF(W$6:W1299,"&gt;0"),"")</f>
        <v/>
      </c>
      <c r="AI1299" s="57" t="str">
        <f>IF(Z1299=1,COUNTIF(Z$6:Z1299,1),"")</f>
        <v/>
      </c>
    </row>
    <row r="1300">
      <c r="A1300" s="54" t="n"/>
      <c r="B1300" s="55" t="str">
        <f>IF(AA1300="","",A1300&amp;"-"&amp;RIGHT("000"&amp;AA1300,4))</f>
        <v/>
      </c>
      <c r="C1300" s="56" t="n"/>
      <c r="D1300" s="54" t="n"/>
      <c r="E1300" s="57" t="str">
        <f>IF(D1300="","",IF(A1300="BL",IFERROR(INDEX(cl_name,MATCH(D1300,cl_code,0))&amp;"","Client inconnu"),IF(A1300="BR",IFERROR(INDEX(fo_name,MATCH(D1300,fo_code,0))&amp;"","Fournisseur inconnu"),IF(A1300="BS",IF(ISNA(MATCH(D1300,p_services,0)),"Service inconnu",D1300&amp;""),""))))</f>
        <v/>
      </c>
      <c r="F1300" s="58" t="n"/>
      <c r="G1300" s="58" t="n"/>
      <c r="H1300" s="59" t="n"/>
      <c r="I1300" s="57" t="str">
        <f>IF(H1300="","",IFERROR(INDEX(art_des,MATCH(H1300,art_ref,0))&amp;"","Article inconnu"))</f>
        <v/>
      </c>
      <c r="J1300" s="60" t="str">
        <f>IF(H1300="","",IFERROR(INDEX(art_unit,MATCH(H1300,art_ref,0))&amp;"",""))</f>
        <v/>
      </c>
      <c r="K1300" s="59" t="n"/>
      <c r="L1300" s="59" t="n"/>
      <c r="M1300" s="61" t="str">
        <f>IF(OR(B1300="",NOT(ISNUMBER(K1300)),NOT(ISNUMBER(L1300))),"",IF(OR(K1300&lt;=0,L1300&lt;=0),"",ROUND(L1300-K1300,6)))</f>
        <v/>
      </c>
      <c r="N1300" s="58" t="n"/>
      <c r="O1300" s="62" t="n"/>
      <c r="P1300" s="63" t="str">
        <f>IF(OR(B1300="",NOT(ISNUMBER(L1300))),"",IF(L1300&lt;=0,"",IFERROR(ROUND(L1300*N(INDEX(art_w,MATCH(H1300,art_ref,0))),3),"")))</f>
        <v/>
      </c>
      <c r="Q1300" s="59" t="n"/>
      <c r="R1300" s="54" t="n"/>
      <c r="S1300" s="59" t="n"/>
      <c r="T1300" s="59" t="n"/>
      <c r="U1300" s="64" t="str">
        <f>IF(OR(B1300="",H1300=""),"",IFERROR(IF(A1300="BL",IF(N(INDEX(art_price,MATCH(H1300,art_ref,0)))=0,"",N(INDEX(art_price,MATCH(H1300,art_ref,0)))),IF(N(INDEX(art_cost,MATCH(H1300,art_ref,0)))=0,"",N(INDEX(art_cost,MATCH(H1300,art_ref,0))))),""))</f>
        <v/>
      </c>
      <c r="V1300" s="64" t="str">
        <f>IF(OR(U1300="",NOT(ISNUMBER(L1300))),"",IF(L1300&lt;=0,"",ROUND(L1300*U1300,2)))</f>
        <v/>
      </c>
      <c r="W1300" s="60" t="str">
        <f>IF(AND(B1300&lt;&gt;"",A1300&lt;&gt;"BS",F1300&lt;&gt;"",H1300&lt;&gt;"",ISNUMBER(K1300),ISNUMBER(L1300)),IF(AND(K1300&gt;0,L1300&gt;0,K1300-L1300&gt;0,COUNTIFS(A1301:A$2005,A1300,F1301:F$2005,F1300,H1301:H$2005,H1300,AA1301:AA$2005,"&gt;0")=0),ROUND(K1300-L1300,6),""),"")</f>
        <v/>
      </c>
      <c r="X1300" s="60" t="str">
        <f>IF(AND(A1300="",C1300="",D1300="",H1300="",L1300=""),"",IF(A1300="","Type manquant",IF(AND(A1300&lt;&gt;"BL",A1300&lt;&gt;"BR",A1300&lt;&gt;"BS"),"Type inconnu (BL, BR ou BS)",IF(AG1300=0,"Date manquante ou invalide",IF(D1300="",IF(A1300="BL","Client manquant",IF(A1300="BR","Fournisseur manquant","Service manquant")),IF(IF(A1300="BL",ISNA(MATCH(D1300,cl_code,0)),IF(A1300="BR",ISNA(MATCH(D1300,fo_code,0)),ISNA(MATCH(D1300,p_services,0)))),IF(A1300="BL","Client inconnu",IF(A1300="BR","Fournisseur inconnu","Service inconnu")),IF(H1300="","Article manquant",IF(ISNA(MATCH(H1300,art_ref,0)),"Article inconnu",IF(OR(NOT(ISNUMBER(L1300)),N(L1300)&lt;=0),"Quantité invalide",IF(AND(K1300&lt;&gt;"",OR(NOT(ISNUMBER(K1300)),N(K1300)&lt;=0)),"Qté commandée invalide",IF(AG1300&lt;SUMPRODUCT(MAX((A$6:A1299=A1300)*AG$6:AG1299)),"Date antérieure au bon précédent",IF(AND(A1300&lt;&gt;"BR",ISNUMBER(M1300),N(M1300)&gt;0),IF(A1300="BL","Livré plus que commandé","Sorti plus que demandé"),"OK"))))))))))))</f>
        <v/>
      </c>
      <c r="Y1300" s="57" t="str">
        <f>IF(AND(OR(A1300="BL",A1300="BR",A1300="BS"),AG1300&gt;0,D1300&lt;&gt;""),A1300&amp;"|"&amp;AG1300&amp;"|"&amp;D1300&amp;"|"&amp;F1300,"")</f>
        <v/>
      </c>
      <c r="Z1300" s="57" t="str">
        <f>IF(Y1300="","",IF(COUNTIF(Y$6:Y1299,Y1300)=0,1,0))</f>
        <v/>
      </c>
      <c r="AA1300" s="57" t="str">
        <f>IF(Y1300="","",IF(Z1300=1,COUNTIFS(A$6:A1300,A1300,Z$6:Z1300,1),INDEX(AA$6:AA1299,MATCH(Y1300,Y$6:Y1299,0))))</f>
        <v/>
      </c>
      <c r="AB1300" s="57" t="str">
        <f>IF(B1300="","",COUNTIF(B$6:B1300,B1300))</f>
        <v/>
      </c>
      <c r="AC1300" s="57" t="str">
        <f>IF(B1300="","",B1300&amp;"#"&amp;AB1300)</f>
        <v/>
      </c>
      <c r="AD1300" s="57" t="str">
        <f>IF(Z1300=1,A1300&amp;AA1300,"")</f>
        <v/>
      </c>
      <c r="AE1300" s="57" t="str">
        <f>IF(B1300="","",YEAR(C1300))</f>
        <v/>
      </c>
      <c r="AF1300" s="57" t="str">
        <f>IF(B1300="","",MONTH(C1300))</f>
        <v/>
      </c>
      <c r="AG1300" s="57">
        <f>IF(ISNUMBER(C1300),C1300,0)</f>
        <v>0.0</v>
      </c>
      <c r="AH1300" s="57" t="str">
        <f>IF(N(W1300)&gt;0,COUNTIF(W$6:W1300,"&gt;0"),"")</f>
        <v/>
      </c>
      <c r="AI1300" s="57" t="str">
        <f>IF(Z1300=1,COUNTIF(Z$6:Z1300,1),"")</f>
        <v/>
      </c>
    </row>
    <row r="1301">
      <c r="A1301" s="54" t="n"/>
      <c r="B1301" s="55" t="str">
        <f>IF(AA1301="","",A1301&amp;"-"&amp;RIGHT("000"&amp;AA1301,4))</f>
        <v/>
      </c>
      <c r="C1301" s="56" t="n"/>
      <c r="D1301" s="54" t="n"/>
      <c r="E1301" s="57" t="str">
        <f>IF(D1301="","",IF(A1301="BL",IFERROR(INDEX(cl_name,MATCH(D1301,cl_code,0))&amp;"","Client inconnu"),IF(A1301="BR",IFERROR(INDEX(fo_name,MATCH(D1301,fo_code,0))&amp;"","Fournisseur inconnu"),IF(A1301="BS",IF(ISNA(MATCH(D1301,p_services,0)),"Service inconnu",D1301&amp;""),""))))</f>
        <v/>
      </c>
      <c r="F1301" s="58" t="n"/>
      <c r="G1301" s="58" t="n"/>
      <c r="H1301" s="59" t="n"/>
      <c r="I1301" s="57" t="str">
        <f>IF(H1301="","",IFERROR(INDEX(art_des,MATCH(H1301,art_ref,0))&amp;"","Article inconnu"))</f>
        <v/>
      </c>
      <c r="J1301" s="60" t="str">
        <f>IF(H1301="","",IFERROR(INDEX(art_unit,MATCH(H1301,art_ref,0))&amp;"",""))</f>
        <v/>
      </c>
      <c r="K1301" s="59" t="n"/>
      <c r="L1301" s="59" t="n"/>
      <c r="M1301" s="61" t="str">
        <f>IF(OR(B1301="",NOT(ISNUMBER(K1301)),NOT(ISNUMBER(L1301))),"",IF(OR(K1301&lt;=0,L1301&lt;=0),"",ROUND(L1301-K1301,6)))</f>
        <v/>
      </c>
      <c r="N1301" s="58" t="n"/>
      <c r="O1301" s="62" t="n"/>
      <c r="P1301" s="63" t="str">
        <f>IF(OR(B1301="",NOT(ISNUMBER(L1301))),"",IF(L1301&lt;=0,"",IFERROR(ROUND(L1301*N(INDEX(art_w,MATCH(H1301,art_ref,0))),3),"")))</f>
        <v/>
      </c>
      <c r="Q1301" s="59" t="n"/>
      <c r="R1301" s="54" t="n"/>
      <c r="S1301" s="59" t="n"/>
      <c r="T1301" s="59" t="n"/>
      <c r="U1301" s="64" t="str">
        <f>IF(OR(B1301="",H1301=""),"",IFERROR(IF(A1301="BL",IF(N(INDEX(art_price,MATCH(H1301,art_ref,0)))=0,"",N(INDEX(art_price,MATCH(H1301,art_ref,0)))),IF(N(INDEX(art_cost,MATCH(H1301,art_ref,0)))=0,"",N(INDEX(art_cost,MATCH(H1301,art_ref,0))))),""))</f>
        <v/>
      </c>
      <c r="V1301" s="64" t="str">
        <f>IF(OR(U1301="",NOT(ISNUMBER(L1301))),"",IF(L1301&lt;=0,"",ROUND(L1301*U1301,2)))</f>
        <v/>
      </c>
      <c r="W1301" s="60" t="str">
        <f>IF(AND(B1301&lt;&gt;"",A1301&lt;&gt;"BS",F1301&lt;&gt;"",H1301&lt;&gt;"",ISNUMBER(K1301),ISNUMBER(L1301)),IF(AND(K1301&gt;0,L1301&gt;0,K1301-L1301&gt;0,COUNTIFS(A1302:A$2005,A1301,F1302:F$2005,F1301,H1302:H$2005,H1301,AA1302:AA$2005,"&gt;0")=0),ROUND(K1301-L1301,6),""),"")</f>
        <v/>
      </c>
      <c r="X1301" s="60" t="str">
        <f>IF(AND(A1301="",C1301="",D1301="",H1301="",L1301=""),"",IF(A1301="","Type manquant",IF(AND(A1301&lt;&gt;"BL",A1301&lt;&gt;"BR",A1301&lt;&gt;"BS"),"Type inconnu (BL, BR ou BS)",IF(AG1301=0,"Date manquante ou invalide",IF(D1301="",IF(A1301="BL","Client manquant",IF(A1301="BR","Fournisseur manquant","Service manquant")),IF(IF(A1301="BL",ISNA(MATCH(D1301,cl_code,0)),IF(A1301="BR",ISNA(MATCH(D1301,fo_code,0)),ISNA(MATCH(D1301,p_services,0)))),IF(A1301="BL","Client inconnu",IF(A1301="BR","Fournisseur inconnu","Service inconnu")),IF(H1301="","Article manquant",IF(ISNA(MATCH(H1301,art_ref,0)),"Article inconnu",IF(OR(NOT(ISNUMBER(L1301)),N(L1301)&lt;=0),"Quantité invalide",IF(AND(K1301&lt;&gt;"",OR(NOT(ISNUMBER(K1301)),N(K1301)&lt;=0)),"Qté commandée invalide",IF(AG1301&lt;SUMPRODUCT(MAX((A$6:A1300=A1301)*AG$6:AG1300)),"Date antérieure au bon précédent",IF(AND(A1301&lt;&gt;"BR",ISNUMBER(M1301),N(M1301)&gt;0),IF(A1301="BL","Livré plus que commandé","Sorti plus que demandé"),"OK"))))))))))))</f>
        <v/>
      </c>
      <c r="Y1301" s="57" t="str">
        <f>IF(AND(OR(A1301="BL",A1301="BR",A1301="BS"),AG1301&gt;0,D1301&lt;&gt;""),A1301&amp;"|"&amp;AG1301&amp;"|"&amp;D1301&amp;"|"&amp;F1301,"")</f>
        <v/>
      </c>
      <c r="Z1301" s="57" t="str">
        <f>IF(Y1301="","",IF(COUNTIF(Y$6:Y1300,Y1301)=0,1,0))</f>
        <v/>
      </c>
      <c r="AA1301" s="57" t="str">
        <f>IF(Y1301="","",IF(Z1301=1,COUNTIFS(A$6:A1301,A1301,Z$6:Z1301,1),INDEX(AA$6:AA1300,MATCH(Y1301,Y$6:Y1300,0))))</f>
        <v/>
      </c>
      <c r="AB1301" s="57" t="str">
        <f>IF(B1301="","",COUNTIF(B$6:B1301,B1301))</f>
        <v/>
      </c>
      <c r="AC1301" s="57" t="str">
        <f>IF(B1301="","",B1301&amp;"#"&amp;AB1301)</f>
        <v/>
      </c>
      <c r="AD1301" s="57" t="str">
        <f>IF(Z1301=1,A1301&amp;AA1301,"")</f>
        <v/>
      </c>
      <c r="AE1301" s="57" t="str">
        <f>IF(B1301="","",YEAR(C1301))</f>
        <v/>
      </c>
      <c r="AF1301" s="57" t="str">
        <f>IF(B1301="","",MONTH(C1301))</f>
        <v/>
      </c>
      <c r="AG1301" s="57">
        <f>IF(ISNUMBER(C1301),C1301,0)</f>
        <v>0.0</v>
      </c>
      <c r="AH1301" s="57" t="str">
        <f>IF(N(W1301)&gt;0,COUNTIF(W$6:W1301,"&gt;0"),"")</f>
        <v/>
      </c>
      <c r="AI1301" s="57" t="str">
        <f>IF(Z1301=1,COUNTIF(Z$6:Z1301,1),"")</f>
        <v/>
      </c>
    </row>
    <row r="1302">
      <c r="A1302" s="54" t="n"/>
      <c r="B1302" s="55" t="str">
        <f>IF(AA1302="","",A1302&amp;"-"&amp;RIGHT("000"&amp;AA1302,4))</f>
        <v/>
      </c>
      <c r="C1302" s="56" t="n"/>
      <c r="D1302" s="54" t="n"/>
      <c r="E1302" s="57" t="str">
        <f>IF(D1302="","",IF(A1302="BL",IFERROR(INDEX(cl_name,MATCH(D1302,cl_code,0))&amp;"","Client inconnu"),IF(A1302="BR",IFERROR(INDEX(fo_name,MATCH(D1302,fo_code,0))&amp;"","Fournisseur inconnu"),IF(A1302="BS",IF(ISNA(MATCH(D1302,p_services,0)),"Service inconnu",D1302&amp;""),""))))</f>
        <v/>
      </c>
      <c r="F1302" s="58" t="n"/>
      <c r="G1302" s="58" t="n"/>
      <c r="H1302" s="59" t="n"/>
      <c r="I1302" s="57" t="str">
        <f>IF(H1302="","",IFERROR(INDEX(art_des,MATCH(H1302,art_ref,0))&amp;"","Article inconnu"))</f>
        <v/>
      </c>
      <c r="J1302" s="60" t="str">
        <f>IF(H1302="","",IFERROR(INDEX(art_unit,MATCH(H1302,art_ref,0))&amp;"",""))</f>
        <v/>
      </c>
      <c r="K1302" s="59" t="n"/>
      <c r="L1302" s="59" t="n"/>
      <c r="M1302" s="61" t="str">
        <f>IF(OR(B1302="",NOT(ISNUMBER(K1302)),NOT(ISNUMBER(L1302))),"",IF(OR(K1302&lt;=0,L1302&lt;=0),"",ROUND(L1302-K1302,6)))</f>
        <v/>
      </c>
      <c r="N1302" s="58" t="n"/>
      <c r="O1302" s="62" t="n"/>
      <c r="P1302" s="63" t="str">
        <f>IF(OR(B1302="",NOT(ISNUMBER(L1302))),"",IF(L1302&lt;=0,"",IFERROR(ROUND(L1302*N(INDEX(art_w,MATCH(H1302,art_ref,0))),3),"")))</f>
        <v/>
      </c>
      <c r="Q1302" s="59" t="n"/>
      <c r="R1302" s="54" t="n"/>
      <c r="S1302" s="59" t="n"/>
      <c r="T1302" s="59" t="n"/>
      <c r="U1302" s="64" t="str">
        <f>IF(OR(B1302="",H1302=""),"",IFERROR(IF(A1302="BL",IF(N(INDEX(art_price,MATCH(H1302,art_ref,0)))=0,"",N(INDEX(art_price,MATCH(H1302,art_ref,0)))),IF(N(INDEX(art_cost,MATCH(H1302,art_ref,0)))=0,"",N(INDEX(art_cost,MATCH(H1302,art_ref,0))))),""))</f>
        <v/>
      </c>
      <c r="V1302" s="64" t="str">
        <f>IF(OR(U1302="",NOT(ISNUMBER(L1302))),"",IF(L1302&lt;=0,"",ROUND(L1302*U1302,2)))</f>
        <v/>
      </c>
      <c r="W1302" s="60" t="str">
        <f>IF(AND(B1302&lt;&gt;"",A1302&lt;&gt;"BS",F1302&lt;&gt;"",H1302&lt;&gt;"",ISNUMBER(K1302),ISNUMBER(L1302)),IF(AND(K1302&gt;0,L1302&gt;0,K1302-L1302&gt;0,COUNTIFS(A1303:A$2005,A1302,F1303:F$2005,F1302,H1303:H$2005,H1302,AA1303:AA$2005,"&gt;0")=0),ROUND(K1302-L1302,6),""),"")</f>
        <v/>
      </c>
      <c r="X1302" s="60" t="str">
        <f>IF(AND(A1302="",C1302="",D1302="",H1302="",L1302=""),"",IF(A1302="","Type manquant",IF(AND(A1302&lt;&gt;"BL",A1302&lt;&gt;"BR",A1302&lt;&gt;"BS"),"Type inconnu (BL, BR ou BS)",IF(AG1302=0,"Date manquante ou invalide",IF(D1302="",IF(A1302="BL","Client manquant",IF(A1302="BR","Fournisseur manquant","Service manquant")),IF(IF(A1302="BL",ISNA(MATCH(D1302,cl_code,0)),IF(A1302="BR",ISNA(MATCH(D1302,fo_code,0)),ISNA(MATCH(D1302,p_services,0)))),IF(A1302="BL","Client inconnu",IF(A1302="BR","Fournisseur inconnu","Service inconnu")),IF(H1302="","Article manquant",IF(ISNA(MATCH(H1302,art_ref,0)),"Article inconnu",IF(OR(NOT(ISNUMBER(L1302)),N(L1302)&lt;=0),"Quantité invalide",IF(AND(K1302&lt;&gt;"",OR(NOT(ISNUMBER(K1302)),N(K1302)&lt;=0)),"Qté commandée invalide",IF(AG1302&lt;SUMPRODUCT(MAX((A$6:A1301=A1302)*AG$6:AG1301)),"Date antérieure au bon précédent",IF(AND(A1302&lt;&gt;"BR",ISNUMBER(M1302),N(M1302)&gt;0),IF(A1302="BL","Livré plus que commandé","Sorti plus que demandé"),"OK"))))))))))))</f>
        <v/>
      </c>
      <c r="Y1302" s="57" t="str">
        <f>IF(AND(OR(A1302="BL",A1302="BR",A1302="BS"),AG1302&gt;0,D1302&lt;&gt;""),A1302&amp;"|"&amp;AG1302&amp;"|"&amp;D1302&amp;"|"&amp;F1302,"")</f>
        <v/>
      </c>
      <c r="Z1302" s="57" t="str">
        <f>IF(Y1302="","",IF(COUNTIF(Y$6:Y1301,Y1302)=0,1,0))</f>
        <v/>
      </c>
      <c r="AA1302" s="57" t="str">
        <f>IF(Y1302="","",IF(Z1302=1,COUNTIFS(A$6:A1302,A1302,Z$6:Z1302,1),INDEX(AA$6:AA1301,MATCH(Y1302,Y$6:Y1301,0))))</f>
        <v/>
      </c>
      <c r="AB1302" s="57" t="str">
        <f>IF(B1302="","",COUNTIF(B$6:B1302,B1302))</f>
        <v/>
      </c>
      <c r="AC1302" s="57" t="str">
        <f>IF(B1302="","",B1302&amp;"#"&amp;AB1302)</f>
        <v/>
      </c>
      <c r="AD1302" s="57" t="str">
        <f>IF(Z1302=1,A1302&amp;AA1302,"")</f>
        <v/>
      </c>
      <c r="AE1302" s="57" t="str">
        <f>IF(B1302="","",YEAR(C1302))</f>
        <v/>
      </c>
      <c r="AF1302" s="57" t="str">
        <f>IF(B1302="","",MONTH(C1302))</f>
        <v/>
      </c>
      <c r="AG1302" s="57">
        <f>IF(ISNUMBER(C1302),C1302,0)</f>
        <v>0.0</v>
      </c>
      <c r="AH1302" s="57" t="str">
        <f>IF(N(W1302)&gt;0,COUNTIF(W$6:W1302,"&gt;0"),"")</f>
        <v/>
      </c>
      <c r="AI1302" s="57" t="str">
        <f>IF(Z1302=1,COUNTIF(Z$6:Z1302,1),"")</f>
        <v/>
      </c>
    </row>
    <row r="1303">
      <c r="A1303" s="54" t="n"/>
      <c r="B1303" s="55" t="str">
        <f>IF(AA1303="","",A1303&amp;"-"&amp;RIGHT("000"&amp;AA1303,4))</f>
        <v/>
      </c>
      <c r="C1303" s="56" t="n"/>
      <c r="D1303" s="54" t="n"/>
      <c r="E1303" s="57" t="str">
        <f>IF(D1303="","",IF(A1303="BL",IFERROR(INDEX(cl_name,MATCH(D1303,cl_code,0))&amp;"","Client inconnu"),IF(A1303="BR",IFERROR(INDEX(fo_name,MATCH(D1303,fo_code,0))&amp;"","Fournisseur inconnu"),IF(A1303="BS",IF(ISNA(MATCH(D1303,p_services,0)),"Service inconnu",D1303&amp;""),""))))</f>
        <v/>
      </c>
      <c r="F1303" s="58" t="n"/>
      <c r="G1303" s="58" t="n"/>
      <c r="H1303" s="59" t="n"/>
      <c r="I1303" s="57" t="str">
        <f>IF(H1303="","",IFERROR(INDEX(art_des,MATCH(H1303,art_ref,0))&amp;"","Article inconnu"))</f>
        <v/>
      </c>
      <c r="J1303" s="60" t="str">
        <f>IF(H1303="","",IFERROR(INDEX(art_unit,MATCH(H1303,art_ref,0))&amp;"",""))</f>
        <v/>
      </c>
      <c r="K1303" s="59" t="n"/>
      <c r="L1303" s="59" t="n"/>
      <c r="M1303" s="61" t="str">
        <f>IF(OR(B1303="",NOT(ISNUMBER(K1303)),NOT(ISNUMBER(L1303))),"",IF(OR(K1303&lt;=0,L1303&lt;=0),"",ROUND(L1303-K1303,6)))</f>
        <v/>
      </c>
      <c r="N1303" s="58" t="n"/>
      <c r="O1303" s="62" t="n"/>
      <c r="P1303" s="63" t="str">
        <f>IF(OR(B1303="",NOT(ISNUMBER(L1303))),"",IF(L1303&lt;=0,"",IFERROR(ROUND(L1303*N(INDEX(art_w,MATCH(H1303,art_ref,0))),3),"")))</f>
        <v/>
      </c>
      <c r="Q1303" s="59" t="n"/>
      <c r="R1303" s="54" t="n"/>
      <c r="S1303" s="59" t="n"/>
      <c r="T1303" s="59" t="n"/>
      <c r="U1303" s="64" t="str">
        <f>IF(OR(B1303="",H1303=""),"",IFERROR(IF(A1303="BL",IF(N(INDEX(art_price,MATCH(H1303,art_ref,0)))=0,"",N(INDEX(art_price,MATCH(H1303,art_ref,0)))),IF(N(INDEX(art_cost,MATCH(H1303,art_ref,0)))=0,"",N(INDEX(art_cost,MATCH(H1303,art_ref,0))))),""))</f>
        <v/>
      </c>
      <c r="V1303" s="64" t="str">
        <f>IF(OR(U1303="",NOT(ISNUMBER(L1303))),"",IF(L1303&lt;=0,"",ROUND(L1303*U1303,2)))</f>
        <v/>
      </c>
      <c r="W1303" s="60" t="str">
        <f>IF(AND(B1303&lt;&gt;"",A1303&lt;&gt;"BS",F1303&lt;&gt;"",H1303&lt;&gt;"",ISNUMBER(K1303),ISNUMBER(L1303)),IF(AND(K1303&gt;0,L1303&gt;0,K1303-L1303&gt;0,COUNTIFS(A1304:A$2005,A1303,F1304:F$2005,F1303,H1304:H$2005,H1303,AA1304:AA$2005,"&gt;0")=0),ROUND(K1303-L1303,6),""),"")</f>
        <v/>
      </c>
      <c r="X1303" s="60" t="str">
        <f>IF(AND(A1303="",C1303="",D1303="",H1303="",L1303=""),"",IF(A1303="","Type manquant",IF(AND(A1303&lt;&gt;"BL",A1303&lt;&gt;"BR",A1303&lt;&gt;"BS"),"Type inconnu (BL, BR ou BS)",IF(AG1303=0,"Date manquante ou invalide",IF(D1303="",IF(A1303="BL","Client manquant",IF(A1303="BR","Fournisseur manquant","Service manquant")),IF(IF(A1303="BL",ISNA(MATCH(D1303,cl_code,0)),IF(A1303="BR",ISNA(MATCH(D1303,fo_code,0)),ISNA(MATCH(D1303,p_services,0)))),IF(A1303="BL","Client inconnu",IF(A1303="BR","Fournisseur inconnu","Service inconnu")),IF(H1303="","Article manquant",IF(ISNA(MATCH(H1303,art_ref,0)),"Article inconnu",IF(OR(NOT(ISNUMBER(L1303)),N(L1303)&lt;=0),"Quantité invalide",IF(AND(K1303&lt;&gt;"",OR(NOT(ISNUMBER(K1303)),N(K1303)&lt;=0)),"Qté commandée invalide",IF(AG1303&lt;SUMPRODUCT(MAX((A$6:A1302=A1303)*AG$6:AG1302)),"Date antérieure au bon précédent",IF(AND(A1303&lt;&gt;"BR",ISNUMBER(M1303),N(M1303)&gt;0),IF(A1303="BL","Livré plus que commandé","Sorti plus que demandé"),"OK"))))))))))))</f>
        <v/>
      </c>
      <c r="Y1303" s="57" t="str">
        <f>IF(AND(OR(A1303="BL",A1303="BR",A1303="BS"),AG1303&gt;0,D1303&lt;&gt;""),A1303&amp;"|"&amp;AG1303&amp;"|"&amp;D1303&amp;"|"&amp;F1303,"")</f>
        <v/>
      </c>
      <c r="Z1303" s="57" t="str">
        <f>IF(Y1303="","",IF(COUNTIF(Y$6:Y1302,Y1303)=0,1,0))</f>
        <v/>
      </c>
      <c r="AA1303" s="57" t="str">
        <f>IF(Y1303="","",IF(Z1303=1,COUNTIFS(A$6:A1303,A1303,Z$6:Z1303,1),INDEX(AA$6:AA1302,MATCH(Y1303,Y$6:Y1302,0))))</f>
        <v/>
      </c>
      <c r="AB1303" s="57" t="str">
        <f>IF(B1303="","",COUNTIF(B$6:B1303,B1303))</f>
        <v/>
      </c>
      <c r="AC1303" s="57" t="str">
        <f>IF(B1303="","",B1303&amp;"#"&amp;AB1303)</f>
        <v/>
      </c>
      <c r="AD1303" s="57" t="str">
        <f>IF(Z1303=1,A1303&amp;AA1303,"")</f>
        <v/>
      </c>
      <c r="AE1303" s="57" t="str">
        <f>IF(B1303="","",YEAR(C1303))</f>
        <v/>
      </c>
      <c r="AF1303" s="57" t="str">
        <f>IF(B1303="","",MONTH(C1303))</f>
        <v/>
      </c>
      <c r="AG1303" s="57">
        <f>IF(ISNUMBER(C1303),C1303,0)</f>
        <v>0.0</v>
      </c>
      <c r="AH1303" s="57" t="str">
        <f>IF(N(W1303)&gt;0,COUNTIF(W$6:W1303,"&gt;0"),"")</f>
        <v/>
      </c>
      <c r="AI1303" s="57" t="str">
        <f>IF(Z1303=1,COUNTIF(Z$6:Z1303,1),"")</f>
        <v/>
      </c>
    </row>
    <row r="1304">
      <c r="A1304" s="54" t="n"/>
      <c r="B1304" s="55" t="str">
        <f>IF(AA1304="","",A1304&amp;"-"&amp;RIGHT("000"&amp;AA1304,4))</f>
        <v/>
      </c>
      <c r="C1304" s="56" t="n"/>
      <c r="D1304" s="54" t="n"/>
      <c r="E1304" s="57" t="str">
        <f>IF(D1304="","",IF(A1304="BL",IFERROR(INDEX(cl_name,MATCH(D1304,cl_code,0))&amp;"","Client inconnu"),IF(A1304="BR",IFERROR(INDEX(fo_name,MATCH(D1304,fo_code,0))&amp;"","Fournisseur inconnu"),IF(A1304="BS",IF(ISNA(MATCH(D1304,p_services,0)),"Service inconnu",D1304&amp;""),""))))</f>
        <v/>
      </c>
      <c r="F1304" s="58" t="n"/>
      <c r="G1304" s="58" t="n"/>
      <c r="H1304" s="59" t="n"/>
      <c r="I1304" s="57" t="str">
        <f>IF(H1304="","",IFERROR(INDEX(art_des,MATCH(H1304,art_ref,0))&amp;"","Article inconnu"))</f>
        <v/>
      </c>
      <c r="J1304" s="60" t="str">
        <f>IF(H1304="","",IFERROR(INDEX(art_unit,MATCH(H1304,art_ref,0))&amp;"",""))</f>
        <v/>
      </c>
      <c r="K1304" s="59" t="n"/>
      <c r="L1304" s="59" t="n"/>
      <c r="M1304" s="61" t="str">
        <f>IF(OR(B1304="",NOT(ISNUMBER(K1304)),NOT(ISNUMBER(L1304))),"",IF(OR(K1304&lt;=0,L1304&lt;=0),"",ROUND(L1304-K1304,6)))</f>
        <v/>
      </c>
      <c r="N1304" s="58" t="n"/>
      <c r="O1304" s="62" t="n"/>
      <c r="P1304" s="63" t="str">
        <f>IF(OR(B1304="",NOT(ISNUMBER(L1304))),"",IF(L1304&lt;=0,"",IFERROR(ROUND(L1304*N(INDEX(art_w,MATCH(H1304,art_ref,0))),3),"")))</f>
        <v/>
      </c>
      <c r="Q1304" s="59" t="n"/>
      <c r="R1304" s="54" t="n"/>
      <c r="S1304" s="59" t="n"/>
      <c r="T1304" s="59" t="n"/>
      <c r="U1304" s="64" t="str">
        <f>IF(OR(B1304="",H1304=""),"",IFERROR(IF(A1304="BL",IF(N(INDEX(art_price,MATCH(H1304,art_ref,0)))=0,"",N(INDEX(art_price,MATCH(H1304,art_ref,0)))),IF(N(INDEX(art_cost,MATCH(H1304,art_ref,0)))=0,"",N(INDEX(art_cost,MATCH(H1304,art_ref,0))))),""))</f>
        <v/>
      </c>
      <c r="V1304" s="64" t="str">
        <f>IF(OR(U1304="",NOT(ISNUMBER(L1304))),"",IF(L1304&lt;=0,"",ROUND(L1304*U1304,2)))</f>
        <v/>
      </c>
      <c r="W1304" s="60" t="str">
        <f>IF(AND(B1304&lt;&gt;"",A1304&lt;&gt;"BS",F1304&lt;&gt;"",H1304&lt;&gt;"",ISNUMBER(K1304),ISNUMBER(L1304)),IF(AND(K1304&gt;0,L1304&gt;0,K1304-L1304&gt;0,COUNTIFS(A1305:A$2005,A1304,F1305:F$2005,F1304,H1305:H$2005,H1304,AA1305:AA$2005,"&gt;0")=0),ROUND(K1304-L1304,6),""),"")</f>
        <v/>
      </c>
      <c r="X1304" s="60" t="str">
        <f>IF(AND(A1304="",C1304="",D1304="",H1304="",L1304=""),"",IF(A1304="","Type manquant",IF(AND(A1304&lt;&gt;"BL",A1304&lt;&gt;"BR",A1304&lt;&gt;"BS"),"Type inconnu (BL, BR ou BS)",IF(AG1304=0,"Date manquante ou invalide",IF(D1304="",IF(A1304="BL","Client manquant",IF(A1304="BR","Fournisseur manquant","Service manquant")),IF(IF(A1304="BL",ISNA(MATCH(D1304,cl_code,0)),IF(A1304="BR",ISNA(MATCH(D1304,fo_code,0)),ISNA(MATCH(D1304,p_services,0)))),IF(A1304="BL","Client inconnu",IF(A1304="BR","Fournisseur inconnu","Service inconnu")),IF(H1304="","Article manquant",IF(ISNA(MATCH(H1304,art_ref,0)),"Article inconnu",IF(OR(NOT(ISNUMBER(L1304)),N(L1304)&lt;=0),"Quantité invalide",IF(AND(K1304&lt;&gt;"",OR(NOT(ISNUMBER(K1304)),N(K1304)&lt;=0)),"Qté commandée invalide",IF(AG1304&lt;SUMPRODUCT(MAX((A$6:A1303=A1304)*AG$6:AG1303)),"Date antérieure au bon précédent",IF(AND(A1304&lt;&gt;"BR",ISNUMBER(M1304),N(M1304)&gt;0),IF(A1304="BL","Livré plus que commandé","Sorti plus que demandé"),"OK"))))))))))))</f>
        <v/>
      </c>
      <c r="Y1304" s="57" t="str">
        <f>IF(AND(OR(A1304="BL",A1304="BR",A1304="BS"),AG1304&gt;0,D1304&lt;&gt;""),A1304&amp;"|"&amp;AG1304&amp;"|"&amp;D1304&amp;"|"&amp;F1304,"")</f>
        <v/>
      </c>
      <c r="Z1304" s="57" t="str">
        <f>IF(Y1304="","",IF(COUNTIF(Y$6:Y1303,Y1304)=0,1,0))</f>
        <v/>
      </c>
      <c r="AA1304" s="57" t="str">
        <f>IF(Y1304="","",IF(Z1304=1,COUNTIFS(A$6:A1304,A1304,Z$6:Z1304,1),INDEX(AA$6:AA1303,MATCH(Y1304,Y$6:Y1303,0))))</f>
        <v/>
      </c>
      <c r="AB1304" s="57" t="str">
        <f>IF(B1304="","",COUNTIF(B$6:B1304,B1304))</f>
        <v/>
      </c>
      <c r="AC1304" s="57" t="str">
        <f>IF(B1304="","",B1304&amp;"#"&amp;AB1304)</f>
        <v/>
      </c>
      <c r="AD1304" s="57" t="str">
        <f>IF(Z1304=1,A1304&amp;AA1304,"")</f>
        <v/>
      </c>
      <c r="AE1304" s="57" t="str">
        <f>IF(B1304="","",YEAR(C1304))</f>
        <v/>
      </c>
      <c r="AF1304" s="57" t="str">
        <f>IF(B1304="","",MONTH(C1304))</f>
        <v/>
      </c>
      <c r="AG1304" s="57">
        <f>IF(ISNUMBER(C1304),C1304,0)</f>
        <v>0.0</v>
      </c>
      <c r="AH1304" s="57" t="str">
        <f>IF(N(W1304)&gt;0,COUNTIF(W$6:W1304,"&gt;0"),"")</f>
        <v/>
      </c>
      <c r="AI1304" s="57" t="str">
        <f>IF(Z1304=1,COUNTIF(Z$6:Z1304,1),"")</f>
        <v/>
      </c>
    </row>
    <row r="1305">
      <c r="A1305" s="54" t="n"/>
      <c r="B1305" s="55" t="str">
        <f>IF(AA1305="","",A1305&amp;"-"&amp;RIGHT("000"&amp;AA1305,4))</f>
        <v/>
      </c>
      <c r="C1305" s="56" t="n"/>
      <c r="D1305" s="54" t="n"/>
      <c r="E1305" s="57" t="str">
        <f>IF(D1305="","",IF(A1305="BL",IFERROR(INDEX(cl_name,MATCH(D1305,cl_code,0))&amp;"","Client inconnu"),IF(A1305="BR",IFERROR(INDEX(fo_name,MATCH(D1305,fo_code,0))&amp;"","Fournisseur inconnu"),IF(A1305="BS",IF(ISNA(MATCH(D1305,p_services,0)),"Service inconnu",D1305&amp;""),""))))</f>
        <v/>
      </c>
      <c r="F1305" s="58" t="n"/>
      <c r="G1305" s="58" t="n"/>
      <c r="H1305" s="59" t="n"/>
      <c r="I1305" s="57" t="str">
        <f>IF(H1305="","",IFERROR(INDEX(art_des,MATCH(H1305,art_ref,0))&amp;"","Article inconnu"))</f>
        <v/>
      </c>
      <c r="J1305" s="60" t="str">
        <f>IF(H1305="","",IFERROR(INDEX(art_unit,MATCH(H1305,art_ref,0))&amp;"",""))</f>
        <v/>
      </c>
      <c r="K1305" s="59" t="n"/>
      <c r="L1305" s="59" t="n"/>
      <c r="M1305" s="61" t="str">
        <f>IF(OR(B1305="",NOT(ISNUMBER(K1305)),NOT(ISNUMBER(L1305))),"",IF(OR(K1305&lt;=0,L1305&lt;=0),"",ROUND(L1305-K1305,6)))</f>
        <v/>
      </c>
      <c r="N1305" s="58" t="n"/>
      <c r="O1305" s="62" t="n"/>
      <c r="P1305" s="63" t="str">
        <f>IF(OR(B1305="",NOT(ISNUMBER(L1305))),"",IF(L1305&lt;=0,"",IFERROR(ROUND(L1305*N(INDEX(art_w,MATCH(H1305,art_ref,0))),3),"")))</f>
        <v/>
      </c>
      <c r="Q1305" s="59" t="n"/>
      <c r="R1305" s="54" t="n"/>
      <c r="S1305" s="59" t="n"/>
      <c r="T1305" s="59" t="n"/>
      <c r="U1305" s="64" t="str">
        <f>IF(OR(B1305="",H1305=""),"",IFERROR(IF(A1305="BL",IF(N(INDEX(art_price,MATCH(H1305,art_ref,0)))=0,"",N(INDEX(art_price,MATCH(H1305,art_ref,0)))),IF(N(INDEX(art_cost,MATCH(H1305,art_ref,0)))=0,"",N(INDEX(art_cost,MATCH(H1305,art_ref,0))))),""))</f>
        <v/>
      </c>
      <c r="V1305" s="64" t="str">
        <f>IF(OR(U1305="",NOT(ISNUMBER(L1305))),"",IF(L1305&lt;=0,"",ROUND(L1305*U1305,2)))</f>
        <v/>
      </c>
      <c r="W1305" s="60" t="str">
        <f>IF(AND(B1305&lt;&gt;"",A1305&lt;&gt;"BS",F1305&lt;&gt;"",H1305&lt;&gt;"",ISNUMBER(K1305),ISNUMBER(L1305)),IF(AND(K1305&gt;0,L1305&gt;0,K1305-L1305&gt;0,COUNTIFS(A1306:A$2005,A1305,F1306:F$2005,F1305,H1306:H$2005,H1305,AA1306:AA$2005,"&gt;0")=0),ROUND(K1305-L1305,6),""),"")</f>
        <v/>
      </c>
      <c r="X1305" s="60" t="str">
        <f>IF(AND(A1305="",C1305="",D1305="",H1305="",L1305=""),"",IF(A1305="","Type manquant",IF(AND(A1305&lt;&gt;"BL",A1305&lt;&gt;"BR",A1305&lt;&gt;"BS"),"Type inconnu (BL, BR ou BS)",IF(AG1305=0,"Date manquante ou invalide",IF(D1305="",IF(A1305="BL","Client manquant",IF(A1305="BR","Fournisseur manquant","Service manquant")),IF(IF(A1305="BL",ISNA(MATCH(D1305,cl_code,0)),IF(A1305="BR",ISNA(MATCH(D1305,fo_code,0)),ISNA(MATCH(D1305,p_services,0)))),IF(A1305="BL","Client inconnu",IF(A1305="BR","Fournisseur inconnu","Service inconnu")),IF(H1305="","Article manquant",IF(ISNA(MATCH(H1305,art_ref,0)),"Article inconnu",IF(OR(NOT(ISNUMBER(L1305)),N(L1305)&lt;=0),"Quantité invalide",IF(AND(K1305&lt;&gt;"",OR(NOT(ISNUMBER(K1305)),N(K1305)&lt;=0)),"Qté commandée invalide",IF(AG1305&lt;SUMPRODUCT(MAX((A$6:A1304=A1305)*AG$6:AG1304)),"Date antérieure au bon précédent",IF(AND(A1305&lt;&gt;"BR",ISNUMBER(M1305),N(M1305)&gt;0),IF(A1305="BL","Livré plus que commandé","Sorti plus que demandé"),"OK"))))))))))))</f>
        <v/>
      </c>
      <c r="Y1305" s="57" t="str">
        <f>IF(AND(OR(A1305="BL",A1305="BR",A1305="BS"),AG1305&gt;0,D1305&lt;&gt;""),A1305&amp;"|"&amp;AG1305&amp;"|"&amp;D1305&amp;"|"&amp;F1305,"")</f>
        <v/>
      </c>
      <c r="Z1305" s="57" t="str">
        <f>IF(Y1305="","",IF(COUNTIF(Y$6:Y1304,Y1305)=0,1,0))</f>
        <v/>
      </c>
      <c r="AA1305" s="57" t="str">
        <f>IF(Y1305="","",IF(Z1305=1,COUNTIFS(A$6:A1305,A1305,Z$6:Z1305,1),INDEX(AA$6:AA1304,MATCH(Y1305,Y$6:Y1304,0))))</f>
        <v/>
      </c>
      <c r="AB1305" s="57" t="str">
        <f>IF(B1305="","",COUNTIF(B$6:B1305,B1305))</f>
        <v/>
      </c>
      <c r="AC1305" s="57" t="str">
        <f>IF(B1305="","",B1305&amp;"#"&amp;AB1305)</f>
        <v/>
      </c>
      <c r="AD1305" s="57" t="str">
        <f>IF(Z1305=1,A1305&amp;AA1305,"")</f>
        <v/>
      </c>
      <c r="AE1305" s="57" t="str">
        <f>IF(B1305="","",YEAR(C1305))</f>
        <v/>
      </c>
      <c r="AF1305" s="57" t="str">
        <f>IF(B1305="","",MONTH(C1305))</f>
        <v/>
      </c>
      <c r="AG1305" s="57">
        <f>IF(ISNUMBER(C1305),C1305,0)</f>
        <v>0.0</v>
      </c>
      <c r="AH1305" s="57" t="str">
        <f>IF(N(W1305)&gt;0,COUNTIF(W$6:W1305,"&gt;0"),"")</f>
        <v/>
      </c>
      <c r="AI1305" s="57" t="str">
        <f>IF(Z1305=1,COUNTIF(Z$6:Z1305,1),"")</f>
        <v/>
      </c>
    </row>
    <row r="1306">
      <c r="A1306" s="54" t="n"/>
      <c r="B1306" s="55" t="str">
        <f>IF(AA1306="","",A1306&amp;"-"&amp;RIGHT("000"&amp;AA1306,4))</f>
        <v/>
      </c>
      <c r="C1306" s="56" t="n"/>
      <c r="D1306" s="54" t="n"/>
      <c r="E1306" s="57" t="str">
        <f>IF(D1306="","",IF(A1306="BL",IFERROR(INDEX(cl_name,MATCH(D1306,cl_code,0))&amp;"","Client inconnu"),IF(A1306="BR",IFERROR(INDEX(fo_name,MATCH(D1306,fo_code,0))&amp;"","Fournisseur inconnu"),IF(A1306="BS",IF(ISNA(MATCH(D1306,p_services,0)),"Service inconnu",D1306&amp;""),""))))</f>
        <v/>
      </c>
      <c r="F1306" s="58" t="n"/>
      <c r="G1306" s="58" t="n"/>
      <c r="H1306" s="59" t="n"/>
      <c r="I1306" s="57" t="str">
        <f>IF(H1306="","",IFERROR(INDEX(art_des,MATCH(H1306,art_ref,0))&amp;"","Article inconnu"))</f>
        <v/>
      </c>
      <c r="J1306" s="60" t="str">
        <f>IF(H1306="","",IFERROR(INDEX(art_unit,MATCH(H1306,art_ref,0))&amp;"",""))</f>
        <v/>
      </c>
      <c r="K1306" s="59" t="n"/>
      <c r="L1306" s="59" t="n"/>
      <c r="M1306" s="61" t="str">
        <f>IF(OR(B1306="",NOT(ISNUMBER(K1306)),NOT(ISNUMBER(L1306))),"",IF(OR(K1306&lt;=0,L1306&lt;=0),"",ROUND(L1306-K1306,6)))</f>
        <v/>
      </c>
      <c r="N1306" s="58" t="n"/>
      <c r="O1306" s="62" t="n"/>
      <c r="P1306" s="63" t="str">
        <f>IF(OR(B1306="",NOT(ISNUMBER(L1306))),"",IF(L1306&lt;=0,"",IFERROR(ROUND(L1306*N(INDEX(art_w,MATCH(H1306,art_ref,0))),3),"")))</f>
        <v/>
      </c>
      <c r="Q1306" s="59" t="n"/>
      <c r="R1306" s="54" t="n"/>
      <c r="S1306" s="59" t="n"/>
      <c r="T1306" s="59" t="n"/>
      <c r="U1306" s="64" t="str">
        <f>IF(OR(B1306="",H1306=""),"",IFERROR(IF(A1306="BL",IF(N(INDEX(art_price,MATCH(H1306,art_ref,0)))=0,"",N(INDEX(art_price,MATCH(H1306,art_ref,0)))),IF(N(INDEX(art_cost,MATCH(H1306,art_ref,0)))=0,"",N(INDEX(art_cost,MATCH(H1306,art_ref,0))))),""))</f>
        <v/>
      </c>
      <c r="V1306" s="64" t="str">
        <f>IF(OR(U1306="",NOT(ISNUMBER(L1306))),"",IF(L1306&lt;=0,"",ROUND(L1306*U1306,2)))</f>
        <v/>
      </c>
      <c r="W1306" s="60" t="str">
        <f>IF(AND(B1306&lt;&gt;"",A1306&lt;&gt;"BS",F1306&lt;&gt;"",H1306&lt;&gt;"",ISNUMBER(K1306),ISNUMBER(L1306)),IF(AND(K1306&gt;0,L1306&gt;0,K1306-L1306&gt;0,COUNTIFS(A1307:A$2005,A1306,F1307:F$2005,F1306,H1307:H$2005,H1306,AA1307:AA$2005,"&gt;0")=0),ROUND(K1306-L1306,6),""),"")</f>
        <v/>
      </c>
      <c r="X1306" s="60" t="str">
        <f>IF(AND(A1306="",C1306="",D1306="",H1306="",L1306=""),"",IF(A1306="","Type manquant",IF(AND(A1306&lt;&gt;"BL",A1306&lt;&gt;"BR",A1306&lt;&gt;"BS"),"Type inconnu (BL, BR ou BS)",IF(AG1306=0,"Date manquante ou invalide",IF(D1306="",IF(A1306="BL","Client manquant",IF(A1306="BR","Fournisseur manquant","Service manquant")),IF(IF(A1306="BL",ISNA(MATCH(D1306,cl_code,0)),IF(A1306="BR",ISNA(MATCH(D1306,fo_code,0)),ISNA(MATCH(D1306,p_services,0)))),IF(A1306="BL","Client inconnu",IF(A1306="BR","Fournisseur inconnu","Service inconnu")),IF(H1306="","Article manquant",IF(ISNA(MATCH(H1306,art_ref,0)),"Article inconnu",IF(OR(NOT(ISNUMBER(L1306)),N(L1306)&lt;=0),"Quantité invalide",IF(AND(K1306&lt;&gt;"",OR(NOT(ISNUMBER(K1306)),N(K1306)&lt;=0)),"Qté commandée invalide",IF(AG1306&lt;SUMPRODUCT(MAX((A$6:A1305=A1306)*AG$6:AG1305)),"Date antérieure au bon précédent",IF(AND(A1306&lt;&gt;"BR",ISNUMBER(M1306),N(M1306)&gt;0),IF(A1306="BL","Livré plus que commandé","Sorti plus que demandé"),"OK"))))))))))))</f>
        <v/>
      </c>
      <c r="Y1306" s="57" t="str">
        <f>IF(AND(OR(A1306="BL",A1306="BR",A1306="BS"),AG1306&gt;0,D1306&lt;&gt;""),A1306&amp;"|"&amp;AG1306&amp;"|"&amp;D1306&amp;"|"&amp;F1306,"")</f>
        <v/>
      </c>
      <c r="Z1306" s="57" t="str">
        <f>IF(Y1306="","",IF(COUNTIF(Y$6:Y1305,Y1306)=0,1,0))</f>
        <v/>
      </c>
      <c r="AA1306" s="57" t="str">
        <f>IF(Y1306="","",IF(Z1306=1,COUNTIFS(A$6:A1306,A1306,Z$6:Z1306,1),INDEX(AA$6:AA1305,MATCH(Y1306,Y$6:Y1305,0))))</f>
        <v/>
      </c>
      <c r="AB1306" s="57" t="str">
        <f>IF(B1306="","",COUNTIF(B$6:B1306,B1306))</f>
        <v/>
      </c>
      <c r="AC1306" s="57" t="str">
        <f>IF(B1306="","",B1306&amp;"#"&amp;AB1306)</f>
        <v/>
      </c>
      <c r="AD1306" s="57" t="str">
        <f>IF(Z1306=1,A1306&amp;AA1306,"")</f>
        <v/>
      </c>
      <c r="AE1306" s="57" t="str">
        <f>IF(B1306="","",YEAR(C1306))</f>
        <v/>
      </c>
      <c r="AF1306" s="57" t="str">
        <f>IF(B1306="","",MONTH(C1306))</f>
        <v/>
      </c>
      <c r="AG1306" s="57">
        <f>IF(ISNUMBER(C1306),C1306,0)</f>
        <v>0.0</v>
      </c>
      <c r="AH1306" s="57" t="str">
        <f>IF(N(W1306)&gt;0,COUNTIF(W$6:W1306,"&gt;0"),"")</f>
        <v/>
      </c>
      <c r="AI1306" s="57" t="str">
        <f>IF(Z1306=1,COUNTIF(Z$6:Z1306,1),"")</f>
        <v/>
      </c>
    </row>
    <row r="1307">
      <c r="A1307" s="54" t="n"/>
      <c r="B1307" s="55" t="str">
        <f>IF(AA1307="","",A1307&amp;"-"&amp;RIGHT("000"&amp;AA1307,4))</f>
        <v/>
      </c>
      <c r="C1307" s="56" t="n"/>
      <c r="D1307" s="54" t="n"/>
      <c r="E1307" s="57" t="str">
        <f>IF(D1307="","",IF(A1307="BL",IFERROR(INDEX(cl_name,MATCH(D1307,cl_code,0))&amp;"","Client inconnu"),IF(A1307="BR",IFERROR(INDEX(fo_name,MATCH(D1307,fo_code,0))&amp;"","Fournisseur inconnu"),IF(A1307="BS",IF(ISNA(MATCH(D1307,p_services,0)),"Service inconnu",D1307&amp;""),""))))</f>
        <v/>
      </c>
      <c r="F1307" s="58" t="n"/>
      <c r="G1307" s="58" t="n"/>
      <c r="H1307" s="59" t="n"/>
      <c r="I1307" s="57" t="str">
        <f>IF(H1307="","",IFERROR(INDEX(art_des,MATCH(H1307,art_ref,0))&amp;"","Article inconnu"))</f>
        <v/>
      </c>
      <c r="J1307" s="60" t="str">
        <f>IF(H1307="","",IFERROR(INDEX(art_unit,MATCH(H1307,art_ref,0))&amp;"",""))</f>
        <v/>
      </c>
      <c r="K1307" s="59" t="n"/>
      <c r="L1307" s="59" t="n"/>
      <c r="M1307" s="61" t="str">
        <f>IF(OR(B1307="",NOT(ISNUMBER(K1307)),NOT(ISNUMBER(L1307))),"",IF(OR(K1307&lt;=0,L1307&lt;=0),"",ROUND(L1307-K1307,6)))</f>
        <v/>
      </c>
      <c r="N1307" s="58" t="n"/>
      <c r="O1307" s="62" t="n"/>
      <c r="P1307" s="63" t="str">
        <f>IF(OR(B1307="",NOT(ISNUMBER(L1307))),"",IF(L1307&lt;=0,"",IFERROR(ROUND(L1307*N(INDEX(art_w,MATCH(H1307,art_ref,0))),3),"")))</f>
        <v/>
      </c>
      <c r="Q1307" s="59" t="n"/>
      <c r="R1307" s="54" t="n"/>
      <c r="S1307" s="59" t="n"/>
      <c r="T1307" s="59" t="n"/>
      <c r="U1307" s="64" t="str">
        <f>IF(OR(B1307="",H1307=""),"",IFERROR(IF(A1307="BL",IF(N(INDEX(art_price,MATCH(H1307,art_ref,0)))=0,"",N(INDEX(art_price,MATCH(H1307,art_ref,0)))),IF(N(INDEX(art_cost,MATCH(H1307,art_ref,0)))=0,"",N(INDEX(art_cost,MATCH(H1307,art_ref,0))))),""))</f>
        <v/>
      </c>
      <c r="V1307" s="64" t="str">
        <f>IF(OR(U1307="",NOT(ISNUMBER(L1307))),"",IF(L1307&lt;=0,"",ROUND(L1307*U1307,2)))</f>
        <v/>
      </c>
      <c r="W1307" s="60" t="str">
        <f>IF(AND(B1307&lt;&gt;"",A1307&lt;&gt;"BS",F1307&lt;&gt;"",H1307&lt;&gt;"",ISNUMBER(K1307),ISNUMBER(L1307)),IF(AND(K1307&gt;0,L1307&gt;0,K1307-L1307&gt;0,COUNTIFS(A1308:A$2005,A1307,F1308:F$2005,F1307,H1308:H$2005,H1307,AA1308:AA$2005,"&gt;0")=0),ROUND(K1307-L1307,6),""),"")</f>
        <v/>
      </c>
      <c r="X1307" s="60" t="str">
        <f>IF(AND(A1307="",C1307="",D1307="",H1307="",L1307=""),"",IF(A1307="","Type manquant",IF(AND(A1307&lt;&gt;"BL",A1307&lt;&gt;"BR",A1307&lt;&gt;"BS"),"Type inconnu (BL, BR ou BS)",IF(AG1307=0,"Date manquante ou invalide",IF(D1307="",IF(A1307="BL","Client manquant",IF(A1307="BR","Fournisseur manquant","Service manquant")),IF(IF(A1307="BL",ISNA(MATCH(D1307,cl_code,0)),IF(A1307="BR",ISNA(MATCH(D1307,fo_code,0)),ISNA(MATCH(D1307,p_services,0)))),IF(A1307="BL","Client inconnu",IF(A1307="BR","Fournisseur inconnu","Service inconnu")),IF(H1307="","Article manquant",IF(ISNA(MATCH(H1307,art_ref,0)),"Article inconnu",IF(OR(NOT(ISNUMBER(L1307)),N(L1307)&lt;=0),"Quantité invalide",IF(AND(K1307&lt;&gt;"",OR(NOT(ISNUMBER(K1307)),N(K1307)&lt;=0)),"Qté commandée invalide",IF(AG1307&lt;SUMPRODUCT(MAX((A$6:A1306=A1307)*AG$6:AG1306)),"Date antérieure au bon précédent",IF(AND(A1307&lt;&gt;"BR",ISNUMBER(M1307),N(M1307)&gt;0),IF(A1307="BL","Livré plus que commandé","Sorti plus que demandé"),"OK"))))))))))))</f>
        <v/>
      </c>
      <c r="Y1307" s="57" t="str">
        <f>IF(AND(OR(A1307="BL",A1307="BR",A1307="BS"),AG1307&gt;0,D1307&lt;&gt;""),A1307&amp;"|"&amp;AG1307&amp;"|"&amp;D1307&amp;"|"&amp;F1307,"")</f>
        <v/>
      </c>
      <c r="Z1307" s="57" t="str">
        <f>IF(Y1307="","",IF(COUNTIF(Y$6:Y1306,Y1307)=0,1,0))</f>
        <v/>
      </c>
      <c r="AA1307" s="57" t="str">
        <f>IF(Y1307="","",IF(Z1307=1,COUNTIFS(A$6:A1307,A1307,Z$6:Z1307,1),INDEX(AA$6:AA1306,MATCH(Y1307,Y$6:Y1306,0))))</f>
        <v/>
      </c>
      <c r="AB1307" s="57" t="str">
        <f>IF(B1307="","",COUNTIF(B$6:B1307,B1307))</f>
        <v/>
      </c>
      <c r="AC1307" s="57" t="str">
        <f>IF(B1307="","",B1307&amp;"#"&amp;AB1307)</f>
        <v/>
      </c>
      <c r="AD1307" s="57" t="str">
        <f>IF(Z1307=1,A1307&amp;AA1307,"")</f>
        <v/>
      </c>
      <c r="AE1307" s="57" t="str">
        <f>IF(B1307="","",YEAR(C1307))</f>
        <v/>
      </c>
      <c r="AF1307" s="57" t="str">
        <f>IF(B1307="","",MONTH(C1307))</f>
        <v/>
      </c>
      <c r="AG1307" s="57">
        <f>IF(ISNUMBER(C1307),C1307,0)</f>
        <v>0.0</v>
      </c>
      <c r="AH1307" s="57" t="str">
        <f>IF(N(W1307)&gt;0,COUNTIF(W$6:W1307,"&gt;0"),"")</f>
        <v/>
      </c>
      <c r="AI1307" s="57" t="str">
        <f>IF(Z1307=1,COUNTIF(Z$6:Z1307,1),"")</f>
        <v/>
      </c>
    </row>
    <row r="1308">
      <c r="A1308" s="54" t="n"/>
      <c r="B1308" s="55" t="str">
        <f>IF(AA1308="","",A1308&amp;"-"&amp;RIGHT("000"&amp;AA1308,4))</f>
        <v/>
      </c>
      <c r="C1308" s="56" t="n"/>
      <c r="D1308" s="54" t="n"/>
      <c r="E1308" s="57" t="str">
        <f>IF(D1308="","",IF(A1308="BL",IFERROR(INDEX(cl_name,MATCH(D1308,cl_code,0))&amp;"","Client inconnu"),IF(A1308="BR",IFERROR(INDEX(fo_name,MATCH(D1308,fo_code,0))&amp;"","Fournisseur inconnu"),IF(A1308="BS",IF(ISNA(MATCH(D1308,p_services,0)),"Service inconnu",D1308&amp;""),""))))</f>
        <v/>
      </c>
      <c r="F1308" s="58" t="n"/>
      <c r="G1308" s="58" t="n"/>
      <c r="H1308" s="59" t="n"/>
      <c r="I1308" s="57" t="str">
        <f>IF(H1308="","",IFERROR(INDEX(art_des,MATCH(H1308,art_ref,0))&amp;"","Article inconnu"))</f>
        <v/>
      </c>
      <c r="J1308" s="60" t="str">
        <f>IF(H1308="","",IFERROR(INDEX(art_unit,MATCH(H1308,art_ref,0))&amp;"",""))</f>
        <v/>
      </c>
      <c r="K1308" s="59" t="n"/>
      <c r="L1308" s="59" t="n"/>
      <c r="M1308" s="61" t="str">
        <f>IF(OR(B1308="",NOT(ISNUMBER(K1308)),NOT(ISNUMBER(L1308))),"",IF(OR(K1308&lt;=0,L1308&lt;=0),"",ROUND(L1308-K1308,6)))</f>
        <v/>
      </c>
      <c r="N1308" s="58" t="n"/>
      <c r="O1308" s="62" t="n"/>
      <c r="P1308" s="63" t="str">
        <f>IF(OR(B1308="",NOT(ISNUMBER(L1308))),"",IF(L1308&lt;=0,"",IFERROR(ROUND(L1308*N(INDEX(art_w,MATCH(H1308,art_ref,0))),3),"")))</f>
        <v/>
      </c>
      <c r="Q1308" s="59" t="n"/>
      <c r="R1308" s="54" t="n"/>
      <c r="S1308" s="59" t="n"/>
      <c r="T1308" s="59" t="n"/>
      <c r="U1308" s="64" t="str">
        <f>IF(OR(B1308="",H1308=""),"",IFERROR(IF(A1308="BL",IF(N(INDEX(art_price,MATCH(H1308,art_ref,0)))=0,"",N(INDEX(art_price,MATCH(H1308,art_ref,0)))),IF(N(INDEX(art_cost,MATCH(H1308,art_ref,0)))=0,"",N(INDEX(art_cost,MATCH(H1308,art_ref,0))))),""))</f>
        <v/>
      </c>
      <c r="V1308" s="64" t="str">
        <f>IF(OR(U1308="",NOT(ISNUMBER(L1308))),"",IF(L1308&lt;=0,"",ROUND(L1308*U1308,2)))</f>
        <v/>
      </c>
      <c r="W1308" s="60" t="str">
        <f>IF(AND(B1308&lt;&gt;"",A1308&lt;&gt;"BS",F1308&lt;&gt;"",H1308&lt;&gt;"",ISNUMBER(K1308),ISNUMBER(L1308)),IF(AND(K1308&gt;0,L1308&gt;0,K1308-L1308&gt;0,COUNTIFS(A1309:A$2005,A1308,F1309:F$2005,F1308,H1309:H$2005,H1308,AA1309:AA$2005,"&gt;0")=0),ROUND(K1308-L1308,6),""),"")</f>
        <v/>
      </c>
      <c r="X1308" s="60" t="str">
        <f>IF(AND(A1308="",C1308="",D1308="",H1308="",L1308=""),"",IF(A1308="","Type manquant",IF(AND(A1308&lt;&gt;"BL",A1308&lt;&gt;"BR",A1308&lt;&gt;"BS"),"Type inconnu (BL, BR ou BS)",IF(AG1308=0,"Date manquante ou invalide",IF(D1308="",IF(A1308="BL","Client manquant",IF(A1308="BR","Fournisseur manquant","Service manquant")),IF(IF(A1308="BL",ISNA(MATCH(D1308,cl_code,0)),IF(A1308="BR",ISNA(MATCH(D1308,fo_code,0)),ISNA(MATCH(D1308,p_services,0)))),IF(A1308="BL","Client inconnu",IF(A1308="BR","Fournisseur inconnu","Service inconnu")),IF(H1308="","Article manquant",IF(ISNA(MATCH(H1308,art_ref,0)),"Article inconnu",IF(OR(NOT(ISNUMBER(L1308)),N(L1308)&lt;=0),"Quantité invalide",IF(AND(K1308&lt;&gt;"",OR(NOT(ISNUMBER(K1308)),N(K1308)&lt;=0)),"Qté commandée invalide",IF(AG1308&lt;SUMPRODUCT(MAX((A$6:A1307=A1308)*AG$6:AG1307)),"Date antérieure au bon précédent",IF(AND(A1308&lt;&gt;"BR",ISNUMBER(M1308),N(M1308)&gt;0),IF(A1308="BL","Livré plus que commandé","Sorti plus que demandé"),"OK"))))))))))))</f>
        <v/>
      </c>
      <c r="Y1308" s="57" t="str">
        <f>IF(AND(OR(A1308="BL",A1308="BR",A1308="BS"),AG1308&gt;0,D1308&lt;&gt;""),A1308&amp;"|"&amp;AG1308&amp;"|"&amp;D1308&amp;"|"&amp;F1308,"")</f>
        <v/>
      </c>
      <c r="Z1308" s="57" t="str">
        <f>IF(Y1308="","",IF(COUNTIF(Y$6:Y1307,Y1308)=0,1,0))</f>
        <v/>
      </c>
      <c r="AA1308" s="57" t="str">
        <f>IF(Y1308="","",IF(Z1308=1,COUNTIFS(A$6:A1308,A1308,Z$6:Z1308,1),INDEX(AA$6:AA1307,MATCH(Y1308,Y$6:Y1307,0))))</f>
        <v/>
      </c>
      <c r="AB1308" s="57" t="str">
        <f>IF(B1308="","",COUNTIF(B$6:B1308,B1308))</f>
        <v/>
      </c>
      <c r="AC1308" s="57" t="str">
        <f>IF(B1308="","",B1308&amp;"#"&amp;AB1308)</f>
        <v/>
      </c>
      <c r="AD1308" s="57" t="str">
        <f>IF(Z1308=1,A1308&amp;AA1308,"")</f>
        <v/>
      </c>
      <c r="AE1308" s="57" t="str">
        <f>IF(B1308="","",YEAR(C1308))</f>
        <v/>
      </c>
      <c r="AF1308" s="57" t="str">
        <f>IF(B1308="","",MONTH(C1308))</f>
        <v/>
      </c>
      <c r="AG1308" s="57">
        <f>IF(ISNUMBER(C1308),C1308,0)</f>
        <v>0.0</v>
      </c>
      <c r="AH1308" s="57" t="str">
        <f>IF(N(W1308)&gt;0,COUNTIF(W$6:W1308,"&gt;0"),"")</f>
        <v/>
      </c>
      <c r="AI1308" s="57" t="str">
        <f>IF(Z1308=1,COUNTIF(Z$6:Z1308,1),"")</f>
        <v/>
      </c>
    </row>
    <row r="1309">
      <c r="A1309" s="54" t="n"/>
      <c r="B1309" s="55" t="str">
        <f>IF(AA1309="","",A1309&amp;"-"&amp;RIGHT("000"&amp;AA1309,4))</f>
        <v/>
      </c>
      <c r="C1309" s="56" t="n"/>
      <c r="D1309" s="54" t="n"/>
      <c r="E1309" s="57" t="str">
        <f>IF(D1309="","",IF(A1309="BL",IFERROR(INDEX(cl_name,MATCH(D1309,cl_code,0))&amp;"","Client inconnu"),IF(A1309="BR",IFERROR(INDEX(fo_name,MATCH(D1309,fo_code,0))&amp;"","Fournisseur inconnu"),IF(A1309="BS",IF(ISNA(MATCH(D1309,p_services,0)),"Service inconnu",D1309&amp;""),""))))</f>
        <v/>
      </c>
      <c r="F1309" s="58" t="n"/>
      <c r="G1309" s="58" t="n"/>
      <c r="H1309" s="59" t="n"/>
      <c r="I1309" s="57" t="str">
        <f>IF(H1309="","",IFERROR(INDEX(art_des,MATCH(H1309,art_ref,0))&amp;"","Article inconnu"))</f>
        <v/>
      </c>
      <c r="J1309" s="60" t="str">
        <f>IF(H1309="","",IFERROR(INDEX(art_unit,MATCH(H1309,art_ref,0))&amp;"",""))</f>
        <v/>
      </c>
      <c r="K1309" s="59" t="n"/>
      <c r="L1309" s="59" t="n"/>
      <c r="M1309" s="61" t="str">
        <f>IF(OR(B1309="",NOT(ISNUMBER(K1309)),NOT(ISNUMBER(L1309))),"",IF(OR(K1309&lt;=0,L1309&lt;=0),"",ROUND(L1309-K1309,6)))</f>
        <v/>
      </c>
      <c r="N1309" s="58" t="n"/>
      <c r="O1309" s="62" t="n"/>
      <c r="P1309" s="63" t="str">
        <f>IF(OR(B1309="",NOT(ISNUMBER(L1309))),"",IF(L1309&lt;=0,"",IFERROR(ROUND(L1309*N(INDEX(art_w,MATCH(H1309,art_ref,0))),3),"")))</f>
        <v/>
      </c>
      <c r="Q1309" s="59" t="n"/>
      <c r="R1309" s="54" t="n"/>
      <c r="S1309" s="59" t="n"/>
      <c r="T1309" s="59" t="n"/>
      <c r="U1309" s="64" t="str">
        <f>IF(OR(B1309="",H1309=""),"",IFERROR(IF(A1309="BL",IF(N(INDEX(art_price,MATCH(H1309,art_ref,0)))=0,"",N(INDEX(art_price,MATCH(H1309,art_ref,0)))),IF(N(INDEX(art_cost,MATCH(H1309,art_ref,0)))=0,"",N(INDEX(art_cost,MATCH(H1309,art_ref,0))))),""))</f>
        <v/>
      </c>
      <c r="V1309" s="64" t="str">
        <f>IF(OR(U1309="",NOT(ISNUMBER(L1309))),"",IF(L1309&lt;=0,"",ROUND(L1309*U1309,2)))</f>
        <v/>
      </c>
      <c r="W1309" s="60" t="str">
        <f>IF(AND(B1309&lt;&gt;"",A1309&lt;&gt;"BS",F1309&lt;&gt;"",H1309&lt;&gt;"",ISNUMBER(K1309),ISNUMBER(L1309)),IF(AND(K1309&gt;0,L1309&gt;0,K1309-L1309&gt;0,COUNTIFS(A1310:A$2005,A1309,F1310:F$2005,F1309,H1310:H$2005,H1309,AA1310:AA$2005,"&gt;0")=0),ROUND(K1309-L1309,6),""),"")</f>
        <v/>
      </c>
      <c r="X1309" s="60" t="str">
        <f>IF(AND(A1309="",C1309="",D1309="",H1309="",L1309=""),"",IF(A1309="","Type manquant",IF(AND(A1309&lt;&gt;"BL",A1309&lt;&gt;"BR",A1309&lt;&gt;"BS"),"Type inconnu (BL, BR ou BS)",IF(AG1309=0,"Date manquante ou invalide",IF(D1309="",IF(A1309="BL","Client manquant",IF(A1309="BR","Fournisseur manquant","Service manquant")),IF(IF(A1309="BL",ISNA(MATCH(D1309,cl_code,0)),IF(A1309="BR",ISNA(MATCH(D1309,fo_code,0)),ISNA(MATCH(D1309,p_services,0)))),IF(A1309="BL","Client inconnu",IF(A1309="BR","Fournisseur inconnu","Service inconnu")),IF(H1309="","Article manquant",IF(ISNA(MATCH(H1309,art_ref,0)),"Article inconnu",IF(OR(NOT(ISNUMBER(L1309)),N(L1309)&lt;=0),"Quantité invalide",IF(AND(K1309&lt;&gt;"",OR(NOT(ISNUMBER(K1309)),N(K1309)&lt;=0)),"Qté commandée invalide",IF(AG1309&lt;SUMPRODUCT(MAX((A$6:A1308=A1309)*AG$6:AG1308)),"Date antérieure au bon précédent",IF(AND(A1309&lt;&gt;"BR",ISNUMBER(M1309),N(M1309)&gt;0),IF(A1309="BL","Livré plus que commandé","Sorti plus que demandé"),"OK"))))))))))))</f>
        <v/>
      </c>
      <c r="Y1309" s="57" t="str">
        <f>IF(AND(OR(A1309="BL",A1309="BR",A1309="BS"),AG1309&gt;0,D1309&lt;&gt;""),A1309&amp;"|"&amp;AG1309&amp;"|"&amp;D1309&amp;"|"&amp;F1309,"")</f>
        <v/>
      </c>
      <c r="Z1309" s="57" t="str">
        <f>IF(Y1309="","",IF(COUNTIF(Y$6:Y1308,Y1309)=0,1,0))</f>
        <v/>
      </c>
      <c r="AA1309" s="57" t="str">
        <f>IF(Y1309="","",IF(Z1309=1,COUNTIFS(A$6:A1309,A1309,Z$6:Z1309,1),INDEX(AA$6:AA1308,MATCH(Y1309,Y$6:Y1308,0))))</f>
        <v/>
      </c>
      <c r="AB1309" s="57" t="str">
        <f>IF(B1309="","",COUNTIF(B$6:B1309,B1309))</f>
        <v/>
      </c>
      <c r="AC1309" s="57" t="str">
        <f>IF(B1309="","",B1309&amp;"#"&amp;AB1309)</f>
        <v/>
      </c>
      <c r="AD1309" s="57" t="str">
        <f>IF(Z1309=1,A1309&amp;AA1309,"")</f>
        <v/>
      </c>
      <c r="AE1309" s="57" t="str">
        <f>IF(B1309="","",YEAR(C1309))</f>
        <v/>
      </c>
      <c r="AF1309" s="57" t="str">
        <f>IF(B1309="","",MONTH(C1309))</f>
        <v/>
      </c>
      <c r="AG1309" s="57">
        <f>IF(ISNUMBER(C1309),C1309,0)</f>
        <v>0.0</v>
      </c>
      <c r="AH1309" s="57" t="str">
        <f>IF(N(W1309)&gt;0,COUNTIF(W$6:W1309,"&gt;0"),"")</f>
        <v/>
      </c>
      <c r="AI1309" s="57" t="str">
        <f>IF(Z1309=1,COUNTIF(Z$6:Z1309,1),"")</f>
        <v/>
      </c>
    </row>
    <row r="1310">
      <c r="A1310" s="54" t="n"/>
      <c r="B1310" s="55" t="str">
        <f>IF(AA1310="","",A1310&amp;"-"&amp;RIGHT("000"&amp;AA1310,4))</f>
        <v/>
      </c>
      <c r="C1310" s="56" t="n"/>
      <c r="D1310" s="54" t="n"/>
      <c r="E1310" s="57" t="str">
        <f>IF(D1310="","",IF(A1310="BL",IFERROR(INDEX(cl_name,MATCH(D1310,cl_code,0))&amp;"","Client inconnu"),IF(A1310="BR",IFERROR(INDEX(fo_name,MATCH(D1310,fo_code,0))&amp;"","Fournisseur inconnu"),IF(A1310="BS",IF(ISNA(MATCH(D1310,p_services,0)),"Service inconnu",D1310&amp;""),""))))</f>
        <v/>
      </c>
      <c r="F1310" s="58" t="n"/>
      <c r="G1310" s="58" t="n"/>
      <c r="H1310" s="59" t="n"/>
      <c r="I1310" s="57" t="str">
        <f>IF(H1310="","",IFERROR(INDEX(art_des,MATCH(H1310,art_ref,0))&amp;"","Article inconnu"))</f>
        <v/>
      </c>
      <c r="J1310" s="60" t="str">
        <f>IF(H1310="","",IFERROR(INDEX(art_unit,MATCH(H1310,art_ref,0))&amp;"",""))</f>
        <v/>
      </c>
      <c r="K1310" s="59" t="n"/>
      <c r="L1310" s="59" t="n"/>
      <c r="M1310" s="61" t="str">
        <f>IF(OR(B1310="",NOT(ISNUMBER(K1310)),NOT(ISNUMBER(L1310))),"",IF(OR(K1310&lt;=0,L1310&lt;=0),"",ROUND(L1310-K1310,6)))</f>
        <v/>
      </c>
      <c r="N1310" s="58" t="n"/>
      <c r="O1310" s="62" t="n"/>
      <c r="P1310" s="63" t="str">
        <f>IF(OR(B1310="",NOT(ISNUMBER(L1310))),"",IF(L1310&lt;=0,"",IFERROR(ROUND(L1310*N(INDEX(art_w,MATCH(H1310,art_ref,0))),3),"")))</f>
        <v/>
      </c>
      <c r="Q1310" s="59" t="n"/>
      <c r="R1310" s="54" t="n"/>
      <c r="S1310" s="59" t="n"/>
      <c r="T1310" s="59" t="n"/>
      <c r="U1310" s="64" t="str">
        <f>IF(OR(B1310="",H1310=""),"",IFERROR(IF(A1310="BL",IF(N(INDEX(art_price,MATCH(H1310,art_ref,0)))=0,"",N(INDEX(art_price,MATCH(H1310,art_ref,0)))),IF(N(INDEX(art_cost,MATCH(H1310,art_ref,0)))=0,"",N(INDEX(art_cost,MATCH(H1310,art_ref,0))))),""))</f>
        <v/>
      </c>
      <c r="V1310" s="64" t="str">
        <f>IF(OR(U1310="",NOT(ISNUMBER(L1310))),"",IF(L1310&lt;=0,"",ROUND(L1310*U1310,2)))</f>
        <v/>
      </c>
      <c r="W1310" s="60" t="str">
        <f>IF(AND(B1310&lt;&gt;"",A1310&lt;&gt;"BS",F1310&lt;&gt;"",H1310&lt;&gt;"",ISNUMBER(K1310),ISNUMBER(L1310)),IF(AND(K1310&gt;0,L1310&gt;0,K1310-L1310&gt;0,COUNTIFS(A1311:A$2005,A1310,F1311:F$2005,F1310,H1311:H$2005,H1310,AA1311:AA$2005,"&gt;0")=0),ROUND(K1310-L1310,6),""),"")</f>
        <v/>
      </c>
      <c r="X1310" s="60" t="str">
        <f>IF(AND(A1310="",C1310="",D1310="",H1310="",L1310=""),"",IF(A1310="","Type manquant",IF(AND(A1310&lt;&gt;"BL",A1310&lt;&gt;"BR",A1310&lt;&gt;"BS"),"Type inconnu (BL, BR ou BS)",IF(AG1310=0,"Date manquante ou invalide",IF(D1310="",IF(A1310="BL","Client manquant",IF(A1310="BR","Fournisseur manquant","Service manquant")),IF(IF(A1310="BL",ISNA(MATCH(D1310,cl_code,0)),IF(A1310="BR",ISNA(MATCH(D1310,fo_code,0)),ISNA(MATCH(D1310,p_services,0)))),IF(A1310="BL","Client inconnu",IF(A1310="BR","Fournisseur inconnu","Service inconnu")),IF(H1310="","Article manquant",IF(ISNA(MATCH(H1310,art_ref,0)),"Article inconnu",IF(OR(NOT(ISNUMBER(L1310)),N(L1310)&lt;=0),"Quantité invalide",IF(AND(K1310&lt;&gt;"",OR(NOT(ISNUMBER(K1310)),N(K1310)&lt;=0)),"Qté commandée invalide",IF(AG1310&lt;SUMPRODUCT(MAX((A$6:A1309=A1310)*AG$6:AG1309)),"Date antérieure au bon précédent",IF(AND(A1310&lt;&gt;"BR",ISNUMBER(M1310),N(M1310)&gt;0),IF(A1310="BL","Livré plus que commandé","Sorti plus que demandé"),"OK"))))))))))))</f>
        <v/>
      </c>
      <c r="Y1310" s="57" t="str">
        <f>IF(AND(OR(A1310="BL",A1310="BR",A1310="BS"),AG1310&gt;0,D1310&lt;&gt;""),A1310&amp;"|"&amp;AG1310&amp;"|"&amp;D1310&amp;"|"&amp;F1310,"")</f>
        <v/>
      </c>
      <c r="Z1310" s="57" t="str">
        <f>IF(Y1310="","",IF(COUNTIF(Y$6:Y1309,Y1310)=0,1,0))</f>
        <v/>
      </c>
      <c r="AA1310" s="57" t="str">
        <f>IF(Y1310="","",IF(Z1310=1,COUNTIFS(A$6:A1310,A1310,Z$6:Z1310,1),INDEX(AA$6:AA1309,MATCH(Y1310,Y$6:Y1309,0))))</f>
        <v/>
      </c>
      <c r="AB1310" s="57" t="str">
        <f>IF(B1310="","",COUNTIF(B$6:B1310,B1310))</f>
        <v/>
      </c>
      <c r="AC1310" s="57" t="str">
        <f>IF(B1310="","",B1310&amp;"#"&amp;AB1310)</f>
        <v/>
      </c>
      <c r="AD1310" s="57" t="str">
        <f>IF(Z1310=1,A1310&amp;AA1310,"")</f>
        <v/>
      </c>
      <c r="AE1310" s="57" t="str">
        <f>IF(B1310="","",YEAR(C1310))</f>
        <v/>
      </c>
      <c r="AF1310" s="57" t="str">
        <f>IF(B1310="","",MONTH(C1310))</f>
        <v/>
      </c>
      <c r="AG1310" s="57">
        <f>IF(ISNUMBER(C1310),C1310,0)</f>
        <v>0.0</v>
      </c>
      <c r="AH1310" s="57" t="str">
        <f>IF(N(W1310)&gt;0,COUNTIF(W$6:W1310,"&gt;0"),"")</f>
        <v/>
      </c>
      <c r="AI1310" s="57" t="str">
        <f>IF(Z1310=1,COUNTIF(Z$6:Z1310,1),"")</f>
        <v/>
      </c>
    </row>
    <row r="1311">
      <c r="A1311" s="54" t="n"/>
      <c r="B1311" s="55" t="str">
        <f>IF(AA1311="","",A1311&amp;"-"&amp;RIGHT("000"&amp;AA1311,4))</f>
        <v/>
      </c>
      <c r="C1311" s="56" t="n"/>
      <c r="D1311" s="54" t="n"/>
      <c r="E1311" s="57" t="str">
        <f>IF(D1311="","",IF(A1311="BL",IFERROR(INDEX(cl_name,MATCH(D1311,cl_code,0))&amp;"","Client inconnu"),IF(A1311="BR",IFERROR(INDEX(fo_name,MATCH(D1311,fo_code,0))&amp;"","Fournisseur inconnu"),IF(A1311="BS",IF(ISNA(MATCH(D1311,p_services,0)),"Service inconnu",D1311&amp;""),""))))</f>
        <v/>
      </c>
      <c r="F1311" s="58" t="n"/>
      <c r="G1311" s="58" t="n"/>
      <c r="H1311" s="59" t="n"/>
      <c r="I1311" s="57" t="str">
        <f>IF(H1311="","",IFERROR(INDEX(art_des,MATCH(H1311,art_ref,0))&amp;"","Article inconnu"))</f>
        <v/>
      </c>
      <c r="J1311" s="60" t="str">
        <f>IF(H1311="","",IFERROR(INDEX(art_unit,MATCH(H1311,art_ref,0))&amp;"",""))</f>
        <v/>
      </c>
      <c r="K1311" s="59" t="n"/>
      <c r="L1311" s="59" t="n"/>
      <c r="M1311" s="61" t="str">
        <f>IF(OR(B1311="",NOT(ISNUMBER(K1311)),NOT(ISNUMBER(L1311))),"",IF(OR(K1311&lt;=0,L1311&lt;=0),"",ROUND(L1311-K1311,6)))</f>
        <v/>
      </c>
      <c r="N1311" s="58" t="n"/>
      <c r="O1311" s="62" t="n"/>
      <c r="P1311" s="63" t="str">
        <f>IF(OR(B1311="",NOT(ISNUMBER(L1311))),"",IF(L1311&lt;=0,"",IFERROR(ROUND(L1311*N(INDEX(art_w,MATCH(H1311,art_ref,0))),3),"")))</f>
        <v/>
      </c>
      <c r="Q1311" s="59" t="n"/>
      <c r="R1311" s="54" t="n"/>
      <c r="S1311" s="59" t="n"/>
      <c r="T1311" s="59" t="n"/>
      <c r="U1311" s="64" t="str">
        <f>IF(OR(B1311="",H1311=""),"",IFERROR(IF(A1311="BL",IF(N(INDEX(art_price,MATCH(H1311,art_ref,0)))=0,"",N(INDEX(art_price,MATCH(H1311,art_ref,0)))),IF(N(INDEX(art_cost,MATCH(H1311,art_ref,0)))=0,"",N(INDEX(art_cost,MATCH(H1311,art_ref,0))))),""))</f>
        <v/>
      </c>
      <c r="V1311" s="64" t="str">
        <f>IF(OR(U1311="",NOT(ISNUMBER(L1311))),"",IF(L1311&lt;=0,"",ROUND(L1311*U1311,2)))</f>
        <v/>
      </c>
      <c r="W1311" s="60" t="str">
        <f>IF(AND(B1311&lt;&gt;"",A1311&lt;&gt;"BS",F1311&lt;&gt;"",H1311&lt;&gt;"",ISNUMBER(K1311),ISNUMBER(L1311)),IF(AND(K1311&gt;0,L1311&gt;0,K1311-L1311&gt;0,COUNTIFS(A1312:A$2005,A1311,F1312:F$2005,F1311,H1312:H$2005,H1311,AA1312:AA$2005,"&gt;0")=0),ROUND(K1311-L1311,6),""),"")</f>
        <v/>
      </c>
      <c r="X1311" s="60" t="str">
        <f>IF(AND(A1311="",C1311="",D1311="",H1311="",L1311=""),"",IF(A1311="","Type manquant",IF(AND(A1311&lt;&gt;"BL",A1311&lt;&gt;"BR",A1311&lt;&gt;"BS"),"Type inconnu (BL, BR ou BS)",IF(AG1311=0,"Date manquante ou invalide",IF(D1311="",IF(A1311="BL","Client manquant",IF(A1311="BR","Fournisseur manquant","Service manquant")),IF(IF(A1311="BL",ISNA(MATCH(D1311,cl_code,0)),IF(A1311="BR",ISNA(MATCH(D1311,fo_code,0)),ISNA(MATCH(D1311,p_services,0)))),IF(A1311="BL","Client inconnu",IF(A1311="BR","Fournisseur inconnu","Service inconnu")),IF(H1311="","Article manquant",IF(ISNA(MATCH(H1311,art_ref,0)),"Article inconnu",IF(OR(NOT(ISNUMBER(L1311)),N(L1311)&lt;=0),"Quantité invalide",IF(AND(K1311&lt;&gt;"",OR(NOT(ISNUMBER(K1311)),N(K1311)&lt;=0)),"Qté commandée invalide",IF(AG1311&lt;SUMPRODUCT(MAX((A$6:A1310=A1311)*AG$6:AG1310)),"Date antérieure au bon précédent",IF(AND(A1311&lt;&gt;"BR",ISNUMBER(M1311),N(M1311)&gt;0),IF(A1311="BL","Livré plus que commandé","Sorti plus que demandé"),"OK"))))))))))))</f>
        <v/>
      </c>
      <c r="Y1311" s="57" t="str">
        <f>IF(AND(OR(A1311="BL",A1311="BR",A1311="BS"),AG1311&gt;0,D1311&lt;&gt;""),A1311&amp;"|"&amp;AG1311&amp;"|"&amp;D1311&amp;"|"&amp;F1311,"")</f>
        <v/>
      </c>
      <c r="Z1311" s="57" t="str">
        <f>IF(Y1311="","",IF(COUNTIF(Y$6:Y1310,Y1311)=0,1,0))</f>
        <v/>
      </c>
      <c r="AA1311" s="57" t="str">
        <f>IF(Y1311="","",IF(Z1311=1,COUNTIFS(A$6:A1311,A1311,Z$6:Z1311,1),INDEX(AA$6:AA1310,MATCH(Y1311,Y$6:Y1310,0))))</f>
        <v/>
      </c>
      <c r="AB1311" s="57" t="str">
        <f>IF(B1311="","",COUNTIF(B$6:B1311,B1311))</f>
        <v/>
      </c>
      <c r="AC1311" s="57" t="str">
        <f>IF(B1311="","",B1311&amp;"#"&amp;AB1311)</f>
        <v/>
      </c>
      <c r="AD1311" s="57" t="str">
        <f>IF(Z1311=1,A1311&amp;AA1311,"")</f>
        <v/>
      </c>
      <c r="AE1311" s="57" t="str">
        <f>IF(B1311="","",YEAR(C1311))</f>
        <v/>
      </c>
      <c r="AF1311" s="57" t="str">
        <f>IF(B1311="","",MONTH(C1311))</f>
        <v/>
      </c>
      <c r="AG1311" s="57">
        <f>IF(ISNUMBER(C1311),C1311,0)</f>
        <v>0.0</v>
      </c>
      <c r="AH1311" s="57" t="str">
        <f>IF(N(W1311)&gt;0,COUNTIF(W$6:W1311,"&gt;0"),"")</f>
        <v/>
      </c>
      <c r="AI1311" s="57" t="str">
        <f>IF(Z1311=1,COUNTIF(Z$6:Z1311,1),"")</f>
        <v/>
      </c>
    </row>
    <row r="1312">
      <c r="A1312" s="54" t="n"/>
      <c r="B1312" s="55" t="str">
        <f>IF(AA1312="","",A1312&amp;"-"&amp;RIGHT("000"&amp;AA1312,4))</f>
        <v/>
      </c>
      <c r="C1312" s="56" t="n"/>
      <c r="D1312" s="54" t="n"/>
      <c r="E1312" s="57" t="str">
        <f>IF(D1312="","",IF(A1312="BL",IFERROR(INDEX(cl_name,MATCH(D1312,cl_code,0))&amp;"","Client inconnu"),IF(A1312="BR",IFERROR(INDEX(fo_name,MATCH(D1312,fo_code,0))&amp;"","Fournisseur inconnu"),IF(A1312="BS",IF(ISNA(MATCH(D1312,p_services,0)),"Service inconnu",D1312&amp;""),""))))</f>
        <v/>
      </c>
      <c r="F1312" s="58" t="n"/>
      <c r="G1312" s="58" t="n"/>
      <c r="H1312" s="59" t="n"/>
      <c r="I1312" s="57" t="str">
        <f>IF(H1312="","",IFERROR(INDEX(art_des,MATCH(H1312,art_ref,0))&amp;"","Article inconnu"))</f>
        <v/>
      </c>
      <c r="J1312" s="60" t="str">
        <f>IF(H1312="","",IFERROR(INDEX(art_unit,MATCH(H1312,art_ref,0))&amp;"",""))</f>
        <v/>
      </c>
      <c r="K1312" s="59" t="n"/>
      <c r="L1312" s="59" t="n"/>
      <c r="M1312" s="61" t="str">
        <f>IF(OR(B1312="",NOT(ISNUMBER(K1312)),NOT(ISNUMBER(L1312))),"",IF(OR(K1312&lt;=0,L1312&lt;=0),"",ROUND(L1312-K1312,6)))</f>
        <v/>
      </c>
      <c r="N1312" s="58" t="n"/>
      <c r="O1312" s="62" t="n"/>
      <c r="P1312" s="63" t="str">
        <f>IF(OR(B1312="",NOT(ISNUMBER(L1312))),"",IF(L1312&lt;=0,"",IFERROR(ROUND(L1312*N(INDEX(art_w,MATCH(H1312,art_ref,0))),3),"")))</f>
        <v/>
      </c>
      <c r="Q1312" s="59" t="n"/>
      <c r="R1312" s="54" t="n"/>
      <c r="S1312" s="59" t="n"/>
      <c r="T1312" s="59" t="n"/>
      <c r="U1312" s="64" t="str">
        <f>IF(OR(B1312="",H1312=""),"",IFERROR(IF(A1312="BL",IF(N(INDEX(art_price,MATCH(H1312,art_ref,0)))=0,"",N(INDEX(art_price,MATCH(H1312,art_ref,0)))),IF(N(INDEX(art_cost,MATCH(H1312,art_ref,0)))=0,"",N(INDEX(art_cost,MATCH(H1312,art_ref,0))))),""))</f>
        <v/>
      </c>
      <c r="V1312" s="64" t="str">
        <f>IF(OR(U1312="",NOT(ISNUMBER(L1312))),"",IF(L1312&lt;=0,"",ROUND(L1312*U1312,2)))</f>
        <v/>
      </c>
      <c r="W1312" s="60" t="str">
        <f>IF(AND(B1312&lt;&gt;"",A1312&lt;&gt;"BS",F1312&lt;&gt;"",H1312&lt;&gt;"",ISNUMBER(K1312),ISNUMBER(L1312)),IF(AND(K1312&gt;0,L1312&gt;0,K1312-L1312&gt;0,COUNTIFS(A1313:A$2005,A1312,F1313:F$2005,F1312,H1313:H$2005,H1312,AA1313:AA$2005,"&gt;0")=0),ROUND(K1312-L1312,6),""),"")</f>
        <v/>
      </c>
      <c r="X1312" s="60" t="str">
        <f>IF(AND(A1312="",C1312="",D1312="",H1312="",L1312=""),"",IF(A1312="","Type manquant",IF(AND(A1312&lt;&gt;"BL",A1312&lt;&gt;"BR",A1312&lt;&gt;"BS"),"Type inconnu (BL, BR ou BS)",IF(AG1312=0,"Date manquante ou invalide",IF(D1312="",IF(A1312="BL","Client manquant",IF(A1312="BR","Fournisseur manquant","Service manquant")),IF(IF(A1312="BL",ISNA(MATCH(D1312,cl_code,0)),IF(A1312="BR",ISNA(MATCH(D1312,fo_code,0)),ISNA(MATCH(D1312,p_services,0)))),IF(A1312="BL","Client inconnu",IF(A1312="BR","Fournisseur inconnu","Service inconnu")),IF(H1312="","Article manquant",IF(ISNA(MATCH(H1312,art_ref,0)),"Article inconnu",IF(OR(NOT(ISNUMBER(L1312)),N(L1312)&lt;=0),"Quantité invalide",IF(AND(K1312&lt;&gt;"",OR(NOT(ISNUMBER(K1312)),N(K1312)&lt;=0)),"Qté commandée invalide",IF(AG1312&lt;SUMPRODUCT(MAX((A$6:A1311=A1312)*AG$6:AG1311)),"Date antérieure au bon précédent",IF(AND(A1312&lt;&gt;"BR",ISNUMBER(M1312),N(M1312)&gt;0),IF(A1312="BL","Livré plus que commandé","Sorti plus que demandé"),"OK"))))))))))))</f>
        <v/>
      </c>
      <c r="Y1312" s="57" t="str">
        <f>IF(AND(OR(A1312="BL",A1312="BR",A1312="BS"),AG1312&gt;0,D1312&lt;&gt;""),A1312&amp;"|"&amp;AG1312&amp;"|"&amp;D1312&amp;"|"&amp;F1312,"")</f>
        <v/>
      </c>
      <c r="Z1312" s="57" t="str">
        <f>IF(Y1312="","",IF(COUNTIF(Y$6:Y1311,Y1312)=0,1,0))</f>
        <v/>
      </c>
      <c r="AA1312" s="57" t="str">
        <f>IF(Y1312="","",IF(Z1312=1,COUNTIFS(A$6:A1312,A1312,Z$6:Z1312,1),INDEX(AA$6:AA1311,MATCH(Y1312,Y$6:Y1311,0))))</f>
        <v/>
      </c>
      <c r="AB1312" s="57" t="str">
        <f>IF(B1312="","",COUNTIF(B$6:B1312,B1312))</f>
        <v/>
      </c>
      <c r="AC1312" s="57" t="str">
        <f>IF(B1312="","",B1312&amp;"#"&amp;AB1312)</f>
        <v/>
      </c>
      <c r="AD1312" s="57" t="str">
        <f>IF(Z1312=1,A1312&amp;AA1312,"")</f>
        <v/>
      </c>
      <c r="AE1312" s="57" t="str">
        <f>IF(B1312="","",YEAR(C1312))</f>
        <v/>
      </c>
      <c r="AF1312" s="57" t="str">
        <f>IF(B1312="","",MONTH(C1312))</f>
        <v/>
      </c>
      <c r="AG1312" s="57">
        <f>IF(ISNUMBER(C1312),C1312,0)</f>
        <v>0.0</v>
      </c>
      <c r="AH1312" s="57" t="str">
        <f>IF(N(W1312)&gt;0,COUNTIF(W$6:W1312,"&gt;0"),"")</f>
        <v/>
      </c>
      <c r="AI1312" s="57" t="str">
        <f>IF(Z1312=1,COUNTIF(Z$6:Z1312,1),"")</f>
        <v/>
      </c>
    </row>
    <row r="1313">
      <c r="A1313" s="54" t="n"/>
      <c r="B1313" s="55" t="str">
        <f>IF(AA1313="","",A1313&amp;"-"&amp;RIGHT("000"&amp;AA1313,4))</f>
        <v/>
      </c>
      <c r="C1313" s="56" t="n"/>
      <c r="D1313" s="54" t="n"/>
      <c r="E1313" s="57" t="str">
        <f>IF(D1313="","",IF(A1313="BL",IFERROR(INDEX(cl_name,MATCH(D1313,cl_code,0))&amp;"","Client inconnu"),IF(A1313="BR",IFERROR(INDEX(fo_name,MATCH(D1313,fo_code,0))&amp;"","Fournisseur inconnu"),IF(A1313="BS",IF(ISNA(MATCH(D1313,p_services,0)),"Service inconnu",D1313&amp;""),""))))</f>
        <v/>
      </c>
      <c r="F1313" s="58" t="n"/>
      <c r="G1313" s="58" t="n"/>
      <c r="H1313" s="59" t="n"/>
      <c r="I1313" s="57" t="str">
        <f>IF(H1313="","",IFERROR(INDEX(art_des,MATCH(H1313,art_ref,0))&amp;"","Article inconnu"))</f>
        <v/>
      </c>
      <c r="J1313" s="60" t="str">
        <f>IF(H1313="","",IFERROR(INDEX(art_unit,MATCH(H1313,art_ref,0))&amp;"",""))</f>
        <v/>
      </c>
      <c r="K1313" s="59" t="n"/>
      <c r="L1313" s="59" t="n"/>
      <c r="M1313" s="61" t="str">
        <f>IF(OR(B1313="",NOT(ISNUMBER(K1313)),NOT(ISNUMBER(L1313))),"",IF(OR(K1313&lt;=0,L1313&lt;=0),"",ROUND(L1313-K1313,6)))</f>
        <v/>
      </c>
      <c r="N1313" s="58" t="n"/>
      <c r="O1313" s="62" t="n"/>
      <c r="P1313" s="63" t="str">
        <f>IF(OR(B1313="",NOT(ISNUMBER(L1313))),"",IF(L1313&lt;=0,"",IFERROR(ROUND(L1313*N(INDEX(art_w,MATCH(H1313,art_ref,0))),3),"")))</f>
        <v/>
      </c>
      <c r="Q1313" s="59" t="n"/>
      <c r="R1313" s="54" t="n"/>
      <c r="S1313" s="59" t="n"/>
      <c r="T1313" s="59" t="n"/>
      <c r="U1313" s="64" t="str">
        <f>IF(OR(B1313="",H1313=""),"",IFERROR(IF(A1313="BL",IF(N(INDEX(art_price,MATCH(H1313,art_ref,0)))=0,"",N(INDEX(art_price,MATCH(H1313,art_ref,0)))),IF(N(INDEX(art_cost,MATCH(H1313,art_ref,0)))=0,"",N(INDEX(art_cost,MATCH(H1313,art_ref,0))))),""))</f>
        <v/>
      </c>
      <c r="V1313" s="64" t="str">
        <f>IF(OR(U1313="",NOT(ISNUMBER(L1313))),"",IF(L1313&lt;=0,"",ROUND(L1313*U1313,2)))</f>
        <v/>
      </c>
      <c r="W1313" s="60" t="str">
        <f>IF(AND(B1313&lt;&gt;"",A1313&lt;&gt;"BS",F1313&lt;&gt;"",H1313&lt;&gt;"",ISNUMBER(K1313),ISNUMBER(L1313)),IF(AND(K1313&gt;0,L1313&gt;0,K1313-L1313&gt;0,COUNTIFS(A1314:A$2005,A1313,F1314:F$2005,F1313,H1314:H$2005,H1313,AA1314:AA$2005,"&gt;0")=0),ROUND(K1313-L1313,6),""),"")</f>
        <v/>
      </c>
      <c r="X1313" s="60" t="str">
        <f>IF(AND(A1313="",C1313="",D1313="",H1313="",L1313=""),"",IF(A1313="","Type manquant",IF(AND(A1313&lt;&gt;"BL",A1313&lt;&gt;"BR",A1313&lt;&gt;"BS"),"Type inconnu (BL, BR ou BS)",IF(AG1313=0,"Date manquante ou invalide",IF(D1313="",IF(A1313="BL","Client manquant",IF(A1313="BR","Fournisseur manquant","Service manquant")),IF(IF(A1313="BL",ISNA(MATCH(D1313,cl_code,0)),IF(A1313="BR",ISNA(MATCH(D1313,fo_code,0)),ISNA(MATCH(D1313,p_services,0)))),IF(A1313="BL","Client inconnu",IF(A1313="BR","Fournisseur inconnu","Service inconnu")),IF(H1313="","Article manquant",IF(ISNA(MATCH(H1313,art_ref,0)),"Article inconnu",IF(OR(NOT(ISNUMBER(L1313)),N(L1313)&lt;=0),"Quantité invalide",IF(AND(K1313&lt;&gt;"",OR(NOT(ISNUMBER(K1313)),N(K1313)&lt;=0)),"Qté commandée invalide",IF(AG1313&lt;SUMPRODUCT(MAX((A$6:A1312=A1313)*AG$6:AG1312)),"Date antérieure au bon précédent",IF(AND(A1313&lt;&gt;"BR",ISNUMBER(M1313),N(M1313)&gt;0),IF(A1313="BL","Livré plus que commandé","Sorti plus que demandé"),"OK"))))))))))))</f>
        <v/>
      </c>
      <c r="Y1313" s="57" t="str">
        <f>IF(AND(OR(A1313="BL",A1313="BR",A1313="BS"),AG1313&gt;0,D1313&lt;&gt;""),A1313&amp;"|"&amp;AG1313&amp;"|"&amp;D1313&amp;"|"&amp;F1313,"")</f>
        <v/>
      </c>
      <c r="Z1313" s="57" t="str">
        <f>IF(Y1313="","",IF(COUNTIF(Y$6:Y1312,Y1313)=0,1,0))</f>
        <v/>
      </c>
      <c r="AA1313" s="57" t="str">
        <f>IF(Y1313="","",IF(Z1313=1,COUNTIFS(A$6:A1313,A1313,Z$6:Z1313,1),INDEX(AA$6:AA1312,MATCH(Y1313,Y$6:Y1312,0))))</f>
        <v/>
      </c>
      <c r="AB1313" s="57" t="str">
        <f>IF(B1313="","",COUNTIF(B$6:B1313,B1313))</f>
        <v/>
      </c>
      <c r="AC1313" s="57" t="str">
        <f>IF(B1313="","",B1313&amp;"#"&amp;AB1313)</f>
        <v/>
      </c>
      <c r="AD1313" s="57" t="str">
        <f>IF(Z1313=1,A1313&amp;AA1313,"")</f>
        <v/>
      </c>
      <c r="AE1313" s="57" t="str">
        <f>IF(B1313="","",YEAR(C1313))</f>
        <v/>
      </c>
      <c r="AF1313" s="57" t="str">
        <f>IF(B1313="","",MONTH(C1313))</f>
        <v/>
      </c>
      <c r="AG1313" s="57">
        <f>IF(ISNUMBER(C1313),C1313,0)</f>
        <v>0.0</v>
      </c>
      <c r="AH1313" s="57" t="str">
        <f>IF(N(W1313)&gt;0,COUNTIF(W$6:W1313,"&gt;0"),"")</f>
        <v/>
      </c>
      <c r="AI1313" s="57" t="str">
        <f>IF(Z1313=1,COUNTIF(Z$6:Z1313,1),"")</f>
        <v/>
      </c>
    </row>
    <row r="1314">
      <c r="A1314" s="54" t="n"/>
      <c r="B1314" s="55" t="str">
        <f>IF(AA1314="","",A1314&amp;"-"&amp;RIGHT("000"&amp;AA1314,4))</f>
        <v/>
      </c>
      <c r="C1314" s="56" t="n"/>
      <c r="D1314" s="54" t="n"/>
      <c r="E1314" s="57" t="str">
        <f>IF(D1314="","",IF(A1314="BL",IFERROR(INDEX(cl_name,MATCH(D1314,cl_code,0))&amp;"","Client inconnu"),IF(A1314="BR",IFERROR(INDEX(fo_name,MATCH(D1314,fo_code,0))&amp;"","Fournisseur inconnu"),IF(A1314="BS",IF(ISNA(MATCH(D1314,p_services,0)),"Service inconnu",D1314&amp;""),""))))</f>
        <v/>
      </c>
      <c r="F1314" s="58" t="n"/>
      <c r="G1314" s="58" t="n"/>
      <c r="H1314" s="59" t="n"/>
      <c r="I1314" s="57" t="str">
        <f>IF(H1314="","",IFERROR(INDEX(art_des,MATCH(H1314,art_ref,0))&amp;"","Article inconnu"))</f>
        <v/>
      </c>
      <c r="J1314" s="60" t="str">
        <f>IF(H1314="","",IFERROR(INDEX(art_unit,MATCH(H1314,art_ref,0))&amp;"",""))</f>
        <v/>
      </c>
      <c r="K1314" s="59" t="n"/>
      <c r="L1314" s="59" t="n"/>
      <c r="M1314" s="61" t="str">
        <f>IF(OR(B1314="",NOT(ISNUMBER(K1314)),NOT(ISNUMBER(L1314))),"",IF(OR(K1314&lt;=0,L1314&lt;=0),"",ROUND(L1314-K1314,6)))</f>
        <v/>
      </c>
      <c r="N1314" s="58" t="n"/>
      <c r="O1314" s="62" t="n"/>
      <c r="P1314" s="63" t="str">
        <f>IF(OR(B1314="",NOT(ISNUMBER(L1314))),"",IF(L1314&lt;=0,"",IFERROR(ROUND(L1314*N(INDEX(art_w,MATCH(H1314,art_ref,0))),3),"")))</f>
        <v/>
      </c>
      <c r="Q1314" s="59" t="n"/>
      <c r="R1314" s="54" t="n"/>
      <c r="S1314" s="59" t="n"/>
      <c r="T1314" s="59" t="n"/>
      <c r="U1314" s="64" t="str">
        <f>IF(OR(B1314="",H1314=""),"",IFERROR(IF(A1314="BL",IF(N(INDEX(art_price,MATCH(H1314,art_ref,0)))=0,"",N(INDEX(art_price,MATCH(H1314,art_ref,0)))),IF(N(INDEX(art_cost,MATCH(H1314,art_ref,0)))=0,"",N(INDEX(art_cost,MATCH(H1314,art_ref,0))))),""))</f>
        <v/>
      </c>
      <c r="V1314" s="64" t="str">
        <f>IF(OR(U1314="",NOT(ISNUMBER(L1314))),"",IF(L1314&lt;=0,"",ROUND(L1314*U1314,2)))</f>
        <v/>
      </c>
      <c r="W1314" s="60" t="str">
        <f>IF(AND(B1314&lt;&gt;"",A1314&lt;&gt;"BS",F1314&lt;&gt;"",H1314&lt;&gt;"",ISNUMBER(K1314),ISNUMBER(L1314)),IF(AND(K1314&gt;0,L1314&gt;0,K1314-L1314&gt;0,COUNTIFS(A1315:A$2005,A1314,F1315:F$2005,F1314,H1315:H$2005,H1314,AA1315:AA$2005,"&gt;0")=0),ROUND(K1314-L1314,6),""),"")</f>
        <v/>
      </c>
      <c r="X1314" s="60" t="str">
        <f>IF(AND(A1314="",C1314="",D1314="",H1314="",L1314=""),"",IF(A1314="","Type manquant",IF(AND(A1314&lt;&gt;"BL",A1314&lt;&gt;"BR",A1314&lt;&gt;"BS"),"Type inconnu (BL, BR ou BS)",IF(AG1314=0,"Date manquante ou invalide",IF(D1314="",IF(A1314="BL","Client manquant",IF(A1314="BR","Fournisseur manquant","Service manquant")),IF(IF(A1314="BL",ISNA(MATCH(D1314,cl_code,0)),IF(A1314="BR",ISNA(MATCH(D1314,fo_code,0)),ISNA(MATCH(D1314,p_services,0)))),IF(A1314="BL","Client inconnu",IF(A1314="BR","Fournisseur inconnu","Service inconnu")),IF(H1314="","Article manquant",IF(ISNA(MATCH(H1314,art_ref,0)),"Article inconnu",IF(OR(NOT(ISNUMBER(L1314)),N(L1314)&lt;=0),"Quantité invalide",IF(AND(K1314&lt;&gt;"",OR(NOT(ISNUMBER(K1314)),N(K1314)&lt;=0)),"Qté commandée invalide",IF(AG1314&lt;SUMPRODUCT(MAX((A$6:A1313=A1314)*AG$6:AG1313)),"Date antérieure au bon précédent",IF(AND(A1314&lt;&gt;"BR",ISNUMBER(M1314),N(M1314)&gt;0),IF(A1314="BL","Livré plus que commandé","Sorti plus que demandé"),"OK"))))))))))))</f>
        <v/>
      </c>
      <c r="Y1314" s="57" t="str">
        <f>IF(AND(OR(A1314="BL",A1314="BR",A1314="BS"),AG1314&gt;0,D1314&lt;&gt;""),A1314&amp;"|"&amp;AG1314&amp;"|"&amp;D1314&amp;"|"&amp;F1314,"")</f>
        <v/>
      </c>
      <c r="Z1314" s="57" t="str">
        <f>IF(Y1314="","",IF(COUNTIF(Y$6:Y1313,Y1314)=0,1,0))</f>
        <v/>
      </c>
      <c r="AA1314" s="57" t="str">
        <f>IF(Y1314="","",IF(Z1314=1,COUNTIFS(A$6:A1314,A1314,Z$6:Z1314,1),INDEX(AA$6:AA1313,MATCH(Y1314,Y$6:Y1313,0))))</f>
        <v/>
      </c>
      <c r="AB1314" s="57" t="str">
        <f>IF(B1314="","",COUNTIF(B$6:B1314,B1314))</f>
        <v/>
      </c>
      <c r="AC1314" s="57" t="str">
        <f>IF(B1314="","",B1314&amp;"#"&amp;AB1314)</f>
        <v/>
      </c>
      <c r="AD1314" s="57" t="str">
        <f>IF(Z1314=1,A1314&amp;AA1314,"")</f>
        <v/>
      </c>
      <c r="AE1314" s="57" t="str">
        <f>IF(B1314="","",YEAR(C1314))</f>
        <v/>
      </c>
      <c r="AF1314" s="57" t="str">
        <f>IF(B1314="","",MONTH(C1314))</f>
        <v/>
      </c>
      <c r="AG1314" s="57">
        <f>IF(ISNUMBER(C1314),C1314,0)</f>
        <v>0.0</v>
      </c>
      <c r="AH1314" s="57" t="str">
        <f>IF(N(W1314)&gt;0,COUNTIF(W$6:W1314,"&gt;0"),"")</f>
        <v/>
      </c>
      <c r="AI1314" s="57" t="str">
        <f>IF(Z1314=1,COUNTIF(Z$6:Z1314,1),"")</f>
        <v/>
      </c>
    </row>
    <row r="1315">
      <c r="A1315" s="54" t="n"/>
      <c r="B1315" s="55" t="str">
        <f>IF(AA1315="","",A1315&amp;"-"&amp;RIGHT("000"&amp;AA1315,4))</f>
        <v/>
      </c>
      <c r="C1315" s="56" t="n"/>
      <c r="D1315" s="54" t="n"/>
      <c r="E1315" s="57" t="str">
        <f>IF(D1315="","",IF(A1315="BL",IFERROR(INDEX(cl_name,MATCH(D1315,cl_code,0))&amp;"","Client inconnu"),IF(A1315="BR",IFERROR(INDEX(fo_name,MATCH(D1315,fo_code,0))&amp;"","Fournisseur inconnu"),IF(A1315="BS",IF(ISNA(MATCH(D1315,p_services,0)),"Service inconnu",D1315&amp;""),""))))</f>
        <v/>
      </c>
      <c r="F1315" s="58" t="n"/>
      <c r="G1315" s="58" t="n"/>
      <c r="H1315" s="59" t="n"/>
      <c r="I1315" s="57" t="str">
        <f>IF(H1315="","",IFERROR(INDEX(art_des,MATCH(H1315,art_ref,0))&amp;"","Article inconnu"))</f>
        <v/>
      </c>
      <c r="J1315" s="60" t="str">
        <f>IF(H1315="","",IFERROR(INDEX(art_unit,MATCH(H1315,art_ref,0))&amp;"",""))</f>
        <v/>
      </c>
      <c r="K1315" s="59" t="n"/>
      <c r="L1315" s="59" t="n"/>
      <c r="M1315" s="61" t="str">
        <f>IF(OR(B1315="",NOT(ISNUMBER(K1315)),NOT(ISNUMBER(L1315))),"",IF(OR(K1315&lt;=0,L1315&lt;=0),"",ROUND(L1315-K1315,6)))</f>
        <v/>
      </c>
      <c r="N1315" s="58" t="n"/>
      <c r="O1315" s="62" t="n"/>
      <c r="P1315" s="63" t="str">
        <f>IF(OR(B1315="",NOT(ISNUMBER(L1315))),"",IF(L1315&lt;=0,"",IFERROR(ROUND(L1315*N(INDEX(art_w,MATCH(H1315,art_ref,0))),3),"")))</f>
        <v/>
      </c>
      <c r="Q1315" s="59" t="n"/>
      <c r="R1315" s="54" t="n"/>
      <c r="S1315" s="59" t="n"/>
      <c r="T1315" s="59" t="n"/>
      <c r="U1315" s="64" t="str">
        <f>IF(OR(B1315="",H1315=""),"",IFERROR(IF(A1315="BL",IF(N(INDEX(art_price,MATCH(H1315,art_ref,0)))=0,"",N(INDEX(art_price,MATCH(H1315,art_ref,0)))),IF(N(INDEX(art_cost,MATCH(H1315,art_ref,0)))=0,"",N(INDEX(art_cost,MATCH(H1315,art_ref,0))))),""))</f>
        <v/>
      </c>
      <c r="V1315" s="64" t="str">
        <f>IF(OR(U1315="",NOT(ISNUMBER(L1315))),"",IF(L1315&lt;=0,"",ROUND(L1315*U1315,2)))</f>
        <v/>
      </c>
      <c r="W1315" s="60" t="str">
        <f>IF(AND(B1315&lt;&gt;"",A1315&lt;&gt;"BS",F1315&lt;&gt;"",H1315&lt;&gt;"",ISNUMBER(K1315),ISNUMBER(L1315)),IF(AND(K1315&gt;0,L1315&gt;0,K1315-L1315&gt;0,COUNTIFS(A1316:A$2005,A1315,F1316:F$2005,F1315,H1316:H$2005,H1315,AA1316:AA$2005,"&gt;0")=0),ROUND(K1315-L1315,6),""),"")</f>
        <v/>
      </c>
      <c r="X1315" s="60" t="str">
        <f>IF(AND(A1315="",C1315="",D1315="",H1315="",L1315=""),"",IF(A1315="","Type manquant",IF(AND(A1315&lt;&gt;"BL",A1315&lt;&gt;"BR",A1315&lt;&gt;"BS"),"Type inconnu (BL, BR ou BS)",IF(AG1315=0,"Date manquante ou invalide",IF(D1315="",IF(A1315="BL","Client manquant",IF(A1315="BR","Fournisseur manquant","Service manquant")),IF(IF(A1315="BL",ISNA(MATCH(D1315,cl_code,0)),IF(A1315="BR",ISNA(MATCH(D1315,fo_code,0)),ISNA(MATCH(D1315,p_services,0)))),IF(A1315="BL","Client inconnu",IF(A1315="BR","Fournisseur inconnu","Service inconnu")),IF(H1315="","Article manquant",IF(ISNA(MATCH(H1315,art_ref,0)),"Article inconnu",IF(OR(NOT(ISNUMBER(L1315)),N(L1315)&lt;=0),"Quantité invalide",IF(AND(K1315&lt;&gt;"",OR(NOT(ISNUMBER(K1315)),N(K1315)&lt;=0)),"Qté commandée invalide",IF(AG1315&lt;SUMPRODUCT(MAX((A$6:A1314=A1315)*AG$6:AG1314)),"Date antérieure au bon précédent",IF(AND(A1315&lt;&gt;"BR",ISNUMBER(M1315),N(M1315)&gt;0),IF(A1315="BL","Livré plus que commandé","Sorti plus que demandé"),"OK"))))))))))))</f>
        <v/>
      </c>
      <c r="Y1315" s="57" t="str">
        <f>IF(AND(OR(A1315="BL",A1315="BR",A1315="BS"),AG1315&gt;0,D1315&lt;&gt;""),A1315&amp;"|"&amp;AG1315&amp;"|"&amp;D1315&amp;"|"&amp;F1315,"")</f>
        <v/>
      </c>
      <c r="Z1315" s="57" t="str">
        <f>IF(Y1315="","",IF(COUNTIF(Y$6:Y1314,Y1315)=0,1,0))</f>
        <v/>
      </c>
      <c r="AA1315" s="57" t="str">
        <f>IF(Y1315="","",IF(Z1315=1,COUNTIFS(A$6:A1315,A1315,Z$6:Z1315,1),INDEX(AA$6:AA1314,MATCH(Y1315,Y$6:Y1314,0))))</f>
        <v/>
      </c>
      <c r="AB1315" s="57" t="str">
        <f>IF(B1315="","",COUNTIF(B$6:B1315,B1315))</f>
        <v/>
      </c>
      <c r="AC1315" s="57" t="str">
        <f>IF(B1315="","",B1315&amp;"#"&amp;AB1315)</f>
        <v/>
      </c>
      <c r="AD1315" s="57" t="str">
        <f>IF(Z1315=1,A1315&amp;AA1315,"")</f>
        <v/>
      </c>
      <c r="AE1315" s="57" t="str">
        <f>IF(B1315="","",YEAR(C1315))</f>
        <v/>
      </c>
      <c r="AF1315" s="57" t="str">
        <f>IF(B1315="","",MONTH(C1315))</f>
        <v/>
      </c>
      <c r="AG1315" s="57">
        <f>IF(ISNUMBER(C1315),C1315,0)</f>
        <v>0.0</v>
      </c>
      <c r="AH1315" s="57" t="str">
        <f>IF(N(W1315)&gt;0,COUNTIF(W$6:W1315,"&gt;0"),"")</f>
        <v/>
      </c>
      <c r="AI1315" s="57" t="str">
        <f>IF(Z1315=1,COUNTIF(Z$6:Z1315,1),"")</f>
        <v/>
      </c>
    </row>
    <row r="1316">
      <c r="A1316" s="54" t="n"/>
      <c r="B1316" s="55" t="str">
        <f>IF(AA1316="","",A1316&amp;"-"&amp;RIGHT("000"&amp;AA1316,4))</f>
        <v/>
      </c>
      <c r="C1316" s="56" t="n"/>
      <c r="D1316" s="54" t="n"/>
      <c r="E1316" s="57" t="str">
        <f>IF(D1316="","",IF(A1316="BL",IFERROR(INDEX(cl_name,MATCH(D1316,cl_code,0))&amp;"","Client inconnu"),IF(A1316="BR",IFERROR(INDEX(fo_name,MATCH(D1316,fo_code,0))&amp;"","Fournisseur inconnu"),IF(A1316="BS",IF(ISNA(MATCH(D1316,p_services,0)),"Service inconnu",D1316&amp;""),""))))</f>
        <v/>
      </c>
      <c r="F1316" s="58" t="n"/>
      <c r="G1316" s="58" t="n"/>
      <c r="H1316" s="59" t="n"/>
      <c r="I1316" s="57" t="str">
        <f>IF(H1316="","",IFERROR(INDEX(art_des,MATCH(H1316,art_ref,0))&amp;"","Article inconnu"))</f>
        <v/>
      </c>
      <c r="J1316" s="60" t="str">
        <f>IF(H1316="","",IFERROR(INDEX(art_unit,MATCH(H1316,art_ref,0))&amp;"",""))</f>
        <v/>
      </c>
      <c r="K1316" s="59" t="n"/>
      <c r="L1316" s="59" t="n"/>
      <c r="M1316" s="61" t="str">
        <f>IF(OR(B1316="",NOT(ISNUMBER(K1316)),NOT(ISNUMBER(L1316))),"",IF(OR(K1316&lt;=0,L1316&lt;=0),"",ROUND(L1316-K1316,6)))</f>
        <v/>
      </c>
      <c r="N1316" s="58" t="n"/>
      <c r="O1316" s="62" t="n"/>
      <c r="P1316" s="63" t="str">
        <f>IF(OR(B1316="",NOT(ISNUMBER(L1316))),"",IF(L1316&lt;=0,"",IFERROR(ROUND(L1316*N(INDEX(art_w,MATCH(H1316,art_ref,0))),3),"")))</f>
        <v/>
      </c>
      <c r="Q1316" s="59" t="n"/>
      <c r="R1316" s="54" t="n"/>
      <c r="S1316" s="59" t="n"/>
      <c r="T1316" s="59" t="n"/>
      <c r="U1316" s="64" t="str">
        <f>IF(OR(B1316="",H1316=""),"",IFERROR(IF(A1316="BL",IF(N(INDEX(art_price,MATCH(H1316,art_ref,0)))=0,"",N(INDEX(art_price,MATCH(H1316,art_ref,0)))),IF(N(INDEX(art_cost,MATCH(H1316,art_ref,0)))=0,"",N(INDEX(art_cost,MATCH(H1316,art_ref,0))))),""))</f>
        <v/>
      </c>
      <c r="V1316" s="64" t="str">
        <f>IF(OR(U1316="",NOT(ISNUMBER(L1316))),"",IF(L1316&lt;=0,"",ROUND(L1316*U1316,2)))</f>
        <v/>
      </c>
      <c r="W1316" s="60" t="str">
        <f>IF(AND(B1316&lt;&gt;"",A1316&lt;&gt;"BS",F1316&lt;&gt;"",H1316&lt;&gt;"",ISNUMBER(K1316),ISNUMBER(L1316)),IF(AND(K1316&gt;0,L1316&gt;0,K1316-L1316&gt;0,COUNTIFS(A1317:A$2005,A1316,F1317:F$2005,F1316,H1317:H$2005,H1316,AA1317:AA$2005,"&gt;0")=0),ROUND(K1316-L1316,6),""),"")</f>
        <v/>
      </c>
      <c r="X1316" s="60" t="str">
        <f>IF(AND(A1316="",C1316="",D1316="",H1316="",L1316=""),"",IF(A1316="","Type manquant",IF(AND(A1316&lt;&gt;"BL",A1316&lt;&gt;"BR",A1316&lt;&gt;"BS"),"Type inconnu (BL, BR ou BS)",IF(AG1316=0,"Date manquante ou invalide",IF(D1316="",IF(A1316="BL","Client manquant",IF(A1316="BR","Fournisseur manquant","Service manquant")),IF(IF(A1316="BL",ISNA(MATCH(D1316,cl_code,0)),IF(A1316="BR",ISNA(MATCH(D1316,fo_code,0)),ISNA(MATCH(D1316,p_services,0)))),IF(A1316="BL","Client inconnu",IF(A1316="BR","Fournisseur inconnu","Service inconnu")),IF(H1316="","Article manquant",IF(ISNA(MATCH(H1316,art_ref,0)),"Article inconnu",IF(OR(NOT(ISNUMBER(L1316)),N(L1316)&lt;=0),"Quantité invalide",IF(AND(K1316&lt;&gt;"",OR(NOT(ISNUMBER(K1316)),N(K1316)&lt;=0)),"Qté commandée invalide",IF(AG1316&lt;SUMPRODUCT(MAX((A$6:A1315=A1316)*AG$6:AG1315)),"Date antérieure au bon précédent",IF(AND(A1316&lt;&gt;"BR",ISNUMBER(M1316),N(M1316)&gt;0),IF(A1316="BL","Livré plus que commandé","Sorti plus que demandé"),"OK"))))))))))))</f>
        <v/>
      </c>
      <c r="Y1316" s="57" t="str">
        <f>IF(AND(OR(A1316="BL",A1316="BR",A1316="BS"),AG1316&gt;0,D1316&lt;&gt;""),A1316&amp;"|"&amp;AG1316&amp;"|"&amp;D1316&amp;"|"&amp;F1316,"")</f>
        <v/>
      </c>
      <c r="Z1316" s="57" t="str">
        <f>IF(Y1316="","",IF(COUNTIF(Y$6:Y1315,Y1316)=0,1,0))</f>
        <v/>
      </c>
      <c r="AA1316" s="57" t="str">
        <f>IF(Y1316="","",IF(Z1316=1,COUNTIFS(A$6:A1316,A1316,Z$6:Z1316,1),INDEX(AA$6:AA1315,MATCH(Y1316,Y$6:Y1315,0))))</f>
        <v/>
      </c>
      <c r="AB1316" s="57" t="str">
        <f>IF(B1316="","",COUNTIF(B$6:B1316,B1316))</f>
        <v/>
      </c>
      <c r="AC1316" s="57" t="str">
        <f>IF(B1316="","",B1316&amp;"#"&amp;AB1316)</f>
        <v/>
      </c>
      <c r="AD1316" s="57" t="str">
        <f>IF(Z1316=1,A1316&amp;AA1316,"")</f>
        <v/>
      </c>
      <c r="AE1316" s="57" t="str">
        <f>IF(B1316="","",YEAR(C1316))</f>
        <v/>
      </c>
      <c r="AF1316" s="57" t="str">
        <f>IF(B1316="","",MONTH(C1316))</f>
        <v/>
      </c>
      <c r="AG1316" s="57">
        <f>IF(ISNUMBER(C1316),C1316,0)</f>
        <v>0.0</v>
      </c>
      <c r="AH1316" s="57" t="str">
        <f>IF(N(W1316)&gt;0,COUNTIF(W$6:W1316,"&gt;0"),"")</f>
        <v/>
      </c>
      <c r="AI1316" s="57" t="str">
        <f>IF(Z1316=1,COUNTIF(Z$6:Z1316,1),"")</f>
        <v/>
      </c>
    </row>
    <row r="1317">
      <c r="A1317" s="54" t="n"/>
      <c r="B1317" s="55" t="str">
        <f>IF(AA1317="","",A1317&amp;"-"&amp;RIGHT("000"&amp;AA1317,4))</f>
        <v/>
      </c>
      <c r="C1317" s="56" t="n"/>
      <c r="D1317" s="54" t="n"/>
      <c r="E1317" s="57" t="str">
        <f>IF(D1317="","",IF(A1317="BL",IFERROR(INDEX(cl_name,MATCH(D1317,cl_code,0))&amp;"","Client inconnu"),IF(A1317="BR",IFERROR(INDEX(fo_name,MATCH(D1317,fo_code,0))&amp;"","Fournisseur inconnu"),IF(A1317="BS",IF(ISNA(MATCH(D1317,p_services,0)),"Service inconnu",D1317&amp;""),""))))</f>
        <v/>
      </c>
      <c r="F1317" s="58" t="n"/>
      <c r="G1317" s="58" t="n"/>
      <c r="H1317" s="59" t="n"/>
      <c r="I1317" s="57" t="str">
        <f>IF(H1317="","",IFERROR(INDEX(art_des,MATCH(H1317,art_ref,0))&amp;"","Article inconnu"))</f>
        <v/>
      </c>
      <c r="J1317" s="60" t="str">
        <f>IF(H1317="","",IFERROR(INDEX(art_unit,MATCH(H1317,art_ref,0))&amp;"",""))</f>
        <v/>
      </c>
      <c r="K1317" s="59" t="n"/>
      <c r="L1317" s="59" t="n"/>
      <c r="M1317" s="61" t="str">
        <f>IF(OR(B1317="",NOT(ISNUMBER(K1317)),NOT(ISNUMBER(L1317))),"",IF(OR(K1317&lt;=0,L1317&lt;=0),"",ROUND(L1317-K1317,6)))</f>
        <v/>
      </c>
      <c r="N1317" s="58" t="n"/>
      <c r="O1317" s="62" t="n"/>
      <c r="P1317" s="63" t="str">
        <f>IF(OR(B1317="",NOT(ISNUMBER(L1317))),"",IF(L1317&lt;=0,"",IFERROR(ROUND(L1317*N(INDEX(art_w,MATCH(H1317,art_ref,0))),3),"")))</f>
        <v/>
      </c>
      <c r="Q1317" s="59" t="n"/>
      <c r="R1317" s="54" t="n"/>
      <c r="S1317" s="59" t="n"/>
      <c r="T1317" s="59" t="n"/>
      <c r="U1317" s="64" t="str">
        <f>IF(OR(B1317="",H1317=""),"",IFERROR(IF(A1317="BL",IF(N(INDEX(art_price,MATCH(H1317,art_ref,0)))=0,"",N(INDEX(art_price,MATCH(H1317,art_ref,0)))),IF(N(INDEX(art_cost,MATCH(H1317,art_ref,0)))=0,"",N(INDEX(art_cost,MATCH(H1317,art_ref,0))))),""))</f>
        <v/>
      </c>
      <c r="V1317" s="64" t="str">
        <f>IF(OR(U1317="",NOT(ISNUMBER(L1317))),"",IF(L1317&lt;=0,"",ROUND(L1317*U1317,2)))</f>
        <v/>
      </c>
      <c r="W1317" s="60" t="str">
        <f>IF(AND(B1317&lt;&gt;"",A1317&lt;&gt;"BS",F1317&lt;&gt;"",H1317&lt;&gt;"",ISNUMBER(K1317),ISNUMBER(L1317)),IF(AND(K1317&gt;0,L1317&gt;0,K1317-L1317&gt;0,COUNTIFS(A1318:A$2005,A1317,F1318:F$2005,F1317,H1318:H$2005,H1317,AA1318:AA$2005,"&gt;0")=0),ROUND(K1317-L1317,6),""),"")</f>
        <v/>
      </c>
      <c r="X1317" s="60" t="str">
        <f>IF(AND(A1317="",C1317="",D1317="",H1317="",L1317=""),"",IF(A1317="","Type manquant",IF(AND(A1317&lt;&gt;"BL",A1317&lt;&gt;"BR",A1317&lt;&gt;"BS"),"Type inconnu (BL, BR ou BS)",IF(AG1317=0,"Date manquante ou invalide",IF(D1317="",IF(A1317="BL","Client manquant",IF(A1317="BR","Fournisseur manquant","Service manquant")),IF(IF(A1317="BL",ISNA(MATCH(D1317,cl_code,0)),IF(A1317="BR",ISNA(MATCH(D1317,fo_code,0)),ISNA(MATCH(D1317,p_services,0)))),IF(A1317="BL","Client inconnu",IF(A1317="BR","Fournisseur inconnu","Service inconnu")),IF(H1317="","Article manquant",IF(ISNA(MATCH(H1317,art_ref,0)),"Article inconnu",IF(OR(NOT(ISNUMBER(L1317)),N(L1317)&lt;=0),"Quantité invalide",IF(AND(K1317&lt;&gt;"",OR(NOT(ISNUMBER(K1317)),N(K1317)&lt;=0)),"Qté commandée invalide",IF(AG1317&lt;SUMPRODUCT(MAX((A$6:A1316=A1317)*AG$6:AG1316)),"Date antérieure au bon précédent",IF(AND(A1317&lt;&gt;"BR",ISNUMBER(M1317),N(M1317)&gt;0),IF(A1317="BL","Livré plus que commandé","Sorti plus que demandé"),"OK"))))))))))))</f>
        <v/>
      </c>
      <c r="Y1317" s="57" t="str">
        <f>IF(AND(OR(A1317="BL",A1317="BR",A1317="BS"),AG1317&gt;0,D1317&lt;&gt;""),A1317&amp;"|"&amp;AG1317&amp;"|"&amp;D1317&amp;"|"&amp;F1317,"")</f>
        <v/>
      </c>
      <c r="Z1317" s="57" t="str">
        <f>IF(Y1317="","",IF(COUNTIF(Y$6:Y1316,Y1317)=0,1,0))</f>
        <v/>
      </c>
      <c r="AA1317" s="57" t="str">
        <f>IF(Y1317="","",IF(Z1317=1,COUNTIFS(A$6:A1317,A1317,Z$6:Z1317,1),INDEX(AA$6:AA1316,MATCH(Y1317,Y$6:Y1316,0))))</f>
        <v/>
      </c>
      <c r="AB1317" s="57" t="str">
        <f>IF(B1317="","",COUNTIF(B$6:B1317,B1317))</f>
        <v/>
      </c>
      <c r="AC1317" s="57" t="str">
        <f>IF(B1317="","",B1317&amp;"#"&amp;AB1317)</f>
        <v/>
      </c>
      <c r="AD1317" s="57" t="str">
        <f>IF(Z1317=1,A1317&amp;AA1317,"")</f>
        <v/>
      </c>
      <c r="AE1317" s="57" t="str">
        <f>IF(B1317="","",YEAR(C1317))</f>
        <v/>
      </c>
      <c r="AF1317" s="57" t="str">
        <f>IF(B1317="","",MONTH(C1317))</f>
        <v/>
      </c>
      <c r="AG1317" s="57">
        <f>IF(ISNUMBER(C1317),C1317,0)</f>
        <v>0.0</v>
      </c>
      <c r="AH1317" s="57" t="str">
        <f>IF(N(W1317)&gt;0,COUNTIF(W$6:W1317,"&gt;0"),"")</f>
        <v/>
      </c>
      <c r="AI1317" s="57" t="str">
        <f>IF(Z1317=1,COUNTIF(Z$6:Z1317,1),"")</f>
        <v/>
      </c>
    </row>
    <row r="1318">
      <c r="A1318" s="54" t="n"/>
      <c r="B1318" s="55" t="str">
        <f>IF(AA1318="","",A1318&amp;"-"&amp;RIGHT("000"&amp;AA1318,4))</f>
        <v/>
      </c>
      <c r="C1318" s="56" t="n"/>
      <c r="D1318" s="54" t="n"/>
      <c r="E1318" s="57" t="str">
        <f>IF(D1318="","",IF(A1318="BL",IFERROR(INDEX(cl_name,MATCH(D1318,cl_code,0))&amp;"","Client inconnu"),IF(A1318="BR",IFERROR(INDEX(fo_name,MATCH(D1318,fo_code,0))&amp;"","Fournisseur inconnu"),IF(A1318="BS",IF(ISNA(MATCH(D1318,p_services,0)),"Service inconnu",D1318&amp;""),""))))</f>
        <v/>
      </c>
      <c r="F1318" s="58" t="n"/>
      <c r="G1318" s="58" t="n"/>
      <c r="H1318" s="59" t="n"/>
      <c r="I1318" s="57" t="str">
        <f>IF(H1318="","",IFERROR(INDEX(art_des,MATCH(H1318,art_ref,0))&amp;"","Article inconnu"))</f>
        <v/>
      </c>
      <c r="J1318" s="60" t="str">
        <f>IF(H1318="","",IFERROR(INDEX(art_unit,MATCH(H1318,art_ref,0))&amp;"",""))</f>
        <v/>
      </c>
      <c r="K1318" s="59" t="n"/>
      <c r="L1318" s="59" t="n"/>
      <c r="M1318" s="61" t="str">
        <f>IF(OR(B1318="",NOT(ISNUMBER(K1318)),NOT(ISNUMBER(L1318))),"",IF(OR(K1318&lt;=0,L1318&lt;=0),"",ROUND(L1318-K1318,6)))</f>
        <v/>
      </c>
      <c r="N1318" s="58" t="n"/>
      <c r="O1318" s="62" t="n"/>
      <c r="P1318" s="63" t="str">
        <f>IF(OR(B1318="",NOT(ISNUMBER(L1318))),"",IF(L1318&lt;=0,"",IFERROR(ROUND(L1318*N(INDEX(art_w,MATCH(H1318,art_ref,0))),3),"")))</f>
        <v/>
      </c>
      <c r="Q1318" s="59" t="n"/>
      <c r="R1318" s="54" t="n"/>
      <c r="S1318" s="59" t="n"/>
      <c r="T1318" s="59" t="n"/>
      <c r="U1318" s="64" t="str">
        <f>IF(OR(B1318="",H1318=""),"",IFERROR(IF(A1318="BL",IF(N(INDEX(art_price,MATCH(H1318,art_ref,0)))=0,"",N(INDEX(art_price,MATCH(H1318,art_ref,0)))),IF(N(INDEX(art_cost,MATCH(H1318,art_ref,0)))=0,"",N(INDEX(art_cost,MATCH(H1318,art_ref,0))))),""))</f>
        <v/>
      </c>
      <c r="V1318" s="64" t="str">
        <f>IF(OR(U1318="",NOT(ISNUMBER(L1318))),"",IF(L1318&lt;=0,"",ROUND(L1318*U1318,2)))</f>
        <v/>
      </c>
      <c r="W1318" s="60" t="str">
        <f>IF(AND(B1318&lt;&gt;"",A1318&lt;&gt;"BS",F1318&lt;&gt;"",H1318&lt;&gt;"",ISNUMBER(K1318),ISNUMBER(L1318)),IF(AND(K1318&gt;0,L1318&gt;0,K1318-L1318&gt;0,COUNTIFS(A1319:A$2005,A1318,F1319:F$2005,F1318,H1319:H$2005,H1318,AA1319:AA$2005,"&gt;0")=0),ROUND(K1318-L1318,6),""),"")</f>
        <v/>
      </c>
      <c r="X1318" s="60" t="str">
        <f>IF(AND(A1318="",C1318="",D1318="",H1318="",L1318=""),"",IF(A1318="","Type manquant",IF(AND(A1318&lt;&gt;"BL",A1318&lt;&gt;"BR",A1318&lt;&gt;"BS"),"Type inconnu (BL, BR ou BS)",IF(AG1318=0,"Date manquante ou invalide",IF(D1318="",IF(A1318="BL","Client manquant",IF(A1318="BR","Fournisseur manquant","Service manquant")),IF(IF(A1318="BL",ISNA(MATCH(D1318,cl_code,0)),IF(A1318="BR",ISNA(MATCH(D1318,fo_code,0)),ISNA(MATCH(D1318,p_services,0)))),IF(A1318="BL","Client inconnu",IF(A1318="BR","Fournisseur inconnu","Service inconnu")),IF(H1318="","Article manquant",IF(ISNA(MATCH(H1318,art_ref,0)),"Article inconnu",IF(OR(NOT(ISNUMBER(L1318)),N(L1318)&lt;=0),"Quantité invalide",IF(AND(K1318&lt;&gt;"",OR(NOT(ISNUMBER(K1318)),N(K1318)&lt;=0)),"Qté commandée invalide",IF(AG1318&lt;SUMPRODUCT(MAX((A$6:A1317=A1318)*AG$6:AG1317)),"Date antérieure au bon précédent",IF(AND(A1318&lt;&gt;"BR",ISNUMBER(M1318),N(M1318)&gt;0),IF(A1318="BL","Livré plus que commandé","Sorti plus que demandé"),"OK"))))))))))))</f>
        <v/>
      </c>
      <c r="Y1318" s="57" t="str">
        <f>IF(AND(OR(A1318="BL",A1318="BR",A1318="BS"),AG1318&gt;0,D1318&lt;&gt;""),A1318&amp;"|"&amp;AG1318&amp;"|"&amp;D1318&amp;"|"&amp;F1318,"")</f>
        <v/>
      </c>
      <c r="Z1318" s="57" t="str">
        <f>IF(Y1318="","",IF(COUNTIF(Y$6:Y1317,Y1318)=0,1,0))</f>
        <v/>
      </c>
      <c r="AA1318" s="57" t="str">
        <f>IF(Y1318="","",IF(Z1318=1,COUNTIFS(A$6:A1318,A1318,Z$6:Z1318,1),INDEX(AA$6:AA1317,MATCH(Y1318,Y$6:Y1317,0))))</f>
        <v/>
      </c>
      <c r="AB1318" s="57" t="str">
        <f>IF(B1318="","",COUNTIF(B$6:B1318,B1318))</f>
        <v/>
      </c>
      <c r="AC1318" s="57" t="str">
        <f>IF(B1318="","",B1318&amp;"#"&amp;AB1318)</f>
        <v/>
      </c>
      <c r="AD1318" s="57" t="str">
        <f>IF(Z1318=1,A1318&amp;AA1318,"")</f>
        <v/>
      </c>
      <c r="AE1318" s="57" t="str">
        <f>IF(B1318="","",YEAR(C1318))</f>
        <v/>
      </c>
      <c r="AF1318" s="57" t="str">
        <f>IF(B1318="","",MONTH(C1318))</f>
        <v/>
      </c>
      <c r="AG1318" s="57">
        <f>IF(ISNUMBER(C1318),C1318,0)</f>
        <v>0.0</v>
      </c>
      <c r="AH1318" s="57" t="str">
        <f>IF(N(W1318)&gt;0,COUNTIF(W$6:W1318,"&gt;0"),"")</f>
        <v/>
      </c>
      <c r="AI1318" s="57" t="str">
        <f>IF(Z1318=1,COUNTIF(Z$6:Z1318,1),"")</f>
        <v/>
      </c>
    </row>
    <row r="1319">
      <c r="A1319" s="54" t="n"/>
      <c r="B1319" s="55" t="str">
        <f>IF(AA1319="","",A1319&amp;"-"&amp;RIGHT("000"&amp;AA1319,4))</f>
        <v/>
      </c>
      <c r="C1319" s="56" t="n"/>
      <c r="D1319" s="54" t="n"/>
      <c r="E1319" s="57" t="str">
        <f>IF(D1319="","",IF(A1319="BL",IFERROR(INDEX(cl_name,MATCH(D1319,cl_code,0))&amp;"","Client inconnu"),IF(A1319="BR",IFERROR(INDEX(fo_name,MATCH(D1319,fo_code,0))&amp;"","Fournisseur inconnu"),IF(A1319="BS",IF(ISNA(MATCH(D1319,p_services,0)),"Service inconnu",D1319&amp;""),""))))</f>
        <v/>
      </c>
      <c r="F1319" s="58" t="n"/>
      <c r="G1319" s="58" t="n"/>
      <c r="H1319" s="59" t="n"/>
      <c r="I1319" s="57" t="str">
        <f>IF(H1319="","",IFERROR(INDEX(art_des,MATCH(H1319,art_ref,0))&amp;"","Article inconnu"))</f>
        <v/>
      </c>
      <c r="J1319" s="60" t="str">
        <f>IF(H1319="","",IFERROR(INDEX(art_unit,MATCH(H1319,art_ref,0))&amp;"",""))</f>
        <v/>
      </c>
      <c r="K1319" s="59" t="n"/>
      <c r="L1319" s="59" t="n"/>
      <c r="M1319" s="61" t="str">
        <f>IF(OR(B1319="",NOT(ISNUMBER(K1319)),NOT(ISNUMBER(L1319))),"",IF(OR(K1319&lt;=0,L1319&lt;=0),"",ROUND(L1319-K1319,6)))</f>
        <v/>
      </c>
      <c r="N1319" s="58" t="n"/>
      <c r="O1319" s="62" t="n"/>
      <c r="P1319" s="63" t="str">
        <f>IF(OR(B1319="",NOT(ISNUMBER(L1319))),"",IF(L1319&lt;=0,"",IFERROR(ROUND(L1319*N(INDEX(art_w,MATCH(H1319,art_ref,0))),3),"")))</f>
        <v/>
      </c>
      <c r="Q1319" s="59" t="n"/>
      <c r="R1319" s="54" t="n"/>
      <c r="S1319" s="59" t="n"/>
      <c r="T1319" s="59" t="n"/>
      <c r="U1319" s="64" t="str">
        <f>IF(OR(B1319="",H1319=""),"",IFERROR(IF(A1319="BL",IF(N(INDEX(art_price,MATCH(H1319,art_ref,0)))=0,"",N(INDEX(art_price,MATCH(H1319,art_ref,0)))),IF(N(INDEX(art_cost,MATCH(H1319,art_ref,0)))=0,"",N(INDEX(art_cost,MATCH(H1319,art_ref,0))))),""))</f>
        <v/>
      </c>
      <c r="V1319" s="64" t="str">
        <f>IF(OR(U1319="",NOT(ISNUMBER(L1319))),"",IF(L1319&lt;=0,"",ROUND(L1319*U1319,2)))</f>
        <v/>
      </c>
      <c r="W1319" s="60" t="str">
        <f>IF(AND(B1319&lt;&gt;"",A1319&lt;&gt;"BS",F1319&lt;&gt;"",H1319&lt;&gt;"",ISNUMBER(K1319),ISNUMBER(L1319)),IF(AND(K1319&gt;0,L1319&gt;0,K1319-L1319&gt;0,COUNTIFS(A1320:A$2005,A1319,F1320:F$2005,F1319,H1320:H$2005,H1319,AA1320:AA$2005,"&gt;0")=0),ROUND(K1319-L1319,6),""),"")</f>
        <v/>
      </c>
      <c r="X1319" s="60" t="str">
        <f>IF(AND(A1319="",C1319="",D1319="",H1319="",L1319=""),"",IF(A1319="","Type manquant",IF(AND(A1319&lt;&gt;"BL",A1319&lt;&gt;"BR",A1319&lt;&gt;"BS"),"Type inconnu (BL, BR ou BS)",IF(AG1319=0,"Date manquante ou invalide",IF(D1319="",IF(A1319="BL","Client manquant",IF(A1319="BR","Fournisseur manquant","Service manquant")),IF(IF(A1319="BL",ISNA(MATCH(D1319,cl_code,0)),IF(A1319="BR",ISNA(MATCH(D1319,fo_code,0)),ISNA(MATCH(D1319,p_services,0)))),IF(A1319="BL","Client inconnu",IF(A1319="BR","Fournisseur inconnu","Service inconnu")),IF(H1319="","Article manquant",IF(ISNA(MATCH(H1319,art_ref,0)),"Article inconnu",IF(OR(NOT(ISNUMBER(L1319)),N(L1319)&lt;=0),"Quantité invalide",IF(AND(K1319&lt;&gt;"",OR(NOT(ISNUMBER(K1319)),N(K1319)&lt;=0)),"Qté commandée invalide",IF(AG1319&lt;SUMPRODUCT(MAX((A$6:A1318=A1319)*AG$6:AG1318)),"Date antérieure au bon précédent",IF(AND(A1319&lt;&gt;"BR",ISNUMBER(M1319),N(M1319)&gt;0),IF(A1319="BL","Livré plus que commandé","Sorti plus que demandé"),"OK"))))))))))))</f>
        <v/>
      </c>
      <c r="Y1319" s="57" t="str">
        <f>IF(AND(OR(A1319="BL",A1319="BR",A1319="BS"),AG1319&gt;0,D1319&lt;&gt;""),A1319&amp;"|"&amp;AG1319&amp;"|"&amp;D1319&amp;"|"&amp;F1319,"")</f>
        <v/>
      </c>
      <c r="Z1319" s="57" t="str">
        <f>IF(Y1319="","",IF(COUNTIF(Y$6:Y1318,Y1319)=0,1,0))</f>
        <v/>
      </c>
      <c r="AA1319" s="57" t="str">
        <f>IF(Y1319="","",IF(Z1319=1,COUNTIFS(A$6:A1319,A1319,Z$6:Z1319,1),INDEX(AA$6:AA1318,MATCH(Y1319,Y$6:Y1318,0))))</f>
        <v/>
      </c>
      <c r="AB1319" s="57" t="str">
        <f>IF(B1319="","",COUNTIF(B$6:B1319,B1319))</f>
        <v/>
      </c>
      <c r="AC1319" s="57" t="str">
        <f>IF(B1319="","",B1319&amp;"#"&amp;AB1319)</f>
        <v/>
      </c>
      <c r="AD1319" s="57" t="str">
        <f>IF(Z1319=1,A1319&amp;AA1319,"")</f>
        <v/>
      </c>
      <c r="AE1319" s="57" t="str">
        <f>IF(B1319="","",YEAR(C1319))</f>
        <v/>
      </c>
      <c r="AF1319" s="57" t="str">
        <f>IF(B1319="","",MONTH(C1319))</f>
        <v/>
      </c>
      <c r="AG1319" s="57">
        <f>IF(ISNUMBER(C1319),C1319,0)</f>
        <v>0.0</v>
      </c>
      <c r="AH1319" s="57" t="str">
        <f>IF(N(W1319)&gt;0,COUNTIF(W$6:W1319,"&gt;0"),"")</f>
        <v/>
      </c>
      <c r="AI1319" s="57" t="str">
        <f>IF(Z1319=1,COUNTIF(Z$6:Z1319,1),"")</f>
        <v/>
      </c>
    </row>
    <row r="1320">
      <c r="A1320" s="54" t="n"/>
      <c r="B1320" s="55" t="str">
        <f>IF(AA1320="","",A1320&amp;"-"&amp;RIGHT("000"&amp;AA1320,4))</f>
        <v/>
      </c>
      <c r="C1320" s="56" t="n"/>
      <c r="D1320" s="54" t="n"/>
      <c r="E1320" s="57" t="str">
        <f>IF(D1320="","",IF(A1320="BL",IFERROR(INDEX(cl_name,MATCH(D1320,cl_code,0))&amp;"","Client inconnu"),IF(A1320="BR",IFERROR(INDEX(fo_name,MATCH(D1320,fo_code,0))&amp;"","Fournisseur inconnu"),IF(A1320="BS",IF(ISNA(MATCH(D1320,p_services,0)),"Service inconnu",D1320&amp;""),""))))</f>
        <v/>
      </c>
      <c r="F1320" s="58" t="n"/>
      <c r="G1320" s="58" t="n"/>
      <c r="H1320" s="59" t="n"/>
      <c r="I1320" s="57" t="str">
        <f>IF(H1320="","",IFERROR(INDEX(art_des,MATCH(H1320,art_ref,0))&amp;"","Article inconnu"))</f>
        <v/>
      </c>
      <c r="J1320" s="60" t="str">
        <f>IF(H1320="","",IFERROR(INDEX(art_unit,MATCH(H1320,art_ref,0))&amp;"",""))</f>
        <v/>
      </c>
      <c r="K1320" s="59" t="n"/>
      <c r="L1320" s="59" t="n"/>
      <c r="M1320" s="61" t="str">
        <f>IF(OR(B1320="",NOT(ISNUMBER(K1320)),NOT(ISNUMBER(L1320))),"",IF(OR(K1320&lt;=0,L1320&lt;=0),"",ROUND(L1320-K1320,6)))</f>
        <v/>
      </c>
      <c r="N1320" s="58" t="n"/>
      <c r="O1320" s="62" t="n"/>
      <c r="P1320" s="63" t="str">
        <f>IF(OR(B1320="",NOT(ISNUMBER(L1320))),"",IF(L1320&lt;=0,"",IFERROR(ROUND(L1320*N(INDEX(art_w,MATCH(H1320,art_ref,0))),3),"")))</f>
        <v/>
      </c>
      <c r="Q1320" s="59" t="n"/>
      <c r="R1320" s="54" t="n"/>
      <c r="S1320" s="59" t="n"/>
      <c r="T1320" s="59" t="n"/>
      <c r="U1320" s="64" t="str">
        <f>IF(OR(B1320="",H1320=""),"",IFERROR(IF(A1320="BL",IF(N(INDEX(art_price,MATCH(H1320,art_ref,0)))=0,"",N(INDEX(art_price,MATCH(H1320,art_ref,0)))),IF(N(INDEX(art_cost,MATCH(H1320,art_ref,0)))=0,"",N(INDEX(art_cost,MATCH(H1320,art_ref,0))))),""))</f>
        <v/>
      </c>
      <c r="V1320" s="64" t="str">
        <f>IF(OR(U1320="",NOT(ISNUMBER(L1320))),"",IF(L1320&lt;=0,"",ROUND(L1320*U1320,2)))</f>
        <v/>
      </c>
      <c r="W1320" s="60" t="str">
        <f>IF(AND(B1320&lt;&gt;"",A1320&lt;&gt;"BS",F1320&lt;&gt;"",H1320&lt;&gt;"",ISNUMBER(K1320),ISNUMBER(L1320)),IF(AND(K1320&gt;0,L1320&gt;0,K1320-L1320&gt;0,COUNTIFS(A1321:A$2005,A1320,F1321:F$2005,F1320,H1321:H$2005,H1320,AA1321:AA$2005,"&gt;0")=0),ROUND(K1320-L1320,6),""),"")</f>
        <v/>
      </c>
      <c r="X1320" s="60" t="str">
        <f>IF(AND(A1320="",C1320="",D1320="",H1320="",L1320=""),"",IF(A1320="","Type manquant",IF(AND(A1320&lt;&gt;"BL",A1320&lt;&gt;"BR",A1320&lt;&gt;"BS"),"Type inconnu (BL, BR ou BS)",IF(AG1320=0,"Date manquante ou invalide",IF(D1320="",IF(A1320="BL","Client manquant",IF(A1320="BR","Fournisseur manquant","Service manquant")),IF(IF(A1320="BL",ISNA(MATCH(D1320,cl_code,0)),IF(A1320="BR",ISNA(MATCH(D1320,fo_code,0)),ISNA(MATCH(D1320,p_services,0)))),IF(A1320="BL","Client inconnu",IF(A1320="BR","Fournisseur inconnu","Service inconnu")),IF(H1320="","Article manquant",IF(ISNA(MATCH(H1320,art_ref,0)),"Article inconnu",IF(OR(NOT(ISNUMBER(L1320)),N(L1320)&lt;=0),"Quantité invalide",IF(AND(K1320&lt;&gt;"",OR(NOT(ISNUMBER(K1320)),N(K1320)&lt;=0)),"Qté commandée invalide",IF(AG1320&lt;SUMPRODUCT(MAX((A$6:A1319=A1320)*AG$6:AG1319)),"Date antérieure au bon précédent",IF(AND(A1320&lt;&gt;"BR",ISNUMBER(M1320),N(M1320)&gt;0),IF(A1320="BL","Livré plus que commandé","Sorti plus que demandé"),"OK"))))))))))))</f>
        <v/>
      </c>
      <c r="Y1320" s="57" t="str">
        <f>IF(AND(OR(A1320="BL",A1320="BR",A1320="BS"),AG1320&gt;0,D1320&lt;&gt;""),A1320&amp;"|"&amp;AG1320&amp;"|"&amp;D1320&amp;"|"&amp;F1320,"")</f>
        <v/>
      </c>
      <c r="Z1320" s="57" t="str">
        <f>IF(Y1320="","",IF(COUNTIF(Y$6:Y1319,Y1320)=0,1,0))</f>
        <v/>
      </c>
      <c r="AA1320" s="57" t="str">
        <f>IF(Y1320="","",IF(Z1320=1,COUNTIFS(A$6:A1320,A1320,Z$6:Z1320,1),INDEX(AA$6:AA1319,MATCH(Y1320,Y$6:Y1319,0))))</f>
        <v/>
      </c>
      <c r="AB1320" s="57" t="str">
        <f>IF(B1320="","",COUNTIF(B$6:B1320,B1320))</f>
        <v/>
      </c>
      <c r="AC1320" s="57" t="str">
        <f>IF(B1320="","",B1320&amp;"#"&amp;AB1320)</f>
        <v/>
      </c>
      <c r="AD1320" s="57" t="str">
        <f>IF(Z1320=1,A1320&amp;AA1320,"")</f>
        <v/>
      </c>
      <c r="AE1320" s="57" t="str">
        <f>IF(B1320="","",YEAR(C1320))</f>
        <v/>
      </c>
      <c r="AF1320" s="57" t="str">
        <f>IF(B1320="","",MONTH(C1320))</f>
        <v/>
      </c>
      <c r="AG1320" s="57">
        <f>IF(ISNUMBER(C1320),C1320,0)</f>
        <v>0.0</v>
      </c>
      <c r="AH1320" s="57" t="str">
        <f>IF(N(W1320)&gt;0,COUNTIF(W$6:W1320,"&gt;0"),"")</f>
        <v/>
      </c>
      <c r="AI1320" s="57" t="str">
        <f>IF(Z1320=1,COUNTIF(Z$6:Z1320,1),"")</f>
        <v/>
      </c>
    </row>
    <row r="1321">
      <c r="A1321" s="54" t="n"/>
      <c r="B1321" s="55" t="str">
        <f>IF(AA1321="","",A1321&amp;"-"&amp;RIGHT("000"&amp;AA1321,4))</f>
        <v/>
      </c>
      <c r="C1321" s="56" t="n"/>
      <c r="D1321" s="54" t="n"/>
      <c r="E1321" s="57" t="str">
        <f>IF(D1321="","",IF(A1321="BL",IFERROR(INDEX(cl_name,MATCH(D1321,cl_code,0))&amp;"","Client inconnu"),IF(A1321="BR",IFERROR(INDEX(fo_name,MATCH(D1321,fo_code,0))&amp;"","Fournisseur inconnu"),IF(A1321="BS",IF(ISNA(MATCH(D1321,p_services,0)),"Service inconnu",D1321&amp;""),""))))</f>
        <v/>
      </c>
      <c r="F1321" s="58" t="n"/>
      <c r="G1321" s="58" t="n"/>
      <c r="H1321" s="59" t="n"/>
      <c r="I1321" s="57" t="str">
        <f>IF(H1321="","",IFERROR(INDEX(art_des,MATCH(H1321,art_ref,0))&amp;"","Article inconnu"))</f>
        <v/>
      </c>
      <c r="J1321" s="60" t="str">
        <f>IF(H1321="","",IFERROR(INDEX(art_unit,MATCH(H1321,art_ref,0))&amp;"",""))</f>
        <v/>
      </c>
      <c r="K1321" s="59" t="n"/>
      <c r="L1321" s="59" t="n"/>
      <c r="M1321" s="61" t="str">
        <f>IF(OR(B1321="",NOT(ISNUMBER(K1321)),NOT(ISNUMBER(L1321))),"",IF(OR(K1321&lt;=0,L1321&lt;=0),"",ROUND(L1321-K1321,6)))</f>
        <v/>
      </c>
      <c r="N1321" s="58" t="n"/>
      <c r="O1321" s="62" t="n"/>
      <c r="P1321" s="63" t="str">
        <f>IF(OR(B1321="",NOT(ISNUMBER(L1321))),"",IF(L1321&lt;=0,"",IFERROR(ROUND(L1321*N(INDEX(art_w,MATCH(H1321,art_ref,0))),3),"")))</f>
        <v/>
      </c>
      <c r="Q1321" s="59" t="n"/>
      <c r="R1321" s="54" t="n"/>
      <c r="S1321" s="59" t="n"/>
      <c r="T1321" s="59" t="n"/>
      <c r="U1321" s="64" t="str">
        <f>IF(OR(B1321="",H1321=""),"",IFERROR(IF(A1321="BL",IF(N(INDEX(art_price,MATCH(H1321,art_ref,0)))=0,"",N(INDEX(art_price,MATCH(H1321,art_ref,0)))),IF(N(INDEX(art_cost,MATCH(H1321,art_ref,0)))=0,"",N(INDEX(art_cost,MATCH(H1321,art_ref,0))))),""))</f>
        <v/>
      </c>
      <c r="V1321" s="64" t="str">
        <f>IF(OR(U1321="",NOT(ISNUMBER(L1321))),"",IF(L1321&lt;=0,"",ROUND(L1321*U1321,2)))</f>
        <v/>
      </c>
      <c r="W1321" s="60" t="str">
        <f>IF(AND(B1321&lt;&gt;"",A1321&lt;&gt;"BS",F1321&lt;&gt;"",H1321&lt;&gt;"",ISNUMBER(K1321),ISNUMBER(L1321)),IF(AND(K1321&gt;0,L1321&gt;0,K1321-L1321&gt;0,COUNTIFS(A1322:A$2005,A1321,F1322:F$2005,F1321,H1322:H$2005,H1321,AA1322:AA$2005,"&gt;0")=0),ROUND(K1321-L1321,6),""),"")</f>
        <v/>
      </c>
      <c r="X1321" s="60" t="str">
        <f>IF(AND(A1321="",C1321="",D1321="",H1321="",L1321=""),"",IF(A1321="","Type manquant",IF(AND(A1321&lt;&gt;"BL",A1321&lt;&gt;"BR",A1321&lt;&gt;"BS"),"Type inconnu (BL, BR ou BS)",IF(AG1321=0,"Date manquante ou invalide",IF(D1321="",IF(A1321="BL","Client manquant",IF(A1321="BR","Fournisseur manquant","Service manquant")),IF(IF(A1321="BL",ISNA(MATCH(D1321,cl_code,0)),IF(A1321="BR",ISNA(MATCH(D1321,fo_code,0)),ISNA(MATCH(D1321,p_services,0)))),IF(A1321="BL","Client inconnu",IF(A1321="BR","Fournisseur inconnu","Service inconnu")),IF(H1321="","Article manquant",IF(ISNA(MATCH(H1321,art_ref,0)),"Article inconnu",IF(OR(NOT(ISNUMBER(L1321)),N(L1321)&lt;=0),"Quantité invalide",IF(AND(K1321&lt;&gt;"",OR(NOT(ISNUMBER(K1321)),N(K1321)&lt;=0)),"Qté commandée invalide",IF(AG1321&lt;SUMPRODUCT(MAX((A$6:A1320=A1321)*AG$6:AG1320)),"Date antérieure au bon précédent",IF(AND(A1321&lt;&gt;"BR",ISNUMBER(M1321),N(M1321)&gt;0),IF(A1321="BL","Livré plus que commandé","Sorti plus que demandé"),"OK"))))))))))))</f>
        <v/>
      </c>
      <c r="Y1321" s="57" t="str">
        <f>IF(AND(OR(A1321="BL",A1321="BR",A1321="BS"),AG1321&gt;0,D1321&lt;&gt;""),A1321&amp;"|"&amp;AG1321&amp;"|"&amp;D1321&amp;"|"&amp;F1321,"")</f>
        <v/>
      </c>
      <c r="Z1321" s="57" t="str">
        <f>IF(Y1321="","",IF(COUNTIF(Y$6:Y1320,Y1321)=0,1,0))</f>
        <v/>
      </c>
      <c r="AA1321" s="57" t="str">
        <f>IF(Y1321="","",IF(Z1321=1,COUNTIFS(A$6:A1321,A1321,Z$6:Z1321,1),INDEX(AA$6:AA1320,MATCH(Y1321,Y$6:Y1320,0))))</f>
        <v/>
      </c>
      <c r="AB1321" s="57" t="str">
        <f>IF(B1321="","",COUNTIF(B$6:B1321,B1321))</f>
        <v/>
      </c>
      <c r="AC1321" s="57" t="str">
        <f>IF(B1321="","",B1321&amp;"#"&amp;AB1321)</f>
        <v/>
      </c>
      <c r="AD1321" s="57" t="str">
        <f>IF(Z1321=1,A1321&amp;AA1321,"")</f>
        <v/>
      </c>
      <c r="AE1321" s="57" t="str">
        <f>IF(B1321="","",YEAR(C1321))</f>
        <v/>
      </c>
      <c r="AF1321" s="57" t="str">
        <f>IF(B1321="","",MONTH(C1321))</f>
        <v/>
      </c>
      <c r="AG1321" s="57">
        <f>IF(ISNUMBER(C1321),C1321,0)</f>
        <v>0.0</v>
      </c>
      <c r="AH1321" s="57" t="str">
        <f>IF(N(W1321)&gt;0,COUNTIF(W$6:W1321,"&gt;0"),"")</f>
        <v/>
      </c>
      <c r="AI1321" s="57" t="str">
        <f>IF(Z1321=1,COUNTIF(Z$6:Z1321,1),"")</f>
        <v/>
      </c>
    </row>
    <row r="1322">
      <c r="A1322" s="54" t="n"/>
      <c r="B1322" s="55" t="str">
        <f>IF(AA1322="","",A1322&amp;"-"&amp;RIGHT("000"&amp;AA1322,4))</f>
        <v/>
      </c>
      <c r="C1322" s="56" t="n"/>
      <c r="D1322" s="54" t="n"/>
      <c r="E1322" s="57" t="str">
        <f>IF(D1322="","",IF(A1322="BL",IFERROR(INDEX(cl_name,MATCH(D1322,cl_code,0))&amp;"","Client inconnu"),IF(A1322="BR",IFERROR(INDEX(fo_name,MATCH(D1322,fo_code,0))&amp;"","Fournisseur inconnu"),IF(A1322="BS",IF(ISNA(MATCH(D1322,p_services,0)),"Service inconnu",D1322&amp;""),""))))</f>
        <v/>
      </c>
      <c r="F1322" s="58" t="n"/>
      <c r="G1322" s="58" t="n"/>
      <c r="H1322" s="59" t="n"/>
      <c r="I1322" s="57" t="str">
        <f>IF(H1322="","",IFERROR(INDEX(art_des,MATCH(H1322,art_ref,0))&amp;"","Article inconnu"))</f>
        <v/>
      </c>
      <c r="J1322" s="60" t="str">
        <f>IF(H1322="","",IFERROR(INDEX(art_unit,MATCH(H1322,art_ref,0))&amp;"",""))</f>
        <v/>
      </c>
      <c r="K1322" s="59" t="n"/>
      <c r="L1322" s="59" t="n"/>
      <c r="M1322" s="61" t="str">
        <f>IF(OR(B1322="",NOT(ISNUMBER(K1322)),NOT(ISNUMBER(L1322))),"",IF(OR(K1322&lt;=0,L1322&lt;=0),"",ROUND(L1322-K1322,6)))</f>
        <v/>
      </c>
      <c r="N1322" s="58" t="n"/>
      <c r="O1322" s="62" t="n"/>
      <c r="P1322" s="63" t="str">
        <f>IF(OR(B1322="",NOT(ISNUMBER(L1322))),"",IF(L1322&lt;=0,"",IFERROR(ROUND(L1322*N(INDEX(art_w,MATCH(H1322,art_ref,0))),3),"")))</f>
        <v/>
      </c>
      <c r="Q1322" s="59" t="n"/>
      <c r="R1322" s="54" t="n"/>
      <c r="S1322" s="59" t="n"/>
      <c r="T1322" s="59" t="n"/>
      <c r="U1322" s="64" t="str">
        <f>IF(OR(B1322="",H1322=""),"",IFERROR(IF(A1322="BL",IF(N(INDEX(art_price,MATCH(H1322,art_ref,0)))=0,"",N(INDEX(art_price,MATCH(H1322,art_ref,0)))),IF(N(INDEX(art_cost,MATCH(H1322,art_ref,0)))=0,"",N(INDEX(art_cost,MATCH(H1322,art_ref,0))))),""))</f>
        <v/>
      </c>
      <c r="V1322" s="64" t="str">
        <f>IF(OR(U1322="",NOT(ISNUMBER(L1322))),"",IF(L1322&lt;=0,"",ROUND(L1322*U1322,2)))</f>
        <v/>
      </c>
      <c r="W1322" s="60" t="str">
        <f>IF(AND(B1322&lt;&gt;"",A1322&lt;&gt;"BS",F1322&lt;&gt;"",H1322&lt;&gt;"",ISNUMBER(K1322),ISNUMBER(L1322)),IF(AND(K1322&gt;0,L1322&gt;0,K1322-L1322&gt;0,COUNTIFS(A1323:A$2005,A1322,F1323:F$2005,F1322,H1323:H$2005,H1322,AA1323:AA$2005,"&gt;0")=0),ROUND(K1322-L1322,6),""),"")</f>
        <v/>
      </c>
      <c r="X1322" s="60" t="str">
        <f>IF(AND(A1322="",C1322="",D1322="",H1322="",L1322=""),"",IF(A1322="","Type manquant",IF(AND(A1322&lt;&gt;"BL",A1322&lt;&gt;"BR",A1322&lt;&gt;"BS"),"Type inconnu (BL, BR ou BS)",IF(AG1322=0,"Date manquante ou invalide",IF(D1322="",IF(A1322="BL","Client manquant",IF(A1322="BR","Fournisseur manquant","Service manquant")),IF(IF(A1322="BL",ISNA(MATCH(D1322,cl_code,0)),IF(A1322="BR",ISNA(MATCH(D1322,fo_code,0)),ISNA(MATCH(D1322,p_services,0)))),IF(A1322="BL","Client inconnu",IF(A1322="BR","Fournisseur inconnu","Service inconnu")),IF(H1322="","Article manquant",IF(ISNA(MATCH(H1322,art_ref,0)),"Article inconnu",IF(OR(NOT(ISNUMBER(L1322)),N(L1322)&lt;=0),"Quantité invalide",IF(AND(K1322&lt;&gt;"",OR(NOT(ISNUMBER(K1322)),N(K1322)&lt;=0)),"Qté commandée invalide",IF(AG1322&lt;SUMPRODUCT(MAX((A$6:A1321=A1322)*AG$6:AG1321)),"Date antérieure au bon précédent",IF(AND(A1322&lt;&gt;"BR",ISNUMBER(M1322),N(M1322)&gt;0),IF(A1322="BL","Livré plus que commandé","Sorti plus que demandé"),"OK"))))))))))))</f>
        <v/>
      </c>
      <c r="Y1322" s="57" t="str">
        <f>IF(AND(OR(A1322="BL",A1322="BR",A1322="BS"),AG1322&gt;0,D1322&lt;&gt;""),A1322&amp;"|"&amp;AG1322&amp;"|"&amp;D1322&amp;"|"&amp;F1322,"")</f>
        <v/>
      </c>
      <c r="Z1322" s="57" t="str">
        <f>IF(Y1322="","",IF(COUNTIF(Y$6:Y1321,Y1322)=0,1,0))</f>
        <v/>
      </c>
      <c r="AA1322" s="57" t="str">
        <f>IF(Y1322="","",IF(Z1322=1,COUNTIFS(A$6:A1322,A1322,Z$6:Z1322,1),INDEX(AA$6:AA1321,MATCH(Y1322,Y$6:Y1321,0))))</f>
        <v/>
      </c>
      <c r="AB1322" s="57" t="str">
        <f>IF(B1322="","",COUNTIF(B$6:B1322,B1322))</f>
        <v/>
      </c>
      <c r="AC1322" s="57" t="str">
        <f>IF(B1322="","",B1322&amp;"#"&amp;AB1322)</f>
        <v/>
      </c>
      <c r="AD1322" s="57" t="str">
        <f>IF(Z1322=1,A1322&amp;AA1322,"")</f>
        <v/>
      </c>
      <c r="AE1322" s="57" t="str">
        <f>IF(B1322="","",YEAR(C1322))</f>
        <v/>
      </c>
      <c r="AF1322" s="57" t="str">
        <f>IF(B1322="","",MONTH(C1322))</f>
        <v/>
      </c>
      <c r="AG1322" s="57">
        <f>IF(ISNUMBER(C1322),C1322,0)</f>
        <v>0.0</v>
      </c>
      <c r="AH1322" s="57" t="str">
        <f>IF(N(W1322)&gt;0,COUNTIF(W$6:W1322,"&gt;0"),"")</f>
        <v/>
      </c>
      <c r="AI1322" s="57" t="str">
        <f>IF(Z1322=1,COUNTIF(Z$6:Z1322,1),"")</f>
        <v/>
      </c>
    </row>
    <row r="1323">
      <c r="A1323" s="54" t="n"/>
      <c r="B1323" s="55" t="str">
        <f>IF(AA1323="","",A1323&amp;"-"&amp;RIGHT("000"&amp;AA1323,4))</f>
        <v/>
      </c>
      <c r="C1323" s="56" t="n"/>
      <c r="D1323" s="54" t="n"/>
      <c r="E1323" s="57" t="str">
        <f>IF(D1323="","",IF(A1323="BL",IFERROR(INDEX(cl_name,MATCH(D1323,cl_code,0))&amp;"","Client inconnu"),IF(A1323="BR",IFERROR(INDEX(fo_name,MATCH(D1323,fo_code,0))&amp;"","Fournisseur inconnu"),IF(A1323="BS",IF(ISNA(MATCH(D1323,p_services,0)),"Service inconnu",D1323&amp;""),""))))</f>
        <v/>
      </c>
      <c r="F1323" s="58" t="n"/>
      <c r="G1323" s="58" t="n"/>
      <c r="H1323" s="59" t="n"/>
      <c r="I1323" s="57" t="str">
        <f>IF(H1323="","",IFERROR(INDEX(art_des,MATCH(H1323,art_ref,0))&amp;"","Article inconnu"))</f>
        <v/>
      </c>
      <c r="J1323" s="60" t="str">
        <f>IF(H1323="","",IFERROR(INDEX(art_unit,MATCH(H1323,art_ref,0))&amp;"",""))</f>
        <v/>
      </c>
      <c r="K1323" s="59" t="n"/>
      <c r="L1323" s="59" t="n"/>
      <c r="M1323" s="61" t="str">
        <f>IF(OR(B1323="",NOT(ISNUMBER(K1323)),NOT(ISNUMBER(L1323))),"",IF(OR(K1323&lt;=0,L1323&lt;=0),"",ROUND(L1323-K1323,6)))</f>
        <v/>
      </c>
      <c r="N1323" s="58" t="n"/>
      <c r="O1323" s="62" t="n"/>
      <c r="P1323" s="63" t="str">
        <f>IF(OR(B1323="",NOT(ISNUMBER(L1323))),"",IF(L1323&lt;=0,"",IFERROR(ROUND(L1323*N(INDEX(art_w,MATCH(H1323,art_ref,0))),3),"")))</f>
        <v/>
      </c>
      <c r="Q1323" s="59" t="n"/>
      <c r="R1323" s="54" t="n"/>
      <c r="S1323" s="59" t="n"/>
      <c r="T1323" s="59" t="n"/>
      <c r="U1323" s="64" t="str">
        <f>IF(OR(B1323="",H1323=""),"",IFERROR(IF(A1323="BL",IF(N(INDEX(art_price,MATCH(H1323,art_ref,0)))=0,"",N(INDEX(art_price,MATCH(H1323,art_ref,0)))),IF(N(INDEX(art_cost,MATCH(H1323,art_ref,0)))=0,"",N(INDEX(art_cost,MATCH(H1323,art_ref,0))))),""))</f>
        <v/>
      </c>
      <c r="V1323" s="64" t="str">
        <f>IF(OR(U1323="",NOT(ISNUMBER(L1323))),"",IF(L1323&lt;=0,"",ROUND(L1323*U1323,2)))</f>
        <v/>
      </c>
      <c r="W1323" s="60" t="str">
        <f>IF(AND(B1323&lt;&gt;"",A1323&lt;&gt;"BS",F1323&lt;&gt;"",H1323&lt;&gt;"",ISNUMBER(K1323),ISNUMBER(L1323)),IF(AND(K1323&gt;0,L1323&gt;0,K1323-L1323&gt;0,COUNTIFS(A1324:A$2005,A1323,F1324:F$2005,F1323,H1324:H$2005,H1323,AA1324:AA$2005,"&gt;0")=0),ROUND(K1323-L1323,6),""),"")</f>
        <v/>
      </c>
      <c r="X1323" s="60" t="str">
        <f>IF(AND(A1323="",C1323="",D1323="",H1323="",L1323=""),"",IF(A1323="","Type manquant",IF(AND(A1323&lt;&gt;"BL",A1323&lt;&gt;"BR",A1323&lt;&gt;"BS"),"Type inconnu (BL, BR ou BS)",IF(AG1323=0,"Date manquante ou invalide",IF(D1323="",IF(A1323="BL","Client manquant",IF(A1323="BR","Fournisseur manquant","Service manquant")),IF(IF(A1323="BL",ISNA(MATCH(D1323,cl_code,0)),IF(A1323="BR",ISNA(MATCH(D1323,fo_code,0)),ISNA(MATCH(D1323,p_services,0)))),IF(A1323="BL","Client inconnu",IF(A1323="BR","Fournisseur inconnu","Service inconnu")),IF(H1323="","Article manquant",IF(ISNA(MATCH(H1323,art_ref,0)),"Article inconnu",IF(OR(NOT(ISNUMBER(L1323)),N(L1323)&lt;=0),"Quantité invalide",IF(AND(K1323&lt;&gt;"",OR(NOT(ISNUMBER(K1323)),N(K1323)&lt;=0)),"Qté commandée invalide",IF(AG1323&lt;SUMPRODUCT(MAX((A$6:A1322=A1323)*AG$6:AG1322)),"Date antérieure au bon précédent",IF(AND(A1323&lt;&gt;"BR",ISNUMBER(M1323),N(M1323)&gt;0),IF(A1323="BL","Livré plus que commandé","Sorti plus que demandé"),"OK"))))))))))))</f>
        <v/>
      </c>
      <c r="Y1323" s="57" t="str">
        <f>IF(AND(OR(A1323="BL",A1323="BR",A1323="BS"),AG1323&gt;0,D1323&lt;&gt;""),A1323&amp;"|"&amp;AG1323&amp;"|"&amp;D1323&amp;"|"&amp;F1323,"")</f>
        <v/>
      </c>
      <c r="Z1323" s="57" t="str">
        <f>IF(Y1323="","",IF(COUNTIF(Y$6:Y1322,Y1323)=0,1,0))</f>
        <v/>
      </c>
      <c r="AA1323" s="57" t="str">
        <f>IF(Y1323="","",IF(Z1323=1,COUNTIFS(A$6:A1323,A1323,Z$6:Z1323,1),INDEX(AA$6:AA1322,MATCH(Y1323,Y$6:Y1322,0))))</f>
        <v/>
      </c>
      <c r="AB1323" s="57" t="str">
        <f>IF(B1323="","",COUNTIF(B$6:B1323,B1323))</f>
        <v/>
      </c>
      <c r="AC1323" s="57" t="str">
        <f>IF(B1323="","",B1323&amp;"#"&amp;AB1323)</f>
        <v/>
      </c>
      <c r="AD1323" s="57" t="str">
        <f>IF(Z1323=1,A1323&amp;AA1323,"")</f>
        <v/>
      </c>
      <c r="AE1323" s="57" t="str">
        <f>IF(B1323="","",YEAR(C1323))</f>
        <v/>
      </c>
      <c r="AF1323" s="57" t="str">
        <f>IF(B1323="","",MONTH(C1323))</f>
        <v/>
      </c>
      <c r="AG1323" s="57">
        <f>IF(ISNUMBER(C1323),C1323,0)</f>
        <v>0.0</v>
      </c>
      <c r="AH1323" s="57" t="str">
        <f>IF(N(W1323)&gt;0,COUNTIF(W$6:W1323,"&gt;0"),"")</f>
        <v/>
      </c>
      <c r="AI1323" s="57" t="str">
        <f>IF(Z1323=1,COUNTIF(Z$6:Z1323,1),"")</f>
        <v/>
      </c>
    </row>
    <row r="1324">
      <c r="A1324" s="54" t="n"/>
      <c r="B1324" s="55" t="str">
        <f>IF(AA1324="","",A1324&amp;"-"&amp;RIGHT("000"&amp;AA1324,4))</f>
        <v/>
      </c>
      <c r="C1324" s="56" t="n"/>
      <c r="D1324" s="54" t="n"/>
      <c r="E1324" s="57" t="str">
        <f>IF(D1324="","",IF(A1324="BL",IFERROR(INDEX(cl_name,MATCH(D1324,cl_code,0))&amp;"","Client inconnu"),IF(A1324="BR",IFERROR(INDEX(fo_name,MATCH(D1324,fo_code,0))&amp;"","Fournisseur inconnu"),IF(A1324="BS",IF(ISNA(MATCH(D1324,p_services,0)),"Service inconnu",D1324&amp;""),""))))</f>
        <v/>
      </c>
      <c r="F1324" s="58" t="n"/>
      <c r="G1324" s="58" t="n"/>
      <c r="H1324" s="59" t="n"/>
      <c r="I1324" s="57" t="str">
        <f>IF(H1324="","",IFERROR(INDEX(art_des,MATCH(H1324,art_ref,0))&amp;"","Article inconnu"))</f>
        <v/>
      </c>
      <c r="J1324" s="60" t="str">
        <f>IF(H1324="","",IFERROR(INDEX(art_unit,MATCH(H1324,art_ref,0))&amp;"",""))</f>
        <v/>
      </c>
      <c r="K1324" s="59" t="n"/>
      <c r="L1324" s="59" t="n"/>
      <c r="M1324" s="61" t="str">
        <f>IF(OR(B1324="",NOT(ISNUMBER(K1324)),NOT(ISNUMBER(L1324))),"",IF(OR(K1324&lt;=0,L1324&lt;=0),"",ROUND(L1324-K1324,6)))</f>
        <v/>
      </c>
      <c r="N1324" s="58" t="n"/>
      <c r="O1324" s="62" t="n"/>
      <c r="P1324" s="63" t="str">
        <f>IF(OR(B1324="",NOT(ISNUMBER(L1324))),"",IF(L1324&lt;=0,"",IFERROR(ROUND(L1324*N(INDEX(art_w,MATCH(H1324,art_ref,0))),3),"")))</f>
        <v/>
      </c>
      <c r="Q1324" s="59" t="n"/>
      <c r="R1324" s="54" t="n"/>
      <c r="S1324" s="59" t="n"/>
      <c r="T1324" s="59" t="n"/>
      <c r="U1324" s="64" t="str">
        <f>IF(OR(B1324="",H1324=""),"",IFERROR(IF(A1324="BL",IF(N(INDEX(art_price,MATCH(H1324,art_ref,0)))=0,"",N(INDEX(art_price,MATCH(H1324,art_ref,0)))),IF(N(INDEX(art_cost,MATCH(H1324,art_ref,0)))=0,"",N(INDEX(art_cost,MATCH(H1324,art_ref,0))))),""))</f>
        <v/>
      </c>
      <c r="V1324" s="64" t="str">
        <f>IF(OR(U1324="",NOT(ISNUMBER(L1324))),"",IF(L1324&lt;=0,"",ROUND(L1324*U1324,2)))</f>
        <v/>
      </c>
      <c r="W1324" s="60" t="str">
        <f>IF(AND(B1324&lt;&gt;"",A1324&lt;&gt;"BS",F1324&lt;&gt;"",H1324&lt;&gt;"",ISNUMBER(K1324),ISNUMBER(L1324)),IF(AND(K1324&gt;0,L1324&gt;0,K1324-L1324&gt;0,COUNTIFS(A1325:A$2005,A1324,F1325:F$2005,F1324,H1325:H$2005,H1324,AA1325:AA$2005,"&gt;0")=0),ROUND(K1324-L1324,6),""),"")</f>
        <v/>
      </c>
      <c r="X1324" s="60" t="str">
        <f>IF(AND(A1324="",C1324="",D1324="",H1324="",L1324=""),"",IF(A1324="","Type manquant",IF(AND(A1324&lt;&gt;"BL",A1324&lt;&gt;"BR",A1324&lt;&gt;"BS"),"Type inconnu (BL, BR ou BS)",IF(AG1324=0,"Date manquante ou invalide",IF(D1324="",IF(A1324="BL","Client manquant",IF(A1324="BR","Fournisseur manquant","Service manquant")),IF(IF(A1324="BL",ISNA(MATCH(D1324,cl_code,0)),IF(A1324="BR",ISNA(MATCH(D1324,fo_code,0)),ISNA(MATCH(D1324,p_services,0)))),IF(A1324="BL","Client inconnu",IF(A1324="BR","Fournisseur inconnu","Service inconnu")),IF(H1324="","Article manquant",IF(ISNA(MATCH(H1324,art_ref,0)),"Article inconnu",IF(OR(NOT(ISNUMBER(L1324)),N(L1324)&lt;=0),"Quantité invalide",IF(AND(K1324&lt;&gt;"",OR(NOT(ISNUMBER(K1324)),N(K1324)&lt;=0)),"Qté commandée invalide",IF(AG1324&lt;SUMPRODUCT(MAX((A$6:A1323=A1324)*AG$6:AG1323)),"Date antérieure au bon précédent",IF(AND(A1324&lt;&gt;"BR",ISNUMBER(M1324),N(M1324)&gt;0),IF(A1324="BL","Livré plus que commandé","Sorti plus que demandé"),"OK"))))))))))))</f>
        <v/>
      </c>
      <c r="Y1324" s="57" t="str">
        <f>IF(AND(OR(A1324="BL",A1324="BR",A1324="BS"),AG1324&gt;0,D1324&lt;&gt;""),A1324&amp;"|"&amp;AG1324&amp;"|"&amp;D1324&amp;"|"&amp;F1324,"")</f>
        <v/>
      </c>
      <c r="Z1324" s="57" t="str">
        <f>IF(Y1324="","",IF(COUNTIF(Y$6:Y1323,Y1324)=0,1,0))</f>
        <v/>
      </c>
      <c r="AA1324" s="57" t="str">
        <f>IF(Y1324="","",IF(Z1324=1,COUNTIFS(A$6:A1324,A1324,Z$6:Z1324,1),INDEX(AA$6:AA1323,MATCH(Y1324,Y$6:Y1323,0))))</f>
        <v/>
      </c>
      <c r="AB1324" s="57" t="str">
        <f>IF(B1324="","",COUNTIF(B$6:B1324,B1324))</f>
        <v/>
      </c>
      <c r="AC1324" s="57" t="str">
        <f>IF(B1324="","",B1324&amp;"#"&amp;AB1324)</f>
        <v/>
      </c>
      <c r="AD1324" s="57" t="str">
        <f>IF(Z1324=1,A1324&amp;AA1324,"")</f>
        <v/>
      </c>
      <c r="AE1324" s="57" t="str">
        <f>IF(B1324="","",YEAR(C1324))</f>
        <v/>
      </c>
      <c r="AF1324" s="57" t="str">
        <f>IF(B1324="","",MONTH(C1324))</f>
        <v/>
      </c>
      <c r="AG1324" s="57">
        <f>IF(ISNUMBER(C1324),C1324,0)</f>
        <v>0.0</v>
      </c>
      <c r="AH1324" s="57" t="str">
        <f>IF(N(W1324)&gt;0,COUNTIF(W$6:W1324,"&gt;0"),"")</f>
        <v/>
      </c>
      <c r="AI1324" s="57" t="str">
        <f>IF(Z1324=1,COUNTIF(Z$6:Z1324,1),"")</f>
        <v/>
      </c>
    </row>
    <row r="1325">
      <c r="A1325" s="54" t="n"/>
      <c r="B1325" s="55" t="str">
        <f>IF(AA1325="","",A1325&amp;"-"&amp;RIGHT("000"&amp;AA1325,4))</f>
        <v/>
      </c>
      <c r="C1325" s="56" t="n"/>
      <c r="D1325" s="54" t="n"/>
      <c r="E1325" s="57" t="str">
        <f>IF(D1325="","",IF(A1325="BL",IFERROR(INDEX(cl_name,MATCH(D1325,cl_code,0))&amp;"","Client inconnu"),IF(A1325="BR",IFERROR(INDEX(fo_name,MATCH(D1325,fo_code,0))&amp;"","Fournisseur inconnu"),IF(A1325="BS",IF(ISNA(MATCH(D1325,p_services,0)),"Service inconnu",D1325&amp;""),""))))</f>
        <v/>
      </c>
      <c r="F1325" s="58" t="n"/>
      <c r="G1325" s="58" t="n"/>
      <c r="H1325" s="59" t="n"/>
      <c r="I1325" s="57" t="str">
        <f>IF(H1325="","",IFERROR(INDEX(art_des,MATCH(H1325,art_ref,0))&amp;"","Article inconnu"))</f>
        <v/>
      </c>
      <c r="J1325" s="60" t="str">
        <f>IF(H1325="","",IFERROR(INDEX(art_unit,MATCH(H1325,art_ref,0))&amp;"",""))</f>
        <v/>
      </c>
      <c r="K1325" s="59" t="n"/>
      <c r="L1325" s="59" t="n"/>
      <c r="M1325" s="61" t="str">
        <f>IF(OR(B1325="",NOT(ISNUMBER(K1325)),NOT(ISNUMBER(L1325))),"",IF(OR(K1325&lt;=0,L1325&lt;=0),"",ROUND(L1325-K1325,6)))</f>
        <v/>
      </c>
      <c r="N1325" s="58" t="n"/>
      <c r="O1325" s="62" t="n"/>
      <c r="P1325" s="63" t="str">
        <f>IF(OR(B1325="",NOT(ISNUMBER(L1325))),"",IF(L1325&lt;=0,"",IFERROR(ROUND(L1325*N(INDEX(art_w,MATCH(H1325,art_ref,0))),3),"")))</f>
        <v/>
      </c>
      <c r="Q1325" s="59" t="n"/>
      <c r="R1325" s="54" t="n"/>
      <c r="S1325" s="59" t="n"/>
      <c r="T1325" s="59" t="n"/>
      <c r="U1325" s="64" t="str">
        <f>IF(OR(B1325="",H1325=""),"",IFERROR(IF(A1325="BL",IF(N(INDEX(art_price,MATCH(H1325,art_ref,0)))=0,"",N(INDEX(art_price,MATCH(H1325,art_ref,0)))),IF(N(INDEX(art_cost,MATCH(H1325,art_ref,0)))=0,"",N(INDEX(art_cost,MATCH(H1325,art_ref,0))))),""))</f>
        <v/>
      </c>
      <c r="V1325" s="64" t="str">
        <f>IF(OR(U1325="",NOT(ISNUMBER(L1325))),"",IF(L1325&lt;=0,"",ROUND(L1325*U1325,2)))</f>
        <v/>
      </c>
      <c r="W1325" s="60" t="str">
        <f>IF(AND(B1325&lt;&gt;"",A1325&lt;&gt;"BS",F1325&lt;&gt;"",H1325&lt;&gt;"",ISNUMBER(K1325),ISNUMBER(L1325)),IF(AND(K1325&gt;0,L1325&gt;0,K1325-L1325&gt;0,COUNTIFS(A1326:A$2005,A1325,F1326:F$2005,F1325,H1326:H$2005,H1325,AA1326:AA$2005,"&gt;0")=0),ROUND(K1325-L1325,6),""),"")</f>
        <v/>
      </c>
      <c r="X1325" s="60" t="str">
        <f>IF(AND(A1325="",C1325="",D1325="",H1325="",L1325=""),"",IF(A1325="","Type manquant",IF(AND(A1325&lt;&gt;"BL",A1325&lt;&gt;"BR",A1325&lt;&gt;"BS"),"Type inconnu (BL, BR ou BS)",IF(AG1325=0,"Date manquante ou invalide",IF(D1325="",IF(A1325="BL","Client manquant",IF(A1325="BR","Fournisseur manquant","Service manquant")),IF(IF(A1325="BL",ISNA(MATCH(D1325,cl_code,0)),IF(A1325="BR",ISNA(MATCH(D1325,fo_code,0)),ISNA(MATCH(D1325,p_services,0)))),IF(A1325="BL","Client inconnu",IF(A1325="BR","Fournisseur inconnu","Service inconnu")),IF(H1325="","Article manquant",IF(ISNA(MATCH(H1325,art_ref,0)),"Article inconnu",IF(OR(NOT(ISNUMBER(L1325)),N(L1325)&lt;=0),"Quantité invalide",IF(AND(K1325&lt;&gt;"",OR(NOT(ISNUMBER(K1325)),N(K1325)&lt;=0)),"Qté commandée invalide",IF(AG1325&lt;SUMPRODUCT(MAX((A$6:A1324=A1325)*AG$6:AG1324)),"Date antérieure au bon précédent",IF(AND(A1325&lt;&gt;"BR",ISNUMBER(M1325),N(M1325)&gt;0),IF(A1325="BL","Livré plus que commandé","Sorti plus que demandé"),"OK"))))))))))))</f>
        <v/>
      </c>
      <c r="Y1325" s="57" t="str">
        <f>IF(AND(OR(A1325="BL",A1325="BR",A1325="BS"),AG1325&gt;0,D1325&lt;&gt;""),A1325&amp;"|"&amp;AG1325&amp;"|"&amp;D1325&amp;"|"&amp;F1325,"")</f>
        <v/>
      </c>
      <c r="Z1325" s="57" t="str">
        <f>IF(Y1325="","",IF(COUNTIF(Y$6:Y1324,Y1325)=0,1,0))</f>
        <v/>
      </c>
      <c r="AA1325" s="57" t="str">
        <f>IF(Y1325="","",IF(Z1325=1,COUNTIFS(A$6:A1325,A1325,Z$6:Z1325,1),INDEX(AA$6:AA1324,MATCH(Y1325,Y$6:Y1324,0))))</f>
        <v/>
      </c>
      <c r="AB1325" s="57" t="str">
        <f>IF(B1325="","",COUNTIF(B$6:B1325,B1325))</f>
        <v/>
      </c>
      <c r="AC1325" s="57" t="str">
        <f>IF(B1325="","",B1325&amp;"#"&amp;AB1325)</f>
        <v/>
      </c>
      <c r="AD1325" s="57" t="str">
        <f>IF(Z1325=1,A1325&amp;AA1325,"")</f>
        <v/>
      </c>
      <c r="AE1325" s="57" t="str">
        <f>IF(B1325="","",YEAR(C1325))</f>
        <v/>
      </c>
      <c r="AF1325" s="57" t="str">
        <f>IF(B1325="","",MONTH(C1325))</f>
        <v/>
      </c>
      <c r="AG1325" s="57">
        <f>IF(ISNUMBER(C1325),C1325,0)</f>
        <v>0.0</v>
      </c>
      <c r="AH1325" s="57" t="str">
        <f>IF(N(W1325)&gt;0,COUNTIF(W$6:W1325,"&gt;0"),"")</f>
        <v/>
      </c>
      <c r="AI1325" s="57" t="str">
        <f>IF(Z1325=1,COUNTIF(Z$6:Z1325,1),"")</f>
        <v/>
      </c>
    </row>
    <row r="1326">
      <c r="A1326" s="54" t="n"/>
      <c r="B1326" s="55" t="str">
        <f>IF(AA1326="","",A1326&amp;"-"&amp;RIGHT("000"&amp;AA1326,4))</f>
        <v/>
      </c>
      <c r="C1326" s="56" t="n"/>
      <c r="D1326" s="54" t="n"/>
      <c r="E1326" s="57" t="str">
        <f>IF(D1326="","",IF(A1326="BL",IFERROR(INDEX(cl_name,MATCH(D1326,cl_code,0))&amp;"","Client inconnu"),IF(A1326="BR",IFERROR(INDEX(fo_name,MATCH(D1326,fo_code,0))&amp;"","Fournisseur inconnu"),IF(A1326="BS",IF(ISNA(MATCH(D1326,p_services,0)),"Service inconnu",D1326&amp;""),""))))</f>
        <v/>
      </c>
      <c r="F1326" s="58" t="n"/>
      <c r="G1326" s="58" t="n"/>
      <c r="H1326" s="59" t="n"/>
      <c r="I1326" s="57" t="str">
        <f>IF(H1326="","",IFERROR(INDEX(art_des,MATCH(H1326,art_ref,0))&amp;"","Article inconnu"))</f>
        <v/>
      </c>
      <c r="J1326" s="60" t="str">
        <f>IF(H1326="","",IFERROR(INDEX(art_unit,MATCH(H1326,art_ref,0))&amp;"",""))</f>
        <v/>
      </c>
      <c r="K1326" s="59" t="n"/>
      <c r="L1326" s="59" t="n"/>
      <c r="M1326" s="61" t="str">
        <f>IF(OR(B1326="",NOT(ISNUMBER(K1326)),NOT(ISNUMBER(L1326))),"",IF(OR(K1326&lt;=0,L1326&lt;=0),"",ROUND(L1326-K1326,6)))</f>
        <v/>
      </c>
      <c r="N1326" s="58" t="n"/>
      <c r="O1326" s="62" t="n"/>
      <c r="P1326" s="63" t="str">
        <f>IF(OR(B1326="",NOT(ISNUMBER(L1326))),"",IF(L1326&lt;=0,"",IFERROR(ROUND(L1326*N(INDEX(art_w,MATCH(H1326,art_ref,0))),3),"")))</f>
        <v/>
      </c>
      <c r="Q1326" s="59" t="n"/>
      <c r="R1326" s="54" t="n"/>
      <c r="S1326" s="59" t="n"/>
      <c r="T1326" s="59" t="n"/>
      <c r="U1326" s="64" t="str">
        <f>IF(OR(B1326="",H1326=""),"",IFERROR(IF(A1326="BL",IF(N(INDEX(art_price,MATCH(H1326,art_ref,0)))=0,"",N(INDEX(art_price,MATCH(H1326,art_ref,0)))),IF(N(INDEX(art_cost,MATCH(H1326,art_ref,0)))=0,"",N(INDEX(art_cost,MATCH(H1326,art_ref,0))))),""))</f>
        <v/>
      </c>
      <c r="V1326" s="64" t="str">
        <f>IF(OR(U1326="",NOT(ISNUMBER(L1326))),"",IF(L1326&lt;=0,"",ROUND(L1326*U1326,2)))</f>
        <v/>
      </c>
      <c r="W1326" s="60" t="str">
        <f>IF(AND(B1326&lt;&gt;"",A1326&lt;&gt;"BS",F1326&lt;&gt;"",H1326&lt;&gt;"",ISNUMBER(K1326),ISNUMBER(L1326)),IF(AND(K1326&gt;0,L1326&gt;0,K1326-L1326&gt;0,COUNTIFS(A1327:A$2005,A1326,F1327:F$2005,F1326,H1327:H$2005,H1326,AA1327:AA$2005,"&gt;0")=0),ROUND(K1326-L1326,6),""),"")</f>
        <v/>
      </c>
      <c r="X1326" s="60" t="str">
        <f>IF(AND(A1326="",C1326="",D1326="",H1326="",L1326=""),"",IF(A1326="","Type manquant",IF(AND(A1326&lt;&gt;"BL",A1326&lt;&gt;"BR",A1326&lt;&gt;"BS"),"Type inconnu (BL, BR ou BS)",IF(AG1326=0,"Date manquante ou invalide",IF(D1326="",IF(A1326="BL","Client manquant",IF(A1326="BR","Fournisseur manquant","Service manquant")),IF(IF(A1326="BL",ISNA(MATCH(D1326,cl_code,0)),IF(A1326="BR",ISNA(MATCH(D1326,fo_code,0)),ISNA(MATCH(D1326,p_services,0)))),IF(A1326="BL","Client inconnu",IF(A1326="BR","Fournisseur inconnu","Service inconnu")),IF(H1326="","Article manquant",IF(ISNA(MATCH(H1326,art_ref,0)),"Article inconnu",IF(OR(NOT(ISNUMBER(L1326)),N(L1326)&lt;=0),"Quantité invalide",IF(AND(K1326&lt;&gt;"",OR(NOT(ISNUMBER(K1326)),N(K1326)&lt;=0)),"Qté commandée invalide",IF(AG1326&lt;SUMPRODUCT(MAX((A$6:A1325=A1326)*AG$6:AG1325)),"Date antérieure au bon précédent",IF(AND(A1326&lt;&gt;"BR",ISNUMBER(M1326),N(M1326)&gt;0),IF(A1326="BL","Livré plus que commandé","Sorti plus que demandé"),"OK"))))))))))))</f>
        <v/>
      </c>
      <c r="Y1326" s="57" t="str">
        <f>IF(AND(OR(A1326="BL",A1326="BR",A1326="BS"),AG1326&gt;0,D1326&lt;&gt;""),A1326&amp;"|"&amp;AG1326&amp;"|"&amp;D1326&amp;"|"&amp;F1326,"")</f>
        <v/>
      </c>
      <c r="Z1326" s="57" t="str">
        <f>IF(Y1326="","",IF(COUNTIF(Y$6:Y1325,Y1326)=0,1,0))</f>
        <v/>
      </c>
      <c r="AA1326" s="57" t="str">
        <f>IF(Y1326="","",IF(Z1326=1,COUNTIFS(A$6:A1326,A1326,Z$6:Z1326,1),INDEX(AA$6:AA1325,MATCH(Y1326,Y$6:Y1325,0))))</f>
        <v/>
      </c>
      <c r="AB1326" s="57" t="str">
        <f>IF(B1326="","",COUNTIF(B$6:B1326,B1326))</f>
        <v/>
      </c>
      <c r="AC1326" s="57" t="str">
        <f>IF(B1326="","",B1326&amp;"#"&amp;AB1326)</f>
        <v/>
      </c>
      <c r="AD1326" s="57" t="str">
        <f>IF(Z1326=1,A1326&amp;AA1326,"")</f>
        <v/>
      </c>
      <c r="AE1326" s="57" t="str">
        <f>IF(B1326="","",YEAR(C1326))</f>
        <v/>
      </c>
      <c r="AF1326" s="57" t="str">
        <f>IF(B1326="","",MONTH(C1326))</f>
        <v/>
      </c>
      <c r="AG1326" s="57">
        <f>IF(ISNUMBER(C1326),C1326,0)</f>
        <v>0.0</v>
      </c>
      <c r="AH1326" s="57" t="str">
        <f>IF(N(W1326)&gt;0,COUNTIF(W$6:W1326,"&gt;0"),"")</f>
        <v/>
      </c>
      <c r="AI1326" s="57" t="str">
        <f>IF(Z1326=1,COUNTIF(Z$6:Z1326,1),"")</f>
        <v/>
      </c>
    </row>
    <row r="1327">
      <c r="A1327" s="54" t="n"/>
      <c r="B1327" s="55" t="str">
        <f>IF(AA1327="","",A1327&amp;"-"&amp;RIGHT("000"&amp;AA1327,4))</f>
        <v/>
      </c>
      <c r="C1327" s="56" t="n"/>
      <c r="D1327" s="54" t="n"/>
      <c r="E1327" s="57" t="str">
        <f>IF(D1327="","",IF(A1327="BL",IFERROR(INDEX(cl_name,MATCH(D1327,cl_code,0))&amp;"","Client inconnu"),IF(A1327="BR",IFERROR(INDEX(fo_name,MATCH(D1327,fo_code,0))&amp;"","Fournisseur inconnu"),IF(A1327="BS",IF(ISNA(MATCH(D1327,p_services,0)),"Service inconnu",D1327&amp;""),""))))</f>
        <v/>
      </c>
      <c r="F1327" s="58" t="n"/>
      <c r="G1327" s="58" t="n"/>
      <c r="H1327" s="59" t="n"/>
      <c r="I1327" s="57" t="str">
        <f>IF(H1327="","",IFERROR(INDEX(art_des,MATCH(H1327,art_ref,0))&amp;"","Article inconnu"))</f>
        <v/>
      </c>
      <c r="J1327" s="60" t="str">
        <f>IF(H1327="","",IFERROR(INDEX(art_unit,MATCH(H1327,art_ref,0))&amp;"",""))</f>
        <v/>
      </c>
      <c r="K1327" s="59" t="n"/>
      <c r="L1327" s="59" t="n"/>
      <c r="M1327" s="61" t="str">
        <f>IF(OR(B1327="",NOT(ISNUMBER(K1327)),NOT(ISNUMBER(L1327))),"",IF(OR(K1327&lt;=0,L1327&lt;=0),"",ROUND(L1327-K1327,6)))</f>
        <v/>
      </c>
      <c r="N1327" s="58" t="n"/>
      <c r="O1327" s="62" t="n"/>
      <c r="P1327" s="63" t="str">
        <f>IF(OR(B1327="",NOT(ISNUMBER(L1327))),"",IF(L1327&lt;=0,"",IFERROR(ROUND(L1327*N(INDEX(art_w,MATCH(H1327,art_ref,0))),3),"")))</f>
        <v/>
      </c>
      <c r="Q1327" s="59" t="n"/>
      <c r="R1327" s="54" t="n"/>
      <c r="S1327" s="59" t="n"/>
      <c r="T1327" s="59" t="n"/>
      <c r="U1327" s="64" t="str">
        <f>IF(OR(B1327="",H1327=""),"",IFERROR(IF(A1327="BL",IF(N(INDEX(art_price,MATCH(H1327,art_ref,0)))=0,"",N(INDEX(art_price,MATCH(H1327,art_ref,0)))),IF(N(INDEX(art_cost,MATCH(H1327,art_ref,0)))=0,"",N(INDEX(art_cost,MATCH(H1327,art_ref,0))))),""))</f>
        <v/>
      </c>
      <c r="V1327" s="64" t="str">
        <f>IF(OR(U1327="",NOT(ISNUMBER(L1327))),"",IF(L1327&lt;=0,"",ROUND(L1327*U1327,2)))</f>
        <v/>
      </c>
      <c r="W1327" s="60" t="str">
        <f>IF(AND(B1327&lt;&gt;"",A1327&lt;&gt;"BS",F1327&lt;&gt;"",H1327&lt;&gt;"",ISNUMBER(K1327),ISNUMBER(L1327)),IF(AND(K1327&gt;0,L1327&gt;0,K1327-L1327&gt;0,COUNTIFS(A1328:A$2005,A1327,F1328:F$2005,F1327,H1328:H$2005,H1327,AA1328:AA$2005,"&gt;0")=0),ROUND(K1327-L1327,6),""),"")</f>
        <v/>
      </c>
      <c r="X1327" s="60" t="str">
        <f>IF(AND(A1327="",C1327="",D1327="",H1327="",L1327=""),"",IF(A1327="","Type manquant",IF(AND(A1327&lt;&gt;"BL",A1327&lt;&gt;"BR",A1327&lt;&gt;"BS"),"Type inconnu (BL, BR ou BS)",IF(AG1327=0,"Date manquante ou invalide",IF(D1327="",IF(A1327="BL","Client manquant",IF(A1327="BR","Fournisseur manquant","Service manquant")),IF(IF(A1327="BL",ISNA(MATCH(D1327,cl_code,0)),IF(A1327="BR",ISNA(MATCH(D1327,fo_code,0)),ISNA(MATCH(D1327,p_services,0)))),IF(A1327="BL","Client inconnu",IF(A1327="BR","Fournisseur inconnu","Service inconnu")),IF(H1327="","Article manquant",IF(ISNA(MATCH(H1327,art_ref,0)),"Article inconnu",IF(OR(NOT(ISNUMBER(L1327)),N(L1327)&lt;=0),"Quantité invalide",IF(AND(K1327&lt;&gt;"",OR(NOT(ISNUMBER(K1327)),N(K1327)&lt;=0)),"Qté commandée invalide",IF(AG1327&lt;SUMPRODUCT(MAX((A$6:A1326=A1327)*AG$6:AG1326)),"Date antérieure au bon précédent",IF(AND(A1327&lt;&gt;"BR",ISNUMBER(M1327),N(M1327)&gt;0),IF(A1327="BL","Livré plus que commandé","Sorti plus que demandé"),"OK"))))))))))))</f>
        <v/>
      </c>
      <c r="Y1327" s="57" t="str">
        <f>IF(AND(OR(A1327="BL",A1327="BR",A1327="BS"),AG1327&gt;0,D1327&lt;&gt;""),A1327&amp;"|"&amp;AG1327&amp;"|"&amp;D1327&amp;"|"&amp;F1327,"")</f>
        <v/>
      </c>
      <c r="Z1327" s="57" t="str">
        <f>IF(Y1327="","",IF(COUNTIF(Y$6:Y1326,Y1327)=0,1,0))</f>
        <v/>
      </c>
      <c r="AA1327" s="57" t="str">
        <f>IF(Y1327="","",IF(Z1327=1,COUNTIFS(A$6:A1327,A1327,Z$6:Z1327,1),INDEX(AA$6:AA1326,MATCH(Y1327,Y$6:Y1326,0))))</f>
        <v/>
      </c>
      <c r="AB1327" s="57" t="str">
        <f>IF(B1327="","",COUNTIF(B$6:B1327,B1327))</f>
        <v/>
      </c>
      <c r="AC1327" s="57" t="str">
        <f>IF(B1327="","",B1327&amp;"#"&amp;AB1327)</f>
        <v/>
      </c>
      <c r="AD1327" s="57" t="str">
        <f>IF(Z1327=1,A1327&amp;AA1327,"")</f>
        <v/>
      </c>
      <c r="AE1327" s="57" t="str">
        <f>IF(B1327="","",YEAR(C1327))</f>
        <v/>
      </c>
      <c r="AF1327" s="57" t="str">
        <f>IF(B1327="","",MONTH(C1327))</f>
        <v/>
      </c>
      <c r="AG1327" s="57">
        <f>IF(ISNUMBER(C1327),C1327,0)</f>
        <v>0.0</v>
      </c>
      <c r="AH1327" s="57" t="str">
        <f>IF(N(W1327)&gt;0,COUNTIF(W$6:W1327,"&gt;0"),"")</f>
        <v/>
      </c>
      <c r="AI1327" s="57" t="str">
        <f>IF(Z1327=1,COUNTIF(Z$6:Z1327,1),"")</f>
        <v/>
      </c>
    </row>
    <row r="1328">
      <c r="A1328" s="54" t="n"/>
      <c r="B1328" s="55" t="str">
        <f>IF(AA1328="","",A1328&amp;"-"&amp;RIGHT("000"&amp;AA1328,4))</f>
        <v/>
      </c>
      <c r="C1328" s="56" t="n"/>
      <c r="D1328" s="54" t="n"/>
      <c r="E1328" s="57" t="str">
        <f>IF(D1328="","",IF(A1328="BL",IFERROR(INDEX(cl_name,MATCH(D1328,cl_code,0))&amp;"","Client inconnu"),IF(A1328="BR",IFERROR(INDEX(fo_name,MATCH(D1328,fo_code,0))&amp;"","Fournisseur inconnu"),IF(A1328="BS",IF(ISNA(MATCH(D1328,p_services,0)),"Service inconnu",D1328&amp;""),""))))</f>
        <v/>
      </c>
      <c r="F1328" s="58" t="n"/>
      <c r="G1328" s="58" t="n"/>
      <c r="H1328" s="59" t="n"/>
      <c r="I1328" s="57" t="str">
        <f>IF(H1328="","",IFERROR(INDEX(art_des,MATCH(H1328,art_ref,0))&amp;"","Article inconnu"))</f>
        <v/>
      </c>
      <c r="J1328" s="60" t="str">
        <f>IF(H1328="","",IFERROR(INDEX(art_unit,MATCH(H1328,art_ref,0))&amp;"",""))</f>
        <v/>
      </c>
      <c r="K1328" s="59" t="n"/>
      <c r="L1328" s="59" t="n"/>
      <c r="M1328" s="61" t="str">
        <f>IF(OR(B1328="",NOT(ISNUMBER(K1328)),NOT(ISNUMBER(L1328))),"",IF(OR(K1328&lt;=0,L1328&lt;=0),"",ROUND(L1328-K1328,6)))</f>
        <v/>
      </c>
      <c r="N1328" s="58" t="n"/>
      <c r="O1328" s="62" t="n"/>
      <c r="P1328" s="63" t="str">
        <f>IF(OR(B1328="",NOT(ISNUMBER(L1328))),"",IF(L1328&lt;=0,"",IFERROR(ROUND(L1328*N(INDEX(art_w,MATCH(H1328,art_ref,0))),3),"")))</f>
        <v/>
      </c>
      <c r="Q1328" s="59" t="n"/>
      <c r="R1328" s="54" t="n"/>
      <c r="S1328" s="59" t="n"/>
      <c r="T1328" s="59" t="n"/>
      <c r="U1328" s="64" t="str">
        <f>IF(OR(B1328="",H1328=""),"",IFERROR(IF(A1328="BL",IF(N(INDEX(art_price,MATCH(H1328,art_ref,0)))=0,"",N(INDEX(art_price,MATCH(H1328,art_ref,0)))),IF(N(INDEX(art_cost,MATCH(H1328,art_ref,0)))=0,"",N(INDEX(art_cost,MATCH(H1328,art_ref,0))))),""))</f>
        <v/>
      </c>
      <c r="V1328" s="64" t="str">
        <f>IF(OR(U1328="",NOT(ISNUMBER(L1328))),"",IF(L1328&lt;=0,"",ROUND(L1328*U1328,2)))</f>
        <v/>
      </c>
      <c r="W1328" s="60" t="str">
        <f>IF(AND(B1328&lt;&gt;"",A1328&lt;&gt;"BS",F1328&lt;&gt;"",H1328&lt;&gt;"",ISNUMBER(K1328),ISNUMBER(L1328)),IF(AND(K1328&gt;0,L1328&gt;0,K1328-L1328&gt;0,COUNTIFS(A1329:A$2005,A1328,F1329:F$2005,F1328,H1329:H$2005,H1328,AA1329:AA$2005,"&gt;0")=0),ROUND(K1328-L1328,6),""),"")</f>
        <v/>
      </c>
      <c r="X1328" s="60" t="str">
        <f>IF(AND(A1328="",C1328="",D1328="",H1328="",L1328=""),"",IF(A1328="","Type manquant",IF(AND(A1328&lt;&gt;"BL",A1328&lt;&gt;"BR",A1328&lt;&gt;"BS"),"Type inconnu (BL, BR ou BS)",IF(AG1328=0,"Date manquante ou invalide",IF(D1328="",IF(A1328="BL","Client manquant",IF(A1328="BR","Fournisseur manquant","Service manquant")),IF(IF(A1328="BL",ISNA(MATCH(D1328,cl_code,0)),IF(A1328="BR",ISNA(MATCH(D1328,fo_code,0)),ISNA(MATCH(D1328,p_services,0)))),IF(A1328="BL","Client inconnu",IF(A1328="BR","Fournisseur inconnu","Service inconnu")),IF(H1328="","Article manquant",IF(ISNA(MATCH(H1328,art_ref,0)),"Article inconnu",IF(OR(NOT(ISNUMBER(L1328)),N(L1328)&lt;=0),"Quantité invalide",IF(AND(K1328&lt;&gt;"",OR(NOT(ISNUMBER(K1328)),N(K1328)&lt;=0)),"Qté commandée invalide",IF(AG1328&lt;SUMPRODUCT(MAX((A$6:A1327=A1328)*AG$6:AG1327)),"Date antérieure au bon précédent",IF(AND(A1328&lt;&gt;"BR",ISNUMBER(M1328),N(M1328)&gt;0),IF(A1328="BL","Livré plus que commandé","Sorti plus que demandé"),"OK"))))))))))))</f>
        <v/>
      </c>
      <c r="Y1328" s="57" t="str">
        <f>IF(AND(OR(A1328="BL",A1328="BR",A1328="BS"),AG1328&gt;0,D1328&lt;&gt;""),A1328&amp;"|"&amp;AG1328&amp;"|"&amp;D1328&amp;"|"&amp;F1328,"")</f>
        <v/>
      </c>
      <c r="Z1328" s="57" t="str">
        <f>IF(Y1328="","",IF(COUNTIF(Y$6:Y1327,Y1328)=0,1,0))</f>
        <v/>
      </c>
      <c r="AA1328" s="57" t="str">
        <f>IF(Y1328="","",IF(Z1328=1,COUNTIFS(A$6:A1328,A1328,Z$6:Z1328,1),INDEX(AA$6:AA1327,MATCH(Y1328,Y$6:Y1327,0))))</f>
        <v/>
      </c>
      <c r="AB1328" s="57" t="str">
        <f>IF(B1328="","",COUNTIF(B$6:B1328,B1328))</f>
        <v/>
      </c>
      <c r="AC1328" s="57" t="str">
        <f>IF(B1328="","",B1328&amp;"#"&amp;AB1328)</f>
        <v/>
      </c>
      <c r="AD1328" s="57" t="str">
        <f>IF(Z1328=1,A1328&amp;AA1328,"")</f>
        <v/>
      </c>
      <c r="AE1328" s="57" t="str">
        <f>IF(B1328="","",YEAR(C1328))</f>
        <v/>
      </c>
      <c r="AF1328" s="57" t="str">
        <f>IF(B1328="","",MONTH(C1328))</f>
        <v/>
      </c>
      <c r="AG1328" s="57">
        <f>IF(ISNUMBER(C1328),C1328,0)</f>
        <v>0.0</v>
      </c>
      <c r="AH1328" s="57" t="str">
        <f>IF(N(W1328)&gt;0,COUNTIF(W$6:W1328,"&gt;0"),"")</f>
        <v/>
      </c>
      <c r="AI1328" s="57" t="str">
        <f>IF(Z1328=1,COUNTIF(Z$6:Z1328,1),"")</f>
        <v/>
      </c>
    </row>
    <row r="1329">
      <c r="A1329" s="54" t="n"/>
      <c r="B1329" s="55" t="str">
        <f>IF(AA1329="","",A1329&amp;"-"&amp;RIGHT("000"&amp;AA1329,4))</f>
        <v/>
      </c>
      <c r="C1329" s="56" t="n"/>
      <c r="D1329" s="54" t="n"/>
      <c r="E1329" s="57" t="str">
        <f>IF(D1329="","",IF(A1329="BL",IFERROR(INDEX(cl_name,MATCH(D1329,cl_code,0))&amp;"","Client inconnu"),IF(A1329="BR",IFERROR(INDEX(fo_name,MATCH(D1329,fo_code,0))&amp;"","Fournisseur inconnu"),IF(A1329="BS",IF(ISNA(MATCH(D1329,p_services,0)),"Service inconnu",D1329&amp;""),""))))</f>
        <v/>
      </c>
      <c r="F1329" s="58" t="n"/>
      <c r="G1329" s="58" t="n"/>
      <c r="H1329" s="59" t="n"/>
      <c r="I1329" s="57" t="str">
        <f>IF(H1329="","",IFERROR(INDEX(art_des,MATCH(H1329,art_ref,0))&amp;"","Article inconnu"))</f>
        <v/>
      </c>
      <c r="J1329" s="60" t="str">
        <f>IF(H1329="","",IFERROR(INDEX(art_unit,MATCH(H1329,art_ref,0))&amp;"",""))</f>
        <v/>
      </c>
      <c r="K1329" s="59" t="n"/>
      <c r="L1329" s="59" t="n"/>
      <c r="M1329" s="61" t="str">
        <f>IF(OR(B1329="",NOT(ISNUMBER(K1329)),NOT(ISNUMBER(L1329))),"",IF(OR(K1329&lt;=0,L1329&lt;=0),"",ROUND(L1329-K1329,6)))</f>
        <v/>
      </c>
      <c r="N1329" s="58" t="n"/>
      <c r="O1329" s="62" t="n"/>
      <c r="P1329" s="63" t="str">
        <f>IF(OR(B1329="",NOT(ISNUMBER(L1329))),"",IF(L1329&lt;=0,"",IFERROR(ROUND(L1329*N(INDEX(art_w,MATCH(H1329,art_ref,0))),3),"")))</f>
        <v/>
      </c>
      <c r="Q1329" s="59" t="n"/>
      <c r="R1329" s="54" t="n"/>
      <c r="S1329" s="59" t="n"/>
      <c r="T1329" s="59" t="n"/>
      <c r="U1329" s="64" t="str">
        <f>IF(OR(B1329="",H1329=""),"",IFERROR(IF(A1329="BL",IF(N(INDEX(art_price,MATCH(H1329,art_ref,0)))=0,"",N(INDEX(art_price,MATCH(H1329,art_ref,0)))),IF(N(INDEX(art_cost,MATCH(H1329,art_ref,0)))=0,"",N(INDEX(art_cost,MATCH(H1329,art_ref,0))))),""))</f>
        <v/>
      </c>
      <c r="V1329" s="64" t="str">
        <f>IF(OR(U1329="",NOT(ISNUMBER(L1329))),"",IF(L1329&lt;=0,"",ROUND(L1329*U1329,2)))</f>
        <v/>
      </c>
      <c r="W1329" s="60" t="str">
        <f>IF(AND(B1329&lt;&gt;"",A1329&lt;&gt;"BS",F1329&lt;&gt;"",H1329&lt;&gt;"",ISNUMBER(K1329),ISNUMBER(L1329)),IF(AND(K1329&gt;0,L1329&gt;0,K1329-L1329&gt;0,COUNTIFS(A1330:A$2005,A1329,F1330:F$2005,F1329,H1330:H$2005,H1329,AA1330:AA$2005,"&gt;0")=0),ROUND(K1329-L1329,6),""),"")</f>
        <v/>
      </c>
      <c r="X1329" s="60" t="str">
        <f>IF(AND(A1329="",C1329="",D1329="",H1329="",L1329=""),"",IF(A1329="","Type manquant",IF(AND(A1329&lt;&gt;"BL",A1329&lt;&gt;"BR",A1329&lt;&gt;"BS"),"Type inconnu (BL, BR ou BS)",IF(AG1329=0,"Date manquante ou invalide",IF(D1329="",IF(A1329="BL","Client manquant",IF(A1329="BR","Fournisseur manquant","Service manquant")),IF(IF(A1329="BL",ISNA(MATCH(D1329,cl_code,0)),IF(A1329="BR",ISNA(MATCH(D1329,fo_code,0)),ISNA(MATCH(D1329,p_services,0)))),IF(A1329="BL","Client inconnu",IF(A1329="BR","Fournisseur inconnu","Service inconnu")),IF(H1329="","Article manquant",IF(ISNA(MATCH(H1329,art_ref,0)),"Article inconnu",IF(OR(NOT(ISNUMBER(L1329)),N(L1329)&lt;=0),"Quantité invalide",IF(AND(K1329&lt;&gt;"",OR(NOT(ISNUMBER(K1329)),N(K1329)&lt;=0)),"Qté commandée invalide",IF(AG1329&lt;SUMPRODUCT(MAX((A$6:A1328=A1329)*AG$6:AG1328)),"Date antérieure au bon précédent",IF(AND(A1329&lt;&gt;"BR",ISNUMBER(M1329),N(M1329)&gt;0),IF(A1329="BL","Livré plus que commandé","Sorti plus que demandé"),"OK"))))))))))))</f>
        <v/>
      </c>
      <c r="Y1329" s="57" t="str">
        <f>IF(AND(OR(A1329="BL",A1329="BR",A1329="BS"),AG1329&gt;0,D1329&lt;&gt;""),A1329&amp;"|"&amp;AG1329&amp;"|"&amp;D1329&amp;"|"&amp;F1329,"")</f>
        <v/>
      </c>
      <c r="Z1329" s="57" t="str">
        <f>IF(Y1329="","",IF(COUNTIF(Y$6:Y1328,Y1329)=0,1,0))</f>
        <v/>
      </c>
      <c r="AA1329" s="57" t="str">
        <f>IF(Y1329="","",IF(Z1329=1,COUNTIFS(A$6:A1329,A1329,Z$6:Z1329,1),INDEX(AA$6:AA1328,MATCH(Y1329,Y$6:Y1328,0))))</f>
        <v/>
      </c>
      <c r="AB1329" s="57" t="str">
        <f>IF(B1329="","",COUNTIF(B$6:B1329,B1329))</f>
        <v/>
      </c>
      <c r="AC1329" s="57" t="str">
        <f>IF(B1329="","",B1329&amp;"#"&amp;AB1329)</f>
        <v/>
      </c>
      <c r="AD1329" s="57" t="str">
        <f>IF(Z1329=1,A1329&amp;AA1329,"")</f>
        <v/>
      </c>
      <c r="AE1329" s="57" t="str">
        <f>IF(B1329="","",YEAR(C1329))</f>
        <v/>
      </c>
      <c r="AF1329" s="57" t="str">
        <f>IF(B1329="","",MONTH(C1329))</f>
        <v/>
      </c>
      <c r="AG1329" s="57">
        <f>IF(ISNUMBER(C1329),C1329,0)</f>
        <v>0.0</v>
      </c>
      <c r="AH1329" s="57" t="str">
        <f>IF(N(W1329)&gt;0,COUNTIF(W$6:W1329,"&gt;0"),"")</f>
        <v/>
      </c>
      <c r="AI1329" s="57" t="str">
        <f>IF(Z1329=1,COUNTIF(Z$6:Z1329,1),"")</f>
        <v/>
      </c>
    </row>
    <row r="1330">
      <c r="A1330" s="54" t="n"/>
      <c r="B1330" s="55" t="str">
        <f>IF(AA1330="","",A1330&amp;"-"&amp;RIGHT("000"&amp;AA1330,4))</f>
        <v/>
      </c>
      <c r="C1330" s="56" t="n"/>
      <c r="D1330" s="54" t="n"/>
      <c r="E1330" s="57" t="str">
        <f>IF(D1330="","",IF(A1330="BL",IFERROR(INDEX(cl_name,MATCH(D1330,cl_code,0))&amp;"","Client inconnu"),IF(A1330="BR",IFERROR(INDEX(fo_name,MATCH(D1330,fo_code,0))&amp;"","Fournisseur inconnu"),IF(A1330="BS",IF(ISNA(MATCH(D1330,p_services,0)),"Service inconnu",D1330&amp;""),""))))</f>
        <v/>
      </c>
      <c r="F1330" s="58" t="n"/>
      <c r="G1330" s="58" t="n"/>
      <c r="H1330" s="59" t="n"/>
      <c r="I1330" s="57" t="str">
        <f>IF(H1330="","",IFERROR(INDEX(art_des,MATCH(H1330,art_ref,0))&amp;"","Article inconnu"))</f>
        <v/>
      </c>
      <c r="J1330" s="60" t="str">
        <f>IF(H1330="","",IFERROR(INDEX(art_unit,MATCH(H1330,art_ref,0))&amp;"",""))</f>
        <v/>
      </c>
      <c r="K1330" s="59" t="n"/>
      <c r="L1330" s="59" t="n"/>
      <c r="M1330" s="61" t="str">
        <f>IF(OR(B1330="",NOT(ISNUMBER(K1330)),NOT(ISNUMBER(L1330))),"",IF(OR(K1330&lt;=0,L1330&lt;=0),"",ROUND(L1330-K1330,6)))</f>
        <v/>
      </c>
      <c r="N1330" s="58" t="n"/>
      <c r="O1330" s="62" t="n"/>
      <c r="P1330" s="63" t="str">
        <f>IF(OR(B1330="",NOT(ISNUMBER(L1330))),"",IF(L1330&lt;=0,"",IFERROR(ROUND(L1330*N(INDEX(art_w,MATCH(H1330,art_ref,0))),3),"")))</f>
        <v/>
      </c>
      <c r="Q1330" s="59" t="n"/>
      <c r="R1330" s="54" t="n"/>
      <c r="S1330" s="59" t="n"/>
      <c r="T1330" s="59" t="n"/>
      <c r="U1330" s="64" t="str">
        <f>IF(OR(B1330="",H1330=""),"",IFERROR(IF(A1330="BL",IF(N(INDEX(art_price,MATCH(H1330,art_ref,0)))=0,"",N(INDEX(art_price,MATCH(H1330,art_ref,0)))),IF(N(INDEX(art_cost,MATCH(H1330,art_ref,0)))=0,"",N(INDEX(art_cost,MATCH(H1330,art_ref,0))))),""))</f>
        <v/>
      </c>
      <c r="V1330" s="64" t="str">
        <f>IF(OR(U1330="",NOT(ISNUMBER(L1330))),"",IF(L1330&lt;=0,"",ROUND(L1330*U1330,2)))</f>
        <v/>
      </c>
      <c r="W1330" s="60" t="str">
        <f>IF(AND(B1330&lt;&gt;"",A1330&lt;&gt;"BS",F1330&lt;&gt;"",H1330&lt;&gt;"",ISNUMBER(K1330),ISNUMBER(L1330)),IF(AND(K1330&gt;0,L1330&gt;0,K1330-L1330&gt;0,COUNTIFS(A1331:A$2005,A1330,F1331:F$2005,F1330,H1331:H$2005,H1330,AA1331:AA$2005,"&gt;0")=0),ROUND(K1330-L1330,6),""),"")</f>
        <v/>
      </c>
      <c r="X1330" s="60" t="str">
        <f>IF(AND(A1330="",C1330="",D1330="",H1330="",L1330=""),"",IF(A1330="","Type manquant",IF(AND(A1330&lt;&gt;"BL",A1330&lt;&gt;"BR",A1330&lt;&gt;"BS"),"Type inconnu (BL, BR ou BS)",IF(AG1330=0,"Date manquante ou invalide",IF(D1330="",IF(A1330="BL","Client manquant",IF(A1330="BR","Fournisseur manquant","Service manquant")),IF(IF(A1330="BL",ISNA(MATCH(D1330,cl_code,0)),IF(A1330="BR",ISNA(MATCH(D1330,fo_code,0)),ISNA(MATCH(D1330,p_services,0)))),IF(A1330="BL","Client inconnu",IF(A1330="BR","Fournisseur inconnu","Service inconnu")),IF(H1330="","Article manquant",IF(ISNA(MATCH(H1330,art_ref,0)),"Article inconnu",IF(OR(NOT(ISNUMBER(L1330)),N(L1330)&lt;=0),"Quantité invalide",IF(AND(K1330&lt;&gt;"",OR(NOT(ISNUMBER(K1330)),N(K1330)&lt;=0)),"Qté commandée invalide",IF(AG1330&lt;SUMPRODUCT(MAX((A$6:A1329=A1330)*AG$6:AG1329)),"Date antérieure au bon précédent",IF(AND(A1330&lt;&gt;"BR",ISNUMBER(M1330),N(M1330)&gt;0),IF(A1330="BL","Livré plus que commandé","Sorti plus que demandé"),"OK"))))))))))))</f>
        <v/>
      </c>
      <c r="Y1330" s="57" t="str">
        <f>IF(AND(OR(A1330="BL",A1330="BR",A1330="BS"),AG1330&gt;0,D1330&lt;&gt;""),A1330&amp;"|"&amp;AG1330&amp;"|"&amp;D1330&amp;"|"&amp;F1330,"")</f>
        <v/>
      </c>
      <c r="Z1330" s="57" t="str">
        <f>IF(Y1330="","",IF(COUNTIF(Y$6:Y1329,Y1330)=0,1,0))</f>
        <v/>
      </c>
      <c r="AA1330" s="57" t="str">
        <f>IF(Y1330="","",IF(Z1330=1,COUNTIFS(A$6:A1330,A1330,Z$6:Z1330,1),INDEX(AA$6:AA1329,MATCH(Y1330,Y$6:Y1329,0))))</f>
        <v/>
      </c>
      <c r="AB1330" s="57" t="str">
        <f>IF(B1330="","",COUNTIF(B$6:B1330,B1330))</f>
        <v/>
      </c>
      <c r="AC1330" s="57" t="str">
        <f>IF(B1330="","",B1330&amp;"#"&amp;AB1330)</f>
        <v/>
      </c>
      <c r="AD1330" s="57" t="str">
        <f>IF(Z1330=1,A1330&amp;AA1330,"")</f>
        <v/>
      </c>
      <c r="AE1330" s="57" t="str">
        <f>IF(B1330="","",YEAR(C1330))</f>
        <v/>
      </c>
      <c r="AF1330" s="57" t="str">
        <f>IF(B1330="","",MONTH(C1330))</f>
        <v/>
      </c>
      <c r="AG1330" s="57">
        <f>IF(ISNUMBER(C1330),C1330,0)</f>
        <v>0.0</v>
      </c>
      <c r="AH1330" s="57" t="str">
        <f>IF(N(W1330)&gt;0,COUNTIF(W$6:W1330,"&gt;0"),"")</f>
        <v/>
      </c>
      <c r="AI1330" s="57" t="str">
        <f>IF(Z1330=1,COUNTIF(Z$6:Z1330,1),"")</f>
        <v/>
      </c>
    </row>
    <row r="1331">
      <c r="A1331" s="54" t="n"/>
      <c r="B1331" s="55" t="str">
        <f>IF(AA1331="","",A1331&amp;"-"&amp;RIGHT("000"&amp;AA1331,4))</f>
        <v/>
      </c>
      <c r="C1331" s="56" t="n"/>
      <c r="D1331" s="54" t="n"/>
      <c r="E1331" s="57" t="str">
        <f>IF(D1331="","",IF(A1331="BL",IFERROR(INDEX(cl_name,MATCH(D1331,cl_code,0))&amp;"","Client inconnu"),IF(A1331="BR",IFERROR(INDEX(fo_name,MATCH(D1331,fo_code,0))&amp;"","Fournisseur inconnu"),IF(A1331="BS",IF(ISNA(MATCH(D1331,p_services,0)),"Service inconnu",D1331&amp;""),""))))</f>
        <v/>
      </c>
      <c r="F1331" s="58" t="n"/>
      <c r="G1331" s="58" t="n"/>
      <c r="H1331" s="59" t="n"/>
      <c r="I1331" s="57" t="str">
        <f>IF(H1331="","",IFERROR(INDEX(art_des,MATCH(H1331,art_ref,0))&amp;"","Article inconnu"))</f>
        <v/>
      </c>
      <c r="J1331" s="60" t="str">
        <f>IF(H1331="","",IFERROR(INDEX(art_unit,MATCH(H1331,art_ref,0))&amp;"",""))</f>
        <v/>
      </c>
      <c r="K1331" s="59" t="n"/>
      <c r="L1331" s="59" t="n"/>
      <c r="M1331" s="61" t="str">
        <f>IF(OR(B1331="",NOT(ISNUMBER(K1331)),NOT(ISNUMBER(L1331))),"",IF(OR(K1331&lt;=0,L1331&lt;=0),"",ROUND(L1331-K1331,6)))</f>
        <v/>
      </c>
      <c r="N1331" s="58" t="n"/>
      <c r="O1331" s="62" t="n"/>
      <c r="P1331" s="63" t="str">
        <f>IF(OR(B1331="",NOT(ISNUMBER(L1331))),"",IF(L1331&lt;=0,"",IFERROR(ROUND(L1331*N(INDEX(art_w,MATCH(H1331,art_ref,0))),3),"")))</f>
        <v/>
      </c>
      <c r="Q1331" s="59" t="n"/>
      <c r="R1331" s="54" t="n"/>
      <c r="S1331" s="59" t="n"/>
      <c r="T1331" s="59" t="n"/>
      <c r="U1331" s="64" t="str">
        <f>IF(OR(B1331="",H1331=""),"",IFERROR(IF(A1331="BL",IF(N(INDEX(art_price,MATCH(H1331,art_ref,0)))=0,"",N(INDEX(art_price,MATCH(H1331,art_ref,0)))),IF(N(INDEX(art_cost,MATCH(H1331,art_ref,0)))=0,"",N(INDEX(art_cost,MATCH(H1331,art_ref,0))))),""))</f>
        <v/>
      </c>
      <c r="V1331" s="64" t="str">
        <f>IF(OR(U1331="",NOT(ISNUMBER(L1331))),"",IF(L1331&lt;=0,"",ROUND(L1331*U1331,2)))</f>
        <v/>
      </c>
      <c r="W1331" s="60" t="str">
        <f>IF(AND(B1331&lt;&gt;"",A1331&lt;&gt;"BS",F1331&lt;&gt;"",H1331&lt;&gt;"",ISNUMBER(K1331),ISNUMBER(L1331)),IF(AND(K1331&gt;0,L1331&gt;0,K1331-L1331&gt;0,COUNTIFS(A1332:A$2005,A1331,F1332:F$2005,F1331,H1332:H$2005,H1331,AA1332:AA$2005,"&gt;0")=0),ROUND(K1331-L1331,6),""),"")</f>
        <v/>
      </c>
      <c r="X1331" s="60" t="str">
        <f>IF(AND(A1331="",C1331="",D1331="",H1331="",L1331=""),"",IF(A1331="","Type manquant",IF(AND(A1331&lt;&gt;"BL",A1331&lt;&gt;"BR",A1331&lt;&gt;"BS"),"Type inconnu (BL, BR ou BS)",IF(AG1331=0,"Date manquante ou invalide",IF(D1331="",IF(A1331="BL","Client manquant",IF(A1331="BR","Fournisseur manquant","Service manquant")),IF(IF(A1331="BL",ISNA(MATCH(D1331,cl_code,0)),IF(A1331="BR",ISNA(MATCH(D1331,fo_code,0)),ISNA(MATCH(D1331,p_services,0)))),IF(A1331="BL","Client inconnu",IF(A1331="BR","Fournisseur inconnu","Service inconnu")),IF(H1331="","Article manquant",IF(ISNA(MATCH(H1331,art_ref,0)),"Article inconnu",IF(OR(NOT(ISNUMBER(L1331)),N(L1331)&lt;=0),"Quantité invalide",IF(AND(K1331&lt;&gt;"",OR(NOT(ISNUMBER(K1331)),N(K1331)&lt;=0)),"Qté commandée invalide",IF(AG1331&lt;SUMPRODUCT(MAX((A$6:A1330=A1331)*AG$6:AG1330)),"Date antérieure au bon précédent",IF(AND(A1331&lt;&gt;"BR",ISNUMBER(M1331),N(M1331)&gt;0),IF(A1331="BL","Livré plus que commandé","Sorti plus que demandé"),"OK"))))))))))))</f>
        <v/>
      </c>
      <c r="Y1331" s="57" t="str">
        <f>IF(AND(OR(A1331="BL",A1331="BR",A1331="BS"),AG1331&gt;0,D1331&lt;&gt;""),A1331&amp;"|"&amp;AG1331&amp;"|"&amp;D1331&amp;"|"&amp;F1331,"")</f>
        <v/>
      </c>
      <c r="Z1331" s="57" t="str">
        <f>IF(Y1331="","",IF(COUNTIF(Y$6:Y1330,Y1331)=0,1,0))</f>
        <v/>
      </c>
      <c r="AA1331" s="57" t="str">
        <f>IF(Y1331="","",IF(Z1331=1,COUNTIFS(A$6:A1331,A1331,Z$6:Z1331,1),INDEX(AA$6:AA1330,MATCH(Y1331,Y$6:Y1330,0))))</f>
        <v/>
      </c>
      <c r="AB1331" s="57" t="str">
        <f>IF(B1331="","",COUNTIF(B$6:B1331,B1331))</f>
        <v/>
      </c>
      <c r="AC1331" s="57" t="str">
        <f>IF(B1331="","",B1331&amp;"#"&amp;AB1331)</f>
        <v/>
      </c>
      <c r="AD1331" s="57" t="str">
        <f>IF(Z1331=1,A1331&amp;AA1331,"")</f>
        <v/>
      </c>
      <c r="AE1331" s="57" t="str">
        <f>IF(B1331="","",YEAR(C1331))</f>
        <v/>
      </c>
      <c r="AF1331" s="57" t="str">
        <f>IF(B1331="","",MONTH(C1331))</f>
        <v/>
      </c>
      <c r="AG1331" s="57">
        <f>IF(ISNUMBER(C1331),C1331,0)</f>
        <v>0.0</v>
      </c>
      <c r="AH1331" s="57" t="str">
        <f>IF(N(W1331)&gt;0,COUNTIF(W$6:W1331,"&gt;0"),"")</f>
        <v/>
      </c>
      <c r="AI1331" s="57" t="str">
        <f>IF(Z1331=1,COUNTIF(Z$6:Z1331,1),"")</f>
        <v/>
      </c>
    </row>
    <row r="1332">
      <c r="A1332" s="54" t="n"/>
      <c r="B1332" s="55" t="str">
        <f>IF(AA1332="","",A1332&amp;"-"&amp;RIGHT("000"&amp;AA1332,4))</f>
        <v/>
      </c>
      <c r="C1332" s="56" t="n"/>
      <c r="D1332" s="54" t="n"/>
      <c r="E1332" s="57" t="str">
        <f>IF(D1332="","",IF(A1332="BL",IFERROR(INDEX(cl_name,MATCH(D1332,cl_code,0))&amp;"","Client inconnu"),IF(A1332="BR",IFERROR(INDEX(fo_name,MATCH(D1332,fo_code,0))&amp;"","Fournisseur inconnu"),IF(A1332="BS",IF(ISNA(MATCH(D1332,p_services,0)),"Service inconnu",D1332&amp;""),""))))</f>
        <v/>
      </c>
      <c r="F1332" s="58" t="n"/>
      <c r="G1332" s="58" t="n"/>
      <c r="H1332" s="59" t="n"/>
      <c r="I1332" s="57" t="str">
        <f>IF(H1332="","",IFERROR(INDEX(art_des,MATCH(H1332,art_ref,0))&amp;"","Article inconnu"))</f>
        <v/>
      </c>
      <c r="J1332" s="60" t="str">
        <f>IF(H1332="","",IFERROR(INDEX(art_unit,MATCH(H1332,art_ref,0))&amp;"",""))</f>
        <v/>
      </c>
      <c r="K1332" s="59" t="n"/>
      <c r="L1332" s="59" t="n"/>
      <c r="M1332" s="61" t="str">
        <f>IF(OR(B1332="",NOT(ISNUMBER(K1332)),NOT(ISNUMBER(L1332))),"",IF(OR(K1332&lt;=0,L1332&lt;=0),"",ROUND(L1332-K1332,6)))</f>
        <v/>
      </c>
      <c r="N1332" s="58" t="n"/>
      <c r="O1332" s="62" t="n"/>
      <c r="P1332" s="63" t="str">
        <f>IF(OR(B1332="",NOT(ISNUMBER(L1332))),"",IF(L1332&lt;=0,"",IFERROR(ROUND(L1332*N(INDEX(art_w,MATCH(H1332,art_ref,0))),3),"")))</f>
        <v/>
      </c>
      <c r="Q1332" s="59" t="n"/>
      <c r="R1332" s="54" t="n"/>
      <c r="S1332" s="59" t="n"/>
      <c r="T1332" s="59" t="n"/>
      <c r="U1332" s="64" t="str">
        <f>IF(OR(B1332="",H1332=""),"",IFERROR(IF(A1332="BL",IF(N(INDEX(art_price,MATCH(H1332,art_ref,0)))=0,"",N(INDEX(art_price,MATCH(H1332,art_ref,0)))),IF(N(INDEX(art_cost,MATCH(H1332,art_ref,0)))=0,"",N(INDEX(art_cost,MATCH(H1332,art_ref,0))))),""))</f>
        <v/>
      </c>
      <c r="V1332" s="64" t="str">
        <f>IF(OR(U1332="",NOT(ISNUMBER(L1332))),"",IF(L1332&lt;=0,"",ROUND(L1332*U1332,2)))</f>
        <v/>
      </c>
      <c r="W1332" s="60" t="str">
        <f>IF(AND(B1332&lt;&gt;"",A1332&lt;&gt;"BS",F1332&lt;&gt;"",H1332&lt;&gt;"",ISNUMBER(K1332),ISNUMBER(L1332)),IF(AND(K1332&gt;0,L1332&gt;0,K1332-L1332&gt;0,COUNTIFS(A1333:A$2005,A1332,F1333:F$2005,F1332,H1333:H$2005,H1332,AA1333:AA$2005,"&gt;0")=0),ROUND(K1332-L1332,6),""),"")</f>
        <v/>
      </c>
      <c r="X1332" s="60" t="str">
        <f>IF(AND(A1332="",C1332="",D1332="",H1332="",L1332=""),"",IF(A1332="","Type manquant",IF(AND(A1332&lt;&gt;"BL",A1332&lt;&gt;"BR",A1332&lt;&gt;"BS"),"Type inconnu (BL, BR ou BS)",IF(AG1332=0,"Date manquante ou invalide",IF(D1332="",IF(A1332="BL","Client manquant",IF(A1332="BR","Fournisseur manquant","Service manquant")),IF(IF(A1332="BL",ISNA(MATCH(D1332,cl_code,0)),IF(A1332="BR",ISNA(MATCH(D1332,fo_code,0)),ISNA(MATCH(D1332,p_services,0)))),IF(A1332="BL","Client inconnu",IF(A1332="BR","Fournisseur inconnu","Service inconnu")),IF(H1332="","Article manquant",IF(ISNA(MATCH(H1332,art_ref,0)),"Article inconnu",IF(OR(NOT(ISNUMBER(L1332)),N(L1332)&lt;=0),"Quantité invalide",IF(AND(K1332&lt;&gt;"",OR(NOT(ISNUMBER(K1332)),N(K1332)&lt;=0)),"Qté commandée invalide",IF(AG1332&lt;SUMPRODUCT(MAX((A$6:A1331=A1332)*AG$6:AG1331)),"Date antérieure au bon précédent",IF(AND(A1332&lt;&gt;"BR",ISNUMBER(M1332),N(M1332)&gt;0),IF(A1332="BL","Livré plus que commandé","Sorti plus que demandé"),"OK"))))))))))))</f>
        <v/>
      </c>
      <c r="Y1332" s="57" t="str">
        <f>IF(AND(OR(A1332="BL",A1332="BR",A1332="BS"),AG1332&gt;0,D1332&lt;&gt;""),A1332&amp;"|"&amp;AG1332&amp;"|"&amp;D1332&amp;"|"&amp;F1332,"")</f>
        <v/>
      </c>
      <c r="Z1332" s="57" t="str">
        <f>IF(Y1332="","",IF(COUNTIF(Y$6:Y1331,Y1332)=0,1,0))</f>
        <v/>
      </c>
      <c r="AA1332" s="57" t="str">
        <f>IF(Y1332="","",IF(Z1332=1,COUNTIFS(A$6:A1332,A1332,Z$6:Z1332,1),INDEX(AA$6:AA1331,MATCH(Y1332,Y$6:Y1331,0))))</f>
        <v/>
      </c>
      <c r="AB1332" s="57" t="str">
        <f>IF(B1332="","",COUNTIF(B$6:B1332,B1332))</f>
        <v/>
      </c>
      <c r="AC1332" s="57" t="str">
        <f>IF(B1332="","",B1332&amp;"#"&amp;AB1332)</f>
        <v/>
      </c>
      <c r="AD1332" s="57" t="str">
        <f>IF(Z1332=1,A1332&amp;AA1332,"")</f>
        <v/>
      </c>
      <c r="AE1332" s="57" t="str">
        <f>IF(B1332="","",YEAR(C1332))</f>
        <v/>
      </c>
      <c r="AF1332" s="57" t="str">
        <f>IF(B1332="","",MONTH(C1332))</f>
        <v/>
      </c>
      <c r="AG1332" s="57">
        <f>IF(ISNUMBER(C1332),C1332,0)</f>
        <v>0.0</v>
      </c>
      <c r="AH1332" s="57" t="str">
        <f>IF(N(W1332)&gt;0,COUNTIF(W$6:W1332,"&gt;0"),"")</f>
        <v/>
      </c>
      <c r="AI1332" s="57" t="str">
        <f>IF(Z1332=1,COUNTIF(Z$6:Z1332,1),"")</f>
        <v/>
      </c>
    </row>
    <row r="1333">
      <c r="A1333" s="54" t="n"/>
      <c r="B1333" s="55" t="str">
        <f>IF(AA1333="","",A1333&amp;"-"&amp;RIGHT("000"&amp;AA1333,4))</f>
        <v/>
      </c>
      <c r="C1333" s="56" t="n"/>
      <c r="D1333" s="54" t="n"/>
      <c r="E1333" s="57" t="str">
        <f>IF(D1333="","",IF(A1333="BL",IFERROR(INDEX(cl_name,MATCH(D1333,cl_code,0))&amp;"","Client inconnu"),IF(A1333="BR",IFERROR(INDEX(fo_name,MATCH(D1333,fo_code,0))&amp;"","Fournisseur inconnu"),IF(A1333="BS",IF(ISNA(MATCH(D1333,p_services,0)),"Service inconnu",D1333&amp;""),""))))</f>
        <v/>
      </c>
      <c r="F1333" s="58" t="n"/>
      <c r="G1333" s="58" t="n"/>
      <c r="H1333" s="59" t="n"/>
      <c r="I1333" s="57" t="str">
        <f>IF(H1333="","",IFERROR(INDEX(art_des,MATCH(H1333,art_ref,0))&amp;"","Article inconnu"))</f>
        <v/>
      </c>
      <c r="J1333" s="60" t="str">
        <f>IF(H1333="","",IFERROR(INDEX(art_unit,MATCH(H1333,art_ref,0))&amp;"",""))</f>
        <v/>
      </c>
      <c r="K1333" s="59" t="n"/>
      <c r="L1333" s="59" t="n"/>
      <c r="M1333" s="61" t="str">
        <f>IF(OR(B1333="",NOT(ISNUMBER(K1333)),NOT(ISNUMBER(L1333))),"",IF(OR(K1333&lt;=0,L1333&lt;=0),"",ROUND(L1333-K1333,6)))</f>
        <v/>
      </c>
      <c r="N1333" s="58" t="n"/>
      <c r="O1333" s="62" t="n"/>
      <c r="P1333" s="63" t="str">
        <f>IF(OR(B1333="",NOT(ISNUMBER(L1333))),"",IF(L1333&lt;=0,"",IFERROR(ROUND(L1333*N(INDEX(art_w,MATCH(H1333,art_ref,0))),3),"")))</f>
        <v/>
      </c>
      <c r="Q1333" s="59" t="n"/>
      <c r="R1333" s="54" t="n"/>
      <c r="S1333" s="59" t="n"/>
      <c r="T1333" s="59" t="n"/>
      <c r="U1333" s="64" t="str">
        <f>IF(OR(B1333="",H1333=""),"",IFERROR(IF(A1333="BL",IF(N(INDEX(art_price,MATCH(H1333,art_ref,0)))=0,"",N(INDEX(art_price,MATCH(H1333,art_ref,0)))),IF(N(INDEX(art_cost,MATCH(H1333,art_ref,0)))=0,"",N(INDEX(art_cost,MATCH(H1333,art_ref,0))))),""))</f>
        <v/>
      </c>
      <c r="V1333" s="64" t="str">
        <f>IF(OR(U1333="",NOT(ISNUMBER(L1333))),"",IF(L1333&lt;=0,"",ROUND(L1333*U1333,2)))</f>
        <v/>
      </c>
      <c r="W1333" s="60" t="str">
        <f>IF(AND(B1333&lt;&gt;"",A1333&lt;&gt;"BS",F1333&lt;&gt;"",H1333&lt;&gt;"",ISNUMBER(K1333),ISNUMBER(L1333)),IF(AND(K1333&gt;0,L1333&gt;0,K1333-L1333&gt;0,COUNTIFS(A1334:A$2005,A1333,F1334:F$2005,F1333,H1334:H$2005,H1333,AA1334:AA$2005,"&gt;0")=0),ROUND(K1333-L1333,6),""),"")</f>
        <v/>
      </c>
      <c r="X1333" s="60" t="str">
        <f>IF(AND(A1333="",C1333="",D1333="",H1333="",L1333=""),"",IF(A1333="","Type manquant",IF(AND(A1333&lt;&gt;"BL",A1333&lt;&gt;"BR",A1333&lt;&gt;"BS"),"Type inconnu (BL, BR ou BS)",IF(AG1333=0,"Date manquante ou invalide",IF(D1333="",IF(A1333="BL","Client manquant",IF(A1333="BR","Fournisseur manquant","Service manquant")),IF(IF(A1333="BL",ISNA(MATCH(D1333,cl_code,0)),IF(A1333="BR",ISNA(MATCH(D1333,fo_code,0)),ISNA(MATCH(D1333,p_services,0)))),IF(A1333="BL","Client inconnu",IF(A1333="BR","Fournisseur inconnu","Service inconnu")),IF(H1333="","Article manquant",IF(ISNA(MATCH(H1333,art_ref,0)),"Article inconnu",IF(OR(NOT(ISNUMBER(L1333)),N(L1333)&lt;=0),"Quantité invalide",IF(AND(K1333&lt;&gt;"",OR(NOT(ISNUMBER(K1333)),N(K1333)&lt;=0)),"Qté commandée invalide",IF(AG1333&lt;SUMPRODUCT(MAX((A$6:A1332=A1333)*AG$6:AG1332)),"Date antérieure au bon précédent",IF(AND(A1333&lt;&gt;"BR",ISNUMBER(M1333),N(M1333)&gt;0),IF(A1333="BL","Livré plus que commandé","Sorti plus que demandé"),"OK"))))))))))))</f>
        <v/>
      </c>
      <c r="Y1333" s="57" t="str">
        <f>IF(AND(OR(A1333="BL",A1333="BR",A1333="BS"),AG1333&gt;0,D1333&lt;&gt;""),A1333&amp;"|"&amp;AG1333&amp;"|"&amp;D1333&amp;"|"&amp;F1333,"")</f>
        <v/>
      </c>
      <c r="Z1333" s="57" t="str">
        <f>IF(Y1333="","",IF(COUNTIF(Y$6:Y1332,Y1333)=0,1,0))</f>
        <v/>
      </c>
      <c r="AA1333" s="57" t="str">
        <f>IF(Y1333="","",IF(Z1333=1,COUNTIFS(A$6:A1333,A1333,Z$6:Z1333,1),INDEX(AA$6:AA1332,MATCH(Y1333,Y$6:Y1332,0))))</f>
        <v/>
      </c>
      <c r="AB1333" s="57" t="str">
        <f>IF(B1333="","",COUNTIF(B$6:B1333,B1333))</f>
        <v/>
      </c>
      <c r="AC1333" s="57" t="str">
        <f>IF(B1333="","",B1333&amp;"#"&amp;AB1333)</f>
        <v/>
      </c>
      <c r="AD1333" s="57" t="str">
        <f>IF(Z1333=1,A1333&amp;AA1333,"")</f>
        <v/>
      </c>
      <c r="AE1333" s="57" t="str">
        <f>IF(B1333="","",YEAR(C1333))</f>
        <v/>
      </c>
      <c r="AF1333" s="57" t="str">
        <f>IF(B1333="","",MONTH(C1333))</f>
        <v/>
      </c>
      <c r="AG1333" s="57">
        <f>IF(ISNUMBER(C1333),C1333,0)</f>
        <v>0.0</v>
      </c>
      <c r="AH1333" s="57" t="str">
        <f>IF(N(W1333)&gt;0,COUNTIF(W$6:W1333,"&gt;0"),"")</f>
        <v/>
      </c>
      <c r="AI1333" s="57" t="str">
        <f>IF(Z1333=1,COUNTIF(Z$6:Z1333,1),"")</f>
        <v/>
      </c>
    </row>
    <row r="1334">
      <c r="A1334" s="54" t="n"/>
      <c r="B1334" s="55" t="str">
        <f>IF(AA1334="","",A1334&amp;"-"&amp;RIGHT("000"&amp;AA1334,4))</f>
        <v/>
      </c>
      <c r="C1334" s="56" t="n"/>
      <c r="D1334" s="54" t="n"/>
      <c r="E1334" s="57" t="str">
        <f>IF(D1334="","",IF(A1334="BL",IFERROR(INDEX(cl_name,MATCH(D1334,cl_code,0))&amp;"","Client inconnu"),IF(A1334="BR",IFERROR(INDEX(fo_name,MATCH(D1334,fo_code,0))&amp;"","Fournisseur inconnu"),IF(A1334="BS",IF(ISNA(MATCH(D1334,p_services,0)),"Service inconnu",D1334&amp;""),""))))</f>
        <v/>
      </c>
      <c r="F1334" s="58" t="n"/>
      <c r="G1334" s="58" t="n"/>
      <c r="H1334" s="59" t="n"/>
      <c r="I1334" s="57" t="str">
        <f>IF(H1334="","",IFERROR(INDEX(art_des,MATCH(H1334,art_ref,0))&amp;"","Article inconnu"))</f>
        <v/>
      </c>
      <c r="J1334" s="60" t="str">
        <f>IF(H1334="","",IFERROR(INDEX(art_unit,MATCH(H1334,art_ref,0))&amp;"",""))</f>
        <v/>
      </c>
      <c r="K1334" s="59" t="n"/>
      <c r="L1334" s="59" t="n"/>
      <c r="M1334" s="61" t="str">
        <f>IF(OR(B1334="",NOT(ISNUMBER(K1334)),NOT(ISNUMBER(L1334))),"",IF(OR(K1334&lt;=0,L1334&lt;=0),"",ROUND(L1334-K1334,6)))</f>
        <v/>
      </c>
      <c r="N1334" s="58" t="n"/>
      <c r="O1334" s="62" t="n"/>
      <c r="P1334" s="63" t="str">
        <f>IF(OR(B1334="",NOT(ISNUMBER(L1334))),"",IF(L1334&lt;=0,"",IFERROR(ROUND(L1334*N(INDEX(art_w,MATCH(H1334,art_ref,0))),3),"")))</f>
        <v/>
      </c>
      <c r="Q1334" s="59" t="n"/>
      <c r="R1334" s="54" t="n"/>
      <c r="S1334" s="59" t="n"/>
      <c r="T1334" s="59" t="n"/>
      <c r="U1334" s="64" t="str">
        <f>IF(OR(B1334="",H1334=""),"",IFERROR(IF(A1334="BL",IF(N(INDEX(art_price,MATCH(H1334,art_ref,0)))=0,"",N(INDEX(art_price,MATCH(H1334,art_ref,0)))),IF(N(INDEX(art_cost,MATCH(H1334,art_ref,0)))=0,"",N(INDEX(art_cost,MATCH(H1334,art_ref,0))))),""))</f>
        <v/>
      </c>
      <c r="V1334" s="64" t="str">
        <f>IF(OR(U1334="",NOT(ISNUMBER(L1334))),"",IF(L1334&lt;=0,"",ROUND(L1334*U1334,2)))</f>
        <v/>
      </c>
      <c r="W1334" s="60" t="str">
        <f>IF(AND(B1334&lt;&gt;"",A1334&lt;&gt;"BS",F1334&lt;&gt;"",H1334&lt;&gt;"",ISNUMBER(K1334),ISNUMBER(L1334)),IF(AND(K1334&gt;0,L1334&gt;0,K1334-L1334&gt;0,COUNTIFS(A1335:A$2005,A1334,F1335:F$2005,F1334,H1335:H$2005,H1334,AA1335:AA$2005,"&gt;0")=0),ROUND(K1334-L1334,6),""),"")</f>
        <v/>
      </c>
      <c r="X1334" s="60" t="str">
        <f>IF(AND(A1334="",C1334="",D1334="",H1334="",L1334=""),"",IF(A1334="","Type manquant",IF(AND(A1334&lt;&gt;"BL",A1334&lt;&gt;"BR",A1334&lt;&gt;"BS"),"Type inconnu (BL, BR ou BS)",IF(AG1334=0,"Date manquante ou invalide",IF(D1334="",IF(A1334="BL","Client manquant",IF(A1334="BR","Fournisseur manquant","Service manquant")),IF(IF(A1334="BL",ISNA(MATCH(D1334,cl_code,0)),IF(A1334="BR",ISNA(MATCH(D1334,fo_code,0)),ISNA(MATCH(D1334,p_services,0)))),IF(A1334="BL","Client inconnu",IF(A1334="BR","Fournisseur inconnu","Service inconnu")),IF(H1334="","Article manquant",IF(ISNA(MATCH(H1334,art_ref,0)),"Article inconnu",IF(OR(NOT(ISNUMBER(L1334)),N(L1334)&lt;=0),"Quantité invalide",IF(AND(K1334&lt;&gt;"",OR(NOT(ISNUMBER(K1334)),N(K1334)&lt;=0)),"Qté commandée invalide",IF(AG1334&lt;SUMPRODUCT(MAX((A$6:A1333=A1334)*AG$6:AG1333)),"Date antérieure au bon précédent",IF(AND(A1334&lt;&gt;"BR",ISNUMBER(M1334),N(M1334)&gt;0),IF(A1334="BL","Livré plus que commandé","Sorti plus que demandé"),"OK"))))))))))))</f>
        <v/>
      </c>
      <c r="Y1334" s="57" t="str">
        <f>IF(AND(OR(A1334="BL",A1334="BR",A1334="BS"),AG1334&gt;0,D1334&lt;&gt;""),A1334&amp;"|"&amp;AG1334&amp;"|"&amp;D1334&amp;"|"&amp;F1334,"")</f>
        <v/>
      </c>
      <c r="Z1334" s="57" t="str">
        <f>IF(Y1334="","",IF(COUNTIF(Y$6:Y1333,Y1334)=0,1,0))</f>
        <v/>
      </c>
      <c r="AA1334" s="57" t="str">
        <f>IF(Y1334="","",IF(Z1334=1,COUNTIFS(A$6:A1334,A1334,Z$6:Z1334,1),INDEX(AA$6:AA1333,MATCH(Y1334,Y$6:Y1333,0))))</f>
        <v/>
      </c>
      <c r="AB1334" s="57" t="str">
        <f>IF(B1334="","",COUNTIF(B$6:B1334,B1334))</f>
        <v/>
      </c>
      <c r="AC1334" s="57" t="str">
        <f>IF(B1334="","",B1334&amp;"#"&amp;AB1334)</f>
        <v/>
      </c>
      <c r="AD1334" s="57" t="str">
        <f>IF(Z1334=1,A1334&amp;AA1334,"")</f>
        <v/>
      </c>
      <c r="AE1334" s="57" t="str">
        <f>IF(B1334="","",YEAR(C1334))</f>
        <v/>
      </c>
      <c r="AF1334" s="57" t="str">
        <f>IF(B1334="","",MONTH(C1334))</f>
        <v/>
      </c>
      <c r="AG1334" s="57">
        <f>IF(ISNUMBER(C1334),C1334,0)</f>
        <v>0.0</v>
      </c>
      <c r="AH1334" s="57" t="str">
        <f>IF(N(W1334)&gt;0,COUNTIF(W$6:W1334,"&gt;0"),"")</f>
        <v/>
      </c>
      <c r="AI1334" s="57" t="str">
        <f>IF(Z1334=1,COUNTIF(Z$6:Z1334,1),"")</f>
        <v/>
      </c>
    </row>
    <row r="1335">
      <c r="A1335" s="54" t="n"/>
      <c r="B1335" s="55" t="str">
        <f>IF(AA1335="","",A1335&amp;"-"&amp;RIGHT("000"&amp;AA1335,4))</f>
        <v/>
      </c>
      <c r="C1335" s="56" t="n"/>
      <c r="D1335" s="54" t="n"/>
      <c r="E1335" s="57" t="str">
        <f>IF(D1335="","",IF(A1335="BL",IFERROR(INDEX(cl_name,MATCH(D1335,cl_code,0))&amp;"","Client inconnu"),IF(A1335="BR",IFERROR(INDEX(fo_name,MATCH(D1335,fo_code,0))&amp;"","Fournisseur inconnu"),IF(A1335="BS",IF(ISNA(MATCH(D1335,p_services,0)),"Service inconnu",D1335&amp;""),""))))</f>
        <v/>
      </c>
      <c r="F1335" s="58" t="n"/>
      <c r="G1335" s="58" t="n"/>
      <c r="H1335" s="59" t="n"/>
      <c r="I1335" s="57" t="str">
        <f>IF(H1335="","",IFERROR(INDEX(art_des,MATCH(H1335,art_ref,0))&amp;"","Article inconnu"))</f>
        <v/>
      </c>
      <c r="J1335" s="60" t="str">
        <f>IF(H1335="","",IFERROR(INDEX(art_unit,MATCH(H1335,art_ref,0))&amp;"",""))</f>
        <v/>
      </c>
      <c r="K1335" s="59" t="n"/>
      <c r="L1335" s="59" t="n"/>
      <c r="M1335" s="61" t="str">
        <f>IF(OR(B1335="",NOT(ISNUMBER(K1335)),NOT(ISNUMBER(L1335))),"",IF(OR(K1335&lt;=0,L1335&lt;=0),"",ROUND(L1335-K1335,6)))</f>
        <v/>
      </c>
      <c r="N1335" s="58" t="n"/>
      <c r="O1335" s="62" t="n"/>
      <c r="P1335" s="63" t="str">
        <f>IF(OR(B1335="",NOT(ISNUMBER(L1335))),"",IF(L1335&lt;=0,"",IFERROR(ROUND(L1335*N(INDEX(art_w,MATCH(H1335,art_ref,0))),3),"")))</f>
        <v/>
      </c>
      <c r="Q1335" s="59" t="n"/>
      <c r="R1335" s="54" t="n"/>
      <c r="S1335" s="59" t="n"/>
      <c r="T1335" s="59" t="n"/>
      <c r="U1335" s="64" t="str">
        <f>IF(OR(B1335="",H1335=""),"",IFERROR(IF(A1335="BL",IF(N(INDEX(art_price,MATCH(H1335,art_ref,0)))=0,"",N(INDEX(art_price,MATCH(H1335,art_ref,0)))),IF(N(INDEX(art_cost,MATCH(H1335,art_ref,0)))=0,"",N(INDEX(art_cost,MATCH(H1335,art_ref,0))))),""))</f>
        <v/>
      </c>
      <c r="V1335" s="64" t="str">
        <f>IF(OR(U1335="",NOT(ISNUMBER(L1335))),"",IF(L1335&lt;=0,"",ROUND(L1335*U1335,2)))</f>
        <v/>
      </c>
      <c r="W1335" s="60" t="str">
        <f>IF(AND(B1335&lt;&gt;"",A1335&lt;&gt;"BS",F1335&lt;&gt;"",H1335&lt;&gt;"",ISNUMBER(K1335),ISNUMBER(L1335)),IF(AND(K1335&gt;0,L1335&gt;0,K1335-L1335&gt;0,COUNTIFS(A1336:A$2005,A1335,F1336:F$2005,F1335,H1336:H$2005,H1335,AA1336:AA$2005,"&gt;0")=0),ROUND(K1335-L1335,6),""),"")</f>
        <v/>
      </c>
      <c r="X1335" s="60" t="str">
        <f>IF(AND(A1335="",C1335="",D1335="",H1335="",L1335=""),"",IF(A1335="","Type manquant",IF(AND(A1335&lt;&gt;"BL",A1335&lt;&gt;"BR",A1335&lt;&gt;"BS"),"Type inconnu (BL, BR ou BS)",IF(AG1335=0,"Date manquante ou invalide",IF(D1335="",IF(A1335="BL","Client manquant",IF(A1335="BR","Fournisseur manquant","Service manquant")),IF(IF(A1335="BL",ISNA(MATCH(D1335,cl_code,0)),IF(A1335="BR",ISNA(MATCH(D1335,fo_code,0)),ISNA(MATCH(D1335,p_services,0)))),IF(A1335="BL","Client inconnu",IF(A1335="BR","Fournisseur inconnu","Service inconnu")),IF(H1335="","Article manquant",IF(ISNA(MATCH(H1335,art_ref,0)),"Article inconnu",IF(OR(NOT(ISNUMBER(L1335)),N(L1335)&lt;=0),"Quantité invalide",IF(AND(K1335&lt;&gt;"",OR(NOT(ISNUMBER(K1335)),N(K1335)&lt;=0)),"Qté commandée invalide",IF(AG1335&lt;SUMPRODUCT(MAX((A$6:A1334=A1335)*AG$6:AG1334)),"Date antérieure au bon précédent",IF(AND(A1335&lt;&gt;"BR",ISNUMBER(M1335),N(M1335)&gt;0),IF(A1335="BL","Livré plus que commandé","Sorti plus que demandé"),"OK"))))))))))))</f>
        <v/>
      </c>
      <c r="Y1335" s="57" t="str">
        <f>IF(AND(OR(A1335="BL",A1335="BR",A1335="BS"),AG1335&gt;0,D1335&lt;&gt;""),A1335&amp;"|"&amp;AG1335&amp;"|"&amp;D1335&amp;"|"&amp;F1335,"")</f>
        <v/>
      </c>
      <c r="Z1335" s="57" t="str">
        <f>IF(Y1335="","",IF(COUNTIF(Y$6:Y1334,Y1335)=0,1,0))</f>
        <v/>
      </c>
      <c r="AA1335" s="57" t="str">
        <f>IF(Y1335="","",IF(Z1335=1,COUNTIFS(A$6:A1335,A1335,Z$6:Z1335,1),INDEX(AA$6:AA1334,MATCH(Y1335,Y$6:Y1334,0))))</f>
        <v/>
      </c>
      <c r="AB1335" s="57" t="str">
        <f>IF(B1335="","",COUNTIF(B$6:B1335,B1335))</f>
        <v/>
      </c>
      <c r="AC1335" s="57" t="str">
        <f>IF(B1335="","",B1335&amp;"#"&amp;AB1335)</f>
        <v/>
      </c>
      <c r="AD1335" s="57" t="str">
        <f>IF(Z1335=1,A1335&amp;AA1335,"")</f>
        <v/>
      </c>
      <c r="AE1335" s="57" t="str">
        <f>IF(B1335="","",YEAR(C1335))</f>
        <v/>
      </c>
      <c r="AF1335" s="57" t="str">
        <f>IF(B1335="","",MONTH(C1335))</f>
        <v/>
      </c>
      <c r="AG1335" s="57">
        <f>IF(ISNUMBER(C1335),C1335,0)</f>
        <v>0.0</v>
      </c>
      <c r="AH1335" s="57" t="str">
        <f>IF(N(W1335)&gt;0,COUNTIF(W$6:W1335,"&gt;0"),"")</f>
        <v/>
      </c>
      <c r="AI1335" s="57" t="str">
        <f>IF(Z1335=1,COUNTIF(Z$6:Z1335,1),"")</f>
        <v/>
      </c>
    </row>
    <row r="1336">
      <c r="A1336" s="54" t="n"/>
      <c r="B1336" s="55" t="str">
        <f>IF(AA1336="","",A1336&amp;"-"&amp;RIGHT("000"&amp;AA1336,4))</f>
        <v/>
      </c>
      <c r="C1336" s="56" t="n"/>
      <c r="D1336" s="54" t="n"/>
      <c r="E1336" s="57" t="str">
        <f>IF(D1336="","",IF(A1336="BL",IFERROR(INDEX(cl_name,MATCH(D1336,cl_code,0))&amp;"","Client inconnu"),IF(A1336="BR",IFERROR(INDEX(fo_name,MATCH(D1336,fo_code,0))&amp;"","Fournisseur inconnu"),IF(A1336="BS",IF(ISNA(MATCH(D1336,p_services,0)),"Service inconnu",D1336&amp;""),""))))</f>
        <v/>
      </c>
      <c r="F1336" s="58" t="n"/>
      <c r="G1336" s="58" t="n"/>
      <c r="H1336" s="59" t="n"/>
      <c r="I1336" s="57" t="str">
        <f>IF(H1336="","",IFERROR(INDEX(art_des,MATCH(H1336,art_ref,0))&amp;"","Article inconnu"))</f>
        <v/>
      </c>
      <c r="J1336" s="60" t="str">
        <f>IF(H1336="","",IFERROR(INDEX(art_unit,MATCH(H1336,art_ref,0))&amp;"",""))</f>
        <v/>
      </c>
      <c r="K1336" s="59" t="n"/>
      <c r="L1336" s="59" t="n"/>
      <c r="M1336" s="61" t="str">
        <f>IF(OR(B1336="",NOT(ISNUMBER(K1336)),NOT(ISNUMBER(L1336))),"",IF(OR(K1336&lt;=0,L1336&lt;=0),"",ROUND(L1336-K1336,6)))</f>
        <v/>
      </c>
      <c r="N1336" s="58" t="n"/>
      <c r="O1336" s="62" t="n"/>
      <c r="P1336" s="63" t="str">
        <f>IF(OR(B1336="",NOT(ISNUMBER(L1336))),"",IF(L1336&lt;=0,"",IFERROR(ROUND(L1336*N(INDEX(art_w,MATCH(H1336,art_ref,0))),3),"")))</f>
        <v/>
      </c>
      <c r="Q1336" s="59" t="n"/>
      <c r="R1336" s="54" t="n"/>
      <c r="S1336" s="59" t="n"/>
      <c r="T1336" s="59" t="n"/>
      <c r="U1336" s="64" t="str">
        <f>IF(OR(B1336="",H1336=""),"",IFERROR(IF(A1336="BL",IF(N(INDEX(art_price,MATCH(H1336,art_ref,0)))=0,"",N(INDEX(art_price,MATCH(H1336,art_ref,0)))),IF(N(INDEX(art_cost,MATCH(H1336,art_ref,0)))=0,"",N(INDEX(art_cost,MATCH(H1336,art_ref,0))))),""))</f>
        <v/>
      </c>
      <c r="V1336" s="64" t="str">
        <f>IF(OR(U1336="",NOT(ISNUMBER(L1336))),"",IF(L1336&lt;=0,"",ROUND(L1336*U1336,2)))</f>
        <v/>
      </c>
      <c r="W1336" s="60" t="str">
        <f>IF(AND(B1336&lt;&gt;"",A1336&lt;&gt;"BS",F1336&lt;&gt;"",H1336&lt;&gt;"",ISNUMBER(K1336),ISNUMBER(L1336)),IF(AND(K1336&gt;0,L1336&gt;0,K1336-L1336&gt;0,COUNTIFS(A1337:A$2005,A1336,F1337:F$2005,F1336,H1337:H$2005,H1336,AA1337:AA$2005,"&gt;0")=0),ROUND(K1336-L1336,6),""),"")</f>
        <v/>
      </c>
      <c r="X1336" s="60" t="str">
        <f>IF(AND(A1336="",C1336="",D1336="",H1336="",L1336=""),"",IF(A1336="","Type manquant",IF(AND(A1336&lt;&gt;"BL",A1336&lt;&gt;"BR",A1336&lt;&gt;"BS"),"Type inconnu (BL, BR ou BS)",IF(AG1336=0,"Date manquante ou invalide",IF(D1336="",IF(A1336="BL","Client manquant",IF(A1336="BR","Fournisseur manquant","Service manquant")),IF(IF(A1336="BL",ISNA(MATCH(D1336,cl_code,0)),IF(A1336="BR",ISNA(MATCH(D1336,fo_code,0)),ISNA(MATCH(D1336,p_services,0)))),IF(A1336="BL","Client inconnu",IF(A1336="BR","Fournisseur inconnu","Service inconnu")),IF(H1336="","Article manquant",IF(ISNA(MATCH(H1336,art_ref,0)),"Article inconnu",IF(OR(NOT(ISNUMBER(L1336)),N(L1336)&lt;=0),"Quantité invalide",IF(AND(K1336&lt;&gt;"",OR(NOT(ISNUMBER(K1336)),N(K1336)&lt;=0)),"Qté commandée invalide",IF(AG1336&lt;SUMPRODUCT(MAX((A$6:A1335=A1336)*AG$6:AG1335)),"Date antérieure au bon précédent",IF(AND(A1336&lt;&gt;"BR",ISNUMBER(M1336),N(M1336)&gt;0),IF(A1336="BL","Livré plus que commandé","Sorti plus que demandé"),"OK"))))))))))))</f>
        <v/>
      </c>
      <c r="Y1336" s="57" t="str">
        <f>IF(AND(OR(A1336="BL",A1336="BR",A1336="BS"),AG1336&gt;0,D1336&lt;&gt;""),A1336&amp;"|"&amp;AG1336&amp;"|"&amp;D1336&amp;"|"&amp;F1336,"")</f>
        <v/>
      </c>
      <c r="Z1336" s="57" t="str">
        <f>IF(Y1336="","",IF(COUNTIF(Y$6:Y1335,Y1336)=0,1,0))</f>
        <v/>
      </c>
      <c r="AA1336" s="57" t="str">
        <f>IF(Y1336="","",IF(Z1336=1,COUNTIFS(A$6:A1336,A1336,Z$6:Z1336,1),INDEX(AA$6:AA1335,MATCH(Y1336,Y$6:Y1335,0))))</f>
        <v/>
      </c>
      <c r="AB1336" s="57" t="str">
        <f>IF(B1336="","",COUNTIF(B$6:B1336,B1336))</f>
        <v/>
      </c>
      <c r="AC1336" s="57" t="str">
        <f>IF(B1336="","",B1336&amp;"#"&amp;AB1336)</f>
        <v/>
      </c>
      <c r="AD1336" s="57" t="str">
        <f>IF(Z1336=1,A1336&amp;AA1336,"")</f>
        <v/>
      </c>
      <c r="AE1336" s="57" t="str">
        <f>IF(B1336="","",YEAR(C1336))</f>
        <v/>
      </c>
      <c r="AF1336" s="57" t="str">
        <f>IF(B1336="","",MONTH(C1336))</f>
        <v/>
      </c>
      <c r="AG1336" s="57">
        <f>IF(ISNUMBER(C1336),C1336,0)</f>
        <v>0.0</v>
      </c>
      <c r="AH1336" s="57" t="str">
        <f>IF(N(W1336)&gt;0,COUNTIF(W$6:W1336,"&gt;0"),"")</f>
        <v/>
      </c>
      <c r="AI1336" s="57" t="str">
        <f>IF(Z1336=1,COUNTIF(Z$6:Z1336,1),"")</f>
        <v/>
      </c>
    </row>
    <row r="1337">
      <c r="A1337" s="54" t="n"/>
      <c r="B1337" s="55" t="str">
        <f>IF(AA1337="","",A1337&amp;"-"&amp;RIGHT("000"&amp;AA1337,4))</f>
        <v/>
      </c>
      <c r="C1337" s="56" t="n"/>
      <c r="D1337" s="54" t="n"/>
      <c r="E1337" s="57" t="str">
        <f>IF(D1337="","",IF(A1337="BL",IFERROR(INDEX(cl_name,MATCH(D1337,cl_code,0))&amp;"","Client inconnu"),IF(A1337="BR",IFERROR(INDEX(fo_name,MATCH(D1337,fo_code,0))&amp;"","Fournisseur inconnu"),IF(A1337="BS",IF(ISNA(MATCH(D1337,p_services,0)),"Service inconnu",D1337&amp;""),""))))</f>
        <v/>
      </c>
      <c r="F1337" s="58" t="n"/>
      <c r="G1337" s="58" t="n"/>
      <c r="H1337" s="59" t="n"/>
      <c r="I1337" s="57" t="str">
        <f>IF(H1337="","",IFERROR(INDEX(art_des,MATCH(H1337,art_ref,0))&amp;"","Article inconnu"))</f>
        <v/>
      </c>
      <c r="J1337" s="60" t="str">
        <f>IF(H1337="","",IFERROR(INDEX(art_unit,MATCH(H1337,art_ref,0))&amp;"",""))</f>
        <v/>
      </c>
      <c r="K1337" s="59" t="n"/>
      <c r="L1337" s="59" t="n"/>
      <c r="M1337" s="61" t="str">
        <f>IF(OR(B1337="",NOT(ISNUMBER(K1337)),NOT(ISNUMBER(L1337))),"",IF(OR(K1337&lt;=0,L1337&lt;=0),"",ROUND(L1337-K1337,6)))</f>
        <v/>
      </c>
      <c r="N1337" s="58" t="n"/>
      <c r="O1337" s="62" t="n"/>
      <c r="P1337" s="63" t="str">
        <f>IF(OR(B1337="",NOT(ISNUMBER(L1337))),"",IF(L1337&lt;=0,"",IFERROR(ROUND(L1337*N(INDEX(art_w,MATCH(H1337,art_ref,0))),3),"")))</f>
        <v/>
      </c>
      <c r="Q1337" s="59" t="n"/>
      <c r="R1337" s="54" t="n"/>
      <c r="S1337" s="59" t="n"/>
      <c r="T1337" s="59" t="n"/>
      <c r="U1337" s="64" t="str">
        <f>IF(OR(B1337="",H1337=""),"",IFERROR(IF(A1337="BL",IF(N(INDEX(art_price,MATCH(H1337,art_ref,0)))=0,"",N(INDEX(art_price,MATCH(H1337,art_ref,0)))),IF(N(INDEX(art_cost,MATCH(H1337,art_ref,0)))=0,"",N(INDEX(art_cost,MATCH(H1337,art_ref,0))))),""))</f>
        <v/>
      </c>
      <c r="V1337" s="64" t="str">
        <f>IF(OR(U1337="",NOT(ISNUMBER(L1337))),"",IF(L1337&lt;=0,"",ROUND(L1337*U1337,2)))</f>
        <v/>
      </c>
      <c r="W1337" s="60" t="str">
        <f>IF(AND(B1337&lt;&gt;"",A1337&lt;&gt;"BS",F1337&lt;&gt;"",H1337&lt;&gt;"",ISNUMBER(K1337),ISNUMBER(L1337)),IF(AND(K1337&gt;0,L1337&gt;0,K1337-L1337&gt;0,COUNTIFS(A1338:A$2005,A1337,F1338:F$2005,F1337,H1338:H$2005,H1337,AA1338:AA$2005,"&gt;0")=0),ROUND(K1337-L1337,6),""),"")</f>
        <v/>
      </c>
      <c r="X1337" s="60" t="str">
        <f>IF(AND(A1337="",C1337="",D1337="",H1337="",L1337=""),"",IF(A1337="","Type manquant",IF(AND(A1337&lt;&gt;"BL",A1337&lt;&gt;"BR",A1337&lt;&gt;"BS"),"Type inconnu (BL, BR ou BS)",IF(AG1337=0,"Date manquante ou invalide",IF(D1337="",IF(A1337="BL","Client manquant",IF(A1337="BR","Fournisseur manquant","Service manquant")),IF(IF(A1337="BL",ISNA(MATCH(D1337,cl_code,0)),IF(A1337="BR",ISNA(MATCH(D1337,fo_code,0)),ISNA(MATCH(D1337,p_services,0)))),IF(A1337="BL","Client inconnu",IF(A1337="BR","Fournisseur inconnu","Service inconnu")),IF(H1337="","Article manquant",IF(ISNA(MATCH(H1337,art_ref,0)),"Article inconnu",IF(OR(NOT(ISNUMBER(L1337)),N(L1337)&lt;=0),"Quantité invalide",IF(AND(K1337&lt;&gt;"",OR(NOT(ISNUMBER(K1337)),N(K1337)&lt;=0)),"Qté commandée invalide",IF(AG1337&lt;SUMPRODUCT(MAX((A$6:A1336=A1337)*AG$6:AG1336)),"Date antérieure au bon précédent",IF(AND(A1337&lt;&gt;"BR",ISNUMBER(M1337),N(M1337)&gt;0),IF(A1337="BL","Livré plus que commandé","Sorti plus que demandé"),"OK"))))))))))))</f>
        <v/>
      </c>
      <c r="Y1337" s="57" t="str">
        <f>IF(AND(OR(A1337="BL",A1337="BR",A1337="BS"),AG1337&gt;0,D1337&lt;&gt;""),A1337&amp;"|"&amp;AG1337&amp;"|"&amp;D1337&amp;"|"&amp;F1337,"")</f>
        <v/>
      </c>
      <c r="Z1337" s="57" t="str">
        <f>IF(Y1337="","",IF(COUNTIF(Y$6:Y1336,Y1337)=0,1,0))</f>
        <v/>
      </c>
      <c r="AA1337" s="57" t="str">
        <f>IF(Y1337="","",IF(Z1337=1,COUNTIFS(A$6:A1337,A1337,Z$6:Z1337,1),INDEX(AA$6:AA1336,MATCH(Y1337,Y$6:Y1336,0))))</f>
        <v/>
      </c>
      <c r="AB1337" s="57" t="str">
        <f>IF(B1337="","",COUNTIF(B$6:B1337,B1337))</f>
        <v/>
      </c>
      <c r="AC1337" s="57" t="str">
        <f>IF(B1337="","",B1337&amp;"#"&amp;AB1337)</f>
        <v/>
      </c>
      <c r="AD1337" s="57" t="str">
        <f>IF(Z1337=1,A1337&amp;AA1337,"")</f>
        <v/>
      </c>
      <c r="AE1337" s="57" t="str">
        <f>IF(B1337="","",YEAR(C1337))</f>
        <v/>
      </c>
      <c r="AF1337" s="57" t="str">
        <f>IF(B1337="","",MONTH(C1337))</f>
        <v/>
      </c>
      <c r="AG1337" s="57">
        <f>IF(ISNUMBER(C1337),C1337,0)</f>
        <v>0.0</v>
      </c>
      <c r="AH1337" s="57" t="str">
        <f>IF(N(W1337)&gt;0,COUNTIF(W$6:W1337,"&gt;0"),"")</f>
        <v/>
      </c>
      <c r="AI1337" s="57" t="str">
        <f>IF(Z1337=1,COUNTIF(Z$6:Z1337,1),"")</f>
        <v/>
      </c>
    </row>
    <row r="1338">
      <c r="A1338" s="54" t="n"/>
      <c r="B1338" s="55" t="str">
        <f>IF(AA1338="","",A1338&amp;"-"&amp;RIGHT("000"&amp;AA1338,4))</f>
        <v/>
      </c>
      <c r="C1338" s="56" t="n"/>
      <c r="D1338" s="54" t="n"/>
      <c r="E1338" s="57" t="str">
        <f>IF(D1338="","",IF(A1338="BL",IFERROR(INDEX(cl_name,MATCH(D1338,cl_code,0))&amp;"","Client inconnu"),IF(A1338="BR",IFERROR(INDEX(fo_name,MATCH(D1338,fo_code,0))&amp;"","Fournisseur inconnu"),IF(A1338="BS",IF(ISNA(MATCH(D1338,p_services,0)),"Service inconnu",D1338&amp;""),""))))</f>
        <v/>
      </c>
      <c r="F1338" s="58" t="n"/>
      <c r="G1338" s="58" t="n"/>
      <c r="H1338" s="59" t="n"/>
      <c r="I1338" s="57" t="str">
        <f>IF(H1338="","",IFERROR(INDEX(art_des,MATCH(H1338,art_ref,0))&amp;"","Article inconnu"))</f>
        <v/>
      </c>
      <c r="J1338" s="60" t="str">
        <f>IF(H1338="","",IFERROR(INDEX(art_unit,MATCH(H1338,art_ref,0))&amp;"",""))</f>
        <v/>
      </c>
      <c r="K1338" s="59" t="n"/>
      <c r="L1338" s="59" t="n"/>
      <c r="M1338" s="61" t="str">
        <f>IF(OR(B1338="",NOT(ISNUMBER(K1338)),NOT(ISNUMBER(L1338))),"",IF(OR(K1338&lt;=0,L1338&lt;=0),"",ROUND(L1338-K1338,6)))</f>
        <v/>
      </c>
      <c r="N1338" s="58" t="n"/>
      <c r="O1338" s="62" t="n"/>
      <c r="P1338" s="63" t="str">
        <f>IF(OR(B1338="",NOT(ISNUMBER(L1338))),"",IF(L1338&lt;=0,"",IFERROR(ROUND(L1338*N(INDEX(art_w,MATCH(H1338,art_ref,0))),3),"")))</f>
        <v/>
      </c>
      <c r="Q1338" s="59" t="n"/>
      <c r="R1338" s="54" t="n"/>
      <c r="S1338" s="59" t="n"/>
      <c r="T1338" s="59" t="n"/>
      <c r="U1338" s="64" t="str">
        <f>IF(OR(B1338="",H1338=""),"",IFERROR(IF(A1338="BL",IF(N(INDEX(art_price,MATCH(H1338,art_ref,0)))=0,"",N(INDEX(art_price,MATCH(H1338,art_ref,0)))),IF(N(INDEX(art_cost,MATCH(H1338,art_ref,0)))=0,"",N(INDEX(art_cost,MATCH(H1338,art_ref,0))))),""))</f>
        <v/>
      </c>
      <c r="V1338" s="64" t="str">
        <f>IF(OR(U1338="",NOT(ISNUMBER(L1338))),"",IF(L1338&lt;=0,"",ROUND(L1338*U1338,2)))</f>
        <v/>
      </c>
      <c r="W1338" s="60" t="str">
        <f>IF(AND(B1338&lt;&gt;"",A1338&lt;&gt;"BS",F1338&lt;&gt;"",H1338&lt;&gt;"",ISNUMBER(K1338),ISNUMBER(L1338)),IF(AND(K1338&gt;0,L1338&gt;0,K1338-L1338&gt;0,COUNTIFS(A1339:A$2005,A1338,F1339:F$2005,F1338,H1339:H$2005,H1338,AA1339:AA$2005,"&gt;0")=0),ROUND(K1338-L1338,6),""),"")</f>
        <v/>
      </c>
      <c r="X1338" s="60" t="str">
        <f>IF(AND(A1338="",C1338="",D1338="",H1338="",L1338=""),"",IF(A1338="","Type manquant",IF(AND(A1338&lt;&gt;"BL",A1338&lt;&gt;"BR",A1338&lt;&gt;"BS"),"Type inconnu (BL, BR ou BS)",IF(AG1338=0,"Date manquante ou invalide",IF(D1338="",IF(A1338="BL","Client manquant",IF(A1338="BR","Fournisseur manquant","Service manquant")),IF(IF(A1338="BL",ISNA(MATCH(D1338,cl_code,0)),IF(A1338="BR",ISNA(MATCH(D1338,fo_code,0)),ISNA(MATCH(D1338,p_services,0)))),IF(A1338="BL","Client inconnu",IF(A1338="BR","Fournisseur inconnu","Service inconnu")),IF(H1338="","Article manquant",IF(ISNA(MATCH(H1338,art_ref,0)),"Article inconnu",IF(OR(NOT(ISNUMBER(L1338)),N(L1338)&lt;=0),"Quantité invalide",IF(AND(K1338&lt;&gt;"",OR(NOT(ISNUMBER(K1338)),N(K1338)&lt;=0)),"Qté commandée invalide",IF(AG1338&lt;SUMPRODUCT(MAX((A$6:A1337=A1338)*AG$6:AG1337)),"Date antérieure au bon précédent",IF(AND(A1338&lt;&gt;"BR",ISNUMBER(M1338),N(M1338)&gt;0),IF(A1338="BL","Livré plus que commandé","Sorti plus que demandé"),"OK"))))))))))))</f>
        <v/>
      </c>
      <c r="Y1338" s="57" t="str">
        <f>IF(AND(OR(A1338="BL",A1338="BR",A1338="BS"),AG1338&gt;0,D1338&lt;&gt;""),A1338&amp;"|"&amp;AG1338&amp;"|"&amp;D1338&amp;"|"&amp;F1338,"")</f>
        <v/>
      </c>
      <c r="Z1338" s="57" t="str">
        <f>IF(Y1338="","",IF(COUNTIF(Y$6:Y1337,Y1338)=0,1,0))</f>
        <v/>
      </c>
      <c r="AA1338" s="57" t="str">
        <f>IF(Y1338="","",IF(Z1338=1,COUNTIFS(A$6:A1338,A1338,Z$6:Z1338,1),INDEX(AA$6:AA1337,MATCH(Y1338,Y$6:Y1337,0))))</f>
        <v/>
      </c>
      <c r="AB1338" s="57" t="str">
        <f>IF(B1338="","",COUNTIF(B$6:B1338,B1338))</f>
        <v/>
      </c>
      <c r="AC1338" s="57" t="str">
        <f>IF(B1338="","",B1338&amp;"#"&amp;AB1338)</f>
        <v/>
      </c>
      <c r="AD1338" s="57" t="str">
        <f>IF(Z1338=1,A1338&amp;AA1338,"")</f>
        <v/>
      </c>
      <c r="AE1338" s="57" t="str">
        <f>IF(B1338="","",YEAR(C1338))</f>
        <v/>
      </c>
      <c r="AF1338" s="57" t="str">
        <f>IF(B1338="","",MONTH(C1338))</f>
        <v/>
      </c>
      <c r="AG1338" s="57">
        <f>IF(ISNUMBER(C1338),C1338,0)</f>
        <v>0.0</v>
      </c>
      <c r="AH1338" s="57" t="str">
        <f>IF(N(W1338)&gt;0,COUNTIF(W$6:W1338,"&gt;0"),"")</f>
        <v/>
      </c>
      <c r="AI1338" s="57" t="str">
        <f>IF(Z1338=1,COUNTIF(Z$6:Z1338,1),"")</f>
        <v/>
      </c>
    </row>
    <row r="1339">
      <c r="A1339" s="54" t="n"/>
      <c r="B1339" s="55" t="str">
        <f>IF(AA1339="","",A1339&amp;"-"&amp;RIGHT("000"&amp;AA1339,4))</f>
        <v/>
      </c>
      <c r="C1339" s="56" t="n"/>
      <c r="D1339" s="54" t="n"/>
      <c r="E1339" s="57" t="str">
        <f>IF(D1339="","",IF(A1339="BL",IFERROR(INDEX(cl_name,MATCH(D1339,cl_code,0))&amp;"","Client inconnu"),IF(A1339="BR",IFERROR(INDEX(fo_name,MATCH(D1339,fo_code,0))&amp;"","Fournisseur inconnu"),IF(A1339="BS",IF(ISNA(MATCH(D1339,p_services,0)),"Service inconnu",D1339&amp;""),""))))</f>
        <v/>
      </c>
      <c r="F1339" s="58" t="n"/>
      <c r="G1339" s="58" t="n"/>
      <c r="H1339" s="59" t="n"/>
      <c r="I1339" s="57" t="str">
        <f>IF(H1339="","",IFERROR(INDEX(art_des,MATCH(H1339,art_ref,0))&amp;"","Article inconnu"))</f>
        <v/>
      </c>
      <c r="J1339" s="60" t="str">
        <f>IF(H1339="","",IFERROR(INDEX(art_unit,MATCH(H1339,art_ref,0))&amp;"",""))</f>
        <v/>
      </c>
      <c r="K1339" s="59" t="n"/>
      <c r="L1339" s="59" t="n"/>
      <c r="M1339" s="61" t="str">
        <f>IF(OR(B1339="",NOT(ISNUMBER(K1339)),NOT(ISNUMBER(L1339))),"",IF(OR(K1339&lt;=0,L1339&lt;=0),"",ROUND(L1339-K1339,6)))</f>
        <v/>
      </c>
      <c r="N1339" s="58" t="n"/>
      <c r="O1339" s="62" t="n"/>
      <c r="P1339" s="63" t="str">
        <f>IF(OR(B1339="",NOT(ISNUMBER(L1339))),"",IF(L1339&lt;=0,"",IFERROR(ROUND(L1339*N(INDEX(art_w,MATCH(H1339,art_ref,0))),3),"")))</f>
        <v/>
      </c>
      <c r="Q1339" s="59" t="n"/>
      <c r="R1339" s="54" t="n"/>
      <c r="S1339" s="59" t="n"/>
      <c r="T1339" s="59" t="n"/>
      <c r="U1339" s="64" t="str">
        <f>IF(OR(B1339="",H1339=""),"",IFERROR(IF(A1339="BL",IF(N(INDEX(art_price,MATCH(H1339,art_ref,0)))=0,"",N(INDEX(art_price,MATCH(H1339,art_ref,0)))),IF(N(INDEX(art_cost,MATCH(H1339,art_ref,0)))=0,"",N(INDEX(art_cost,MATCH(H1339,art_ref,0))))),""))</f>
        <v/>
      </c>
      <c r="V1339" s="64" t="str">
        <f>IF(OR(U1339="",NOT(ISNUMBER(L1339))),"",IF(L1339&lt;=0,"",ROUND(L1339*U1339,2)))</f>
        <v/>
      </c>
      <c r="W1339" s="60" t="str">
        <f>IF(AND(B1339&lt;&gt;"",A1339&lt;&gt;"BS",F1339&lt;&gt;"",H1339&lt;&gt;"",ISNUMBER(K1339),ISNUMBER(L1339)),IF(AND(K1339&gt;0,L1339&gt;0,K1339-L1339&gt;0,COUNTIFS(A1340:A$2005,A1339,F1340:F$2005,F1339,H1340:H$2005,H1339,AA1340:AA$2005,"&gt;0")=0),ROUND(K1339-L1339,6),""),"")</f>
        <v/>
      </c>
      <c r="X1339" s="60" t="str">
        <f>IF(AND(A1339="",C1339="",D1339="",H1339="",L1339=""),"",IF(A1339="","Type manquant",IF(AND(A1339&lt;&gt;"BL",A1339&lt;&gt;"BR",A1339&lt;&gt;"BS"),"Type inconnu (BL, BR ou BS)",IF(AG1339=0,"Date manquante ou invalide",IF(D1339="",IF(A1339="BL","Client manquant",IF(A1339="BR","Fournisseur manquant","Service manquant")),IF(IF(A1339="BL",ISNA(MATCH(D1339,cl_code,0)),IF(A1339="BR",ISNA(MATCH(D1339,fo_code,0)),ISNA(MATCH(D1339,p_services,0)))),IF(A1339="BL","Client inconnu",IF(A1339="BR","Fournisseur inconnu","Service inconnu")),IF(H1339="","Article manquant",IF(ISNA(MATCH(H1339,art_ref,0)),"Article inconnu",IF(OR(NOT(ISNUMBER(L1339)),N(L1339)&lt;=0),"Quantité invalide",IF(AND(K1339&lt;&gt;"",OR(NOT(ISNUMBER(K1339)),N(K1339)&lt;=0)),"Qté commandée invalide",IF(AG1339&lt;SUMPRODUCT(MAX((A$6:A1338=A1339)*AG$6:AG1338)),"Date antérieure au bon précédent",IF(AND(A1339&lt;&gt;"BR",ISNUMBER(M1339),N(M1339)&gt;0),IF(A1339="BL","Livré plus que commandé","Sorti plus que demandé"),"OK"))))))))))))</f>
        <v/>
      </c>
      <c r="Y1339" s="57" t="str">
        <f>IF(AND(OR(A1339="BL",A1339="BR",A1339="BS"),AG1339&gt;0,D1339&lt;&gt;""),A1339&amp;"|"&amp;AG1339&amp;"|"&amp;D1339&amp;"|"&amp;F1339,"")</f>
        <v/>
      </c>
      <c r="Z1339" s="57" t="str">
        <f>IF(Y1339="","",IF(COUNTIF(Y$6:Y1338,Y1339)=0,1,0))</f>
        <v/>
      </c>
      <c r="AA1339" s="57" t="str">
        <f>IF(Y1339="","",IF(Z1339=1,COUNTIFS(A$6:A1339,A1339,Z$6:Z1339,1),INDEX(AA$6:AA1338,MATCH(Y1339,Y$6:Y1338,0))))</f>
        <v/>
      </c>
      <c r="AB1339" s="57" t="str">
        <f>IF(B1339="","",COUNTIF(B$6:B1339,B1339))</f>
        <v/>
      </c>
      <c r="AC1339" s="57" t="str">
        <f>IF(B1339="","",B1339&amp;"#"&amp;AB1339)</f>
        <v/>
      </c>
      <c r="AD1339" s="57" t="str">
        <f>IF(Z1339=1,A1339&amp;AA1339,"")</f>
        <v/>
      </c>
      <c r="AE1339" s="57" t="str">
        <f>IF(B1339="","",YEAR(C1339))</f>
        <v/>
      </c>
      <c r="AF1339" s="57" t="str">
        <f>IF(B1339="","",MONTH(C1339))</f>
        <v/>
      </c>
      <c r="AG1339" s="57">
        <f>IF(ISNUMBER(C1339),C1339,0)</f>
        <v>0.0</v>
      </c>
      <c r="AH1339" s="57" t="str">
        <f>IF(N(W1339)&gt;0,COUNTIF(W$6:W1339,"&gt;0"),"")</f>
        <v/>
      </c>
      <c r="AI1339" s="57" t="str">
        <f>IF(Z1339=1,COUNTIF(Z$6:Z1339,1),"")</f>
        <v/>
      </c>
    </row>
    <row r="1340">
      <c r="A1340" s="54" t="n"/>
      <c r="B1340" s="55" t="str">
        <f>IF(AA1340="","",A1340&amp;"-"&amp;RIGHT("000"&amp;AA1340,4))</f>
        <v/>
      </c>
      <c r="C1340" s="56" t="n"/>
      <c r="D1340" s="54" t="n"/>
      <c r="E1340" s="57" t="str">
        <f>IF(D1340="","",IF(A1340="BL",IFERROR(INDEX(cl_name,MATCH(D1340,cl_code,0))&amp;"","Client inconnu"),IF(A1340="BR",IFERROR(INDEX(fo_name,MATCH(D1340,fo_code,0))&amp;"","Fournisseur inconnu"),IF(A1340="BS",IF(ISNA(MATCH(D1340,p_services,0)),"Service inconnu",D1340&amp;""),""))))</f>
        <v/>
      </c>
      <c r="F1340" s="58" t="n"/>
      <c r="G1340" s="58" t="n"/>
      <c r="H1340" s="59" t="n"/>
      <c r="I1340" s="57" t="str">
        <f>IF(H1340="","",IFERROR(INDEX(art_des,MATCH(H1340,art_ref,0))&amp;"","Article inconnu"))</f>
        <v/>
      </c>
      <c r="J1340" s="60" t="str">
        <f>IF(H1340="","",IFERROR(INDEX(art_unit,MATCH(H1340,art_ref,0))&amp;"",""))</f>
        <v/>
      </c>
      <c r="K1340" s="59" t="n"/>
      <c r="L1340" s="59" t="n"/>
      <c r="M1340" s="61" t="str">
        <f>IF(OR(B1340="",NOT(ISNUMBER(K1340)),NOT(ISNUMBER(L1340))),"",IF(OR(K1340&lt;=0,L1340&lt;=0),"",ROUND(L1340-K1340,6)))</f>
        <v/>
      </c>
      <c r="N1340" s="58" t="n"/>
      <c r="O1340" s="62" t="n"/>
      <c r="P1340" s="63" t="str">
        <f>IF(OR(B1340="",NOT(ISNUMBER(L1340))),"",IF(L1340&lt;=0,"",IFERROR(ROUND(L1340*N(INDEX(art_w,MATCH(H1340,art_ref,0))),3),"")))</f>
        <v/>
      </c>
      <c r="Q1340" s="59" t="n"/>
      <c r="R1340" s="54" t="n"/>
      <c r="S1340" s="59" t="n"/>
      <c r="T1340" s="59" t="n"/>
      <c r="U1340" s="64" t="str">
        <f>IF(OR(B1340="",H1340=""),"",IFERROR(IF(A1340="BL",IF(N(INDEX(art_price,MATCH(H1340,art_ref,0)))=0,"",N(INDEX(art_price,MATCH(H1340,art_ref,0)))),IF(N(INDEX(art_cost,MATCH(H1340,art_ref,0)))=0,"",N(INDEX(art_cost,MATCH(H1340,art_ref,0))))),""))</f>
        <v/>
      </c>
      <c r="V1340" s="64" t="str">
        <f>IF(OR(U1340="",NOT(ISNUMBER(L1340))),"",IF(L1340&lt;=0,"",ROUND(L1340*U1340,2)))</f>
        <v/>
      </c>
      <c r="W1340" s="60" t="str">
        <f>IF(AND(B1340&lt;&gt;"",A1340&lt;&gt;"BS",F1340&lt;&gt;"",H1340&lt;&gt;"",ISNUMBER(K1340),ISNUMBER(L1340)),IF(AND(K1340&gt;0,L1340&gt;0,K1340-L1340&gt;0,COUNTIFS(A1341:A$2005,A1340,F1341:F$2005,F1340,H1341:H$2005,H1340,AA1341:AA$2005,"&gt;0")=0),ROUND(K1340-L1340,6),""),"")</f>
        <v/>
      </c>
      <c r="X1340" s="60" t="str">
        <f>IF(AND(A1340="",C1340="",D1340="",H1340="",L1340=""),"",IF(A1340="","Type manquant",IF(AND(A1340&lt;&gt;"BL",A1340&lt;&gt;"BR",A1340&lt;&gt;"BS"),"Type inconnu (BL, BR ou BS)",IF(AG1340=0,"Date manquante ou invalide",IF(D1340="",IF(A1340="BL","Client manquant",IF(A1340="BR","Fournisseur manquant","Service manquant")),IF(IF(A1340="BL",ISNA(MATCH(D1340,cl_code,0)),IF(A1340="BR",ISNA(MATCH(D1340,fo_code,0)),ISNA(MATCH(D1340,p_services,0)))),IF(A1340="BL","Client inconnu",IF(A1340="BR","Fournisseur inconnu","Service inconnu")),IF(H1340="","Article manquant",IF(ISNA(MATCH(H1340,art_ref,0)),"Article inconnu",IF(OR(NOT(ISNUMBER(L1340)),N(L1340)&lt;=0),"Quantité invalide",IF(AND(K1340&lt;&gt;"",OR(NOT(ISNUMBER(K1340)),N(K1340)&lt;=0)),"Qté commandée invalide",IF(AG1340&lt;SUMPRODUCT(MAX((A$6:A1339=A1340)*AG$6:AG1339)),"Date antérieure au bon précédent",IF(AND(A1340&lt;&gt;"BR",ISNUMBER(M1340),N(M1340)&gt;0),IF(A1340="BL","Livré plus que commandé","Sorti plus que demandé"),"OK"))))))))))))</f>
        <v/>
      </c>
      <c r="Y1340" s="57" t="str">
        <f>IF(AND(OR(A1340="BL",A1340="BR",A1340="BS"),AG1340&gt;0,D1340&lt;&gt;""),A1340&amp;"|"&amp;AG1340&amp;"|"&amp;D1340&amp;"|"&amp;F1340,"")</f>
        <v/>
      </c>
      <c r="Z1340" s="57" t="str">
        <f>IF(Y1340="","",IF(COUNTIF(Y$6:Y1339,Y1340)=0,1,0))</f>
        <v/>
      </c>
      <c r="AA1340" s="57" t="str">
        <f>IF(Y1340="","",IF(Z1340=1,COUNTIFS(A$6:A1340,A1340,Z$6:Z1340,1),INDEX(AA$6:AA1339,MATCH(Y1340,Y$6:Y1339,0))))</f>
        <v/>
      </c>
      <c r="AB1340" s="57" t="str">
        <f>IF(B1340="","",COUNTIF(B$6:B1340,B1340))</f>
        <v/>
      </c>
      <c r="AC1340" s="57" t="str">
        <f>IF(B1340="","",B1340&amp;"#"&amp;AB1340)</f>
        <v/>
      </c>
      <c r="AD1340" s="57" t="str">
        <f>IF(Z1340=1,A1340&amp;AA1340,"")</f>
        <v/>
      </c>
      <c r="AE1340" s="57" t="str">
        <f>IF(B1340="","",YEAR(C1340))</f>
        <v/>
      </c>
      <c r="AF1340" s="57" t="str">
        <f>IF(B1340="","",MONTH(C1340))</f>
        <v/>
      </c>
      <c r="AG1340" s="57">
        <f>IF(ISNUMBER(C1340),C1340,0)</f>
        <v>0.0</v>
      </c>
      <c r="AH1340" s="57" t="str">
        <f>IF(N(W1340)&gt;0,COUNTIF(W$6:W1340,"&gt;0"),"")</f>
        <v/>
      </c>
      <c r="AI1340" s="57" t="str">
        <f>IF(Z1340=1,COUNTIF(Z$6:Z1340,1),"")</f>
        <v/>
      </c>
    </row>
    <row r="1341">
      <c r="A1341" s="54" t="n"/>
      <c r="B1341" s="55" t="str">
        <f>IF(AA1341="","",A1341&amp;"-"&amp;RIGHT("000"&amp;AA1341,4))</f>
        <v/>
      </c>
      <c r="C1341" s="56" t="n"/>
      <c r="D1341" s="54" t="n"/>
      <c r="E1341" s="57" t="str">
        <f>IF(D1341="","",IF(A1341="BL",IFERROR(INDEX(cl_name,MATCH(D1341,cl_code,0))&amp;"","Client inconnu"),IF(A1341="BR",IFERROR(INDEX(fo_name,MATCH(D1341,fo_code,0))&amp;"","Fournisseur inconnu"),IF(A1341="BS",IF(ISNA(MATCH(D1341,p_services,0)),"Service inconnu",D1341&amp;""),""))))</f>
        <v/>
      </c>
      <c r="F1341" s="58" t="n"/>
      <c r="G1341" s="58" t="n"/>
      <c r="H1341" s="59" t="n"/>
      <c r="I1341" s="57" t="str">
        <f>IF(H1341="","",IFERROR(INDEX(art_des,MATCH(H1341,art_ref,0))&amp;"","Article inconnu"))</f>
        <v/>
      </c>
      <c r="J1341" s="60" t="str">
        <f>IF(H1341="","",IFERROR(INDEX(art_unit,MATCH(H1341,art_ref,0))&amp;"",""))</f>
        <v/>
      </c>
      <c r="K1341" s="59" t="n"/>
      <c r="L1341" s="59" t="n"/>
      <c r="M1341" s="61" t="str">
        <f>IF(OR(B1341="",NOT(ISNUMBER(K1341)),NOT(ISNUMBER(L1341))),"",IF(OR(K1341&lt;=0,L1341&lt;=0),"",ROUND(L1341-K1341,6)))</f>
        <v/>
      </c>
      <c r="N1341" s="58" t="n"/>
      <c r="O1341" s="62" t="n"/>
      <c r="P1341" s="63" t="str">
        <f>IF(OR(B1341="",NOT(ISNUMBER(L1341))),"",IF(L1341&lt;=0,"",IFERROR(ROUND(L1341*N(INDEX(art_w,MATCH(H1341,art_ref,0))),3),"")))</f>
        <v/>
      </c>
      <c r="Q1341" s="59" t="n"/>
      <c r="R1341" s="54" t="n"/>
      <c r="S1341" s="59" t="n"/>
      <c r="T1341" s="59" t="n"/>
      <c r="U1341" s="64" t="str">
        <f>IF(OR(B1341="",H1341=""),"",IFERROR(IF(A1341="BL",IF(N(INDEX(art_price,MATCH(H1341,art_ref,0)))=0,"",N(INDEX(art_price,MATCH(H1341,art_ref,0)))),IF(N(INDEX(art_cost,MATCH(H1341,art_ref,0)))=0,"",N(INDEX(art_cost,MATCH(H1341,art_ref,0))))),""))</f>
        <v/>
      </c>
      <c r="V1341" s="64" t="str">
        <f>IF(OR(U1341="",NOT(ISNUMBER(L1341))),"",IF(L1341&lt;=0,"",ROUND(L1341*U1341,2)))</f>
        <v/>
      </c>
      <c r="W1341" s="60" t="str">
        <f>IF(AND(B1341&lt;&gt;"",A1341&lt;&gt;"BS",F1341&lt;&gt;"",H1341&lt;&gt;"",ISNUMBER(K1341),ISNUMBER(L1341)),IF(AND(K1341&gt;0,L1341&gt;0,K1341-L1341&gt;0,COUNTIFS(A1342:A$2005,A1341,F1342:F$2005,F1341,H1342:H$2005,H1341,AA1342:AA$2005,"&gt;0")=0),ROUND(K1341-L1341,6),""),"")</f>
        <v/>
      </c>
      <c r="X1341" s="60" t="str">
        <f>IF(AND(A1341="",C1341="",D1341="",H1341="",L1341=""),"",IF(A1341="","Type manquant",IF(AND(A1341&lt;&gt;"BL",A1341&lt;&gt;"BR",A1341&lt;&gt;"BS"),"Type inconnu (BL, BR ou BS)",IF(AG1341=0,"Date manquante ou invalide",IF(D1341="",IF(A1341="BL","Client manquant",IF(A1341="BR","Fournisseur manquant","Service manquant")),IF(IF(A1341="BL",ISNA(MATCH(D1341,cl_code,0)),IF(A1341="BR",ISNA(MATCH(D1341,fo_code,0)),ISNA(MATCH(D1341,p_services,0)))),IF(A1341="BL","Client inconnu",IF(A1341="BR","Fournisseur inconnu","Service inconnu")),IF(H1341="","Article manquant",IF(ISNA(MATCH(H1341,art_ref,0)),"Article inconnu",IF(OR(NOT(ISNUMBER(L1341)),N(L1341)&lt;=0),"Quantité invalide",IF(AND(K1341&lt;&gt;"",OR(NOT(ISNUMBER(K1341)),N(K1341)&lt;=0)),"Qté commandée invalide",IF(AG1341&lt;SUMPRODUCT(MAX((A$6:A1340=A1341)*AG$6:AG1340)),"Date antérieure au bon précédent",IF(AND(A1341&lt;&gt;"BR",ISNUMBER(M1341),N(M1341)&gt;0),IF(A1341="BL","Livré plus que commandé","Sorti plus que demandé"),"OK"))))))))))))</f>
        <v/>
      </c>
      <c r="Y1341" s="57" t="str">
        <f>IF(AND(OR(A1341="BL",A1341="BR",A1341="BS"),AG1341&gt;0,D1341&lt;&gt;""),A1341&amp;"|"&amp;AG1341&amp;"|"&amp;D1341&amp;"|"&amp;F1341,"")</f>
        <v/>
      </c>
      <c r="Z1341" s="57" t="str">
        <f>IF(Y1341="","",IF(COUNTIF(Y$6:Y1340,Y1341)=0,1,0))</f>
        <v/>
      </c>
      <c r="AA1341" s="57" t="str">
        <f>IF(Y1341="","",IF(Z1341=1,COUNTIFS(A$6:A1341,A1341,Z$6:Z1341,1),INDEX(AA$6:AA1340,MATCH(Y1341,Y$6:Y1340,0))))</f>
        <v/>
      </c>
      <c r="AB1341" s="57" t="str">
        <f>IF(B1341="","",COUNTIF(B$6:B1341,B1341))</f>
        <v/>
      </c>
      <c r="AC1341" s="57" t="str">
        <f>IF(B1341="","",B1341&amp;"#"&amp;AB1341)</f>
        <v/>
      </c>
      <c r="AD1341" s="57" t="str">
        <f>IF(Z1341=1,A1341&amp;AA1341,"")</f>
        <v/>
      </c>
      <c r="AE1341" s="57" t="str">
        <f>IF(B1341="","",YEAR(C1341))</f>
        <v/>
      </c>
      <c r="AF1341" s="57" t="str">
        <f>IF(B1341="","",MONTH(C1341))</f>
        <v/>
      </c>
      <c r="AG1341" s="57">
        <f>IF(ISNUMBER(C1341),C1341,0)</f>
        <v>0.0</v>
      </c>
      <c r="AH1341" s="57" t="str">
        <f>IF(N(W1341)&gt;0,COUNTIF(W$6:W1341,"&gt;0"),"")</f>
        <v/>
      </c>
      <c r="AI1341" s="57" t="str">
        <f>IF(Z1341=1,COUNTIF(Z$6:Z1341,1),"")</f>
        <v/>
      </c>
    </row>
    <row r="1342">
      <c r="A1342" s="54" t="n"/>
      <c r="B1342" s="55" t="str">
        <f>IF(AA1342="","",A1342&amp;"-"&amp;RIGHT("000"&amp;AA1342,4))</f>
        <v/>
      </c>
      <c r="C1342" s="56" t="n"/>
      <c r="D1342" s="54" t="n"/>
      <c r="E1342" s="57" t="str">
        <f>IF(D1342="","",IF(A1342="BL",IFERROR(INDEX(cl_name,MATCH(D1342,cl_code,0))&amp;"","Client inconnu"),IF(A1342="BR",IFERROR(INDEX(fo_name,MATCH(D1342,fo_code,0))&amp;"","Fournisseur inconnu"),IF(A1342="BS",IF(ISNA(MATCH(D1342,p_services,0)),"Service inconnu",D1342&amp;""),""))))</f>
        <v/>
      </c>
      <c r="F1342" s="58" t="n"/>
      <c r="G1342" s="58" t="n"/>
      <c r="H1342" s="59" t="n"/>
      <c r="I1342" s="57" t="str">
        <f>IF(H1342="","",IFERROR(INDEX(art_des,MATCH(H1342,art_ref,0))&amp;"","Article inconnu"))</f>
        <v/>
      </c>
      <c r="J1342" s="60" t="str">
        <f>IF(H1342="","",IFERROR(INDEX(art_unit,MATCH(H1342,art_ref,0))&amp;"",""))</f>
        <v/>
      </c>
      <c r="K1342" s="59" t="n"/>
      <c r="L1342" s="59" t="n"/>
      <c r="M1342" s="61" t="str">
        <f>IF(OR(B1342="",NOT(ISNUMBER(K1342)),NOT(ISNUMBER(L1342))),"",IF(OR(K1342&lt;=0,L1342&lt;=0),"",ROUND(L1342-K1342,6)))</f>
        <v/>
      </c>
      <c r="N1342" s="58" t="n"/>
      <c r="O1342" s="62" t="n"/>
      <c r="P1342" s="63" t="str">
        <f>IF(OR(B1342="",NOT(ISNUMBER(L1342))),"",IF(L1342&lt;=0,"",IFERROR(ROUND(L1342*N(INDEX(art_w,MATCH(H1342,art_ref,0))),3),"")))</f>
        <v/>
      </c>
      <c r="Q1342" s="59" t="n"/>
      <c r="R1342" s="54" t="n"/>
      <c r="S1342" s="59" t="n"/>
      <c r="T1342" s="59" t="n"/>
      <c r="U1342" s="64" t="str">
        <f>IF(OR(B1342="",H1342=""),"",IFERROR(IF(A1342="BL",IF(N(INDEX(art_price,MATCH(H1342,art_ref,0)))=0,"",N(INDEX(art_price,MATCH(H1342,art_ref,0)))),IF(N(INDEX(art_cost,MATCH(H1342,art_ref,0)))=0,"",N(INDEX(art_cost,MATCH(H1342,art_ref,0))))),""))</f>
        <v/>
      </c>
      <c r="V1342" s="64" t="str">
        <f>IF(OR(U1342="",NOT(ISNUMBER(L1342))),"",IF(L1342&lt;=0,"",ROUND(L1342*U1342,2)))</f>
        <v/>
      </c>
      <c r="W1342" s="60" t="str">
        <f>IF(AND(B1342&lt;&gt;"",A1342&lt;&gt;"BS",F1342&lt;&gt;"",H1342&lt;&gt;"",ISNUMBER(K1342),ISNUMBER(L1342)),IF(AND(K1342&gt;0,L1342&gt;0,K1342-L1342&gt;0,COUNTIFS(A1343:A$2005,A1342,F1343:F$2005,F1342,H1343:H$2005,H1342,AA1343:AA$2005,"&gt;0")=0),ROUND(K1342-L1342,6),""),"")</f>
        <v/>
      </c>
      <c r="X1342" s="60" t="str">
        <f>IF(AND(A1342="",C1342="",D1342="",H1342="",L1342=""),"",IF(A1342="","Type manquant",IF(AND(A1342&lt;&gt;"BL",A1342&lt;&gt;"BR",A1342&lt;&gt;"BS"),"Type inconnu (BL, BR ou BS)",IF(AG1342=0,"Date manquante ou invalide",IF(D1342="",IF(A1342="BL","Client manquant",IF(A1342="BR","Fournisseur manquant","Service manquant")),IF(IF(A1342="BL",ISNA(MATCH(D1342,cl_code,0)),IF(A1342="BR",ISNA(MATCH(D1342,fo_code,0)),ISNA(MATCH(D1342,p_services,0)))),IF(A1342="BL","Client inconnu",IF(A1342="BR","Fournisseur inconnu","Service inconnu")),IF(H1342="","Article manquant",IF(ISNA(MATCH(H1342,art_ref,0)),"Article inconnu",IF(OR(NOT(ISNUMBER(L1342)),N(L1342)&lt;=0),"Quantité invalide",IF(AND(K1342&lt;&gt;"",OR(NOT(ISNUMBER(K1342)),N(K1342)&lt;=0)),"Qté commandée invalide",IF(AG1342&lt;SUMPRODUCT(MAX((A$6:A1341=A1342)*AG$6:AG1341)),"Date antérieure au bon précédent",IF(AND(A1342&lt;&gt;"BR",ISNUMBER(M1342),N(M1342)&gt;0),IF(A1342="BL","Livré plus que commandé","Sorti plus que demandé"),"OK"))))))))))))</f>
        <v/>
      </c>
      <c r="Y1342" s="57" t="str">
        <f>IF(AND(OR(A1342="BL",A1342="BR",A1342="BS"),AG1342&gt;0,D1342&lt;&gt;""),A1342&amp;"|"&amp;AG1342&amp;"|"&amp;D1342&amp;"|"&amp;F1342,"")</f>
        <v/>
      </c>
      <c r="Z1342" s="57" t="str">
        <f>IF(Y1342="","",IF(COUNTIF(Y$6:Y1341,Y1342)=0,1,0))</f>
        <v/>
      </c>
      <c r="AA1342" s="57" t="str">
        <f>IF(Y1342="","",IF(Z1342=1,COUNTIFS(A$6:A1342,A1342,Z$6:Z1342,1),INDEX(AA$6:AA1341,MATCH(Y1342,Y$6:Y1341,0))))</f>
        <v/>
      </c>
      <c r="AB1342" s="57" t="str">
        <f>IF(B1342="","",COUNTIF(B$6:B1342,B1342))</f>
        <v/>
      </c>
      <c r="AC1342" s="57" t="str">
        <f>IF(B1342="","",B1342&amp;"#"&amp;AB1342)</f>
        <v/>
      </c>
      <c r="AD1342" s="57" t="str">
        <f>IF(Z1342=1,A1342&amp;AA1342,"")</f>
        <v/>
      </c>
      <c r="AE1342" s="57" t="str">
        <f>IF(B1342="","",YEAR(C1342))</f>
        <v/>
      </c>
      <c r="AF1342" s="57" t="str">
        <f>IF(B1342="","",MONTH(C1342))</f>
        <v/>
      </c>
      <c r="AG1342" s="57">
        <f>IF(ISNUMBER(C1342),C1342,0)</f>
        <v>0.0</v>
      </c>
      <c r="AH1342" s="57" t="str">
        <f>IF(N(W1342)&gt;0,COUNTIF(W$6:W1342,"&gt;0"),"")</f>
        <v/>
      </c>
      <c r="AI1342" s="57" t="str">
        <f>IF(Z1342=1,COUNTIF(Z$6:Z1342,1),"")</f>
        <v/>
      </c>
    </row>
    <row r="1343">
      <c r="A1343" s="54" t="n"/>
      <c r="B1343" s="55" t="str">
        <f>IF(AA1343="","",A1343&amp;"-"&amp;RIGHT("000"&amp;AA1343,4))</f>
        <v/>
      </c>
      <c r="C1343" s="56" t="n"/>
      <c r="D1343" s="54" t="n"/>
      <c r="E1343" s="57" t="str">
        <f>IF(D1343="","",IF(A1343="BL",IFERROR(INDEX(cl_name,MATCH(D1343,cl_code,0))&amp;"","Client inconnu"),IF(A1343="BR",IFERROR(INDEX(fo_name,MATCH(D1343,fo_code,0))&amp;"","Fournisseur inconnu"),IF(A1343="BS",IF(ISNA(MATCH(D1343,p_services,0)),"Service inconnu",D1343&amp;""),""))))</f>
        <v/>
      </c>
      <c r="F1343" s="58" t="n"/>
      <c r="G1343" s="58" t="n"/>
      <c r="H1343" s="59" t="n"/>
      <c r="I1343" s="57" t="str">
        <f>IF(H1343="","",IFERROR(INDEX(art_des,MATCH(H1343,art_ref,0))&amp;"","Article inconnu"))</f>
        <v/>
      </c>
      <c r="J1343" s="60" t="str">
        <f>IF(H1343="","",IFERROR(INDEX(art_unit,MATCH(H1343,art_ref,0))&amp;"",""))</f>
        <v/>
      </c>
      <c r="K1343" s="59" t="n"/>
      <c r="L1343" s="59" t="n"/>
      <c r="M1343" s="61" t="str">
        <f>IF(OR(B1343="",NOT(ISNUMBER(K1343)),NOT(ISNUMBER(L1343))),"",IF(OR(K1343&lt;=0,L1343&lt;=0),"",ROUND(L1343-K1343,6)))</f>
        <v/>
      </c>
      <c r="N1343" s="58" t="n"/>
      <c r="O1343" s="62" t="n"/>
      <c r="P1343" s="63" t="str">
        <f>IF(OR(B1343="",NOT(ISNUMBER(L1343))),"",IF(L1343&lt;=0,"",IFERROR(ROUND(L1343*N(INDEX(art_w,MATCH(H1343,art_ref,0))),3),"")))</f>
        <v/>
      </c>
      <c r="Q1343" s="59" t="n"/>
      <c r="R1343" s="54" t="n"/>
      <c r="S1343" s="59" t="n"/>
      <c r="T1343" s="59" t="n"/>
      <c r="U1343" s="64" t="str">
        <f>IF(OR(B1343="",H1343=""),"",IFERROR(IF(A1343="BL",IF(N(INDEX(art_price,MATCH(H1343,art_ref,0)))=0,"",N(INDEX(art_price,MATCH(H1343,art_ref,0)))),IF(N(INDEX(art_cost,MATCH(H1343,art_ref,0)))=0,"",N(INDEX(art_cost,MATCH(H1343,art_ref,0))))),""))</f>
        <v/>
      </c>
      <c r="V1343" s="64" t="str">
        <f>IF(OR(U1343="",NOT(ISNUMBER(L1343))),"",IF(L1343&lt;=0,"",ROUND(L1343*U1343,2)))</f>
        <v/>
      </c>
      <c r="W1343" s="60" t="str">
        <f>IF(AND(B1343&lt;&gt;"",A1343&lt;&gt;"BS",F1343&lt;&gt;"",H1343&lt;&gt;"",ISNUMBER(K1343),ISNUMBER(L1343)),IF(AND(K1343&gt;0,L1343&gt;0,K1343-L1343&gt;0,COUNTIFS(A1344:A$2005,A1343,F1344:F$2005,F1343,H1344:H$2005,H1343,AA1344:AA$2005,"&gt;0")=0),ROUND(K1343-L1343,6),""),"")</f>
        <v/>
      </c>
      <c r="X1343" s="60" t="str">
        <f>IF(AND(A1343="",C1343="",D1343="",H1343="",L1343=""),"",IF(A1343="","Type manquant",IF(AND(A1343&lt;&gt;"BL",A1343&lt;&gt;"BR",A1343&lt;&gt;"BS"),"Type inconnu (BL, BR ou BS)",IF(AG1343=0,"Date manquante ou invalide",IF(D1343="",IF(A1343="BL","Client manquant",IF(A1343="BR","Fournisseur manquant","Service manquant")),IF(IF(A1343="BL",ISNA(MATCH(D1343,cl_code,0)),IF(A1343="BR",ISNA(MATCH(D1343,fo_code,0)),ISNA(MATCH(D1343,p_services,0)))),IF(A1343="BL","Client inconnu",IF(A1343="BR","Fournisseur inconnu","Service inconnu")),IF(H1343="","Article manquant",IF(ISNA(MATCH(H1343,art_ref,0)),"Article inconnu",IF(OR(NOT(ISNUMBER(L1343)),N(L1343)&lt;=0),"Quantité invalide",IF(AND(K1343&lt;&gt;"",OR(NOT(ISNUMBER(K1343)),N(K1343)&lt;=0)),"Qté commandée invalide",IF(AG1343&lt;SUMPRODUCT(MAX((A$6:A1342=A1343)*AG$6:AG1342)),"Date antérieure au bon précédent",IF(AND(A1343&lt;&gt;"BR",ISNUMBER(M1343),N(M1343)&gt;0),IF(A1343="BL","Livré plus que commandé","Sorti plus que demandé"),"OK"))))))))))))</f>
        <v/>
      </c>
      <c r="Y1343" s="57" t="str">
        <f>IF(AND(OR(A1343="BL",A1343="BR",A1343="BS"),AG1343&gt;0,D1343&lt;&gt;""),A1343&amp;"|"&amp;AG1343&amp;"|"&amp;D1343&amp;"|"&amp;F1343,"")</f>
        <v/>
      </c>
      <c r="Z1343" s="57" t="str">
        <f>IF(Y1343="","",IF(COUNTIF(Y$6:Y1342,Y1343)=0,1,0))</f>
        <v/>
      </c>
      <c r="AA1343" s="57" t="str">
        <f>IF(Y1343="","",IF(Z1343=1,COUNTIFS(A$6:A1343,A1343,Z$6:Z1343,1),INDEX(AA$6:AA1342,MATCH(Y1343,Y$6:Y1342,0))))</f>
        <v/>
      </c>
      <c r="AB1343" s="57" t="str">
        <f>IF(B1343="","",COUNTIF(B$6:B1343,B1343))</f>
        <v/>
      </c>
      <c r="AC1343" s="57" t="str">
        <f>IF(B1343="","",B1343&amp;"#"&amp;AB1343)</f>
        <v/>
      </c>
      <c r="AD1343" s="57" t="str">
        <f>IF(Z1343=1,A1343&amp;AA1343,"")</f>
        <v/>
      </c>
      <c r="AE1343" s="57" t="str">
        <f>IF(B1343="","",YEAR(C1343))</f>
        <v/>
      </c>
      <c r="AF1343" s="57" t="str">
        <f>IF(B1343="","",MONTH(C1343))</f>
        <v/>
      </c>
      <c r="AG1343" s="57">
        <f>IF(ISNUMBER(C1343),C1343,0)</f>
        <v>0.0</v>
      </c>
      <c r="AH1343" s="57" t="str">
        <f>IF(N(W1343)&gt;0,COUNTIF(W$6:W1343,"&gt;0"),"")</f>
        <v/>
      </c>
      <c r="AI1343" s="57" t="str">
        <f>IF(Z1343=1,COUNTIF(Z$6:Z1343,1),"")</f>
        <v/>
      </c>
    </row>
    <row r="1344">
      <c r="A1344" s="54" t="n"/>
      <c r="B1344" s="55" t="str">
        <f>IF(AA1344="","",A1344&amp;"-"&amp;RIGHT("000"&amp;AA1344,4))</f>
        <v/>
      </c>
      <c r="C1344" s="56" t="n"/>
      <c r="D1344" s="54" t="n"/>
      <c r="E1344" s="57" t="str">
        <f>IF(D1344="","",IF(A1344="BL",IFERROR(INDEX(cl_name,MATCH(D1344,cl_code,0))&amp;"","Client inconnu"),IF(A1344="BR",IFERROR(INDEX(fo_name,MATCH(D1344,fo_code,0))&amp;"","Fournisseur inconnu"),IF(A1344="BS",IF(ISNA(MATCH(D1344,p_services,0)),"Service inconnu",D1344&amp;""),""))))</f>
        <v/>
      </c>
      <c r="F1344" s="58" t="n"/>
      <c r="G1344" s="58" t="n"/>
      <c r="H1344" s="59" t="n"/>
      <c r="I1344" s="57" t="str">
        <f>IF(H1344="","",IFERROR(INDEX(art_des,MATCH(H1344,art_ref,0))&amp;"","Article inconnu"))</f>
        <v/>
      </c>
      <c r="J1344" s="60" t="str">
        <f>IF(H1344="","",IFERROR(INDEX(art_unit,MATCH(H1344,art_ref,0))&amp;"",""))</f>
        <v/>
      </c>
      <c r="K1344" s="59" t="n"/>
      <c r="L1344" s="59" t="n"/>
      <c r="M1344" s="61" t="str">
        <f>IF(OR(B1344="",NOT(ISNUMBER(K1344)),NOT(ISNUMBER(L1344))),"",IF(OR(K1344&lt;=0,L1344&lt;=0),"",ROUND(L1344-K1344,6)))</f>
        <v/>
      </c>
      <c r="N1344" s="58" t="n"/>
      <c r="O1344" s="62" t="n"/>
      <c r="P1344" s="63" t="str">
        <f>IF(OR(B1344="",NOT(ISNUMBER(L1344))),"",IF(L1344&lt;=0,"",IFERROR(ROUND(L1344*N(INDEX(art_w,MATCH(H1344,art_ref,0))),3),"")))</f>
        <v/>
      </c>
      <c r="Q1344" s="59" t="n"/>
      <c r="R1344" s="54" t="n"/>
      <c r="S1344" s="59" t="n"/>
      <c r="T1344" s="59" t="n"/>
      <c r="U1344" s="64" t="str">
        <f>IF(OR(B1344="",H1344=""),"",IFERROR(IF(A1344="BL",IF(N(INDEX(art_price,MATCH(H1344,art_ref,0)))=0,"",N(INDEX(art_price,MATCH(H1344,art_ref,0)))),IF(N(INDEX(art_cost,MATCH(H1344,art_ref,0)))=0,"",N(INDEX(art_cost,MATCH(H1344,art_ref,0))))),""))</f>
        <v/>
      </c>
      <c r="V1344" s="64" t="str">
        <f>IF(OR(U1344="",NOT(ISNUMBER(L1344))),"",IF(L1344&lt;=0,"",ROUND(L1344*U1344,2)))</f>
        <v/>
      </c>
      <c r="W1344" s="60" t="str">
        <f>IF(AND(B1344&lt;&gt;"",A1344&lt;&gt;"BS",F1344&lt;&gt;"",H1344&lt;&gt;"",ISNUMBER(K1344),ISNUMBER(L1344)),IF(AND(K1344&gt;0,L1344&gt;0,K1344-L1344&gt;0,COUNTIFS(A1345:A$2005,A1344,F1345:F$2005,F1344,H1345:H$2005,H1344,AA1345:AA$2005,"&gt;0")=0),ROUND(K1344-L1344,6),""),"")</f>
        <v/>
      </c>
      <c r="X1344" s="60" t="str">
        <f>IF(AND(A1344="",C1344="",D1344="",H1344="",L1344=""),"",IF(A1344="","Type manquant",IF(AND(A1344&lt;&gt;"BL",A1344&lt;&gt;"BR",A1344&lt;&gt;"BS"),"Type inconnu (BL, BR ou BS)",IF(AG1344=0,"Date manquante ou invalide",IF(D1344="",IF(A1344="BL","Client manquant",IF(A1344="BR","Fournisseur manquant","Service manquant")),IF(IF(A1344="BL",ISNA(MATCH(D1344,cl_code,0)),IF(A1344="BR",ISNA(MATCH(D1344,fo_code,0)),ISNA(MATCH(D1344,p_services,0)))),IF(A1344="BL","Client inconnu",IF(A1344="BR","Fournisseur inconnu","Service inconnu")),IF(H1344="","Article manquant",IF(ISNA(MATCH(H1344,art_ref,0)),"Article inconnu",IF(OR(NOT(ISNUMBER(L1344)),N(L1344)&lt;=0),"Quantité invalide",IF(AND(K1344&lt;&gt;"",OR(NOT(ISNUMBER(K1344)),N(K1344)&lt;=0)),"Qté commandée invalide",IF(AG1344&lt;SUMPRODUCT(MAX((A$6:A1343=A1344)*AG$6:AG1343)),"Date antérieure au bon précédent",IF(AND(A1344&lt;&gt;"BR",ISNUMBER(M1344),N(M1344)&gt;0),IF(A1344="BL","Livré plus que commandé","Sorti plus que demandé"),"OK"))))))))))))</f>
        <v/>
      </c>
      <c r="Y1344" s="57" t="str">
        <f>IF(AND(OR(A1344="BL",A1344="BR",A1344="BS"),AG1344&gt;0,D1344&lt;&gt;""),A1344&amp;"|"&amp;AG1344&amp;"|"&amp;D1344&amp;"|"&amp;F1344,"")</f>
        <v/>
      </c>
      <c r="Z1344" s="57" t="str">
        <f>IF(Y1344="","",IF(COUNTIF(Y$6:Y1343,Y1344)=0,1,0))</f>
        <v/>
      </c>
      <c r="AA1344" s="57" t="str">
        <f>IF(Y1344="","",IF(Z1344=1,COUNTIFS(A$6:A1344,A1344,Z$6:Z1344,1),INDEX(AA$6:AA1343,MATCH(Y1344,Y$6:Y1343,0))))</f>
        <v/>
      </c>
      <c r="AB1344" s="57" t="str">
        <f>IF(B1344="","",COUNTIF(B$6:B1344,B1344))</f>
        <v/>
      </c>
      <c r="AC1344" s="57" t="str">
        <f>IF(B1344="","",B1344&amp;"#"&amp;AB1344)</f>
        <v/>
      </c>
      <c r="AD1344" s="57" t="str">
        <f>IF(Z1344=1,A1344&amp;AA1344,"")</f>
        <v/>
      </c>
      <c r="AE1344" s="57" t="str">
        <f>IF(B1344="","",YEAR(C1344))</f>
        <v/>
      </c>
      <c r="AF1344" s="57" t="str">
        <f>IF(B1344="","",MONTH(C1344))</f>
        <v/>
      </c>
      <c r="AG1344" s="57">
        <f>IF(ISNUMBER(C1344),C1344,0)</f>
        <v>0.0</v>
      </c>
      <c r="AH1344" s="57" t="str">
        <f>IF(N(W1344)&gt;0,COUNTIF(W$6:W1344,"&gt;0"),"")</f>
        <v/>
      </c>
      <c r="AI1344" s="57" t="str">
        <f>IF(Z1344=1,COUNTIF(Z$6:Z1344,1),"")</f>
        <v/>
      </c>
    </row>
    <row r="1345">
      <c r="A1345" s="54" t="n"/>
      <c r="B1345" s="55" t="str">
        <f>IF(AA1345="","",A1345&amp;"-"&amp;RIGHT("000"&amp;AA1345,4))</f>
        <v/>
      </c>
      <c r="C1345" s="56" t="n"/>
      <c r="D1345" s="54" t="n"/>
      <c r="E1345" s="57" t="str">
        <f>IF(D1345="","",IF(A1345="BL",IFERROR(INDEX(cl_name,MATCH(D1345,cl_code,0))&amp;"","Client inconnu"),IF(A1345="BR",IFERROR(INDEX(fo_name,MATCH(D1345,fo_code,0))&amp;"","Fournisseur inconnu"),IF(A1345="BS",IF(ISNA(MATCH(D1345,p_services,0)),"Service inconnu",D1345&amp;""),""))))</f>
        <v/>
      </c>
      <c r="F1345" s="58" t="n"/>
      <c r="G1345" s="58" t="n"/>
      <c r="H1345" s="59" t="n"/>
      <c r="I1345" s="57" t="str">
        <f>IF(H1345="","",IFERROR(INDEX(art_des,MATCH(H1345,art_ref,0))&amp;"","Article inconnu"))</f>
        <v/>
      </c>
      <c r="J1345" s="60" t="str">
        <f>IF(H1345="","",IFERROR(INDEX(art_unit,MATCH(H1345,art_ref,0))&amp;"",""))</f>
        <v/>
      </c>
      <c r="K1345" s="59" t="n"/>
      <c r="L1345" s="59" t="n"/>
      <c r="M1345" s="61" t="str">
        <f>IF(OR(B1345="",NOT(ISNUMBER(K1345)),NOT(ISNUMBER(L1345))),"",IF(OR(K1345&lt;=0,L1345&lt;=0),"",ROUND(L1345-K1345,6)))</f>
        <v/>
      </c>
      <c r="N1345" s="58" t="n"/>
      <c r="O1345" s="62" t="n"/>
      <c r="P1345" s="63" t="str">
        <f>IF(OR(B1345="",NOT(ISNUMBER(L1345))),"",IF(L1345&lt;=0,"",IFERROR(ROUND(L1345*N(INDEX(art_w,MATCH(H1345,art_ref,0))),3),"")))</f>
        <v/>
      </c>
      <c r="Q1345" s="59" t="n"/>
      <c r="R1345" s="54" t="n"/>
      <c r="S1345" s="59" t="n"/>
      <c r="T1345" s="59" t="n"/>
      <c r="U1345" s="64" t="str">
        <f>IF(OR(B1345="",H1345=""),"",IFERROR(IF(A1345="BL",IF(N(INDEX(art_price,MATCH(H1345,art_ref,0)))=0,"",N(INDEX(art_price,MATCH(H1345,art_ref,0)))),IF(N(INDEX(art_cost,MATCH(H1345,art_ref,0)))=0,"",N(INDEX(art_cost,MATCH(H1345,art_ref,0))))),""))</f>
        <v/>
      </c>
      <c r="V1345" s="64" t="str">
        <f>IF(OR(U1345="",NOT(ISNUMBER(L1345))),"",IF(L1345&lt;=0,"",ROUND(L1345*U1345,2)))</f>
        <v/>
      </c>
      <c r="W1345" s="60" t="str">
        <f>IF(AND(B1345&lt;&gt;"",A1345&lt;&gt;"BS",F1345&lt;&gt;"",H1345&lt;&gt;"",ISNUMBER(K1345),ISNUMBER(L1345)),IF(AND(K1345&gt;0,L1345&gt;0,K1345-L1345&gt;0,COUNTIFS(A1346:A$2005,A1345,F1346:F$2005,F1345,H1346:H$2005,H1345,AA1346:AA$2005,"&gt;0")=0),ROUND(K1345-L1345,6),""),"")</f>
        <v/>
      </c>
      <c r="X1345" s="60" t="str">
        <f>IF(AND(A1345="",C1345="",D1345="",H1345="",L1345=""),"",IF(A1345="","Type manquant",IF(AND(A1345&lt;&gt;"BL",A1345&lt;&gt;"BR",A1345&lt;&gt;"BS"),"Type inconnu (BL, BR ou BS)",IF(AG1345=0,"Date manquante ou invalide",IF(D1345="",IF(A1345="BL","Client manquant",IF(A1345="BR","Fournisseur manquant","Service manquant")),IF(IF(A1345="BL",ISNA(MATCH(D1345,cl_code,0)),IF(A1345="BR",ISNA(MATCH(D1345,fo_code,0)),ISNA(MATCH(D1345,p_services,0)))),IF(A1345="BL","Client inconnu",IF(A1345="BR","Fournisseur inconnu","Service inconnu")),IF(H1345="","Article manquant",IF(ISNA(MATCH(H1345,art_ref,0)),"Article inconnu",IF(OR(NOT(ISNUMBER(L1345)),N(L1345)&lt;=0),"Quantité invalide",IF(AND(K1345&lt;&gt;"",OR(NOT(ISNUMBER(K1345)),N(K1345)&lt;=0)),"Qté commandée invalide",IF(AG1345&lt;SUMPRODUCT(MAX((A$6:A1344=A1345)*AG$6:AG1344)),"Date antérieure au bon précédent",IF(AND(A1345&lt;&gt;"BR",ISNUMBER(M1345),N(M1345)&gt;0),IF(A1345="BL","Livré plus que commandé","Sorti plus que demandé"),"OK"))))))))))))</f>
        <v/>
      </c>
      <c r="Y1345" s="57" t="str">
        <f>IF(AND(OR(A1345="BL",A1345="BR",A1345="BS"),AG1345&gt;0,D1345&lt;&gt;""),A1345&amp;"|"&amp;AG1345&amp;"|"&amp;D1345&amp;"|"&amp;F1345,"")</f>
        <v/>
      </c>
      <c r="Z1345" s="57" t="str">
        <f>IF(Y1345="","",IF(COUNTIF(Y$6:Y1344,Y1345)=0,1,0))</f>
        <v/>
      </c>
      <c r="AA1345" s="57" t="str">
        <f>IF(Y1345="","",IF(Z1345=1,COUNTIFS(A$6:A1345,A1345,Z$6:Z1345,1),INDEX(AA$6:AA1344,MATCH(Y1345,Y$6:Y1344,0))))</f>
        <v/>
      </c>
      <c r="AB1345" s="57" t="str">
        <f>IF(B1345="","",COUNTIF(B$6:B1345,B1345))</f>
        <v/>
      </c>
      <c r="AC1345" s="57" t="str">
        <f>IF(B1345="","",B1345&amp;"#"&amp;AB1345)</f>
        <v/>
      </c>
      <c r="AD1345" s="57" t="str">
        <f>IF(Z1345=1,A1345&amp;AA1345,"")</f>
        <v/>
      </c>
      <c r="AE1345" s="57" t="str">
        <f>IF(B1345="","",YEAR(C1345))</f>
        <v/>
      </c>
      <c r="AF1345" s="57" t="str">
        <f>IF(B1345="","",MONTH(C1345))</f>
        <v/>
      </c>
      <c r="AG1345" s="57">
        <f>IF(ISNUMBER(C1345),C1345,0)</f>
        <v>0.0</v>
      </c>
      <c r="AH1345" s="57" t="str">
        <f>IF(N(W1345)&gt;0,COUNTIF(W$6:W1345,"&gt;0"),"")</f>
        <v/>
      </c>
      <c r="AI1345" s="57" t="str">
        <f>IF(Z1345=1,COUNTIF(Z$6:Z1345,1),"")</f>
        <v/>
      </c>
    </row>
    <row r="1346">
      <c r="A1346" s="54" t="n"/>
      <c r="B1346" s="55" t="str">
        <f>IF(AA1346="","",A1346&amp;"-"&amp;RIGHT("000"&amp;AA1346,4))</f>
        <v/>
      </c>
      <c r="C1346" s="56" t="n"/>
      <c r="D1346" s="54" t="n"/>
      <c r="E1346" s="57" t="str">
        <f>IF(D1346="","",IF(A1346="BL",IFERROR(INDEX(cl_name,MATCH(D1346,cl_code,0))&amp;"","Client inconnu"),IF(A1346="BR",IFERROR(INDEX(fo_name,MATCH(D1346,fo_code,0))&amp;"","Fournisseur inconnu"),IF(A1346="BS",IF(ISNA(MATCH(D1346,p_services,0)),"Service inconnu",D1346&amp;""),""))))</f>
        <v/>
      </c>
      <c r="F1346" s="58" t="n"/>
      <c r="G1346" s="58" t="n"/>
      <c r="H1346" s="59" t="n"/>
      <c r="I1346" s="57" t="str">
        <f>IF(H1346="","",IFERROR(INDEX(art_des,MATCH(H1346,art_ref,0))&amp;"","Article inconnu"))</f>
        <v/>
      </c>
      <c r="J1346" s="60" t="str">
        <f>IF(H1346="","",IFERROR(INDEX(art_unit,MATCH(H1346,art_ref,0))&amp;"",""))</f>
        <v/>
      </c>
      <c r="K1346" s="59" t="n"/>
      <c r="L1346" s="59" t="n"/>
      <c r="M1346" s="61" t="str">
        <f>IF(OR(B1346="",NOT(ISNUMBER(K1346)),NOT(ISNUMBER(L1346))),"",IF(OR(K1346&lt;=0,L1346&lt;=0),"",ROUND(L1346-K1346,6)))</f>
        <v/>
      </c>
      <c r="N1346" s="58" t="n"/>
      <c r="O1346" s="62" t="n"/>
      <c r="P1346" s="63" t="str">
        <f>IF(OR(B1346="",NOT(ISNUMBER(L1346))),"",IF(L1346&lt;=0,"",IFERROR(ROUND(L1346*N(INDEX(art_w,MATCH(H1346,art_ref,0))),3),"")))</f>
        <v/>
      </c>
      <c r="Q1346" s="59" t="n"/>
      <c r="R1346" s="54" t="n"/>
      <c r="S1346" s="59" t="n"/>
      <c r="T1346" s="59" t="n"/>
      <c r="U1346" s="64" t="str">
        <f>IF(OR(B1346="",H1346=""),"",IFERROR(IF(A1346="BL",IF(N(INDEX(art_price,MATCH(H1346,art_ref,0)))=0,"",N(INDEX(art_price,MATCH(H1346,art_ref,0)))),IF(N(INDEX(art_cost,MATCH(H1346,art_ref,0)))=0,"",N(INDEX(art_cost,MATCH(H1346,art_ref,0))))),""))</f>
        <v/>
      </c>
      <c r="V1346" s="64" t="str">
        <f>IF(OR(U1346="",NOT(ISNUMBER(L1346))),"",IF(L1346&lt;=0,"",ROUND(L1346*U1346,2)))</f>
        <v/>
      </c>
      <c r="W1346" s="60" t="str">
        <f>IF(AND(B1346&lt;&gt;"",A1346&lt;&gt;"BS",F1346&lt;&gt;"",H1346&lt;&gt;"",ISNUMBER(K1346),ISNUMBER(L1346)),IF(AND(K1346&gt;0,L1346&gt;0,K1346-L1346&gt;0,COUNTIFS(A1347:A$2005,A1346,F1347:F$2005,F1346,H1347:H$2005,H1346,AA1347:AA$2005,"&gt;0")=0),ROUND(K1346-L1346,6),""),"")</f>
        <v/>
      </c>
      <c r="X1346" s="60" t="str">
        <f>IF(AND(A1346="",C1346="",D1346="",H1346="",L1346=""),"",IF(A1346="","Type manquant",IF(AND(A1346&lt;&gt;"BL",A1346&lt;&gt;"BR",A1346&lt;&gt;"BS"),"Type inconnu (BL, BR ou BS)",IF(AG1346=0,"Date manquante ou invalide",IF(D1346="",IF(A1346="BL","Client manquant",IF(A1346="BR","Fournisseur manquant","Service manquant")),IF(IF(A1346="BL",ISNA(MATCH(D1346,cl_code,0)),IF(A1346="BR",ISNA(MATCH(D1346,fo_code,0)),ISNA(MATCH(D1346,p_services,0)))),IF(A1346="BL","Client inconnu",IF(A1346="BR","Fournisseur inconnu","Service inconnu")),IF(H1346="","Article manquant",IF(ISNA(MATCH(H1346,art_ref,0)),"Article inconnu",IF(OR(NOT(ISNUMBER(L1346)),N(L1346)&lt;=0),"Quantité invalide",IF(AND(K1346&lt;&gt;"",OR(NOT(ISNUMBER(K1346)),N(K1346)&lt;=0)),"Qté commandée invalide",IF(AG1346&lt;SUMPRODUCT(MAX((A$6:A1345=A1346)*AG$6:AG1345)),"Date antérieure au bon précédent",IF(AND(A1346&lt;&gt;"BR",ISNUMBER(M1346),N(M1346)&gt;0),IF(A1346="BL","Livré plus que commandé","Sorti plus que demandé"),"OK"))))))))))))</f>
        <v/>
      </c>
      <c r="Y1346" s="57" t="str">
        <f>IF(AND(OR(A1346="BL",A1346="BR",A1346="BS"),AG1346&gt;0,D1346&lt;&gt;""),A1346&amp;"|"&amp;AG1346&amp;"|"&amp;D1346&amp;"|"&amp;F1346,"")</f>
        <v/>
      </c>
      <c r="Z1346" s="57" t="str">
        <f>IF(Y1346="","",IF(COUNTIF(Y$6:Y1345,Y1346)=0,1,0))</f>
        <v/>
      </c>
      <c r="AA1346" s="57" t="str">
        <f>IF(Y1346="","",IF(Z1346=1,COUNTIFS(A$6:A1346,A1346,Z$6:Z1346,1),INDEX(AA$6:AA1345,MATCH(Y1346,Y$6:Y1345,0))))</f>
        <v/>
      </c>
      <c r="AB1346" s="57" t="str">
        <f>IF(B1346="","",COUNTIF(B$6:B1346,B1346))</f>
        <v/>
      </c>
      <c r="AC1346" s="57" t="str">
        <f>IF(B1346="","",B1346&amp;"#"&amp;AB1346)</f>
        <v/>
      </c>
      <c r="AD1346" s="57" t="str">
        <f>IF(Z1346=1,A1346&amp;AA1346,"")</f>
        <v/>
      </c>
      <c r="AE1346" s="57" t="str">
        <f>IF(B1346="","",YEAR(C1346))</f>
        <v/>
      </c>
      <c r="AF1346" s="57" t="str">
        <f>IF(B1346="","",MONTH(C1346))</f>
        <v/>
      </c>
      <c r="AG1346" s="57">
        <f>IF(ISNUMBER(C1346),C1346,0)</f>
        <v>0.0</v>
      </c>
      <c r="AH1346" s="57" t="str">
        <f>IF(N(W1346)&gt;0,COUNTIF(W$6:W1346,"&gt;0"),"")</f>
        <v/>
      </c>
      <c r="AI1346" s="57" t="str">
        <f>IF(Z1346=1,COUNTIF(Z$6:Z1346,1),"")</f>
        <v/>
      </c>
    </row>
    <row r="1347">
      <c r="A1347" s="54" t="n"/>
      <c r="B1347" s="55" t="str">
        <f>IF(AA1347="","",A1347&amp;"-"&amp;RIGHT("000"&amp;AA1347,4))</f>
        <v/>
      </c>
      <c r="C1347" s="56" t="n"/>
      <c r="D1347" s="54" t="n"/>
      <c r="E1347" s="57" t="str">
        <f>IF(D1347="","",IF(A1347="BL",IFERROR(INDEX(cl_name,MATCH(D1347,cl_code,0))&amp;"","Client inconnu"),IF(A1347="BR",IFERROR(INDEX(fo_name,MATCH(D1347,fo_code,0))&amp;"","Fournisseur inconnu"),IF(A1347="BS",IF(ISNA(MATCH(D1347,p_services,0)),"Service inconnu",D1347&amp;""),""))))</f>
        <v/>
      </c>
      <c r="F1347" s="58" t="n"/>
      <c r="G1347" s="58" t="n"/>
      <c r="H1347" s="59" t="n"/>
      <c r="I1347" s="57" t="str">
        <f>IF(H1347="","",IFERROR(INDEX(art_des,MATCH(H1347,art_ref,0))&amp;"","Article inconnu"))</f>
        <v/>
      </c>
      <c r="J1347" s="60" t="str">
        <f>IF(H1347="","",IFERROR(INDEX(art_unit,MATCH(H1347,art_ref,0))&amp;"",""))</f>
        <v/>
      </c>
      <c r="K1347" s="59" t="n"/>
      <c r="L1347" s="59" t="n"/>
      <c r="M1347" s="61" t="str">
        <f>IF(OR(B1347="",NOT(ISNUMBER(K1347)),NOT(ISNUMBER(L1347))),"",IF(OR(K1347&lt;=0,L1347&lt;=0),"",ROUND(L1347-K1347,6)))</f>
        <v/>
      </c>
      <c r="N1347" s="58" t="n"/>
      <c r="O1347" s="62" t="n"/>
      <c r="P1347" s="63" t="str">
        <f>IF(OR(B1347="",NOT(ISNUMBER(L1347))),"",IF(L1347&lt;=0,"",IFERROR(ROUND(L1347*N(INDEX(art_w,MATCH(H1347,art_ref,0))),3),"")))</f>
        <v/>
      </c>
      <c r="Q1347" s="59" t="n"/>
      <c r="R1347" s="54" t="n"/>
      <c r="S1347" s="59" t="n"/>
      <c r="T1347" s="59" t="n"/>
      <c r="U1347" s="64" t="str">
        <f>IF(OR(B1347="",H1347=""),"",IFERROR(IF(A1347="BL",IF(N(INDEX(art_price,MATCH(H1347,art_ref,0)))=0,"",N(INDEX(art_price,MATCH(H1347,art_ref,0)))),IF(N(INDEX(art_cost,MATCH(H1347,art_ref,0)))=0,"",N(INDEX(art_cost,MATCH(H1347,art_ref,0))))),""))</f>
        <v/>
      </c>
      <c r="V1347" s="64" t="str">
        <f>IF(OR(U1347="",NOT(ISNUMBER(L1347))),"",IF(L1347&lt;=0,"",ROUND(L1347*U1347,2)))</f>
        <v/>
      </c>
      <c r="W1347" s="60" t="str">
        <f>IF(AND(B1347&lt;&gt;"",A1347&lt;&gt;"BS",F1347&lt;&gt;"",H1347&lt;&gt;"",ISNUMBER(K1347),ISNUMBER(L1347)),IF(AND(K1347&gt;0,L1347&gt;0,K1347-L1347&gt;0,COUNTIFS(A1348:A$2005,A1347,F1348:F$2005,F1347,H1348:H$2005,H1347,AA1348:AA$2005,"&gt;0")=0),ROUND(K1347-L1347,6),""),"")</f>
        <v/>
      </c>
      <c r="X1347" s="60" t="str">
        <f>IF(AND(A1347="",C1347="",D1347="",H1347="",L1347=""),"",IF(A1347="","Type manquant",IF(AND(A1347&lt;&gt;"BL",A1347&lt;&gt;"BR",A1347&lt;&gt;"BS"),"Type inconnu (BL, BR ou BS)",IF(AG1347=0,"Date manquante ou invalide",IF(D1347="",IF(A1347="BL","Client manquant",IF(A1347="BR","Fournisseur manquant","Service manquant")),IF(IF(A1347="BL",ISNA(MATCH(D1347,cl_code,0)),IF(A1347="BR",ISNA(MATCH(D1347,fo_code,0)),ISNA(MATCH(D1347,p_services,0)))),IF(A1347="BL","Client inconnu",IF(A1347="BR","Fournisseur inconnu","Service inconnu")),IF(H1347="","Article manquant",IF(ISNA(MATCH(H1347,art_ref,0)),"Article inconnu",IF(OR(NOT(ISNUMBER(L1347)),N(L1347)&lt;=0),"Quantité invalide",IF(AND(K1347&lt;&gt;"",OR(NOT(ISNUMBER(K1347)),N(K1347)&lt;=0)),"Qté commandée invalide",IF(AG1347&lt;SUMPRODUCT(MAX((A$6:A1346=A1347)*AG$6:AG1346)),"Date antérieure au bon précédent",IF(AND(A1347&lt;&gt;"BR",ISNUMBER(M1347),N(M1347)&gt;0),IF(A1347="BL","Livré plus que commandé","Sorti plus que demandé"),"OK"))))))))))))</f>
        <v/>
      </c>
      <c r="Y1347" s="57" t="str">
        <f>IF(AND(OR(A1347="BL",A1347="BR",A1347="BS"),AG1347&gt;0,D1347&lt;&gt;""),A1347&amp;"|"&amp;AG1347&amp;"|"&amp;D1347&amp;"|"&amp;F1347,"")</f>
        <v/>
      </c>
      <c r="Z1347" s="57" t="str">
        <f>IF(Y1347="","",IF(COUNTIF(Y$6:Y1346,Y1347)=0,1,0))</f>
        <v/>
      </c>
      <c r="AA1347" s="57" t="str">
        <f>IF(Y1347="","",IF(Z1347=1,COUNTIFS(A$6:A1347,A1347,Z$6:Z1347,1),INDEX(AA$6:AA1346,MATCH(Y1347,Y$6:Y1346,0))))</f>
        <v/>
      </c>
      <c r="AB1347" s="57" t="str">
        <f>IF(B1347="","",COUNTIF(B$6:B1347,B1347))</f>
        <v/>
      </c>
      <c r="AC1347" s="57" t="str">
        <f>IF(B1347="","",B1347&amp;"#"&amp;AB1347)</f>
        <v/>
      </c>
      <c r="AD1347" s="57" t="str">
        <f>IF(Z1347=1,A1347&amp;AA1347,"")</f>
        <v/>
      </c>
      <c r="AE1347" s="57" t="str">
        <f>IF(B1347="","",YEAR(C1347))</f>
        <v/>
      </c>
      <c r="AF1347" s="57" t="str">
        <f>IF(B1347="","",MONTH(C1347))</f>
        <v/>
      </c>
      <c r="AG1347" s="57">
        <f>IF(ISNUMBER(C1347),C1347,0)</f>
        <v>0.0</v>
      </c>
      <c r="AH1347" s="57" t="str">
        <f>IF(N(W1347)&gt;0,COUNTIF(W$6:W1347,"&gt;0"),"")</f>
        <v/>
      </c>
      <c r="AI1347" s="57" t="str">
        <f>IF(Z1347=1,COUNTIF(Z$6:Z1347,1),"")</f>
        <v/>
      </c>
    </row>
    <row r="1348">
      <c r="A1348" s="54" t="n"/>
      <c r="B1348" s="55" t="str">
        <f>IF(AA1348="","",A1348&amp;"-"&amp;RIGHT("000"&amp;AA1348,4))</f>
        <v/>
      </c>
      <c r="C1348" s="56" t="n"/>
      <c r="D1348" s="54" t="n"/>
      <c r="E1348" s="57" t="str">
        <f>IF(D1348="","",IF(A1348="BL",IFERROR(INDEX(cl_name,MATCH(D1348,cl_code,0))&amp;"","Client inconnu"),IF(A1348="BR",IFERROR(INDEX(fo_name,MATCH(D1348,fo_code,0))&amp;"","Fournisseur inconnu"),IF(A1348="BS",IF(ISNA(MATCH(D1348,p_services,0)),"Service inconnu",D1348&amp;""),""))))</f>
        <v/>
      </c>
      <c r="F1348" s="58" t="n"/>
      <c r="G1348" s="58" t="n"/>
      <c r="H1348" s="59" t="n"/>
      <c r="I1348" s="57" t="str">
        <f>IF(H1348="","",IFERROR(INDEX(art_des,MATCH(H1348,art_ref,0))&amp;"","Article inconnu"))</f>
        <v/>
      </c>
      <c r="J1348" s="60" t="str">
        <f>IF(H1348="","",IFERROR(INDEX(art_unit,MATCH(H1348,art_ref,0))&amp;"",""))</f>
        <v/>
      </c>
      <c r="K1348" s="59" t="n"/>
      <c r="L1348" s="59" t="n"/>
      <c r="M1348" s="61" t="str">
        <f>IF(OR(B1348="",NOT(ISNUMBER(K1348)),NOT(ISNUMBER(L1348))),"",IF(OR(K1348&lt;=0,L1348&lt;=0),"",ROUND(L1348-K1348,6)))</f>
        <v/>
      </c>
      <c r="N1348" s="58" t="n"/>
      <c r="O1348" s="62" t="n"/>
      <c r="P1348" s="63" t="str">
        <f>IF(OR(B1348="",NOT(ISNUMBER(L1348))),"",IF(L1348&lt;=0,"",IFERROR(ROUND(L1348*N(INDEX(art_w,MATCH(H1348,art_ref,0))),3),"")))</f>
        <v/>
      </c>
      <c r="Q1348" s="59" t="n"/>
      <c r="R1348" s="54" t="n"/>
      <c r="S1348" s="59" t="n"/>
      <c r="T1348" s="59" t="n"/>
      <c r="U1348" s="64" t="str">
        <f>IF(OR(B1348="",H1348=""),"",IFERROR(IF(A1348="BL",IF(N(INDEX(art_price,MATCH(H1348,art_ref,0)))=0,"",N(INDEX(art_price,MATCH(H1348,art_ref,0)))),IF(N(INDEX(art_cost,MATCH(H1348,art_ref,0)))=0,"",N(INDEX(art_cost,MATCH(H1348,art_ref,0))))),""))</f>
        <v/>
      </c>
      <c r="V1348" s="64" t="str">
        <f>IF(OR(U1348="",NOT(ISNUMBER(L1348))),"",IF(L1348&lt;=0,"",ROUND(L1348*U1348,2)))</f>
        <v/>
      </c>
      <c r="W1348" s="60" t="str">
        <f>IF(AND(B1348&lt;&gt;"",A1348&lt;&gt;"BS",F1348&lt;&gt;"",H1348&lt;&gt;"",ISNUMBER(K1348),ISNUMBER(L1348)),IF(AND(K1348&gt;0,L1348&gt;0,K1348-L1348&gt;0,COUNTIFS(A1349:A$2005,A1348,F1349:F$2005,F1348,H1349:H$2005,H1348,AA1349:AA$2005,"&gt;0")=0),ROUND(K1348-L1348,6),""),"")</f>
        <v/>
      </c>
      <c r="X1348" s="60" t="str">
        <f>IF(AND(A1348="",C1348="",D1348="",H1348="",L1348=""),"",IF(A1348="","Type manquant",IF(AND(A1348&lt;&gt;"BL",A1348&lt;&gt;"BR",A1348&lt;&gt;"BS"),"Type inconnu (BL, BR ou BS)",IF(AG1348=0,"Date manquante ou invalide",IF(D1348="",IF(A1348="BL","Client manquant",IF(A1348="BR","Fournisseur manquant","Service manquant")),IF(IF(A1348="BL",ISNA(MATCH(D1348,cl_code,0)),IF(A1348="BR",ISNA(MATCH(D1348,fo_code,0)),ISNA(MATCH(D1348,p_services,0)))),IF(A1348="BL","Client inconnu",IF(A1348="BR","Fournisseur inconnu","Service inconnu")),IF(H1348="","Article manquant",IF(ISNA(MATCH(H1348,art_ref,0)),"Article inconnu",IF(OR(NOT(ISNUMBER(L1348)),N(L1348)&lt;=0),"Quantité invalide",IF(AND(K1348&lt;&gt;"",OR(NOT(ISNUMBER(K1348)),N(K1348)&lt;=0)),"Qté commandée invalide",IF(AG1348&lt;SUMPRODUCT(MAX((A$6:A1347=A1348)*AG$6:AG1347)),"Date antérieure au bon précédent",IF(AND(A1348&lt;&gt;"BR",ISNUMBER(M1348),N(M1348)&gt;0),IF(A1348="BL","Livré plus que commandé","Sorti plus que demandé"),"OK"))))))))))))</f>
        <v/>
      </c>
      <c r="Y1348" s="57" t="str">
        <f>IF(AND(OR(A1348="BL",A1348="BR",A1348="BS"),AG1348&gt;0,D1348&lt;&gt;""),A1348&amp;"|"&amp;AG1348&amp;"|"&amp;D1348&amp;"|"&amp;F1348,"")</f>
        <v/>
      </c>
      <c r="Z1348" s="57" t="str">
        <f>IF(Y1348="","",IF(COUNTIF(Y$6:Y1347,Y1348)=0,1,0))</f>
        <v/>
      </c>
      <c r="AA1348" s="57" t="str">
        <f>IF(Y1348="","",IF(Z1348=1,COUNTIFS(A$6:A1348,A1348,Z$6:Z1348,1),INDEX(AA$6:AA1347,MATCH(Y1348,Y$6:Y1347,0))))</f>
        <v/>
      </c>
      <c r="AB1348" s="57" t="str">
        <f>IF(B1348="","",COUNTIF(B$6:B1348,B1348))</f>
        <v/>
      </c>
      <c r="AC1348" s="57" t="str">
        <f>IF(B1348="","",B1348&amp;"#"&amp;AB1348)</f>
        <v/>
      </c>
      <c r="AD1348" s="57" t="str">
        <f>IF(Z1348=1,A1348&amp;AA1348,"")</f>
        <v/>
      </c>
      <c r="AE1348" s="57" t="str">
        <f>IF(B1348="","",YEAR(C1348))</f>
        <v/>
      </c>
      <c r="AF1348" s="57" t="str">
        <f>IF(B1348="","",MONTH(C1348))</f>
        <v/>
      </c>
      <c r="AG1348" s="57">
        <f>IF(ISNUMBER(C1348),C1348,0)</f>
        <v>0.0</v>
      </c>
      <c r="AH1348" s="57" t="str">
        <f>IF(N(W1348)&gt;0,COUNTIF(W$6:W1348,"&gt;0"),"")</f>
        <v/>
      </c>
      <c r="AI1348" s="57" t="str">
        <f>IF(Z1348=1,COUNTIF(Z$6:Z1348,1),"")</f>
        <v/>
      </c>
    </row>
    <row r="1349">
      <c r="A1349" s="54" t="n"/>
      <c r="B1349" s="55" t="str">
        <f>IF(AA1349="","",A1349&amp;"-"&amp;RIGHT("000"&amp;AA1349,4))</f>
        <v/>
      </c>
      <c r="C1349" s="56" t="n"/>
      <c r="D1349" s="54" t="n"/>
      <c r="E1349" s="57" t="str">
        <f>IF(D1349="","",IF(A1349="BL",IFERROR(INDEX(cl_name,MATCH(D1349,cl_code,0))&amp;"","Client inconnu"),IF(A1349="BR",IFERROR(INDEX(fo_name,MATCH(D1349,fo_code,0))&amp;"","Fournisseur inconnu"),IF(A1349="BS",IF(ISNA(MATCH(D1349,p_services,0)),"Service inconnu",D1349&amp;""),""))))</f>
        <v/>
      </c>
      <c r="F1349" s="58" t="n"/>
      <c r="G1349" s="58" t="n"/>
      <c r="H1349" s="59" t="n"/>
      <c r="I1349" s="57" t="str">
        <f>IF(H1349="","",IFERROR(INDEX(art_des,MATCH(H1349,art_ref,0))&amp;"","Article inconnu"))</f>
        <v/>
      </c>
      <c r="J1349" s="60" t="str">
        <f>IF(H1349="","",IFERROR(INDEX(art_unit,MATCH(H1349,art_ref,0))&amp;"",""))</f>
        <v/>
      </c>
      <c r="K1349" s="59" t="n"/>
      <c r="L1349" s="59" t="n"/>
      <c r="M1349" s="61" t="str">
        <f>IF(OR(B1349="",NOT(ISNUMBER(K1349)),NOT(ISNUMBER(L1349))),"",IF(OR(K1349&lt;=0,L1349&lt;=0),"",ROUND(L1349-K1349,6)))</f>
        <v/>
      </c>
      <c r="N1349" s="58" t="n"/>
      <c r="O1349" s="62" t="n"/>
      <c r="P1349" s="63" t="str">
        <f>IF(OR(B1349="",NOT(ISNUMBER(L1349))),"",IF(L1349&lt;=0,"",IFERROR(ROUND(L1349*N(INDEX(art_w,MATCH(H1349,art_ref,0))),3),"")))</f>
        <v/>
      </c>
      <c r="Q1349" s="59" t="n"/>
      <c r="R1349" s="54" t="n"/>
      <c r="S1349" s="59" t="n"/>
      <c r="T1349" s="59" t="n"/>
      <c r="U1349" s="64" t="str">
        <f>IF(OR(B1349="",H1349=""),"",IFERROR(IF(A1349="BL",IF(N(INDEX(art_price,MATCH(H1349,art_ref,0)))=0,"",N(INDEX(art_price,MATCH(H1349,art_ref,0)))),IF(N(INDEX(art_cost,MATCH(H1349,art_ref,0)))=0,"",N(INDEX(art_cost,MATCH(H1349,art_ref,0))))),""))</f>
        <v/>
      </c>
      <c r="V1349" s="64" t="str">
        <f>IF(OR(U1349="",NOT(ISNUMBER(L1349))),"",IF(L1349&lt;=0,"",ROUND(L1349*U1349,2)))</f>
        <v/>
      </c>
      <c r="W1349" s="60" t="str">
        <f>IF(AND(B1349&lt;&gt;"",A1349&lt;&gt;"BS",F1349&lt;&gt;"",H1349&lt;&gt;"",ISNUMBER(K1349),ISNUMBER(L1349)),IF(AND(K1349&gt;0,L1349&gt;0,K1349-L1349&gt;0,COUNTIFS(A1350:A$2005,A1349,F1350:F$2005,F1349,H1350:H$2005,H1349,AA1350:AA$2005,"&gt;0")=0),ROUND(K1349-L1349,6),""),"")</f>
        <v/>
      </c>
      <c r="X1349" s="60" t="str">
        <f>IF(AND(A1349="",C1349="",D1349="",H1349="",L1349=""),"",IF(A1349="","Type manquant",IF(AND(A1349&lt;&gt;"BL",A1349&lt;&gt;"BR",A1349&lt;&gt;"BS"),"Type inconnu (BL, BR ou BS)",IF(AG1349=0,"Date manquante ou invalide",IF(D1349="",IF(A1349="BL","Client manquant",IF(A1349="BR","Fournisseur manquant","Service manquant")),IF(IF(A1349="BL",ISNA(MATCH(D1349,cl_code,0)),IF(A1349="BR",ISNA(MATCH(D1349,fo_code,0)),ISNA(MATCH(D1349,p_services,0)))),IF(A1349="BL","Client inconnu",IF(A1349="BR","Fournisseur inconnu","Service inconnu")),IF(H1349="","Article manquant",IF(ISNA(MATCH(H1349,art_ref,0)),"Article inconnu",IF(OR(NOT(ISNUMBER(L1349)),N(L1349)&lt;=0),"Quantité invalide",IF(AND(K1349&lt;&gt;"",OR(NOT(ISNUMBER(K1349)),N(K1349)&lt;=0)),"Qté commandée invalide",IF(AG1349&lt;SUMPRODUCT(MAX((A$6:A1348=A1349)*AG$6:AG1348)),"Date antérieure au bon précédent",IF(AND(A1349&lt;&gt;"BR",ISNUMBER(M1349),N(M1349)&gt;0),IF(A1349="BL","Livré plus que commandé","Sorti plus que demandé"),"OK"))))))))))))</f>
        <v/>
      </c>
      <c r="Y1349" s="57" t="str">
        <f>IF(AND(OR(A1349="BL",A1349="BR",A1349="BS"),AG1349&gt;0,D1349&lt;&gt;""),A1349&amp;"|"&amp;AG1349&amp;"|"&amp;D1349&amp;"|"&amp;F1349,"")</f>
        <v/>
      </c>
      <c r="Z1349" s="57" t="str">
        <f>IF(Y1349="","",IF(COUNTIF(Y$6:Y1348,Y1349)=0,1,0))</f>
        <v/>
      </c>
      <c r="AA1349" s="57" t="str">
        <f>IF(Y1349="","",IF(Z1349=1,COUNTIFS(A$6:A1349,A1349,Z$6:Z1349,1),INDEX(AA$6:AA1348,MATCH(Y1349,Y$6:Y1348,0))))</f>
        <v/>
      </c>
      <c r="AB1349" s="57" t="str">
        <f>IF(B1349="","",COUNTIF(B$6:B1349,B1349))</f>
        <v/>
      </c>
      <c r="AC1349" s="57" t="str">
        <f>IF(B1349="","",B1349&amp;"#"&amp;AB1349)</f>
        <v/>
      </c>
      <c r="AD1349" s="57" t="str">
        <f>IF(Z1349=1,A1349&amp;AA1349,"")</f>
        <v/>
      </c>
      <c r="AE1349" s="57" t="str">
        <f>IF(B1349="","",YEAR(C1349))</f>
        <v/>
      </c>
      <c r="AF1349" s="57" t="str">
        <f>IF(B1349="","",MONTH(C1349))</f>
        <v/>
      </c>
      <c r="AG1349" s="57">
        <f>IF(ISNUMBER(C1349),C1349,0)</f>
        <v>0.0</v>
      </c>
      <c r="AH1349" s="57" t="str">
        <f>IF(N(W1349)&gt;0,COUNTIF(W$6:W1349,"&gt;0"),"")</f>
        <v/>
      </c>
      <c r="AI1349" s="57" t="str">
        <f>IF(Z1349=1,COUNTIF(Z$6:Z1349,1),"")</f>
        <v/>
      </c>
    </row>
    <row r="1350">
      <c r="A1350" s="54" t="n"/>
      <c r="B1350" s="55" t="str">
        <f>IF(AA1350="","",A1350&amp;"-"&amp;RIGHT("000"&amp;AA1350,4))</f>
        <v/>
      </c>
      <c r="C1350" s="56" t="n"/>
      <c r="D1350" s="54" t="n"/>
      <c r="E1350" s="57" t="str">
        <f>IF(D1350="","",IF(A1350="BL",IFERROR(INDEX(cl_name,MATCH(D1350,cl_code,0))&amp;"","Client inconnu"),IF(A1350="BR",IFERROR(INDEX(fo_name,MATCH(D1350,fo_code,0))&amp;"","Fournisseur inconnu"),IF(A1350="BS",IF(ISNA(MATCH(D1350,p_services,0)),"Service inconnu",D1350&amp;""),""))))</f>
        <v/>
      </c>
      <c r="F1350" s="58" t="n"/>
      <c r="G1350" s="58" t="n"/>
      <c r="H1350" s="59" t="n"/>
      <c r="I1350" s="57" t="str">
        <f>IF(H1350="","",IFERROR(INDEX(art_des,MATCH(H1350,art_ref,0))&amp;"","Article inconnu"))</f>
        <v/>
      </c>
      <c r="J1350" s="60" t="str">
        <f>IF(H1350="","",IFERROR(INDEX(art_unit,MATCH(H1350,art_ref,0))&amp;"",""))</f>
        <v/>
      </c>
      <c r="K1350" s="59" t="n"/>
      <c r="L1350" s="59" t="n"/>
      <c r="M1350" s="61" t="str">
        <f>IF(OR(B1350="",NOT(ISNUMBER(K1350)),NOT(ISNUMBER(L1350))),"",IF(OR(K1350&lt;=0,L1350&lt;=0),"",ROUND(L1350-K1350,6)))</f>
        <v/>
      </c>
      <c r="N1350" s="58" t="n"/>
      <c r="O1350" s="62" t="n"/>
      <c r="P1350" s="63" t="str">
        <f>IF(OR(B1350="",NOT(ISNUMBER(L1350))),"",IF(L1350&lt;=0,"",IFERROR(ROUND(L1350*N(INDEX(art_w,MATCH(H1350,art_ref,0))),3),"")))</f>
        <v/>
      </c>
      <c r="Q1350" s="59" t="n"/>
      <c r="R1350" s="54" t="n"/>
      <c r="S1350" s="59" t="n"/>
      <c r="T1350" s="59" t="n"/>
      <c r="U1350" s="64" t="str">
        <f>IF(OR(B1350="",H1350=""),"",IFERROR(IF(A1350="BL",IF(N(INDEX(art_price,MATCH(H1350,art_ref,0)))=0,"",N(INDEX(art_price,MATCH(H1350,art_ref,0)))),IF(N(INDEX(art_cost,MATCH(H1350,art_ref,0)))=0,"",N(INDEX(art_cost,MATCH(H1350,art_ref,0))))),""))</f>
        <v/>
      </c>
      <c r="V1350" s="64" t="str">
        <f>IF(OR(U1350="",NOT(ISNUMBER(L1350))),"",IF(L1350&lt;=0,"",ROUND(L1350*U1350,2)))</f>
        <v/>
      </c>
      <c r="W1350" s="60" t="str">
        <f>IF(AND(B1350&lt;&gt;"",A1350&lt;&gt;"BS",F1350&lt;&gt;"",H1350&lt;&gt;"",ISNUMBER(K1350),ISNUMBER(L1350)),IF(AND(K1350&gt;0,L1350&gt;0,K1350-L1350&gt;0,COUNTIFS(A1351:A$2005,A1350,F1351:F$2005,F1350,H1351:H$2005,H1350,AA1351:AA$2005,"&gt;0")=0),ROUND(K1350-L1350,6),""),"")</f>
        <v/>
      </c>
      <c r="X1350" s="60" t="str">
        <f>IF(AND(A1350="",C1350="",D1350="",H1350="",L1350=""),"",IF(A1350="","Type manquant",IF(AND(A1350&lt;&gt;"BL",A1350&lt;&gt;"BR",A1350&lt;&gt;"BS"),"Type inconnu (BL, BR ou BS)",IF(AG1350=0,"Date manquante ou invalide",IF(D1350="",IF(A1350="BL","Client manquant",IF(A1350="BR","Fournisseur manquant","Service manquant")),IF(IF(A1350="BL",ISNA(MATCH(D1350,cl_code,0)),IF(A1350="BR",ISNA(MATCH(D1350,fo_code,0)),ISNA(MATCH(D1350,p_services,0)))),IF(A1350="BL","Client inconnu",IF(A1350="BR","Fournisseur inconnu","Service inconnu")),IF(H1350="","Article manquant",IF(ISNA(MATCH(H1350,art_ref,0)),"Article inconnu",IF(OR(NOT(ISNUMBER(L1350)),N(L1350)&lt;=0),"Quantité invalide",IF(AND(K1350&lt;&gt;"",OR(NOT(ISNUMBER(K1350)),N(K1350)&lt;=0)),"Qté commandée invalide",IF(AG1350&lt;SUMPRODUCT(MAX((A$6:A1349=A1350)*AG$6:AG1349)),"Date antérieure au bon précédent",IF(AND(A1350&lt;&gt;"BR",ISNUMBER(M1350),N(M1350)&gt;0),IF(A1350="BL","Livré plus que commandé","Sorti plus que demandé"),"OK"))))))))))))</f>
        <v/>
      </c>
      <c r="Y1350" s="57" t="str">
        <f>IF(AND(OR(A1350="BL",A1350="BR",A1350="BS"),AG1350&gt;0,D1350&lt;&gt;""),A1350&amp;"|"&amp;AG1350&amp;"|"&amp;D1350&amp;"|"&amp;F1350,"")</f>
        <v/>
      </c>
      <c r="Z1350" s="57" t="str">
        <f>IF(Y1350="","",IF(COUNTIF(Y$6:Y1349,Y1350)=0,1,0))</f>
        <v/>
      </c>
      <c r="AA1350" s="57" t="str">
        <f>IF(Y1350="","",IF(Z1350=1,COUNTIFS(A$6:A1350,A1350,Z$6:Z1350,1),INDEX(AA$6:AA1349,MATCH(Y1350,Y$6:Y1349,0))))</f>
        <v/>
      </c>
      <c r="AB1350" s="57" t="str">
        <f>IF(B1350="","",COUNTIF(B$6:B1350,B1350))</f>
        <v/>
      </c>
      <c r="AC1350" s="57" t="str">
        <f>IF(B1350="","",B1350&amp;"#"&amp;AB1350)</f>
        <v/>
      </c>
      <c r="AD1350" s="57" t="str">
        <f>IF(Z1350=1,A1350&amp;AA1350,"")</f>
        <v/>
      </c>
      <c r="AE1350" s="57" t="str">
        <f>IF(B1350="","",YEAR(C1350))</f>
        <v/>
      </c>
      <c r="AF1350" s="57" t="str">
        <f>IF(B1350="","",MONTH(C1350))</f>
        <v/>
      </c>
      <c r="AG1350" s="57">
        <f>IF(ISNUMBER(C1350),C1350,0)</f>
        <v>0.0</v>
      </c>
      <c r="AH1350" s="57" t="str">
        <f>IF(N(W1350)&gt;0,COUNTIF(W$6:W1350,"&gt;0"),"")</f>
        <v/>
      </c>
      <c r="AI1350" s="57" t="str">
        <f>IF(Z1350=1,COUNTIF(Z$6:Z1350,1),"")</f>
        <v/>
      </c>
    </row>
    <row r="1351">
      <c r="A1351" s="54" t="n"/>
      <c r="B1351" s="55" t="str">
        <f>IF(AA1351="","",A1351&amp;"-"&amp;RIGHT("000"&amp;AA1351,4))</f>
        <v/>
      </c>
      <c r="C1351" s="56" t="n"/>
      <c r="D1351" s="54" t="n"/>
      <c r="E1351" s="57" t="str">
        <f>IF(D1351="","",IF(A1351="BL",IFERROR(INDEX(cl_name,MATCH(D1351,cl_code,0))&amp;"","Client inconnu"),IF(A1351="BR",IFERROR(INDEX(fo_name,MATCH(D1351,fo_code,0))&amp;"","Fournisseur inconnu"),IF(A1351="BS",IF(ISNA(MATCH(D1351,p_services,0)),"Service inconnu",D1351&amp;""),""))))</f>
        <v/>
      </c>
      <c r="F1351" s="58" t="n"/>
      <c r="G1351" s="58" t="n"/>
      <c r="H1351" s="59" t="n"/>
      <c r="I1351" s="57" t="str">
        <f>IF(H1351="","",IFERROR(INDEX(art_des,MATCH(H1351,art_ref,0))&amp;"","Article inconnu"))</f>
        <v/>
      </c>
      <c r="J1351" s="60" t="str">
        <f>IF(H1351="","",IFERROR(INDEX(art_unit,MATCH(H1351,art_ref,0))&amp;"",""))</f>
        <v/>
      </c>
      <c r="K1351" s="59" t="n"/>
      <c r="L1351" s="59" t="n"/>
      <c r="M1351" s="61" t="str">
        <f>IF(OR(B1351="",NOT(ISNUMBER(K1351)),NOT(ISNUMBER(L1351))),"",IF(OR(K1351&lt;=0,L1351&lt;=0),"",ROUND(L1351-K1351,6)))</f>
        <v/>
      </c>
      <c r="N1351" s="58" t="n"/>
      <c r="O1351" s="62" t="n"/>
      <c r="P1351" s="63" t="str">
        <f>IF(OR(B1351="",NOT(ISNUMBER(L1351))),"",IF(L1351&lt;=0,"",IFERROR(ROUND(L1351*N(INDEX(art_w,MATCH(H1351,art_ref,0))),3),"")))</f>
        <v/>
      </c>
      <c r="Q1351" s="59" t="n"/>
      <c r="R1351" s="54" t="n"/>
      <c r="S1351" s="59" t="n"/>
      <c r="T1351" s="59" t="n"/>
      <c r="U1351" s="64" t="str">
        <f>IF(OR(B1351="",H1351=""),"",IFERROR(IF(A1351="BL",IF(N(INDEX(art_price,MATCH(H1351,art_ref,0)))=0,"",N(INDEX(art_price,MATCH(H1351,art_ref,0)))),IF(N(INDEX(art_cost,MATCH(H1351,art_ref,0)))=0,"",N(INDEX(art_cost,MATCH(H1351,art_ref,0))))),""))</f>
        <v/>
      </c>
      <c r="V1351" s="64" t="str">
        <f>IF(OR(U1351="",NOT(ISNUMBER(L1351))),"",IF(L1351&lt;=0,"",ROUND(L1351*U1351,2)))</f>
        <v/>
      </c>
      <c r="W1351" s="60" t="str">
        <f>IF(AND(B1351&lt;&gt;"",A1351&lt;&gt;"BS",F1351&lt;&gt;"",H1351&lt;&gt;"",ISNUMBER(K1351),ISNUMBER(L1351)),IF(AND(K1351&gt;0,L1351&gt;0,K1351-L1351&gt;0,COUNTIFS(A1352:A$2005,A1351,F1352:F$2005,F1351,H1352:H$2005,H1351,AA1352:AA$2005,"&gt;0")=0),ROUND(K1351-L1351,6),""),"")</f>
        <v/>
      </c>
      <c r="X1351" s="60" t="str">
        <f>IF(AND(A1351="",C1351="",D1351="",H1351="",L1351=""),"",IF(A1351="","Type manquant",IF(AND(A1351&lt;&gt;"BL",A1351&lt;&gt;"BR",A1351&lt;&gt;"BS"),"Type inconnu (BL, BR ou BS)",IF(AG1351=0,"Date manquante ou invalide",IF(D1351="",IF(A1351="BL","Client manquant",IF(A1351="BR","Fournisseur manquant","Service manquant")),IF(IF(A1351="BL",ISNA(MATCH(D1351,cl_code,0)),IF(A1351="BR",ISNA(MATCH(D1351,fo_code,0)),ISNA(MATCH(D1351,p_services,0)))),IF(A1351="BL","Client inconnu",IF(A1351="BR","Fournisseur inconnu","Service inconnu")),IF(H1351="","Article manquant",IF(ISNA(MATCH(H1351,art_ref,0)),"Article inconnu",IF(OR(NOT(ISNUMBER(L1351)),N(L1351)&lt;=0),"Quantité invalide",IF(AND(K1351&lt;&gt;"",OR(NOT(ISNUMBER(K1351)),N(K1351)&lt;=0)),"Qté commandée invalide",IF(AG1351&lt;SUMPRODUCT(MAX((A$6:A1350=A1351)*AG$6:AG1350)),"Date antérieure au bon précédent",IF(AND(A1351&lt;&gt;"BR",ISNUMBER(M1351),N(M1351)&gt;0),IF(A1351="BL","Livré plus que commandé","Sorti plus que demandé"),"OK"))))))))))))</f>
        <v/>
      </c>
      <c r="Y1351" s="57" t="str">
        <f>IF(AND(OR(A1351="BL",A1351="BR",A1351="BS"),AG1351&gt;0,D1351&lt;&gt;""),A1351&amp;"|"&amp;AG1351&amp;"|"&amp;D1351&amp;"|"&amp;F1351,"")</f>
        <v/>
      </c>
      <c r="Z1351" s="57" t="str">
        <f>IF(Y1351="","",IF(COUNTIF(Y$6:Y1350,Y1351)=0,1,0))</f>
        <v/>
      </c>
      <c r="AA1351" s="57" t="str">
        <f>IF(Y1351="","",IF(Z1351=1,COUNTIFS(A$6:A1351,A1351,Z$6:Z1351,1),INDEX(AA$6:AA1350,MATCH(Y1351,Y$6:Y1350,0))))</f>
        <v/>
      </c>
      <c r="AB1351" s="57" t="str">
        <f>IF(B1351="","",COUNTIF(B$6:B1351,B1351))</f>
        <v/>
      </c>
      <c r="AC1351" s="57" t="str">
        <f>IF(B1351="","",B1351&amp;"#"&amp;AB1351)</f>
        <v/>
      </c>
      <c r="AD1351" s="57" t="str">
        <f>IF(Z1351=1,A1351&amp;AA1351,"")</f>
        <v/>
      </c>
      <c r="AE1351" s="57" t="str">
        <f>IF(B1351="","",YEAR(C1351))</f>
        <v/>
      </c>
      <c r="AF1351" s="57" t="str">
        <f>IF(B1351="","",MONTH(C1351))</f>
        <v/>
      </c>
      <c r="AG1351" s="57">
        <f>IF(ISNUMBER(C1351),C1351,0)</f>
        <v>0.0</v>
      </c>
      <c r="AH1351" s="57" t="str">
        <f>IF(N(W1351)&gt;0,COUNTIF(W$6:W1351,"&gt;0"),"")</f>
        <v/>
      </c>
      <c r="AI1351" s="57" t="str">
        <f>IF(Z1351=1,COUNTIF(Z$6:Z1351,1),"")</f>
        <v/>
      </c>
    </row>
    <row r="1352">
      <c r="A1352" s="54" t="n"/>
      <c r="B1352" s="55" t="str">
        <f>IF(AA1352="","",A1352&amp;"-"&amp;RIGHT("000"&amp;AA1352,4))</f>
        <v/>
      </c>
      <c r="C1352" s="56" t="n"/>
      <c r="D1352" s="54" t="n"/>
      <c r="E1352" s="57" t="str">
        <f>IF(D1352="","",IF(A1352="BL",IFERROR(INDEX(cl_name,MATCH(D1352,cl_code,0))&amp;"","Client inconnu"),IF(A1352="BR",IFERROR(INDEX(fo_name,MATCH(D1352,fo_code,0))&amp;"","Fournisseur inconnu"),IF(A1352="BS",IF(ISNA(MATCH(D1352,p_services,0)),"Service inconnu",D1352&amp;""),""))))</f>
        <v/>
      </c>
      <c r="F1352" s="58" t="n"/>
      <c r="G1352" s="58" t="n"/>
      <c r="H1352" s="59" t="n"/>
      <c r="I1352" s="57" t="str">
        <f>IF(H1352="","",IFERROR(INDEX(art_des,MATCH(H1352,art_ref,0))&amp;"","Article inconnu"))</f>
        <v/>
      </c>
      <c r="J1352" s="60" t="str">
        <f>IF(H1352="","",IFERROR(INDEX(art_unit,MATCH(H1352,art_ref,0))&amp;"",""))</f>
        <v/>
      </c>
      <c r="K1352" s="59" t="n"/>
      <c r="L1352" s="59" t="n"/>
      <c r="M1352" s="61" t="str">
        <f>IF(OR(B1352="",NOT(ISNUMBER(K1352)),NOT(ISNUMBER(L1352))),"",IF(OR(K1352&lt;=0,L1352&lt;=0),"",ROUND(L1352-K1352,6)))</f>
        <v/>
      </c>
      <c r="N1352" s="58" t="n"/>
      <c r="O1352" s="62" t="n"/>
      <c r="P1352" s="63" t="str">
        <f>IF(OR(B1352="",NOT(ISNUMBER(L1352))),"",IF(L1352&lt;=0,"",IFERROR(ROUND(L1352*N(INDEX(art_w,MATCH(H1352,art_ref,0))),3),"")))</f>
        <v/>
      </c>
      <c r="Q1352" s="59" t="n"/>
      <c r="R1352" s="54" t="n"/>
      <c r="S1352" s="59" t="n"/>
      <c r="T1352" s="59" t="n"/>
      <c r="U1352" s="64" t="str">
        <f>IF(OR(B1352="",H1352=""),"",IFERROR(IF(A1352="BL",IF(N(INDEX(art_price,MATCH(H1352,art_ref,0)))=0,"",N(INDEX(art_price,MATCH(H1352,art_ref,0)))),IF(N(INDEX(art_cost,MATCH(H1352,art_ref,0)))=0,"",N(INDEX(art_cost,MATCH(H1352,art_ref,0))))),""))</f>
        <v/>
      </c>
      <c r="V1352" s="64" t="str">
        <f>IF(OR(U1352="",NOT(ISNUMBER(L1352))),"",IF(L1352&lt;=0,"",ROUND(L1352*U1352,2)))</f>
        <v/>
      </c>
      <c r="W1352" s="60" t="str">
        <f>IF(AND(B1352&lt;&gt;"",A1352&lt;&gt;"BS",F1352&lt;&gt;"",H1352&lt;&gt;"",ISNUMBER(K1352),ISNUMBER(L1352)),IF(AND(K1352&gt;0,L1352&gt;0,K1352-L1352&gt;0,COUNTIFS(A1353:A$2005,A1352,F1353:F$2005,F1352,H1353:H$2005,H1352,AA1353:AA$2005,"&gt;0")=0),ROUND(K1352-L1352,6),""),"")</f>
        <v/>
      </c>
      <c r="X1352" s="60" t="str">
        <f>IF(AND(A1352="",C1352="",D1352="",H1352="",L1352=""),"",IF(A1352="","Type manquant",IF(AND(A1352&lt;&gt;"BL",A1352&lt;&gt;"BR",A1352&lt;&gt;"BS"),"Type inconnu (BL, BR ou BS)",IF(AG1352=0,"Date manquante ou invalide",IF(D1352="",IF(A1352="BL","Client manquant",IF(A1352="BR","Fournisseur manquant","Service manquant")),IF(IF(A1352="BL",ISNA(MATCH(D1352,cl_code,0)),IF(A1352="BR",ISNA(MATCH(D1352,fo_code,0)),ISNA(MATCH(D1352,p_services,0)))),IF(A1352="BL","Client inconnu",IF(A1352="BR","Fournisseur inconnu","Service inconnu")),IF(H1352="","Article manquant",IF(ISNA(MATCH(H1352,art_ref,0)),"Article inconnu",IF(OR(NOT(ISNUMBER(L1352)),N(L1352)&lt;=0),"Quantité invalide",IF(AND(K1352&lt;&gt;"",OR(NOT(ISNUMBER(K1352)),N(K1352)&lt;=0)),"Qté commandée invalide",IF(AG1352&lt;SUMPRODUCT(MAX((A$6:A1351=A1352)*AG$6:AG1351)),"Date antérieure au bon précédent",IF(AND(A1352&lt;&gt;"BR",ISNUMBER(M1352),N(M1352)&gt;0),IF(A1352="BL","Livré plus que commandé","Sorti plus que demandé"),"OK"))))))))))))</f>
        <v/>
      </c>
      <c r="Y1352" s="57" t="str">
        <f>IF(AND(OR(A1352="BL",A1352="BR",A1352="BS"),AG1352&gt;0,D1352&lt;&gt;""),A1352&amp;"|"&amp;AG1352&amp;"|"&amp;D1352&amp;"|"&amp;F1352,"")</f>
        <v/>
      </c>
      <c r="Z1352" s="57" t="str">
        <f>IF(Y1352="","",IF(COUNTIF(Y$6:Y1351,Y1352)=0,1,0))</f>
        <v/>
      </c>
      <c r="AA1352" s="57" t="str">
        <f>IF(Y1352="","",IF(Z1352=1,COUNTIFS(A$6:A1352,A1352,Z$6:Z1352,1),INDEX(AA$6:AA1351,MATCH(Y1352,Y$6:Y1351,0))))</f>
        <v/>
      </c>
      <c r="AB1352" s="57" t="str">
        <f>IF(B1352="","",COUNTIF(B$6:B1352,B1352))</f>
        <v/>
      </c>
      <c r="AC1352" s="57" t="str">
        <f>IF(B1352="","",B1352&amp;"#"&amp;AB1352)</f>
        <v/>
      </c>
      <c r="AD1352" s="57" t="str">
        <f>IF(Z1352=1,A1352&amp;AA1352,"")</f>
        <v/>
      </c>
      <c r="AE1352" s="57" t="str">
        <f>IF(B1352="","",YEAR(C1352))</f>
        <v/>
      </c>
      <c r="AF1352" s="57" t="str">
        <f>IF(B1352="","",MONTH(C1352))</f>
        <v/>
      </c>
      <c r="AG1352" s="57">
        <f>IF(ISNUMBER(C1352),C1352,0)</f>
        <v>0.0</v>
      </c>
      <c r="AH1352" s="57" t="str">
        <f>IF(N(W1352)&gt;0,COUNTIF(W$6:W1352,"&gt;0"),"")</f>
        <v/>
      </c>
      <c r="AI1352" s="57" t="str">
        <f>IF(Z1352=1,COUNTIF(Z$6:Z1352,1),"")</f>
        <v/>
      </c>
    </row>
    <row r="1353">
      <c r="A1353" s="54" t="n"/>
      <c r="B1353" s="55" t="str">
        <f>IF(AA1353="","",A1353&amp;"-"&amp;RIGHT("000"&amp;AA1353,4))</f>
        <v/>
      </c>
      <c r="C1353" s="56" t="n"/>
      <c r="D1353" s="54" t="n"/>
      <c r="E1353" s="57" t="str">
        <f>IF(D1353="","",IF(A1353="BL",IFERROR(INDEX(cl_name,MATCH(D1353,cl_code,0))&amp;"","Client inconnu"),IF(A1353="BR",IFERROR(INDEX(fo_name,MATCH(D1353,fo_code,0))&amp;"","Fournisseur inconnu"),IF(A1353="BS",IF(ISNA(MATCH(D1353,p_services,0)),"Service inconnu",D1353&amp;""),""))))</f>
        <v/>
      </c>
      <c r="F1353" s="58" t="n"/>
      <c r="G1353" s="58" t="n"/>
      <c r="H1353" s="59" t="n"/>
      <c r="I1353" s="57" t="str">
        <f>IF(H1353="","",IFERROR(INDEX(art_des,MATCH(H1353,art_ref,0))&amp;"","Article inconnu"))</f>
        <v/>
      </c>
      <c r="J1353" s="60" t="str">
        <f>IF(H1353="","",IFERROR(INDEX(art_unit,MATCH(H1353,art_ref,0))&amp;"",""))</f>
        <v/>
      </c>
      <c r="K1353" s="59" t="n"/>
      <c r="L1353" s="59" t="n"/>
      <c r="M1353" s="61" t="str">
        <f>IF(OR(B1353="",NOT(ISNUMBER(K1353)),NOT(ISNUMBER(L1353))),"",IF(OR(K1353&lt;=0,L1353&lt;=0),"",ROUND(L1353-K1353,6)))</f>
        <v/>
      </c>
      <c r="N1353" s="58" t="n"/>
      <c r="O1353" s="62" t="n"/>
      <c r="P1353" s="63" t="str">
        <f>IF(OR(B1353="",NOT(ISNUMBER(L1353))),"",IF(L1353&lt;=0,"",IFERROR(ROUND(L1353*N(INDEX(art_w,MATCH(H1353,art_ref,0))),3),"")))</f>
        <v/>
      </c>
      <c r="Q1353" s="59" t="n"/>
      <c r="R1353" s="54" t="n"/>
      <c r="S1353" s="59" t="n"/>
      <c r="T1353" s="59" t="n"/>
      <c r="U1353" s="64" t="str">
        <f>IF(OR(B1353="",H1353=""),"",IFERROR(IF(A1353="BL",IF(N(INDEX(art_price,MATCH(H1353,art_ref,0)))=0,"",N(INDEX(art_price,MATCH(H1353,art_ref,0)))),IF(N(INDEX(art_cost,MATCH(H1353,art_ref,0)))=0,"",N(INDEX(art_cost,MATCH(H1353,art_ref,0))))),""))</f>
        <v/>
      </c>
      <c r="V1353" s="64" t="str">
        <f>IF(OR(U1353="",NOT(ISNUMBER(L1353))),"",IF(L1353&lt;=0,"",ROUND(L1353*U1353,2)))</f>
        <v/>
      </c>
      <c r="W1353" s="60" t="str">
        <f>IF(AND(B1353&lt;&gt;"",A1353&lt;&gt;"BS",F1353&lt;&gt;"",H1353&lt;&gt;"",ISNUMBER(K1353),ISNUMBER(L1353)),IF(AND(K1353&gt;0,L1353&gt;0,K1353-L1353&gt;0,COUNTIFS(A1354:A$2005,A1353,F1354:F$2005,F1353,H1354:H$2005,H1353,AA1354:AA$2005,"&gt;0")=0),ROUND(K1353-L1353,6),""),"")</f>
        <v/>
      </c>
      <c r="X1353" s="60" t="str">
        <f>IF(AND(A1353="",C1353="",D1353="",H1353="",L1353=""),"",IF(A1353="","Type manquant",IF(AND(A1353&lt;&gt;"BL",A1353&lt;&gt;"BR",A1353&lt;&gt;"BS"),"Type inconnu (BL, BR ou BS)",IF(AG1353=0,"Date manquante ou invalide",IF(D1353="",IF(A1353="BL","Client manquant",IF(A1353="BR","Fournisseur manquant","Service manquant")),IF(IF(A1353="BL",ISNA(MATCH(D1353,cl_code,0)),IF(A1353="BR",ISNA(MATCH(D1353,fo_code,0)),ISNA(MATCH(D1353,p_services,0)))),IF(A1353="BL","Client inconnu",IF(A1353="BR","Fournisseur inconnu","Service inconnu")),IF(H1353="","Article manquant",IF(ISNA(MATCH(H1353,art_ref,0)),"Article inconnu",IF(OR(NOT(ISNUMBER(L1353)),N(L1353)&lt;=0),"Quantité invalide",IF(AND(K1353&lt;&gt;"",OR(NOT(ISNUMBER(K1353)),N(K1353)&lt;=0)),"Qté commandée invalide",IF(AG1353&lt;SUMPRODUCT(MAX((A$6:A1352=A1353)*AG$6:AG1352)),"Date antérieure au bon précédent",IF(AND(A1353&lt;&gt;"BR",ISNUMBER(M1353),N(M1353)&gt;0),IF(A1353="BL","Livré plus que commandé","Sorti plus que demandé"),"OK"))))))))))))</f>
        <v/>
      </c>
      <c r="Y1353" s="57" t="str">
        <f>IF(AND(OR(A1353="BL",A1353="BR",A1353="BS"),AG1353&gt;0,D1353&lt;&gt;""),A1353&amp;"|"&amp;AG1353&amp;"|"&amp;D1353&amp;"|"&amp;F1353,"")</f>
        <v/>
      </c>
      <c r="Z1353" s="57" t="str">
        <f>IF(Y1353="","",IF(COUNTIF(Y$6:Y1352,Y1353)=0,1,0))</f>
        <v/>
      </c>
      <c r="AA1353" s="57" t="str">
        <f>IF(Y1353="","",IF(Z1353=1,COUNTIFS(A$6:A1353,A1353,Z$6:Z1353,1),INDEX(AA$6:AA1352,MATCH(Y1353,Y$6:Y1352,0))))</f>
        <v/>
      </c>
      <c r="AB1353" s="57" t="str">
        <f>IF(B1353="","",COUNTIF(B$6:B1353,B1353))</f>
        <v/>
      </c>
      <c r="AC1353" s="57" t="str">
        <f>IF(B1353="","",B1353&amp;"#"&amp;AB1353)</f>
        <v/>
      </c>
      <c r="AD1353" s="57" t="str">
        <f>IF(Z1353=1,A1353&amp;AA1353,"")</f>
        <v/>
      </c>
      <c r="AE1353" s="57" t="str">
        <f>IF(B1353="","",YEAR(C1353))</f>
        <v/>
      </c>
      <c r="AF1353" s="57" t="str">
        <f>IF(B1353="","",MONTH(C1353))</f>
        <v/>
      </c>
      <c r="AG1353" s="57">
        <f>IF(ISNUMBER(C1353),C1353,0)</f>
        <v>0.0</v>
      </c>
      <c r="AH1353" s="57" t="str">
        <f>IF(N(W1353)&gt;0,COUNTIF(W$6:W1353,"&gt;0"),"")</f>
        <v/>
      </c>
      <c r="AI1353" s="57" t="str">
        <f>IF(Z1353=1,COUNTIF(Z$6:Z1353,1),"")</f>
        <v/>
      </c>
    </row>
    <row r="1354">
      <c r="A1354" s="54" t="n"/>
      <c r="B1354" s="55" t="str">
        <f>IF(AA1354="","",A1354&amp;"-"&amp;RIGHT("000"&amp;AA1354,4))</f>
        <v/>
      </c>
      <c r="C1354" s="56" t="n"/>
      <c r="D1354" s="54" t="n"/>
      <c r="E1354" s="57" t="str">
        <f>IF(D1354="","",IF(A1354="BL",IFERROR(INDEX(cl_name,MATCH(D1354,cl_code,0))&amp;"","Client inconnu"),IF(A1354="BR",IFERROR(INDEX(fo_name,MATCH(D1354,fo_code,0))&amp;"","Fournisseur inconnu"),IF(A1354="BS",IF(ISNA(MATCH(D1354,p_services,0)),"Service inconnu",D1354&amp;""),""))))</f>
        <v/>
      </c>
      <c r="F1354" s="58" t="n"/>
      <c r="G1354" s="58" t="n"/>
      <c r="H1354" s="59" t="n"/>
      <c r="I1354" s="57" t="str">
        <f>IF(H1354="","",IFERROR(INDEX(art_des,MATCH(H1354,art_ref,0))&amp;"","Article inconnu"))</f>
        <v/>
      </c>
      <c r="J1354" s="60" t="str">
        <f>IF(H1354="","",IFERROR(INDEX(art_unit,MATCH(H1354,art_ref,0))&amp;"",""))</f>
        <v/>
      </c>
      <c r="K1354" s="59" t="n"/>
      <c r="L1354" s="59" t="n"/>
      <c r="M1354" s="61" t="str">
        <f>IF(OR(B1354="",NOT(ISNUMBER(K1354)),NOT(ISNUMBER(L1354))),"",IF(OR(K1354&lt;=0,L1354&lt;=0),"",ROUND(L1354-K1354,6)))</f>
        <v/>
      </c>
      <c r="N1354" s="58" t="n"/>
      <c r="O1354" s="62" t="n"/>
      <c r="P1354" s="63" t="str">
        <f>IF(OR(B1354="",NOT(ISNUMBER(L1354))),"",IF(L1354&lt;=0,"",IFERROR(ROUND(L1354*N(INDEX(art_w,MATCH(H1354,art_ref,0))),3),"")))</f>
        <v/>
      </c>
      <c r="Q1354" s="59" t="n"/>
      <c r="R1354" s="54" t="n"/>
      <c r="S1354" s="59" t="n"/>
      <c r="T1354" s="59" t="n"/>
      <c r="U1354" s="64" t="str">
        <f>IF(OR(B1354="",H1354=""),"",IFERROR(IF(A1354="BL",IF(N(INDEX(art_price,MATCH(H1354,art_ref,0)))=0,"",N(INDEX(art_price,MATCH(H1354,art_ref,0)))),IF(N(INDEX(art_cost,MATCH(H1354,art_ref,0)))=0,"",N(INDEX(art_cost,MATCH(H1354,art_ref,0))))),""))</f>
        <v/>
      </c>
      <c r="V1354" s="64" t="str">
        <f>IF(OR(U1354="",NOT(ISNUMBER(L1354))),"",IF(L1354&lt;=0,"",ROUND(L1354*U1354,2)))</f>
        <v/>
      </c>
      <c r="W1354" s="60" t="str">
        <f>IF(AND(B1354&lt;&gt;"",A1354&lt;&gt;"BS",F1354&lt;&gt;"",H1354&lt;&gt;"",ISNUMBER(K1354),ISNUMBER(L1354)),IF(AND(K1354&gt;0,L1354&gt;0,K1354-L1354&gt;0,COUNTIFS(A1355:A$2005,A1354,F1355:F$2005,F1354,H1355:H$2005,H1354,AA1355:AA$2005,"&gt;0")=0),ROUND(K1354-L1354,6),""),"")</f>
        <v/>
      </c>
      <c r="X1354" s="60" t="str">
        <f>IF(AND(A1354="",C1354="",D1354="",H1354="",L1354=""),"",IF(A1354="","Type manquant",IF(AND(A1354&lt;&gt;"BL",A1354&lt;&gt;"BR",A1354&lt;&gt;"BS"),"Type inconnu (BL, BR ou BS)",IF(AG1354=0,"Date manquante ou invalide",IF(D1354="",IF(A1354="BL","Client manquant",IF(A1354="BR","Fournisseur manquant","Service manquant")),IF(IF(A1354="BL",ISNA(MATCH(D1354,cl_code,0)),IF(A1354="BR",ISNA(MATCH(D1354,fo_code,0)),ISNA(MATCH(D1354,p_services,0)))),IF(A1354="BL","Client inconnu",IF(A1354="BR","Fournisseur inconnu","Service inconnu")),IF(H1354="","Article manquant",IF(ISNA(MATCH(H1354,art_ref,0)),"Article inconnu",IF(OR(NOT(ISNUMBER(L1354)),N(L1354)&lt;=0),"Quantité invalide",IF(AND(K1354&lt;&gt;"",OR(NOT(ISNUMBER(K1354)),N(K1354)&lt;=0)),"Qté commandée invalide",IF(AG1354&lt;SUMPRODUCT(MAX((A$6:A1353=A1354)*AG$6:AG1353)),"Date antérieure au bon précédent",IF(AND(A1354&lt;&gt;"BR",ISNUMBER(M1354),N(M1354)&gt;0),IF(A1354="BL","Livré plus que commandé","Sorti plus que demandé"),"OK"))))))))))))</f>
        <v/>
      </c>
      <c r="Y1354" s="57" t="str">
        <f>IF(AND(OR(A1354="BL",A1354="BR",A1354="BS"),AG1354&gt;0,D1354&lt;&gt;""),A1354&amp;"|"&amp;AG1354&amp;"|"&amp;D1354&amp;"|"&amp;F1354,"")</f>
        <v/>
      </c>
      <c r="Z1354" s="57" t="str">
        <f>IF(Y1354="","",IF(COUNTIF(Y$6:Y1353,Y1354)=0,1,0))</f>
        <v/>
      </c>
      <c r="AA1354" s="57" t="str">
        <f>IF(Y1354="","",IF(Z1354=1,COUNTIFS(A$6:A1354,A1354,Z$6:Z1354,1),INDEX(AA$6:AA1353,MATCH(Y1354,Y$6:Y1353,0))))</f>
        <v/>
      </c>
      <c r="AB1354" s="57" t="str">
        <f>IF(B1354="","",COUNTIF(B$6:B1354,B1354))</f>
        <v/>
      </c>
      <c r="AC1354" s="57" t="str">
        <f>IF(B1354="","",B1354&amp;"#"&amp;AB1354)</f>
        <v/>
      </c>
      <c r="AD1354" s="57" t="str">
        <f>IF(Z1354=1,A1354&amp;AA1354,"")</f>
        <v/>
      </c>
      <c r="AE1354" s="57" t="str">
        <f>IF(B1354="","",YEAR(C1354))</f>
        <v/>
      </c>
      <c r="AF1354" s="57" t="str">
        <f>IF(B1354="","",MONTH(C1354))</f>
        <v/>
      </c>
      <c r="AG1354" s="57">
        <f>IF(ISNUMBER(C1354),C1354,0)</f>
        <v>0.0</v>
      </c>
      <c r="AH1354" s="57" t="str">
        <f>IF(N(W1354)&gt;0,COUNTIF(W$6:W1354,"&gt;0"),"")</f>
        <v/>
      </c>
      <c r="AI1354" s="57" t="str">
        <f>IF(Z1354=1,COUNTIF(Z$6:Z1354,1),"")</f>
        <v/>
      </c>
    </row>
    <row r="1355">
      <c r="A1355" s="54" t="n"/>
      <c r="B1355" s="55" t="str">
        <f>IF(AA1355="","",A1355&amp;"-"&amp;RIGHT("000"&amp;AA1355,4))</f>
        <v/>
      </c>
      <c r="C1355" s="56" t="n"/>
      <c r="D1355" s="54" t="n"/>
      <c r="E1355" s="57" t="str">
        <f>IF(D1355="","",IF(A1355="BL",IFERROR(INDEX(cl_name,MATCH(D1355,cl_code,0))&amp;"","Client inconnu"),IF(A1355="BR",IFERROR(INDEX(fo_name,MATCH(D1355,fo_code,0))&amp;"","Fournisseur inconnu"),IF(A1355="BS",IF(ISNA(MATCH(D1355,p_services,0)),"Service inconnu",D1355&amp;""),""))))</f>
        <v/>
      </c>
      <c r="F1355" s="58" t="n"/>
      <c r="G1355" s="58" t="n"/>
      <c r="H1355" s="59" t="n"/>
      <c r="I1355" s="57" t="str">
        <f>IF(H1355="","",IFERROR(INDEX(art_des,MATCH(H1355,art_ref,0))&amp;"","Article inconnu"))</f>
        <v/>
      </c>
      <c r="J1355" s="60" t="str">
        <f>IF(H1355="","",IFERROR(INDEX(art_unit,MATCH(H1355,art_ref,0))&amp;"",""))</f>
        <v/>
      </c>
      <c r="K1355" s="59" t="n"/>
      <c r="L1355" s="59" t="n"/>
      <c r="M1355" s="61" t="str">
        <f>IF(OR(B1355="",NOT(ISNUMBER(K1355)),NOT(ISNUMBER(L1355))),"",IF(OR(K1355&lt;=0,L1355&lt;=0),"",ROUND(L1355-K1355,6)))</f>
        <v/>
      </c>
      <c r="N1355" s="58" t="n"/>
      <c r="O1355" s="62" t="n"/>
      <c r="P1355" s="63" t="str">
        <f>IF(OR(B1355="",NOT(ISNUMBER(L1355))),"",IF(L1355&lt;=0,"",IFERROR(ROUND(L1355*N(INDEX(art_w,MATCH(H1355,art_ref,0))),3),"")))</f>
        <v/>
      </c>
      <c r="Q1355" s="59" t="n"/>
      <c r="R1355" s="54" t="n"/>
      <c r="S1355" s="59" t="n"/>
      <c r="T1355" s="59" t="n"/>
      <c r="U1355" s="64" t="str">
        <f>IF(OR(B1355="",H1355=""),"",IFERROR(IF(A1355="BL",IF(N(INDEX(art_price,MATCH(H1355,art_ref,0)))=0,"",N(INDEX(art_price,MATCH(H1355,art_ref,0)))),IF(N(INDEX(art_cost,MATCH(H1355,art_ref,0)))=0,"",N(INDEX(art_cost,MATCH(H1355,art_ref,0))))),""))</f>
        <v/>
      </c>
      <c r="V1355" s="64" t="str">
        <f>IF(OR(U1355="",NOT(ISNUMBER(L1355))),"",IF(L1355&lt;=0,"",ROUND(L1355*U1355,2)))</f>
        <v/>
      </c>
      <c r="W1355" s="60" t="str">
        <f>IF(AND(B1355&lt;&gt;"",A1355&lt;&gt;"BS",F1355&lt;&gt;"",H1355&lt;&gt;"",ISNUMBER(K1355),ISNUMBER(L1355)),IF(AND(K1355&gt;0,L1355&gt;0,K1355-L1355&gt;0,COUNTIFS(A1356:A$2005,A1355,F1356:F$2005,F1355,H1356:H$2005,H1355,AA1356:AA$2005,"&gt;0")=0),ROUND(K1355-L1355,6),""),"")</f>
        <v/>
      </c>
      <c r="X1355" s="60" t="str">
        <f>IF(AND(A1355="",C1355="",D1355="",H1355="",L1355=""),"",IF(A1355="","Type manquant",IF(AND(A1355&lt;&gt;"BL",A1355&lt;&gt;"BR",A1355&lt;&gt;"BS"),"Type inconnu (BL, BR ou BS)",IF(AG1355=0,"Date manquante ou invalide",IF(D1355="",IF(A1355="BL","Client manquant",IF(A1355="BR","Fournisseur manquant","Service manquant")),IF(IF(A1355="BL",ISNA(MATCH(D1355,cl_code,0)),IF(A1355="BR",ISNA(MATCH(D1355,fo_code,0)),ISNA(MATCH(D1355,p_services,0)))),IF(A1355="BL","Client inconnu",IF(A1355="BR","Fournisseur inconnu","Service inconnu")),IF(H1355="","Article manquant",IF(ISNA(MATCH(H1355,art_ref,0)),"Article inconnu",IF(OR(NOT(ISNUMBER(L1355)),N(L1355)&lt;=0),"Quantité invalide",IF(AND(K1355&lt;&gt;"",OR(NOT(ISNUMBER(K1355)),N(K1355)&lt;=0)),"Qté commandée invalide",IF(AG1355&lt;SUMPRODUCT(MAX((A$6:A1354=A1355)*AG$6:AG1354)),"Date antérieure au bon précédent",IF(AND(A1355&lt;&gt;"BR",ISNUMBER(M1355),N(M1355)&gt;0),IF(A1355="BL","Livré plus que commandé","Sorti plus que demandé"),"OK"))))))))))))</f>
        <v/>
      </c>
      <c r="Y1355" s="57" t="str">
        <f>IF(AND(OR(A1355="BL",A1355="BR",A1355="BS"),AG1355&gt;0,D1355&lt;&gt;""),A1355&amp;"|"&amp;AG1355&amp;"|"&amp;D1355&amp;"|"&amp;F1355,"")</f>
        <v/>
      </c>
      <c r="Z1355" s="57" t="str">
        <f>IF(Y1355="","",IF(COUNTIF(Y$6:Y1354,Y1355)=0,1,0))</f>
        <v/>
      </c>
      <c r="AA1355" s="57" t="str">
        <f>IF(Y1355="","",IF(Z1355=1,COUNTIFS(A$6:A1355,A1355,Z$6:Z1355,1),INDEX(AA$6:AA1354,MATCH(Y1355,Y$6:Y1354,0))))</f>
        <v/>
      </c>
      <c r="AB1355" s="57" t="str">
        <f>IF(B1355="","",COUNTIF(B$6:B1355,B1355))</f>
        <v/>
      </c>
      <c r="AC1355" s="57" t="str">
        <f>IF(B1355="","",B1355&amp;"#"&amp;AB1355)</f>
        <v/>
      </c>
      <c r="AD1355" s="57" t="str">
        <f>IF(Z1355=1,A1355&amp;AA1355,"")</f>
        <v/>
      </c>
      <c r="AE1355" s="57" t="str">
        <f>IF(B1355="","",YEAR(C1355))</f>
        <v/>
      </c>
      <c r="AF1355" s="57" t="str">
        <f>IF(B1355="","",MONTH(C1355))</f>
        <v/>
      </c>
      <c r="AG1355" s="57">
        <f>IF(ISNUMBER(C1355),C1355,0)</f>
        <v>0.0</v>
      </c>
      <c r="AH1355" s="57" t="str">
        <f>IF(N(W1355)&gt;0,COUNTIF(W$6:W1355,"&gt;0"),"")</f>
        <v/>
      </c>
      <c r="AI1355" s="57" t="str">
        <f>IF(Z1355=1,COUNTIF(Z$6:Z1355,1),"")</f>
        <v/>
      </c>
    </row>
    <row r="1356">
      <c r="A1356" s="54" t="n"/>
      <c r="B1356" s="55" t="str">
        <f>IF(AA1356="","",A1356&amp;"-"&amp;RIGHT("000"&amp;AA1356,4))</f>
        <v/>
      </c>
      <c r="C1356" s="56" t="n"/>
      <c r="D1356" s="54" t="n"/>
      <c r="E1356" s="57" t="str">
        <f>IF(D1356="","",IF(A1356="BL",IFERROR(INDEX(cl_name,MATCH(D1356,cl_code,0))&amp;"","Client inconnu"),IF(A1356="BR",IFERROR(INDEX(fo_name,MATCH(D1356,fo_code,0))&amp;"","Fournisseur inconnu"),IF(A1356="BS",IF(ISNA(MATCH(D1356,p_services,0)),"Service inconnu",D1356&amp;""),""))))</f>
        <v/>
      </c>
      <c r="F1356" s="58" t="n"/>
      <c r="G1356" s="58" t="n"/>
      <c r="H1356" s="59" t="n"/>
      <c r="I1356" s="57" t="str">
        <f>IF(H1356="","",IFERROR(INDEX(art_des,MATCH(H1356,art_ref,0))&amp;"","Article inconnu"))</f>
        <v/>
      </c>
      <c r="J1356" s="60" t="str">
        <f>IF(H1356="","",IFERROR(INDEX(art_unit,MATCH(H1356,art_ref,0))&amp;"",""))</f>
        <v/>
      </c>
      <c r="K1356" s="59" t="n"/>
      <c r="L1356" s="59" t="n"/>
      <c r="M1356" s="61" t="str">
        <f>IF(OR(B1356="",NOT(ISNUMBER(K1356)),NOT(ISNUMBER(L1356))),"",IF(OR(K1356&lt;=0,L1356&lt;=0),"",ROUND(L1356-K1356,6)))</f>
        <v/>
      </c>
      <c r="N1356" s="58" t="n"/>
      <c r="O1356" s="62" t="n"/>
      <c r="P1356" s="63" t="str">
        <f>IF(OR(B1356="",NOT(ISNUMBER(L1356))),"",IF(L1356&lt;=0,"",IFERROR(ROUND(L1356*N(INDEX(art_w,MATCH(H1356,art_ref,0))),3),"")))</f>
        <v/>
      </c>
      <c r="Q1356" s="59" t="n"/>
      <c r="R1356" s="54" t="n"/>
      <c r="S1356" s="59" t="n"/>
      <c r="T1356" s="59" t="n"/>
      <c r="U1356" s="64" t="str">
        <f>IF(OR(B1356="",H1356=""),"",IFERROR(IF(A1356="BL",IF(N(INDEX(art_price,MATCH(H1356,art_ref,0)))=0,"",N(INDEX(art_price,MATCH(H1356,art_ref,0)))),IF(N(INDEX(art_cost,MATCH(H1356,art_ref,0)))=0,"",N(INDEX(art_cost,MATCH(H1356,art_ref,0))))),""))</f>
        <v/>
      </c>
      <c r="V1356" s="64" t="str">
        <f>IF(OR(U1356="",NOT(ISNUMBER(L1356))),"",IF(L1356&lt;=0,"",ROUND(L1356*U1356,2)))</f>
        <v/>
      </c>
      <c r="W1356" s="60" t="str">
        <f>IF(AND(B1356&lt;&gt;"",A1356&lt;&gt;"BS",F1356&lt;&gt;"",H1356&lt;&gt;"",ISNUMBER(K1356),ISNUMBER(L1356)),IF(AND(K1356&gt;0,L1356&gt;0,K1356-L1356&gt;0,COUNTIFS(A1357:A$2005,A1356,F1357:F$2005,F1356,H1357:H$2005,H1356,AA1357:AA$2005,"&gt;0")=0),ROUND(K1356-L1356,6),""),"")</f>
        <v/>
      </c>
      <c r="X1356" s="60" t="str">
        <f>IF(AND(A1356="",C1356="",D1356="",H1356="",L1356=""),"",IF(A1356="","Type manquant",IF(AND(A1356&lt;&gt;"BL",A1356&lt;&gt;"BR",A1356&lt;&gt;"BS"),"Type inconnu (BL, BR ou BS)",IF(AG1356=0,"Date manquante ou invalide",IF(D1356="",IF(A1356="BL","Client manquant",IF(A1356="BR","Fournisseur manquant","Service manquant")),IF(IF(A1356="BL",ISNA(MATCH(D1356,cl_code,0)),IF(A1356="BR",ISNA(MATCH(D1356,fo_code,0)),ISNA(MATCH(D1356,p_services,0)))),IF(A1356="BL","Client inconnu",IF(A1356="BR","Fournisseur inconnu","Service inconnu")),IF(H1356="","Article manquant",IF(ISNA(MATCH(H1356,art_ref,0)),"Article inconnu",IF(OR(NOT(ISNUMBER(L1356)),N(L1356)&lt;=0),"Quantité invalide",IF(AND(K1356&lt;&gt;"",OR(NOT(ISNUMBER(K1356)),N(K1356)&lt;=0)),"Qté commandée invalide",IF(AG1356&lt;SUMPRODUCT(MAX((A$6:A1355=A1356)*AG$6:AG1355)),"Date antérieure au bon précédent",IF(AND(A1356&lt;&gt;"BR",ISNUMBER(M1356),N(M1356)&gt;0),IF(A1356="BL","Livré plus que commandé","Sorti plus que demandé"),"OK"))))))))))))</f>
        <v/>
      </c>
      <c r="Y1356" s="57" t="str">
        <f>IF(AND(OR(A1356="BL",A1356="BR",A1356="BS"),AG1356&gt;0,D1356&lt;&gt;""),A1356&amp;"|"&amp;AG1356&amp;"|"&amp;D1356&amp;"|"&amp;F1356,"")</f>
        <v/>
      </c>
      <c r="Z1356" s="57" t="str">
        <f>IF(Y1356="","",IF(COUNTIF(Y$6:Y1355,Y1356)=0,1,0))</f>
        <v/>
      </c>
      <c r="AA1356" s="57" t="str">
        <f>IF(Y1356="","",IF(Z1356=1,COUNTIFS(A$6:A1356,A1356,Z$6:Z1356,1),INDEX(AA$6:AA1355,MATCH(Y1356,Y$6:Y1355,0))))</f>
        <v/>
      </c>
      <c r="AB1356" s="57" t="str">
        <f>IF(B1356="","",COUNTIF(B$6:B1356,B1356))</f>
        <v/>
      </c>
      <c r="AC1356" s="57" t="str">
        <f>IF(B1356="","",B1356&amp;"#"&amp;AB1356)</f>
        <v/>
      </c>
      <c r="AD1356" s="57" t="str">
        <f>IF(Z1356=1,A1356&amp;AA1356,"")</f>
        <v/>
      </c>
      <c r="AE1356" s="57" t="str">
        <f>IF(B1356="","",YEAR(C1356))</f>
        <v/>
      </c>
      <c r="AF1356" s="57" t="str">
        <f>IF(B1356="","",MONTH(C1356))</f>
        <v/>
      </c>
      <c r="AG1356" s="57">
        <f>IF(ISNUMBER(C1356),C1356,0)</f>
        <v>0.0</v>
      </c>
      <c r="AH1356" s="57" t="str">
        <f>IF(N(W1356)&gt;0,COUNTIF(W$6:W1356,"&gt;0"),"")</f>
        <v/>
      </c>
      <c r="AI1356" s="57" t="str">
        <f>IF(Z1356=1,COUNTIF(Z$6:Z1356,1),"")</f>
        <v/>
      </c>
    </row>
    <row r="1357">
      <c r="A1357" s="54" t="n"/>
      <c r="B1357" s="55" t="str">
        <f>IF(AA1357="","",A1357&amp;"-"&amp;RIGHT("000"&amp;AA1357,4))</f>
        <v/>
      </c>
      <c r="C1357" s="56" t="n"/>
      <c r="D1357" s="54" t="n"/>
      <c r="E1357" s="57" t="str">
        <f>IF(D1357="","",IF(A1357="BL",IFERROR(INDEX(cl_name,MATCH(D1357,cl_code,0))&amp;"","Client inconnu"),IF(A1357="BR",IFERROR(INDEX(fo_name,MATCH(D1357,fo_code,0))&amp;"","Fournisseur inconnu"),IF(A1357="BS",IF(ISNA(MATCH(D1357,p_services,0)),"Service inconnu",D1357&amp;""),""))))</f>
        <v/>
      </c>
      <c r="F1357" s="58" t="n"/>
      <c r="G1357" s="58" t="n"/>
      <c r="H1357" s="59" t="n"/>
      <c r="I1357" s="57" t="str">
        <f>IF(H1357="","",IFERROR(INDEX(art_des,MATCH(H1357,art_ref,0))&amp;"","Article inconnu"))</f>
        <v/>
      </c>
      <c r="J1357" s="60" t="str">
        <f>IF(H1357="","",IFERROR(INDEX(art_unit,MATCH(H1357,art_ref,0))&amp;"",""))</f>
        <v/>
      </c>
      <c r="K1357" s="59" t="n"/>
      <c r="L1357" s="59" t="n"/>
      <c r="M1357" s="61" t="str">
        <f>IF(OR(B1357="",NOT(ISNUMBER(K1357)),NOT(ISNUMBER(L1357))),"",IF(OR(K1357&lt;=0,L1357&lt;=0),"",ROUND(L1357-K1357,6)))</f>
        <v/>
      </c>
      <c r="N1357" s="58" t="n"/>
      <c r="O1357" s="62" t="n"/>
      <c r="P1357" s="63" t="str">
        <f>IF(OR(B1357="",NOT(ISNUMBER(L1357))),"",IF(L1357&lt;=0,"",IFERROR(ROUND(L1357*N(INDEX(art_w,MATCH(H1357,art_ref,0))),3),"")))</f>
        <v/>
      </c>
      <c r="Q1357" s="59" t="n"/>
      <c r="R1357" s="54" t="n"/>
      <c r="S1357" s="59" t="n"/>
      <c r="T1357" s="59" t="n"/>
      <c r="U1357" s="64" t="str">
        <f>IF(OR(B1357="",H1357=""),"",IFERROR(IF(A1357="BL",IF(N(INDEX(art_price,MATCH(H1357,art_ref,0)))=0,"",N(INDEX(art_price,MATCH(H1357,art_ref,0)))),IF(N(INDEX(art_cost,MATCH(H1357,art_ref,0)))=0,"",N(INDEX(art_cost,MATCH(H1357,art_ref,0))))),""))</f>
        <v/>
      </c>
      <c r="V1357" s="64" t="str">
        <f>IF(OR(U1357="",NOT(ISNUMBER(L1357))),"",IF(L1357&lt;=0,"",ROUND(L1357*U1357,2)))</f>
        <v/>
      </c>
      <c r="W1357" s="60" t="str">
        <f>IF(AND(B1357&lt;&gt;"",A1357&lt;&gt;"BS",F1357&lt;&gt;"",H1357&lt;&gt;"",ISNUMBER(K1357),ISNUMBER(L1357)),IF(AND(K1357&gt;0,L1357&gt;0,K1357-L1357&gt;0,COUNTIFS(A1358:A$2005,A1357,F1358:F$2005,F1357,H1358:H$2005,H1357,AA1358:AA$2005,"&gt;0")=0),ROUND(K1357-L1357,6),""),"")</f>
        <v/>
      </c>
      <c r="X1357" s="60" t="str">
        <f>IF(AND(A1357="",C1357="",D1357="",H1357="",L1357=""),"",IF(A1357="","Type manquant",IF(AND(A1357&lt;&gt;"BL",A1357&lt;&gt;"BR",A1357&lt;&gt;"BS"),"Type inconnu (BL, BR ou BS)",IF(AG1357=0,"Date manquante ou invalide",IF(D1357="",IF(A1357="BL","Client manquant",IF(A1357="BR","Fournisseur manquant","Service manquant")),IF(IF(A1357="BL",ISNA(MATCH(D1357,cl_code,0)),IF(A1357="BR",ISNA(MATCH(D1357,fo_code,0)),ISNA(MATCH(D1357,p_services,0)))),IF(A1357="BL","Client inconnu",IF(A1357="BR","Fournisseur inconnu","Service inconnu")),IF(H1357="","Article manquant",IF(ISNA(MATCH(H1357,art_ref,0)),"Article inconnu",IF(OR(NOT(ISNUMBER(L1357)),N(L1357)&lt;=0),"Quantité invalide",IF(AND(K1357&lt;&gt;"",OR(NOT(ISNUMBER(K1357)),N(K1357)&lt;=0)),"Qté commandée invalide",IF(AG1357&lt;SUMPRODUCT(MAX((A$6:A1356=A1357)*AG$6:AG1356)),"Date antérieure au bon précédent",IF(AND(A1357&lt;&gt;"BR",ISNUMBER(M1357),N(M1357)&gt;0),IF(A1357="BL","Livré plus que commandé","Sorti plus que demandé"),"OK"))))))))))))</f>
        <v/>
      </c>
      <c r="Y1357" s="57" t="str">
        <f>IF(AND(OR(A1357="BL",A1357="BR",A1357="BS"),AG1357&gt;0,D1357&lt;&gt;""),A1357&amp;"|"&amp;AG1357&amp;"|"&amp;D1357&amp;"|"&amp;F1357,"")</f>
        <v/>
      </c>
      <c r="Z1357" s="57" t="str">
        <f>IF(Y1357="","",IF(COUNTIF(Y$6:Y1356,Y1357)=0,1,0))</f>
        <v/>
      </c>
      <c r="AA1357" s="57" t="str">
        <f>IF(Y1357="","",IF(Z1357=1,COUNTIFS(A$6:A1357,A1357,Z$6:Z1357,1),INDEX(AA$6:AA1356,MATCH(Y1357,Y$6:Y1356,0))))</f>
        <v/>
      </c>
      <c r="AB1357" s="57" t="str">
        <f>IF(B1357="","",COUNTIF(B$6:B1357,B1357))</f>
        <v/>
      </c>
      <c r="AC1357" s="57" t="str">
        <f>IF(B1357="","",B1357&amp;"#"&amp;AB1357)</f>
        <v/>
      </c>
      <c r="AD1357" s="57" t="str">
        <f>IF(Z1357=1,A1357&amp;AA1357,"")</f>
        <v/>
      </c>
      <c r="AE1357" s="57" t="str">
        <f>IF(B1357="","",YEAR(C1357))</f>
        <v/>
      </c>
      <c r="AF1357" s="57" t="str">
        <f>IF(B1357="","",MONTH(C1357))</f>
        <v/>
      </c>
      <c r="AG1357" s="57">
        <f>IF(ISNUMBER(C1357),C1357,0)</f>
        <v>0.0</v>
      </c>
      <c r="AH1357" s="57" t="str">
        <f>IF(N(W1357)&gt;0,COUNTIF(W$6:W1357,"&gt;0"),"")</f>
        <v/>
      </c>
      <c r="AI1357" s="57" t="str">
        <f>IF(Z1357=1,COUNTIF(Z$6:Z1357,1),"")</f>
        <v/>
      </c>
    </row>
    <row r="1358">
      <c r="A1358" s="54" t="n"/>
      <c r="B1358" s="55" t="str">
        <f>IF(AA1358="","",A1358&amp;"-"&amp;RIGHT("000"&amp;AA1358,4))</f>
        <v/>
      </c>
      <c r="C1358" s="56" t="n"/>
      <c r="D1358" s="54" t="n"/>
      <c r="E1358" s="57" t="str">
        <f>IF(D1358="","",IF(A1358="BL",IFERROR(INDEX(cl_name,MATCH(D1358,cl_code,0))&amp;"","Client inconnu"),IF(A1358="BR",IFERROR(INDEX(fo_name,MATCH(D1358,fo_code,0))&amp;"","Fournisseur inconnu"),IF(A1358="BS",IF(ISNA(MATCH(D1358,p_services,0)),"Service inconnu",D1358&amp;""),""))))</f>
        <v/>
      </c>
      <c r="F1358" s="58" t="n"/>
      <c r="G1358" s="58" t="n"/>
      <c r="H1358" s="59" t="n"/>
      <c r="I1358" s="57" t="str">
        <f>IF(H1358="","",IFERROR(INDEX(art_des,MATCH(H1358,art_ref,0))&amp;"","Article inconnu"))</f>
        <v/>
      </c>
      <c r="J1358" s="60" t="str">
        <f>IF(H1358="","",IFERROR(INDEX(art_unit,MATCH(H1358,art_ref,0))&amp;"",""))</f>
        <v/>
      </c>
      <c r="K1358" s="59" t="n"/>
      <c r="L1358" s="59" t="n"/>
      <c r="M1358" s="61" t="str">
        <f>IF(OR(B1358="",NOT(ISNUMBER(K1358)),NOT(ISNUMBER(L1358))),"",IF(OR(K1358&lt;=0,L1358&lt;=0),"",ROUND(L1358-K1358,6)))</f>
        <v/>
      </c>
      <c r="N1358" s="58" t="n"/>
      <c r="O1358" s="62" t="n"/>
      <c r="P1358" s="63" t="str">
        <f>IF(OR(B1358="",NOT(ISNUMBER(L1358))),"",IF(L1358&lt;=0,"",IFERROR(ROUND(L1358*N(INDEX(art_w,MATCH(H1358,art_ref,0))),3),"")))</f>
        <v/>
      </c>
      <c r="Q1358" s="59" t="n"/>
      <c r="R1358" s="54" t="n"/>
      <c r="S1358" s="59" t="n"/>
      <c r="T1358" s="59" t="n"/>
      <c r="U1358" s="64" t="str">
        <f>IF(OR(B1358="",H1358=""),"",IFERROR(IF(A1358="BL",IF(N(INDEX(art_price,MATCH(H1358,art_ref,0)))=0,"",N(INDEX(art_price,MATCH(H1358,art_ref,0)))),IF(N(INDEX(art_cost,MATCH(H1358,art_ref,0)))=0,"",N(INDEX(art_cost,MATCH(H1358,art_ref,0))))),""))</f>
        <v/>
      </c>
      <c r="V1358" s="64" t="str">
        <f>IF(OR(U1358="",NOT(ISNUMBER(L1358))),"",IF(L1358&lt;=0,"",ROUND(L1358*U1358,2)))</f>
        <v/>
      </c>
      <c r="W1358" s="60" t="str">
        <f>IF(AND(B1358&lt;&gt;"",A1358&lt;&gt;"BS",F1358&lt;&gt;"",H1358&lt;&gt;"",ISNUMBER(K1358),ISNUMBER(L1358)),IF(AND(K1358&gt;0,L1358&gt;0,K1358-L1358&gt;0,COUNTIFS(A1359:A$2005,A1358,F1359:F$2005,F1358,H1359:H$2005,H1358,AA1359:AA$2005,"&gt;0")=0),ROUND(K1358-L1358,6),""),"")</f>
        <v/>
      </c>
      <c r="X1358" s="60" t="str">
        <f>IF(AND(A1358="",C1358="",D1358="",H1358="",L1358=""),"",IF(A1358="","Type manquant",IF(AND(A1358&lt;&gt;"BL",A1358&lt;&gt;"BR",A1358&lt;&gt;"BS"),"Type inconnu (BL, BR ou BS)",IF(AG1358=0,"Date manquante ou invalide",IF(D1358="",IF(A1358="BL","Client manquant",IF(A1358="BR","Fournisseur manquant","Service manquant")),IF(IF(A1358="BL",ISNA(MATCH(D1358,cl_code,0)),IF(A1358="BR",ISNA(MATCH(D1358,fo_code,0)),ISNA(MATCH(D1358,p_services,0)))),IF(A1358="BL","Client inconnu",IF(A1358="BR","Fournisseur inconnu","Service inconnu")),IF(H1358="","Article manquant",IF(ISNA(MATCH(H1358,art_ref,0)),"Article inconnu",IF(OR(NOT(ISNUMBER(L1358)),N(L1358)&lt;=0),"Quantité invalide",IF(AND(K1358&lt;&gt;"",OR(NOT(ISNUMBER(K1358)),N(K1358)&lt;=0)),"Qté commandée invalide",IF(AG1358&lt;SUMPRODUCT(MAX((A$6:A1357=A1358)*AG$6:AG1357)),"Date antérieure au bon précédent",IF(AND(A1358&lt;&gt;"BR",ISNUMBER(M1358),N(M1358)&gt;0),IF(A1358="BL","Livré plus que commandé","Sorti plus que demandé"),"OK"))))))))))))</f>
        <v/>
      </c>
      <c r="Y1358" s="57" t="str">
        <f>IF(AND(OR(A1358="BL",A1358="BR",A1358="BS"),AG1358&gt;0,D1358&lt;&gt;""),A1358&amp;"|"&amp;AG1358&amp;"|"&amp;D1358&amp;"|"&amp;F1358,"")</f>
        <v/>
      </c>
      <c r="Z1358" s="57" t="str">
        <f>IF(Y1358="","",IF(COUNTIF(Y$6:Y1357,Y1358)=0,1,0))</f>
        <v/>
      </c>
      <c r="AA1358" s="57" t="str">
        <f>IF(Y1358="","",IF(Z1358=1,COUNTIFS(A$6:A1358,A1358,Z$6:Z1358,1),INDEX(AA$6:AA1357,MATCH(Y1358,Y$6:Y1357,0))))</f>
        <v/>
      </c>
      <c r="AB1358" s="57" t="str">
        <f>IF(B1358="","",COUNTIF(B$6:B1358,B1358))</f>
        <v/>
      </c>
      <c r="AC1358" s="57" t="str">
        <f>IF(B1358="","",B1358&amp;"#"&amp;AB1358)</f>
        <v/>
      </c>
      <c r="AD1358" s="57" t="str">
        <f>IF(Z1358=1,A1358&amp;AA1358,"")</f>
        <v/>
      </c>
      <c r="AE1358" s="57" t="str">
        <f>IF(B1358="","",YEAR(C1358))</f>
        <v/>
      </c>
      <c r="AF1358" s="57" t="str">
        <f>IF(B1358="","",MONTH(C1358))</f>
        <v/>
      </c>
      <c r="AG1358" s="57">
        <f>IF(ISNUMBER(C1358),C1358,0)</f>
        <v>0.0</v>
      </c>
      <c r="AH1358" s="57" t="str">
        <f>IF(N(W1358)&gt;0,COUNTIF(W$6:W1358,"&gt;0"),"")</f>
        <v/>
      </c>
      <c r="AI1358" s="57" t="str">
        <f>IF(Z1358=1,COUNTIF(Z$6:Z1358,1),"")</f>
        <v/>
      </c>
    </row>
    <row r="1359">
      <c r="A1359" s="54" t="n"/>
      <c r="B1359" s="55" t="str">
        <f>IF(AA1359="","",A1359&amp;"-"&amp;RIGHT("000"&amp;AA1359,4))</f>
        <v/>
      </c>
      <c r="C1359" s="56" t="n"/>
      <c r="D1359" s="54" t="n"/>
      <c r="E1359" s="57" t="str">
        <f>IF(D1359="","",IF(A1359="BL",IFERROR(INDEX(cl_name,MATCH(D1359,cl_code,0))&amp;"","Client inconnu"),IF(A1359="BR",IFERROR(INDEX(fo_name,MATCH(D1359,fo_code,0))&amp;"","Fournisseur inconnu"),IF(A1359="BS",IF(ISNA(MATCH(D1359,p_services,0)),"Service inconnu",D1359&amp;""),""))))</f>
        <v/>
      </c>
      <c r="F1359" s="58" t="n"/>
      <c r="G1359" s="58" t="n"/>
      <c r="H1359" s="59" t="n"/>
      <c r="I1359" s="57" t="str">
        <f>IF(H1359="","",IFERROR(INDEX(art_des,MATCH(H1359,art_ref,0))&amp;"","Article inconnu"))</f>
        <v/>
      </c>
      <c r="J1359" s="60" t="str">
        <f>IF(H1359="","",IFERROR(INDEX(art_unit,MATCH(H1359,art_ref,0))&amp;"",""))</f>
        <v/>
      </c>
      <c r="K1359" s="59" t="n"/>
      <c r="L1359" s="59" t="n"/>
      <c r="M1359" s="61" t="str">
        <f>IF(OR(B1359="",NOT(ISNUMBER(K1359)),NOT(ISNUMBER(L1359))),"",IF(OR(K1359&lt;=0,L1359&lt;=0),"",ROUND(L1359-K1359,6)))</f>
        <v/>
      </c>
      <c r="N1359" s="58" t="n"/>
      <c r="O1359" s="62" t="n"/>
      <c r="P1359" s="63" t="str">
        <f>IF(OR(B1359="",NOT(ISNUMBER(L1359))),"",IF(L1359&lt;=0,"",IFERROR(ROUND(L1359*N(INDEX(art_w,MATCH(H1359,art_ref,0))),3),"")))</f>
        <v/>
      </c>
      <c r="Q1359" s="59" t="n"/>
      <c r="R1359" s="54" t="n"/>
      <c r="S1359" s="59" t="n"/>
      <c r="T1359" s="59" t="n"/>
      <c r="U1359" s="64" t="str">
        <f>IF(OR(B1359="",H1359=""),"",IFERROR(IF(A1359="BL",IF(N(INDEX(art_price,MATCH(H1359,art_ref,0)))=0,"",N(INDEX(art_price,MATCH(H1359,art_ref,0)))),IF(N(INDEX(art_cost,MATCH(H1359,art_ref,0)))=0,"",N(INDEX(art_cost,MATCH(H1359,art_ref,0))))),""))</f>
        <v/>
      </c>
      <c r="V1359" s="64" t="str">
        <f>IF(OR(U1359="",NOT(ISNUMBER(L1359))),"",IF(L1359&lt;=0,"",ROUND(L1359*U1359,2)))</f>
        <v/>
      </c>
      <c r="W1359" s="60" t="str">
        <f>IF(AND(B1359&lt;&gt;"",A1359&lt;&gt;"BS",F1359&lt;&gt;"",H1359&lt;&gt;"",ISNUMBER(K1359),ISNUMBER(L1359)),IF(AND(K1359&gt;0,L1359&gt;0,K1359-L1359&gt;0,COUNTIFS(A1360:A$2005,A1359,F1360:F$2005,F1359,H1360:H$2005,H1359,AA1360:AA$2005,"&gt;0")=0),ROUND(K1359-L1359,6),""),"")</f>
        <v/>
      </c>
      <c r="X1359" s="60" t="str">
        <f>IF(AND(A1359="",C1359="",D1359="",H1359="",L1359=""),"",IF(A1359="","Type manquant",IF(AND(A1359&lt;&gt;"BL",A1359&lt;&gt;"BR",A1359&lt;&gt;"BS"),"Type inconnu (BL, BR ou BS)",IF(AG1359=0,"Date manquante ou invalide",IF(D1359="",IF(A1359="BL","Client manquant",IF(A1359="BR","Fournisseur manquant","Service manquant")),IF(IF(A1359="BL",ISNA(MATCH(D1359,cl_code,0)),IF(A1359="BR",ISNA(MATCH(D1359,fo_code,0)),ISNA(MATCH(D1359,p_services,0)))),IF(A1359="BL","Client inconnu",IF(A1359="BR","Fournisseur inconnu","Service inconnu")),IF(H1359="","Article manquant",IF(ISNA(MATCH(H1359,art_ref,0)),"Article inconnu",IF(OR(NOT(ISNUMBER(L1359)),N(L1359)&lt;=0),"Quantité invalide",IF(AND(K1359&lt;&gt;"",OR(NOT(ISNUMBER(K1359)),N(K1359)&lt;=0)),"Qté commandée invalide",IF(AG1359&lt;SUMPRODUCT(MAX((A$6:A1358=A1359)*AG$6:AG1358)),"Date antérieure au bon précédent",IF(AND(A1359&lt;&gt;"BR",ISNUMBER(M1359),N(M1359)&gt;0),IF(A1359="BL","Livré plus que commandé","Sorti plus que demandé"),"OK"))))))))))))</f>
        <v/>
      </c>
      <c r="Y1359" s="57" t="str">
        <f>IF(AND(OR(A1359="BL",A1359="BR",A1359="BS"),AG1359&gt;0,D1359&lt;&gt;""),A1359&amp;"|"&amp;AG1359&amp;"|"&amp;D1359&amp;"|"&amp;F1359,"")</f>
        <v/>
      </c>
      <c r="Z1359" s="57" t="str">
        <f>IF(Y1359="","",IF(COUNTIF(Y$6:Y1358,Y1359)=0,1,0))</f>
        <v/>
      </c>
      <c r="AA1359" s="57" t="str">
        <f>IF(Y1359="","",IF(Z1359=1,COUNTIFS(A$6:A1359,A1359,Z$6:Z1359,1),INDEX(AA$6:AA1358,MATCH(Y1359,Y$6:Y1358,0))))</f>
        <v/>
      </c>
      <c r="AB1359" s="57" t="str">
        <f>IF(B1359="","",COUNTIF(B$6:B1359,B1359))</f>
        <v/>
      </c>
      <c r="AC1359" s="57" t="str">
        <f>IF(B1359="","",B1359&amp;"#"&amp;AB1359)</f>
        <v/>
      </c>
      <c r="AD1359" s="57" t="str">
        <f>IF(Z1359=1,A1359&amp;AA1359,"")</f>
        <v/>
      </c>
      <c r="AE1359" s="57" t="str">
        <f>IF(B1359="","",YEAR(C1359))</f>
        <v/>
      </c>
      <c r="AF1359" s="57" t="str">
        <f>IF(B1359="","",MONTH(C1359))</f>
        <v/>
      </c>
      <c r="AG1359" s="57">
        <f>IF(ISNUMBER(C1359),C1359,0)</f>
        <v>0.0</v>
      </c>
      <c r="AH1359" s="57" t="str">
        <f>IF(N(W1359)&gt;0,COUNTIF(W$6:W1359,"&gt;0"),"")</f>
        <v/>
      </c>
      <c r="AI1359" s="57" t="str">
        <f>IF(Z1359=1,COUNTIF(Z$6:Z1359,1),"")</f>
        <v/>
      </c>
    </row>
    <row r="1360">
      <c r="A1360" s="54" t="n"/>
      <c r="B1360" s="55" t="str">
        <f>IF(AA1360="","",A1360&amp;"-"&amp;RIGHT("000"&amp;AA1360,4))</f>
        <v/>
      </c>
      <c r="C1360" s="56" t="n"/>
      <c r="D1360" s="54" t="n"/>
      <c r="E1360" s="57" t="str">
        <f>IF(D1360="","",IF(A1360="BL",IFERROR(INDEX(cl_name,MATCH(D1360,cl_code,0))&amp;"","Client inconnu"),IF(A1360="BR",IFERROR(INDEX(fo_name,MATCH(D1360,fo_code,0))&amp;"","Fournisseur inconnu"),IF(A1360="BS",IF(ISNA(MATCH(D1360,p_services,0)),"Service inconnu",D1360&amp;""),""))))</f>
        <v/>
      </c>
      <c r="F1360" s="58" t="n"/>
      <c r="G1360" s="58" t="n"/>
      <c r="H1360" s="59" t="n"/>
      <c r="I1360" s="57" t="str">
        <f>IF(H1360="","",IFERROR(INDEX(art_des,MATCH(H1360,art_ref,0))&amp;"","Article inconnu"))</f>
        <v/>
      </c>
      <c r="J1360" s="60" t="str">
        <f>IF(H1360="","",IFERROR(INDEX(art_unit,MATCH(H1360,art_ref,0))&amp;"",""))</f>
        <v/>
      </c>
      <c r="K1360" s="59" t="n"/>
      <c r="L1360" s="59" t="n"/>
      <c r="M1360" s="61" t="str">
        <f>IF(OR(B1360="",NOT(ISNUMBER(K1360)),NOT(ISNUMBER(L1360))),"",IF(OR(K1360&lt;=0,L1360&lt;=0),"",ROUND(L1360-K1360,6)))</f>
        <v/>
      </c>
      <c r="N1360" s="58" t="n"/>
      <c r="O1360" s="62" t="n"/>
      <c r="P1360" s="63" t="str">
        <f>IF(OR(B1360="",NOT(ISNUMBER(L1360))),"",IF(L1360&lt;=0,"",IFERROR(ROUND(L1360*N(INDEX(art_w,MATCH(H1360,art_ref,0))),3),"")))</f>
        <v/>
      </c>
      <c r="Q1360" s="59" t="n"/>
      <c r="R1360" s="54" t="n"/>
      <c r="S1360" s="59" t="n"/>
      <c r="T1360" s="59" t="n"/>
      <c r="U1360" s="64" t="str">
        <f>IF(OR(B1360="",H1360=""),"",IFERROR(IF(A1360="BL",IF(N(INDEX(art_price,MATCH(H1360,art_ref,0)))=0,"",N(INDEX(art_price,MATCH(H1360,art_ref,0)))),IF(N(INDEX(art_cost,MATCH(H1360,art_ref,0)))=0,"",N(INDEX(art_cost,MATCH(H1360,art_ref,0))))),""))</f>
        <v/>
      </c>
      <c r="V1360" s="64" t="str">
        <f>IF(OR(U1360="",NOT(ISNUMBER(L1360))),"",IF(L1360&lt;=0,"",ROUND(L1360*U1360,2)))</f>
        <v/>
      </c>
      <c r="W1360" s="60" t="str">
        <f>IF(AND(B1360&lt;&gt;"",A1360&lt;&gt;"BS",F1360&lt;&gt;"",H1360&lt;&gt;"",ISNUMBER(K1360),ISNUMBER(L1360)),IF(AND(K1360&gt;0,L1360&gt;0,K1360-L1360&gt;0,COUNTIFS(A1361:A$2005,A1360,F1361:F$2005,F1360,H1361:H$2005,H1360,AA1361:AA$2005,"&gt;0")=0),ROUND(K1360-L1360,6),""),"")</f>
        <v/>
      </c>
      <c r="X1360" s="60" t="str">
        <f>IF(AND(A1360="",C1360="",D1360="",H1360="",L1360=""),"",IF(A1360="","Type manquant",IF(AND(A1360&lt;&gt;"BL",A1360&lt;&gt;"BR",A1360&lt;&gt;"BS"),"Type inconnu (BL, BR ou BS)",IF(AG1360=0,"Date manquante ou invalide",IF(D1360="",IF(A1360="BL","Client manquant",IF(A1360="BR","Fournisseur manquant","Service manquant")),IF(IF(A1360="BL",ISNA(MATCH(D1360,cl_code,0)),IF(A1360="BR",ISNA(MATCH(D1360,fo_code,0)),ISNA(MATCH(D1360,p_services,0)))),IF(A1360="BL","Client inconnu",IF(A1360="BR","Fournisseur inconnu","Service inconnu")),IF(H1360="","Article manquant",IF(ISNA(MATCH(H1360,art_ref,0)),"Article inconnu",IF(OR(NOT(ISNUMBER(L1360)),N(L1360)&lt;=0),"Quantité invalide",IF(AND(K1360&lt;&gt;"",OR(NOT(ISNUMBER(K1360)),N(K1360)&lt;=0)),"Qté commandée invalide",IF(AG1360&lt;SUMPRODUCT(MAX((A$6:A1359=A1360)*AG$6:AG1359)),"Date antérieure au bon précédent",IF(AND(A1360&lt;&gt;"BR",ISNUMBER(M1360),N(M1360)&gt;0),IF(A1360="BL","Livré plus que commandé","Sorti plus que demandé"),"OK"))))))))))))</f>
        <v/>
      </c>
      <c r="Y1360" s="57" t="str">
        <f>IF(AND(OR(A1360="BL",A1360="BR",A1360="BS"),AG1360&gt;0,D1360&lt;&gt;""),A1360&amp;"|"&amp;AG1360&amp;"|"&amp;D1360&amp;"|"&amp;F1360,"")</f>
        <v/>
      </c>
      <c r="Z1360" s="57" t="str">
        <f>IF(Y1360="","",IF(COUNTIF(Y$6:Y1359,Y1360)=0,1,0))</f>
        <v/>
      </c>
      <c r="AA1360" s="57" t="str">
        <f>IF(Y1360="","",IF(Z1360=1,COUNTIFS(A$6:A1360,A1360,Z$6:Z1360,1),INDEX(AA$6:AA1359,MATCH(Y1360,Y$6:Y1359,0))))</f>
        <v/>
      </c>
      <c r="AB1360" s="57" t="str">
        <f>IF(B1360="","",COUNTIF(B$6:B1360,B1360))</f>
        <v/>
      </c>
      <c r="AC1360" s="57" t="str">
        <f>IF(B1360="","",B1360&amp;"#"&amp;AB1360)</f>
        <v/>
      </c>
      <c r="AD1360" s="57" t="str">
        <f>IF(Z1360=1,A1360&amp;AA1360,"")</f>
        <v/>
      </c>
      <c r="AE1360" s="57" t="str">
        <f>IF(B1360="","",YEAR(C1360))</f>
        <v/>
      </c>
      <c r="AF1360" s="57" t="str">
        <f>IF(B1360="","",MONTH(C1360))</f>
        <v/>
      </c>
      <c r="AG1360" s="57">
        <f>IF(ISNUMBER(C1360),C1360,0)</f>
        <v>0.0</v>
      </c>
      <c r="AH1360" s="57" t="str">
        <f>IF(N(W1360)&gt;0,COUNTIF(W$6:W1360,"&gt;0"),"")</f>
        <v/>
      </c>
      <c r="AI1360" s="57" t="str">
        <f>IF(Z1360=1,COUNTIF(Z$6:Z1360,1),"")</f>
        <v/>
      </c>
    </row>
    <row r="1361">
      <c r="A1361" s="54" t="n"/>
      <c r="B1361" s="55" t="str">
        <f>IF(AA1361="","",A1361&amp;"-"&amp;RIGHT("000"&amp;AA1361,4))</f>
        <v/>
      </c>
      <c r="C1361" s="56" t="n"/>
      <c r="D1361" s="54" t="n"/>
      <c r="E1361" s="57" t="str">
        <f>IF(D1361="","",IF(A1361="BL",IFERROR(INDEX(cl_name,MATCH(D1361,cl_code,0))&amp;"","Client inconnu"),IF(A1361="BR",IFERROR(INDEX(fo_name,MATCH(D1361,fo_code,0))&amp;"","Fournisseur inconnu"),IF(A1361="BS",IF(ISNA(MATCH(D1361,p_services,0)),"Service inconnu",D1361&amp;""),""))))</f>
        <v/>
      </c>
      <c r="F1361" s="58" t="n"/>
      <c r="G1361" s="58" t="n"/>
      <c r="H1361" s="59" t="n"/>
      <c r="I1361" s="57" t="str">
        <f>IF(H1361="","",IFERROR(INDEX(art_des,MATCH(H1361,art_ref,0))&amp;"","Article inconnu"))</f>
        <v/>
      </c>
      <c r="J1361" s="60" t="str">
        <f>IF(H1361="","",IFERROR(INDEX(art_unit,MATCH(H1361,art_ref,0))&amp;"",""))</f>
        <v/>
      </c>
      <c r="K1361" s="59" t="n"/>
      <c r="L1361" s="59" t="n"/>
      <c r="M1361" s="61" t="str">
        <f>IF(OR(B1361="",NOT(ISNUMBER(K1361)),NOT(ISNUMBER(L1361))),"",IF(OR(K1361&lt;=0,L1361&lt;=0),"",ROUND(L1361-K1361,6)))</f>
        <v/>
      </c>
      <c r="N1361" s="58" t="n"/>
      <c r="O1361" s="62" t="n"/>
      <c r="P1361" s="63" t="str">
        <f>IF(OR(B1361="",NOT(ISNUMBER(L1361))),"",IF(L1361&lt;=0,"",IFERROR(ROUND(L1361*N(INDEX(art_w,MATCH(H1361,art_ref,0))),3),"")))</f>
        <v/>
      </c>
      <c r="Q1361" s="59" t="n"/>
      <c r="R1361" s="54" t="n"/>
      <c r="S1361" s="59" t="n"/>
      <c r="T1361" s="59" t="n"/>
      <c r="U1361" s="64" t="str">
        <f>IF(OR(B1361="",H1361=""),"",IFERROR(IF(A1361="BL",IF(N(INDEX(art_price,MATCH(H1361,art_ref,0)))=0,"",N(INDEX(art_price,MATCH(H1361,art_ref,0)))),IF(N(INDEX(art_cost,MATCH(H1361,art_ref,0)))=0,"",N(INDEX(art_cost,MATCH(H1361,art_ref,0))))),""))</f>
        <v/>
      </c>
      <c r="V1361" s="64" t="str">
        <f>IF(OR(U1361="",NOT(ISNUMBER(L1361))),"",IF(L1361&lt;=0,"",ROUND(L1361*U1361,2)))</f>
        <v/>
      </c>
      <c r="W1361" s="60" t="str">
        <f>IF(AND(B1361&lt;&gt;"",A1361&lt;&gt;"BS",F1361&lt;&gt;"",H1361&lt;&gt;"",ISNUMBER(K1361),ISNUMBER(L1361)),IF(AND(K1361&gt;0,L1361&gt;0,K1361-L1361&gt;0,COUNTIFS(A1362:A$2005,A1361,F1362:F$2005,F1361,H1362:H$2005,H1361,AA1362:AA$2005,"&gt;0")=0),ROUND(K1361-L1361,6),""),"")</f>
        <v/>
      </c>
      <c r="X1361" s="60" t="str">
        <f>IF(AND(A1361="",C1361="",D1361="",H1361="",L1361=""),"",IF(A1361="","Type manquant",IF(AND(A1361&lt;&gt;"BL",A1361&lt;&gt;"BR",A1361&lt;&gt;"BS"),"Type inconnu (BL, BR ou BS)",IF(AG1361=0,"Date manquante ou invalide",IF(D1361="",IF(A1361="BL","Client manquant",IF(A1361="BR","Fournisseur manquant","Service manquant")),IF(IF(A1361="BL",ISNA(MATCH(D1361,cl_code,0)),IF(A1361="BR",ISNA(MATCH(D1361,fo_code,0)),ISNA(MATCH(D1361,p_services,0)))),IF(A1361="BL","Client inconnu",IF(A1361="BR","Fournisseur inconnu","Service inconnu")),IF(H1361="","Article manquant",IF(ISNA(MATCH(H1361,art_ref,0)),"Article inconnu",IF(OR(NOT(ISNUMBER(L1361)),N(L1361)&lt;=0),"Quantité invalide",IF(AND(K1361&lt;&gt;"",OR(NOT(ISNUMBER(K1361)),N(K1361)&lt;=0)),"Qté commandée invalide",IF(AG1361&lt;SUMPRODUCT(MAX((A$6:A1360=A1361)*AG$6:AG1360)),"Date antérieure au bon précédent",IF(AND(A1361&lt;&gt;"BR",ISNUMBER(M1361),N(M1361)&gt;0),IF(A1361="BL","Livré plus que commandé","Sorti plus que demandé"),"OK"))))))))))))</f>
        <v/>
      </c>
      <c r="Y1361" s="57" t="str">
        <f>IF(AND(OR(A1361="BL",A1361="BR",A1361="BS"),AG1361&gt;0,D1361&lt;&gt;""),A1361&amp;"|"&amp;AG1361&amp;"|"&amp;D1361&amp;"|"&amp;F1361,"")</f>
        <v/>
      </c>
      <c r="Z1361" s="57" t="str">
        <f>IF(Y1361="","",IF(COUNTIF(Y$6:Y1360,Y1361)=0,1,0))</f>
        <v/>
      </c>
      <c r="AA1361" s="57" t="str">
        <f>IF(Y1361="","",IF(Z1361=1,COUNTIFS(A$6:A1361,A1361,Z$6:Z1361,1),INDEX(AA$6:AA1360,MATCH(Y1361,Y$6:Y1360,0))))</f>
        <v/>
      </c>
      <c r="AB1361" s="57" t="str">
        <f>IF(B1361="","",COUNTIF(B$6:B1361,B1361))</f>
        <v/>
      </c>
      <c r="AC1361" s="57" t="str">
        <f>IF(B1361="","",B1361&amp;"#"&amp;AB1361)</f>
        <v/>
      </c>
      <c r="AD1361" s="57" t="str">
        <f>IF(Z1361=1,A1361&amp;AA1361,"")</f>
        <v/>
      </c>
      <c r="AE1361" s="57" t="str">
        <f>IF(B1361="","",YEAR(C1361))</f>
        <v/>
      </c>
      <c r="AF1361" s="57" t="str">
        <f>IF(B1361="","",MONTH(C1361))</f>
        <v/>
      </c>
      <c r="AG1361" s="57">
        <f>IF(ISNUMBER(C1361),C1361,0)</f>
        <v>0.0</v>
      </c>
      <c r="AH1361" s="57" t="str">
        <f>IF(N(W1361)&gt;0,COUNTIF(W$6:W1361,"&gt;0"),"")</f>
        <v/>
      </c>
      <c r="AI1361" s="57" t="str">
        <f>IF(Z1361=1,COUNTIF(Z$6:Z1361,1),"")</f>
        <v/>
      </c>
    </row>
    <row r="1362">
      <c r="A1362" s="54" t="n"/>
      <c r="B1362" s="55" t="str">
        <f>IF(AA1362="","",A1362&amp;"-"&amp;RIGHT("000"&amp;AA1362,4))</f>
        <v/>
      </c>
      <c r="C1362" s="56" t="n"/>
      <c r="D1362" s="54" t="n"/>
      <c r="E1362" s="57" t="str">
        <f>IF(D1362="","",IF(A1362="BL",IFERROR(INDEX(cl_name,MATCH(D1362,cl_code,0))&amp;"","Client inconnu"),IF(A1362="BR",IFERROR(INDEX(fo_name,MATCH(D1362,fo_code,0))&amp;"","Fournisseur inconnu"),IF(A1362="BS",IF(ISNA(MATCH(D1362,p_services,0)),"Service inconnu",D1362&amp;""),""))))</f>
        <v/>
      </c>
      <c r="F1362" s="58" t="n"/>
      <c r="G1362" s="58" t="n"/>
      <c r="H1362" s="59" t="n"/>
      <c r="I1362" s="57" t="str">
        <f>IF(H1362="","",IFERROR(INDEX(art_des,MATCH(H1362,art_ref,0))&amp;"","Article inconnu"))</f>
        <v/>
      </c>
      <c r="J1362" s="60" t="str">
        <f>IF(H1362="","",IFERROR(INDEX(art_unit,MATCH(H1362,art_ref,0))&amp;"",""))</f>
        <v/>
      </c>
      <c r="K1362" s="59" t="n"/>
      <c r="L1362" s="59" t="n"/>
      <c r="M1362" s="61" t="str">
        <f>IF(OR(B1362="",NOT(ISNUMBER(K1362)),NOT(ISNUMBER(L1362))),"",IF(OR(K1362&lt;=0,L1362&lt;=0),"",ROUND(L1362-K1362,6)))</f>
        <v/>
      </c>
      <c r="N1362" s="58" t="n"/>
      <c r="O1362" s="62" t="n"/>
      <c r="P1362" s="63" t="str">
        <f>IF(OR(B1362="",NOT(ISNUMBER(L1362))),"",IF(L1362&lt;=0,"",IFERROR(ROUND(L1362*N(INDEX(art_w,MATCH(H1362,art_ref,0))),3),"")))</f>
        <v/>
      </c>
      <c r="Q1362" s="59" t="n"/>
      <c r="R1362" s="54" t="n"/>
      <c r="S1362" s="59" t="n"/>
      <c r="T1362" s="59" t="n"/>
      <c r="U1362" s="64" t="str">
        <f>IF(OR(B1362="",H1362=""),"",IFERROR(IF(A1362="BL",IF(N(INDEX(art_price,MATCH(H1362,art_ref,0)))=0,"",N(INDEX(art_price,MATCH(H1362,art_ref,0)))),IF(N(INDEX(art_cost,MATCH(H1362,art_ref,0)))=0,"",N(INDEX(art_cost,MATCH(H1362,art_ref,0))))),""))</f>
        <v/>
      </c>
      <c r="V1362" s="64" t="str">
        <f>IF(OR(U1362="",NOT(ISNUMBER(L1362))),"",IF(L1362&lt;=0,"",ROUND(L1362*U1362,2)))</f>
        <v/>
      </c>
      <c r="W1362" s="60" t="str">
        <f>IF(AND(B1362&lt;&gt;"",A1362&lt;&gt;"BS",F1362&lt;&gt;"",H1362&lt;&gt;"",ISNUMBER(K1362),ISNUMBER(L1362)),IF(AND(K1362&gt;0,L1362&gt;0,K1362-L1362&gt;0,COUNTIFS(A1363:A$2005,A1362,F1363:F$2005,F1362,H1363:H$2005,H1362,AA1363:AA$2005,"&gt;0")=0),ROUND(K1362-L1362,6),""),"")</f>
        <v/>
      </c>
      <c r="X1362" s="60" t="str">
        <f>IF(AND(A1362="",C1362="",D1362="",H1362="",L1362=""),"",IF(A1362="","Type manquant",IF(AND(A1362&lt;&gt;"BL",A1362&lt;&gt;"BR",A1362&lt;&gt;"BS"),"Type inconnu (BL, BR ou BS)",IF(AG1362=0,"Date manquante ou invalide",IF(D1362="",IF(A1362="BL","Client manquant",IF(A1362="BR","Fournisseur manquant","Service manquant")),IF(IF(A1362="BL",ISNA(MATCH(D1362,cl_code,0)),IF(A1362="BR",ISNA(MATCH(D1362,fo_code,0)),ISNA(MATCH(D1362,p_services,0)))),IF(A1362="BL","Client inconnu",IF(A1362="BR","Fournisseur inconnu","Service inconnu")),IF(H1362="","Article manquant",IF(ISNA(MATCH(H1362,art_ref,0)),"Article inconnu",IF(OR(NOT(ISNUMBER(L1362)),N(L1362)&lt;=0),"Quantité invalide",IF(AND(K1362&lt;&gt;"",OR(NOT(ISNUMBER(K1362)),N(K1362)&lt;=0)),"Qté commandée invalide",IF(AG1362&lt;SUMPRODUCT(MAX((A$6:A1361=A1362)*AG$6:AG1361)),"Date antérieure au bon précédent",IF(AND(A1362&lt;&gt;"BR",ISNUMBER(M1362),N(M1362)&gt;0),IF(A1362="BL","Livré plus que commandé","Sorti plus que demandé"),"OK"))))))))))))</f>
        <v/>
      </c>
      <c r="Y1362" s="57" t="str">
        <f>IF(AND(OR(A1362="BL",A1362="BR",A1362="BS"),AG1362&gt;0,D1362&lt;&gt;""),A1362&amp;"|"&amp;AG1362&amp;"|"&amp;D1362&amp;"|"&amp;F1362,"")</f>
        <v/>
      </c>
      <c r="Z1362" s="57" t="str">
        <f>IF(Y1362="","",IF(COUNTIF(Y$6:Y1361,Y1362)=0,1,0))</f>
        <v/>
      </c>
      <c r="AA1362" s="57" t="str">
        <f>IF(Y1362="","",IF(Z1362=1,COUNTIFS(A$6:A1362,A1362,Z$6:Z1362,1),INDEX(AA$6:AA1361,MATCH(Y1362,Y$6:Y1361,0))))</f>
        <v/>
      </c>
      <c r="AB1362" s="57" t="str">
        <f>IF(B1362="","",COUNTIF(B$6:B1362,B1362))</f>
        <v/>
      </c>
      <c r="AC1362" s="57" t="str">
        <f>IF(B1362="","",B1362&amp;"#"&amp;AB1362)</f>
        <v/>
      </c>
      <c r="AD1362" s="57" t="str">
        <f>IF(Z1362=1,A1362&amp;AA1362,"")</f>
        <v/>
      </c>
      <c r="AE1362" s="57" t="str">
        <f>IF(B1362="","",YEAR(C1362))</f>
        <v/>
      </c>
      <c r="AF1362" s="57" t="str">
        <f>IF(B1362="","",MONTH(C1362))</f>
        <v/>
      </c>
      <c r="AG1362" s="57">
        <f>IF(ISNUMBER(C1362),C1362,0)</f>
        <v>0.0</v>
      </c>
      <c r="AH1362" s="57" t="str">
        <f>IF(N(W1362)&gt;0,COUNTIF(W$6:W1362,"&gt;0"),"")</f>
        <v/>
      </c>
      <c r="AI1362" s="57" t="str">
        <f>IF(Z1362=1,COUNTIF(Z$6:Z1362,1),"")</f>
        <v/>
      </c>
    </row>
    <row r="1363">
      <c r="A1363" s="54" t="n"/>
      <c r="B1363" s="55" t="str">
        <f>IF(AA1363="","",A1363&amp;"-"&amp;RIGHT("000"&amp;AA1363,4))</f>
        <v/>
      </c>
      <c r="C1363" s="56" t="n"/>
      <c r="D1363" s="54" t="n"/>
      <c r="E1363" s="57" t="str">
        <f>IF(D1363="","",IF(A1363="BL",IFERROR(INDEX(cl_name,MATCH(D1363,cl_code,0))&amp;"","Client inconnu"),IF(A1363="BR",IFERROR(INDEX(fo_name,MATCH(D1363,fo_code,0))&amp;"","Fournisseur inconnu"),IF(A1363="BS",IF(ISNA(MATCH(D1363,p_services,0)),"Service inconnu",D1363&amp;""),""))))</f>
        <v/>
      </c>
      <c r="F1363" s="58" t="n"/>
      <c r="G1363" s="58" t="n"/>
      <c r="H1363" s="59" t="n"/>
      <c r="I1363" s="57" t="str">
        <f>IF(H1363="","",IFERROR(INDEX(art_des,MATCH(H1363,art_ref,0))&amp;"","Article inconnu"))</f>
        <v/>
      </c>
      <c r="J1363" s="60" t="str">
        <f>IF(H1363="","",IFERROR(INDEX(art_unit,MATCH(H1363,art_ref,0))&amp;"",""))</f>
        <v/>
      </c>
      <c r="K1363" s="59" t="n"/>
      <c r="L1363" s="59" t="n"/>
      <c r="M1363" s="61" t="str">
        <f>IF(OR(B1363="",NOT(ISNUMBER(K1363)),NOT(ISNUMBER(L1363))),"",IF(OR(K1363&lt;=0,L1363&lt;=0),"",ROUND(L1363-K1363,6)))</f>
        <v/>
      </c>
      <c r="N1363" s="58" t="n"/>
      <c r="O1363" s="62" t="n"/>
      <c r="P1363" s="63" t="str">
        <f>IF(OR(B1363="",NOT(ISNUMBER(L1363))),"",IF(L1363&lt;=0,"",IFERROR(ROUND(L1363*N(INDEX(art_w,MATCH(H1363,art_ref,0))),3),"")))</f>
        <v/>
      </c>
      <c r="Q1363" s="59" t="n"/>
      <c r="R1363" s="54" t="n"/>
      <c r="S1363" s="59" t="n"/>
      <c r="T1363" s="59" t="n"/>
      <c r="U1363" s="64" t="str">
        <f>IF(OR(B1363="",H1363=""),"",IFERROR(IF(A1363="BL",IF(N(INDEX(art_price,MATCH(H1363,art_ref,0)))=0,"",N(INDEX(art_price,MATCH(H1363,art_ref,0)))),IF(N(INDEX(art_cost,MATCH(H1363,art_ref,0)))=0,"",N(INDEX(art_cost,MATCH(H1363,art_ref,0))))),""))</f>
        <v/>
      </c>
      <c r="V1363" s="64" t="str">
        <f>IF(OR(U1363="",NOT(ISNUMBER(L1363))),"",IF(L1363&lt;=0,"",ROUND(L1363*U1363,2)))</f>
        <v/>
      </c>
      <c r="W1363" s="60" t="str">
        <f>IF(AND(B1363&lt;&gt;"",A1363&lt;&gt;"BS",F1363&lt;&gt;"",H1363&lt;&gt;"",ISNUMBER(K1363),ISNUMBER(L1363)),IF(AND(K1363&gt;0,L1363&gt;0,K1363-L1363&gt;0,COUNTIFS(A1364:A$2005,A1363,F1364:F$2005,F1363,H1364:H$2005,H1363,AA1364:AA$2005,"&gt;0")=0),ROUND(K1363-L1363,6),""),"")</f>
        <v/>
      </c>
      <c r="X1363" s="60" t="str">
        <f>IF(AND(A1363="",C1363="",D1363="",H1363="",L1363=""),"",IF(A1363="","Type manquant",IF(AND(A1363&lt;&gt;"BL",A1363&lt;&gt;"BR",A1363&lt;&gt;"BS"),"Type inconnu (BL, BR ou BS)",IF(AG1363=0,"Date manquante ou invalide",IF(D1363="",IF(A1363="BL","Client manquant",IF(A1363="BR","Fournisseur manquant","Service manquant")),IF(IF(A1363="BL",ISNA(MATCH(D1363,cl_code,0)),IF(A1363="BR",ISNA(MATCH(D1363,fo_code,0)),ISNA(MATCH(D1363,p_services,0)))),IF(A1363="BL","Client inconnu",IF(A1363="BR","Fournisseur inconnu","Service inconnu")),IF(H1363="","Article manquant",IF(ISNA(MATCH(H1363,art_ref,0)),"Article inconnu",IF(OR(NOT(ISNUMBER(L1363)),N(L1363)&lt;=0),"Quantité invalide",IF(AND(K1363&lt;&gt;"",OR(NOT(ISNUMBER(K1363)),N(K1363)&lt;=0)),"Qté commandée invalide",IF(AG1363&lt;SUMPRODUCT(MAX((A$6:A1362=A1363)*AG$6:AG1362)),"Date antérieure au bon précédent",IF(AND(A1363&lt;&gt;"BR",ISNUMBER(M1363),N(M1363)&gt;0),IF(A1363="BL","Livré plus que commandé","Sorti plus que demandé"),"OK"))))))))))))</f>
        <v/>
      </c>
      <c r="Y1363" s="57" t="str">
        <f>IF(AND(OR(A1363="BL",A1363="BR",A1363="BS"),AG1363&gt;0,D1363&lt;&gt;""),A1363&amp;"|"&amp;AG1363&amp;"|"&amp;D1363&amp;"|"&amp;F1363,"")</f>
        <v/>
      </c>
      <c r="Z1363" s="57" t="str">
        <f>IF(Y1363="","",IF(COUNTIF(Y$6:Y1362,Y1363)=0,1,0))</f>
        <v/>
      </c>
      <c r="AA1363" s="57" t="str">
        <f>IF(Y1363="","",IF(Z1363=1,COUNTIFS(A$6:A1363,A1363,Z$6:Z1363,1),INDEX(AA$6:AA1362,MATCH(Y1363,Y$6:Y1362,0))))</f>
        <v/>
      </c>
      <c r="AB1363" s="57" t="str">
        <f>IF(B1363="","",COUNTIF(B$6:B1363,B1363))</f>
        <v/>
      </c>
      <c r="AC1363" s="57" t="str">
        <f>IF(B1363="","",B1363&amp;"#"&amp;AB1363)</f>
        <v/>
      </c>
      <c r="AD1363" s="57" t="str">
        <f>IF(Z1363=1,A1363&amp;AA1363,"")</f>
        <v/>
      </c>
      <c r="AE1363" s="57" t="str">
        <f>IF(B1363="","",YEAR(C1363))</f>
        <v/>
      </c>
      <c r="AF1363" s="57" t="str">
        <f>IF(B1363="","",MONTH(C1363))</f>
        <v/>
      </c>
      <c r="AG1363" s="57">
        <f>IF(ISNUMBER(C1363),C1363,0)</f>
        <v>0.0</v>
      </c>
      <c r="AH1363" s="57" t="str">
        <f>IF(N(W1363)&gt;0,COUNTIF(W$6:W1363,"&gt;0"),"")</f>
        <v/>
      </c>
      <c r="AI1363" s="57" t="str">
        <f>IF(Z1363=1,COUNTIF(Z$6:Z1363,1),"")</f>
        <v/>
      </c>
    </row>
    <row r="1364">
      <c r="A1364" s="54" t="n"/>
      <c r="B1364" s="55" t="str">
        <f>IF(AA1364="","",A1364&amp;"-"&amp;RIGHT("000"&amp;AA1364,4))</f>
        <v/>
      </c>
      <c r="C1364" s="56" t="n"/>
      <c r="D1364" s="54" t="n"/>
      <c r="E1364" s="57" t="str">
        <f>IF(D1364="","",IF(A1364="BL",IFERROR(INDEX(cl_name,MATCH(D1364,cl_code,0))&amp;"","Client inconnu"),IF(A1364="BR",IFERROR(INDEX(fo_name,MATCH(D1364,fo_code,0))&amp;"","Fournisseur inconnu"),IF(A1364="BS",IF(ISNA(MATCH(D1364,p_services,0)),"Service inconnu",D1364&amp;""),""))))</f>
        <v/>
      </c>
      <c r="F1364" s="58" t="n"/>
      <c r="G1364" s="58" t="n"/>
      <c r="H1364" s="59" t="n"/>
      <c r="I1364" s="57" t="str">
        <f>IF(H1364="","",IFERROR(INDEX(art_des,MATCH(H1364,art_ref,0))&amp;"","Article inconnu"))</f>
        <v/>
      </c>
      <c r="J1364" s="60" t="str">
        <f>IF(H1364="","",IFERROR(INDEX(art_unit,MATCH(H1364,art_ref,0))&amp;"",""))</f>
        <v/>
      </c>
      <c r="K1364" s="59" t="n"/>
      <c r="L1364" s="59" t="n"/>
      <c r="M1364" s="61" t="str">
        <f>IF(OR(B1364="",NOT(ISNUMBER(K1364)),NOT(ISNUMBER(L1364))),"",IF(OR(K1364&lt;=0,L1364&lt;=0),"",ROUND(L1364-K1364,6)))</f>
        <v/>
      </c>
      <c r="N1364" s="58" t="n"/>
      <c r="O1364" s="62" t="n"/>
      <c r="P1364" s="63" t="str">
        <f>IF(OR(B1364="",NOT(ISNUMBER(L1364))),"",IF(L1364&lt;=0,"",IFERROR(ROUND(L1364*N(INDEX(art_w,MATCH(H1364,art_ref,0))),3),"")))</f>
        <v/>
      </c>
      <c r="Q1364" s="59" t="n"/>
      <c r="R1364" s="54" t="n"/>
      <c r="S1364" s="59" t="n"/>
      <c r="T1364" s="59" t="n"/>
      <c r="U1364" s="64" t="str">
        <f>IF(OR(B1364="",H1364=""),"",IFERROR(IF(A1364="BL",IF(N(INDEX(art_price,MATCH(H1364,art_ref,0)))=0,"",N(INDEX(art_price,MATCH(H1364,art_ref,0)))),IF(N(INDEX(art_cost,MATCH(H1364,art_ref,0)))=0,"",N(INDEX(art_cost,MATCH(H1364,art_ref,0))))),""))</f>
        <v/>
      </c>
      <c r="V1364" s="64" t="str">
        <f>IF(OR(U1364="",NOT(ISNUMBER(L1364))),"",IF(L1364&lt;=0,"",ROUND(L1364*U1364,2)))</f>
        <v/>
      </c>
      <c r="W1364" s="60" t="str">
        <f>IF(AND(B1364&lt;&gt;"",A1364&lt;&gt;"BS",F1364&lt;&gt;"",H1364&lt;&gt;"",ISNUMBER(K1364),ISNUMBER(L1364)),IF(AND(K1364&gt;0,L1364&gt;0,K1364-L1364&gt;0,COUNTIFS(A1365:A$2005,A1364,F1365:F$2005,F1364,H1365:H$2005,H1364,AA1365:AA$2005,"&gt;0")=0),ROUND(K1364-L1364,6),""),"")</f>
        <v/>
      </c>
      <c r="X1364" s="60" t="str">
        <f>IF(AND(A1364="",C1364="",D1364="",H1364="",L1364=""),"",IF(A1364="","Type manquant",IF(AND(A1364&lt;&gt;"BL",A1364&lt;&gt;"BR",A1364&lt;&gt;"BS"),"Type inconnu (BL, BR ou BS)",IF(AG1364=0,"Date manquante ou invalide",IF(D1364="",IF(A1364="BL","Client manquant",IF(A1364="BR","Fournisseur manquant","Service manquant")),IF(IF(A1364="BL",ISNA(MATCH(D1364,cl_code,0)),IF(A1364="BR",ISNA(MATCH(D1364,fo_code,0)),ISNA(MATCH(D1364,p_services,0)))),IF(A1364="BL","Client inconnu",IF(A1364="BR","Fournisseur inconnu","Service inconnu")),IF(H1364="","Article manquant",IF(ISNA(MATCH(H1364,art_ref,0)),"Article inconnu",IF(OR(NOT(ISNUMBER(L1364)),N(L1364)&lt;=0),"Quantité invalide",IF(AND(K1364&lt;&gt;"",OR(NOT(ISNUMBER(K1364)),N(K1364)&lt;=0)),"Qté commandée invalide",IF(AG1364&lt;SUMPRODUCT(MAX((A$6:A1363=A1364)*AG$6:AG1363)),"Date antérieure au bon précédent",IF(AND(A1364&lt;&gt;"BR",ISNUMBER(M1364),N(M1364)&gt;0),IF(A1364="BL","Livré plus que commandé","Sorti plus que demandé"),"OK"))))))))))))</f>
        <v/>
      </c>
      <c r="Y1364" s="57" t="str">
        <f>IF(AND(OR(A1364="BL",A1364="BR",A1364="BS"),AG1364&gt;0,D1364&lt;&gt;""),A1364&amp;"|"&amp;AG1364&amp;"|"&amp;D1364&amp;"|"&amp;F1364,"")</f>
        <v/>
      </c>
      <c r="Z1364" s="57" t="str">
        <f>IF(Y1364="","",IF(COUNTIF(Y$6:Y1363,Y1364)=0,1,0))</f>
        <v/>
      </c>
      <c r="AA1364" s="57" t="str">
        <f>IF(Y1364="","",IF(Z1364=1,COUNTIFS(A$6:A1364,A1364,Z$6:Z1364,1),INDEX(AA$6:AA1363,MATCH(Y1364,Y$6:Y1363,0))))</f>
        <v/>
      </c>
      <c r="AB1364" s="57" t="str">
        <f>IF(B1364="","",COUNTIF(B$6:B1364,B1364))</f>
        <v/>
      </c>
      <c r="AC1364" s="57" t="str">
        <f>IF(B1364="","",B1364&amp;"#"&amp;AB1364)</f>
        <v/>
      </c>
      <c r="AD1364" s="57" t="str">
        <f>IF(Z1364=1,A1364&amp;AA1364,"")</f>
        <v/>
      </c>
      <c r="AE1364" s="57" t="str">
        <f>IF(B1364="","",YEAR(C1364))</f>
        <v/>
      </c>
      <c r="AF1364" s="57" t="str">
        <f>IF(B1364="","",MONTH(C1364))</f>
        <v/>
      </c>
      <c r="AG1364" s="57">
        <f>IF(ISNUMBER(C1364),C1364,0)</f>
        <v>0.0</v>
      </c>
      <c r="AH1364" s="57" t="str">
        <f>IF(N(W1364)&gt;0,COUNTIF(W$6:W1364,"&gt;0"),"")</f>
        <v/>
      </c>
      <c r="AI1364" s="57" t="str">
        <f>IF(Z1364=1,COUNTIF(Z$6:Z1364,1),"")</f>
        <v/>
      </c>
    </row>
    <row r="1365">
      <c r="A1365" s="54" t="n"/>
      <c r="B1365" s="55" t="str">
        <f>IF(AA1365="","",A1365&amp;"-"&amp;RIGHT("000"&amp;AA1365,4))</f>
        <v/>
      </c>
      <c r="C1365" s="56" t="n"/>
      <c r="D1365" s="54" t="n"/>
      <c r="E1365" s="57" t="str">
        <f>IF(D1365="","",IF(A1365="BL",IFERROR(INDEX(cl_name,MATCH(D1365,cl_code,0))&amp;"","Client inconnu"),IF(A1365="BR",IFERROR(INDEX(fo_name,MATCH(D1365,fo_code,0))&amp;"","Fournisseur inconnu"),IF(A1365="BS",IF(ISNA(MATCH(D1365,p_services,0)),"Service inconnu",D1365&amp;""),""))))</f>
        <v/>
      </c>
      <c r="F1365" s="58" t="n"/>
      <c r="G1365" s="58" t="n"/>
      <c r="H1365" s="59" t="n"/>
      <c r="I1365" s="57" t="str">
        <f>IF(H1365="","",IFERROR(INDEX(art_des,MATCH(H1365,art_ref,0))&amp;"","Article inconnu"))</f>
        <v/>
      </c>
      <c r="J1365" s="60" t="str">
        <f>IF(H1365="","",IFERROR(INDEX(art_unit,MATCH(H1365,art_ref,0))&amp;"",""))</f>
        <v/>
      </c>
      <c r="K1365" s="59" t="n"/>
      <c r="L1365" s="59" t="n"/>
      <c r="M1365" s="61" t="str">
        <f>IF(OR(B1365="",NOT(ISNUMBER(K1365)),NOT(ISNUMBER(L1365))),"",IF(OR(K1365&lt;=0,L1365&lt;=0),"",ROUND(L1365-K1365,6)))</f>
        <v/>
      </c>
      <c r="N1365" s="58" t="n"/>
      <c r="O1365" s="62" t="n"/>
      <c r="P1365" s="63" t="str">
        <f>IF(OR(B1365="",NOT(ISNUMBER(L1365))),"",IF(L1365&lt;=0,"",IFERROR(ROUND(L1365*N(INDEX(art_w,MATCH(H1365,art_ref,0))),3),"")))</f>
        <v/>
      </c>
      <c r="Q1365" s="59" t="n"/>
      <c r="R1365" s="54" t="n"/>
      <c r="S1365" s="59" t="n"/>
      <c r="T1365" s="59" t="n"/>
      <c r="U1365" s="64" t="str">
        <f>IF(OR(B1365="",H1365=""),"",IFERROR(IF(A1365="BL",IF(N(INDEX(art_price,MATCH(H1365,art_ref,0)))=0,"",N(INDEX(art_price,MATCH(H1365,art_ref,0)))),IF(N(INDEX(art_cost,MATCH(H1365,art_ref,0)))=0,"",N(INDEX(art_cost,MATCH(H1365,art_ref,0))))),""))</f>
        <v/>
      </c>
      <c r="V1365" s="64" t="str">
        <f>IF(OR(U1365="",NOT(ISNUMBER(L1365))),"",IF(L1365&lt;=0,"",ROUND(L1365*U1365,2)))</f>
        <v/>
      </c>
      <c r="W1365" s="60" t="str">
        <f>IF(AND(B1365&lt;&gt;"",A1365&lt;&gt;"BS",F1365&lt;&gt;"",H1365&lt;&gt;"",ISNUMBER(K1365),ISNUMBER(L1365)),IF(AND(K1365&gt;0,L1365&gt;0,K1365-L1365&gt;0,COUNTIFS(A1366:A$2005,A1365,F1366:F$2005,F1365,H1366:H$2005,H1365,AA1366:AA$2005,"&gt;0")=0),ROUND(K1365-L1365,6),""),"")</f>
        <v/>
      </c>
      <c r="X1365" s="60" t="str">
        <f>IF(AND(A1365="",C1365="",D1365="",H1365="",L1365=""),"",IF(A1365="","Type manquant",IF(AND(A1365&lt;&gt;"BL",A1365&lt;&gt;"BR",A1365&lt;&gt;"BS"),"Type inconnu (BL, BR ou BS)",IF(AG1365=0,"Date manquante ou invalide",IF(D1365="",IF(A1365="BL","Client manquant",IF(A1365="BR","Fournisseur manquant","Service manquant")),IF(IF(A1365="BL",ISNA(MATCH(D1365,cl_code,0)),IF(A1365="BR",ISNA(MATCH(D1365,fo_code,0)),ISNA(MATCH(D1365,p_services,0)))),IF(A1365="BL","Client inconnu",IF(A1365="BR","Fournisseur inconnu","Service inconnu")),IF(H1365="","Article manquant",IF(ISNA(MATCH(H1365,art_ref,0)),"Article inconnu",IF(OR(NOT(ISNUMBER(L1365)),N(L1365)&lt;=0),"Quantité invalide",IF(AND(K1365&lt;&gt;"",OR(NOT(ISNUMBER(K1365)),N(K1365)&lt;=0)),"Qté commandée invalide",IF(AG1365&lt;SUMPRODUCT(MAX((A$6:A1364=A1365)*AG$6:AG1364)),"Date antérieure au bon précédent",IF(AND(A1365&lt;&gt;"BR",ISNUMBER(M1365),N(M1365)&gt;0),IF(A1365="BL","Livré plus que commandé","Sorti plus que demandé"),"OK"))))))))))))</f>
        <v/>
      </c>
      <c r="Y1365" s="57" t="str">
        <f>IF(AND(OR(A1365="BL",A1365="BR",A1365="BS"),AG1365&gt;0,D1365&lt;&gt;""),A1365&amp;"|"&amp;AG1365&amp;"|"&amp;D1365&amp;"|"&amp;F1365,"")</f>
        <v/>
      </c>
      <c r="Z1365" s="57" t="str">
        <f>IF(Y1365="","",IF(COUNTIF(Y$6:Y1364,Y1365)=0,1,0))</f>
        <v/>
      </c>
      <c r="AA1365" s="57" t="str">
        <f>IF(Y1365="","",IF(Z1365=1,COUNTIFS(A$6:A1365,A1365,Z$6:Z1365,1),INDEX(AA$6:AA1364,MATCH(Y1365,Y$6:Y1364,0))))</f>
        <v/>
      </c>
      <c r="AB1365" s="57" t="str">
        <f>IF(B1365="","",COUNTIF(B$6:B1365,B1365))</f>
        <v/>
      </c>
      <c r="AC1365" s="57" t="str">
        <f>IF(B1365="","",B1365&amp;"#"&amp;AB1365)</f>
        <v/>
      </c>
      <c r="AD1365" s="57" t="str">
        <f>IF(Z1365=1,A1365&amp;AA1365,"")</f>
        <v/>
      </c>
      <c r="AE1365" s="57" t="str">
        <f>IF(B1365="","",YEAR(C1365))</f>
        <v/>
      </c>
      <c r="AF1365" s="57" t="str">
        <f>IF(B1365="","",MONTH(C1365))</f>
        <v/>
      </c>
      <c r="AG1365" s="57">
        <f>IF(ISNUMBER(C1365),C1365,0)</f>
        <v>0.0</v>
      </c>
      <c r="AH1365" s="57" t="str">
        <f>IF(N(W1365)&gt;0,COUNTIF(W$6:W1365,"&gt;0"),"")</f>
        <v/>
      </c>
      <c r="AI1365" s="57" t="str">
        <f>IF(Z1365=1,COUNTIF(Z$6:Z1365,1),"")</f>
        <v/>
      </c>
    </row>
    <row r="1366">
      <c r="A1366" s="54" t="n"/>
      <c r="B1366" s="55" t="str">
        <f>IF(AA1366="","",A1366&amp;"-"&amp;RIGHT("000"&amp;AA1366,4))</f>
        <v/>
      </c>
      <c r="C1366" s="56" t="n"/>
      <c r="D1366" s="54" t="n"/>
      <c r="E1366" s="57" t="str">
        <f>IF(D1366="","",IF(A1366="BL",IFERROR(INDEX(cl_name,MATCH(D1366,cl_code,0))&amp;"","Client inconnu"),IF(A1366="BR",IFERROR(INDEX(fo_name,MATCH(D1366,fo_code,0))&amp;"","Fournisseur inconnu"),IF(A1366="BS",IF(ISNA(MATCH(D1366,p_services,0)),"Service inconnu",D1366&amp;""),""))))</f>
        <v/>
      </c>
      <c r="F1366" s="58" t="n"/>
      <c r="G1366" s="58" t="n"/>
      <c r="H1366" s="59" t="n"/>
      <c r="I1366" s="57" t="str">
        <f>IF(H1366="","",IFERROR(INDEX(art_des,MATCH(H1366,art_ref,0))&amp;"","Article inconnu"))</f>
        <v/>
      </c>
      <c r="J1366" s="60" t="str">
        <f>IF(H1366="","",IFERROR(INDEX(art_unit,MATCH(H1366,art_ref,0))&amp;"",""))</f>
        <v/>
      </c>
      <c r="K1366" s="59" t="n"/>
      <c r="L1366" s="59" t="n"/>
      <c r="M1366" s="61" t="str">
        <f>IF(OR(B1366="",NOT(ISNUMBER(K1366)),NOT(ISNUMBER(L1366))),"",IF(OR(K1366&lt;=0,L1366&lt;=0),"",ROUND(L1366-K1366,6)))</f>
        <v/>
      </c>
      <c r="N1366" s="58" t="n"/>
      <c r="O1366" s="62" t="n"/>
      <c r="P1366" s="63" t="str">
        <f>IF(OR(B1366="",NOT(ISNUMBER(L1366))),"",IF(L1366&lt;=0,"",IFERROR(ROUND(L1366*N(INDEX(art_w,MATCH(H1366,art_ref,0))),3),"")))</f>
        <v/>
      </c>
      <c r="Q1366" s="59" t="n"/>
      <c r="R1366" s="54" t="n"/>
      <c r="S1366" s="59" t="n"/>
      <c r="T1366" s="59" t="n"/>
      <c r="U1366" s="64" t="str">
        <f>IF(OR(B1366="",H1366=""),"",IFERROR(IF(A1366="BL",IF(N(INDEX(art_price,MATCH(H1366,art_ref,0)))=0,"",N(INDEX(art_price,MATCH(H1366,art_ref,0)))),IF(N(INDEX(art_cost,MATCH(H1366,art_ref,0)))=0,"",N(INDEX(art_cost,MATCH(H1366,art_ref,0))))),""))</f>
        <v/>
      </c>
      <c r="V1366" s="64" t="str">
        <f>IF(OR(U1366="",NOT(ISNUMBER(L1366))),"",IF(L1366&lt;=0,"",ROUND(L1366*U1366,2)))</f>
        <v/>
      </c>
      <c r="W1366" s="60" t="str">
        <f>IF(AND(B1366&lt;&gt;"",A1366&lt;&gt;"BS",F1366&lt;&gt;"",H1366&lt;&gt;"",ISNUMBER(K1366),ISNUMBER(L1366)),IF(AND(K1366&gt;0,L1366&gt;0,K1366-L1366&gt;0,COUNTIFS(A1367:A$2005,A1366,F1367:F$2005,F1366,H1367:H$2005,H1366,AA1367:AA$2005,"&gt;0")=0),ROUND(K1366-L1366,6),""),"")</f>
        <v/>
      </c>
      <c r="X1366" s="60" t="str">
        <f>IF(AND(A1366="",C1366="",D1366="",H1366="",L1366=""),"",IF(A1366="","Type manquant",IF(AND(A1366&lt;&gt;"BL",A1366&lt;&gt;"BR",A1366&lt;&gt;"BS"),"Type inconnu (BL, BR ou BS)",IF(AG1366=0,"Date manquante ou invalide",IF(D1366="",IF(A1366="BL","Client manquant",IF(A1366="BR","Fournisseur manquant","Service manquant")),IF(IF(A1366="BL",ISNA(MATCH(D1366,cl_code,0)),IF(A1366="BR",ISNA(MATCH(D1366,fo_code,0)),ISNA(MATCH(D1366,p_services,0)))),IF(A1366="BL","Client inconnu",IF(A1366="BR","Fournisseur inconnu","Service inconnu")),IF(H1366="","Article manquant",IF(ISNA(MATCH(H1366,art_ref,0)),"Article inconnu",IF(OR(NOT(ISNUMBER(L1366)),N(L1366)&lt;=0),"Quantité invalide",IF(AND(K1366&lt;&gt;"",OR(NOT(ISNUMBER(K1366)),N(K1366)&lt;=0)),"Qté commandée invalide",IF(AG1366&lt;SUMPRODUCT(MAX((A$6:A1365=A1366)*AG$6:AG1365)),"Date antérieure au bon précédent",IF(AND(A1366&lt;&gt;"BR",ISNUMBER(M1366),N(M1366)&gt;0),IF(A1366="BL","Livré plus que commandé","Sorti plus que demandé"),"OK"))))))))))))</f>
        <v/>
      </c>
      <c r="Y1366" s="57" t="str">
        <f>IF(AND(OR(A1366="BL",A1366="BR",A1366="BS"),AG1366&gt;0,D1366&lt;&gt;""),A1366&amp;"|"&amp;AG1366&amp;"|"&amp;D1366&amp;"|"&amp;F1366,"")</f>
        <v/>
      </c>
      <c r="Z1366" s="57" t="str">
        <f>IF(Y1366="","",IF(COUNTIF(Y$6:Y1365,Y1366)=0,1,0))</f>
        <v/>
      </c>
      <c r="AA1366" s="57" t="str">
        <f>IF(Y1366="","",IF(Z1366=1,COUNTIFS(A$6:A1366,A1366,Z$6:Z1366,1),INDEX(AA$6:AA1365,MATCH(Y1366,Y$6:Y1365,0))))</f>
        <v/>
      </c>
      <c r="AB1366" s="57" t="str">
        <f>IF(B1366="","",COUNTIF(B$6:B1366,B1366))</f>
        <v/>
      </c>
      <c r="AC1366" s="57" t="str">
        <f>IF(B1366="","",B1366&amp;"#"&amp;AB1366)</f>
        <v/>
      </c>
      <c r="AD1366" s="57" t="str">
        <f>IF(Z1366=1,A1366&amp;AA1366,"")</f>
        <v/>
      </c>
      <c r="AE1366" s="57" t="str">
        <f>IF(B1366="","",YEAR(C1366))</f>
        <v/>
      </c>
      <c r="AF1366" s="57" t="str">
        <f>IF(B1366="","",MONTH(C1366))</f>
        <v/>
      </c>
      <c r="AG1366" s="57">
        <f>IF(ISNUMBER(C1366),C1366,0)</f>
        <v>0.0</v>
      </c>
      <c r="AH1366" s="57" t="str">
        <f>IF(N(W1366)&gt;0,COUNTIF(W$6:W1366,"&gt;0"),"")</f>
        <v/>
      </c>
      <c r="AI1366" s="57" t="str">
        <f>IF(Z1366=1,COUNTIF(Z$6:Z1366,1),"")</f>
        <v/>
      </c>
    </row>
    <row r="1367">
      <c r="A1367" s="54" t="n"/>
      <c r="B1367" s="55" t="str">
        <f>IF(AA1367="","",A1367&amp;"-"&amp;RIGHT("000"&amp;AA1367,4))</f>
        <v/>
      </c>
      <c r="C1367" s="56" t="n"/>
      <c r="D1367" s="54" t="n"/>
      <c r="E1367" s="57" t="str">
        <f>IF(D1367="","",IF(A1367="BL",IFERROR(INDEX(cl_name,MATCH(D1367,cl_code,0))&amp;"","Client inconnu"),IF(A1367="BR",IFERROR(INDEX(fo_name,MATCH(D1367,fo_code,0))&amp;"","Fournisseur inconnu"),IF(A1367="BS",IF(ISNA(MATCH(D1367,p_services,0)),"Service inconnu",D1367&amp;""),""))))</f>
        <v/>
      </c>
      <c r="F1367" s="58" t="n"/>
      <c r="G1367" s="58" t="n"/>
      <c r="H1367" s="59" t="n"/>
      <c r="I1367" s="57" t="str">
        <f>IF(H1367="","",IFERROR(INDEX(art_des,MATCH(H1367,art_ref,0))&amp;"","Article inconnu"))</f>
        <v/>
      </c>
      <c r="J1367" s="60" t="str">
        <f>IF(H1367="","",IFERROR(INDEX(art_unit,MATCH(H1367,art_ref,0))&amp;"",""))</f>
        <v/>
      </c>
      <c r="K1367" s="59" t="n"/>
      <c r="L1367" s="59" t="n"/>
      <c r="M1367" s="61" t="str">
        <f>IF(OR(B1367="",NOT(ISNUMBER(K1367)),NOT(ISNUMBER(L1367))),"",IF(OR(K1367&lt;=0,L1367&lt;=0),"",ROUND(L1367-K1367,6)))</f>
        <v/>
      </c>
      <c r="N1367" s="58" t="n"/>
      <c r="O1367" s="62" t="n"/>
      <c r="P1367" s="63" t="str">
        <f>IF(OR(B1367="",NOT(ISNUMBER(L1367))),"",IF(L1367&lt;=0,"",IFERROR(ROUND(L1367*N(INDEX(art_w,MATCH(H1367,art_ref,0))),3),"")))</f>
        <v/>
      </c>
      <c r="Q1367" s="59" t="n"/>
      <c r="R1367" s="54" t="n"/>
      <c r="S1367" s="59" t="n"/>
      <c r="T1367" s="59" t="n"/>
      <c r="U1367" s="64" t="str">
        <f>IF(OR(B1367="",H1367=""),"",IFERROR(IF(A1367="BL",IF(N(INDEX(art_price,MATCH(H1367,art_ref,0)))=0,"",N(INDEX(art_price,MATCH(H1367,art_ref,0)))),IF(N(INDEX(art_cost,MATCH(H1367,art_ref,0)))=0,"",N(INDEX(art_cost,MATCH(H1367,art_ref,0))))),""))</f>
        <v/>
      </c>
      <c r="V1367" s="64" t="str">
        <f>IF(OR(U1367="",NOT(ISNUMBER(L1367))),"",IF(L1367&lt;=0,"",ROUND(L1367*U1367,2)))</f>
        <v/>
      </c>
      <c r="W1367" s="60" t="str">
        <f>IF(AND(B1367&lt;&gt;"",A1367&lt;&gt;"BS",F1367&lt;&gt;"",H1367&lt;&gt;"",ISNUMBER(K1367),ISNUMBER(L1367)),IF(AND(K1367&gt;0,L1367&gt;0,K1367-L1367&gt;0,COUNTIFS(A1368:A$2005,A1367,F1368:F$2005,F1367,H1368:H$2005,H1367,AA1368:AA$2005,"&gt;0")=0),ROUND(K1367-L1367,6),""),"")</f>
        <v/>
      </c>
      <c r="X1367" s="60" t="str">
        <f>IF(AND(A1367="",C1367="",D1367="",H1367="",L1367=""),"",IF(A1367="","Type manquant",IF(AND(A1367&lt;&gt;"BL",A1367&lt;&gt;"BR",A1367&lt;&gt;"BS"),"Type inconnu (BL, BR ou BS)",IF(AG1367=0,"Date manquante ou invalide",IF(D1367="",IF(A1367="BL","Client manquant",IF(A1367="BR","Fournisseur manquant","Service manquant")),IF(IF(A1367="BL",ISNA(MATCH(D1367,cl_code,0)),IF(A1367="BR",ISNA(MATCH(D1367,fo_code,0)),ISNA(MATCH(D1367,p_services,0)))),IF(A1367="BL","Client inconnu",IF(A1367="BR","Fournisseur inconnu","Service inconnu")),IF(H1367="","Article manquant",IF(ISNA(MATCH(H1367,art_ref,0)),"Article inconnu",IF(OR(NOT(ISNUMBER(L1367)),N(L1367)&lt;=0),"Quantité invalide",IF(AND(K1367&lt;&gt;"",OR(NOT(ISNUMBER(K1367)),N(K1367)&lt;=0)),"Qté commandée invalide",IF(AG1367&lt;SUMPRODUCT(MAX((A$6:A1366=A1367)*AG$6:AG1366)),"Date antérieure au bon précédent",IF(AND(A1367&lt;&gt;"BR",ISNUMBER(M1367),N(M1367)&gt;0),IF(A1367="BL","Livré plus que commandé","Sorti plus que demandé"),"OK"))))))))))))</f>
        <v/>
      </c>
      <c r="Y1367" s="57" t="str">
        <f>IF(AND(OR(A1367="BL",A1367="BR",A1367="BS"),AG1367&gt;0,D1367&lt;&gt;""),A1367&amp;"|"&amp;AG1367&amp;"|"&amp;D1367&amp;"|"&amp;F1367,"")</f>
        <v/>
      </c>
      <c r="Z1367" s="57" t="str">
        <f>IF(Y1367="","",IF(COUNTIF(Y$6:Y1366,Y1367)=0,1,0))</f>
        <v/>
      </c>
      <c r="AA1367" s="57" t="str">
        <f>IF(Y1367="","",IF(Z1367=1,COUNTIFS(A$6:A1367,A1367,Z$6:Z1367,1),INDEX(AA$6:AA1366,MATCH(Y1367,Y$6:Y1366,0))))</f>
        <v/>
      </c>
      <c r="AB1367" s="57" t="str">
        <f>IF(B1367="","",COUNTIF(B$6:B1367,B1367))</f>
        <v/>
      </c>
      <c r="AC1367" s="57" t="str">
        <f>IF(B1367="","",B1367&amp;"#"&amp;AB1367)</f>
        <v/>
      </c>
      <c r="AD1367" s="57" t="str">
        <f>IF(Z1367=1,A1367&amp;AA1367,"")</f>
        <v/>
      </c>
      <c r="AE1367" s="57" t="str">
        <f>IF(B1367="","",YEAR(C1367))</f>
        <v/>
      </c>
      <c r="AF1367" s="57" t="str">
        <f>IF(B1367="","",MONTH(C1367))</f>
        <v/>
      </c>
      <c r="AG1367" s="57">
        <f>IF(ISNUMBER(C1367),C1367,0)</f>
        <v>0.0</v>
      </c>
      <c r="AH1367" s="57" t="str">
        <f>IF(N(W1367)&gt;0,COUNTIF(W$6:W1367,"&gt;0"),"")</f>
        <v/>
      </c>
      <c r="AI1367" s="57" t="str">
        <f>IF(Z1367=1,COUNTIF(Z$6:Z1367,1),"")</f>
        <v/>
      </c>
    </row>
    <row r="1368">
      <c r="A1368" s="54" t="n"/>
      <c r="B1368" s="55" t="str">
        <f>IF(AA1368="","",A1368&amp;"-"&amp;RIGHT("000"&amp;AA1368,4))</f>
        <v/>
      </c>
      <c r="C1368" s="56" t="n"/>
      <c r="D1368" s="54" t="n"/>
      <c r="E1368" s="57" t="str">
        <f>IF(D1368="","",IF(A1368="BL",IFERROR(INDEX(cl_name,MATCH(D1368,cl_code,0))&amp;"","Client inconnu"),IF(A1368="BR",IFERROR(INDEX(fo_name,MATCH(D1368,fo_code,0))&amp;"","Fournisseur inconnu"),IF(A1368="BS",IF(ISNA(MATCH(D1368,p_services,0)),"Service inconnu",D1368&amp;""),""))))</f>
        <v/>
      </c>
      <c r="F1368" s="58" t="n"/>
      <c r="G1368" s="58" t="n"/>
      <c r="H1368" s="59" t="n"/>
      <c r="I1368" s="57" t="str">
        <f>IF(H1368="","",IFERROR(INDEX(art_des,MATCH(H1368,art_ref,0))&amp;"","Article inconnu"))</f>
        <v/>
      </c>
      <c r="J1368" s="60" t="str">
        <f>IF(H1368="","",IFERROR(INDEX(art_unit,MATCH(H1368,art_ref,0))&amp;"",""))</f>
        <v/>
      </c>
      <c r="K1368" s="59" t="n"/>
      <c r="L1368" s="59" t="n"/>
      <c r="M1368" s="61" t="str">
        <f>IF(OR(B1368="",NOT(ISNUMBER(K1368)),NOT(ISNUMBER(L1368))),"",IF(OR(K1368&lt;=0,L1368&lt;=0),"",ROUND(L1368-K1368,6)))</f>
        <v/>
      </c>
      <c r="N1368" s="58" t="n"/>
      <c r="O1368" s="62" t="n"/>
      <c r="P1368" s="63" t="str">
        <f>IF(OR(B1368="",NOT(ISNUMBER(L1368))),"",IF(L1368&lt;=0,"",IFERROR(ROUND(L1368*N(INDEX(art_w,MATCH(H1368,art_ref,0))),3),"")))</f>
        <v/>
      </c>
      <c r="Q1368" s="59" t="n"/>
      <c r="R1368" s="54" t="n"/>
      <c r="S1368" s="59" t="n"/>
      <c r="T1368" s="59" t="n"/>
      <c r="U1368" s="64" t="str">
        <f>IF(OR(B1368="",H1368=""),"",IFERROR(IF(A1368="BL",IF(N(INDEX(art_price,MATCH(H1368,art_ref,0)))=0,"",N(INDEX(art_price,MATCH(H1368,art_ref,0)))),IF(N(INDEX(art_cost,MATCH(H1368,art_ref,0)))=0,"",N(INDEX(art_cost,MATCH(H1368,art_ref,0))))),""))</f>
        <v/>
      </c>
      <c r="V1368" s="64" t="str">
        <f>IF(OR(U1368="",NOT(ISNUMBER(L1368))),"",IF(L1368&lt;=0,"",ROUND(L1368*U1368,2)))</f>
        <v/>
      </c>
      <c r="W1368" s="60" t="str">
        <f>IF(AND(B1368&lt;&gt;"",A1368&lt;&gt;"BS",F1368&lt;&gt;"",H1368&lt;&gt;"",ISNUMBER(K1368),ISNUMBER(L1368)),IF(AND(K1368&gt;0,L1368&gt;0,K1368-L1368&gt;0,COUNTIFS(A1369:A$2005,A1368,F1369:F$2005,F1368,H1369:H$2005,H1368,AA1369:AA$2005,"&gt;0")=0),ROUND(K1368-L1368,6),""),"")</f>
        <v/>
      </c>
      <c r="X1368" s="60" t="str">
        <f>IF(AND(A1368="",C1368="",D1368="",H1368="",L1368=""),"",IF(A1368="","Type manquant",IF(AND(A1368&lt;&gt;"BL",A1368&lt;&gt;"BR",A1368&lt;&gt;"BS"),"Type inconnu (BL, BR ou BS)",IF(AG1368=0,"Date manquante ou invalide",IF(D1368="",IF(A1368="BL","Client manquant",IF(A1368="BR","Fournisseur manquant","Service manquant")),IF(IF(A1368="BL",ISNA(MATCH(D1368,cl_code,0)),IF(A1368="BR",ISNA(MATCH(D1368,fo_code,0)),ISNA(MATCH(D1368,p_services,0)))),IF(A1368="BL","Client inconnu",IF(A1368="BR","Fournisseur inconnu","Service inconnu")),IF(H1368="","Article manquant",IF(ISNA(MATCH(H1368,art_ref,0)),"Article inconnu",IF(OR(NOT(ISNUMBER(L1368)),N(L1368)&lt;=0),"Quantité invalide",IF(AND(K1368&lt;&gt;"",OR(NOT(ISNUMBER(K1368)),N(K1368)&lt;=0)),"Qté commandée invalide",IF(AG1368&lt;SUMPRODUCT(MAX((A$6:A1367=A1368)*AG$6:AG1367)),"Date antérieure au bon précédent",IF(AND(A1368&lt;&gt;"BR",ISNUMBER(M1368),N(M1368)&gt;0),IF(A1368="BL","Livré plus que commandé","Sorti plus que demandé"),"OK"))))))))))))</f>
        <v/>
      </c>
      <c r="Y1368" s="57" t="str">
        <f>IF(AND(OR(A1368="BL",A1368="BR",A1368="BS"),AG1368&gt;0,D1368&lt;&gt;""),A1368&amp;"|"&amp;AG1368&amp;"|"&amp;D1368&amp;"|"&amp;F1368,"")</f>
        <v/>
      </c>
      <c r="Z1368" s="57" t="str">
        <f>IF(Y1368="","",IF(COUNTIF(Y$6:Y1367,Y1368)=0,1,0))</f>
        <v/>
      </c>
      <c r="AA1368" s="57" t="str">
        <f>IF(Y1368="","",IF(Z1368=1,COUNTIFS(A$6:A1368,A1368,Z$6:Z1368,1),INDEX(AA$6:AA1367,MATCH(Y1368,Y$6:Y1367,0))))</f>
        <v/>
      </c>
      <c r="AB1368" s="57" t="str">
        <f>IF(B1368="","",COUNTIF(B$6:B1368,B1368))</f>
        <v/>
      </c>
      <c r="AC1368" s="57" t="str">
        <f>IF(B1368="","",B1368&amp;"#"&amp;AB1368)</f>
        <v/>
      </c>
      <c r="AD1368" s="57" t="str">
        <f>IF(Z1368=1,A1368&amp;AA1368,"")</f>
        <v/>
      </c>
      <c r="AE1368" s="57" t="str">
        <f>IF(B1368="","",YEAR(C1368))</f>
        <v/>
      </c>
      <c r="AF1368" s="57" t="str">
        <f>IF(B1368="","",MONTH(C1368))</f>
        <v/>
      </c>
      <c r="AG1368" s="57">
        <f>IF(ISNUMBER(C1368),C1368,0)</f>
        <v>0.0</v>
      </c>
      <c r="AH1368" s="57" t="str">
        <f>IF(N(W1368)&gt;0,COUNTIF(W$6:W1368,"&gt;0"),"")</f>
        <v/>
      </c>
      <c r="AI1368" s="57" t="str">
        <f>IF(Z1368=1,COUNTIF(Z$6:Z1368,1),"")</f>
        <v/>
      </c>
    </row>
    <row r="1369">
      <c r="A1369" s="54" t="n"/>
      <c r="B1369" s="55" t="str">
        <f>IF(AA1369="","",A1369&amp;"-"&amp;RIGHT("000"&amp;AA1369,4))</f>
        <v/>
      </c>
      <c r="C1369" s="56" t="n"/>
      <c r="D1369" s="54" t="n"/>
      <c r="E1369" s="57" t="str">
        <f>IF(D1369="","",IF(A1369="BL",IFERROR(INDEX(cl_name,MATCH(D1369,cl_code,0))&amp;"","Client inconnu"),IF(A1369="BR",IFERROR(INDEX(fo_name,MATCH(D1369,fo_code,0))&amp;"","Fournisseur inconnu"),IF(A1369="BS",IF(ISNA(MATCH(D1369,p_services,0)),"Service inconnu",D1369&amp;""),""))))</f>
        <v/>
      </c>
      <c r="F1369" s="58" t="n"/>
      <c r="G1369" s="58" t="n"/>
      <c r="H1369" s="59" t="n"/>
      <c r="I1369" s="57" t="str">
        <f>IF(H1369="","",IFERROR(INDEX(art_des,MATCH(H1369,art_ref,0))&amp;"","Article inconnu"))</f>
        <v/>
      </c>
      <c r="J1369" s="60" t="str">
        <f>IF(H1369="","",IFERROR(INDEX(art_unit,MATCH(H1369,art_ref,0))&amp;"",""))</f>
        <v/>
      </c>
      <c r="K1369" s="59" t="n"/>
      <c r="L1369" s="59" t="n"/>
      <c r="M1369" s="61" t="str">
        <f>IF(OR(B1369="",NOT(ISNUMBER(K1369)),NOT(ISNUMBER(L1369))),"",IF(OR(K1369&lt;=0,L1369&lt;=0),"",ROUND(L1369-K1369,6)))</f>
        <v/>
      </c>
      <c r="N1369" s="58" t="n"/>
      <c r="O1369" s="62" t="n"/>
      <c r="P1369" s="63" t="str">
        <f>IF(OR(B1369="",NOT(ISNUMBER(L1369))),"",IF(L1369&lt;=0,"",IFERROR(ROUND(L1369*N(INDEX(art_w,MATCH(H1369,art_ref,0))),3),"")))</f>
        <v/>
      </c>
      <c r="Q1369" s="59" t="n"/>
      <c r="R1369" s="54" t="n"/>
      <c r="S1369" s="59" t="n"/>
      <c r="T1369" s="59" t="n"/>
      <c r="U1369" s="64" t="str">
        <f>IF(OR(B1369="",H1369=""),"",IFERROR(IF(A1369="BL",IF(N(INDEX(art_price,MATCH(H1369,art_ref,0)))=0,"",N(INDEX(art_price,MATCH(H1369,art_ref,0)))),IF(N(INDEX(art_cost,MATCH(H1369,art_ref,0)))=0,"",N(INDEX(art_cost,MATCH(H1369,art_ref,0))))),""))</f>
        <v/>
      </c>
      <c r="V1369" s="64" t="str">
        <f>IF(OR(U1369="",NOT(ISNUMBER(L1369))),"",IF(L1369&lt;=0,"",ROUND(L1369*U1369,2)))</f>
        <v/>
      </c>
      <c r="W1369" s="60" t="str">
        <f>IF(AND(B1369&lt;&gt;"",A1369&lt;&gt;"BS",F1369&lt;&gt;"",H1369&lt;&gt;"",ISNUMBER(K1369),ISNUMBER(L1369)),IF(AND(K1369&gt;0,L1369&gt;0,K1369-L1369&gt;0,COUNTIFS(A1370:A$2005,A1369,F1370:F$2005,F1369,H1370:H$2005,H1369,AA1370:AA$2005,"&gt;0")=0),ROUND(K1369-L1369,6),""),"")</f>
        <v/>
      </c>
      <c r="X1369" s="60" t="str">
        <f>IF(AND(A1369="",C1369="",D1369="",H1369="",L1369=""),"",IF(A1369="","Type manquant",IF(AND(A1369&lt;&gt;"BL",A1369&lt;&gt;"BR",A1369&lt;&gt;"BS"),"Type inconnu (BL, BR ou BS)",IF(AG1369=0,"Date manquante ou invalide",IF(D1369="",IF(A1369="BL","Client manquant",IF(A1369="BR","Fournisseur manquant","Service manquant")),IF(IF(A1369="BL",ISNA(MATCH(D1369,cl_code,0)),IF(A1369="BR",ISNA(MATCH(D1369,fo_code,0)),ISNA(MATCH(D1369,p_services,0)))),IF(A1369="BL","Client inconnu",IF(A1369="BR","Fournisseur inconnu","Service inconnu")),IF(H1369="","Article manquant",IF(ISNA(MATCH(H1369,art_ref,0)),"Article inconnu",IF(OR(NOT(ISNUMBER(L1369)),N(L1369)&lt;=0),"Quantité invalide",IF(AND(K1369&lt;&gt;"",OR(NOT(ISNUMBER(K1369)),N(K1369)&lt;=0)),"Qté commandée invalide",IF(AG1369&lt;SUMPRODUCT(MAX((A$6:A1368=A1369)*AG$6:AG1368)),"Date antérieure au bon précédent",IF(AND(A1369&lt;&gt;"BR",ISNUMBER(M1369),N(M1369)&gt;0),IF(A1369="BL","Livré plus que commandé","Sorti plus que demandé"),"OK"))))))))))))</f>
        <v/>
      </c>
      <c r="Y1369" s="57" t="str">
        <f>IF(AND(OR(A1369="BL",A1369="BR",A1369="BS"),AG1369&gt;0,D1369&lt;&gt;""),A1369&amp;"|"&amp;AG1369&amp;"|"&amp;D1369&amp;"|"&amp;F1369,"")</f>
        <v/>
      </c>
      <c r="Z1369" s="57" t="str">
        <f>IF(Y1369="","",IF(COUNTIF(Y$6:Y1368,Y1369)=0,1,0))</f>
        <v/>
      </c>
      <c r="AA1369" s="57" t="str">
        <f>IF(Y1369="","",IF(Z1369=1,COUNTIFS(A$6:A1369,A1369,Z$6:Z1369,1),INDEX(AA$6:AA1368,MATCH(Y1369,Y$6:Y1368,0))))</f>
        <v/>
      </c>
      <c r="AB1369" s="57" t="str">
        <f>IF(B1369="","",COUNTIF(B$6:B1369,B1369))</f>
        <v/>
      </c>
      <c r="AC1369" s="57" t="str">
        <f>IF(B1369="","",B1369&amp;"#"&amp;AB1369)</f>
        <v/>
      </c>
      <c r="AD1369" s="57" t="str">
        <f>IF(Z1369=1,A1369&amp;AA1369,"")</f>
        <v/>
      </c>
      <c r="AE1369" s="57" t="str">
        <f>IF(B1369="","",YEAR(C1369))</f>
        <v/>
      </c>
      <c r="AF1369" s="57" t="str">
        <f>IF(B1369="","",MONTH(C1369))</f>
        <v/>
      </c>
      <c r="AG1369" s="57">
        <f>IF(ISNUMBER(C1369),C1369,0)</f>
        <v>0.0</v>
      </c>
      <c r="AH1369" s="57" t="str">
        <f>IF(N(W1369)&gt;0,COUNTIF(W$6:W1369,"&gt;0"),"")</f>
        <v/>
      </c>
      <c r="AI1369" s="57" t="str">
        <f>IF(Z1369=1,COUNTIF(Z$6:Z1369,1),"")</f>
        <v/>
      </c>
    </row>
    <row r="1370">
      <c r="A1370" s="54" t="n"/>
      <c r="B1370" s="55" t="str">
        <f>IF(AA1370="","",A1370&amp;"-"&amp;RIGHT("000"&amp;AA1370,4))</f>
        <v/>
      </c>
      <c r="C1370" s="56" t="n"/>
      <c r="D1370" s="54" t="n"/>
      <c r="E1370" s="57" t="str">
        <f>IF(D1370="","",IF(A1370="BL",IFERROR(INDEX(cl_name,MATCH(D1370,cl_code,0))&amp;"","Client inconnu"),IF(A1370="BR",IFERROR(INDEX(fo_name,MATCH(D1370,fo_code,0))&amp;"","Fournisseur inconnu"),IF(A1370="BS",IF(ISNA(MATCH(D1370,p_services,0)),"Service inconnu",D1370&amp;""),""))))</f>
        <v/>
      </c>
      <c r="F1370" s="58" t="n"/>
      <c r="G1370" s="58" t="n"/>
      <c r="H1370" s="59" t="n"/>
      <c r="I1370" s="57" t="str">
        <f>IF(H1370="","",IFERROR(INDEX(art_des,MATCH(H1370,art_ref,0))&amp;"","Article inconnu"))</f>
        <v/>
      </c>
      <c r="J1370" s="60" t="str">
        <f>IF(H1370="","",IFERROR(INDEX(art_unit,MATCH(H1370,art_ref,0))&amp;"",""))</f>
        <v/>
      </c>
      <c r="K1370" s="59" t="n"/>
      <c r="L1370" s="59" t="n"/>
      <c r="M1370" s="61" t="str">
        <f>IF(OR(B1370="",NOT(ISNUMBER(K1370)),NOT(ISNUMBER(L1370))),"",IF(OR(K1370&lt;=0,L1370&lt;=0),"",ROUND(L1370-K1370,6)))</f>
        <v/>
      </c>
      <c r="N1370" s="58" t="n"/>
      <c r="O1370" s="62" t="n"/>
      <c r="P1370" s="63" t="str">
        <f>IF(OR(B1370="",NOT(ISNUMBER(L1370))),"",IF(L1370&lt;=0,"",IFERROR(ROUND(L1370*N(INDEX(art_w,MATCH(H1370,art_ref,0))),3),"")))</f>
        <v/>
      </c>
      <c r="Q1370" s="59" t="n"/>
      <c r="R1370" s="54" t="n"/>
      <c r="S1370" s="59" t="n"/>
      <c r="T1370" s="59" t="n"/>
      <c r="U1370" s="64" t="str">
        <f>IF(OR(B1370="",H1370=""),"",IFERROR(IF(A1370="BL",IF(N(INDEX(art_price,MATCH(H1370,art_ref,0)))=0,"",N(INDEX(art_price,MATCH(H1370,art_ref,0)))),IF(N(INDEX(art_cost,MATCH(H1370,art_ref,0)))=0,"",N(INDEX(art_cost,MATCH(H1370,art_ref,0))))),""))</f>
        <v/>
      </c>
      <c r="V1370" s="64" t="str">
        <f>IF(OR(U1370="",NOT(ISNUMBER(L1370))),"",IF(L1370&lt;=0,"",ROUND(L1370*U1370,2)))</f>
        <v/>
      </c>
      <c r="W1370" s="60" t="str">
        <f>IF(AND(B1370&lt;&gt;"",A1370&lt;&gt;"BS",F1370&lt;&gt;"",H1370&lt;&gt;"",ISNUMBER(K1370),ISNUMBER(L1370)),IF(AND(K1370&gt;0,L1370&gt;0,K1370-L1370&gt;0,COUNTIFS(A1371:A$2005,A1370,F1371:F$2005,F1370,H1371:H$2005,H1370,AA1371:AA$2005,"&gt;0")=0),ROUND(K1370-L1370,6),""),"")</f>
        <v/>
      </c>
      <c r="X1370" s="60" t="str">
        <f>IF(AND(A1370="",C1370="",D1370="",H1370="",L1370=""),"",IF(A1370="","Type manquant",IF(AND(A1370&lt;&gt;"BL",A1370&lt;&gt;"BR",A1370&lt;&gt;"BS"),"Type inconnu (BL, BR ou BS)",IF(AG1370=0,"Date manquante ou invalide",IF(D1370="",IF(A1370="BL","Client manquant",IF(A1370="BR","Fournisseur manquant","Service manquant")),IF(IF(A1370="BL",ISNA(MATCH(D1370,cl_code,0)),IF(A1370="BR",ISNA(MATCH(D1370,fo_code,0)),ISNA(MATCH(D1370,p_services,0)))),IF(A1370="BL","Client inconnu",IF(A1370="BR","Fournisseur inconnu","Service inconnu")),IF(H1370="","Article manquant",IF(ISNA(MATCH(H1370,art_ref,0)),"Article inconnu",IF(OR(NOT(ISNUMBER(L1370)),N(L1370)&lt;=0),"Quantité invalide",IF(AND(K1370&lt;&gt;"",OR(NOT(ISNUMBER(K1370)),N(K1370)&lt;=0)),"Qté commandée invalide",IF(AG1370&lt;SUMPRODUCT(MAX((A$6:A1369=A1370)*AG$6:AG1369)),"Date antérieure au bon précédent",IF(AND(A1370&lt;&gt;"BR",ISNUMBER(M1370),N(M1370)&gt;0),IF(A1370="BL","Livré plus que commandé","Sorti plus que demandé"),"OK"))))))))))))</f>
        <v/>
      </c>
      <c r="Y1370" s="57" t="str">
        <f>IF(AND(OR(A1370="BL",A1370="BR",A1370="BS"),AG1370&gt;0,D1370&lt;&gt;""),A1370&amp;"|"&amp;AG1370&amp;"|"&amp;D1370&amp;"|"&amp;F1370,"")</f>
        <v/>
      </c>
      <c r="Z1370" s="57" t="str">
        <f>IF(Y1370="","",IF(COUNTIF(Y$6:Y1369,Y1370)=0,1,0))</f>
        <v/>
      </c>
      <c r="AA1370" s="57" t="str">
        <f>IF(Y1370="","",IF(Z1370=1,COUNTIFS(A$6:A1370,A1370,Z$6:Z1370,1),INDEX(AA$6:AA1369,MATCH(Y1370,Y$6:Y1369,0))))</f>
        <v/>
      </c>
      <c r="AB1370" s="57" t="str">
        <f>IF(B1370="","",COUNTIF(B$6:B1370,B1370))</f>
        <v/>
      </c>
      <c r="AC1370" s="57" t="str">
        <f>IF(B1370="","",B1370&amp;"#"&amp;AB1370)</f>
        <v/>
      </c>
      <c r="AD1370" s="57" t="str">
        <f>IF(Z1370=1,A1370&amp;AA1370,"")</f>
        <v/>
      </c>
      <c r="AE1370" s="57" t="str">
        <f>IF(B1370="","",YEAR(C1370))</f>
        <v/>
      </c>
      <c r="AF1370" s="57" t="str">
        <f>IF(B1370="","",MONTH(C1370))</f>
        <v/>
      </c>
      <c r="AG1370" s="57">
        <f>IF(ISNUMBER(C1370),C1370,0)</f>
        <v>0.0</v>
      </c>
      <c r="AH1370" s="57" t="str">
        <f>IF(N(W1370)&gt;0,COUNTIF(W$6:W1370,"&gt;0"),"")</f>
        <v/>
      </c>
      <c r="AI1370" s="57" t="str">
        <f>IF(Z1370=1,COUNTIF(Z$6:Z1370,1),"")</f>
        <v/>
      </c>
    </row>
    <row r="1371">
      <c r="A1371" s="54" t="n"/>
      <c r="B1371" s="55" t="str">
        <f>IF(AA1371="","",A1371&amp;"-"&amp;RIGHT("000"&amp;AA1371,4))</f>
        <v/>
      </c>
      <c r="C1371" s="56" t="n"/>
      <c r="D1371" s="54" t="n"/>
      <c r="E1371" s="57" t="str">
        <f>IF(D1371="","",IF(A1371="BL",IFERROR(INDEX(cl_name,MATCH(D1371,cl_code,0))&amp;"","Client inconnu"),IF(A1371="BR",IFERROR(INDEX(fo_name,MATCH(D1371,fo_code,0))&amp;"","Fournisseur inconnu"),IF(A1371="BS",IF(ISNA(MATCH(D1371,p_services,0)),"Service inconnu",D1371&amp;""),""))))</f>
        <v/>
      </c>
      <c r="F1371" s="58" t="n"/>
      <c r="G1371" s="58" t="n"/>
      <c r="H1371" s="59" t="n"/>
      <c r="I1371" s="57" t="str">
        <f>IF(H1371="","",IFERROR(INDEX(art_des,MATCH(H1371,art_ref,0))&amp;"","Article inconnu"))</f>
        <v/>
      </c>
      <c r="J1371" s="60" t="str">
        <f>IF(H1371="","",IFERROR(INDEX(art_unit,MATCH(H1371,art_ref,0))&amp;"",""))</f>
        <v/>
      </c>
      <c r="K1371" s="59" t="n"/>
      <c r="L1371" s="59" t="n"/>
      <c r="M1371" s="61" t="str">
        <f>IF(OR(B1371="",NOT(ISNUMBER(K1371)),NOT(ISNUMBER(L1371))),"",IF(OR(K1371&lt;=0,L1371&lt;=0),"",ROUND(L1371-K1371,6)))</f>
        <v/>
      </c>
      <c r="N1371" s="58" t="n"/>
      <c r="O1371" s="62" t="n"/>
      <c r="P1371" s="63" t="str">
        <f>IF(OR(B1371="",NOT(ISNUMBER(L1371))),"",IF(L1371&lt;=0,"",IFERROR(ROUND(L1371*N(INDEX(art_w,MATCH(H1371,art_ref,0))),3),"")))</f>
        <v/>
      </c>
      <c r="Q1371" s="59" t="n"/>
      <c r="R1371" s="54" t="n"/>
      <c r="S1371" s="59" t="n"/>
      <c r="T1371" s="59" t="n"/>
      <c r="U1371" s="64" t="str">
        <f>IF(OR(B1371="",H1371=""),"",IFERROR(IF(A1371="BL",IF(N(INDEX(art_price,MATCH(H1371,art_ref,0)))=0,"",N(INDEX(art_price,MATCH(H1371,art_ref,0)))),IF(N(INDEX(art_cost,MATCH(H1371,art_ref,0)))=0,"",N(INDEX(art_cost,MATCH(H1371,art_ref,0))))),""))</f>
        <v/>
      </c>
      <c r="V1371" s="64" t="str">
        <f>IF(OR(U1371="",NOT(ISNUMBER(L1371))),"",IF(L1371&lt;=0,"",ROUND(L1371*U1371,2)))</f>
        <v/>
      </c>
      <c r="W1371" s="60" t="str">
        <f>IF(AND(B1371&lt;&gt;"",A1371&lt;&gt;"BS",F1371&lt;&gt;"",H1371&lt;&gt;"",ISNUMBER(K1371),ISNUMBER(L1371)),IF(AND(K1371&gt;0,L1371&gt;0,K1371-L1371&gt;0,COUNTIFS(A1372:A$2005,A1371,F1372:F$2005,F1371,H1372:H$2005,H1371,AA1372:AA$2005,"&gt;0")=0),ROUND(K1371-L1371,6),""),"")</f>
        <v/>
      </c>
      <c r="X1371" s="60" t="str">
        <f>IF(AND(A1371="",C1371="",D1371="",H1371="",L1371=""),"",IF(A1371="","Type manquant",IF(AND(A1371&lt;&gt;"BL",A1371&lt;&gt;"BR",A1371&lt;&gt;"BS"),"Type inconnu (BL, BR ou BS)",IF(AG1371=0,"Date manquante ou invalide",IF(D1371="",IF(A1371="BL","Client manquant",IF(A1371="BR","Fournisseur manquant","Service manquant")),IF(IF(A1371="BL",ISNA(MATCH(D1371,cl_code,0)),IF(A1371="BR",ISNA(MATCH(D1371,fo_code,0)),ISNA(MATCH(D1371,p_services,0)))),IF(A1371="BL","Client inconnu",IF(A1371="BR","Fournisseur inconnu","Service inconnu")),IF(H1371="","Article manquant",IF(ISNA(MATCH(H1371,art_ref,0)),"Article inconnu",IF(OR(NOT(ISNUMBER(L1371)),N(L1371)&lt;=0),"Quantité invalide",IF(AND(K1371&lt;&gt;"",OR(NOT(ISNUMBER(K1371)),N(K1371)&lt;=0)),"Qté commandée invalide",IF(AG1371&lt;SUMPRODUCT(MAX((A$6:A1370=A1371)*AG$6:AG1370)),"Date antérieure au bon précédent",IF(AND(A1371&lt;&gt;"BR",ISNUMBER(M1371),N(M1371)&gt;0),IF(A1371="BL","Livré plus que commandé","Sorti plus que demandé"),"OK"))))))))))))</f>
        <v/>
      </c>
      <c r="Y1371" s="57" t="str">
        <f>IF(AND(OR(A1371="BL",A1371="BR",A1371="BS"),AG1371&gt;0,D1371&lt;&gt;""),A1371&amp;"|"&amp;AG1371&amp;"|"&amp;D1371&amp;"|"&amp;F1371,"")</f>
        <v/>
      </c>
      <c r="Z1371" s="57" t="str">
        <f>IF(Y1371="","",IF(COUNTIF(Y$6:Y1370,Y1371)=0,1,0))</f>
        <v/>
      </c>
      <c r="AA1371" s="57" t="str">
        <f>IF(Y1371="","",IF(Z1371=1,COUNTIFS(A$6:A1371,A1371,Z$6:Z1371,1),INDEX(AA$6:AA1370,MATCH(Y1371,Y$6:Y1370,0))))</f>
        <v/>
      </c>
      <c r="AB1371" s="57" t="str">
        <f>IF(B1371="","",COUNTIF(B$6:B1371,B1371))</f>
        <v/>
      </c>
      <c r="AC1371" s="57" t="str">
        <f>IF(B1371="","",B1371&amp;"#"&amp;AB1371)</f>
        <v/>
      </c>
      <c r="AD1371" s="57" t="str">
        <f>IF(Z1371=1,A1371&amp;AA1371,"")</f>
        <v/>
      </c>
      <c r="AE1371" s="57" t="str">
        <f>IF(B1371="","",YEAR(C1371))</f>
        <v/>
      </c>
      <c r="AF1371" s="57" t="str">
        <f>IF(B1371="","",MONTH(C1371))</f>
        <v/>
      </c>
      <c r="AG1371" s="57">
        <f>IF(ISNUMBER(C1371),C1371,0)</f>
        <v>0.0</v>
      </c>
      <c r="AH1371" s="57" t="str">
        <f>IF(N(W1371)&gt;0,COUNTIF(W$6:W1371,"&gt;0"),"")</f>
        <v/>
      </c>
      <c r="AI1371" s="57" t="str">
        <f>IF(Z1371=1,COUNTIF(Z$6:Z1371,1),"")</f>
        <v/>
      </c>
    </row>
    <row r="1372">
      <c r="A1372" s="54" t="n"/>
      <c r="B1372" s="55" t="str">
        <f>IF(AA1372="","",A1372&amp;"-"&amp;RIGHT("000"&amp;AA1372,4))</f>
        <v/>
      </c>
      <c r="C1372" s="56" t="n"/>
      <c r="D1372" s="54" t="n"/>
      <c r="E1372" s="57" t="str">
        <f>IF(D1372="","",IF(A1372="BL",IFERROR(INDEX(cl_name,MATCH(D1372,cl_code,0))&amp;"","Client inconnu"),IF(A1372="BR",IFERROR(INDEX(fo_name,MATCH(D1372,fo_code,0))&amp;"","Fournisseur inconnu"),IF(A1372="BS",IF(ISNA(MATCH(D1372,p_services,0)),"Service inconnu",D1372&amp;""),""))))</f>
        <v/>
      </c>
      <c r="F1372" s="58" t="n"/>
      <c r="G1372" s="58" t="n"/>
      <c r="H1372" s="59" t="n"/>
      <c r="I1372" s="57" t="str">
        <f>IF(H1372="","",IFERROR(INDEX(art_des,MATCH(H1372,art_ref,0))&amp;"","Article inconnu"))</f>
        <v/>
      </c>
      <c r="J1372" s="60" t="str">
        <f>IF(H1372="","",IFERROR(INDEX(art_unit,MATCH(H1372,art_ref,0))&amp;"",""))</f>
        <v/>
      </c>
      <c r="K1372" s="59" t="n"/>
      <c r="L1372" s="59" t="n"/>
      <c r="M1372" s="61" t="str">
        <f>IF(OR(B1372="",NOT(ISNUMBER(K1372)),NOT(ISNUMBER(L1372))),"",IF(OR(K1372&lt;=0,L1372&lt;=0),"",ROUND(L1372-K1372,6)))</f>
        <v/>
      </c>
      <c r="N1372" s="58" t="n"/>
      <c r="O1372" s="62" t="n"/>
      <c r="P1372" s="63" t="str">
        <f>IF(OR(B1372="",NOT(ISNUMBER(L1372))),"",IF(L1372&lt;=0,"",IFERROR(ROUND(L1372*N(INDEX(art_w,MATCH(H1372,art_ref,0))),3),"")))</f>
        <v/>
      </c>
      <c r="Q1372" s="59" t="n"/>
      <c r="R1372" s="54" t="n"/>
      <c r="S1372" s="59" t="n"/>
      <c r="T1372" s="59" t="n"/>
      <c r="U1372" s="64" t="str">
        <f>IF(OR(B1372="",H1372=""),"",IFERROR(IF(A1372="BL",IF(N(INDEX(art_price,MATCH(H1372,art_ref,0)))=0,"",N(INDEX(art_price,MATCH(H1372,art_ref,0)))),IF(N(INDEX(art_cost,MATCH(H1372,art_ref,0)))=0,"",N(INDEX(art_cost,MATCH(H1372,art_ref,0))))),""))</f>
        <v/>
      </c>
      <c r="V1372" s="64" t="str">
        <f>IF(OR(U1372="",NOT(ISNUMBER(L1372))),"",IF(L1372&lt;=0,"",ROUND(L1372*U1372,2)))</f>
        <v/>
      </c>
      <c r="W1372" s="60" t="str">
        <f>IF(AND(B1372&lt;&gt;"",A1372&lt;&gt;"BS",F1372&lt;&gt;"",H1372&lt;&gt;"",ISNUMBER(K1372),ISNUMBER(L1372)),IF(AND(K1372&gt;0,L1372&gt;0,K1372-L1372&gt;0,COUNTIFS(A1373:A$2005,A1372,F1373:F$2005,F1372,H1373:H$2005,H1372,AA1373:AA$2005,"&gt;0")=0),ROUND(K1372-L1372,6),""),"")</f>
        <v/>
      </c>
      <c r="X1372" s="60" t="str">
        <f>IF(AND(A1372="",C1372="",D1372="",H1372="",L1372=""),"",IF(A1372="","Type manquant",IF(AND(A1372&lt;&gt;"BL",A1372&lt;&gt;"BR",A1372&lt;&gt;"BS"),"Type inconnu (BL, BR ou BS)",IF(AG1372=0,"Date manquante ou invalide",IF(D1372="",IF(A1372="BL","Client manquant",IF(A1372="BR","Fournisseur manquant","Service manquant")),IF(IF(A1372="BL",ISNA(MATCH(D1372,cl_code,0)),IF(A1372="BR",ISNA(MATCH(D1372,fo_code,0)),ISNA(MATCH(D1372,p_services,0)))),IF(A1372="BL","Client inconnu",IF(A1372="BR","Fournisseur inconnu","Service inconnu")),IF(H1372="","Article manquant",IF(ISNA(MATCH(H1372,art_ref,0)),"Article inconnu",IF(OR(NOT(ISNUMBER(L1372)),N(L1372)&lt;=0),"Quantité invalide",IF(AND(K1372&lt;&gt;"",OR(NOT(ISNUMBER(K1372)),N(K1372)&lt;=0)),"Qté commandée invalide",IF(AG1372&lt;SUMPRODUCT(MAX((A$6:A1371=A1372)*AG$6:AG1371)),"Date antérieure au bon précédent",IF(AND(A1372&lt;&gt;"BR",ISNUMBER(M1372),N(M1372)&gt;0),IF(A1372="BL","Livré plus que commandé","Sorti plus que demandé"),"OK"))))))))))))</f>
        <v/>
      </c>
      <c r="Y1372" s="57" t="str">
        <f>IF(AND(OR(A1372="BL",A1372="BR",A1372="BS"),AG1372&gt;0,D1372&lt;&gt;""),A1372&amp;"|"&amp;AG1372&amp;"|"&amp;D1372&amp;"|"&amp;F1372,"")</f>
        <v/>
      </c>
      <c r="Z1372" s="57" t="str">
        <f>IF(Y1372="","",IF(COUNTIF(Y$6:Y1371,Y1372)=0,1,0))</f>
        <v/>
      </c>
      <c r="AA1372" s="57" t="str">
        <f>IF(Y1372="","",IF(Z1372=1,COUNTIFS(A$6:A1372,A1372,Z$6:Z1372,1),INDEX(AA$6:AA1371,MATCH(Y1372,Y$6:Y1371,0))))</f>
        <v/>
      </c>
      <c r="AB1372" s="57" t="str">
        <f>IF(B1372="","",COUNTIF(B$6:B1372,B1372))</f>
        <v/>
      </c>
      <c r="AC1372" s="57" t="str">
        <f>IF(B1372="","",B1372&amp;"#"&amp;AB1372)</f>
        <v/>
      </c>
      <c r="AD1372" s="57" t="str">
        <f>IF(Z1372=1,A1372&amp;AA1372,"")</f>
        <v/>
      </c>
      <c r="AE1372" s="57" t="str">
        <f>IF(B1372="","",YEAR(C1372))</f>
        <v/>
      </c>
      <c r="AF1372" s="57" t="str">
        <f>IF(B1372="","",MONTH(C1372))</f>
        <v/>
      </c>
      <c r="AG1372" s="57">
        <f>IF(ISNUMBER(C1372),C1372,0)</f>
        <v>0.0</v>
      </c>
      <c r="AH1372" s="57" t="str">
        <f>IF(N(W1372)&gt;0,COUNTIF(W$6:W1372,"&gt;0"),"")</f>
        <v/>
      </c>
      <c r="AI1372" s="57" t="str">
        <f>IF(Z1372=1,COUNTIF(Z$6:Z1372,1),"")</f>
        <v/>
      </c>
    </row>
    <row r="1373">
      <c r="A1373" s="54" t="n"/>
      <c r="B1373" s="55" t="str">
        <f>IF(AA1373="","",A1373&amp;"-"&amp;RIGHT("000"&amp;AA1373,4))</f>
        <v/>
      </c>
      <c r="C1373" s="56" t="n"/>
      <c r="D1373" s="54" t="n"/>
      <c r="E1373" s="57" t="str">
        <f>IF(D1373="","",IF(A1373="BL",IFERROR(INDEX(cl_name,MATCH(D1373,cl_code,0))&amp;"","Client inconnu"),IF(A1373="BR",IFERROR(INDEX(fo_name,MATCH(D1373,fo_code,0))&amp;"","Fournisseur inconnu"),IF(A1373="BS",IF(ISNA(MATCH(D1373,p_services,0)),"Service inconnu",D1373&amp;""),""))))</f>
        <v/>
      </c>
      <c r="F1373" s="58" t="n"/>
      <c r="G1373" s="58" t="n"/>
      <c r="H1373" s="59" t="n"/>
      <c r="I1373" s="57" t="str">
        <f>IF(H1373="","",IFERROR(INDEX(art_des,MATCH(H1373,art_ref,0))&amp;"","Article inconnu"))</f>
        <v/>
      </c>
      <c r="J1373" s="60" t="str">
        <f>IF(H1373="","",IFERROR(INDEX(art_unit,MATCH(H1373,art_ref,0))&amp;"",""))</f>
        <v/>
      </c>
      <c r="K1373" s="59" t="n"/>
      <c r="L1373" s="59" t="n"/>
      <c r="M1373" s="61" t="str">
        <f>IF(OR(B1373="",NOT(ISNUMBER(K1373)),NOT(ISNUMBER(L1373))),"",IF(OR(K1373&lt;=0,L1373&lt;=0),"",ROUND(L1373-K1373,6)))</f>
        <v/>
      </c>
      <c r="N1373" s="58" t="n"/>
      <c r="O1373" s="62" t="n"/>
      <c r="P1373" s="63" t="str">
        <f>IF(OR(B1373="",NOT(ISNUMBER(L1373))),"",IF(L1373&lt;=0,"",IFERROR(ROUND(L1373*N(INDEX(art_w,MATCH(H1373,art_ref,0))),3),"")))</f>
        <v/>
      </c>
      <c r="Q1373" s="59" t="n"/>
      <c r="R1373" s="54" t="n"/>
      <c r="S1373" s="59" t="n"/>
      <c r="T1373" s="59" t="n"/>
      <c r="U1373" s="64" t="str">
        <f>IF(OR(B1373="",H1373=""),"",IFERROR(IF(A1373="BL",IF(N(INDEX(art_price,MATCH(H1373,art_ref,0)))=0,"",N(INDEX(art_price,MATCH(H1373,art_ref,0)))),IF(N(INDEX(art_cost,MATCH(H1373,art_ref,0)))=0,"",N(INDEX(art_cost,MATCH(H1373,art_ref,0))))),""))</f>
        <v/>
      </c>
      <c r="V1373" s="64" t="str">
        <f>IF(OR(U1373="",NOT(ISNUMBER(L1373))),"",IF(L1373&lt;=0,"",ROUND(L1373*U1373,2)))</f>
        <v/>
      </c>
      <c r="W1373" s="60" t="str">
        <f>IF(AND(B1373&lt;&gt;"",A1373&lt;&gt;"BS",F1373&lt;&gt;"",H1373&lt;&gt;"",ISNUMBER(K1373),ISNUMBER(L1373)),IF(AND(K1373&gt;0,L1373&gt;0,K1373-L1373&gt;0,COUNTIFS(A1374:A$2005,A1373,F1374:F$2005,F1373,H1374:H$2005,H1373,AA1374:AA$2005,"&gt;0")=0),ROUND(K1373-L1373,6),""),"")</f>
        <v/>
      </c>
      <c r="X1373" s="60" t="str">
        <f>IF(AND(A1373="",C1373="",D1373="",H1373="",L1373=""),"",IF(A1373="","Type manquant",IF(AND(A1373&lt;&gt;"BL",A1373&lt;&gt;"BR",A1373&lt;&gt;"BS"),"Type inconnu (BL, BR ou BS)",IF(AG1373=0,"Date manquante ou invalide",IF(D1373="",IF(A1373="BL","Client manquant",IF(A1373="BR","Fournisseur manquant","Service manquant")),IF(IF(A1373="BL",ISNA(MATCH(D1373,cl_code,0)),IF(A1373="BR",ISNA(MATCH(D1373,fo_code,0)),ISNA(MATCH(D1373,p_services,0)))),IF(A1373="BL","Client inconnu",IF(A1373="BR","Fournisseur inconnu","Service inconnu")),IF(H1373="","Article manquant",IF(ISNA(MATCH(H1373,art_ref,0)),"Article inconnu",IF(OR(NOT(ISNUMBER(L1373)),N(L1373)&lt;=0),"Quantité invalide",IF(AND(K1373&lt;&gt;"",OR(NOT(ISNUMBER(K1373)),N(K1373)&lt;=0)),"Qté commandée invalide",IF(AG1373&lt;SUMPRODUCT(MAX((A$6:A1372=A1373)*AG$6:AG1372)),"Date antérieure au bon précédent",IF(AND(A1373&lt;&gt;"BR",ISNUMBER(M1373),N(M1373)&gt;0),IF(A1373="BL","Livré plus que commandé","Sorti plus que demandé"),"OK"))))))))))))</f>
        <v/>
      </c>
      <c r="Y1373" s="57" t="str">
        <f>IF(AND(OR(A1373="BL",A1373="BR",A1373="BS"),AG1373&gt;0,D1373&lt;&gt;""),A1373&amp;"|"&amp;AG1373&amp;"|"&amp;D1373&amp;"|"&amp;F1373,"")</f>
        <v/>
      </c>
      <c r="Z1373" s="57" t="str">
        <f>IF(Y1373="","",IF(COUNTIF(Y$6:Y1372,Y1373)=0,1,0))</f>
        <v/>
      </c>
      <c r="AA1373" s="57" t="str">
        <f>IF(Y1373="","",IF(Z1373=1,COUNTIFS(A$6:A1373,A1373,Z$6:Z1373,1),INDEX(AA$6:AA1372,MATCH(Y1373,Y$6:Y1372,0))))</f>
        <v/>
      </c>
      <c r="AB1373" s="57" t="str">
        <f>IF(B1373="","",COUNTIF(B$6:B1373,B1373))</f>
        <v/>
      </c>
      <c r="AC1373" s="57" t="str">
        <f>IF(B1373="","",B1373&amp;"#"&amp;AB1373)</f>
        <v/>
      </c>
      <c r="AD1373" s="57" t="str">
        <f>IF(Z1373=1,A1373&amp;AA1373,"")</f>
        <v/>
      </c>
      <c r="AE1373" s="57" t="str">
        <f>IF(B1373="","",YEAR(C1373))</f>
        <v/>
      </c>
      <c r="AF1373" s="57" t="str">
        <f>IF(B1373="","",MONTH(C1373))</f>
        <v/>
      </c>
      <c r="AG1373" s="57">
        <f>IF(ISNUMBER(C1373),C1373,0)</f>
        <v>0.0</v>
      </c>
      <c r="AH1373" s="57" t="str">
        <f>IF(N(W1373)&gt;0,COUNTIF(W$6:W1373,"&gt;0"),"")</f>
        <v/>
      </c>
      <c r="AI1373" s="57" t="str">
        <f>IF(Z1373=1,COUNTIF(Z$6:Z1373,1),"")</f>
        <v/>
      </c>
    </row>
    <row r="1374">
      <c r="A1374" s="54" t="n"/>
      <c r="B1374" s="55" t="str">
        <f>IF(AA1374="","",A1374&amp;"-"&amp;RIGHT("000"&amp;AA1374,4))</f>
        <v/>
      </c>
      <c r="C1374" s="56" t="n"/>
      <c r="D1374" s="54" t="n"/>
      <c r="E1374" s="57" t="str">
        <f>IF(D1374="","",IF(A1374="BL",IFERROR(INDEX(cl_name,MATCH(D1374,cl_code,0))&amp;"","Client inconnu"),IF(A1374="BR",IFERROR(INDEX(fo_name,MATCH(D1374,fo_code,0))&amp;"","Fournisseur inconnu"),IF(A1374="BS",IF(ISNA(MATCH(D1374,p_services,0)),"Service inconnu",D1374&amp;""),""))))</f>
        <v/>
      </c>
      <c r="F1374" s="58" t="n"/>
      <c r="G1374" s="58" t="n"/>
      <c r="H1374" s="59" t="n"/>
      <c r="I1374" s="57" t="str">
        <f>IF(H1374="","",IFERROR(INDEX(art_des,MATCH(H1374,art_ref,0))&amp;"","Article inconnu"))</f>
        <v/>
      </c>
      <c r="J1374" s="60" t="str">
        <f>IF(H1374="","",IFERROR(INDEX(art_unit,MATCH(H1374,art_ref,0))&amp;"",""))</f>
        <v/>
      </c>
      <c r="K1374" s="59" t="n"/>
      <c r="L1374" s="59" t="n"/>
      <c r="M1374" s="61" t="str">
        <f>IF(OR(B1374="",NOT(ISNUMBER(K1374)),NOT(ISNUMBER(L1374))),"",IF(OR(K1374&lt;=0,L1374&lt;=0),"",ROUND(L1374-K1374,6)))</f>
        <v/>
      </c>
      <c r="N1374" s="58" t="n"/>
      <c r="O1374" s="62" t="n"/>
      <c r="P1374" s="63" t="str">
        <f>IF(OR(B1374="",NOT(ISNUMBER(L1374))),"",IF(L1374&lt;=0,"",IFERROR(ROUND(L1374*N(INDEX(art_w,MATCH(H1374,art_ref,0))),3),"")))</f>
        <v/>
      </c>
      <c r="Q1374" s="59" t="n"/>
      <c r="R1374" s="54" t="n"/>
      <c r="S1374" s="59" t="n"/>
      <c r="T1374" s="59" t="n"/>
      <c r="U1374" s="64" t="str">
        <f>IF(OR(B1374="",H1374=""),"",IFERROR(IF(A1374="BL",IF(N(INDEX(art_price,MATCH(H1374,art_ref,0)))=0,"",N(INDEX(art_price,MATCH(H1374,art_ref,0)))),IF(N(INDEX(art_cost,MATCH(H1374,art_ref,0)))=0,"",N(INDEX(art_cost,MATCH(H1374,art_ref,0))))),""))</f>
        <v/>
      </c>
      <c r="V1374" s="64" t="str">
        <f>IF(OR(U1374="",NOT(ISNUMBER(L1374))),"",IF(L1374&lt;=0,"",ROUND(L1374*U1374,2)))</f>
        <v/>
      </c>
      <c r="W1374" s="60" t="str">
        <f>IF(AND(B1374&lt;&gt;"",A1374&lt;&gt;"BS",F1374&lt;&gt;"",H1374&lt;&gt;"",ISNUMBER(K1374),ISNUMBER(L1374)),IF(AND(K1374&gt;0,L1374&gt;0,K1374-L1374&gt;0,COUNTIFS(A1375:A$2005,A1374,F1375:F$2005,F1374,H1375:H$2005,H1374,AA1375:AA$2005,"&gt;0")=0),ROUND(K1374-L1374,6),""),"")</f>
        <v/>
      </c>
      <c r="X1374" s="60" t="str">
        <f>IF(AND(A1374="",C1374="",D1374="",H1374="",L1374=""),"",IF(A1374="","Type manquant",IF(AND(A1374&lt;&gt;"BL",A1374&lt;&gt;"BR",A1374&lt;&gt;"BS"),"Type inconnu (BL, BR ou BS)",IF(AG1374=0,"Date manquante ou invalide",IF(D1374="",IF(A1374="BL","Client manquant",IF(A1374="BR","Fournisseur manquant","Service manquant")),IF(IF(A1374="BL",ISNA(MATCH(D1374,cl_code,0)),IF(A1374="BR",ISNA(MATCH(D1374,fo_code,0)),ISNA(MATCH(D1374,p_services,0)))),IF(A1374="BL","Client inconnu",IF(A1374="BR","Fournisseur inconnu","Service inconnu")),IF(H1374="","Article manquant",IF(ISNA(MATCH(H1374,art_ref,0)),"Article inconnu",IF(OR(NOT(ISNUMBER(L1374)),N(L1374)&lt;=0),"Quantité invalide",IF(AND(K1374&lt;&gt;"",OR(NOT(ISNUMBER(K1374)),N(K1374)&lt;=0)),"Qté commandée invalide",IF(AG1374&lt;SUMPRODUCT(MAX((A$6:A1373=A1374)*AG$6:AG1373)),"Date antérieure au bon précédent",IF(AND(A1374&lt;&gt;"BR",ISNUMBER(M1374),N(M1374)&gt;0),IF(A1374="BL","Livré plus que commandé","Sorti plus que demandé"),"OK"))))))))))))</f>
        <v/>
      </c>
      <c r="Y1374" s="57" t="str">
        <f>IF(AND(OR(A1374="BL",A1374="BR",A1374="BS"),AG1374&gt;0,D1374&lt;&gt;""),A1374&amp;"|"&amp;AG1374&amp;"|"&amp;D1374&amp;"|"&amp;F1374,"")</f>
        <v/>
      </c>
      <c r="Z1374" s="57" t="str">
        <f>IF(Y1374="","",IF(COUNTIF(Y$6:Y1373,Y1374)=0,1,0))</f>
        <v/>
      </c>
      <c r="AA1374" s="57" t="str">
        <f>IF(Y1374="","",IF(Z1374=1,COUNTIFS(A$6:A1374,A1374,Z$6:Z1374,1),INDEX(AA$6:AA1373,MATCH(Y1374,Y$6:Y1373,0))))</f>
        <v/>
      </c>
      <c r="AB1374" s="57" t="str">
        <f>IF(B1374="","",COUNTIF(B$6:B1374,B1374))</f>
        <v/>
      </c>
      <c r="AC1374" s="57" t="str">
        <f>IF(B1374="","",B1374&amp;"#"&amp;AB1374)</f>
        <v/>
      </c>
      <c r="AD1374" s="57" t="str">
        <f>IF(Z1374=1,A1374&amp;AA1374,"")</f>
        <v/>
      </c>
      <c r="AE1374" s="57" t="str">
        <f>IF(B1374="","",YEAR(C1374))</f>
        <v/>
      </c>
      <c r="AF1374" s="57" t="str">
        <f>IF(B1374="","",MONTH(C1374))</f>
        <v/>
      </c>
      <c r="AG1374" s="57">
        <f>IF(ISNUMBER(C1374),C1374,0)</f>
        <v>0.0</v>
      </c>
      <c r="AH1374" s="57" t="str">
        <f>IF(N(W1374)&gt;0,COUNTIF(W$6:W1374,"&gt;0"),"")</f>
        <v/>
      </c>
      <c r="AI1374" s="57" t="str">
        <f>IF(Z1374=1,COUNTIF(Z$6:Z1374,1),"")</f>
        <v/>
      </c>
    </row>
    <row r="1375">
      <c r="A1375" s="54" t="n"/>
      <c r="B1375" s="55" t="str">
        <f>IF(AA1375="","",A1375&amp;"-"&amp;RIGHT("000"&amp;AA1375,4))</f>
        <v/>
      </c>
      <c r="C1375" s="56" t="n"/>
      <c r="D1375" s="54" t="n"/>
      <c r="E1375" s="57" t="str">
        <f>IF(D1375="","",IF(A1375="BL",IFERROR(INDEX(cl_name,MATCH(D1375,cl_code,0))&amp;"","Client inconnu"),IF(A1375="BR",IFERROR(INDEX(fo_name,MATCH(D1375,fo_code,0))&amp;"","Fournisseur inconnu"),IF(A1375="BS",IF(ISNA(MATCH(D1375,p_services,0)),"Service inconnu",D1375&amp;""),""))))</f>
        <v/>
      </c>
      <c r="F1375" s="58" t="n"/>
      <c r="G1375" s="58" t="n"/>
      <c r="H1375" s="59" t="n"/>
      <c r="I1375" s="57" t="str">
        <f>IF(H1375="","",IFERROR(INDEX(art_des,MATCH(H1375,art_ref,0))&amp;"","Article inconnu"))</f>
        <v/>
      </c>
      <c r="J1375" s="60" t="str">
        <f>IF(H1375="","",IFERROR(INDEX(art_unit,MATCH(H1375,art_ref,0))&amp;"",""))</f>
        <v/>
      </c>
      <c r="K1375" s="59" t="n"/>
      <c r="L1375" s="59" t="n"/>
      <c r="M1375" s="61" t="str">
        <f>IF(OR(B1375="",NOT(ISNUMBER(K1375)),NOT(ISNUMBER(L1375))),"",IF(OR(K1375&lt;=0,L1375&lt;=0),"",ROUND(L1375-K1375,6)))</f>
        <v/>
      </c>
      <c r="N1375" s="58" t="n"/>
      <c r="O1375" s="62" t="n"/>
      <c r="P1375" s="63" t="str">
        <f>IF(OR(B1375="",NOT(ISNUMBER(L1375))),"",IF(L1375&lt;=0,"",IFERROR(ROUND(L1375*N(INDEX(art_w,MATCH(H1375,art_ref,0))),3),"")))</f>
        <v/>
      </c>
      <c r="Q1375" s="59" t="n"/>
      <c r="R1375" s="54" t="n"/>
      <c r="S1375" s="59" t="n"/>
      <c r="T1375" s="59" t="n"/>
      <c r="U1375" s="64" t="str">
        <f>IF(OR(B1375="",H1375=""),"",IFERROR(IF(A1375="BL",IF(N(INDEX(art_price,MATCH(H1375,art_ref,0)))=0,"",N(INDEX(art_price,MATCH(H1375,art_ref,0)))),IF(N(INDEX(art_cost,MATCH(H1375,art_ref,0)))=0,"",N(INDEX(art_cost,MATCH(H1375,art_ref,0))))),""))</f>
        <v/>
      </c>
      <c r="V1375" s="64" t="str">
        <f>IF(OR(U1375="",NOT(ISNUMBER(L1375))),"",IF(L1375&lt;=0,"",ROUND(L1375*U1375,2)))</f>
        <v/>
      </c>
      <c r="W1375" s="60" t="str">
        <f>IF(AND(B1375&lt;&gt;"",A1375&lt;&gt;"BS",F1375&lt;&gt;"",H1375&lt;&gt;"",ISNUMBER(K1375),ISNUMBER(L1375)),IF(AND(K1375&gt;0,L1375&gt;0,K1375-L1375&gt;0,COUNTIFS(A1376:A$2005,A1375,F1376:F$2005,F1375,H1376:H$2005,H1375,AA1376:AA$2005,"&gt;0")=0),ROUND(K1375-L1375,6),""),"")</f>
        <v/>
      </c>
      <c r="X1375" s="60" t="str">
        <f>IF(AND(A1375="",C1375="",D1375="",H1375="",L1375=""),"",IF(A1375="","Type manquant",IF(AND(A1375&lt;&gt;"BL",A1375&lt;&gt;"BR",A1375&lt;&gt;"BS"),"Type inconnu (BL, BR ou BS)",IF(AG1375=0,"Date manquante ou invalide",IF(D1375="",IF(A1375="BL","Client manquant",IF(A1375="BR","Fournisseur manquant","Service manquant")),IF(IF(A1375="BL",ISNA(MATCH(D1375,cl_code,0)),IF(A1375="BR",ISNA(MATCH(D1375,fo_code,0)),ISNA(MATCH(D1375,p_services,0)))),IF(A1375="BL","Client inconnu",IF(A1375="BR","Fournisseur inconnu","Service inconnu")),IF(H1375="","Article manquant",IF(ISNA(MATCH(H1375,art_ref,0)),"Article inconnu",IF(OR(NOT(ISNUMBER(L1375)),N(L1375)&lt;=0),"Quantité invalide",IF(AND(K1375&lt;&gt;"",OR(NOT(ISNUMBER(K1375)),N(K1375)&lt;=0)),"Qté commandée invalide",IF(AG1375&lt;SUMPRODUCT(MAX((A$6:A1374=A1375)*AG$6:AG1374)),"Date antérieure au bon précédent",IF(AND(A1375&lt;&gt;"BR",ISNUMBER(M1375),N(M1375)&gt;0),IF(A1375="BL","Livré plus que commandé","Sorti plus que demandé"),"OK"))))))))))))</f>
        <v/>
      </c>
      <c r="Y1375" s="57" t="str">
        <f>IF(AND(OR(A1375="BL",A1375="BR",A1375="BS"),AG1375&gt;0,D1375&lt;&gt;""),A1375&amp;"|"&amp;AG1375&amp;"|"&amp;D1375&amp;"|"&amp;F1375,"")</f>
        <v/>
      </c>
      <c r="Z1375" s="57" t="str">
        <f>IF(Y1375="","",IF(COUNTIF(Y$6:Y1374,Y1375)=0,1,0))</f>
        <v/>
      </c>
      <c r="AA1375" s="57" t="str">
        <f>IF(Y1375="","",IF(Z1375=1,COUNTIFS(A$6:A1375,A1375,Z$6:Z1375,1),INDEX(AA$6:AA1374,MATCH(Y1375,Y$6:Y1374,0))))</f>
        <v/>
      </c>
      <c r="AB1375" s="57" t="str">
        <f>IF(B1375="","",COUNTIF(B$6:B1375,B1375))</f>
        <v/>
      </c>
      <c r="AC1375" s="57" t="str">
        <f>IF(B1375="","",B1375&amp;"#"&amp;AB1375)</f>
        <v/>
      </c>
      <c r="AD1375" s="57" t="str">
        <f>IF(Z1375=1,A1375&amp;AA1375,"")</f>
        <v/>
      </c>
      <c r="AE1375" s="57" t="str">
        <f>IF(B1375="","",YEAR(C1375))</f>
        <v/>
      </c>
      <c r="AF1375" s="57" t="str">
        <f>IF(B1375="","",MONTH(C1375))</f>
        <v/>
      </c>
      <c r="AG1375" s="57">
        <f>IF(ISNUMBER(C1375),C1375,0)</f>
        <v>0.0</v>
      </c>
      <c r="AH1375" s="57" t="str">
        <f>IF(N(W1375)&gt;0,COUNTIF(W$6:W1375,"&gt;0"),"")</f>
        <v/>
      </c>
      <c r="AI1375" s="57" t="str">
        <f>IF(Z1375=1,COUNTIF(Z$6:Z1375,1),"")</f>
        <v/>
      </c>
    </row>
    <row r="1376">
      <c r="A1376" s="54" t="n"/>
      <c r="B1376" s="55" t="str">
        <f>IF(AA1376="","",A1376&amp;"-"&amp;RIGHT("000"&amp;AA1376,4))</f>
        <v/>
      </c>
      <c r="C1376" s="56" t="n"/>
      <c r="D1376" s="54" t="n"/>
      <c r="E1376" s="57" t="str">
        <f>IF(D1376="","",IF(A1376="BL",IFERROR(INDEX(cl_name,MATCH(D1376,cl_code,0))&amp;"","Client inconnu"),IF(A1376="BR",IFERROR(INDEX(fo_name,MATCH(D1376,fo_code,0))&amp;"","Fournisseur inconnu"),IF(A1376="BS",IF(ISNA(MATCH(D1376,p_services,0)),"Service inconnu",D1376&amp;""),""))))</f>
        <v/>
      </c>
      <c r="F1376" s="58" t="n"/>
      <c r="G1376" s="58" t="n"/>
      <c r="H1376" s="59" t="n"/>
      <c r="I1376" s="57" t="str">
        <f>IF(H1376="","",IFERROR(INDEX(art_des,MATCH(H1376,art_ref,0))&amp;"","Article inconnu"))</f>
        <v/>
      </c>
      <c r="J1376" s="60" t="str">
        <f>IF(H1376="","",IFERROR(INDEX(art_unit,MATCH(H1376,art_ref,0))&amp;"",""))</f>
        <v/>
      </c>
      <c r="K1376" s="59" t="n"/>
      <c r="L1376" s="59" t="n"/>
      <c r="M1376" s="61" t="str">
        <f>IF(OR(B1376="",NOT(ISNUMBER(K1376)),NOT(ISNUMBER(L1376))),"",IF(OR(K1376&lt;=0,L1376&lt;=0),"",ROUND(L1376-K1376,6)))</f>
        <v/>
      </c>
      <c r="N1376" s="58" t="n"/>
      <c r="O1376" s="62" t="n"/>
      <c r="P1376" s="63" t="str">
        <f>IF(OR(B1376="",NOT(ISNUMBER(L1376))),"",IF(L1376&lt;=0,"",IFERROR(ROUND(L1376*N(INDEX(art_w,MATCH(H1376,art_ref,0))),3),"")))</f>
        <v/>
      </c>
      <c r="Q1376" s="59" t="n"/>
      <c r="R1376" s="54" t="n"/>
      <c r="S1376" s="59" t="n"/>
      <c r="T1376" s="59" t="n"/>
      <c r="U1376" s="64" t="str">
        <f>IF(OR(B1376="",H1376=""),"",IFERROR(IF(A1376="BL",IF(N(INDEX(art_price,MATCH(H1376,art_ref,0)))=0,"",N(INDEX(art_price,MATCH(H1376,art_ref,0)))),IF(N(INDEX(art_cost,MATCH(H1376,art_ref,0)))=0,"",N(INDEX(art_cost,MATCH(H1376,art_ref,0))))),""))</f>
        <v/>
      </c>
      <c r="V1376" s="64" t="str">
        <f>IF(OR(U1376="",NOT(ISNUMBER(L1376))),"",IF(L1376&lt;=0,"",ROUND(L1376*U1376,2)))</f>
        <v/>
      </c>
      <c r="W1376" s="60" t="str">
        <f>IF(AND(B1376&lt;&gt;"",A1376&lt;&gt;"BS",F1376&lt;&gt;"",H1376&lt;&gt;"",ISNUMBER(K1376),ISNUMBER(L1376)),IF(AND(K1376&gt;0,L1376&gt;0,K1376-L1376&gt;0,COUNTIFS(A1377:A$2005,A1376,F1377:F$2005,F1376,H1377:H$2005,H1376,AA1377:AA$2005,"&gt;0")=0),ROUND(K1376-L1376,6),""),"")</f>
        <v/>
      </c>
      <c r="X1376" s="60" t="str">
        <f>IF(AND(A1376="",C1376="",D1376="",H1376="",L1376=""),"",IF(A1376="","Type manquant",IF(AND(A1376&lt;&gt;"BL",A1376&lt;&gt;"BR",A1376&lt;&gt;"BS"),"Type inconnu (BL, BR ou BS)",IF(AG1376=0,"Date manquante ou invalide",IF(D1376="",IF(A1376="BL","Client manquant",IF(A1376="BR","Fournisseur manquant","Service manquant")),IF(IF(A1376="BL",ISNA(MATCH(D1376,cl_code,0)),IF(A1376="BR",ISNA(MATCH(D1376,fo_code,0)),ISNA(MATCH(D1376,p_services,0)))),IF(A1376="BL","Client inconnu",IF(A1376="BR","Fournisseur inconnu","Service inconnu")),IF(H1376="","Article manquant",IF(ISNA(MATCH(H1376,art_ref,0)),"Article inconnu",IF(OR(NOT(ISNUMBER(L1376)),N(L1376)&lt;=0),"Quantité invalide",IF(AND(K1376&lt;&gt;"",OR(NOT(ISNUMBER(K1376)),N(K1376)&lt;=0)),"Qté commandée invalide",IF(AG1376&lt;SUMPRODUCT(MAX((A$6:A1375=A1376)*AG$6:AG1375)),"Date antérieure au bon précédent",IF(AND(A1376&lt;&gt;"BR",ISNUMBER(M1376),N(M1376)&gt;0),IF(A1376="BL","Livré plus que commandé","Sorti plus que demandé"),"OK"))))))))))))</f>
        <v/>
      </c>
      <c r="Y1376" s="57" t="str">
        <f>IF(AND(OR(A1376="BL",A1376="BR",A1376="BS"),AG1376&gt;0,D1376&lt;&gt;""),A1376&amp;"|"&amp;AG1376&amp;"|"&amp;D1376&amp;"|"&amp;F1376,"")</f>
        <v/>
      </c>
      <c r="Z1376" s="57" t="str">
        <f>IF(Y1376="","",IF(COUNTIF(Y$6:Y1375,Y1376)=0,1,0))</f>
        <v/>
      </c>
      <c r="AA1376" s="57" t="str">
        <f>IF(Y1376="","",IF(Z1376=1,COUNTIFS(A$6:A1376,A1376,Z$6:Z1376,1),INDEX(AA$6:AA1375,MATCH(Y1376,Y$6:Y1375,0))))</f>
        <v/>
      </c>
      <c r="AB1376" s="57" t="str">
        <f>IF(B1376="","",COUNTIF(B$6:B1376,B1376))</f>
        <v/>
      </c>
      <c r="AC1376" s="57" t="str">
        <f>IF(B1376="","",B1376&amp;"#"&amp;AB1376)</f>
        <v/>
      </c>
      <c r="AD1376" s="57" t="str">
        <f>IF(Z1376=1,A1376&amp;AA1376,"")</f>
        <v/>
      </c>
      <c r="AE1376" s="57" t="str">
        <f>IF(B1376="","",YEAR(C1376))</f>
        <v/>
      </c>
      <c r="AF1376" s="57" t="str">
        <f>IF(B1376="","",MONTH(C1376))</f>
        <v/>
      </c>
      <c r="AG1376" s="57">
        <f>IF(ISNUMBER(C1376),C1376,0)</f>
        <v>0.0</v>
      </c>
      <c r="AH1376" s="57" t="str">
        <f>IF(N(W1376)&gt;0,COUNTIF(W$6:W1376,"&gt;0"),"")</f>
        <v/>
      </c>
      <c r="AI1376" s="57" t="str">
        <f>IF(Z1376=1,COUNTIF(Z$6:Z1376,1),"")</f>
        <v/>
      </c>
    </row>
    <row r="1377">
      <c r="A1377" s="54" t="n"/>
      <c r="B1377" s="55" t="str">
        <f>IF(AA1377="","",A1377&amp;"-"&amp;RIGHT("000"&amp;AA1377,4))</f>
        <v/>
      </c>
      <c r="C1377" s="56" t="n"/>
      <c r="D1377" s="54" t="n"/>
      <c r="E1377" s="57" t="str">
        <f>IF(D1377="","",IF(A1377="BL",IFERROR(INDEX(cl_name,MATCH(D1377,cl_code,0))&amp;"","Client inconnu"),IF(A1377="BR",IFERROR(INDEX(fo_name,MATCH(D1377,fo_code,0))&amp;"","Fournisseur inconnu"),IF(A1377="BS",IF(ISNA(MATCH(D1377,p_services,0)),"Service inconnu",D1377&amp;""),""))))</f>
        <v/>
      </c>
      <c r="F1377" s="58" t="n"/>
      <c r="G1377" s="58" t="n"/>
      <c r="H1377" s="59" t="n"/>
      <c r="I1377" s="57" t="str">
        <f>IF(H1377="","",IFERROR(INDEX(art_des,MATCH(H1377,art_ref,0))&amp;"","Article inconnu"))</f>
        <v/>
      </c>
      <c r="J1377" s="60" t="str">
        <f>IF(H1377="","",IFERROR(INDEX(art_unit,MATCH(H1377,art_ref,0))&amp;"",""))</f>
        <v/>
      </c>
      <c r="K1377" s="59" t="n"/>
      <c r="L1377" s="59" t="n"/>
      <c r="M1377" s="61" t="str">
        <f>IF(OR(B1377="",NOT(ISNUMBER(K1377)),NOT(ISNUMBER(L1377))),"",IF(OR(K1377&lt;=0,L1377&lt;=0),"",ROUND(L1377-K1377,6)))</f>
        <v/>
      </c>
      <c r="N1377" s="58" t="n"/>
      <c r="O1377" s="62" t="n"/>
      <c r="P1377" s="63" t="str">
        <f>IF(OR(B1377="",NOT(ISNUMBER(L1377))),"",IF(L1377&lt;=0,"",IFERROR(ROUND(L1377*N(INDEX(art_w,MATCH(H1377,art_ref,0))),3),"")))</f>
        <v/>
      </c>
      <c r="Q1377" s="59" t="n"/>
      <c r="R1377" s="54" t="n"/>
      <c r="S1377" s="59" t="n"/>
      <c r="T1377" s="59" t="n"/>
      <c r="U1377" s="64" t="str">
        <f>IF(OR(B1377="",H1377=""),"",IFERROR(IF(A1377="BL",IF(N(INDEX(art_price,MATCH(H1377,art_ref,0)))=0,"",N(INDEX(art_price,MATCH(H1377,art_ref,0)))),IF(N(INDEX(art_cost,MATCH(H1377,art_ref,0)))=0,"",N(INDEX(art_cost,MATCH(H1377,art_ref,0))))),""))</f>
        <v/>
      </c>
      <c r="V1377" s="64" t="str">
        <f>IF(OR(U1377="",NOT(ISNUMBER(L1377))),"",IF(L1377&lt;=0,"",ROUND(L1377*U1377,2)))</f>
        <v/>
      </c>
      <c r="W1377" s="60" t="str">
        <f>IF(AND(B1377&lt;&gt;"",A1377&lt;&gt;"BS",F1377&lt;&gt;"",H1377&lt;&gt;"",ISNUMBER(K1377),ISNUMBER(L1377)),IF(AND(K1377&gt;0,L1377&gt;0,K1377-L1377&gt;0,COUNTIFS(A1378:A$2005,A1377,F1378:F$2005,F1377,H1378:H$2005,H1377,AA1378:AA$2005,"&gt;0")=0),ROUND(K1377-L1377,6),""),"")</f>
        <v/>
      </c>
      <c r="X1377" s="60" t="str">
        <f>IF(AND(A1377="",C1377="",D1377="",H1377="",L1377=""),"",IF(A1377="","Type manquant",IF(AND(A1377&lt;&gt;"BL",A1377&lt;&gt;"BR",A1377&lt;&gt;"BS"),"Type inconnu (BL, BR ou BS)",IF(AG1377=0,"Date manquante ou invalide",IF(D1377="",IF(A1377="BL","Client manquant",IF(A1377="BR","Fournisseur manquant","Service manquant")),IF(IF(A1377="BL",ISNA(MATCH(D1377,cl_code,0)),IF(A1377="BR",ISNA(MATCH(D1377,fo_code,0)),ISNA(MATCH(D1377,p_services,0)))),IF(A1377="BL","Client inconnu",IF(A1377="BR","Fournisseur inconnu","Service inconnu")),IF(H1377="","Article manquant",IF(ISNA(MATCH(H1377,art_ref,0)),"Article inconnu",IF(OR(NOT(ISNUMBER(L1377)),N(L1377)&lt;=0),"Quantité invalide",IF(AND(K1377&lt;&gt;"",OR(NOT(ISNUMBER(K1377)),N(K1377)&lt;=0)),"Qté commandée invalide",IF(AG1377&lt;SUMPRODUCT(MAX((A$6:A1376=A1377)*AG$6:AG1376)),"Date antérieure au bon précédent",IF(AND(A1377&lt;&gt;"BR",ISNUMBER(M1377),N(M1377)&gt;0),IF(A1377="BL","Livré plus que commandé","Sorti plus que demandé"),"OK"))))))))))))</f>
        <v/>
      </c>
      <c r="Y1377" s="57" t="str">
        <f>IF(AND(OR(A1377="BL",A1377="BR",A1377="BS"),AG1377&gt;0,D1377&lt;&gt;""),A1377&amp;"|"&amp;AG1377&amp;"|"&amp;D1377&amp;"|"&amp;F1377,"")</f>
        <v/>
      </c>
      <c r="Z1377" s="57" t="str">
        <f>IF(Y1377="","",IF(COUNTIF(Y$6:Y1376,Y1377)=0,1,0))</f>
        <v/>
      </c>
      <c r="AA1377" s="57" t="str">
        <f>IF(Y1377="","",IF(Z1377=1,COUNTIFS(A$6:A1377,A1377,Z$6:Z1377,1),INDEX(AA$6:AA1376,MATCH(Y1377,Y$6:Y1376,0))))</f>
        <v/>
      </c>
      <c r="AB1377" s="57" t="str">
        <f>IF(B1377="","",COUNTIF(B$6:B1377,B1377))</f>
        <v/>
      </c>
      <c r="AC1377" s="57" t="str">
        <f>IF(B1377="","",B1377&amp;"#"&amp;AB1377)</f>
        <v/>
      </c>
      <c r="AD1377" s="57" t="str">
        <f>IF(Z1377=1,A1377&amp;AA1377,"")</f>
        <v/>
      </c>
      <c r="AE1377" s="57" t="str">
        <f>IF(B1377="","",YEAR(C1377))</f>
        <v/>
      </c>
      <c r="AF1377" s="57" t="str">
        <f>IF(B1377="","",MONTH(C1377))</f>
        <v/>
      </c>
      <c r="AG1377" s="57">
        <f>IF(ISNUMBER(C1377),C1377,0)</f>
        <v>0.0</v>
      </c>
      <c r="AH1377" s="57" t="str">
        <f>IF(N(W1377)&gt;0,COUNTIF(W$6:W1377,"&gt;0"),"")</f>
        <v/>
      </c>
      <c r="AI1377" s="57" t="str">
        <f>IF(Z1377=1,COUNTIF(Z$6:Z1377,1),"")</f>
        <v/>
      </c>
    </row>
    <row r="1378">
      <c r="A1378" s="54" t="n"/>
      <c r="B1378" s="55" t="str">
        <f>IF(AA1378="","",A1378&amp;"-"&amp;RIGHT("000"&amp;AA1378,4))</f>
        <v/>
      </c>
      <c r="C1378" s="56" t="n"/>
      <c r="D1378" s="54" t="n"/>
      <c r="E1378" s="57" t="str">
        <f>IF(D1378="","",IF(A1378="BL",IFERROR(INDEX(cl_name,MATCH(D1378,cl_code,0))&amp;"","Client inconnu"),IF(A1378="BR",IFERROR(INDEX(fo_name,MATCH(D1378,fo_code,0))&amp;"","Fournisseur inconnu"),IF(A1378="BS",IF(ISNA(MATCH(D1378,p_services,0)),"Service inconnu",D1378&amp;""),""))))</f>
        <v/>
      </c>
      <c r="F1378" s="58" t="n"/>
      <c r="G1378" s="58" t="n"/>
      <c r="H1378" s="59" t="n"/>
      <c r="I1378" s="57" t="str">
        <f>IF(H1378="","",IFERROR(INDEX(art_des,MATCH(H1378,art_ref,0))&amp;"","Article inconnu"))</f>
        <v/>
      </c>
      <c r="J1378" s="60" t="str">
        <f>IF(H1378="","",IFERROR(INDEX(art_unit,MATCH(H1378,art_ref,0))&amp;"",""))</f>
        <v/>
      </c>
      <c r="K1378" s="59" t="n"/>
      <c r="L1378" s="59" t="n"/>
      <c r="M1378" s="61" t="str">
        <f>IF(OR(B1378="",NOT(ISNUMBER(K1378)),NOT(ISNUMBER(L1378))),"",IF(OR(K1378&lt;=0,L1378&lt;=0),"",ROUND(L1378-K1378,6)))</f>
        <v/>
      </c>
      <c r="N1378" s="58" t="n"/>
      <c r="O1378" s="62" t="n"/>
      <c r="P1378" s="63" t="str">
        <f>IF(OR(B1378="",NOT(ISNUMBER(L1378))),"",IF(L1378&lt;=0,"",IFERROR(ROUND(L1378*N(INDEX(art_w,MATCH(H1378,art_ref,0))),3),"")))</f>
        <v/>
      </c>
      <c r="Q1378" s="59" t="n"/>
      <c r="R1378" s="54" t="n"/>
      <c r="S1378" s="59" t="n"/>
      <c r="T1378" s="59" t="n"/>
      <c r="U1378" s="64" t="str">
        <f>IF(OR(B1378="",H1378=""),"",IFERROR(IF(A1378="BL",IF(N(INDEX(art_price,MATCH(H1378,art_ref,0)))=0,"",N(INDEX(art_price,MATCH(H1378,art_ref,0)))),IF(N(INDEX(art_cost,MATCH(H1378,art_ref,0)))=0,"",N(INDEX(art_cost,MATCH(H1378,art_ref,0))))),""))</f>
        <v/>
      </c>
      <c r="V1378" s="64" t="str">
        <f>IF(OR(U1378="",NOT(ISNUMBER(L1378))),"",IF(L1378&lt;=0,"",ROUND(L1378*U1378,2)))</f>
        <v/>
      </c>
      <c r="W1378" s="60" t="str">
        <f>IF(AND(B1378&lt;&gt;"",A1378&lt;&gt;"BS",F1378&lt;&gt;"",H1378&lt;&gt;"",ISNUMBER(K1378),ISNUMBER(L1378)),IF(AND(K1378&gt;0,L1378&gt;0,K1378-L1378&gt;0,COUNTIFS(A1379:A$2005,A1378,F1379:F$2005,F1378,H1379:H$2005,H1378,AA1379:AA$2005,"&gt;0")=0),ROUND(K1378-L1378,6),""),"")</f>
        <v/>
      </c>
      <c r="X1378" s="60" t="str">
        <f>IF(AND(A1378="",C1378="",D1378="",H1378="",L1378=""),"",IF(A1378="","Type manquant",IF(AND(A1378&lt;&gt;"BL",A1378&lt;&gt;"BR",A1378&lt;&gt;"BS"),"Type inconnu (BL, BR ou BS)",IF(AG1378=0,"Date manquante ou invalide",IF(D1378="",IF(A1378="BL","Client manquant",IF(A1378="BR","Fournisseur manquant","Service manquant")),IF(IF(A1378="BL",ISNA(MATCH(D1378,cl_code,0)),IF(A1378="BR",ISNA(MATCH(D1378,fo_code,0)),ISNA(MATCH(D1378,p_services,0)))),IF(A1378="BL","Client inconnu",IF(A1378="BR","Fournisseur inconnu","Service inconnu")),IF(H1378="","Article manquant",IF(ISNA(MATCH(H1378,art_ref,0)),"Article inconnu",IF(OR(NOT(ISNUMBER(L1378)),N(L1378)&lt;=0),"Quantité invalide",IF(AND(K1378&lt;&gt;"",OR(NOT(ISNUMBER(K1378)),N(K1378)&lt;=0)),"Qté commandée invalide",IF(AG1378&lt;SUMPRODUCT(MAX((A$6:A1377=A1378)*AG$6:AG1377)),"Date antérieure au bon précédent",IF(AND(A1378&lt;&gt;"BR",ISNUMBER(M1378),N(M1378)&gt;0),IF(A1378="BL","Livré plus que commandé","Sorti plus que demandé"),"OK"))))))))))))</f>
        <v/>
      </c>
      <c r="Y1378" s="57" t="str">
        <f>IF(AND(OR(A1378="BL",A1378="BR",A1378="BS"),AG1378&gt;0,D1378&lt;&gt;""),A1378&amp;"|"&amp;AG1378&amp;"|"&amp;D1378&amp;"|"&amp;F1378,"")</f>
        <v/>
      </c>
      <c r="Z1378" s="57" t="str">
        <f>IF(Y1378="","",IF(COUNTIF(Y$6:Y1377,Y1378)=0,1,0))</f>
        <v/>
      </c>
      <c r="AA1378" s="57" t="str">
        <f>IF(Y1378="","",IF(Z1378=1,COUNTIFS(A$6:A1378,A1378,Z$6:Z1378,1),INDEX(AA$6:AA1377,MATCH(Y1378,Y$6:Y1377,0))))</f>
        <v/>
      </c>
      <c r="AB1378" s="57" t="str">
        <f>IF(B1378="","",COUNTIF(B$6:B1378,B1378))</f>
        <v/>
      </c>
      <c r="AC1378" s="57" t="str">
        <f>IF(B1378="","",B1378&amp;"#"&amp;AB1378)</f>
        <v/>
      </c>
      <c r="AD1378" s="57" t="str">
        <f>IF(Z1378=1,A1378&amp;AA1378,"")</f>
        <v/>
      </c>
      <c r="AE1378" s="57" t="str">
        <f>IF(B1378="","",YEAR(C1378))</f>
        <v/>
      </c>
      <c r="AF1378" s="57" t="str">
        <f>IF(B1378="","",MONTH(C1378))</f>
        <v/>
      </c>
      <c r="AG1378" s="57">
        <f>IF(ISNUMBER(C1378),C1378,0)</f>
        <v>0.0</v>
      </c>
      <c r="AH1378" s="57" t="str">
        <f>IF(N(W1378)&gt;0,COUNTIF(W$6:W1378,"&gt;0"),"")</f>
        <v/>
      </c>
      <c r="AI1378" s="57" t="str">
        <f>IF(Z1378=1,COUNTIF(Z$6:Z1378,1),"")</f>
        <v/>
      </c>
    </row>
    <row r="1379">
      <c r="A1379" s="54" t="n"/>
      <c r="B1379" s="55" t="str">
        <f>IF(AA1379="","",A1379&amp;"-"&amp;RIGHT("000"&amp;AA1379,4))</f>
        <v/>
      </c>
      <c r="C1379" s="56" t="n"/>
      <c r="D1379" s="54" t="n"/>
      <c r="E1379" s="57" t="str">
        <f>IF(D1379="","",IF(A1379="BL",IFERROR(INDEX(cl_name,MATCH(D1379,cl_code,0))&amp;"","Client inconnu"),IF(A1379="BR",IFERROR(INDEX(fo_name,MATCH(D1379,fo_code,0))&amp;"","Fournisseur inconnu"),IF(A1379="BS",IF(ISNA(MATCH(D1379,p_services,0)),"Service inconnu",D1379&amp;""),""))))</f>
        <v/>
      </c>
      <c r="F1379" s="58" t="n"/>
      <c r="G1379" s="58" t="n"/>
      <c r="H1379" s="59" t="n"/>
      <c r="I1379" s="57" t="str">
        <f>IF(H1379="","",IFERROR(INDEX(art_des,MATCH(H1379,art_ref,0))&amp;"","Article inconnu"))</f>
        <v/>
      </c>
      <c r="J1379" s="60" t="str">
        <f>IF(H1379="","",IFERROR(INDEX(art_unit,MATCH(H1379,art_ref,0))&amp;"",""))</f>
        <v/>
      </c>
      <c r="K1379" s="59" t="n"/>
      <c r="L1379" s="59" t="n"/>
      <c r="M1379" s="61" t="str">
        <f>IF(OR(B1379="",NOT(ISNUMBER(K1379)),NOT(ISNUMBER(L1379))),"",IF(OR(K1379&lt;=0,L1379&lt;=0),"",ROUND(L1379-K1379,6)))</f>
        <v/>
      </c>
      <c r="N1379" s="58" t="n"/>
      <c r="O1379" s="62" t="n"/>
      <c r="P1379" s="63" t="str">
        <f>IF(OR(B1379="",NOT(ISNUMBER(L1379))),"",IF(L1379&lt;=0,"",IFERROR(ROUND(L1379*N(INDEX(art_w,MATCH(H1379,art_ref,0))),3),"")))</f>
        <v/>
      </c>
      <c r="Q1379" s="59" t="n"/>
      <c r="R1379" s="54" t="n"/>
      <c r="S1379" s="59" t="n"/>
      <c r="T1379" s="59" t="n"/>
      <c r="U1379" s="64" t="str">
        <f>IF(OR(B1379="",H1379=""),"",IFERROR(IF(A1379="BL",IF(N(INDEX(art_price,MATCH(H1379,art_ref,0)))=0,"",N(INDEX(art_price,MATCH(H1379,art_ref,0)))),IF(N(INDEX(art_cost,MATCH(H1379,art_ref,0)))=0,"",N(INDEX(art_cost,MATCH(H1379,art_ref,0))))),""))</f>
        <v/>
      </c>
      <c r="V1379" s="64" t="str">
        <f>IF(OR(U1379="",NOT(ISNUMBER(L1379))),"",IF(L1379&lt;=0,"",ROUND(L1379*U1379,2)))</f>
        <v/>
      </c>
      <c r="W1379" s="60" t="str">
        <f>IF(AND(B1379&lt;&gt;"",A1379&lt;&gt;"BS",F1379&lt;&gt;"",H1379&lt;&gt;"",ISNUMBER(K1379),ISNUMBER(L1379)),IF(AND(K1379&gt;0,L1379&gt;0,K1379-L1379&gt;0,COUNTIFS(A1380:A$2005,A1379,F1380:F$2005,F1379,H1380:H$2005,H1379,AA1380:AA$2005,"&gt;0")=0),ROUND(K1379-L1379,6),""),"")</f>
        <v/>
      </c>
      <c r="X1379" s="60" t="str">
        <f>IF(AND(A1379="",C1379="",D1379="",H1379="",L1379=""),"",IF(A1379="","Type manquant",IF(AND(A1379&lt;&gt;"BL",A1379&lt;&gt;"BR",A1379&lt;&gt;"BS"),"Type inconnu (BL, BR ou BS)",IF(AG1379=0,"Date manquante ou invalide",IF(D1379="",IF(A1379="BL","Client manquant",IF(A1379="BR","Fournisseur manquant","Service manquant")),IF(IF(A1379="BL",ISNA(MATCH(D1379,cl_code,0)),IF(A1379="BR",ISNA(MATCH(D1379,fo_code,0)),ISNA(MATCH(D1379,p_services,0)))),IF(A1379="BL","Client inconnu",IF(A1379="BR","Fournisseur inconnu","Service inconnu")),IF(H1379="","Article manquant",IF(ISNA(MATCH(H1379,art_ref,0)),"Article inconnu",IF(OR(NOT(ISNUMBER(L1379)),N(L1379)&lt;=0),"Quantité invalide",IF(AND(K1379&lt;&gt;"",OR(NOT(ISNUMBER(K1379)),N(K1379)&lt;=0)),"Qté commandée invalide",IF(AG1379&lt;SUMPRODUCT(MAX((A$6:A1378=A1379)*AG$6:AG1378)),"Date antérieure au bon précédent",IF(AND(A1379&lt;&gt;"BR",ISNUMBER(M1379),N(M1379)&gt;0),IF(A1379="BL","Livré plus que commandé","Sorti plus que demandé"),"OK"))))))))))))</f>
        <v/>
      </c>
      <c r="Y1379" s="57" t="str">
        <f>IF(AND(OR(A1379="BL",A1379="BR",A1379="BS"),AG1379&gt;0,D1379&lt;&gt;""),A1379&amp;"|"&amp;AG1379&amp;"|"&amp;D1379&amp;"|"&amp;F1379,"")</f>
        <v/>
      </c>
      <c r="Z1379" s="57" t="str">
        <f>IF(Y1379="","",IF(COUNTIF(Y$6:Y1378,Y1379)=0,1,0))</f>
        <v/>
      </c>
      <c r="AA1379" s="57" t="str">
        <f>IF(Y1379="","",IF(Z1379=1,COUNTIFS(A$6:A1379,A1379,Z$6:Z1379,1),INDEX(AA$6:AA1378,MATCH(Y1379,Y$6:Y1378,0))))</f>
        <v/>
      </c>
      <c r="AB1379" s="57" t="str">
        <f>IF(B1379="","",COUNTIF(B$6:B1379,B1379))</f>
        <v/>
      </c>
      <c r="AC1379" s="57" t="str">
        <f>IF(B1379="","",B1379&amp;"#"&amp;AB1379)</f>
        <v/>
      </c>
      <c r="AD1379" s="57" t="str">
        <f>IF(Z1379=1,A1379&amp;AA1379,"")</f>
        <v/>
      </c>
      <c r="AE1379" s="57" t="str">
        <f>IF(B1379="","",YEAR(C1379))</f>
        <v/>
      </c>
      <c r="AF1379" s="57" t="str">
        <f>IF(B1379="","",MONTH(C1379))</f>
        <v/>
      </c>
      <c r="AG1379" s="57">
        <f>IF(ISNUMBER(C1379),C1379,0)</f>
        <v>0.0</v>
      </c>
      <c r="AH1379" s="57" t="str">
        <f>IF(N(W1379)&gt;0,COUNTIF(W$6:W1379,"&gt;0"),"")</f>
        <v/>
      </c>
      <c r="AI1379" s="57" t="str">
        <f>IF(Z1379=1,COUNTIF(Z$6:Z1379,1),"")</f>
        <v/>
      </c>
    </row>
    <row r="1380">
      <c r="A1380" s="54" t="n"/>
      <c r="B1380" s="55" t="str">
        <f>IF(AA1380="","",A1380&amp;"-"&amp;RIGHT("000"&amp;AA1380,4))</f>
        <v/>
      </c>
      <c r="C1380" s="56" t="n"/>
      <c r="D1380" s="54" t="n"/>
      <c r="E1380" s="57" t="str">
        <f>IF(D1380="","",IF(A1380="BL",IFERROR(INDEX(cl_name,MATCH(D1380,cl_code,0))&amp;"","Client inconnu"),IF(A1380="BR",IFERROR(INDEX(fo_name,MATCH(D1380,fo_code,0))&amp;"","Fournisseur inconnu"),IF(A1380="BS",IF(ISNA(MATCH(D1380,p_services,0)),"Service inconnu",D1380&amp;""),""))))</f>
        <v/>
      </c>
      <c r="F1380" s="58" t="n"/>
      <c r="G1380" s="58" t="n"/>
      <c r="H1380" s="59" t="n"/>
      <c r="I1380" s="57" t="str">
        <f>IF(H1380="","",IFERROR(INDEX(art_des,MATCH(H1380,art_ref,0))&amp;"","Article inconnu"))</f>
        <v/>
      </c>
      <c r="J1380" s="60" t="str">
        <f>IF(H1380="","",IFERROR(INDEX(art_unit,MATCH(H1380,art_ref,0))&amp;"",""))</f>
        <v/>
      </c>
      <c r="K1380" s="59" t="n"/>
      <c r="L1380" s="59" t="n"/>
      <c r="M1380" s="61" t="str">
        <f>IF(OR(B1380="",NOT(ISNUMBER(K1380)),NOT(ISNUMBER(L1380))),"",IF(OR(K1380&lt;=0,L1380&lt;=0),"",ROUND(L1380-K1380,6)))</f>
        <v/>
      </c>
      <c r="N1380" s="58" t="n"/>
      <c r="O1380" s="62" t="n"/>
      <c r="P1380" s="63" t="str">
        <f>IF(OR(B1380="",NOT(ISNUMBER(L1380))),"",IF(L1380&lt;=0,"",IFERROR(ROUND(L1380*N(INDEX(art_w,MATCH(H1380,art_ref,0))),3),"")))</f>
        <v/>
      </c>
      <c r="Q1380" s="59" t="n"/>
      <c r="R1380" s="54" t="n"/>
      <c r="S1380" s="59" t="n"/>
      <c r="T1380" s="59" t="n"/>
      <c r="U1380" s="64" t="str">
        <f>IF(OR(B1380="",H1380=""),"",IFERROR(IF(A1380="BL",IF(N(INDEX(art_price,MATCH(H1380,art_ref,0)))=0,"",N(INDEX(art_price,MATCH(H1380,art_ref,0)))),IF(N(INDEX(art_cost,MATCH(H1380,art_ref,0)))=0,"",N(INDEX(art_cost,MATCH(H1380,art_ref,0))))),""))</f>
        <v/>
      </c>
      <c r="V1380" s="64" t="str">
        <f>IF(OR(U1380="",NOT(ISNUMBER(L1380))),"",IF(L1380&lt;=0,"",ROUND(L1380*U1380,2)))</f>
        <v/>
      </c>
      <c r="W1380" s="60" t="str">
        <f>IF(AND(B1380&lt;&gt;"",A1380&lt;&gt;"BS",F1380&lt;&gt;"",H1380&lt;&gt;"",ISNUMBER(K1380),ISNUMBER(L1380)),IF(AND(K1380&gt;0,L1380&gt;0,K1380-L1380&gt;0,COUNTIFS(A1381:A$2005,A1380,F1381:F$2005,F1380,H1381:H$2005,H1380,AA1381:AA$2005,"&gt;0")=0),ROUND(K1380-L1380,6),""),"")</f>
        <v/>
      </c>
      <c r="X1380" s="60" t="str">
        <f>IF(AND(A1380="",C1380="",D1380="",H1380="",L1380=""),"",IF(A1380="","Type manquant",IF(AND(A1380&lt;&gt;"BL",A1380&lt;&gt;"BR",A1380&lt;&gt;"BS"),"Type inconnu (BL, BR ou BS)",IF(AG1380=0,"Date manquante ou invalide",IF(D1380="",IF(A1380="BL","Client manquant",IF(A1380="BR","Fournisseur manquant","Service manquant")),IF(IF(A1380="BL",ISNA(MATCH(D1380,cl_code,0)),IF(A1380="BR",ISNA(MATCH(D1380,fo_code,0)),ISNA(MATCH(D1380,p_services,0)))),IF(A1380="BL","Client inconnu",IF(A1380="BR","Fournisseur inconnu","Service inconnu")),IF(H1380="","Article manquant",IF(ISNA(MATCH(H1380,art_ref,0)),"Article inconnu",IF(OR(NOT(ISNUMBER(L1380)),N(L1380)&lt;=0),"Quantité invalide",IF(AND(K1380&lt;&gt;"",OR(NOT(ISNUMBER(K1380)),N(K1380)&lt;=0)),"Qté commandée invalide",IF(AG1380&lt;SUMPRODUCT(MAX((A$6:A1379=A1380)*AG$6:AG1379)),"Date antérieure au bon précédent",IF(AND(A1380&lt;&gt;"BR",ISNUMBER(M1380),N(M1380)&gt;0),IF(A1380="BL","Livré plus que commandé","Sorti plus que demandé"),"OK"))))))))))))</f>
        <v/>
      </c>
      <c r="Y1380" s="57" t="str">
        <f>IF(AND(OR(A1380="BL",A1380="BR",A1380="BS"),AG1380&gt;0,D1380&lt;&gt;""),A1380&amp;"|"&amp;AG1380&amp;"|"&amp;D1380&amp;"|"&amp;F1380,"")</f>
        <v/>
      </c>
      <c r="Z1380" s="57" t="str">
        <f>IF(Y1380="","",IF(COUNTIF(Y$6:Y1379,Y1380)=0,1,0))</f>
        <v/>
      </c>
      <c r="AA1380" s="57" t="str">
        <f>IF(Y1380="","",IF(Z1380=1,COUNTIFS(A$6:A1380,A1380,Z$6:Z1380,1),INDEX(AA$6:AA1379,MATCH(Y1380,Y$6:Y1379,0))))</f>
        <v/>
      </c>
      <c r="AB1380" s="57" t="str">
        <f>IF(B1380="","",COUNTIF(B$6:B1380,B1380))</f>
        <v/>
      </c>
      <c r="AC1380" s="57" t="str">
        <f>IF(B1380="","",B1380&amp;"#"&amp;AB1380)</f>
        <v/>
      </c>
      <c r="AD1380" s="57" t="str">
        <f>IF(Z1380=1,A1380&amp;AA1380,"")</f>
        <v/>
      </c>
      <c r="AE1380" s="57" t="str">
        <f>IF(B1380="","",YEAR(C1380))</f>
        <v/>
      </c>
      <c r="AF1380" s="57" t="str">
        <f>IF(B1380="","",MONTH(C1380))</f>
        <v/>
      </c>
      <c r="AG1380" s="57">
        <f>IF(ISNUMBER(C1380),C1380,0)</f>
        <v>0.0</v>
      </c>
      <c r="AH1380" s="57" t="str">
        <f>IF(N(W1380)&gt;0,COUNTIF(W$6:W1380,"&gt;0"),"")</f>
        <v/>
      </c>
      <c r="AI1380" s="57" t="str">
        <f>IF(Z1380=1,COUNTIF(Z$6:Z1380,1),"")</f>
        <v/>
      </c>
    </row>
    <row r="1381">
      <c r="A1381" s="54" t="n"/>
      <c r="B1381" s="55" t="str">
        <f>IF(AA1381="","",A1381&amp;"-"&amp;RIGHT("000"&amp;AA1381,4))</f>
        <v/>
      </c>
      <c r="C1381" s="56" t="n"/>
      <c r="D1381" s="54" t="n"/>
      <c r="E1381" s="57" t="str">
        <f>IF(D1381="","",IF(A1381="BL",IFERROR(INDEX(cl_name,MATCH(D1381,cl_code,0))&amp;"","Client inconnu"),IF(A1381="BR",IFERROR(INDEX(fo_name,MATCH(D1381,fo_code,0))&amp;"","Fournisseur inconnu"),IF(A1381="BS",IF(ISNA(MATCH(D1381,p_services,0)),"Service inconnu",D1381&amp;""),""))))</f>
        <v/>
      </c>
      <c r="F1381" s="58" t="n"/>
      <c r="G1381" s="58" t="n"/>
      <c r="H1381" s="59" t="n"/>
      <c r="I1381" s="57" t="str">
        <f>IF(H1381="","",IFERROR(INDEX(art_des,MATCH(H1381,art_ref,0))&amp;"","Article inconnu"))</f>
        <v/>
      </c>
      <c r="J1381" s="60" t="str">
        <f>IF(H1381="","",IFERROR(INDEX(art_unit,MATCH(H1381,art_ref,0))&amp;"",""))</f>
        <v/>
      </c>
      <c r="K1381" s="59" t="n"/>
      <c r="L1381" s="59" t="n"/>
      <c r="M1381" s="61" t="str">
        <f>IF(OR(B1381="",NOT(ISNUMBER(K1381)),NOT(ISNUMBER(L1381))),"",IF(OR(K1381&lt;=0,L1381&lt;=0),"",ROUND(L1381-K1381,6)))</f>
        <v/>
      </c>
      <c r="N1381" s="58" t="n"/>
      <c r="O1381" s="62" t="n"/>
      <c r="P1381" s="63" t="str">
        <f>IF(OR(B1381="",NOT(ISNUMBER(L1381))),"",IF(L1381&lt;=0,"",IFERROR(ROUND(L1381*N(INDEX(art_w,MATCH(H1381,art_ref,0))),3),"")))</f>
        <v/>
      </c>
      <c r="Q1381" s="59" t="n"/>
      <c r="R1381" s="54" t="n"/>
      <c r="S1381" s="59" t="n"/>
      <c r="T1381" s="59" t="n"/>
      <c r="U1381" s="64" t="str">
        <f>IF(OR(B1381="",H1381=""),"",IFERROR(IF(A1381="BL",IF(N(INDEX(art_price,MATCH(H1381,art_ref,0)))=0,"",N(INDEX(art_price,MATCH(H1381,art_ref,0)))),IF(N(INDEX(art_cost,MATCH(H1381,art_ref,0)))=0,"",N(INDEX(art_cost,MATCH(H1381,art_ref,0))))),""))</f>
        <v/>
      </c>
      <c r="V1381" s="64" t="str">
        <f>IF(OR(U1381="",NOT(ISNUMBER(L1381))),"",IF(L1381&lt;=0,"",ROUND(L1381*U1381,2)))</f>
        <v/>
      </c>
      <c r="W1381" s="60" t="str">
        <f>IF(AND(B1381&lt;&gt;"",A1381&lt;&gt;"BS",F1381&lt;&gt;"",H1381&lt;&gt;"",ISNUMBER(K1381),ISNUMBER(L1381)),IF(AND(K1381&gt;0,L1381&gt;0,K1381-L1381&gt;0,COUNTIFS(A1382:A$2005,A1381,F1382:F$2005,F1381,H1382:H$2005,H1381,AA1382:AA$2005,"&gt;0")=0),ROUND(K1381-L1381,6),""),"")</f>
        <v/>
      </c>
      <c r="X1381" s="60" t="str">
        <f>IF(AND(A1381="",C1381="",D1381="",H1381="",L1381=""),"",IF(A1381="","Type manquant",IF(AND(A1381&lt;&gt;"BL",A1381&lt;&gt;"BR",A1381&lt;&gt;"BS"),"Type inconnu (BL, BR ou BS)",IF(AG1381=0,"Date manquante ou invalide",IF(D1381="",IF(A1381="BL","Client manquant",IF(A1381="BR","Fournisseur manquant","Service manquant")),IF(IF(A1381="BL",ISNA(MATCH(D1381,cl_code,0)),IF(A1381="BR",ISNA(MATCH(D1381,fo_code,0)),ISNA(MATCH(D1381,p_services,0)))),IF(A1381="BL","Client inconnu",IF(A1381="BR","Fournisseur inconnu","Service inconnu")),IF(H1381="","Article manquant",IF(ISNA(MATCH(H1381,art_ref,0)),"Article inconnu",IF(OR(NOT(ISNUMBER(L1381)),N(L1381)&lt;=0),"Quantité invalide",IF(AND(K1381&lt;&gt;"",OR(NOT(ISNUMBER(K1381)),N(K1381)&lt;=0)),"Qté commandée invalide",IF(AG1381&lt;SUMPRODUCT(MAX((A$6:A1380=A1381)*AG$6:AG1380)),"Date antérieure au bon précédent",IF(AND(A1381&lt;&gt;"BR",ISNUMBER(M1381),N(M1381)&gt;0),IF(A1381="BL","Livré plus que commandé","Sorti plus que demandé"),"OK"))))))))))))</f>
        <v/>
      </c>
      <c r="Y1381" s="57" t="str">
        <f>IF(AND(OR(A1381="BL",A1381="BR",A1381="BS"),AG1381&gt;0,D1381&lt;&gt;""),A1381&amp;"|"&amp;AG1381&amp;"|"&amp;D1381&amp;"|"&amp;F1381,"")</f>
        <v/>
      </c>
      <c r="Z1381" s="57" t="str">
        <f>IF(Y1381="","",IF(COUNTIF(Y$6:Y1380,Y1381)=0,1,0))</f>
        <v/>
      </c>
      <c r="AA1381" s="57" t="str">
        <f>IF(Y1381="","",IF(Z1381=1,COUNTIFS(A$6:A1381,A1381,Z$6:Z1381,1),INDEX(AA$6:AA1380,MATCH(Y1381,Y$6:Y1380,0))))</f>
        <v/>
      </c>
      <c r="AB1381" s="57" t="str">
        <f>IF(B1381="","",COUNTIF(B$6:B1381,B1381))</f>
        <v/>
      </c>
      <c r="AC1381" s="57" t="str">
        <f>IF(B1381="","",B1381&amp;"#"&amp;AB1381)</f>
        <v/>
      </c>
      <c r="AD1381" s="57" t="str">
        <f>IF(Z1381=1,A1381&amp;AA1381,"")</f>
        <v/>
      </c>
      <c r="AE1381" s="57" t="str">
        <f>IF(B1381="","",YEAR(C1381))</f>
        <v/>
      </c>
      <c r="AF1381" s="57" t="str">
        <f>IF(B1381="","",MONTH(C1381))</f>
        <v/>
      </c>
      <c r="AG1381" s="57">
        <f>IF(ISNUMBER(C1381),C1381,0)</f>
        <v>0.0</v>
      </c>
      <c r="AH1381" s="57" t="str">
        <f>IF(N(W1381)&gt;0,COUNTIF(W$6:W1381,"&gt;0"),"")</f>
        <v/>
      </c>
      <c r="AI1381" s="57" t="str">
        <f>IF(Z1381=1,COUNTIF(Z$6:Z1381,1),"")</f>
        <v/>
      </c>
    </row>
    <row r="1382">
      <c r="A1382" s="54" t="n"/>
      <c r="B1382" s="55" t="str">
        <f>IF(AA1382="","",A1382&amp;"-"&amp;RIGHT("000"&amp;AA1382,4))</f>
        <v/>
      </c>
      <c r="C1382" s="56" t="n"/>
      <c r="D1382" s="54" t="n"/>
      <c r="E1382" s="57" t="str">
        <f>IF(D1382="","",IF(A1382="BL",IFERROR(INDEX(cl_name,MATCH(D1382,cl_code,0))&amp;"","Client inconnu"),IF(A1382="BR",IFERROR(INDEX(fo_name,MATCH(D1382,fo_code,0))&amp;"","Fournisseur inconnu"),IF(A1382="BS",IF(ISNA(MATCH(D1382,p_services,0)),"Service inconnu",D1382&amp;""),""))))</f>
        <v/>
      </c>
      <c r="F1382" s="58" t="n"/>
      <c r="G1382" s="58" t="n"/>
      <c r="H1382" s="59" t="n"/>
      <c r="I1382" s="57" t="str">
        <f>IF(H1382="","",IFERROR(INDEX(art_des,MATCH(H1382,art_ref,0))&amp;"","Article inconnu"))</f>
        <v/>
      </c>
      <c r="J1382" s="60" t="str">
        <f>IF(H1382="","",IFERROR(INDEX(art_unit,MATCH(H1382,art_ref,0))&amp;"",""))</f>
        <v/>
      </c>
      <c r="K1382" s="59" t="n"/>
      <c r="L1382" s="59" t="n"/>
      <c r="M1382" s="61" t="str">
        <f>IF(OR(B1382="",NOT(ISNUMBER(K1382)),NOT(ISNUMBER(L1382))),"",IF(OR(K1382&lt;=0,L1382&lt;=0),"",ROUND(L1382-K1382,6)))</f>
        <v/>
      </c>
      <c r="N1382" s="58" t="n"/>
      <c r="O1382" s="62" t="n"/>
      <c r="P1382" s="63" t="str">
        <f>IF(OR(B1382="",NOT(ISNUMBER(L1382))),"",IF(L1382&lt;=0,"",IFERROR(ROUND(L1382*N(INDEX(art_w,MATCH(H1382,art_ref,0))),3),"")))</f>
        <v/>
      </c>
      <c r="Q1382" s="59" t="n"/>
      <c r="R1382" s="54" t="n"/>
      <c r="S1382" s="59" t="n"/>
      <c r="T1382" s="59" t="n"/>
      <c r="U1382" s="64" t="str">
        <f>IF(OR(B1382="",H1382=""),"",IFERROR(IF(A1382="BL",IF(N(INDEX(art_price,MATCH(H1382,art_ref,0)))=0,"",N(INDEX(art_price,MATCH(H1382,art_ref,0)))),IF(N(INDEX(art_cost,MATCH(H1382,art_ref,0)))=0,"",N(INDEX(art_cost,MATCH(H1382,art_ref,0))))),""))</f>
        <v/>
      </c>
      <c r="V1382" s="64" t="str">
        <f>IF(OR(U1382="",NOT(ISNUMBER(L1382))),"",IF(L1382&lt;=0,"",ROUND(L1382*U1382,2)))</f>
        <v/>
      </c>
      <c r="W1382" s="60" t="str">
        <f>IF(AND(B1382&lt;&gt;"",A1382&lt;&gt;"BS",F1382&lt;&gt;"",H1382&lt;&gt;"",ISNUMBER(K1382),ISNUMBER(L1382)),IF(AND(K1382&gt;0,L1382&gt;0,K1382-L1382&gt;0,COUNTIFS(A1383:A$2005,A1382,F1383:F$2005,F1382,H1383:H$2005,H1382,AA1383:AA$2005,"&gt;0")=0),ROUND(K1382-L1382,6),""),"")</f>
        <v/>
      </c>
      <c r="X1382" s="60" t="str">
        <f>IF(AND(A1382="",C1382="",D1382="",H1382="",L1382=""),"",IF(A1382="","Type manquant",IF(AND(A1382&lt;&gt;"BL",A1382&lt;&gt;"BR",A1382&lt;&gt;"BS"),"Type inconnu (BL, BR ou BS)",IF(AG1382=0,"Date manquante ou invalide",IF(D1382="",IF(A1382="BL","Client manquant",IF(A1382="BR","Fournisseur manquant","Service manquant")),IF(IF(A1382="BL",ISNA(MATCH(D1382,cl_code,0)),IF(A1382="BR",ISNA(MATCH(D1382,fo_code,0)),ISNA(MATCH(D1382,p_services,0)))),IF(A1382="BL","Client inconnu",IF(A1382="BR","Fournisseur inconnu","Service inconnu")),IF(H1382="","Article manquant",IF(ISNA(MATCH(H1382,art_ref,0)),"Article inconnu",IF(OR(NOT(ISNUMBER(L1382)),N(L1382)&lt;=0),"Quantité invalide",IF(AND(K1382&lt;&gt;"",OR(NOT(ISNUMBER(K1382)),N(K1382)&lt;=0)),"Qté commandée invalide",IF(AG1382&lt;SUMPRODUCT(MAX((A$6:A1381=A1382)*AG$6:AG1381)),"Date antérieure au bon précédent",IF(AND(A1382&lt;&gt;"BR",ISNUMBER(M1382),N(M1382)&gt;0),IF(A1382="BL","Livré plus que commandé","Sorti plus que demandé"),"OK"))))))))))))</f>
        <v/>
      </c>
      <c r="Y1382" s="57" t="str">
        <f>IF(AND(OR(A1382="BL",A1382="BR",A1382="BS"),AG1382&gt;0,D1382&lt;&gt;""),A1382&amp;"|"&amp;AG1382&amp;"|"&amp;D1382&amp;"|"&amp;F1382,"")</f>
        <v/>
      </c>
      <c r="Z1382" s="57" t="str">
        <f>IF(Y1382="","",IF(COUNTIF(Y$6:Y1381,Y1382)=0,1,0))</f>
        <v/>
      </c>
      <c r="AA1382" s="57" t="str">
        <f>IF(Y1382="","",IF(Z1382=1,COUNTIFS(A$6:A1382,A1382,Z$6:Z1382,1),INDEX(AA$6:AA1381,MATCH(Y1382,Y$6:Y1381,0))))</f>
        <v/>
      </c>
      <c r="AB1382" s="57" t="str">
        <f>IF(B1382="","",COUNTIF(B$6:B1382,B1382))</f>
        <v/>
      </c>
      <c r="AC1382" s="57" t="str">
        <f>IF(B1382="","",B1382&amp;"#"&amp;AB1382)</f>
        <v/>
      </c>
      <c r="AD1382" s="57" t="str">
        <f>IF(Z1382=1,A1382&amp;AA1382,"")</f>
        <v/>
      </c>
      <c r="AE1382" s="57" t="str">
        <f>IF(B1382="","",YEAR(C1382))</f>
        <v/>
      </c>
      <c r="AF1382" s="57" t="str">
        <f>IF(B1382="","",MONTH(C1382))</f>
        <v/>
      </c>
      <c r="AG1382" s="57">
        <f>IF(ISNUMBER(C1382),C1382,0)</f>
        <v>0.0</v>
      </c>
      <c r="AH1382" s="57" t="str">
        <f>IF(N(W1382)&gt;0,COUNTIF(W$6:W1382,"&gt;0"),"")</f>
        <v/>
      </c>
      <c r="AI1382" s="57" t="str">
        <f>IF(Z1382=1,COUNTIF(Z$6:Z1382,1),"")</f>
        <v/>
      </c>
    </row>
    <row r="1383">
      <c r="A1383" s="54" t="n"/>
      <c r="B1383" s="55" t="str">
        <f>IF(AA1383="","",A1383&amp;"-"&amp;RIGHT("000"&amp;AA1383,4))</f>
        <v/>
      </c>
      <c r="C1383" s="56" t="n"/>
      <c r="D1383" s="54" t="n"/>
      <c r="E1383" s="57" t="str">
        <f>IF(D1383="","",IF(A1383="BL",IFERROR(INDEX(cl_name,MATCH(D1383,cl_code,0))&amp;"","Client inconnu"),IF(A1383="BR",IFERROR(INDEX(fo_name,MATCH(D1383,fo_code,0))&amp;"","Fournisseur inconnu"),IF(A1383="BS",IF(ISNA(MATCH(D1383,p_services,0)),"Service inconnu",D1383&amp;""),""))))</f>
        <v/>
      </c>
      <c r="F1383" s="58" t="n"/>
      <c r="G1383" s="58" t="n"/>
      <c r="H1383" s="59" t="n"/>
      <c r="I1383" s="57" t="str">
        <f>IF(H1383="","",IFERROR(INDEX(art_des,MATCH(H1383,art_ref,0))&amp;"","Article inconnu"))</f>
        <v/>
      </c>
      <c r="J1383" s="60" t="str">
        <f>IF(H1383="","",IFERROR(INDEX(art_unit,MATCH(H1383,art_ref,0))&amp;"",""))</f>
        <v/>
      </c>
      <c r="K1383" s="59" t="n"/>
      <c r="L1383" s="59" t="n"/>
      <c r="M1383" s="61" t="str">
        <f>IF(OR(B1383="",NOT(ISNUMBER(K1383)),NOT(ISNUMBER(L1383))),"",IF(OR(K1383&lt;=0,L1383&lt;=0),"",ROUND(L1383-K1383,6)))</f>
        <v/>
      </c>
      <c r="N1383" s="58" t="n"/>
      <c r="O1383" s="62" t="n"/>
      <c r="P1383" s="63" t="str">
        <f>IF(OR(B1383="",NOT(ISNUMBER(L1383))),"",IF(L1383&lt;=0,"",IFERROR(ROUND(L1383*N(INDEX(art_w,MATCH(H1383,art_ref,0))),3),"")))</f>
        <v/>
      </c>
      <c r="Q1383" s="59" t="n"/>
      <c r="R1383" s="54" t="n"/>
      <c r="S1383" s="59" t="n"/>
      <c r="T1383" s="59" t="n"/>
      <c r="U1383" s="64" t="str">
        <f>IF(OR(B1383="",H1383=""),"",IFERROR(IF(A1383="BL",IF(N(INDEX(art_price,MATCH(H1383,art_ref,0)))=0,"",N(INDEX(art_price,MATCH(H1383,art_ref,0)))),IF(N(INDEX(art_cost,MATCH(H1383,art_ref,0)))=0,"",N(INDEX(art_cost,MATCH(H1383,art_ref,0))))),""))</f>
        <v/>
      </c>
      <c r="V1383" s="64" t="str">
        <f>IF(OR(U1383="",NOT(ISNUMBER(L1383))),"",IF(L1383&lt;=0,"",ROUND(L1383*U1383,2)))</f>
        <v/>
      </c>
      <c r="W1383" s="60" t="str">
        <f>IF(AND(B1383&lt;&gt;"",A1383&lt;&gt;"BS",F1383&lt;&gt;"",H1383&lt;&gt;"",ISNUMBER(K1383),ISNUMBER(L1383)),IF(AND(K1383&gt;0,L1383&gt;0,K1383-L1383&gt;0,COUNTIFS(A1384:A$2005,A1383,F1384:F$2005,F1383,H1384:H$2005,H1383,AA1384:AA$2005,"&gt;0")=0),ROUND(K1383-L1383,6),""),"")</f>
        <v/>
      </c>
      <c r="X1383" s="60" t="str">
        <f>IF(AND(A1383="",C1383="",D1383="",H1383="",L1383=""),"",IF(A1383="","Type manquant",IF(AND(A1383&lt;&gt;"BL",A1383&lt;&gt;"BR",A1383&lt;&gt;"BS"),"Type inconnu (BL, BR ou BS)",IF(AG1383=0,"Date manquante ou invalide",IF(D1383="",IF(A1383="BL","Client manquant",IF(A1383="BR","Fournisseur manquant","Service manquant")),IF(IF(A1383="BL",ISNA(MATCH(D1383,cl_code,0)),IF(A1383="BR",ISNA(MATCH(D1383,fo_code,0)),ISNA(MATCH(D1383,p_services,0)))),IF(A1383="BL","Client inconnu",IF(A1383="BR","Fournisseur inconnu","Service inconnu")),IF(H1383="","Article manquant",IF(ISNA(MATCH(H1383,art_ref,0)),"Article inconnu",IF(OR(NOT(ISNUMBER(L1383)),N(L1383)&lt;=0),"Quantité invalide",IF(AND(K1383&lt;&gt;"",OR(NOT(ISNUMBER(K1383)),N(K1383)&lt;=0)),"Qté commandée invalide",IF(AG1383&lt;SUMPRODUCT(MAX((A$6:A1382=A1383)*AG$6:AG1382)),"Date antérieure au bon précédent",IF(AND(A1383&lt;&gt;"BR",ISNUMBER(M1383),N(M1383)&gt;0),IF(A1383="BL","Livré plus que commandé","Sorti plus que demandé"),"OK"))))))))))))</f>
        <v/>
      </c>
      <c r="Y1383" s="57" t="str">
        <f>IF(AND(OR(A1383="BL",A1383="BR",A1383="BS"),AG1383&gt;0,D1383&lt;&gt;""),A1383&amp;"|"&amp;AG1383&amp;"|"&amp;D1383&amp;"|"&amp;F1383,"")</f>
        <v/>
      </c>
      <c r="Z1383" s="57" t="str">
        <f>IF(Y1383="","",IF(COUNTIF(Y$6:Y1382,Y1383)=0,1,0))</f>
        <v/>
      </c>
      <c r="AA1383" s="57" t="str">
        <f>IF(Y1383="","",IF(Z1383=1,COUNTIFS(A$6:A1383,A1383,Z$6:Z1383,1),INDEX(AA$6:AA1382,MATCH(Y1383,Y$6:Y1382,0))))</f>
        <v/>
      </c>
      <c r="AB1383" s="57" t="str">
        <f>IF(B1383="","",COUNTIF(B$6:B1383,B1383))</f>
        <v/>
      </c>
      <c r="AC1383" s="57" t="str">
        <f>IF(B1383="","",B1383&amp;"#"&amp;AB1383)</f>
        <v/>
      </c>
      <c r="AD1383" s="57" t="str">
        <f>IF(Z1383=1,A1383&amp;AA1383,"")</f>
        <v/>
      </c>
      <c r="AE1383" s="57" t="str">
        <f>IF(B1383="","",YEAR(C1383))</f>
        <v/>
      </c>
      <c r="AF1383" s="57" t="str">
        <f>IF(B1383="","",MONTH(C1383))</f>
        <v/>
      </c>
      <c r="AG1383" s="57">
        <f>IF(ISNUMBER(C1383),C1383,0)</f>
        <v>0.0</v>
      </c>
      <c r="AH1383" s="57" t="str">
        <f>IF(N(W1383)&gt;0,COUNTIF(W$6:W1383,"&gt;0"),"")</f>
        <v/>
      </c>
      <c r="AI1383" s="57" t="str">
        <f>IF(Z1383=1,COUNTIF(Z$6:Z1383,1),"")</f>
        <v/>
      </c>
    </row>
    <row r="1384">
      <c r="A1384" s="54" t="n"/>
      <c r="B1384" s="55" t="str">
        <f>IF(AA1384="","",A1384&amp;"-"&amp;RIGHT("000"&amp;AA1384,4))</f>
        <v/>
      </c>
      <c r="C1384" s="56" t="n"/>
      <c r="D1384" s="54" t="n"/>
      <c r="E1384" s="57" t="str">
        <f>IF(D1384="","",IF(A1384="BL",IFERROR(INDEX(cl_name,MATCH(D1384,cl_code,0))&amp;"","Client inconnu"),IF(A1384="BR",IFERROR(INDEX(fo_name,MATCH(D1384,fo_code,0))&amp;"","Fournisseur inconnu"),IF(A1384="BS",IF(ISNA(MATCH(D1384,p_services,0)),"Service inconnu",D1384&amp;""),""))))</f>
        <v/>
      </c>
      <c r="F1384" s="58" t="n"/>
      <c r="G1384" s="58" t="n"/>
      <c r="H1384" s="59" t="n"/>
      <c r="I1384" s="57" t="str">
        <f>IF(H1384="","",IFERROR(INDEX(art_des,MATCH(H1384,art_ref,0))&amp;"","Article inconnu"))</f>
        <v/>
      </c>
      <c r="J1384" s="60" t="str">
        <f>IF(H1384="","",IFERROR(INDEX(art_unit,MATCH(H1384,art_ref,0))&amp;"",""))</f>
        <v/>
      </c>
      <c r="K1384" s="59" t="n"/>
      <c r="L1384" s="59" t="n"/>
      <c r="M1384" s="61" t="str">
        <f>IF(OR(B1384="",NOT(ISNUMBER(K1384)),NOT(ISNUMBER(L1384))),"",IF(OR(K1384&lt;=0,L1384&lt;=0),"",ROUND(L1384-K1384,6)))</f>
        <v/>
      </c>
      <c r="N1384" s="58" t="n"/>
      <c r="O1384" s="62" t="n"/>
      <c r="P1384" s="63" t="str">
        <f>IF(OR(B1384="",NOT(ISNUMBER(L1384))),"",IF(L1384&lt;=0,"",IFERROR(ROUND(L1384*N(INDEX(art_w,MATCH(H1384,art_ref,0))),3),"")))</f>
        <v/>
      </c>
      <c r="Q1384" s="59" t="n"/>
      <c r="R1384" s="54" t="n"/>
      <c r="S1384" s="59" t="n"/>
      <c r="T1384" s="59" t="n"/>
      <c r="U1384" s="64" t="str">
        <f>IF(OR(B1384="",H1384=""),"",IFERROR(IF(A1384="BL",IF(N(INDEX(art_price,MATCH(H1384,art_ref,0)))=0,"",N(INDEX(art_price,MATCH(H1384,art_ref,0)))),IF(N(INDEX(art_cost,MATCH(H1384,art_ref,0)))=0,"",N(INDEX(art_cost,MATCH(H1384,art_ref,0))))),""))</f>
        <v/>
      </c>
      <c r="V1384" s="64" t="str">
        <f>IF(OR(U1384="",NOT(ISNUMBER(L1384))),"",IF(L1384&lt;=0,"",ROUND(L1384*U1384,2)))</f>
        <v/>
      </c>
      <c r="W1384" s="60" t="str">
        <f>IF(AND(B1384&lt;&gt;"",A1384&lt;&gt;"BS",F1384&lt;&gt;"",H1384&lt;&gt;"",ISNUMBER(K1384),ISNUMBER(L1384)),IF(AND(K1384&gt;0,L1384&gt;0,K1384-L1384&gt;0,COUNTIFS(A1385:A$2005,A1384,F1385:F$2005,F1384,H1385:H$2005,H1384,AA1385:AA$2005,"&gt;0")=0),ROUND(K1384-L1384,6),""),"")</f>
        <v/>
      </c>
      <c r="X1384" s="60" t="str">
        <f>IF(AND(A1384="",C1384="",D1384="",H1384="",L1384=""),"",IF(A1384="","Type manquant",IF(AND(A1384&lt;&gt;"BL",A1384&lt;&gt;"BR",A1384&lt;&gt;"BS"),"Type inconnu (BL, BR ou BS)",IF(AG1384=0,"Date manquante ou invalide",IF(D1384="",IF(A1384="BL","Client manquant",IF(A1384="BR","Fournisseur manquant","Service manquant")),IF(IF(A1384="BL",ISNA(MATCH(D1384,cl_code,0)),IF(A1384="BR",ISNA(MATCH(D1384,fo_code,0)),ISNA(MATCH(D1384,p_services,0)))),IF(A1384="BL","Client inconnu",IF(A1384="BR","Fournisseur inconnu","Service inconnu")),IF(H1384="","Article manquant",IF(ISNA(MATCH(H1384,art_ref,0)),"Article inconnu",IF(OR(NOT(ISNUMBER(L1384)),N(L1384)&lt;=0),"Quantité invalide",IF(AND(K1384&lt;&gt;"",OR(NOT(ISNUMBER(K1384)),N(K1384)&lt;=0)),"Qté commandée invalide",IF(AG1384&lt;SUMPRODUCT(MAX((A$6:A1383=A1384)*AG$6:AG1383)),"Date antérieure au bon précédent",IF(AND(A1384&lt;&gt;"BR",ISNUMBER(M1384),N(M1384)&gt;0),IF(A1384="BL","Livré plus que commandé","Sorti plus que demandé"),"OK"))))))))))))</f>
        <v/>
      </c>
      <c r="Y1384" s="57" t="str">
        <f>IF(AND(OR(A1384="BL",A1384="BR",A1384="BS"),AG1384&gt;0,D1384&lt;&gt;""),A1384&amp;"|"&amp;AG1384&amp;"|"&amp;D1384&amp;"|"&amp;F1384,"")</f>
        <v/>
      </c>
      <c r="Z1384" s="57" t="str">
        <f>IF(Y1384="","",IF(COUNTIF(Y$6:Y1383,Y1384)=0,1,0))</f>
        <v/>
      </c>
      <c r="AA1384" s="57" t="str">
        <f>IF(Y1384="","",IF(Z1384=1,COUNTIFS(A$6:A1384,A1384,Z$6:Z1384,1),INDEX(AA$6:AA1383,MATCH(Y1384,Y$6:Y1383,0))))</f>
        <v/>
      </c>
      <c r="AB1384" s="57" t="str">
        <f>IF(B1384="","",COUNTIF(B$6:B1384,B1384))</f>
        <v/>
      </c>
      <c r="AC1384" s="57" t="str">
        <f>IF(B1384="","",B1384&amp;"#"&amp;AB1384)</f>
        <v/>
      </c>
      <c r="AD1384" s="57" t="str">
        <f>IF(Z1384=1,A1384&amp;AA1384,"")</f>
        <v/>
      </c>
      <c r="AE1384" s="57" t="str">
        <f>IF(B1384="","",YEAR(C1384))</f>
        <v/>
      </c>
      <c r="AF1384" s="57" t="str">
        <f>IF(B1384="","",MONTH(C1384))</f>
        <v/>
      </c>
      <c r="AG1384" s="57">
        <f>IF(ISNUMBER(C1384),C1384,0)</f>
        <v>0.0</v>
      </c>
      <c r="AH1384" s="57" t="str">
        <f>IF(N(W1384)&gt;0,COUNTIF(W$6:W1384,"&gt;0"),"")</f>
        <v/>
      </c>
      <c r="AI1384" s="57" t="str">
        <f>IF(Z1384=1,COUNTIF(Z$6:Z1384,1),"")</f>
        <v/>
      </c>
    </row>
    <row r="1385">
      <c r="A1385" s="54" t="n"/>
      <c r="B1385" s="55" t="str">
        <f>IF(AA1385="","",A1385&amp;"-"&amp;RIGHT("000"&amp;AA1385,4))</f>
        <v/>
      </c>
      <c r="C1385" s="56" t="n"/>
      <c r="D1385" s="54" t="n"/>
      <c r="E1385" s="57" t="str">
        <f>IF(D1385="","",IF(A1385="BL",IFERROR(INDEX(cl_name,MATCH(D1385,cl_code,0))&amp;"","Client inconnu"),IF(A1385="BR",IFERROR(INDEX(fo_name,MATCH(D1385,fo_code,0))&amp;"","Fournisseur inconnu"),IF(A1385="BS",IF(ISNA(MATCH(D1385,p_services,0)),"Service inconnu",D1385&amp;""),""))))</f>
        <v/>
      </c>
      <c r="F1385" s="58" t="n"/>
      <c r="G1385" s="58" t="n"/>
      <c r="H1385" s="59" t="n"/>
      <c r="I1385" s="57" t="str">
        <f>IF(H1385="","",IFERROR(INDEX(art_des,MATCH(H1385,art_ref,0))&amp;"","Article inconnu"))</f>
        <v/>
      </c>
      <c r="J1385" s="60" t="str">
        <f>IF(H1385="","",IFERROR(INDEX(art_unit,MATCH(H1385,art_ref,0))&amp;"",""))</f>
        <v/>
      </c>
      <c r="K1385" s="59" t="n"/>
      <c r="L1385" s="59" t="n"/>
      <c r="M1385" s="61" t="str">
        <f>IF(OR(B1385="",NOT(ISNUMBER(K1385)),NOT(ISNUMBER(L1385))),"",IF(OR(K1385&lt;=0,L1385&lt;=0),"",ROUND(L1385-K1385,6)))</f>
        <v/>
      </c>
      <c r="N1385" s="58" t="n"/>
      <c r="O1385" s="62" t="n"/>
      <c r="P1385" s="63" t="str">
        <f>IF(OR(B1385="",NOT(ISNUMBER(L1385))),"",IF(L1385&lt;=0,"",IFERROR(ROUND(L1385*N(INDEX(art_w,MATCH(H1385,art_ref,0))),3),"")))</f>
        <v/>
      </c>
      <c r="Q1385" s="59" t="n"/>
      <c r="R1385" s="54" t="n"/>
      <c r="S1385" s="59" t="n"/>
      <c r="T1385" s="59" t="n"/>
      <c r="U1385" s="64" t="str">
        <f>IF(OR(B1385="",H1385=""),"",IFERROR(IF(A1385="BL",IF(N(INDEX(art_price,MATCH(H1385,art_ref,0)))=0,"",N(INDEX(art_price,MATCH(H1385,art_ref,0)))),IF(N(INDEX(art_cost,MATCH(H1385,art_ref,0)))=0,"",N(INDEX(art_cost,MATCH(H1385,art_ref,0))))),""))</f>
        <v/>
      </c>
      <c r="V1385" s="64" t="str">
        <f>IF(OR(U1385="",NOT(ISNUMBER(L1385))),"",IF(L1385&lt;=0,"",ROUND(L1385*U1385,2)))</f>
        <v/>
      </c>
      <c r="W1385" s="60" t="str">
        <f>IF(AND(B1385&lt;&gt;"",A1385&lt;&gt;"BS",F1385&lt;&gt;"",H1385&lt;&gt;"",ISNUMBER(K1385),ISNUMBER(L1385)),IF(AND(K1385&gt;0,L1385&gt;0,K1385-L1385&gt;0,COUNTIFS(A1386:A$2005,A1385,F1386:F$2005,F1385,H1386:H$2005,H1385,AA1386:AA$2005,"&gt;0")=0),ROUND(K1385-L1385,6),""),"")</f>
        <v/>
      </c>
      <c r="X1385" s="60" t="str">
        <f>IF(AND(A1385="",C1385="",D1385="",H1385="",L1385=""),"",IF(A1385="","Type manquant",IF(AND(A1385&lt;&gt;"BL",A1385&lt;&gt;"BR",A1385&lt;&gt;"BS"),"Type inconnu (BL, BR ou BS)",IF(AG1385=0,"Date manquante ou invalide",IF(D1385="",IF(A1385="BL","Client manquant",IF(A1385="BR","Fournisseur manquant","Service manquant")),IF(IF(A1385="BL",ISNA(MATCH(D1385,cl_code,0)),IF(A1385="BR",ISNA(MATCH(D1385,fo_code,0)),ISNA(MATCH(D1385,p_services,0)))),IF(A1385="BL","Client inconnu",IF(A1385="BR","Fournisseur inconnu","Service inconnu")),IF(H1385="","Article manquant",IF(ISNA(MATCH(H1385,art_ref,0)),"Article inconnu",IF(OR(NOT(ISNUMBER(L1385)),N(L1385)&lt;=0),"Quantité invalide",IF(AND(K1385&lt;&gt;"",OR(NOT(ISNUMBER(K1385)),N(K1385)&lt;=0)),"Qté commandée invalide",IF(AG1385&lt;SUMPRODUCT(MAX((A$6:A1384=A1385)*AG$6:AG1384)),"Date antérieure au bon précédent",IF(AND(A1385&lt;&gt;"BR",ISNUMBER(M1385),N(M1385)&gt;0),IF(A1385="BL","Livré plus que commandé","Sorti plus que demandé"),"OK"))))))))))))</f>
        <v/>
      </c>
      <c r="Y1385" s="57" t="str">
        <f>IF(AND(OR(A1385="BL",A1385="BR",A1385="BS"),AG1385&gt;0,D1385&lt;&gt;""),A1385&amp;"|"&amp;AG1385&amp;"|"&amp;D1385&amp;"|"&amp;F1385,"")</f>
        <v/>
      </c>
      <c r="Z1385" s="57" t="str">
        <f>IF(Y1385="","",IF(COUNTIF(Y$6:Y1384,Y1385)=0,1,0))</f>
        <v/>
      </c>
      <c r="AA1385" s="57" t="str">
        <f>IF(Y1385="","",IF(Z1385=1,COUNTIFS(A$6:A1385,A1385,Z$6:Z1385,1),INDEX(AA$6:AA1384,MATCH(Y1385,Y$6:Y1384,0))))</f>
        <v/>
      </c>
      <c r="AB1385" s="57" t="str">
        <f>IF(B1385="","",COUNTIF(B$6:B1385,B1385))</f>
        <v/>
      </c>
      <c r="AC1385" s="57" t="str">
        <f>IF(B1385="","",B1385&amp;"#"&amp;AB1385)</f>
        <v/>
      </c>
      <c r="AD1385" s="57" t="str">
        <f>IF(Z1385=1,A1385&amp;AA1385,"")</f>
        <v/>
      </c>
      <c r="AE1385" s="57" t="str">
        <f>IF(B1385="","",YEAR(C1385))</f>
        <v/>
      </c>
      <c r="AF1385" s="57" t="str">
        <f>IF(B1385="","",MONTH(C1385))</f>
        <v/>
      </c>
      <c r="AG1385" s="57">
        <f>IF(ISNUMBER(C1385),C1385,0)</f>
        <v>0.0</v>
      </c>
      <c r="AH1385" s="57" t="str">
        <f>IF(N(W1385)&gt;0,COUNTIF(W$6:W1385,"&gt;0"),"")</f>
        <v/>
      </c>
      <c r="AI1385" s="57" t="str">
        <f>IF(Z1385=1,COUNTIF(Z$6:Z1385,1),"")</f>
        <v/>
      </c>
    </row>
    <row r="1386">
      <c r="A1386" s="54" t="n"/>
      <c r="B1386" s="55" t="str">
        <f>IF(AA1386="","",A1386&amp;"-"&amp;RIGHT("000"&amp;AA1386,4))</f>
        <v/>
      </c>
      <c r="C1386" s="56" t="n"/>
      <c r="D1386" s="54" t="n"/>
      <c r="E1386" s="57" t="str">
        <f>IF(D1386="","",IF(A1386="BL",IFERROR(INDEX(cl_name,MATCH(D1386,cl_code,0))&amp;"","Client inconnu"),IF(A1386="BR",IFERROR(INDEX(fo_name,MATCH(D1386,fo_code,0))&amp;"","Fournisseur inconnu"),IF(A1386="BS",IF(ISNA(MATCH(D1386,p_services,0)),"Service inconnu",D1386&amp;""),""))))</f>
        <v/>
      </c>
      <c r="F1386" s="58" t="n"/>
      <c r="G1386" s="58" t="n"/>
      <c r="H1386" s="59" t="n"/>
      <c r="I1386" s="57" t="str">
        <f>IF(H1386="","",IFERROR(INDEX(art_des,MATCH(H1386,art_ref,0))&amp;"","Article inconnu"))</f>
        <v/>
      </c>
      <c r="J1386" s="60" t="str">
        <f>IF(H1386="","",IFERROR(INDEX(art_unit,MATCH(H1386,art_ref,0))&amp;"",""))</f>
        <v/>
      </c>
      <c r="K1386" s="59" t="n"/>
      <c r="L1386" s="59" t="n"/>
      <c r="M1386" s="61" t="str">
        <f>IF(OR(B1386="",NOT(ISNUMBER(K1386)),NOT(ISNUMBER(L1386))),"",IF(OR(K1386&lt;=0,L1386&lt;=0),"",ROUND(L1386-K1386,6)))</f>
        <v/>
      </c>
      <c r="N1386" s="58" t="n"/>
      <c r="O1386" s="62" t="n"/>
      <c r="P1386" s="63" t="str">
        <f>IF(OR(B1386="",NOT(ISNUMBER(L1386))),"",IF(L1386&lt;=0,"",IFERROR(ROUND(L1386*N(INDEX(art_w,MATCH(H1386,art_ref,0))),3),"")))</f>
        <v/>
      </c>
      <c r="Q1386" s="59" t="n"/>
      <c r="R1386" s="54" t="n"/>
      <c r="S1386" s="59" t="n"/>
      <c r="T1386" s="59" t="n"/>
      <c r="U1386" s="64" t="str">
        <f>IF(OR(B1386="",H1386=""),"",IFERROR(IF(A1386="BL",IF(N(INDEX(art_price,MATCH(H1386,art_ref,0)))=0,"",N(INDEX(art_price,MATCH(H1386,art_ref,0)))),IF(N(INDEX(art_cost,MATCH(H1386,art_ref,0)))=0,"",N(INDEX(art_cost,MATCH(H1386,art_ref,0))))),""))</f>
        <v/>
      </c>
      <c r="V1386" s="64" t="str">
        <f>IF(OR(U1386="",NOT(ISNUMBER(L1386))),"",IF(L1386&lt;=0,"",ROUND(L1386*U1386,2)))</f>
        <v/>
      </c>
      <c r="W1386" s="60" t="str">
        <f>IF(AND(B1386&lt;&gt;"",A1386&lt;&gt;"BS",F1386&lt;&gt;"",H1386&lt;&gt;"",ISNUMBER(K1386),ISNUMBER(L1386)),IF(AND(K1386&gt;0,L1386&gt;0,K1386-L1386&gt;0,COUNTIFS(A1387:A$2005,A1386,F1387:F$2005,F1386,H1387:H$2005,H1386,AA1387:AA$2005,"&gt;0")=0),ROUND(K1386-L1386,6),""),"")</f>
        <v/>
      </c>
      <c r="X1386" s="60" t="str">
        <f>IF(AND(A1386="",C1386="",D1386="",H1386="",L1386=""),"",IF(A1386="","Type manquant",IF(AND(A1386&lt;&gt;"BL",A1386&lt;&gt;"BR",A1386&lt;&gt;"BS"),"Type inconnu (BL, BR ou BS)",IF(AG1386=0,"Date manquante ou invalide",IF(D1386="",IF(A1386="BL","Client manquant",IF(A1386="BR","Fournisseur manquant","Service manquant")),IF(IF(A1386="BL",ISNA(MATCH(D1386,cl_code,0)),IF(A1386="BR",ISNA(MATCH(D1386,fo_code,0)),ISNA(MATCH(D1386,p_services,0)))),IF(A1386="BL","Client inconnu",IF(A1386="BR","Fournisseur inconnu","Service inconnu")),IF(H1386="","Article manquant",IF(ISNA(MATCH(H1386,art_ref,0)),"Article inconnu",IF(OR(NOT(ISNUMBER(L1386)),N(L1386)&lt;=0),"Quantité invalide",IF(AND(K1386&lt;&gt;"",OR(NOT(ISNUMBER(K1386)),N(K1386)&lt;=0)),"Qté commandée invalide",IF(AG1386&lt;SUMPRODUCT(MAX((A$6:A1385=A1386)*AG$6:AG1385)),"Date antérieure au bon précédent",IF(AND(A1386&lt;&gt;"BR",ISNUMBER(M1386),N(M1386)&gt;0),IF(A1386="BL","Livré plus que commandé","Sorti plus que demandé"),"OK"))))))))))))</f>
        <v/>
      </c>
      <c r="Y1386" s="57" t="str">
        <f>IF(AND(OR(A1386="BL",A1386="BR",A1386="BS"),AG1386&gt;0,D1386&lt;&gt;""),A1386&amp;"|"&amp;AG1386&amp;"|"&amp;D1386&amp;"|"&amp;F1386,"")</f>
        <v/>
      </c>
      <c r="Z1386" s="57" t="str">
        <f>IF(Y1386="","",IF(COUNTIF(Y$6:Y1385,Y1386)=0,1,0))</f>
        <v/>
      </c>
      <c r="AA1386" s="57" t="str">
        <f>IF(Y1386="","",IF(Z1386=1,COUNTIFS(A$6:A1386,A1386,Z$6:Z1386,1),INDEX(AA$6:AA1385,MATCH(Y1386,Y$6:Y1385,0))))</f>
        <v/>
      </c>
      <c r="AB1386" s="57" t="str">
        <f>IF(B1386="","",COUNTIF(B$6:B1386,B1386))</f>
        <v/>
      </c>
      <c r="AC1386" s="57" t="str">
        <f>IF(B1386="","",B1386&amp;"#"&amp;AB1386)</f>
        <v/>
      </c>
      <c r="AD1386" s="57" t="str">
        <f>IF(Z1386=1,A1386&amp;AA1386,"")</f>
        <v/>
      </c>
      <c r="AE1386" s="57" t="str">
        <f>IF(B1386="","",YEAR(C1386))</f>
        <v/>
      </c>
      <c r="AF1386" s="57" t="str">
        <f>IF(B1386="","",MONTH(C1386))</f>
        <v/>
      </c>
      <c r="AG1386" s="57">
        <f>IF(ISNUMBER(C1386),C1386,0)</f>
        <v>0.0</v>
      </c>
      <c r="AH1386" s="57" t="str">
        <f>IF(N(W1386)&gt;0,COUNTIF(W$6:W1386,"&gt;0"),"")</f>
        <v/>
      </c>
      <c r="AI1386" s="57" t="str">
        <f>IF(Z1386=1,COUNTIF(Z$6:Z1386,1),"")</f>
        <v/>
      </c>
    </row>
    <row r="1387">
      <c r="A1387" s="54" t="n"/>
      <c r="B1387" s="55" t="str">
        <f>IF(AA1387="","",A1387&amp;"-"&amp;RIGHT("000"&amp;AA1387,4))</f>
        <v/>
      </c>
      <c r="C1387" s="56" t="n"/>
      <c r="D1387" s="54" t="n"/>
      <c r="E1387" s="57" t="str">
        <f>IF(D1387="","",IF(A1387="BL",IFERROR(INDEX(cl_name,MATCH(D1387,cl_code,0))&amp;"","Client inconnu"),IF(A1387="BR",IFERROR(INDEX(fo_name,MATCH(D1387,fo_code,0))&amp;"","Fournisseur inconnu"),IF(A1387="BS",IF(ISNA(MATCH(D1387,p_services,0)),"Service inconnu",D1387&amp;""),""))))</f>
        <v/>
      </c>
      <c r="F1387" s="58" t="n"/>
      <c r="G1387" s="58" t="n"/>
      <c r="H1387" s="59" t="n"/>
      <c r="I1387" s="57" t="str">
        <f>IF(H1387="","",IFERROR(INDEX(art_des,MATCH(H1387,art_ref,0))&amp;"","Article inconnu"))</f>
        <v/>
      </c>
      <c r="J1387" s="60" t="str">
        <f>IF(H1387="","",IFERROR(INDEX(art_unit,MATCH(H1387,art_ref,0))&amp;"",""))</f>
        <v/>
      </c>
      <c r="K1387" s="59" t="n"/>
      <c r="L1387" s="59" t="n"/>
      <c r="M1387" s="61" t="str">
        <f>IF(OR(B1387="",NOT(ISNUMBER(K1387)),NOT(ISNUMBER(L1387))),"",IF(OR(K1387&lt;=0,L1387&lt;=0),"",ROUND(L1387-K1387,6)))</f>
        <v/>
      </c>
      <c r="N1387" s="58" t="n"/>
      <c r="O1387" s="62" t="n"/>
      <c r="P1387" s="63" t="str">
        <f>IF(OR(B1387="",NOT(ISNUMBER(L1387))),"",IF(L1387&lt;=0,"",IFERROR(ROUND(L1387*N(INDEX(art_w,MATCH(H1387,art_ref,0))),3),"")))</f>
        <v/>
      </c>
      <c r="Q1387" s="59" t="n"/>
      <c r="R1387" s="54" t="n"/>
      <c r="S1387" s="59" t="n"/>
      <c r="T1387" s="59" t="n"/>
      <c r="U1387" s="64" t="str">
        <f>IF(OR(B1387="",H1387=""),"",IFERROR(IF(A1387="BL",IF(N(INDEX(art_price,MATCH(H1387,art_ref,0)))=0,"",N(INDEX(art_price,MATCH(H1387,art_ref,0)))),IF(N(INDEX(art_cost,MATCH(H1387,art_ref,0)))=0,"",N(INDEX(art_cost,MATCH(H1387,art_ref,0))))),""))</f>
        <v/>
      </c>
      <c r="V1387" s="64" t="str">
        <f>IF(OR(U1387="",NOT(ISNUMBER(L1387))),"",IF(L1387&lt;=0,"",ROUND(L1387*U1387,2)))</f>
        <v/>
      </c>
      <c r="W1387" s="60" t="str">
        <f>IF(AND(B1387&lt;&gt;"",A1387&lt;&gt;"BS",F1387&lt;&gt;"",H1387&lt;&gt;"",ISNUMBER(K1387),ISNUMBER(L1387)),IF(AND(K1387&gt;0,L1387&gt;0,K1387-L1387&gt;0,COUNTIFS(A1388:A$2005,A1387,F1388:F$2005,F1387,H1388:H$2005,H1387,AA1388:AA$2005,"&gt;0")=0),ROUND(K1387-L1387,6),""),"")</f>
        <v/>
      </c>
      <c r="X1387" s="60" t="str">
        <f>IF(AND(A1387="",C1387="",D1387="",H1387="",L1387=""),"",IF(A1387="","Type manquant",IF(AND(A1387&lt;&gt;"BL",A1387&lt;&gt;"BR",A1387&lt;&gt;"BS"),"Type inconnu (BL, BR ou BS)",IF(AG1387=0,"Date manquante ou invalide",IF(D1387="",IF(A1387="BL","Client manquant",IF(A1387="BR","Fournisseur manquant","Service manquant")),IF(IF(A1387="BL",ISNA(MATCH(D1387,cl_code,0)),IF(A1387="BR",ISNA(MATCH(D1387,fo_code,0)),ISNA(MATCH(D1387,p_services,0)))),IF(A1387="BL","Client inconnu",IF(A1387="BR","Fournisseur inconnu","Service inconnu")),IF(H1387="","Article manquant",IF(ISNA(MATCH(H1387,art_ref,0)),"Article inconnu",IF(OR(NOT(ISNUMBER(L1387)),N(L1387)&lt;=0),"Quantité invalide",IF(AND(K1387&lt;&gt;"",OR(NOT(ISNUMBER(K1387)),N(K1387)&lt;=0)),"Qté commandée invalide",IF(AG1387&lt;SUMPRODUCT(MAX((A$6:A1386=A1387)*AG$6:AG1386)),"Date antérieure au bon précédent",IF(AND(A1387&lt;&gt;"BR",ISNUMBER(M1387),N(M1387)&gt;0),IF(A1387="BL","Livré plus que commandé","Sorti plus que demandé"),"OK"))))))))))))</f>
        <v/>
      </c>
      <c r="Y1387" s="57" t="str">
        <f>IF(AND(OR(A1387="BL",A1387="BR",A1387="BS"),AG1387&gt;0,D1387&lt;&gt;""),A1387&amp;"|"&amp;AG1387&amp;"|"&amp;D1387&amp;"|"&amp;F1387,"")</f>
        <v/>
      </c>
      <c r="Z1387" s="57" t="str">
        <f>IF(Y1387="","",IF(COUNTIF(Y$6:Y1386,Y1387)=0,1,0))</f>
        <v/>
      </c>
      <c r="AA1387" s="57" t="str">
        <f>IF(Y1387="","",IF(Z1387=1,COUNTIFS(A$6:A1387,A1387,Z$6:Z1387,1),INDEX(AA$6:AA1386,MATCH(Y1387,Y$6:Y1386,0))))</f>
        <v/>
      </c>
      <c r="AB1387" s="57" t="str">
        <f>IF(B1387="","",COUNTIF(B$6:B1387,B1387))</f>
        <v/>
      </c>
      <c r="AC1387" s="57" t="str">
        <f>IF(B1387="","",B1387&amp;"#"&amp;AB1387)</f>
        <v/>
      </c>
      <c r="AD1387" s="57" t="str">
        <f>IF(Z1387=1,A1387&amp;AA1387,"")</f>
        <v/>
      </c>
      <c r="AE1387" s="57" t="str">
        <f>IF(B1387="","",YEAR(C1387))</f>
        <v/>
      </c>
      <c r="AF1387" s="57" t="str">
        <f>IF(B1387="","",MONTH(C1387))</f>
        <v/>
      </c>
      <c r="AG1387" s="57">
        <f>IF(ISNUMBER(C1387),C1387,0)</f>
        <v>0.0</v>
      </c>
      <c r="AH1387" s="57" t="str">
        <f>IF(N(W1387)&gt;0,COUNTIF(W$6:W1387,"&gt;0"),"")</f>
        <v/>
      </c>
      <c r="AI1387" s="57" t="str">
        <f>IF(Z1387=1,COUNTIF(Z$6:Z1387,1),"")</f>
        <v/>
      </c>
    </row>
    <row r="1388">
      <c r="A1388" s="54" t="n"/>
      <c r="B1388" s="55" t="str">
        <f>IF(AA1388="","",A1388&amp;"-"&amp;RIGHT("000"&amp;AA1388,4))</f>
        <v/>
      </c>
      <c r="C1388" s="56" t="n"/>
      <c r="D1388" s="54" t="n"/>
      <c r="E1388" s="57" t="str">
        <f>IF(D1388="","",IF(A1388="BL",IFERROR(INDEX(cl_name,MATCH(D1388,cl_code,0))&amp;"","Client inconnu"),IF(A1388="BR",IFERROR(INDEX(fo_name,MATCH(D1388,fo_code,0))&amp;"","Fournisseur inconnu"),IF(A1388="BS",IF(ISNA(MATCH(D1388,p_services,0)),"Service inconnu",D1388&amp;""),""))))</f>
        <v/>
      </c>
      <c r="F1388" s="58" t="n"/>
      <c r="G1388" s="58" t="n"/>
      <c r="H1388" s="59" t="n"/>
      <c r="I1388" s="57" t="str">
        <f>IF(H1388="","",IFERROR(INDEX(art_des,MATCH(H1388,art_ref,0))&amp;"","Article inconnu"))</f>
        <v/>
      </c>
      <c r="J1388" s="60" t="str">
        <f>IF(H1388="","",IFERROR(INDEX(art_unit,MATCH(H1388,art_ref,0))&amp;"",""))</f>
        <v/>
      </c>
      <c r="K1388" s="59" t="n"/>
      <c r="L1388" s="59" t="n"/>
      <c r="M1388" s="61" t="str">
        <f>IF(OR(B1388="",NOT(ISNUMBER(K1388)),NOT(ISNUMBER(L1388))),"",IF(OR(K1388&lt;=0,L1388&lt;=0),"",ROUND(L1388-K1388,6)))</f>
        <v/>
      </c>
      <c r="N1388" s="58" t="n"/>
      <c r="O1388" s="62" t="n"/>
      <c r="P1388" s="63" t="str">
        <f>IF(OR(B1388="",NOT(ISNUMBER(L1388))),"",IF(L1388&lt;=0,"",IFERROR(ROUND(L1388*N(INDEX(art_w,MATCH(H1388,art_ref,0))),3),"")))</f>
        <v/>
      </c>
      <c r="Q1388" s="59" t="n"/>
      <c r="R1388" s="54" t="n"/>
      <c r="S1388" s="59" t="n"/>
      <c r="T1388" s="59" t="n"/>
      <c r="U1388" s="64" t="str">
        <f>IF(OR(B1388="",H1388=""),"",IFERROR(IF(A1388="BL",IF(N(INDEX(art_price,MATCH(H1388,art_ref,0)))=0,"",N(INDEX(art_price,MATCH(H1388,art_ref,0)))),IF(N(INDEX(art_cost,MATCH(H1388,art_ref,0)))=0,"",N(INDEX(art_cost,MATCH(H1388,art_ref,0))))),""))</f>
        <v/>
      </c>
      <c r="V1388" s="64" t="str">
        <f>IF(OR(U1388="",NOT(ISNUMBER(L1388))),"",IF(L1388&lt;=0,"",ROUND(L1388*U1388,2)))</f>
        <v/>
      </c>
      <c r="W1388" s="60" t="str">
        <f>IF(AND(B1388&lt;&gt;"",A1388&lt;&gt;"BS",F1388&lt;&gt;"",H1388&lt;&gt;"",ISNUMBER(K1388),ISNUMBER(L1388)),IF(AND(K1388&gt;0,L1388&gt;0,K1388-L1388&gt;0,COUNTIFS(A1389:A$2005,A1388,F1389:F$2005,F1388,H1389:H$2005,H1388,AA1389:AA$2005,"&gt;0")=0),ROUND(K1388-L1388,6),""),"")</f>
        <v/>
      </c>
      <c r="X1388" s="60" t="str">
        <f>IF(AND(A1388="",C1388="",D1388="",H1388="",L1388=""),"",IF(A1388="","Type manquant",IF(AND(A1388&lt;&gt;"BL",A1388&lt;&gt;"BR",A1388&lt;&gt;"BS"),"Type inconnu (BL, BR ou BS)",IF(AG1388=0,"Date manquante ou invalide",IF(D1388="",IF(A1388="BL","Client manquant",IF(A1388="BR","Fournisseur manquant","Service manquant")),IF(IF(A1388="BL",ISNA(MATCH(D1388,cl_code,0)),IF(A1388="BR",ISNA(MATCH(D1388,fo_code,0)),ISNA(MATCH(D1388,p_services,0)))),IF(A1388="BL","Client inconnu",IF(A1388="BR","Fournisseur inconnu","Service inconnu")),IF(H1388="","Article manquant",IF(ISNA(MATCH(H1388,art_ref,0)),"Article inconnu",IF(OR(NOT(ISNUMBER(L1388)),N(L1388)&lt;=0),"Quantité invalide",IF(AND(K1388&lt;&gt;"",OR(NOT(ISNUMBER(K1388)),N(K1388)&lt;=0)),"Qté commandée invalide",IF(AG1388&lt;SUMPRODUCT(MAX((A$6:A1387=A1388)*AG$6:AG1387)),"Date antérieure au bon précédent",IF(AND(A1388&lt;&gt;"BR",ISNUMBER(M1388),N(M1388)&gt;0),IF(A1388="BL","Livré plus que commandé","Sorti plus que demandé"),"OK"))))))))))))</f>
        <v/>
      </c>
      <c r="Y1388" s="57" t="str">
        <f>IF(AND(OR(A1388="BL",A1388="BR",A1388="BS"),AG1388&gt;0,D1388&lt;&gt;""),A1388&amp;"|"&amp;AG1388&amp;"|"&amp;D1388&amp;"|"&amp;F1388,"")</f>
        <v/>
      </c>
      <c r="Z1388" s="57" t="str">
        <f>IF(Y1388="","",IF(COUNTIF(Y$6:Y1387,Y1388)=0,1,0))</f>
        <v/>
      </c>
      <c r="AA1388" s="57" t="str">
        <f>IF(Y1388="","",IF(Z1388=1,COUNTIFS(A$6:A1388,A1388,Z$6:Z1388,1),INDEX(AA$6:AA1387,MATCH(Y1388,Y$6:Y1387,0))))</f>
        <v/>
      </c>
      <c r="AB1388" s="57" t="str">
        <f>IF(B1388="","",COUNTIF(B$6:B1388,B1388))</f>
        <v/>
      </c>
      <c r="AC1388" s="57" t="str">
        <f>IF(B1388="","",B1388&amp;"#"&amp;AB1388)</f>
        <v/>
      </c>
      <c r="AD1388" s="57" t="str">
        <f>IF(Z1388=1,A1388&amp;AA1388,"")</f>
        <v/>
      </c>
      <c r="AE1388" s="57" t="str">
        <f>IF(B1388="","",YEAR(C1388))</f>
        <v/>
      </c>
      <c r="AF1388" s="57" t="str">
        <f>IF(B1388="","",MONTH(C1388))</f>
        <v/>
      </c>
      <c r="AG1388" s="57">
        <f>IF(ISNUMBER(C1388),C1388,0)</f>
        <v>0.0</v>
      </c>
      <c r="AH1388" s="57" t="str">
        <f>IF(N(W1388)&gt;0,COUNTIF(W$6:W1388,"&gt;0"),"")</f>
        <v/>
      </c>
      <c r="AI1388" s="57" t="str">
        <f>IF(Z1388=1,COUNTIF(Z$6:Z1388,1),"")</f>
        <v/>
      </c>
    </row>
    <row r="1389">
      <c r="A1389" s="54" t="n"/>
      <c r="B1389" s="55" t="str">
        <f>IF(AA1389="","",A1389&amp;"-"&amp;RIGHT("000"&amp;AA1389,4))</f>
        <v/>
      </c>
      <c r="C1389" s="56" t="n"/>
      <c r="D1389" s="54" t="n"/>
      <c r="E1389" s="57" t="str">
        <f>IF(D1389="","",IF(A1389="BL",IFERROR(INDEX(cl_name,MATCH(D1389,cl_code,0))&amp;"","Client inconnu"),IF(A1389="BR",IFERROR(INDEX(fo_name,MATCH(D1389,fo_code,0))&amp;"","Fournisseur inconnu"),IF(A1389="BS",IF(ISNA(MATCH(D1389,p_services,0)),"Service inconnu",D1389&amp;""),""))))</f>
        <v/>
      </c>
      <c r="F1389" s="58" t="n"/>
      <c r="G1389" s="58" t="n"/>
      <c r="H1389" s="59" t="n"/>
      <c r="I1389" s="57" t="str">
        <f>IF(H1389="","",IFERROR(INDEX(art_des,MATCH(H1389,art_ref,0))&amp;"","Article inconnu"))</f>
        <v/>
      </c>
      <c r="J1389" s="60" t="str">
        <f>IF(H1389="","",IFERROR(INDEX(art_unit,MATCH(H1389,art_ref,0))&amp;"",""))</f>
        <v/>
      </c>
      <c r="K1389" s="59" t="n"/>
      <c r="L1389" s="59" t="n"/>
      <c r="M1389" s="61" t="str">
        <f>IF(OR(B1389="",NOT(ISNUMBER(K1389)),NOT(ISNUMBER(L1389))),"",IF(OR(K1389&lt;=0,L1389&lt;=0),"",ROUND(L1389-K1389,6)))</f>
        <v/>
      </c>
      <c r="N1389" s="58" t="n"/>
      <c r="O1389" s="62" t="n"/>
      <c r="P1389" s="63" t="str">
        <f>IF(OR(B1389="",NOT(ISNUMBER(L1389))),"",IF(L1389&lt;=0,"",IFERROR(ROUND(L1389*N(INDEX(art_w,MATCH(H1389,art_ref,0))),3),"")))</f>
        <v/>
      </c>
      <c r="Q1389" s="59" t="n"/>
      <c r="R1389" s="54" t="n"/>
      <c r="S1389" s="59" t="n"/>
      <c r="T1389" s="59" t="n"/>
      <c r="U1389" s="64" t="str">
        <f>IF(OR(B1389="",H1389=""),"",IFERROR(IF(A1389="BL",IF(N(INDEX(art_price,MATCH(H1389,art_ref,0)))=0,"",N(INDEX(art_price,MATCH(H1389,art_ref,0)))),IF(N(INDEX(art_cost,MATCH(H1389,art_ref,0)))=0,"",N(INDEX(art_cost,MATCH(H1389,art_ref,0))))),""))</f>
        <v/>
      </c>
      <c r="V1389" s="64" t="str">
        <f>IF(OR(U1389="",NOT(ISNUMBER(L1389))),"",IF(L1389&lt;=0,"",ROUND(L1389*U1389,2)))</f>
        <v/>
      </c>
      <c r="W1389" s="60" t="str">
        <f>IF(AND(B1389&lt;&gt;"",A1389&lt;&gt;"BS",F1389&lt;&gt;"",H1389&lt;&gt;"",ISNUMBER(K1389),ISNUMBER(L1389)),IF(AND(K1389&gt;0,L1389&gt;0,K1389-L1389&gt;0,COUNTIFS(A1390:A$2005,A1389,F1390:F$2005,F1389,H1390:H$2005,H1389,AA1390:AA$2005,"&gt;0")=0),ROUND(K1389-L1389,6),""),"")</f>
        <v/>
      </c>
      <c r="X1389" s="60" t="str">
        <f>IF(AND(A1389="",C1389="",D1389="",H1389="",L1389=""),"",IF(A1389="","Type manquant",IF(AND(A1389&lt;&gt;"BL",A1389&lt;&gt;"BR",A1389&lt;&gt;"BS"),"Type inconnu (BL, BR ou BS)",IF(AG1389=0,"Date manquante ou invalide",IF(D1389="",IF(A1389="BL","Client manquant",IF(A1389="BR","Fournisseur manquant","Service manquant")),IF(IF(A1389="BL",ISNA(MATCH(D1389,cl_code,0)),IF(A1389="BR",ISNA(MATCH(D1389,fo_code,0)),ISNA(MATCH(D1389,p_services,0)))),IF(A1389="BL","Client inconnu",IF(A1389="BR","Fournisseur inconnu","Service inconnu")),IF(H1389="","Article manquant",IF(ISNA(MATCH(H1389,art_ref,0)),"Article inconnu",IF(OR(NOT(ISNUMBER(L1389)),N(L1389)&lt;=0),"Quantité invalide",IF(AND(K1389&lt;&gt;"",OR(NOT(ISNUMBER(K1389)),N(K1389)&lt;=0)),"Qté commandée invalide",IF(AG1389&lt;SUMPRODUCT(MAX((A$6:A1388=A1389)*AG$6:AG1388)),"Date antérieure au bon précédent",IF(AND(A1389&lt;&gt;"BR",ISNUMBER(M1389),N(M1389)&gt;0),IF(A1389="BL","Livré plus que commandé","Sorti plus que demandé"),"OK"))))))))))))</f>
        <v/>
      </c>
      <c r="Y1389" s="57" t="str">
        <f>IF(AND(OR(A1389="BL",A1389="BR",A1389="BS"),AG1389&gt;0,D1389&lt;&gt;""),A1389&amp;"|"&amp;AG1389&amp;"|"&amp;D1389&amp;"|"&amp;F1389,"")</f>
        <v/>
      </c>
      <c r="Z1389" s="57" t="str">
        <f>IF(Y1389="","",IF(COUNTIF(Y$6:Y1388,Y1389)=0,1,0))</f>
        <v/>
      </c>
      <c r="AA1389" s="57" t="str">
        <f>IF(Y1389="","",IF(Z1389=1,COUNTIFS(A$6:A1389,A1389,Z$6:Z1389,1),INDEX(AA$6:AA1388,MATCH(Y1389,Y$6:Y1388,0))))</f>
        <v/>
      </c>
      <c r="AB1389" s="57" t="str">
        <f>IF(B1389="","",COUNTIF(B$6:B1389,B1389))</f>
        <v/>
      </c>
      <c r="AC1389" s="57" t="str">
        <f>IF(B1389="","",B1389&amp;"#"&amp;AB1389)</f>
        <v/>
      </c>
      <c r="AD1389" s="57" t="str">
        <f>IF(Z1389=1,A1389&amp;AA1389,"")</f>
        <v/>
      </c>
      <c r="AE1389" s="57" t="str">
        <f>IF(B1389="","",YEAR(C1389))</f>
        <v/>
      </c>
      <c r="AF1389" s="57" t="str">
        <f>IF(B1389="","",MONTH(C1389))</f>
        <v/>
      </c>
      <c r="AG1389" s="57">
        <f>IF(ISNUMBER(C1389),C1389,0)</f>
        <v>0.0</v>
      </c>
      <c r="AH1389" s="57" t="str">
        <f>IF(N(W1389)&gt;0,COUNTIF(W$6:W1389,"&gt;0"),"")</f>
        <v/>
      </c>
      <c r="AI1389" s="57" t="str">
        <f>IF(Z1389=1,COUNTIF(Z$6:Z1389,1),"")</f>
        <v/>
      </c>
    </row>
    <row r="1390">
      <c r="A1390" s="54" t="n"/>
      <c r="B1390" s="55" t="str">
        <f>IF(AA1390="","",A1390&amp;"-"&amp;RIGHT("000"&amp;AA1390,4))</f>
        <v/>
      </c>
      <c r="C1390" s="56" t="n"/>
      <c r="D1390" s="54" t="n"/>
      <c r="E1390" s="57" t="str">
        <f>IF(D1390="","",IF(A1390="BL",IFERROR(INDEX(cl_name,MATCH(D1390,cl_code,0))&amp;"","Client inconnu"),IF(A1390="BR",IFERROR(INDEX(fo_name,MATCH(D1390,fo_code,0))&amp;"","Fournisseur inconnu"),IF(A1390="BS",IF(ISNA(MATCH(D1390,p_services,0)),"Service inconnu",D1390&amp;""),""))))</f>
        <v/>
      </c>
      <c r="F1390" s="58" t="n"/>
      <c r="G1390" s="58" t="n"/>
      <c r="H1390" s="59" t="n"/>
      <c r="I1390" s="57" t="str">
        <f>IF(H1390="","",IFERROR(INDEX(art_des,MATCH(H1390,art_ref,0))&amp;"","Article inconnu"))</f>
        <v/>
      </c>
      <c r="J1390" s="60" t="str">
        <f>IF(H1390="","",IFERROR(INDEX(art_unit,MATCH(H1390,art_ref,0))&amp;"",""))</f>
        <v/>
      </c>
      <c r="K1390" s="59" t="n"/>
      <c r="L1390" s="59" t="n"/>
      <c r="M1390" s="61" t="str">
        <f>IF(OR(B1390="",NOT(ISNUMBER(K1390)),NOT(ISNUMBER(L1390))),"",IF(OR(K1390&lt;=0,L1390&lt;=0),"",ROUND(L1390-K1390,6)))</f>
        <v/>
      </c>
      <c r="N1390" s="58" t="n"/>
      <c r="O1390" s="62" t="n"/>
      <c r="P1390" s="63" t="str">
        <f>IF(OR(B1390="",NOT(ISNUMBER(L1390))),"",IF(L1390&lt;=0,"",IFERROR(ROUND(L1390*N(INDEX(art_w,MATCH(H1390,art_ref,0))),3),"")))</f>
        <v/>
      </c>
      <c r="Q1390" s="59" t="n"/>
      <c r="R1390" s="54" t="n"/>
      <c r="S1390" s="59" t="n"/>
      <c r="T1390" s="59" t="n"/>
      <c r="U1390" s="64" t="str">
        <f>IF(OR(B1390="",H1390=""),"",IFERROR(IF(A1390="BL",IF(N(INDEX(art_price,MATCH(H1390,art_ref,0)))=0,"",N(INDEX(art_price,MATCH(H1390,art_ref,0)))),IF(N(INDEX(art_cost,MATCH(H1390,art_ref,0)))=0,"",N(INDEX(art_cost,MATCH(H1390,art_ref,0))))),""))</f>
        <v/>
      </c>
      <c r="V1390" s="64" t="str">
        <f>IF(OR(U1390="",NOT(ISNUMBER(L1390))),"",IF(L1390&lt;=0,"",ROUND(L1390*U1390,2)))</f>
        <v/>
      </c>
      <c r="W1390" s="60" t="str">
        <f>IF(AND(B1390&lt;&gt;"",A1390&lt;&gt;"BS",F1390&lt;&gt;"",H1390&lt;&gt;"",ISNUMBER(K1390),ISNUMBER(L1390)),IF(AND(K1390&gt;0,L1390&gt;0,K1390-L1390&gt;0,COUNTIFS(A1391:A$2005,A1390,F1391:F$2005,F1390,H1391:H$2005,H1390,AA1391:AA$2005,"&gt;0")=0),ROUND(K1390-L1390,6),""),"")</f>
        <v/>
      </c>
      <c r="X1390" s="60" t="str">
        <f>IF(AND(A1390="",C1390="",D1390="",H1390="",L1390=""),"",IF(A1390="","Type manquant",IF(AND(A1390&lt;&gt;"BL",A1390&lt;&gt;"BR",A1390&lt;&gt;"BS"),"Type inconnu (BL, BR ou BS)",IF(AG1390=0,"Date manquante ou invalide",IF(D1390="",IF(A1390="BL","Client manquant",IF(A1390="BR","Fournisseur manquant","Service manquant")),IF(IF(A1390="BL",ISNA(MATCH(D1390,cl_code,0)),IF(A1390="BR",ISNA(MATCH(D1390,fo_code,0)),ISNA(MATCH(D1390,p_services,0)))),IF(A1390="BL","Client inconnu",IF(A1390="BR","Fournisseur inconnu","Service inconnu")),IF(H1390="","Article manquant",IF(ISNA(MATCH(H1390,art_ref,0)),"Article inconnu",IF(OR(NOT(ISNUMBER(L1390)),N(L1390)&lt;=0),"Quantité invalide",IF(AND(K1390&lt;&gt;"",OR(NOT(ISNUMBER(K1390)),N(K1390)&lt;=0)),"Qté commandée invalide",IF(AG1390&lt;SUMPRODUCT(MAX((A$6:A1389=A1390)*AG$6:AG1389)),"Date antérieure au bon précédent",IF(AND(A1390&lt;&gt;"BR",ISNUMBER(M1390),N(M1390)&gt;0),IF(A1390="BL","Livré plus que commandé","Sorti plus que demandé"),"OK"))))))))))))</f>
        <v/>
      </c>
      <c r="Y1390" s="57" t="str">
        <f>IF(AND(OR(A1390="BL",A1390="BR",A1390="BS"),AG1390&gt;0,D1390&lt;&gt;""),A1390&amp;"|"&amp;AG1390&amp;"|"&amp;D1390&amp;"|"&amp;F1390,"")</f>
        <v/>
      </c>
      <c r="Z1390" s="57" t="str">
        <f>IF(Y1390="","",IF(COUNTIF(Y$6:Y1389,Y1390)=0,1,0))</f>
        <v/>
      </c>
      <c r="AA1390" s="57" t="str">
        <f>IF(Y1390="","",IF(Z1390=1,COUNTIFS(A$6:A1390,A1390,Z$6:Z1390,1),INDEX(AA$6:AA1389,MATCH(Y1390,Y$6:Y1389,0))))</f>
        <v/>
      </c>
      <c r="AB1390" s="57" t="str">
        <f>IF(B1390="","",COUNTIF(B$6:B1390,B1390))</f>
        <v/>
      </c>
      <c r="AC1390" s="57" t="str">
        <f>IF(B1390="","",B1390&amp;"#"&amp;AB1390)</f>
        <v/>
      </c>
      <c r="AD1390" s="57" t="str">
        <f>IF(Z1390=1,A1390&amp;AA1390,"")</f>
        <v/>
      </c>
      <c r="AE1390" s="57" t="str">
        <f>IF(B1390="","",YEAR(C1390))</f>
        <v/>
      </c>
      <c r="AF1390" s="57" t="str">
        <f>IF(B1390="","",MONTH(C1390))</f>
        <v/>
      </c>
      <c r="AG1390" s="57">
        <f>IF(ISNUMBER(C1390),C1390,0)</f>
        <v>0.0</v>
      </c>
      <c r="AH1390" s="57" t="str">
        <f>IF(N(W1390)&gt;0,COUNTIF(W$6:W1390,"&gt;0"),"")</f>
        <v/>
      </c>
      <c r="AI1390" s="57" t="str">
        <f>IF(Z1390=1,COUNTIF(Z$6:Z1390,1),"")</f>
        <v/>
      </c>
    </row>
    <row r="1391">
      <c r="A1391" s="54" t="n"/>
      <c r="B1391" s="55" t="str">
        <f>IF(AA1391="","",A1391&amp;"-"&amp;RIGHT("000"&amp;AA1391,4))</f>
        <v/>
      </c>
      <c r="C1391" s="56" t="n"/>
      <c r="D1391" s="54" t="n"/>
      <c r="E1391" s="57" t="str">
        <f>IF(D1391="","",IF(A1391="BL",IFERROR(INDEX(cl_name,MATCH(D1391,cl_code,0))&amp;"","Client inconnu"),IF(A1391="BR",IFERROR(INDEX(fo_name,MATCH(D1391,fo_code,0))&amp;"","Fournisseur inconnu"),IF(A1391="BS",IF(ISNA(MATCH(D1391,p_services,0)),"Service inconnu",D1391&amp;""),""))))</f>
        <v/>
      </c>
      <c r="F1391" s="58" t="n"/>
      <c r="G1391" s="58" t="n"/>
      <c r="H1391" s="59" t="n"/>
      <c r="I1391" s="57" t="str">
        <f>IF(H1391="","",IFERROR(INDEX(art_des,MATCH(H1391,art_ref,0))&amp;"","Article inconnu"))</f>
        <v/>
      </c>
      <c r="J1391" s="60" t="str">
        <f>IF(H1391="","",IFERROR(INDEX(art_unit,MATCH(H1391,art_ref,0))&amp;"",""))</f>
        <v/>
      </c>
      <c r="K1391" s="59" t="n"/>
      <c r="L1391" s="59" t="n"/>
      <c r="M1391" s="61" t="str">
        <f>IF(OR(B1391="",NOT(ISNUMBER(K1391)),NOT(ISNUMBER(L1391))),"",IF(OR(K1391&lt;=0,L1391&lt;=0),"",ROUND(L1391-K1391,6)))</f>
        <v/>
      </c>
      <c r="N1391" s="58" t="n"/>
      <c r="O1391" s="62" t="n"/>
      <c r="P1391" s="63" t="str">
        <f>IF(OR(B1391="",NOT(ISNUMBER(L1391))),"",IF(L1391&lt;=0,"",IFERROR(ROUND(L1391*N(INDEX(art_w,MATCH(H1391,art_ref,0))),3),"")))</f>
        <v/>
      </c>
      <c r="Q1391" s="59" t="n"/>
      <c r="R1391" s="54" t="n"/>
      <c r="S1391" s="59" t="n"/>
      <c r="T1391" s="59" t="n"/>
      <c r="U1391" s="64" t="str">
        <f>IF(OR(B1391="",H1391=""),"",IFERROR(IF(A1391="BL",IF(N(INDEX(art_price,MATCH(H1391,art_ref,0)))=0,"",N(INDEX(art_price,MATCH(H1391,art_ref,0)))),IF(N(INDEX(art_cost,MATCH(H1391,art_ref,0)))=0,"",N(INDEX(art_cost,MATCH(H1391,art_ref,0))))),""))</f>
        <v/>
      </c>
      <c r="V1391" s="64" t="str">
        <f>IF(OR(U1391="",NOT(ISNUMBER(L1391))),"",IF(L1391&lt;=0,"",ROUND(L1391*U1391,2)))</f>
        <v/>
      </c>
      <c r="W1391" s="60" t="str">
        <f>IF(AND(B1391&lt;&gt;"",A1391&lt;&gt;"BS",F1391&lt;&gt;"",H1391&lt;&gt;"",ISNUMBER(K1391),ISNUMBER(L1391)),IF(AND(K1391&gt;0,L1391&gt;0,K1391-L1391&gt;0,COUNTIFS(A1392:A$2005,A1391,F1392:F$2005,F1391,H1392:H$2005,H1391,AA1392:AA$2005,"&gt;0")=0),ROUND(K1391-L1391,6),""),"")</f>
        <v/>
      </c>
      <c r="X1391" s="60" t="str">
        <f>IF(AND(A1391="",C1391="",D1391="",H1391="",L1391=""),"",IF(A1391="","Type manquant",IF(AND(A1391&lt;&gt;"BL",A1391&lt;&gt;"BR",A1391&lt;&gt;"BS"),"Type inconnu (BL, BR ou BS)",IF(AG1391=0,"Date manquante ou invalide",IF(D1391="",IF(A1391="BL","Client manquant",IF(A1391="BR","Fournisseur manquant","Service manquant")),IF(IF(A1391="BL",ISNA(MATCH(D1391,cl_code,0)),IF(A1391="BR",ISNA(MATCH(D1391,fo_code,0)),ISNA(MATCH(D1391,p_services,0)))),IF(A1391="BL","Client inconnu",IF(A1391="BR","Fournisseur inconnu","Service inconnu")),IF(H1391="","Article manquant",IF(ISNA(MATCH(H1391,art_ref,0)),"Article inconnu",IF(OR(NOT(ISNUMBER(L1391)),N(L1391)&lt;=0),"Quantité invalide",IF(AND(K1391&lt;&gt;"",OR(NOT(ISNUMBER(K1391)),N(K1391)&lt;=0)),"Qté commandée invalide",IF(AG1391&lt;SUMPRODUCT(MAX((A$6:A1390=A1391)*AG$6:AG1390)),"Date antérieure au bon précédent",IF(AND(A1391&lt;&gt;"BR",ISNUMBER(M1391),N(M1391)&gt;0),IF(A1391="BL","Livré plus que commandé","Sorti plus que demandé"),"OK"))))))))))))</f>
        <v/>
      </c>
      <c r="Y1391" s="57" t="str">
        <f>IF(AND(OR(A1391="BL",A1391="BR",A1391="BS"),AG1391&gt;0,D1391&lt;&gt;""),A1391&amp;"|"&amp;AG1391&amp;"|"&amp;D1391&amp;"|"&amp;F1391,"")</f>
        <v/>
      </c>
      <c r="Z1391" s="57" t="str">
        <f>IF(Y1391="","",IF(COUNTIF(Y$6:Y1390,Y1391)=0,1,0))</f>
        <v/>
      </c>
      <c r="AA1391" s="57" t="str">
        <f>IF(Y1391="","",IF(Z1391=1,COUNTIFS(A$6:A1391,A1391,Z$6:Z1391,1),INDEX(AA$6:AA1390,MATCH(Y1391,Y$6:Y1390,0))))</f>
        <v/>
      </c>
      <c r="AB1391" s="57" t="str">
        <f>IF(B1391="","",COUNTIF(B$6:B1391,B1391))</f>
        <v/>
      </c>
      <c r="AC1391" s="57" t="str">
        <f>IF(B1391="","",B1391&amp;"#"&amp;AB1391)</f>
        <v/>
      </c>
      <c r="AD1391" s="57" t="str">
        <f>IF(Z1391=1,A1391&amp;AA1391,"")</f>
        <v/>
      </c>
      <c r="AE1391" s="57" t="str">
        <f>IF(B1391="","",YEAR(C1391))</f>
        <v/>
      </c>
      <c r="AF1391" s="57" t="str">
        <f>IF(B1391="","",MONTH(C1391))</f>
        <v/>
      </c>
      <c r="AG1391" s="57">
        <f>IF(ISNUMBER(C1391),C1391,0)</f>
        <v>0.0</v>
      </c>
      <c r="AH1391" s="57" t="str">
        <f>IF(N(W1391)&gt;0,COUNTIF(W$6:W1391,"&gt;0"),"")</f>
        <v/>
      </c>
      <c r="AI1391" s="57" t="str">
        <f>IF(Z1391=1,COUNTIF(Z$6:Z1391,1),"")</f>
        <v/>
      </c>
    </row>
    <row r="1392">
      <c r="A1392" s="54" t="n"/>
      <c r="B1392" s="55" t="str">
        <f>IF(AA1392="","",A1392&amp;"-"&amp;RIGHT("000"&amp;AA1392,4))</f>
        <v/>
      </c>
      <c r="C1392" s="56" t="n"/>
      <c r="D1392" s="54" t="n"/>
      <c r="E1392" s="57" t="str">
        <f>IF(D1392="","",IF(A1392="BL",IFERROR(INDEX(cl_name,MATCH(D1392,cl_code,0))&amp;"","Client inconnu"),IF(A1392="BR",IFERROR(INDEX(fo_name,MATCH(D1392,fo_code,0))&amp;"","Fournisseur inconnu"),IF(A1392="BS",IF(ISNA(MATCH(D1392,p_services,0)),"Service inconnu",D1392&amp;""),""))))</f>
        <v/>
      </c>
      <c r="F1392" s="58" t="n"/>
      <c r="G1392" s="58" t="n"/>
      <c r="H1392" s="59" t="n"/>
      <c r="I1392" s="57" t="str">
        <f>IF(H1392="","",IFERROR(INDEX(art_des,MATCH(H1392,art_ref,0))&amp;"","Article inconnu"))</f>
        <v/>
      </c>
      <c r="J1392" s="60" t="str">
        <f>IF(H1392="","",IFERROR(INDEX(art_unit,MATCH(H1392,art_ref,0))&amp;"",""))</f>
        <v/>
      </c>
      <c r="K1392" s="59" t="n"/>
      <c r="L1392" s="59" t="n"/>
      <c r="M1392" s="61" t="str">
        <f>IF(OR(B1392="",NOT(ISNUMBER(K1392)),NOT(ISNUMBER(L1392))),"",IF(OR(K1392&lt;=0,L1392&lt;=0),"",ROUND(L1392-K1392,6)))</f>
        <v/>
      </c>
      <c r="N1392" s="58" t="n"/>
      <c r="O1392" s="62" t="n"/>
      <c r="P1392" s="63" t="str">
        <f>IF(OR(B1392="",NOT(ISNUMBER(L1392))),"",IF(L1392&lt;=0,"",IFERROR(ROUND(L1392*N(INDEX(art_w,MATCH(H1392,art_ref,0))),3),"")))</f>
        <v/>
      </c>
      <c r="Q1392" s="59" t="n"/>
      <c r="R1392" s="54" t="n"/>
      <c r="S1392" s="59" t="n"/>
      <c r="T1392" s="59" t="n"/>
      <c r="U1392" s="64" t="str">
        <f>IF(OR(B1392="",H1392=""),"",IFERROR(IF(A1392="BL",IF(N(INDEX(art_price,MATCH(H1392,art_ref,0)))=0,"",N(INDEX(art_price,MATCH(H1392,art_ref,0)))),IF(N(INDEX(art_cost,MATCH(H1392,art_ref,0)))=0,"",N(INDEX(art_cost,MATCH(H1392,art_ref,0))))),""))</f>
        <v/>
      </c>
      <c r="V1392" s="64" t="str">
        <f>IF(OR(U1392="",NOT(ISNUMBER(L1392))),"",IF(L1392&lt;=0,"",ROUND(L1392*U1392,2)))</f>
        <v/>
      </c>
      <c r="W1392" s="60" t="str">
        <f>IF(AND(B1392&lt;&gt;"",A1392&lt;&gt;"BS",F1392&lt;&gt;"",H1392&lt;&gt;"",ISNUMBER(K1392),ISNUMBER(L1392)),IF(AND(K1392&gt;0,L1392&gt;0,K1392-L1392&gt;0,COUNTIFS(A1393:A$2005,A1392,F1393:F$2005,F1392,H1393:H$2005,H1392,AA1393:AA$2005,"&gt;0")=0),ROUND(K1392-L1392,6),""),"")</f>
        <v/>
      </c>
      <c r="X1392" s="60" t="str">
        <f>IF(AND(A1392="",C1392="",D1392="",H1392="",L1392=""),"",IF(A1392="","Type manquant",IF(AND(A1392&lt;&gt;"BL",A1392&lt;&gt;"BR",A1392&lt;&gt;"BS"),"Type inconnu (BL, BR ou BS)",IF(AG1392=0,"Date manquante ou invalide",IF(D1392="",IF(A1392="BL","Client manquant",IF(A1392="BR","Fournisseur manquant","Service manquant")),IF(IF(A1392="BL",ISNA(MATCH(D1392,cl_code,0)),IF(A1392="BR",ISNA(MATCH(D1392,fo_code,0)),ISNA(MATCH(D1392,p_services,0)))),IF(A1392="BL","Client inconnu",IF(A1392="BR","Fournisseur inconnu","Service inconnu")),IF(H1392="","Article manquant",IF(ISNA(MATCH(H1392,art_ref,0)),"Article inconnu",IF(OR(NOT(ISNUMBER(L1392)),N(L1392)&lt;=0),"Quantité invalide",IF(AND(K1392&lt;&gt;"",OR(NOT(ISNUMBER(K1392)),N(K1392)&lt;=0)),"Qté commandée invalide",IF(AG1392&lt;SUMPRODUCT(MAX((A$6:A1391=A1392)*AG$6:AG1391)),"Date antérieure au bon précédent",IF(AND(A1392&lt;&gt;"BR",ISNUMBER(M1392),N(M1392)&gt;0),IF(A1392="BL","Livré plus que commandé","Sorti plus que demandé"),"OK"))))))))))))</f>
        <v/>
      </c>
      <c r="Y1392" s="57" t="str">
        <f>IF(AND(OR(A1392="BL",A1392="BR",A1392="BS"),AG1392&gt;0,D1392&lt;&gt;""),A1392&amp;"|"&amp;AG1392&amp;"|"&amp;D1392&amp;"|"&amp;F1392,"")</f>
        <v/>
      </c>
      <c r="Z1392" s="57" t="str">
        <f>IF(Y1392="","",IF(COUNTIF(Y$6:Y1391,Y1392)=0,1,0))</f>
        <v/>
      </c>
      <c r="AA1392" s="57" t="str">
        <f>IF(Y1392="","",IF(Z1392=1,COUNTIFS(A$6:A1392,A1392,Z$6:Z1392,1),INDEX(AA$6:AA1391,MATCH(Y1392,Y$6:Y1391,0))))</f>
        <v/>
      </c>
      <c r="AB1392" s="57" t="str">
        <f>IF(B1392="","",COUNTIF(B$6:B1392,B1392))</f>
        <v/>
      </c>
      <c r="AC1392" s="57" t="str">
        <f>IF(B1392="","",B1392&amp;"#"&amp;AB1392)</f>
        <v/>
      </c>
      <c r="AD1392" s="57" t="str">
        <f>IF(Z1392=1,A1392&amp;AA1392,"")</f>
        <v/>
      </c>
      <c r="AE1392" s="57" t="str">
        <f>IF(B1392="","",YEAR(C1392))</f>
        <v/>
      </c>
      <c r="AF1392" s="57" t="str">
        <f>IF(B1392="","",MONTH(C1392))</f>
        <v/>
      </c>
      <c r="AG1392" s="57">
        <f>IF(ISNUMBER(C1392),C1392,0)</f>
        <v>0.0</v>
      </c>
      <c r="AH1392" s="57" t="str">
        <f>IF(N(W1392)&gt;0,COUNTIF(W$6:W1392,"&gt;0"),"")</f>
        <v/>
      </c>
      <c r="AI1392" s="57" t="str">
        <f>IF(Z1392=1,COUNTIF(Z$6:Z1392,1),"")</f>
        <v/>
      </c>
    </row>
    <row r="1393">
      <c r="A1393" s="54" t="n"/>
      <c r="B1393" s="55" t="str">
        <f>IF(AA1393="","",A1393&amp;"-"&amp;RIGHT("000"&amp;AA1393,4))</f>
        <v/>
      </c>
      <c r="C1393" s="56" t="n"/>
      <c r="D1393" s="54" t="n"/>
      <c r="E1393" s="57" t="str">
        <f>IF(D1393="","",IF(A1393="BL",IFERROR(INDEX(cl_name,MATCH(D1393,cl_code,0))&amp;"","Client inconnu"),IF(A1393="BR",IFERROR(INDEX(fo_name,MATCH(D1393,fo_code,0))&amp;"","Fournisseur inconnu"),IF(A1393="BS",IF(ISNA(MATCH(D1393,p_services,0)),"Service inconnu",D1393&amp;""),""))))</f>
        <v/>
      </c>
      <c r="F1393" s="58" t="n"/>
      <c r="G1393" s="58" t="n"/>
      <c r="H1393" s="59" t="n"/>
      <c r="I1393" s="57" t="str">
        <f>IF(H1393="","",IFERROR(INDEX(art_des,MATCH(H1393,art_ref,0))&amp;"","Article inconnu"))</f>
        <v/>
      </c>
      <c r="J1393" s="60" t="str">
        <f>IF(H1393="","",IFERROR(INDEX(art_unit,MATCH(H1393,art_ref,0))&amp;"",""))</f>
        <v/>
      </c>
      <c r="K1393" s="59" t="n"/>
      <c r="L1393" s="59" t="n"/>
      <c r="M1393" s="61" t="str">
        <f>IF(OR(B1393="",NOT(ISNUMBER(K1393)),NOT(ISNUMBER(L1393))),"",IF(OR(K1393&lt;=0,L1393&lt;=0),"",ROUND(L1393-K1393,6)))</f>
        <v/>
      </c>
      <c r="N1393" s="58" t="n"/>
      <c r="O1393" s="62" t="n"/>
      <c r="P1393" s="63" t="str">
        <f>IF(OR(B1393="",NOT(ISNUMBER(L1393))),"",IF(L1393&lt;=0,"",IFERROR(ROUND(L1393*N(INDEX(art_w,MATCH(H1393,art_ref,0))),3),"")))</f>
        <v/>
      </c>
      <c r="Q1393" s="59" t="n"/>
      <c r="R1393" s="54" t="n"/>
      <c r="S1393" s="59" t="n"/>
      <c r="T1393" s="59" t="n"/>
      <c r="U1393" s="64" t="str">
        <f>IF(OR(B1393="",H1393=""),"",IFERROR(IF(A1393="BL",IF(N(INDEX(art_price,MATCH(H1393,art_ref,0)))=0,"",N(INDEX(art_price,MATCH(H1393,art_ref,0)))),IF(N(INDEX(art_cost,MATCH(H1393,art_ref,0)))=0,"",N(INDEX(art_cost,MATCH(H1393,art_ref,0))))),""))</f>
        <v/>
      </c>
      <c r="V1393" s="64" t="str">
        <f>IF(OR(U1393="",NOT(ISNUMBER(L1393))),"",IF(L1393&lt;=0,"",ROUND(L1393*U1393,2)))</f>
        <v/>
      </c>
      <c r="W1393" s="60" t="str">
        <f>IF(AND(B1393&lt;&gt;"",A1393&lt;&gt;"BS",F1393&lt;&gt;"",H1393&lt;&gt;"",ISNUMBER(K1393),ISNUMBER(L1393)),IF(AND(K1393&gt;0,L1393&gt;0,K1393-L1393&gt;0,COUNTIFS(A1394:A$2005,A1393,F1394:F$2005,F1393,H1394:H$2005,H1393,AA1394:AA$2005,"&gt;0")=0),ROUND(K1393-L1393,6),""),"")</f>
        <v/>
      </c>
      <c r="X1393" s="60" t="str">
        <f>IF(AND(A1393="",C1393="",D1393="",H1393="",L1393=""),"",IF(A1393="","Type manquant",IF(AND(A1393&lt;&gt;"BL",A1393&lt;&gt;"BR",A1393&lt;&gt;"BS"),"Type inconnu (BL, BR ou BS)",IF(AG1393=0,"Date manquante ou invalide",IF(D1393="",IF(A1393="BL","Client manquant",IF(A1393="BR","Fournisseur manquant","Service manquant")),IF(IF(A1393="BL",ISNA(MATCH(D1393,cl_code,0)),IF(A1393="BR",ISNA(MATCH(D1393,fo_code,0)),ISNA(MATCH(D1393,p_services,0)))),IF(A1393="BL","Client inconnu",IF(A1393="BR","Fournisseur inconnu","Service inconnu")),IF(H1393="","Article manquant",IF(ISNA(MATCH(H1393,art_ref,0)),"Article inconnu",IF(OR(NOT(ISNUMBER(L1393)),N(L1393)&lt;=0),"Quantité invalide",IF(AND(K1393&lt;&gt;"",OR(NOT(ISNUMBER(K1393)),N(K1393)&lt;=0)),"Qté commandée invalide",IF(AG1393&lt;SUMPRODUCT(MAX((A$6:A1392=A1393)*AG$6:AG1392)),"Date antérieure au bon précédent",IF(AND(A1393&lt;&gt;"BR",ISNUMBER(M1393),N(M1393)&gt;0),IF(A1393="BL","Livré plus que commandé","Sorti plus que demandé"),"OK"))))))))))))</f>
        <v/>
      </c>
      <c r="Y1393" s="57" t="str">
        <f>IF(AND(OR(A1393="BL",A1393="BR",A1393="BS"),AG1393&gt;0,D1393&lt;&gt;""),A1393&amp;"|"&amp;AG1393&amp;"|"&amp;D1393&amp;"|"&amp;F1393,"")</f>
        <v/>
      </c>
      <c r="Z1393" s="57" t="str">
        <f>IF(Y1393="","",IF(COUNTIF(Y$6:Y1392,Y1393)=0,1,0))</f>
        <v/>
      </c>
      <c r="AA1393" s="57" t="str">
        <f>IF(Y1393="","",IF(Z1393=1,COUNTIFS(A$6:A1393,A1393,Z$6:Z1393,1),INDEX(AA$6:AA1392,MATCH(Y1393,Y$6:Y1392,0))))</f>
        <v/>
      </c>
      <c r="AB1393" s="57" t="str">
        <f>IF(B1393="","",COUNTIF(B$6:B1393,B1393))</f>
        <v/>
      </c>
      <c r="AC1393" s="57" t="str">
        <f>IF(B1393="","",B1393&amp;"#"&amp;AB1393)</f>
        <v/>
      </c>
      <c r="AD1393" s="57" t="str">
        <f>IF(Z1393=1,A1393&amp;AA1393,"")</f>
        <v/>
      </c>
      <c r="AE1393" s="57" t="str">
        <f>IF(B1393="","",YEAR(C1393))</f>
        <v/>
      </c>
      <c r="AF1393" s="57" t="str">
        <f>IF(B1393="","",MONTH(C1393))</f>
        <v/>
      </c>
      <c r="AG1393" s="57">
        <f>IF(ISNUMBER(C1393),C1393,0)</f>
        <v>0.0</v>
      </c>
      <c r="AH1393" s="57" t="str">
        <f>IF(N(W1393)&gt;0,COUNTIF(W$6:W1393,"&gt;0"),"")</f>
        <v/>
      </c>
      <c r="AI1393" s="57" t="str">
        <f>IF(Z1393=1,COUNTIF(Z$6:Z1393,1),"")</f>
        <v/>
      </c>
    </row>
    <row r="1394">
      <c r="A1394" s="54" t="n"/>
      <c r="B1394" s="55" t="str">
        <f>IF(AA1394="","",A1394&amp;"-"&amp;RIGHT("000"&amp;AA1394,4))</f>
        <v/>
      </c>
      <c r="C1394" s="56" t="n"/>
      <c r="D1394" s="54" t="n"/>
      <c r="E1394" s="57" t="str">
        <f>IF(D1394="","",IF(A1394="BL",IFERROR(INDEX(cl_name,MATCH(D1394,cl_code,0))&amp;"","Client inconnu"),IF(A1394="BR",IFERROR(INDEX(fo_name,MATCH(D1394,fo_code,0))&amp;"","Fournisseur inconnu"),IF(A1394="BS",IF(ISNA(MATCH(D1394,p_services,0)),"Service inconnu",D1394&amp;""),""))))</f>
        <v/>
      </c>
      <c r="F1394" s="58" t="n"/>
      <c r="G1394" s="58" t="n"/>
      <c r="H1394" s="59" t="n"/>
      <c r="I1394" s="57" t="str">
        <f>IF(H1394="","",IFERROR(INDEX(art_des,MATCH(H1394,art_ref,0))&amp;"","Article inconnu"))</f>
        <v/>
      </c>
      <c r="J1394" s="60" t="str">
        <f>IF(H1394="","",IFERROR(INDEX(art_unit,MATCH(H1394,art_ref,0))&amp;"",""))</f>
        <v/>
      </c>
      <c r="K1394" s="59" t="n"/>
      <c r="L1394" s="59" t="n"/>
      <c r="M1394" s="61" t="str">
        <f>IF(OR(B1394="",NOT(ISNUMBER(K1394)),NOT(ISNUMBER(L1394))),"",IF(OR(K1394&lt;=0,L1394&lt;=0),"",ROUND(L1394-K1394,6)))</f>
        <v/>
      </c>
      <c r="N1394" s="58" t="n"/>
      <c r="O1394" s="62" t="n"/>
      <c r="P1394" s="63" t="str">
        <f>IF(OR(B1394="",NOT(ISNUMBER(L1394))),"",IF(L1394&lt;=0,"",IFERROR(ROUND(L1394*N(INDEX(art_w,MATCH(H1394,art_ref,0))),3),"")))</f>
        <v/>
      </c>
      <c r="Q1394" s="59" t="n"/>
      <c r="R1394" s="54" t="n"/>
      <c r="S1394" s="59" t="n"/>
      <c r="T1394" s="59" t="n"/>
      <c r="U1394" s="64" t="str">
        <f>IF(OR(B1394="",H1394=""),"",IFERROR(IF(A1394="BL",IF(N(INDEX(art_price,MATCH(H1394,art_ref,0)))=0,"",N(INDEX(art_price,MATCH(H1394,art_ref,0)))),IF(N(INDEX(art_cost,MATCH(H1394,art_ref,0)))=0,"",N(INDEX(art_cost,MATCH(H1394,art_ref,0))))),""))</f>
        <v/>
      </c>
      <c r="V1394" s="64" t="str">
        <f>IF(OR(U1394="",NOT(ISNUMBER(L1394))),"",IF(L1394&lt;=0,"",ROUND(L1394*U1394,2)))</f>
        <v/>
      </c>
      <c r="W1394" s="60" t="str">
        <f>IF(AND(B1394&lt;&gt;"",A1394&lt;&gt;"BS",F1394&lt;&gt;"",H1394&lt;&gt;"",ISNUMBER(K1394),ISNUMBER(L1394)),IF(AND(K1394&gt;0,L1394&gt;0,K1394-L1394&gt;0,COUNTIFS(A1395:A$2005,A1394,F1395:F$2005,F1394,H1395:H$2005,H1394,AA1395:AA$2005,"&gt;0")=0),ROUND(K1394-L1394,6),""),"")</f>
        <v/>
      </c>
      <c r="X1394" s="60" t="str">
        <f>IF(AND(A1394="",C1394="",D1394="",H1394="",L1394=""),"",IF(A1394="","Type manquant",IF(AND(A1394&lt;&gt;"BL",A1394&lt;&gt;"BR",A1394&lt;&gt;"BS"),"Type inconnu (BL, BR ou BS)",IF(AG1394=0,"Date manquante ou invalide",IF(D1394="",IF(A1394="BL","Client manquant",IF(A1394="BR","Fournisseur manquant","Service manquant")),IF(IF(A1394="BL",ISNA(MATCH(D1394,cl_code,0)),IF(A1394="BR",ISNA(MATCH(D1394,fo_code,0)),ISNA(MATCH(D1394,p_services,0)))),IF(A1394="BL","Client inconnu",IF(A1394="BR","Fournisseur inconnu","Service inconnu")),IF(H1394="","Article manquant",IF(ISNA(MATCH(H1394,art_ref,0)),"Article inconnu",IF(OR(NOT(ISNUMBER(L1394)),N(L1394)&lt;=0),"Quantité invalide",IF(AND(K1394&lt;&gt;"",OR(NOT(ISNUMBER(K1394)),N(K1394)&lt;=0)),"Qté commandée invalide",IF(AG1394&lt;SUMPRODUCT(MAX((A$6:A1393=A1394)*AG$6:AG1393)),"Date antérieure au bon précédent",IF(AND(A1394&lt;&gt;"BR",ISNUMBER(M1394),N(M1394)&gt;0),IF(A1394="BL","Livré plus que commandé","Sorti plus que demandé"),"OK"))))))))))))</f>
        <v/>
      </c>
      <c r="Y1394" s="57" t="str">
        <f>IF(AND(OR(A1394="BL",A1394="BR",A1394="BS"),AG1394&gt;0,D1394&lt;&gt;""),A1394&amp;"|"&amp;AG1394&amp;"|"&amp;D1394&amp;"|"&amp;F1394,"")</f>
        <v/>
      </c>
      <c r="Z1394" s="57" t="str">
        <f>IF(Y1394="","",IF(COUNTIF(Y$6:Y1393,Y1394)=0,1,0))</f>
        <v/>
      </c>
      <c r="AA1394" s="57" t="str">
        <f>IF(Y1394="","",IF(Z1394=1,COUNTIFS(A$6:A1394,A1394,Z$6:Z1394,1),INDEX(AA$6:AA1393,MATCH(Y1394,Y$6:Y1393,0))))</f>
        <v/>
      </c>
      <c r="AB1394" s="57" t="str">
        <f>IF(B1394="","",COUNTIF(B$6:B1394,B1394))</f>
        <v/>
      </c>
      <c r="AC1394" s="57" t="str">
        <f>IF(B1394="","",B1394&amp;"#"&amp;AB1394)</f>
        <v/>
      </c>
      <c r="AD1394" s="57" t="str">
        <f>IF(Z1394=1,A1394&amp;AA1394,"")</f>
        <v/>
      </c>
      <c r="AE1394" s="57" t="str">
        <f>IF(B1394="","",YEAR(C1394))</f>
        <v/>
      </c>
      <c r="AF1394" s="57" t="str">
        <f>IF(B1394="","",MONTH(C1394))</f>
        <v/>
      </c>
      <c r="AG1394" s="57">
        <f>IF(ISNUMBER(C1394),C1394,0)</f>
        <v>0.0</v>
      </c>
      <c r="AH1394" s="57" t="str">
        <f>IF(N(W1394)&gt;0,COUNTIF(W$6:W1394,"&gt;0"),"")</f>
        <v/>
      </c>
      <c r="AI1394" s="57" t="str">
        <f>IF(Z1394=1,COUNTIF(Z$6:Z1394,1),"")</f>
        <v/>
      </c>
    </row>
    <row r="1395">
      <c r="A1395" s="54" t="n"/>
      <c r="B1395" s="55" t="str">
        <f>IF(AA1395="","",A1395&amp;"-"&amp;RIGHT("000"&amp;AA1395,4))</f>
        <v/>
      </c>
      <c r="C1395" s="56" t="n"/>
      <c r="D1395" s="54" t="n"/>
      <c r="E1395" s="57" t="str">
        <f>IF(D1395="","",IF(A1395="BL",IFERROR(INDEX(cl_name,MATCH(D1395,cl_code,0))&amp;"","Client inconnu"),IF(A1395="BR",IFERROR(INDEX(fo_name,MATCH(D1395,fo_code,0))&amp;"","Fournisseur inconnu"),IF(A1395="BS",IF(ISNA(MATCH(D1395,p_services,0)),"Service inconnu",D1395&amp;""),""))))</f>
        <v/>
      </c>
      <c r="F1395" s="58" t="n"/>
      <c r="G1395" s="58" t="n"/>
      <c r="H1395" s="59" t="n"/>
      <c r="I1395" s="57" t="str">
        <f>IF(H1395="","",IFERROR(INDEX(art_des,MATCH(H1395,art_ref,0))&amp;"","Article inconnu"))</f>
        <v/>
      </c>
      <c r="J1395" s="60" t="str">
        <f>IF(H1395="","",IFERROR(INDEX(art_unit,MATCH(H1395,art_ref,0))&amp;"",""))</f>
        <v/>
      </c>
      <c r="K1395" s="59" t="n"/>
      <c r="L1395" s="59" t="n"/>
      <c r="M1395" s="61" t="str">
        <f>IF(OR(B1395="",NOT(ISNUMBER(K1395)),NOT(ISNUMBER(L1395))),"",IF(OR(K1395&lt;=0,L1395&lt;=0),"",ROUND(L1395-K1395,6)))</f>
        <v/>
      </c>
      <c r="N1395" s="58" t="n"/>
      <c r="O1395" s="62" t="n"/>
      <c r="P1395" s="63" t="str">
        <f>IF(OR(B1395="",NOT(ISNUMBER(L1395))),"",IF(L1395&lt;=0,"",IFERROR(ROUND(L1395*N(INDEX(art_w,MATCH(H1395,art_ref,0))),3),"")))</f>
        <v/>
      </c>
      <c r="Q1395" s="59" t="n"/>
      <c r="R1395" s="54" t="n"/>
      <c r="S1395" s="59" t="n"/>
      <c r="T1395" s="59" t="n"/>
      <c r="U1395" s="64" t="str">
        <f>IF(OR(B1395="",H1395=""),"",IFERROR(IF(A1395="BL",IF(N(INDEX(art_price,MATCH(H1395,art_ref,0)))=0,"",N(INDEX(art_price,MATCH(H1395,art_ref,0)))),IF(N(INDEX(art_cost,MATCH(H1395,art_ref,0)))=0,"",N(INDEX(art_cost,MATCH(H1395,art_ref,0))))),""))</f>
        <v/>
      </c>
      <c r="V1395" s="64" t="str">
        <f>IF(OR(U1395="",NOT(ISNUMBER(L1395))),"",IF(L1395&lt;=0,"",ROUND(L1395*U1395,2)))</f>
        <v/>
      </c>
      <c r="W1395" s="60" t="str">
        <f>IF(AND(B1395&lt;&gt;"",A1395&lt;&gt;"BS",F1395&lt;&gt;"",H1395&lt;&gt;"",ISNUMBER(K1395),ISNUMBER(L1395)),IF(AND(K1395&gt;0,L1395&gt;0,K1395-L1395&gt;0,COUNTIFS(A1396:A$2005,A1395,F1396:F$2005,F1395,H1396:H$2005,H1395,AA1396:AA$2005,"&gt;0")=0),ROUND(K1395-L1395,6),""),"")</f>
        <v/>
      </c>
      <c r="X1395" s="60" t="str">
        <f>IF(AND(A1395="",C1395="",D1395="",H1395="",L1395=""),"",IF(A1395="","Type manquant",IF(AND(A1395&lt;&gt;"BL",A1395&lt;&gt;"BR",A1395&lt;&gt;"BS"),"Type inconnu (BL, BR ou BS)",IF(AG1395=0,"Date manquante ou invalide",IF(D1395="",IF(A1395="BL","Client manquant",IF(A1395="BR","Fournisseur manquant","Service manquant")),IF(IF(A1395="BL",ISNA(MATCH(D1395,cl_code,0)),IF(A1395="BR",ISNA(MATCH(D1395,fo_code,0)),ISNA(MATCH(D1395,p_services,0)))),IF(A1395="BL","Client inconnu",IF(A1395="BR","Fournisseur inconnu","Service inconnu")),IF(H1395="","Article manquant",IF(ISNA(MATCH(H1395,art_ref,0)),"Article inconnu",IF(OR(NOT(ISNUMBER(L1395)),N(L1395)&lt;=0),"Quantité invalide",IF(AND(K1395&lt;&gt;"",OR(NOT(ISNUMBER(K1395)),N(K1395)&lt;=0)),"Qté commandée invalide",IF(AG1395&lt;SUMPRODUCT(MAX((A$6:A1394=A1395)*AG$6:AG1394)),"Date antérieure au bon précédent",IF(AND(A1395&lt;&gt;"BR",ISNUMBER(M1395),N(M1395)&gt;0),IF(A1395="BL","Livré plus que commandé","Sorti plus que demandé"),"OK"))))))))))))</f>
        <v/>
      </c>
      <c r="Y1395" s="57" t="str">
        <f>IF(AND(OR(A1395="BL",A1395="BR",A1395="BS"),AG1395&gt;0,D1395&lt;&gt;""),A1395&amp;"|"&amp;AG1395&amp;"|"&amp;D1395&amp;"|"&amp;F1395,"")</f>
        <v/>
      </c>
      <c r="Z1395" s="57" t="str">
        <f>IF(Y1395="","",IF(COUNTIF(Y$6:Y1394,Y1395)=0,1,0))</f>
        <v/>
      </c>
      <c r="AA1395" s="57" t="str">
        <f>IF(Y1395="","",IF(Z1395=1,COUNTIFS(A$6:A1395,A1395,Z$6:Z1395,1),INDEX(AA$6:AA1394,MATCH(Y1395,Y$6:Y1394,0))))</f>
        <v/>
      </c>
      <c r="AB1395" s="57" t="str">
        <f>IF(B1395="","",COUNTIF(B$6:B1395,B1395))</f>
        <v/>
      </c>
      <c r="AC1395" s="57" t="str">
        <f>IF(B1395="","",B1395&amp;"#"&amp;AB1395)</f>
        <v/>
      </c>
      <c r="AD1395" s="57" t="str">
        <f>IF(Z1395=1,A1395&amp;AA1395,"")</f>
        <v/>
      </c>
      <c r="AE1395" s="57" t="str">
        <f>IF(B1395="","",YEAR(C1395))</f>
        <v/>
      </c>
      <c r="AF1395" s="57" t="str">
        <f>IF(B1395="","",MONTH(C1395))</f>
        <v/>
      </c>
      <c r="AG1395" s="57">
        <f>IF(ISNUMBER(C1395),C1395,0)</f>
        <v>0.0</v>
      </c>
      <c r="AH1395" s="57" t="str">
        <f>IF(N(W1395)&gt;0,COUNTIF(W$6:W1395,"&gt;0"),"")</f>
        <v/>
      </c>
      <c r="AI1395" s="57" t="str">
        <f>IF(Z1395=1,COUNTIF(Z$6:Z1395,1),"")</f>
        <v/>
      </c>
    </row>
    <row r="1396">
      <c r="A1396" s="54" t="n"/>
      <c r="B1396" s="55" t="str">
        <f>IF(AA1396="","",A1396&amp;"-"&amp;RIGHT("000"&amp;AA1396,4))</f>
        <v/>
      </c>
      <c r="C1396" s="56" t="n"/>
      <c r="D1396" s="54" t="n"/>
      <c r="E1396" s="57" t="str">
        <f>IF(D1396="","",IF(A1396="BL",IFERROR(INDEX(cl_name,MATCH(D1396,cl_code,0))&amp;"","Client inconnu"),IF(A1396="BR",IFERROR(INDEX(fo_name,MATCH(D1396,fo_code,0))&amp;"","Fournisseur inconnu"),IF(A1396="BS",IF(ISNA(MATCH(D1396,p_services,0)),"Service inconnu",D1396&amp;""),""))))</f>
        <v/>
      </c>
      <c r="F1396" s="58" t="n"/>
      <c r="G1396" s="58" t="n"/>
      <c r="H1396" s="59" t="n"/>
      <c r="I1396" s="57" t="str">
        <f>IF(H1396="","",IFERROR(INDEX(art_des,MATCH(H1396,art_ref,0))&amp;"","Article inconnu"))</f>
        <v/>
      </c>
      <c r="J1396" s="60" t="str">
        <f>IF(H1396="","",IFERROR(INDEX(art_unit,MATCH(H1396,art_ref,0))&amp;"",""))</f>
        <v/>
      </c>
      <c r="K1396" s="59" t="n"/>
      <c r="L1396" s="59" t="n"/>
      <c r="M1396" s="61" t="str">
        <f>IF(OR(B1396="",NOT(ISNUMBER(K1396)),NOT(ISNUMBER(L1396))),"",IF(OR(K1396&lt;=0,L1396&lt;=0),"",ROUND(L1396-K1396,6)))</f>
        <v/>
      </c>
      <c r="N1396" s="58" t="n"/>
      <c r="O1396" s="62" t="n"/>
      <c r="P1396" s="63" t="str">
        <f>IF(OR(B1396="",NOT(ISNUMBER(L1396))),"",IF(L1396&lt;=0,"",IFERROR(ROUND(L1396*N(INDEX(art_w,MATCH(H1396,art_ref,0))),3),"")))</f>
        <v/>
      </c>
      <c r="Q1396" s="59" t="n"/>
      <c r="R1396" s="54" t="n"/>
      <c r="S1396" s="59" t="n"/>
      <c r="T1396" s="59" t="n"/>
      <c r="U1396" s="64" t="str">
        <f>IF(OR(B1396="",H1396=""),"",IFERROR(IF(A1396="BL",IF(N(INDEX(art_price,MATCH(H1396,art_ref,0)))=0,"",N(INDEX(art_price,MATCH(H1396,art_ref,0)))),IF(N(INDEX(art_cost,MATCH(H1396,art_ref,0)))=0,"",N(INDEX(art_cost,MATCH(H1396,art_ref,0))))),""))</f>
        <v/>
      </c>
      <c r="V1396" s="64" t="str">
        <f>IF(OR(U1396="",NOT(ISNUMBER(L1396))),"",IF(L1396&lt;=0,"",ROUND(L1396*U1396,2)))</f>
        <v/>
      </c>
      <c r="W1396" s="60" t="str">
        <f>IF(AND(B1396&lt;&gt;"",A1396&lt;&gt;"BS",F1396&lt;&gt;"",H1396&lt;&gt;"",ISNUMBER(K1396),ISNUMBER(L1396)),IF(AND(K1396&gt;0,L1396&gt;0,K1396-L1396&gt;0,COUNTIFS(A1397:A$2005,A1396,F1397:F$2005,F1396,H1397:H$2005,H1396,AA1397:AA$2005,"&gt;0")=0),ROUND(K1396-L1396,6),""),"")</f>
        <v/>
      </c>
      <c r="X1396" s="60" t="str">
        <f>IF(AND(A1396="",C1396="",D1396="",H1396="",L1396=""),"",IF(A1396="","Type manquant",IF(AND(A1396&lt;&gt;"BL",A1396&lt;&gt;"BR",A1396&lt;&gt;"BS"),"Type inconnu (BL, BR ou BS)",IF(AG1396=0,"Date manquante ou invalide",IF(D1396="",IF(A1396="BL","Client manquant",IF(A1396="BR","Fournisseur manquant","Service manquant")),IF(IF(A1396="BL",ISNA(MATCH(D1396,cl_code,0)),IF(A1396="BR",ISNA(MATCH(D1396,fo_code,0)),ISNA(MATCH(D1396,p_services,0)))),IF(A1396="BL","Client inconnu",IF(A1396="BR","Fournisseur inconnu","Service inconnu")),IF(H1396="","Article manquant",IF(ISNA(MATCH(H1396,art_ref,0)),"Article inconnu",IF(OR(NOT(ISNUMBER(L1396)),N(L1396)&lt;=0),"Quantité invalide",IF(AND(K1396&lt;&gt;"",OR(NOT(ISNUMBER(K1396)),N(K1396)&lt;=0)),"Qté commandée invalide",IF(AG1396&lt;SUMPRODUCT(MAX((A$6:A1395=A1396)*AG$6:AG1395)),"Date antérieure au bon précédent",IF(AND(A1396&lt;&gt;"BR",ISNUMBER(M1396),N(M1396)&gt;0),IF(A1396="BL","Livré plus que commandé","Sorti plus que demandé"),"OK"))))))))))))</f>
        <v/>
      </c>
      <c r="Y1396" s="57" t="str">
        <f>IF(AND(OR(A1396="BL",A1396="BR",A1396="BS"),AG1396&gt;0,D1396&lt;&gt;""),A1396&amp;"|"&amp;AG1396&amp;"|"&amp;D1396&amp;"|"&amp;F1396,"")</f>
        <v/>
      </c>
      <c r="Z1396" s="57" t="str">
        <f>IF(Y1396="","",IF(COUNTIF(Y$6:Y1395,Y1396)=0,1,0))</f>
        <v/>
      </c>
      <c r="AA1396" s="57" t="str">
        <f>IF(Y1396="","",IF(Z1396=1,COUNTIFS(A$6:A1396,A1396,Z$6:Z1396,1),INDEX(AA$6:AA1395,MATCH(Y1396,Y$6:Y1395,0))))</f>
        <v/>
      </c>
      <c r="AB1396" s="57" t="str">
        <f>IF(B1396="","",COUNTIF(B$6:B1396,B1396))</f>
        <v/>
      </c>
      <c r="AC1396" s="57" t="str">
        <f>IF(B1396="","",B1396&amp;"#"&amp;AB1396)</f>
        <v/>
      </c>
      <c r="AD1396" s="57" t="str">
        <f>IF(Z1396=1,A1396&amp;AA1396,"")</f>
        <v/>
      </c>
      <c r="AE1396" s="57" t="str">
        <f>IF(B1396="","",YEAR(C1396))</f>
        <v/>
      </c>
      <c r="AF1396" s="57" t="str">
        <f>IF(B1396="","",MONTH(C1396))</f>
        <v/>
      </c>
      <c r="AG1396" s="57">
        <f>IF(ISNUMBER(C1396),C1396,0)</f>
        <v>0.0</v>
      </c>
      <c r="AH1396" s="57" t="str">
        <f>IF(N(W1396)&gt;0,COUNTIF(W$6:W1396,"&gt;0"),"")</f>
        <v/>
      </c>
      <c r="AI1396" s="57" t="str">
        <f>IF(Z1396=1,COUNTIF(Z$6:Z1396,1),"")</f>
        <v/>
      </c>
    </row>
    <row r="1397">
      <c r="A1397" s="54" t="n"/>
      <c r="B1397" s="55" t="str">
        <f>IF(AA1397="","",A1397&amp;"-"&amp;RIGHT("000"&amp;AA1397,4))</f>
        <v/>
      </c>
      <c r="C1397" s="56" t="n"/>
      <c r="D1397" s="54" t="n"/>
      <c r="E1397" s="57" t="str">
        <f>IF(D1397="","",IF(A1397="BL",IFERROR(INDEX(cl_name,MATCH(D1397,cl_code,0))&amp;"","Client inconnu"),IF(A1397="BR",IFERROR(INDEX(fo_name,MATCH(D1397,fo_code,0))&amp;"","Fournisseur inconnu"),IF(A1397="BS",IF(ISNA(MATCH(D1397,p_services,0)),"Service inconnu",D1397&amp;""),""))))</f>
        <v/>
      </c>
      <c r="F1397" s="58" t="n"/>
      <c r="G1397" s="58" t="n"/>
      <c r="H1397" s="59" t="n"/>
      <c r="I1397" s="57" t="str">
        <f>IF(H1397="","",IFERROR(INDEX(art_des,MATCH(H1397,art_ref,0))&amp;"","Article inconnu"))</f>
        <v/>
      </c>
      <c r="J1397" s="60" t="str">
        <f>IF(H1397="","",IFERROR(INDEX(art_unit,MATCH(H1397,art_ref,0))&amp;"",""))</f>
        <v/>
      </c>
      <c r="K1397" s="59" t="n"/>
      <c r="L1397" s="59" t="n"/>
      <c r="M1397" s="61" t="str">
        <f>IF(OR(B1397="",NOT(ISNUMBER(K1397)),NOT(ISNUMBER(L1397))),"",IF(OR(K1397&lt;=0,L1397&lt;=0),"",ROUND(L1397-K1397,6)))</f>
        <v/>
      </c>
      <c r="N1397" s="58" t="n"/>
      <c r="O1397" s="62" t="n"/>
      <c r="P1397" s="63" t="str">
        <f>IF(OR(B1397="",NOT(ISNUMBER(L1397))),"",IF(L1397&lt;=0,"",IFERROR(ROUND(L1397*N(INDEX(art_w,MATCH(H1397,art_ref,0))),3),"")))</f>
        <v/>
      </c>
      <c r="Q1397" s="59" t="n"/>
      <c r="R1397" s="54" t="n"/>
      <c r="S1397" s="59" t="n"/>
      <c r="T1397" s="59" t="n"/>
      <c r="U1397" s="64" t="str">
        <f>IF(OR(B1397="",H1397=""),"",IFERROR(IF(A1397="BL",IF(N(INDEX(art_price,MATCH(H1397,art_ref,0)))=0,"",N(INDEX(art_price,MATCH(H1397,art_ref,0)))),IF(N(INDEX(art_cost,MATCH(H1397,art_ref,0)))=0,"",N(INDEX(art_cost,MATCH(H1397,art_ref,0))))),""))</f>
        <v/>
      </c>
      <c r="V1397" s="64" t="str">
        <f>IF(OR(U1397="",NOT(ISNUMBER(L1397))),"",IF(L1397&lt;=0,"",ROUND(L1397*U1397,2)))</f>
        <v/>
      </c>
      <c r="W1397" s="60" t="str">
        <f>IF(AND(B1397&lt;&gt;"",A1397&lt;&gt;"BS",F1397&lt;&gt;"",H1397&lt;&gt;"",ISNUMBER(K1397),ISNUMBER(L1397)),IF(AND(K1397&gt;0,L1397&gt;0,K1397-L1397&gt;0,COUNTIFS(A1398:A$2005,A1397,F1398:F$2005,F1397,H1398:H$2005,H1397,AA1398:AA$2005,"&gt;0")=0),ROUND(K1397-L1397,6),""),"")</f>
        <v/>
      </c>
      <c r="X1397" s="60" t="str">
        <f>IF(AND(A1397="",C1397="",D1397="",H1397="",L1397=""),"",IF(A1397="","Type manquant",IF(AND(A1397&lt;&gt;"BL",A1397&lt;&gt;"BR",A1397&lt;&gt;"BS"),"Type inconnu (BL, BR ou BS)",IF(AG1397=0,"Date manquante ou invalide",IF(D1397="",IF(A1397="BL","Client manquant",IF(A1397="BR","Fournisseur manquant","Service manquant")),IF(IF(A1397="BL",ISNA(MATCH(D1397,cl_code,0)),IF(A1397="BR",ISNA(MATCH(D1397,fo_code,0)),ISNA(MATCH(D1397,p_services,0)))),IF(A1397="BL","Client inconnu",IF(A1397="BR","Fournisseur inconnu","Service inconnu")),IF(H1397="","Article manquant",IF(ISNA(MATCH(H1397,art_ref,0)),"Article inconnu",IF(OR(NOT(ISNUMBER(L1397)),N(L1397)&lt;=0),"Quantité invalide",IF(AND(K1397&lt;&gt;"",OR(NOT(ISNUMBER(K1397)),N(K1397)&lt;=0)),"Qté commandée invalide",IF(AG1397&lt;SUMPRODUCT(MAX((A$6:A1396=A1397)*AG$6:AG1396)),"Date antérieure au bon précédent",IF(AND(A1397&lt;&gt;"BR",ISNUMBER(M1397),N(M1397)&gt;0),IF(A1397="BL","Livré plus que commandé","Sorti plus que demandé"),"OK"))))))))))))</f>
        <v/>
      </c>
      <c r="Y1397" s="57" t="str">
        <f>IF(AND(OR(A1397="BL",A1397="BR",A1397="BS"),AG1397&gt;0,D1397&lt;&gt;""),A1397&amp;"|"&amp;AG1397&amp;"|"&amp;D1397&amp;"|"&amp;F1397,"")</f>
        <v/>
      </c>
      <c r="Z1397" s="57" t="str">
        <f>IF(Y1397="","",IF(COUNTIF(Y$6:Y1396,Y1397)=0,1,0))</f>
        <v/>
      </c>
      <c r="AA1397" s="57" t="str">
        <f>IF(Y1397="","",IF(Z1397=1,COUNTIFS(A$6:A1397,A1397,Z$6:Z1397,1),INDEX(AA$6:AA1396,MATCH(Y1397,Y$6:Y1396,0))))</f>
        <v/>
      </c>
      <c r="AB1397" s="57" t="str">
        <f>IF(B1397="","",COUNTIF(B$6:B1397,B1397))</f>
        <v/>
      </c>
      <c r="AC1397" s="57" t="str">
        <f>IF(B1397="","",B1397&amp;"#"&amp;AB1397)</f>
        <v/>
      </c>
      <c r="AD1397" s="57" t="str">
        <f>IF(Z1397=1,A1397&amp;AA1397,"")</f>
        <v/>
      </c>
      <c r="AE1397" s="57" t="str">
        <f>IF(B1397="","",YEAR(C1397))</f>
        <v/>
      </c>
      <c r="AF1397" s="57" t="str">
        <f>IF(B1397="","",MONTH(C1397))</f>
        <v/>
      </c>
      <c r="AG1397" s="57">
        <f>IF(ISNUMBER(C1397),C1397,0)</f>
        <v>0.0</v>
      </c>
      <c r="AH1397" s="57" t="str">
        <f>IF(N(W1397)&gt;0,COUNTIF(W$6:W1397,"&gt;0"),"")</f>
        <v/>
      </c>
      <c r="AI1397" s="57" t="str">
        <f>IF(Z1397=1,COUNTIF(Z$6:Z1397,1),"")</f>
        <v/>
      </c>
    </row>
    <row r="1398">
      <c r="A1398" s="54" t="n"/>
      <c r="B1398" s="55" t="str">
        <f>IF(AA1398="","",A1398&amp;"-"&amp;RIGHT("000"&amp;AA1398,4))</f>
        <v/>
      </c>
      <c r="C1398" s="56" t="n"/>
      <c r="D1398" s="54" t="n"/>
      <c r="E1398" s="57" t="str">
        <f>IF(D1398="","",IF(A1398="BL",IFERROR(INDEX(cl_name,MATCH(D1398,cl_code,0))&amp;"","Client inconnu"),IF(A1398="BR",IFERROR(INDEX(fo_name,MATCH(D1398,fo_code,0))&amp;"","Fournisseur inconnu"),IF(A1398="BS",IF(ISNA(MATCH(D1398,p_services,0)),"Service inconnu",D1398&amp;""),""))))</f>
        <v/>
      </c>
      <c r="F1398" s="58" t="n"/>
      <c r="G1398" s="58" t="n"/>
      <c r="H1398" s="59" t="n"/>
      <c r="I1398" s="57" t="str">
        <f>IF(H1398="","",IFERROR(INDEX(art_des,MATCH(H1398,art_ref,0))&amp;"","Article inconnu"))</f>
        <v/>
      </c>
      <c r="J1398" s="60" t="str">
        <f>IF(H1398="","",IFERROR(INDEX(art_unit,MATCH(H1398,art_ref,0))&amp;"",""))</f>
        <v/>
      </c>
      <c r="K1398" s="59" t="n"/>
      <c r="L1398" s="59" t="n"/>
      <c r="M1398" s="61" t="str">
        <f>IF(OR(B1398="",NOT(ISNUMBER(K1398)),NOT(ISNUMBER(L1398))),"",IF(OR(K1398&lt;=0,L1398&lt;=0),"",ROUND(L1398-K1398,6)))</f>
        <v/>
      </c>
      <c r="N1398" s="58" t="n"/>
      <c r="O1398" s="62" t="n"/>
      <c r="P1398" s="63" t="str">
        <f>IF(OR(B1398="",NOT(ISNUMBER(L1398))),"",IF(L1398&lt;=0,"",IFERROR(ROUND(L1398*N(INDEX(art_w,MATCH(H1398,art_ref,0))),3),"")))</f>
        <v/>
      </c>
      <c r="Q1398" s="59" t="n"/>
      <c r="R1398" s="54" t="n"/>
      <c r="S1398" s="59" t="n"/>
      <c r="T1398" s="59" t="n"/>
      <c r="U1398" s="64" t="str">
        <f>IF(OR(B1398="",H1398=""),"",IFERROR(IF(A1398="BL",IF(N(INDEX(art_price,MATCH(H1398,art_ref,0)))=0,"",N(INDEX(art_price,MATCH(H1398,art_ref,0)))),IF(N(INDEX(art_cost,MATCH(H1398,art_ref,0)))=0,"",N(INDEX(art_cost,MATCH(H1398,art_ref,0))))),""))</f>
        <v/>
      </c>
      <c r="V1398" s="64" t="str">
        <f>IF(OR(U1398="",NOT(ISNUMBER(L1398))),"",IF(L1398&lt;=0,"",ROUND(L1398*U1398,2)))</f>
        <v/>
      </c>
      <c r="W1398" s="60" t="str">
        <f>IF(AND(B1398&lt;&gt;"",A1398&lt;&gt;"BS",F1398&lt;&gt;"",H1398&lt;&gt;"",ISNUMBER(K1398),ISNUMBER(L1398)),IF(AND(K1398&gt;0,L1398&gt;0,K1398-L1398&gt;0,COUNTIFS(A1399:A$2005,A1398,F1399:F$2005,F1398,H1399:H$2005,H1398,AA1399:AA$2005,"&gt;0")=0),ROUND(K1398-L1398,6),""),"")</f>
        <v/>
      </c>
      <c r="X1398" s="60" t="str">
        <f>IF(AND(A1398="",C1398="",D1398="",H1398="",L1398=""),"",IF(A1398="","Type manquant",IF(AND(A1398&lt;&gt;"BL",A1398&lt;&gt;"BR",A1398&lt;&gt;"BS"),"Type inconnu (BL, BR ou BS)",IF(AG1398=0,"Date manquante ou invalide",IF(D1398="",IF(A1398="BL","Client manquant",IF(A1398="BR","Fournisseur manquant","Service manquant")),IF(IF(A1398="BL",ISNA(MATCH(D1398,cl_code,0)),IF(A1398="BR",ISNA(MATCH(D1398,fo_code,0)),ISNA(MATCH(D1398,p_services,0)))),IF(A1398="BL","Client inconnu",IF(A1398="BR","Fournisseur inconnu","Service inconnu")),IF(H1398="","Article manquant",IF(ISNA(MATCH(H1398,art_ref,0)),"Article inconnu",IF(OR(NOT(ISNUMBER(L1398)),N(L1398)&lt;=0),"Quantité invalide",IF(AND(K1398&lt;&gt;"",OR(NOT(ISNUMBER(K1398)),N(K1398)&lt;=0)),"Qté commandée invalide",IF(AG1398&lt;SUMPRODUCT(MAX((A$6:A1397=A1398)*AG$6:AG1397)),"Date antérieure au bon précédent",IF(AND(A1398&lt;&gt;"BR",ISNUMBER(M1398),N(M1398)&gt;0),IF(A1398="BL","Livré plus que commandé","Sorti plus que demandé"),"OK"))))))))))))</f>
        <v/>
      </c>
      <c r="Y1398" s="57" t="str">
        <f>IF(AND(OR(A1398="BL",A1398="BR",A1398="BS"),AG1398&gt;0,D1398&lt;&gt;""),A1398&amp;"|"&amp;AG1398&amp;"|"&amp;D1398&amp;"|"&amp;F1398,"")</f>
        <v/>
      </c>
      <c r="Z1398" s="57" t="str">
        <f>IF(Y1398="","",IF(COUNTIF(Y$6:Y1397,Y1398)=0,1,0))</f>
        <v/>
      </c>
      <c r="AA1398" s="57" t="str">
        <f>IF(Y1398="","",IF(Z1398=1,COUNTIFS(A$6:A1398,A1398,Z$6:Z1398,1),INDEX(AA$6:AA1397,MATCH(Y1398,Y$6:Y1397,0))))</f>
        <v/>
      </c>
      <c r="AB1398" s="57" t="str">
        <f>IF(B1398="","",COUNTIF(B$6:B1398,B1398))</f>
        <v/>
      </c>
      <c r="AC1398" s="57" t="str">
        <f>IF(B1398="","",B1398&amp;"#"&amp;AB1398)</f>
        <v/>
      </c>
      <c r="AD1398" s="57" t="str">
        <f>IF(Z1398=1,A1398&amp;AA1398,"")</f>
        <v/>
      </c>
      <c r="AE1398" s="57" t="str">
        <f>IF(B1398="","",YEAR(C1398))</f>
        <v/>
      </c>
      <c r="AF1398" s="57" t="str">
        <f>IF(B1398="","",MONTH(C1398))</f>
        <v/>
      </c>
      <c r="AG1398" s="57">
        <f>IF(ISNUMBER(C1398),C1398,0)</f>
        <v>0.0</v>
      </c>
      <c r="AH1398" s="57" t="str">
        <f>IF(N(W1398)&gt;0,COUNTIF(W$6:W1398,"&gt;0"),"")</f>
        <v/>
      </c>
      <c r="AI1398" s="57" t="str">
        <f>IF(Z1398=1,COUNTIF(Z$6:Z1398,1),"")</f>
        <v/>
      </c>
    </row>
    <row r="1399">
      <c r="A1399" s="54" t="n"/>
      <c r="B1399" s="55" t="str">
        <f>IF(AA1399="","",A1399&amp;"-"&amp;RIGHT("000"&amp;AA1399,4))</f>
        <v/>
      </c>
      <c r="C1399" s="56" t="n"/>
      <c r="D1399" s="54" t="n"/>
      <c r="E1399" s="57" t="str">
        <f>IF(D1399="","",IF(A1399="BL",IFERROR(INDEX(cl_name,MATCH(D1399,cl_code,0))&amp;"","Client inconnu"),IF(A1399="BR",IFERROR(INDEX(fo_name,MATCH(D1399,fo_code,0))&amp;"","Fournisseur inconnu"),IF(A1399="BS",IF(ISNA(MATCH(D1399,p_services,0)),"Service inconnu",D1399&amp;""),""))))</f>
        <v/>
      </c>
      <c r="F1399" s="58" t="n"/>
      <c r="G1399" s="58" t="n"/>
      <c r="H1399" s="59" t="n"/>
      <c r="I1399" s="57" t="str">
        <f>IF(H1399="","",IFERROR(INDEX(art_des,MATCH(H1399,art_ref,0))&amp;"","Article inconnu"))</f>
        <v/>
      </c>
      <c r="J1399" s="60" t="str">
        <f>IF(H1399="","",IFERROR(INDEX(art_unit,MATCH(H1399,art_ref,0))&amp;"",""))</f>
        <v/>
      </c>
      <c r="K1399" s="59" t="n"/>
      <c r="L1399" s="59" t="n"/>
      <c r="M1399" s="61" t="str">
        <f>IF(OR(B1399="",NOT(ISNUMBER(K1399)),NOT(ISNUMBER(L1399))),"",IF(OR(K1399&lt;=0,L1399&lt;=0),"",ROUND(L1399-K1399,6)))</f>
        <v/>
      </c>
      <c r="N1399" s="58" t="n"/>
      <c r="O1399" s="62" t="n"/>
      <c r="P1399" s="63" t="str">
        <f>IF(OR(B1399="",NOT(ISNUMBER(L1399))),"",IF(L1399&lt;=0,"",IFERROR(ROUND(L1399*N(INDEX(art_w,MATCH(H1399,art_ref,0))),3),"")))</f>
        <v/>
      </c>
      <c r="Q1399" s="59" t="n"/>
      <c r="R1399" s="54" t="n"/>
      <c r="S1399" s="59" t="n"/>
      <c r="T1399" s="59" t="n"/>
      <c r="U1399" s="64" t="str">
        <f>IF(OR(B1399="",H1399=""),"",IFERROR(IF(A1399="BL",IF(N(INDEX(art_price,MATCH(H1399,art_ref,0)))=0,"",N(INDEX(art_price,MATCH(H1399,art_ref,0)))),IF(N(INDEX(art_cost,MATCH(H1399,art_ref,0)))=0,"",N(INDEX(art_cost,MATCH(H1399,art_ref,0))))),""))</f>
        <v/>
      </c>
      <c r="V1399" s="64" t="str">
        <f>IF(OR(U1399="",NOT(ISNUMBER(L1399))),"",IF(L1399&lt;=0,"",ROUND(L1399*U1399,2)))</f>
        <v/>
      </c>
      <c r="W1399" s="60" t="str">
        <f>IF(AND(B1399&lt;&gt;"",A1399&lt;&gt;"BS",F1399&lt;&gt;"",H1399&lt;&gt;"",ISNUMBER(K1399),ISNUMBER(L1399)),IF(AND(K1399&gt;0,L1399&gt;0,K1399-L1399&gt;0,COUNTIFS(A1400:A$2005,A1399,F1400:F$2005,F1399,H1400:H$2005,H1399,AA1400:AA$2005,"&gt;0")=0),ROUND(K1399-L1399,6),""),"")</f>
        <v/>
      </c>
      <c r="X1399" s="60" t="str">
        <f>IF(AND(A1399="",C1399="",D1399="",H1399="",L1399=""),"",IF(A1399="","Type manquant",IF(AND(A1399&lt;&gt;"BL",A1399&lt;&gt;"BR",A1399&lt;&gt;"BS"),"Type inconnu (BL, BR ou BS)",IF(AG1399=0,"Date manquante ou invalide",IF(D1399="",IF(A1399="BL","Client manquant",IF(A1399="BR","Fournisseur manquant","Service manquant")),IF(IF(A1399="BL",ISNA(MATCH(D1399,cl_code,0)),IF(A1399="BR",ISNA(MATCH(D1399,fo_code,0)),ISNA(MATCH(D1399,p_services,0)))),IF(A1399="BL","Client inconnu",IF(A1399="BR","Fournisseur inconnu","Service inconnu")),IF(H1399="","Article manquant",IF(ISNA(MATCH(H1399,art_ref,0)),"Article inconnu",IF(OR(NOT(ISNUMBER(L1399)),N(L1399)&lt;=0),"Quantité invalide",IF(AND(K1399&lt;&gt;"",OR(NOT(ISNUMBER(K1399)),N(K1399)&lt;=0)),"Qté commandée invalide",IF(AG1399&lt;SUMPRODUCT(MAX((A$6:A1398=A1399)*AG$6:AG1398)),"Date antérieure au bon précédent",IF(AND(A1399&lt;&gt;"BR",ISNUMBER(M1399),N(M1399)&gt;0),IF(A1399="BL","Livré plus que commandé","Sorti plus que demandé"),"OK"))))))))))))</f>
        <v/>
      </c>
      <c r="Y1399" s="57" t="str">
        <f>IF(AND(OR(A1399="BL",A1399="BR",A1399="BS"),AG1399&gt;0,D1399&lt;&gt;""),A1399&amp;"|"&amp;AG1399&amp;"|"&amp;D1399&amp;"|"&amp;F1399,"")</f>
        <v/>
      </c>
      <c r="Z1399" s="57" t="str">
        <f>IF(Y1399="","",IF(COUNTIF(Y$6:Y1398,Y1399)=0,1,0))</f>
        <v/>
      </c>
      <c r="AA1399" s="57" t="str">
        <f>IF(Y1399="","",IF(Z1399=1,COUNTIFS(A$6:A1399,A1399,Z$6:Z1399,1),INDEX(AA$6:AA1398,MATCH(Y1399,Y$6:Y1398,0))))</f>
        <v/>
      </c>
      <c r="AB1399" s="57" t="str">
        <f>IF(B1399="","",COUNTIF(B$6:B1399,B1399))</f>
        <v/>
      </c>
      <c r="AC1399" s="57" t="str">
        <f>IF(B1399="","",B1399&amp;"#"&amp;AB1399)</f>
        <v/>
      </c>
      <c r="AD1399" s="57" t="str">
        <f>IF(Z1399=1,A1399&amp;AA1399,"")</f>
        <v/>
      </c>
      <c r="AE1399" s="57" t="str">
        <f>IF(B1399="","",YEAR(C1399))</f>
        <v/>
      </c>
      <c r="AF1399" s="57" t="str">
        <f>IF(B1399="","",MONTH(C1399))</f>
        <v/>
      </c>
      <c r="AG1399" s="57">
        <f>IF(ISNUMBER(C1399),C1399,0)</f>
        <v>0.0</v>
      </c>
      <c r="AH1399" s="57" t="str">
        <f>IF(N(W1399)&gt;0,COUNTIF(W$6:W1399,"&gt;0"),"")</f>
        <v/>
      </c>
      <c r="AI1399" s="57" t="str">
        <f>IF(Z1399=1,COUNTIF(Z$6:Z1399,1),"")</f>
        <v/>
      </c>
    </row>
    <row r="1400">
      <c r="A1400" s="54" t="n"/>
      <c r="B1400" s="55" t="str">
        <f>IF(AA1400="","",A1400&amp;"-"&amp;RIGHT("000"&amp;AA1400,4))</f>
        <v/>
      </c>
      <c r="C1400" s="56" t="n"/>
      <c r="D1400" s="54" t="n"/>
      <c r="E1400" s="57" t="str">
        <f>IF(D1400="","",IF(A1400="BL",IFERROR(INDEX(cl_name,MATCH(D1400,cl_code,0))&amp;"","Client inconnu"),IF(A1400="BR",IFERROR(INDEX(fo_name,MATCH(D1400,fo_code,0))&amp;"","Fournisseur inconnu"),IF(A1400="BS",IF(ISNA(MATCH(D1400,p_services,0)),"Service inconnu",D1400&amp;""),""))))</f>
        <v/>
      </c>
      <c r="F1400" s="58" t="n"/>
      <c r="G1400" s="58" t="n"/>
      <c r="H1400" s="59" t="n"/>
      <c r="I1400" s="57" t="str">
        <f>IF(H1400="","",IFERROR(INDEX(art_des,MATCH(H1400,art_ref,0))&amp;"","Article inconnu"))</f>
        <v/>
      </c>
      <c r="J1400" s="60" t="str">
        <f>IF(H1400="","",IFERROR(INDEX(art_unit,MATCH(H1400,art_ref,0))&amp;"",""))</f>
        <v/>
      </c>
      <c r="K1400" s="59" t="n"/>
      <c r="L1400" s="59" t="n"/>
      <c r="M1400" s="61" t="str">
        <f>IF(OR(B1400="",NOT(ISNUMBER(K1400)),NOT(ISNUMBER(L1400))),"",IF(OR(K1400&lt;=0,L1400&lt;=0),"",ROUND(L1400-K1400,6)))</f>
        <v/>
      </c>
      <c r="N1400" s="58" t="n"/>
      <c r="O1400" s="62" t="n"/>
      <c r="P1400" s="63" t="str">
        <f>IF(OR(B1400="",NOT(ISNUMBER(L1400))),"",IF(L1400&lt;=0,"",IFERROR(ROUND(L1400*N(INDEX(art_w,MATCH(H1400,art_ref,0))),3),"")))</f>
        <v/>
      </c>
      <c r="Q1400" s="59" t="n"/>
      <c r="R1400" s="54" t="n"/>
      <c r="S1400" s="59" t="n"/>
      <c r="T1400" s="59" t="n"/>
      <c r="U1400" s="64" t="str">
        <f>IF(OR(B1400="",H1400=""),"",IFERROR(IF(A1400="BL",IF(N(INDEX(art_price,MATCH(H1400,art_ref,0)))=0,"",N(INDEX(art_price,MATCH(H1400,art_ref,0)))),IF(N(INDEX(art_cost,MATCH(H1400,art_ref,0)))=0,"",N(INDEX(art_cost,MATCH(H1400,art_ref,0))))),""))</f>
        <v/>
      </c>
      <c r="V1400" s="64" t="str">
        <f>IF(OR(U1400="",NOT(ISNUMBER(L1400))),"",IF(L1400&lt;=0,"",ROUND(L1400*U1400,2)))</f>
        <v/>
      </c>
      <c r="W1400" s="60" t="str">
        <f>IF(AND(B1400&lt;&gt;"",A1400&lt;&gt;"BS",F1400&lt;&gt;"",H1400&lt;&gt;"",ISNUMBER(K1400),ISNUMBER(L1400)),IF(AND(K1400&gt;0,L1400&gt;0,K1400-L1400&gt;0,COUNTIFS(A1401:A$2005,A1400,F1401:F$2005,F1400,H1401:H$2005,H1400,AA1401:AA$2005,"&gt;0")=0),ROUND(K1400-L1400,6),""),"")</f>
        <v/>
      </c>
      <c r="X1400" s="60" t="str">
        <f>IF(AND(A1400="",C1400="",D1400="",H1400="",L1400=""),"",IF(A1400="","Type manquant",IF(AND(A1400&lt;&gt;"BL",A1400&lt;&gt;"BR",A1400&lt;&gt;"BS"),"Type inconnu (BL, BR ou BS)",IF(AG1400=0,"Date manquante ou invalide",IF(D1400="",IF(A1400="BL","Client manquant",IF(A1400="BR","Fournisseur manquant","Service manquant")),IF(IF(A1400="BL",ISNA(MATCH(D1400,cl_code,0)),IF(A1400="BR",ISNA(MATCH(D1400,fo_code,0)),ISNA(MATCH(D1400,p_services,0)))),IF(A1400="BL","Client inconnu",IF(A1400="BR","Fournisseur inconnu","Service inconnu")),IF(H1400="","Article manquant",IF(ISNA(MATCH(H1400,art_ref,0)),"Article inconnu",IF(OR(NOT(ISNUMBER(L1400)),N(L1400)&lt;=0),"Quantité invalide",IF(AND(K1400&lt;&gt;"",OR(NOT(ISNUMBER(K1400)),N(K1400)&lt;=0)),"Qté commandée invalide",IF(AG1400&lt;SUMPRODUCT(MAX((A$6:A1399=A1400)*AG$6:AG1399)),"Date antérieure au bon précédent",IF(AND(A1400&lt;&gt;"BR",ISNUMBER(M1400),N(M1400)&gt;0),IF(A1400="BL","Livré plus que commandé","Sorti plus que demandé"),"OK"))))))))))))</f>
        <v/>
      </c>
      <c r="Y1400" s="57" t="str">
        <f>IF(AND(OR(A1400="BL",A1400="BR",A1400="BS"),AG1400&gt;0,D1400&lt;&gt;""),A1400&amp;"|"&amp;AG1400&amp;"|"&amp;D1400&amp;"|"&amp;F1400,"")</f>
        <v/>
      </c>
      <c r="Z1400" s="57" t="str">
        <f>IF(Y1400="","",IF(COUNTIF(Y$6:Y1399,Y1400)=0,1,0))</f>
        <v/>
      </c>
      <c r="AA1400" s="57" t="str">
        <f>IF(Y1400="","",IF(Z1400=1,COUNTIFS(A$6:A1400,A1400,Z$6:Z1400,1),INDEX(AA$6:AA1399,MATCH(Y1400,Y$6:Y1399,0))))</f>
        <v/>
      </c>
      <c r="AB1400" s="57" t="str">
        <f>IF(B1400="","",COUNTIF(B$6:B1400,B1400))</f>
        <v/>
      </c>
      <c r="AC1400" s="57" t="str">
        <f>IF(B1400="","",B1400&amp;"#"&amp;AB1400)</f>
        <v/>
      </c>
      <c r="AD1400" s="57" t="str">
        <f>IF(Z1400=1,A1400&amp;AA1400,"")</f>
        <v/>
      </c>
      <c r="AE1400" s="57" t="str">
        <f>IF(B1400="","",YEAR(C1400))</f>
        <v/>
      </c>
      <c r="AF1400" s="57" t="str">
        <f>IF(B1400="","",MONTH(C1400))</f>
        <v/>
      </c>
      <c r="AG1400" s="57">
        <f>IF(ISNUMBER(C1400),C1400,0)</f>
        <v>0.0</v>
      </c>
      <c r="AH1400" s="57" t="str">
        <f>IF(N(W1400)&gt;0,COUNTIF(W$6:W1400,"&gt;0"),"")</f>
        <v/>
      </c>
      <c r="AI1400" s="57" t="str">
        <f>IF(Z1400=1,COUNTIF(Z$6:Z1400,1),"")</f>
        <v/>
      </c>
    </row>
    <row r="1401">
      <c r="A1401" s="54" t="n"/>
      <c r="B1401" s="55" t="str">
        <f>IF(AA1401="","",A1401&amp;"-"&amp;RIGHT("000"&amp;AA1401,4))</f>
        <v/>
      </c>
      <c r="C1401" s="56" t="n"/>
      <c r="D1401" s="54" t="n"/>
      <c r="E1401" s="57" t="str">
        <f>IF(D1401="","",IF(A1401="BL",IFERROR(INDEX(cl_name,MATCH(D1401,cl_code,0))&amp;"","Client inconnu"),IF(A1401="BR",IFERROR(INDEX(fo_name,MATCH(D1401,fo_code,0))&amp;"","Fournisseur inconnu"),IF(A1401="BS",IF(ISNA(MATCH(D1401,p_services,0)),"Service inconnu",D1401&amp;""),""))))</f>
        <v/>
      </c>
      <c r="F1401" s="58" t="n"/>
      <c r="G1401" s="58" t="n"/>
      <c r="H1401" s="59" t="n"/>
      <c r="I1401" s="57" t="str">
        <f>IF(H1401="","",IFERROR(INDEX(art_des,MATCH(H1401,art_ref,0))&amp;"","Article inconnu"))</f>
        <v/>
      </c>
      <c r="J1401" s="60" t="str">
        <f>IF(H1401="","",IFERROR(INDEX(art_unit,MATCH(H1401,art_ref,0))&amp;"",""))</f>
        <v/>
      </c>
      <c r="K1401" s="59" t="n"/>
      <c r="L1401" s="59" t="n"/>
      <c r="M1401" s="61" t="str">
        <f>IF(OR(B1401="",NOT(ISNUMBER(K1401)),NOT(ISNUMBER(L1401))),"",IF(OR(K1401&lt;=0,L1401&lt;=0),"",ROUND(L1401-K1401,6)))</f>
        <v/>
      </c>
      <c r="N1401" s="58" t="n"/>
      <c r="O1401" s="62" t="n"/>
      <c r="P1401" s="63" t="str">
        <f>IF(OR(B1401="",NOT(ISNUMBER(L1401))),"",IF(L1401&lt;=0,"",IFERROR(ROUND(L1401*N(INDEX(art_w,MATCH(H1401,art_ref,0))),3),"")))</f>
        <v/>
      </c>
      <c r="Q1401" s="59" t="n"/>
      <c r="R1401" s="54" t="n"/>
      <c r="S1401" s="59" t="n"/>
      <c r="T1401" s="59" t="n"/>
      <c r="U1401" s="64" t="str">
        <f>IF(OR(B1401="",H1401=""),"",IFERROR(IF(A1401="BL",IF(N(INDEX(art_price,MATCH(H1401,art_ref,0)))=0,"",N(INDEX(art_price,MATCH(H1401,art_ref,0)))),IF(N(INDEX(art_cost,MATCH(H1401,art_ref,0)))=0,"",N(INDEX(art_cost,MATCH(H1401,art_ref,0))))),""))</f>
        <v/>
      </c>
      <c r="V1401" s="64" t="str">
        <f>IF(OR(U1401="",NOT(ISNUMBER(L1401))),"",IF(L1401&lt;=0,"",ROUND(L1401*U1401,2)))</f>
        <v/>
      </c>
      <c r="W1401" s="60" t="str">
        <f>IF(AND(B1401&lt;&gt;"",A1401&lt;&gt;"BS",F1401&lt;&gt;"",H1401&lt;&gt;"",ISNUMBER(K1401),ISNUMBER(L1401)),IF(AND(K1401&gt;0,L1401&gt;0,K1401-L1401&gt;0,COUNTIFS(A1402:A$2005,A1401,F1402:F$2005,F1401,H1402:H$2005,H1401,AA1402:AA$2005,"&gt;0")=0),ROUND(K1401-L1401,6),""),"")</f>
        <v/>
      </c>
      <c r="X1401" s="60" t="str">
        <f>IF(AND(A1401="",C1401="",D1401="",H1401="",L1401=""),"",IF(A1401="","Type manquant",IF(AND(A1401&lt;&gt;"BL",A1401&lt;&gt;"BR",A1401&lt;&gt;"BS"),"Type inconnu (BL, BR ou BS)",IF(AG1401=0,"Date manquante ou invalide",IF(D1401="",IF(A1401="BL","Client manquant",IF(A1401="BR","Fournisseur manquant","Service manquant")),IF(IF(A1401="BL",ISNA(MATCH(D1401,cl_code,0)),IF(A1401="BR",ISNA(MATCH(D1401,fo_code,0)),ISNA(MATCH(D1401,p_services,0)))),IF(A1401="BL","Client inconnu",IF(A1401="BR","Fournisseur inconnu","Service inconnu")),IF(H1401="","Article manquant",IF(ISNA(MATCH(H1401,art_ref,0)),"Article inconnu",IF(OR(NOT(ISNUMBER(L1401)),N(L1401)&lt;=0),"Quantité invalide",IF(AND(K1401&lt;&gt;"",OR(NOT(ISNUMBER(K1401)),N(K1401)&lt;=0)),"Qté commandée invalide",IF(AG1401&lt;SUMPRODUCT(MAX((A$6:A1400=A1401)*AG$6:AG1400)),"Date antérieure au bon précédent",IF(AND(A1401&lt;&gt;"BR",ISNUMBER(M1401),N(M1401)&gt;0),IF(A1401="BL","Livré plus que commandé","Sorti plus que demandé"),"OK"))))))))))))</f>
        <v/>
      </c>
      <c r="Y1401" s="57" t="str">
        <f>IF(AND(OR(A1401="BL",A1401="BR",A1401="BS"),AG1401&gt;0,D1401&lt;&gt;""),A1401&amp;"|"&amp;AG1401&amp;"|"&amp;D1401&amp;"|"&amp;F1401,"")</f>
        <v/>
      </c>
      <c r="Z1401" s="57" t="str">
        <f>IF(Y1401="","",IF(COUNTIF(Y$6:Y1400,Y1401)=0,1,0))</f>
        <v/>
      </c>
      <c r="AA1401" s="57" t="str">
        <f>IF(Y1401="","",IF(Z1401=1,COUNTIFS(A$6:A1401,A1401,Z$6:Z1401,1),INDEX(AA$6:AA1400,MATCH(Y1401,Y$6:Y1400,0))))</f>
        <v/>
      </c>
      <c r="AB1401" s="57" t="str">
        <f>IF(B1401="","",COUNTIF(B$6:B1401,B1401))</f>
        <v/>
      </c>
      <c r="AC1401" s="57" t="str">
        <f>IF(B1401="","",B1401&amp;"#"&amp;AB1401)</f>
        <v/>
      </c>
      <c r="AD1401" s="57" t="str">
        <f>IF(Z1401=1,A1401&amp;AA1401,"")</f>
        <v/>
      </c>
      <c r="AE1401" s="57" t="str">
        <f>IF(B1401="","",YEAR(C1401))</f>
        <v/>
      </c>
      <c r="AF1401" s="57" t="str">
        <f>IF(B1401="","",MONTH(C1401))</f>
        <v/>
      </c>
      <c r="AG1401" s="57">
        <f>IF(ISNUMBER(C1401),C1401,0)</f>
        <v>0.0</v>
      </c>
      <c r="AH1401" s="57" t="str">
        <f>IF(N(W1401)&gt;0,COUNTIF(W$6:W1401,"&gt;0"),"")</f>
        <v/>
      </c>
      <c r="AI1401" s="57" t="str">
        <f>IF(Z1401=1,COUNTIF(Z$6:Z1401,1),"")</f>
        <v/>
      </c>
    </row>
    <row r="1402">
      <c r="A1402" s="54" t="n"/>
      <c r="B1402" s="55" t="str">
        <f>IF(AA1402="","",A1402&amp;"-"&amp;RIGHT("000"&amp;AA1402,4))</f>
        <v/>
      </c>
      <c r="C1402" s="56" t="n"/>
      <c r="D1402" s="54" t="n"/>
      <c r="E1402" s="57" t="str">
        <f>IF(D1402="","",IF(A1402="BL",IFERROR(INDEX(cl_name,MATCH(D1402,cl_code,0))&amp;"","Client inconnu"),IF(A1402="BR",IFERROR(INDEX(fo_name,MATCH(D1402,fo_code,0))&amp;"","Fournisseur inconnu"),IF(A1402="BS",IF(ISNA(MATCH(D1402,p_services,0)),"Service inconnu",D1402&amp;""),""))))</f>
        <v/>
      </c>
      <c r="F1402" s="58" t="n"/>
      <c r="G1402" s="58" t="n"/>
      <c r="H1402" s="59" t="n"/>
      <c r="I1402" s="57" t="str">
        <f>IF(H1402="","",IFERROR(INDEX(art_des,MATCH(H1402,art_ref,0))&amp;"","Article inconnu"))</f>
        <v/>
      </c>
      <c r="J1402" s="60" t="str">
        <f>IF(H1402="","",IFERROR(INDEX(art_unit,MATCH(H1402,art_ref,0))&amp;"",""))</f>
        <v/>
      </c>
      <c r="K1402" s="59" t="n"/>
      <c r="L1402" s="59" t="n"/>
      <c r="M1402" s="61" t="str">
        <f>IF(OR(B1402="",NOT(ISNUMBER(K1402)),NOT(ISNUMBER(L1402))),"",IF(OR(K1402&lt;=0,L1402&lt;=0),"",ROUND(L1402-K1402,6)))</f>
        <v/>
      </c>
      <c r="N1402" s="58" t="n"/>
      <c r="O1402" s="62" t="n"/>
      <c r="P1402" s="63" t="str">
        <f>IF(OR(B1402="",NOT(ISNUMBER(L1402))),"",IF(L1402&lt;=0,"",IFERROR(ROUND(L1402*N(INDEX(art_w,MATCH(H1402,art_ref,0))),3),"")))</f>
        <v/>
      </c>
      <c r="Q1402" s="59" t="n"/>
      <c r="R1402" s="54" t="n"/>
      <c r="S1402" s="59" t="n"/>
      <c r="T1402" s="59" t="n"/>
      <c r="U1402" s="64" t="str">
        <f>IF(OR(B1402="",H1402=""),"",IFERROR(IF(A1402="BL",IF(N(INDEX(art_price,MATCH(H1402,art_ref,0)))=0,"",N(INDEX(art_price,MATCH(H1402,art_ref,0)))),IF(N(INDEX(art_cost,MATCH(H1402,art_ref,0)))=0,"",N(INDEX(art_cost,MATCH(H1402,art_ref,0))))),""))</f>
        <v/>
      </c>
      <c r="V1402" s="64" t="str">
        <f>IF(OR(U1402="",NOT(ISNUMBER(L1402))),"",IF(L1402&lt;=0,"",ROUND(L1402*U1402,2)))</f>
        <v/>
      </c>
      <c r="W1402" s="60" t="str">
        <f>IF(AND(B1402&lt;&gt;"",A1402&lt;&gt;"BS",F1402&lt;&gt;"",H1402&lt;&gt;"",ISNUMBER(K1402),ISNUMBER(L1402)),IF(AND(K1402&gt;0,L1402&gt;0,K1402-L1402&gt;0,COUNTIFS(A1403:A$2005,A1402,F1403:F$2005,F1402,H1403:H$2005,H1402,AA1403:AA$2005,"&gt;0")=0),ROUND(K1402-L1402,6),""),"")</f>
        <v/>
      </c>
      <c r="X1402" s="60" t="str">
        <f>IF(AND(A1402="",C1402="",D1402="",H1402="",L1402=""),"",IF(A1402="","Type manquant",IF(AND(A1402&lt;&gt;"BL",A1402&lt;&gt;"BR",A1402&lt;&gt;"BS"),"Type inconnu (BL, BR ou BS)",IF(AG1402=0,"Date manquante ou invalide",IF(D1402="",IF(A1402="BL","Client manquant",IF(A1402="BR","Fournisseur manquant","Service manquant")),IF(IF(A1402="BL",ISNA(MATCH(D1402,cl_code,0)),IF(A1402="BR",ISNA(MATCH(D1402,fo_code,0)),ISNA(MATCH(D1402,p_services,0)))),IF(A1402="BL","Client inconnu",IF(A1402="BR","Fournisseur inconnu","Service inconnu")),IF(H1402="","Article manquant",IF(ISNA(MATCH(H1402,art_ref,0)),"Article inconnu",IF(OR(NOT(ISNUMBER(L1402)),N(L1402)&lt;=0),"Quantité invalide",IF(AND(K1402&lt;&gt;"",OR(NOT(ISNUMBER(K1402)),N(K1402)&lt;=0)),"Qté commandée invalide",IF(AG1402&lt;SUMPRODUCT(MAX((A$6:A1401=A1402)*AG$6:AG1401)),"Date antérieure au bon précédent",IF(AND(A1402&lt;&gt;"BR",ISNUMBER(M1402),N(M1402)&gt;0),IF(A1402="BL","Livré plus que commandé","Sorti plus que demandé"),"OK"))))))))))))</f>
        <v/>
      </c>
      <c r="Y1402" s="57" t="str">
        <f>IF(AND(OR(A1402="BL",A1402="BR",A1402="BS"),AG1402&gt;0,D1402&lt;&gt;""),A1402&amp;"|"&amp;AG1402&amp;"|"&amp;D1402&amp;"|"&amp;F1402,"")</f>
        <v/>
      </c>
      <c r="Z1402" s="57" t="str">
        <f>IF(Y1402="","",IF(COUNTIF(Y$6:Y1401,Y1402)=0,1,0))</f>
        <v/>
      </c>
      <c r="AA1402" s="57" t="str">
        <f>IF(Y1402="","",IF(Z1402=1,COUNTIFS(A$6:A1402,A1402,Z$6:Z1402,1),INDEX(AA$6:AA1401,MATCH(Y1402,Y$6:Y1401,0))))</f>
        <v/>
      </c>
      <c r="AB1402" s="57" t="str">
        <f>IF(B1402="","",COUNTIF(B$6:B1402,B1402))</f>
        <v/>
      </c>
      <c r="AC1402" s="57" t="str">
        <f>IF(B1402="","",B1402&amp;"#"&amp;AB1402)</f>
        <v/>
      </c>
      <c r="AD1402" s="57" t="str">
        <f>IF(Z1402=1,A1402&amp;AA1402,"")</f>
        <v/>
      </c>
      <c r="AE1402" s="57" t="str">
        <f>IF(B1402="","",YEAR(C1402))</f>
        <v/>
      </c>
      <c r="AF1402" s="57" t="str">
        <f>IF(B1402="","",MONTH(C1402))</f>
        <v/>
      </c>
      <c r="AG1402" s="57">
        <f>IF(ISNUMBER(C1402),C1402,0)</f>
        <v>0.0</v>
      </c>
      <c r="AH1402" s="57" t="str">
        <f>IF(N(W1402)&gt;0,COUNTIF(W$6:W1402,"&gt;0"),"")</f>
        <v/>
      </c>
      <c r="AI1402" s="57" t="str">
        <f>IF(Z1402=1,COUNTIF(Z$6:Z1402,1),"")</f>
        <v/>
      </c>
    </row>
    <row r="1403">
      <c r="A1403" s="54" t="n"/>
      <c r="B1403" s="55" t="str">
        <f>IF(AA1403="","",A1403&amp;"-"&amp;RIGHT("000"&amp;AA1403,4))</f>
        <v/>
      </c>
      <c r="C1403" s="56" t="n"/>
      <c r="D1403" s="54" t="n"/>
      <c r="E1403" s="57" t="str">
        <f>IF(D1403="","",IF(A1403="BL",IFERROR(INDEX(cl_name,MATCH(D1403,cl_code,0))&amp;"","Client inconnu"),IF(A1403="BR",IFERROR(INDEX(fo_name,MATCH(D1403,fo_code,0))&amp;"","Fournisseur inconnu"),IF(A1403="BS",IF(ISNA(MATCH(D1403,p_services,0)),"Service inconnu",D1403&amp;""),""))))</f>
        <v/>
      </c>
      <c r="F1403" s="58" t="n"/>
      <c r="G1403" s="58" t="n"/>
      <c r="H1403" s="59" t="n"/>
      <c r="I1403" s="57" t="str">
        <f>IF(H1403="","",IFERROR(INDEX(art_des,MATCH(H1403,art_ref,0))&amp;"","Article inconnu"))</f>
        <v/>
      </c>
      <c r="J1403" s="60" t="str">
        <f>IF(H1403="","",IFERROR(INDEX(art_unit,MATCH(H1403,art_ref,0))&amp;"",""))</f>
        <v/>
      </c>
      <c r="K1403" s="59" t="n"/>
      <c r="L1403" s="59" t="n"/>
      <c r="M1403" s="61" t="str">
        <f>IF(OR(B1403="",NOT(ISNUMBER(K1403)),NOT(ISNUMBER(L1403))),"",IF(OR(K1403&lt;=0,L1403&lt;=0),"",ROUND(L1403-K1403,6)))</f>
        <v/>
      </c>
      <c r="N1403" s="58" t="n"/>
      <c r="O1403" s="62" t="n"/>
      <c r="P1403" s="63" t="str">
        <f>IF(OR(B1403="",NOT(ISNUMBER(L1403))),"",IF(L1403&lt;=0,"",IFERROR(ROUND(L1403*N(INDEX(art_w,MATCH(H1403,art_ref,0))),3),"")))</f>
        <v/>
      </c>
      <c r="Q1403" s="59" t="n"/>
      <c r="R1403" s="54" t="n"/>
      <c r="S1403" s="59" t="n"/>
      <c r="T1403" s="59" t="n"/>
      <c r="U1403" s="64" t="str">
        <f>IF(OR(B1403="",H1403=""),"",IFERROR(IF(A1403="BL",IF(N(INDEX(art_price,MATCH(H1403,art_ref,0)))=0,"",N(INDEX(art_price,MATCH(H1403,art_ref,0)))),IF(N(INDEX(art_cost,MATCH(H1403,art_ref,0)))=0,"",N(INDEX(art_cost,MATCH(H1403,art_ref,0))))),""))</f>
        <v/>
      </c>
      <c r="V1403" s="64" t="str">
        <f>IF(OR(U1403="",NOT(ISNUMBER(L1403))),"",IF(L1403&lt;=0,"",ROUND(L1403*U1403,2)))</f>
        <v/>
      </c>
      <c r="W1403" s="60" t="str">
        <f>IF(AND(B1403&lt;&gt;"",A1403&lt;&gt;"BS",F1403&lt;&gt;"",H1403&lt;&gt;"",ISNUMBER(K1403),ISNUMBER(L1403)),IF(AND(K1403&gt;0,L1403&gt;0,K1403-L1403&gt;0,COUNTIFS(A1404:A$2005,A1403,F1404:F$2005,F1403,H1404:H$2005,H1403,AA1404:AA$2005,"&gt;0")=0),ROUND(K1403-L1403,6),""),"")</f>
        <v/>
      </c>
      <c r="X1403" s="60" t="str">
        <f>IF(AND(A1403="",C1403="",D1403="",H1403="",L1403=""),"",IF(A1403="","Type manquant",IF(AND(A1403&lt;&gt;"BL",A1403&lt;&gt;"BR",A1403&lt;&gt;"BS"),"Type inconnu (BL, BR ou BS)",IF(AG1403=0,"Date manquante ou invalide",IF(D1403="",IF(A1403="BL","Client manquant",IF(A1403="BR","Fournisseur manquant","Service manquant")),IF(IF(A1403="BL",ISNA(MATCH(D1403,cl_code,0)),IF(A1403="BR",ISNA(MATCH(D1403,fo_code,0)),ISNA(MATCH(D1403,p_services,0)))),IF(A1403="BL","Client inconnu",IF(A1403="BR","Fournisseur inconnu","Service inconnu")),IF(H1403="","Article manquant",IF(ISNA(MATCH(H1403,art_ref,0)),"Article inconnu",IF(OR(NOT(ISNUMBER(L1403)),N(L1403)&lt;=0),"Quantité invalide",IF(AND(K1403&lt;&gt;"",OR(NOT(ISNUMBER(K1403)),N(K1403)&lt;=0)),"Qté commandée invalide",IF(AG1403&lt;SUMPRODUCT(MAX((A$6:A1402=A1403)*AG$6:AG1402)),"Date antérieure au bon précédent",IF(AND(A1403&lt;&gt;"BR",ISNUMBER(M1403),N(M1403)&gt;0),IF(A1403="BL","Livré plus que commandé","Sorti plus que demandé"),"OK"))))))))))))</f>
        <v/>
      </c>
      <c r="Y1403" s="57" t="str">
        <f>IF(AND(OR(A1403="BL",A1403="BR",A1403="BS"),AG1403&gt;0,D1403&lt;&gt;""),A1403&amp;"|"&amp;AG1403&amp;"|"&amp;D1403&amp;"|"&amp;F1403,"")</f>
        <v/>
      </c>
      <c r="Z1403" s="57" t="str">
        <f>IF(Y1403="","",IF(COUNTIF(Y$6:Y1402,Y1403)=0,1,0))</f>
        <v/>
      </c>
      <c r="AA1403" s="57" t="str">
        <f>IF(Y1403="","",IF(Z1403=1,COUNTIFS(A$6:A1403,A1403,Z$6:Z1403,1),INDEX(AA$6:AA1402,MATCH(Y1403,Y$6:Y1402,0))))</f>
        <v/>
      </c>
      <c r="AB1403" s="57" t="str">
        <f>IF(B1403="","",COUNTIF(B$6:B1403,B1403))</f>
        <v/>
      </c>
      <c r="AC1403" s="57" t="str">
        <f>IF(B1403="","",B1403&amp;"#"&amp;AB1403)</f>
        <v/>
      </c>
      <c r="AD1403" s="57" t="str">
        <f>IF(Z1403=1,A1403&amp;AA1403,"")</f>
        <v/>
      </c>
      <c r="AE1403" s="57" t="str">
        <f>IF(B1403="","",YEAR(C1403))</f>
        <v/>
      </c>
      <c r="AF1403" s="57" t="str">
        <f>IF(B1403="","",MONTH(C1403))</f>
        <v/>
      </c>
      <c r="AG1403" s="57">
        <f>IF(ISNUMBER(C1403),C1403,0)</f>
        <v>0.0</v>
      </c>
      <c r="AH1403" s="57" t="str">
        <f>IF(N(W1403)&gt;0,COUNTIF(W$6:W1403,"&gt;0"),"")</f>
        <v/>
      </c>
      <c r="AI1403" s="57" t="str">
        <f>IF(Z1403=1,COUNTIF(Z$6:Z1403,1),"")</f>
        <v/>
      </c>
    </row>
    <row r="1404">
      <c r="A1404" s="54" t="n"/>
      <c r="B1404" s="55" t="str">
        <f>IF(AA1404="","",A1404&amp;"-"&amp;RIGHT("000"&amp;AA1404,4))</f>
        <v/>
      </c>
      <c r="C1404" s="56" t="n"/>
      <c r="D1404" s="54" t="n"/>
      <c r="E1404" s="57" t="str">
        <f>IF(D1404="","",IF(A1404="BL",IFERROR(INDEX(cl_name,MATCH(D1404,cl_code,0))&amp;"","Client inconnu"),IF(A1404="BR",IFERROR(INDEX(fo_name,MATCH(D1404,fo_code,0))&amp;"","Fournisseur inconnu"),IF(A1404="BS",IF(ISNA(MATCH(D1404,p_services,0)),"Service inconnu",D1404&amp;""),""))))</f>
        <v/>
      </c>
      <c r="F1404" s="58" t="n"/>
      <c r="G1404" s="58" t="n"/>
      <c r="H1404" s="59" t="n"/>
      <c r="I1404" s="57" t="str">
        <f>IF(H1404="","",IFERROR(INDEX(art_des,MATCH(H1404,art_ref,0))&amp;"","Article inconnu"))</f>
        <v/>
      </c>
      <c r="J1404" s="60" t="str">
        <f>IF(H1404="","",IFERROR(INDEX(art_unit,MATCH(H1404,art_ref,0))&amp;"",""))</f>
        <v/>
      </c>
      <c r="K1404" s="59" t="n"/>
      <c r="L1404" s="59" t="n"/>
      <c r="M1404" s="61" t="str">
        <f>IF(OR(B1404="",NOT(ISNUMBER(K1404)),NOT(ISNUMBER(L1404))),"",IF(OR(K1404&lt;=0,L1404&lt;=0),"",ROUND(L1404-K1404,6)))</f>
        <v/>
      </c>
      <c r="N1404" s="58" t="n"/>
      <c r="O1404" s="62" t="n"/>
      <c r="P1404" s="63" t="str">
        <f>IF(OR(B1404="",NOT(ISNUMBER(L1404))),"",IF(L1404&lt;=0,"",IFERROR(ROUND(L1404*N(INDEX(art_w,MATCH(H1404,art_ref,0))),3),"")))</f>
        <v/>
      </c>
      <c r="Q1404" s="59" t="n"/>
      <c r="R1404" s="54" t="n"/>
      <c r="S1404" s="59" t="n"/>
      <c r="T1404" s="59" t="n"/>
      <c r="U1404" s="64" t="str">
        <f>IF(OR(B1404="",H1404=""),"",IFERROR(IF(A1404="BL",IF(N(INDEX(art_price,MATCH(H1404,art_ref,0)))=0,"",N(INDEX(art_price,MATCH(H1404,art_ref,0)))),IF(N(INDEX(art_cost,MATCH(H1404,art_ref,0)))=0,"",N(INDEX(art_cost,MATCH(H1404,art_ref,0))))),""))</f>
        <v/>
      </c>
      <c r="V1404" s="64" t="str">
        <f>IF(OR(U1404="",NOT(ISNUMBER(L1404))),"",IF(L1404&lt;=0,"",ROUND(L1404*U1404,2)))</f>
        <v/>
      </c>
      <c r="W1404" s="60" t="str">
        <f>IF(AND(B1404&lt;&gt;"",A1404&lt;&gt;"BS",F1404&lt;&gt;"",H1404&lt;&gt;"",ISNUMBER(K1404),ISNUMBER(L1404)),IF(AND(K1404&gt;0,L1404&gt;0,K1404-L1404&gt;0,COUNTIFS(A1405:A$2005,A1404,F1405:F$2005,F1404,H1405:H$2005,H1404,AA1405:AA$2005,"&gt;0")=0),ROUND(K1404-L1404,6),""),"")</f>
        <v/>
      </c>
      <c r="X1404" s="60" t="str">
        <f>IF(AND(A1404="",C1404="",D1404="",H1404="",L1404=""),"",IF(A1404="","Type manquant",IF(AND(A1404&lt;&gt;"BL",A1404&lt;&gt;"BR",A1404&lt;&gt;"BS"),"Type inconnu (BL, BR ou BS)",IF(AG1404=0,"Date manquante ou invalide",IF(D1404="",IF(A1404="BL","Client manquant",IF(A1404="BR","Fournisseur manquant","Service manquant")),IF(IF(A1404="BL",ISNA(MATCH(D1404,cl_code,0)),IF(A1404="BR",ISNA(MATCH(D1404,fo_code,0)),ISNA(MATCH(D1404,p_services,0)))),IF(A1404="BL","Client inconnu",IF(A1404="BR","Fournisseur inconnu","Service inconnu")),IF(H1404="","Article manquant",IF(ISNA(MATCH(H1404,art_ref,0)),"Article inconnu",IF(OR(NOT(ISNUMBER(L1404)),N(L1404)&lt;=0),"Quantité invalide",IF(AND(K1404&lt;&gt;"",OR(NOT(ISNUMBER(K1404)),N(K1404)&lt;=0)),"Qté commandée invalide",IF(AG1404&lt;SUMPRODUCT(MAX((A$6:A1403=A1404)*AG$6:AG1403)),"Date antérieure au bon précédent",IF(AND(A1404&lt;&gt;"BR",ISNUMBER(M1404),N(M1404)&gt;0),IF(A1404="BL","Livré plus que commandé","Sorti plus que demandé"),"OK"))))))))))))</f>
        <v/>
      </c>
      <c r="Y1404" s="57" t="str">
        <f>IF(AND(OR(A1404="BL",A1404="BR",A1404="BS"),AG1404&gt;0,D1404&lt;&gt;""),A1404&amp;"|"&amp;AG1404&amp;"|"&amp;D1404&amp;"|"&amp;F1404,"")</f>
        <v/>
      </c>
      <c r="Z1404" s="57" t="str">
        <f>IF(Y1404="","",IF(COUNTIF(Y$6:Y1403,Y1404)=0,1,0))</f>
        <v/>
      </c>
      <c r="AA1404" s="57" t="str">
        <f>IF(Y1404="","",IF(Z1404=1,COUNTIFS(A$6:A1404,A1404,Z$6:Z1404,1),INDEX(AA$6:AA1403,MATCH(Y1404,Y$6:Y1403,0))))</f>
        <v/>
      </c>
      <c r="AB1404" s="57" t="str">
        <f>IF(B1404="","",COUNTIF(B$6:B1404,B1404))</f>
        <v/>
      </c>
      <c r="AC1404" s="57" t="str">
        <f>IF(B1404="","",B1404&amp;"#"&amp;AB1404)</f>
        <v/>
      </c>
      <c r="AD1404" s="57" t="str">
        <f>IF(Z1404=1,A1404&amp;AA1404,"")</f>
        <v/>
      </c>
      <c r="AE1404" s="57" t="str">
        <f>IF(B1404="","",YEAR(C1404))</f>
        <v/>
      </c>
      <c r="AF1404" s="57" t="str">
        <f>IF(B1404="","",MONTH(C1404))</f>
        <v/>
      </c>
      <c r="AG1404" s="57">
        <f>IF(ISNUMBER(C1404),C1404,0)</f>
        <v>0.0</v>
      </c>
      <c r="AH1404" s="57" t="str">
        <f>IF(N(W1404)&gt;0,COUNTIF(W$6:W1404,"&gt;0"),"")</f>
        <v/>
      </c>
      <c r="AI1404" s="57" t="str">
        <f>IF(Z1404=1,COUNTIF(Z$6:Z1404,1),"")</f>
        <v/>
      </c>
    </row>
    <row r="1405">
      <c r="A1405" s="54" t="n"/>
      <c r="B1405" s="55" t="str">
        <f>IF(AA1405="","",A1405&amp;"-"&amp;RIGHT("000"&amp;AA1405,4))</f>
        <v/>
      </c>
      <c r="C1405" s="56" t="n"/>
      <c r="D1405" s="54" t="n"/>
      <c r="E1405" s="57" t="str">
        <f>IF(D1405="","",IF(A1405="BL",IFERROR(INDEX(cl_name,MATCH(D1405,cl_code,0))&amp;"","Client inconnu"),IF(A1405="BR",IFERROR(INDEX(fo_name,MATCH(D1405,fo_code,0))&amp;"","Fournisseur inconnu"),IF(A1405="BS",IF(ISNA(MATCH(D1405,p_services,0)),"Service inconnu",D1405&amp;""),""))))</f>
        <v/>
      </c>
      <c r="F1405" s="58" t="n"/>
      <c r="G1405" s="58" t="n"/>
      <c r="H1405" s="59" t="n"/>
      <c r="I1405" s="57" t="str">
        <f>IF(H1405="","",IFERROR(INDEX(art_des,MATCH(H1405,art_ref,0))&amp;"","Article inconnu"))</f>
        <v/>
      </c>
      <c r="J1405" s="60" t="str">
        <f>IF(H1405="","",IFERROR(INDEX(art_unit,MATCH(H1405,art_ref,0))&amp;"",""))</f>
        <v/>
      </c>
      <c r="K1405" s="59" t="n"/>
      <c r="L1405" s="59" t="n"/>
      <c r="M1405" s="61" t="str">
        <f>IF(OR(B1405="",NOT(ISNUMBER(K1405)),NOT(ISNUMBER(L1405))),"",IF(OR(K1405&lt;=0,L1405&lt;=0),"",ROUND(L1405-K1405,6)))</f>
        <v/>
      </c>
      <c r="N1405" s="58" t="n"/>
      <c r="O1405" s="62" t="n"/>
      <c r="P1405" s="63" t="str">
        <f>IF(OR(B1405="",NOT(ISNUMBER(L1405))),"",IF(L1405&lt;=0,"",IFERROR(ROUND(L1405*N(INDEX(art_w,MATCH(H1405,art_ref,0))),3),"")))</f>
        <v/>
      </c>
      <c r="Q1405" s="59" t="n"/>
      <c r="R1405" s="54" t="n"/>
      <c r="S1405" s="59" t="n"/>
      <c r="T1405" s="59" t="n"/>
      <c r="U1405" s="64" t="str">
        <f>IF(OR(B1405="",H1405=""),"",IFERROR(IF(A1405="BL",IF(N(INDEX(art_price,MATCH(H1405,art_ref,0)))=0,"",N(INDEX(art_price,MATCH(H1405,art_ref,0)))),IF(N(INDEX(art_cost,MATCH(H1405,art_ref,0)))=0,"",N(INDEX(art_cost,MATCH(H1405,art_ref,0))))),""))</f>
        <v/>
      </c>
      <c r="V1405" s="64" t="str">
        <f>IF(OR(U1405="",NOT(ISNUMBER(L1405))),"",IF(L1405&lt;=0,"",ROUND(L1405*U1405,2)))</f>
        <v/>
      </c>
      <c r="W1405" s="60" t="str">
        <f>IF(AND(B1405&lt;&gt;"",A1405&lt;&gt;"BS",F1405&lt;&gt;"",H1405&lt;&gt;"",ISNUMBER(K1405),ISNUMBER(L1405)),IF(AND(K1405&gt;0,L1405&gt;0,K1405-L1405&gt;0,COUNTIFS(A1406:A$2005,A1405,F1406:F$2005,F1405,H1406:H$2005,H1405,AA1406:AA$2005,"&gt;0")=0),ROUND(K1405-L1405,6),""),"")</f>
        <v/>
      </c>
      <c r="X1405" s="60" t="str">
        <f>IF(AND(A1405="",C1405="",D1405="",H1405="",L1405=""),"",IF(A1405="","Type manquant",IF(AND(A1405&lt;&gt;"BL",A1405&lt;&gt;"BR",A1405&lt;&gt;"BS"),"Type inconnu (BL, BR ou BS)",IF(AG1405=0,"Date manquante ou invalide",IF(D1405="",IF(A1405="BL","Client manquant",IF(A1405="BR","Fournisseur manquant","Service manquant")),IF(IF(A1405="BL",ISNA(MATCH(D1405,cl_code,0)),IF(A1405="BR",ISNA(MATCH(D1405,fo_code,0)),ISNA(MATCH(D1405,p_services,0)))),IF(A1405="BL","Client inconnu",IF(A1405="BR","Fournisseur inconnu","Service inconnu")),IF(H1405="","Article manquant",IF(ISNA(MATCH(H1405,art_ref,0)),"Article inconnu",IF(OR(NOT(ISNUMBER(L1405)),N(L1405)&lt;=0),"Quantité invalide",IF(AND(K1405&lt;&gt;"",OR(NOT(ISNUMBER(K1405)),N(K1405)&lt;=0)),"Qté commandée invalide",IF(AG1405&lt;SUMPRODUCT(MAX((A$6:A1404=A1405)*AG$6:AG1404)),"Date antérieure au bon précédent",IF(AND(A1405&lt;&gt;"BR",ISNUMBER(M1405),N(M1405)&gt;0),IF(A1405="BL","Livré plus que commandé","Sorti plus que demandé"),"OK"))))))))))))</f>
        <v/>
      </c>
      <c r="Y1405" s="57" t="str">
        <f>IF(AND(OR(A1405="BL",A1405="BR",A1405="BS"),AG1405&gt;0,D1405&lt;&gt;""),A1405&amp;"|"&amp;AG1405&amp;"|"&amp;D1405&amp;"|"&amp;F1405,"")</f>
        <v/>
      </c>
      <c r="Z1405" s="57" t="str">
        <f>IF(Y1405="","",IF(COUNTIF(Y$6:Y1404,Y1405)=0,1,0))</f>
        <v/>
      </c>
      <c r="AA1405" s="57" t="str">
        <f>IF(Y1405="","",IF(Z1405=1,COUNTIFS(A$6:A1405,A1405,Z$6:Z1405,1),INDEX(AA$6:AA1404,MATCH(Y1405,Y$6:Y1404,0))))</f>
        <v/>
      </c>
      <c r="AB1405" s="57" t="str">
        <f>IF(B1405="","",COUNTIF(B$6:B1405,B1405))</f>
        <v/>
      </c>
      <c r="AC1405" s="57" t="str">
        <f>IF(B1405="","",B1405&amp;"#"&amp;AB1405)</f>
        <v/>
      </c>
      <c r="AD1405" s="57" t="str">
        <f>IF(Z1405=1,A1405&amp;AA1405,"")</f>
        <v/>
      </c>
      <c r="AE1405" s="57" t="str">
        <f>IF(B1405="","",YEAR(C1405))</f>
        <v/>
      </c>
      <c r="AF1405" s="57" t="str">
        <f>IF(B1405="","",MONTH(C1405))</f>
        <v/>
      </c>
      <c r="AG1405" s="57">
        <f>IF(ISNUMBER(C1405),C1405,0)</f>
        <v>0.0</v>
      </c>
      <c r="AH1405" s="57" t="str">
        <f>IF(N(W1405)&gt;0,COUNTIF(W$6:W1405,"&gt;0"),"")</f>
        <v/>
      </c>
      <c r="AI1405" s="57" t="str">
        <f>IF(Z1405=1,COUNTIF(Z$6:Z1405,1),"")</f>
        <v/>
      </c>
    </row>
    <row r="1406">
      <c r="A1406" s="54" t="n"/>
      <c r="B1406" s="55" t="str">
        <f>IF(AA1406="","",A1406&amp;"-"&amp;RIGHT("000"&amp;AA1406,4))</f>
        <v/>
      </c>
      <c r="C1406" s="56" t="n"/>
      <c r="D1406" s="54" t="n"/>
      <c r="E1406" s="57" t="str">
        <f>IF(D1406="","",IF(A1406="BL",IFERROR(INDEX(cl_name,MATCH(D1406,cl_code,0))&amp;"","Client inconnu"),IF(A1406="BR",IFERROR(INDEX(fo_name,MATCH(D1406,fo_code,0))&amp;"","Fournisseur inconnu"),IF(A1406="BS",IF(ISNA(MATCH(D1406,p_services,0)),"Service inconnu",D1406&amp;""),""))))</f>
        <v/>
      </c>
      <c r="F1406" s="58" t="n"/>
      <c r="G1406" s="58" t="n"/>
      <c r="H1406" s="59" t="n"/>
      <c r="I1406" s="57" t="str">
        <f>IF(H1406="","",IFERROR(INDEX(art_des,MATCH(H1406,art_ref,0))&amp;"","Article inconnu"))</f>
        <v/>
      </c>
      <c r="J1406" s="60" t="str">
        <f>IF(H1406="","",IFERROR(INDEX(art_unit,MATCH(H1406,art_ref,0))&amp;"",""))</f>
        <v/>
      </c>
      <c r="K1406" s="59" t="n"/>
      <c r="L1406" s="59" t="n"/>
      <c r="M1406" s="61" t="str">
        <f>IF(OR(B1406="",NOT(ISNUMBER(K1406)),NOT(ISNUMBER(L1406))),"",IF(OR(K1406&lt;=0,L1406&lt;=0),"",ROUND(L1406-K1406,6)))</f>
        <v/>
      </c>
      <c r="N1406" s="58" t="n"/>
      <c r="O1406" s="62" t="n"/>
      <c r="P1406" s="63" t="str">
        <f>IF(OR(B1406="",NOT(ISNUMBER(L1406))),"",IF(L1406&lt;=0,"",IFERROR(ROUND(L1406*N(INDEX(art_w,MATCH(H1406,art_ref,0))),3),"")))</f>
        <v/>
      </c>
      <c r="Q1406" s="59" t="n"/>
      <c r="R1406" s="54" t="n"/>
      <c r="S1406" s="59" t="n"/>
      <c r="T1406" s="59" t="n"/>
      <c r="U1406" s="64" t="str">
        <f>IF(OR(B1406="",H1406=""),"",IFERROR(IF(A1406="BL",IF(N(INDEX(art_price,MATCH(H1406,art_ref,0)))=0,"",N(INDEX(art_price,MATCH(H1406,art_ref,0)))),IF(N(INDEX(art_cost,MATCH(H1406,art_ref,0)))=0,"",N(INDEX(art_cost,MATCH(H1406,art_ref,0))))),""))</f>
        <v/>
      </c>
      <c r="V1406" s="64" t="str">
        <f>IF(OR(U1406="",NOT(ISNUMBER(L1406))),"",IF(L1406&lt;=0,"",ROUND(L1406*U1406,2)))</f>
        <v/>
      </c>
      <c r="W1406" s="60" t="str">
        <f>IF(AND(B1406&lt;&gt;"",A1406&lt;&gt;"BS",F1406&lt;&gt;"",H1406&lt;&gt;"",ISNUMBER(K1406),ISNUMBER(L1406)),IF(AND(K1406&gt;0,L1406&gt;0,K1406-L1406&gt;0,COUNTIFS(A1407:A$2005,A1406,F1407:F$2005,F1406,H1407:H$2005,H1406,AA1407:AA$2005,"&gt;0")=0),ROUND(K1406-L1406,6),""),"")</f>
        <v/>
      </c>
      <c r="X1406" s="60" t="str">
        <f>IF(AND(A1406="",C1406="",D1406="",H1406="",L1406=""),"",IF(A1406="","Type manquant",IF(AND(A1406&lt;&gt;"BL",A1406&lt;&gt;"BR",A1406&lt;&gt;"BS"),"Type inconnu (BL, BR ou BS)",IF(AG1406=0,"Date manquante ou invalide",IF(D1406="",IF(A1406="BL","Client manquant",IF(A1406="BR","Fournisseur manquant","Service manquant")),IF(IF(A1406="BL",ISNA(MATCH(D1406,cl_code,0)),IF(A1406="BR",ISNA(MATCH(D1406,fo_code,0)),ISNA(MATCH(D1406,p_services,0)))),IF(A1406="BL","Client inconnu",IF(A1406="BR","Fournisseur inconnu","Service inconnu")),IF(H1406="","Article manquant",IF(ISNA(MATCH(H1406,art_ref,0)),"Article inconnu",IF(OR(NOT(ISNUMBER(L1406)),N(L1406)&lt;=0),"Quantité invalide",IF(AND(K1406&lt;&gt;"",OR(NOT(ISNUMBER(K1406)),N(K1406)&lt;=0)),"Qté commandée invalide",IF(AG1406&lt;SUMPRODUCT(MAX((A$6:A1405=A1406)*AG$6:AG1405)),"Date antérieure au bon précédent",IF(AND(A1406&lt;&gt;"BR",ISNUMBER(M1406),N(M1406)&gt;0),IF(A1406="BL","Livré plus que commandé","Sorti plus que demandé"),"OK"))))))))))))</f>
        <v/>
      </c>
      <c r="Y1406" s="57" t="str">
        <f>IF(AND(OR(A1406="BL",A1406="BR",A1406="BS"),AG1406&gt;0,D1406&lt;&gt;""),A1406&amp;"|"&amp;AG1406&amp;"|"&amp;D1406&amp;"|"&amp;F1406,"")</f>
        <v/>
      </c>
      <c r="Z1406" s="57" t="str">
        <f>IF(Y1406="","",IF(COUNTIF(Y$6:Y1405,Y1406)=0,1,0))</f>
        <v/>
      </c>
      <c r="AA1406" s="57" t="str">
        <f>IF(Y1406="","",IF(Z1406=1,COUNTIFS(A$6:A1406,A1406,Z$6:Z1406,1),INDEX(AA$6:AA1405,MATCH(Y1406,Y$6:Y1405,0))))</f>
        <v/>
      </c>
      <c r="AB1406" s="57" t="str">
        <f>IF(B1406="","",COUNTIF(B$6:B1406,B1406))</f>
        <v/>
      </c>
      <c r="AC1406" s="57" t="str">
        <f>IF(B1406="","",B1406&amp;"#"&amp;AB1406)</f>
        <v/>
      </c>
      <c r="AD1406" s="57" t="str">
        <f>IF(Z1406=1,A1406&amp;AA1406,"")</f>
        <v/>
      </c>
      <c r="AE1406" s="57" t="str">
        <f>IF(B1406="","",YEAR(C1406))</f>
        <v/>
      </c>
      <c r="AF1406" s="57" t="str">
        <f>IF(B1406="","",MONTH(C1406))</f>
        <v/>
      </c>
      <c r="AG1406" s="57">
        <f>IF(ISNUMBER(C1406),C1406,0)</f>
        <v>0.0</v>
      </c>
      <c r="AH1406" s="57" t="str">
        <f>IF(N(W1406)&gt;0,COUNTIF(W$6:W1406,"&gt;0"),"")</f>
        <v/>
      </c>
      <c r="AI1406" s="57" t="str">
        <f>IF(Z1406=1,COUNTIF(Z$6:Z1406,1),"")</f>
        <v/>
      </c>
    </row>
    <row r="1407">
      <c r="A1407" s="54" t="n"/>
      <c r="B1407" s="55" t="str">
        <f>IF(AA1407="","",A1407&amp;"-"&amp;RIGHT("000"&amp;AA1407,4))</f>
        <v/>
      </c>
      <c r="C1407" s="56" t="n"/>
      <c r="D1407" s="54" t="n"/>
      <c r="E1407" s="57" t="str">
        <f>IF(D1407="","",IF(A1407="BL",IFERROR(INDEX(cl_name,MATCH(D1407,cl_code,0))&amp;"","Client inconnu"),IF(A1407="BR",IFERROR(INDEX(fo_name,MATCH(D1407,fo_code,0))&amp;"","Fournisseur inconnu"),IF(A1407="BS",IF(ISNA(MATCH(D1407,p_services,0)),"Service inconnu",D1407&amp;""),""))))</f>
        <v/>
      </c>
      <c r="F1407" s="58" t="n"/>
      <c r="G1407" s="58" t="n"/>
      <c r="H1407" s="59" t="n"/>
      <c r="I1407" s="57" t="str">
        <f>IF(H1407="","",IFERROR(INDEX(art_des,MATCH(H1407,art_ref,0))&amp;"","Article inconnu"))</f>
        <v/>
      </c>
      <c r="J1407" s="60" t="str">
        <f>IF(H1407="","",IFERROR(INDEX(art_unit,MATCH(H1407,art_ref,0))&amp;"",""))</f>
        <v/>
      </c>
      <c r="K1407" s="59" t="n"/>
      <c r="L1407" s="59" t="n"/>
      <c r="M1407" s="61" t="str">
        <f>IF(OR(B1407="",NOT(ISNUMBER(K1407)),NOT(ISNUMBER(L1407))),"",IF(OR(K1407&lt;=0,L1407&lt;=0),"",ROUND(L1407-K1407,6)))</f>
        <v/>
      </c>
      <c r="N1407" s="58" t="n"/>
      <c r="O1407" s="62" t="n"/>
      <c r="P1407" s="63" t="str">
        <f>IF(OR(B1407="",NOT(ISNUMBER(L1407))),"",IF(L1407&lt;=0,"",IFERROR(ROUND(L1407*N(INDEX(art_w,MATCH(H1407,art_ref,0))),3),"")))</f>
        <v/>
      </c>
      <c r="Q1407" s="59" t="n"/>
      <c r="R1407" s="54" t="n"/>
      <c r="S1407" s="59" t="n"/>
      <c r="T1407" s="59" t="n"/>
      <c r="U1407" s="64" t="str">
        <f>IF(OR(B1407="",H1407=""),"",IFERROR(IF(A1407="BL",IF(N(INDEX(art_price,MATCH(H1407,art_ref,0)))=0,"",N(INDEX(art_price,MATCH(H1407,art_ref,0)))),IF(N(INDEX(art_cost,MATCH(H1407,art_ref,0)))=0,"",N(INDEX(art_cost,MATCH(H1407,art_ref,0))))),""))</f>
        <v/>
      </c>
      <c r="V1407" s="64" t="str">
        <f>IF(OR(U1407="",NOT(ISNUMBER(L1407))),"",IF(L1407&lt;=0,"",ROUND(L1407*U1407,2)))</f>
        <v/>
      </c>
      <c r="W1407" s="60" t="str">
        <f>IF(AND(B1407&lt;&gt;"",A1407&lt;&gt;"BS",F1407&lt;&gt;"",H1407&lt;&gt;"",ISNUMBER(K1407),ISNUMBER(L1407)),IF(AND(K1407&gt;0,L1407&gt;0,K1407-L1407&gt;0,COUNTIFS(A1408:A$2005,A1407,F1408:F$2005,F1407,H1408:H$2005,H1407,AA1408:AA$2005,"&gt;0")=0),ROUND(K1407-L1407,6),""),"")</f>
        <v/>
      </c>
      <c r="X1407" s="60" t="str">
        <f>IF(AND(A1407="",C1407="",D1407="",H1407="",L1407=""),"",IF(A1407="","Type manquant",IF(AND(A1407&lt;&gt;"BL",A1407&lt;&gt;"BR",A1407&lt;&gt;"BS"),"Type inconnu (BL, BR ou BS)",IF(AG1407=0,"Date manquante ou invalide",IF(D1407="",IF(A1407="BL","Client manquant",IF(A1407="BR","Fournisseur manquant","Service manquant")),IF(IF(A1407="BL",ISNA(MATCH(D1407,cl_code,0)),IF(A1407="BR",ISNA(MATCH(D1407,fo_code,0)),ISNA(MATCH(D1407,p_services,0)))),IF(A1407="BL","Client inconnu",IF(A1407="BR","Fournisseur inconnu","Service inconnu")),IF(H1407="","Article manquant",IF(ISNA(MATCH(H1407,art_ref,0)),"Article inconnu",IF(OR(NOT(ISNUMBER(L1407)),N(L1407)&lt;=0),"Quantité invalide",IF(AND(K1407&lt;&gt;"",OR(NOT(ISNUMBER(K1407)),N(K1407)&lt;=0)),"Qté commandée invalide",IF(AG1407&lt;SUMPRODUCT(MAX((A$6:A1406=A1407)*AG$6:AG1406)),"Date antérieure au bon précédent",IF(AND(A1407&lt;&gt;"BR",ISNUMBER(M1407),N(M1407)&gt;0),IF(A1407="BL","Livré plus que commandé","Sorti plus que demandé"),"OK"))))))))))))</f>
        <v/>
      </c>
      <c r="Y1407" s="57" t="str">
        <f>IF(AND(OR(A1407="BL",A1407="BR",A1407="BS"),AG1407&gt;0,D1407&lt;&gt;""),A1407&amp;"|"&amp;AG1407&amp;"|"&amp;D1407&amp;"|"&amp;F1407,"")</f>
        <v/>
      </c>
      <c r="Z1407" s="57" t="str">
        <f>IF(Y1407="","",IF(COUNTIF(Y$6:Y1406,Y1407)=0,1,0))</f>
        <v/>
      </c>
      <c r="AA1407" s="57" t="str">
        <f>IF(Y1407="","",IF(Z1407=1,COUNTIFS(A$6:A1407,A1407,Z$6:Z1407,1),INDEX(AA$6:AA1406,MATCH(Y1407,Y$6:Y1406,0))))</f>
        <v/>
      </c>
      <c r="AB1407" s="57" t="str">
        <f>IF(B1407="","",COUNTIF(B$6:B1407,B1407))</f>
        <v/>
      </c>
      <c r="AC1407" s="57" t="str">
        <f>IF(B1407="","",B1407&amp;"#"&amp;AB1407)</f>
        <v/>
      </c>
      <c r="AD1407" s="57" t="str">
        <f>IF(Z1407=1,A1407&amp;AA1407,"")</f>
        <v/>
      </c>
      <c r="AE1407" s="57" t="str">
        <f>IF(B1407="","",YEAR(C1407))</f>
        <v/>
      </c>
      <c r="AF1407" s="57" t="str">
        <f>IF(B1407="","",MONTH(C1407))</f>
        <v/>
      </c>
      <c r="AG1407" s="57">
        <f>IF(ISNUMBER(C1407),C1407,0)</f>
        <v>0.0</v>
      </c>
      <c r="AH1407" s="57" t="str">
        <f>IF(N(W1407)&gt;0,COUNTIF(W$6:W1407,"&gt;0"),"")</f>
        <v/>
      </c>
      <c r="AI1407" s="57" t="str">
        <f>IF(Z1407=1,COUNTIF(Z$6:Z1407,1),"")</f>
        <v/>
      </c>
    </row>
    <row r="1408">
      <c r="A1408" s="54" t="n"/>
      <c r="B1408" s="55" t="str">
        <f>IF(AA1408="","",A1408&amp;"-"&amp;RIGHT("000"&amp;AA1408,4))</f>
        <v/>
      </c>
      <c r="C1408" s="56" t="n"/>
      <c r="D1408" s="54" t="n"/>
      <c r="E1408" s="57" t="str">
        <f>IF(D1408="","",IF(A1408="BL",IFERROR(INDEX(cl_name,MATCH(D1408,cl_code,0))&amp;"","Client inconnu"),IF(A1408="BR",IFERROR(INDEX(fo_name,MATCH(D1408,fo_code,0))&amp;"","Fournisseur inconnu"),IF(A1408="BS",IF(ISNA(MATCH(D1408,p_services,0)),"Service inconnu",D1408&amp;""),""))))</f>
        <v/>
      </c>
      <c r="F1408" s="58" t="n"/>
      <c r="G1408" s="58" t="n"/>
      <c r="H1408" s="59" t="n"/>
      <c r="I1408" s="57" t="str">
        <f>IF(H1408="","",IFERROR(INDEX(art_des,MATCH(H1408,art_ref,0))&amp;"","Article inconnu"))</f>
        <v/>
      </c>
      <c r="J1408" s="60" t="str">
        <f>IF(H1408="","",IFERROR(INDEX(art_unit,MATCH(H1408,art_ref,0))&amp;"",""))</f>
        <v/>
      </c>
      <c r="K1408" s="59" t="n"/>
      <c r="L1408" s="59" t="n"/>
      <c r="M1408" s="61" t="str">
        <f>IF(OR(B1408="",NOT(ISNUMBER(K1408)),NOT(ISNUMBER(L1408))),"",IF(OR(K1408&lt;=0,L1408&lt;=0),"",ROUND(L1408-K1408,6)))</f>
        <v/>
      </c>
      <c r="N1408" s="58" t="n"/>
      <c r="O1408" s="62" t="n"/>
      <c r="P1408" s="63" t="str">
        <f>IF(OR(B1408="",NOT(ISNUMBER(L1408))),"",IF(L1408&lt;=0,"",IFERROR(ROUND(L1408*N(INDEX(art_w,MATCH(H1408,art_ref,0))),3),"")))</f>
        <v/>
      </c>
      <c r="Q1408" s="59" t="n"/>
      <c r="R1408" s="54" t="n"/>
      <c r="S1408" s="59" t="n"/>
      <c r="T1408" s="59" t="n"/>
      <c r="U1408" s="64" t="str">
        <f>IF(OR(B1408="",H1408=""),"",IFERROR(IF(A1408="BL",IF(N(INDEX(art_price,MATCH(H1408,art_ref,0)))=0,"",N(INDEX(art_price,MATCH(H1408,art_ref,0)))),IF(N(INDEX(art_cost,MATCH(H1408,art_ref,0)))=0,"",N(INDEX(art_cost,MATCH(H1408,art_ref,0))))),""))</f>
        <v/>
      </c>
      <c r="V1408" s="64" t="str">
        <f>IF(OR(U1408="",NOT(ISNUMBER(L1408))),"",IF(L1408&lt;=0,"",ROUND(L1408*U1408,2)))</f>
        <v/>
      </c>
      <c r="W1408" s="60" t="str">
        <f>IF(AND(B1408&lt;&gt;"",A1408&lt;&gt;"BS",F1408&lt;&gt;"",H1408&lt;&gt;"",ISNUMBER(K1408),ISNUMBER(L1408)),IF(AND(K1408&gt;0,L1408&gt;0,K1408-L1408&gt;0,COUNTIFS(A1409:A$2005,A1408,F1409:F$2005,F1408,H1409:H$2005,H1408,AA1409:AA$2005,"&gt;0")=0),ROUND(K1408-L1408,6),""),"")</f>
        <v/>
      </c>
      <c r="X1408" s="60" t="str">
        <f>IF(AND(A1408="",C1408="",D1408="",H1408="",L1408=""),"",IF(A1408="","Type manquant",IF(AND(A1408&lt;&gt;"BL",A1408&lt;&gt;"BR",A1408&lt;&gt;"BS"),"Type inconnu (BL, BR ou BS)",IF(AG1408=0,"Date manquante ou invalide",IF(D1408="",IF(A1408="BL","Client manquant",IF(A1408="BR","Fournisseur manquant","Service manquant")),IF(IF(A1408="BL",ISNA(MATCH(D1408,cl_code,0)),IF(A1408="BR",ISNA(MATCH(D1408,fo_code,0)),ISNA(MATCH(D1408,p_services,0)))),IF(A1408="BL","Client inconnu",IF(A1408="BR","Fournisseur inconnu","Service inconnu")),IF(H1408="","Article manquant",IF(ISNA(MATCH(H1408,art_ref,0)),"Article inconnu",IF(OR(NOT(ISNUMBER(L1408)),N(L1408)&lt;=0),"Quantité invalide",IF(AND(K1408&lt;&gt;"",OR(NOT(ISNUMBER(K1408)),N(K1408)&lt;=0)),"Qté commandée invalide",IF(AG1408&lt;SUMPRODUCT(MAX((A$6:A1407=A1408)*AG$6:AG1407)),"Date antérieure au bon précédent",IF(AND(A1408&lt;&gt;"BR",ISNUMBER(M1408),N(M1408)&gt;0),IF(A1408="BL","Livré plus que commandé","Sorti plus que demandé"),"OK"))))))))))))</f>
        <v/>
      </c>
      <c r="Y1408" s="57" t="str">
        <f>IF(AND(OR(A1408="BL",A1408="BR",A1408="BS"),AG1408&gt;0,D1408&lt;&gt;""),A1408&amp;"|"&amp;AG1408&amp;"|"&amp;D1408&amp;"|"&amp;F1408,"")</f>
        <v/>
      </c>
      <c r="Z1408" s="57" t="str">
        <f>IF(Y1408="","",IF(COUNTIF(Y$6:Y1407,Y1408)=0,1,0))</f>
        <v/>
      </c>
      <c r="AA1408" s="57" t="str">
        <f>IF(Y1408="","",IF(Z1408=1,COUNTIFS(A$6:A1408,A1408,Z$6:Z1408,1),INDEX(AA$6:AA1407,MATCH(Y1408,Y$6:Y1407,0))))</f>
        <v/>
      </c>
      <c r="AB1408" s="57" t="str">
        <f>IF(B1408="","",COUNTIF(B$6:B1408,B1408))</f>
        <v/>
      </c>
      <c r="AC1408" s="57" t="str">
        <f>IF(B1408="","",B1408&amp;"#"&amp;AB1408)</f>
        <v/>
      </c>
      <c r="AD1408" s="57" t="str">
        <f>IF(Z1408=1,A1408&amp;AA1408,"")</f>
        <v/>
      </c>
      <c r="AE1408" s="57" t="str">
        <f>IF(B1408="","",YEAR(C1408))</f>
        <v/>
      </c>
      <c r="AF1408" s="57" t="str">
        <f>IF(B1408="","",MONTH(C1408))</f>
        <v/>
      </c>
      <c r="AG1408" s="57">
        <f>IF(ISNUMBER(C1408),C1408,0)</f>
        <v>0.0</v>
      </c>
      <c r="AH1408" s="57" t="str">
        <f>IF(N(W1408)&gt;0,COUNTIF(W$6:W1408,"&gt;0"),"")</f>
        <v/>
      </c>
      <c r="AI1408" s="57" t="str">
        <f>IF(Z1408=1,COUNTIF(Z$6:Z1408,1),"")</f>
        <v/>
      </c>
    </row>
    <row r="1409">
      <c r="A1409" s="54" t="n"/>
      <c r="B1409" s="55" t="str">
        <f>IF(AA1409="","",A1409&amp;"-"&amp;RIGHT("000"&amp;AA1409,4))</f>
        <v/>
      </c>
      <c r="C1409" s="56" t="n"/>
      <c r="D1409" s="54" t="n"/>
      <c r="E1409" s="57" t="str">
        <f>IF(D1409="","",IF(A1409="BL",IFERROR(INDEX(cl_name,MATCH(D1409,cl_code,0))&amp;"","Client inconnu"),IF(A1409="BR",IFERROR(INDEX(fo_name,MATCH(D1409,fo_code,0))&amp;"","Fournisseur inconnu"),IF(A1409="BS",IF(ISNA(MATCH(D1409,p_services,0)),"Service inconnu",D1409&amp;""),""))))</f>
        <v/>
      </c>
      <c r="F1409" s="58" t="n"/>
      <c r="G1409" s="58" t="n"/>
      <c r="H1409" s="59" t="n"/>
      <c r="I1409" s="57" t="str">
        <f>IF(H1409="","",IFERROR(INDEX(art_des,MATCH(H1409,art_ref,0))&amp;"","Article inconnu"))</f>
        <v/>
      </c>
      <c r="J1409" s="60" t="str">
        <f>IF(H1409="","",IFERROR(INDEX(art_unit,MATCH(H1409,art_ref,0))&amp;"",""))</f>
        <v/>
      </c>
      <c r="K1409" s="59" t="n"/>
      <c r="L1409" s="59" t="n"/>
      <c r="M1409" s="61" t="str">
        <f>IF(OR(B1409="",NOT(ISNUMBER(K1409)),NOT(ISNUMBER(L1409))),"",IF(OR(K1409&lt;=0,L1409&lt;=0),"",ROUND(L1409-K1409,6)))</f>
        <v/>
      </c>
      <c r="N1409" s="58" t="n"/>
      <c r="O1409" s="62" t="n"/>
      <c r="P1409" s="63" t="str">
        <f>IF(OR(B1409="",NOT(ISNUMBER(L1409))),"",IF(L1409&lt;=0,"",IFERROR(ROUND(L1409*N(INDEX(art_w,MATCH(H1409,art_ref,0))),3),"")))</f>
        <v/>
      </c>
      <c r="Q1409" s="59" t="n"/>
      <c r="R1409" s="54" t="n"/>
      <c r="S1409" s="59" t="n"/>
      <c r="T1409" s="59" t="n"/>
      <c r="U1409" s="64" t="str">
        <f>IF(OR(B1409="",H1409=""),"",IFERROR(IF(A1409="BL",IF(N(INDEX(art_price,MATCH(H1409,art_ref,0)))=0,"",N(INDEX(art_price,MATCH(H1409,art_ref,0)))),IF(N(INDEX(art_cost,MATCH(H1409,art_ref,0)))=0,"",N(INDEX(art_cost,MATCH(H1409,art_ref,0))))),""))</f>
        <v/>
      </c>
      <c r="V1409" s="64" t="str">
        <f>IF(OR(U1409="",NOT(ISNUMBER(L1409))),"",IF(L1409&lt;=0,"",ROUND(L1409*U1409,2)))</f>
        <v/>
      </c>
      <c r="W1409" s="60" t="str">
        <f>IF(AND(B1409&lt;&gt;"",A1409&lt;&gt;"BS",F1409&lt;&gt;"",H1409&lt;&gt;"",ISNUMBER(K1409),ISNUMBER(L1409)),IF(AND(K1409&gt;0,L1409&gt;0,K1409-L1409&gt;0,COUNTIFS(A1410:A$2005,A1409,F1410:F$2005,F1409,H1410:H$2005,H1409,AA1410:AA$2005,"&gt;0")=0),ROUND(K1409-L1409,6),""),"")</f>
        <v/>
      </c>
      <c r="X1409" s="60" t="str">
        <f>IF(AND(A1409="",C1409="",D1409="",H1409="",L1409=""),"",IF(A1409="","Type manquant",IF(AND(A1409&lt;&gt;"BL",A1409&lt;&gt;"BR",A1409&lt;&gt;"BS"),"Type inconnu (BL, BR ou BS)",IF(AG1409=0,"Date manquante ou invalide",IF(D1409="",IF(A1409="BL","Client manquant",IF(A1409="BR","Fournisseur manquant","Service manquant")),IF(IF(A1409="BL",ISNA(MATCH(D1409,cl_code,0)),IF(A1409="BR",ISNA(MATCH(D1409,fo_code,0)),ISNA(MATCH(D1409,p_services,0)))),IF(A1409="BL","Client inconnu",IF(A1409="BR","Fournisseur inconnu","Service inconnu")),IF(H1409="","Article manquant",IF(ISNA(MATCH(H1409,art_ref,0)),"Article inconnu",IF(OR(NOT(ISNUMBER(L1409)),N(L1409)&lt;=0),"Quantité invalide",IF(AND(K1409&lt;&gt;"",OR(NOT(ISNUMBER(K1409)),N(K1409)&lt;=0)),"Qté commandée invalide",IF(AG1409&lt;SUMPRODUCT(MAX((A$6:A1408=A1409)*AG$6:AG1408)),"Date antérieure au bon précédent",IF(AND(A1409&lt;&gt;"BR",ISNUMBER(M1409),N(M1409)&gt;0),IF(A1409="BL","Livré plus que commandé","Sorti plus que demandé"),"OK"))))))))))))</f>
        <v/>
      </c>
      <c r="Y1409" s="57" t="str">
        <f>IF(AND(OR(A1409="BL",A1409="BR",A1409="BS"),AG1409&gt;0,D1409&lt;&gt;""),A1409&amp;"|"&amp;AG1409&amp;"|"&amp;D1409&amp;"|"&amp;F1409,"")</f>
        <v/>
      </c>
      <c r="Z1409" s="57" t="str">
        <f>IF(Y1409="","",IF(COUNTIF(Y$6:Y1408,Y1409)=0,1,0))</f>
        <v/>
      </c>
      <c r="AA1409" s="57" t="str">
        <f>IF(Y1409="","",IF(Z1409=1,COUNTIFS(A$6:A1409,A1409,Z$6:Z1409,1),INDEX(AA$6:AA1408,MATCH(Y1409,Y$6:Y1408,0))))</f>
        <v/>
      </c>
      <c r="AB1409" s="57" t="str">
        <f>IF(B1409="","",COUNTIF(B$6:B1409,B1409))</f>
        <v/>
      </c>
      <c r="AC1409" s="57" t="str">
        <f>IF(B1409="","",B1409&amp;"#"&amp;AB1409)</f>
        <v/>
      </c>
      <c r="AD1409" s="57" t="str">
        <f>IF(Z1409=1,A1409&amp;AA1409,"")</f>
        <v/>
      </c>
      <c r="AE1409" s="57" t="str">
        <f>IF(B1409="","",YEAR(C1409))</f>
        <v/>
      </c>
      <c r="AF1409" s="57" t="str">
        <f>IF(B1409="","",MONTH(C1409))</f>
        <v/>
      </c>
      <c r="AG1409" s="57">
        <f>IF(ISNUMBER(C1409),C1409,0)</f>
        <v>0.0</v>
      </c>
      <c r="AH1409" s="57" t="str">
        <f>IF(N(W1409)&gt;0,COUNTIF(W$6:W1409,"&gt;0"),"")</f>
        <v/>
      </c>
      <c r="AI1409" s="57" t="str">
        <f>IF(Z1409=1,COUNTIF(Z$6:Z1409,1),"")</f>
        <v/>
      </c>
    </row>
    <row r="1410">
      <c r="A1410" s="54" t="n"/>
      <c r="B1410" s="55" t="str">
        <f>IF(AA1410="","",A1410&amp;"-"&amp;RIGHT("000"&amp;AA1410,4))</f>
        <v/>
      </c>
      <c r="C1410" s="56" t="n"/>
      <c r="D1410" s="54" t="n"/>
      <c r="E1410" s="57" t="str">
        <f>IF(D1410="","",IF(A1410="BL",IFERROR(INDEX(cl_name,MATCH(D1410,cl_code,0))&amp;"","Client inconnu"),IF(A1410="BR",IFERROR(INDEX(fo_name,MATCH(D1410,fo_code,0))&amp;"","Fournisseur inconnu"),IF(A1410="BS",IF(ISNA(MATCH(D1410,p_services,0)),"Service inconnu",D1410&amp;""),""))))</f>
        <v/>
      </c>
      <c r="F1410" s="58" t="n"/>
      <c r="G1410" s="58" t="n"/>
      <c r="H1410" s="59" t="n"/>
      <c r="I1410" s="57" t="str">
        <f>IF(H1410="","",IFERROR(INDEX(art_des,MATCH(H1410,art_ref,0))&amp;"","Article inconnu"))</f>
        <v/>
      </c>
      <c r="J1410" s="60" t="str">
        <f>IF(H1410="","",IFERROR(INDEX(art_unit,MATCH(H1410,art_ref,0))&amp;"",""))</f>
        <v/>
      </c>
      <c r="K1410" s="59" t="n"/>
      <c r="L1410" s="59" t="n"/>
      <c r="M1410" s="61" t="str">
        <f>IF(OR(B1410="",NOT(ISNUMBER(K1410)),NOT(ISNUMBER(L1410))),"",IF(OR(K1410&lt;=0,L1410&lt;=0),"",ROUND(L1410-K1410,6)))</f>
        <v/>
      </c>
      <c r="N1410" s="58" t="n"/>
      <c r="O1410" s="62" t="n"/>
      <c r="P1410" s="63" t="str">
        <f>IF(OR(B1410="",NOT(ISNUMBER(L1410))),"",IF(L1410&lt;=0,"",IFERROR(ROUND(L1410*N(INDEX(art_w,MATCH(H1410,art_ref,0))),3),"")))</f>
        <v/>
      </c>
      <c r="Q1410" s="59" t="n"/>
      <c r="R1410" s="54" t="n"/>
      <c r="S1410" s="59" t="n"/>
      <c r="T1410" s="59" t="n"/>
      <c r="U1410" s="64" t="str">
        <f>IF(OR(B1410="",H1410=""),"",IFERROR(IF(A1410="BL",IF(N(INDEX(art_price,MATCH(H1410,art_ref,0)))=0,"",N(INDEX(art_price,MATCH(H1410,art_ref,0)))),IF(N(INDEX(art_cost,MATCH(H1410,art_ref,0)))=0,"",N(INDEX(art_cost,MATCH(H1410,art_ref,0))))),""))</f>
        <v/>
      </c>
      <c r="V1410" s="64" t="str">
        <f>IF(OR(U1410="",NOT(ISNUMBER(L1410))),"",IF(L1410&lt;=0,"",ROUND(L1410*U1410,2)))</f>
        <v/>
      </c>
      <c r="W1410" s="60" t="str">
        <f>IF(AND(B1410&lt;&gt;"",A1410&lt;&gt;"BS",F1410&lt;&gt;"",H1410&lt;&gt;"",ISNUMBER(K1410),ISNUMBER(L1410)),IF(AND(K1410&gt;0,L1410&gt;0,K1410-L1410&gt;0,COUNTIFS(A1411:A$2005,A1410,F1411:F$2005,F1410,H1411:H$2005,H1410,AA1411:AA$2005,"&gt;0")=0),ROUND(K1410-L1410,6),""),"")</f>
        <v/>
      </c>
      <c r="X1410" s="60" t="str">
        <f>IF(AND(A1410="",C1410="",D1410="",H1410="",L1410=""),"",IF(A1410="","Type manquant",IF(AND(A1410&lt;&gt;"BL",A1410&lt;&gt;"BR",A1410&lt;&gt;"BS"),"Type inconnu (BL, BR ou BS)",IF(AG1410=0,"Date manquante ou invalide",IF(D1410="",IF(A1410="BL","Client manquant",IF(A1410="BR","Fournisseur manquant","Service manquant")),IF(IF(A1410="BL",ISNA(MATCH(D1410,cl_code,0)),IF(A1410="BR",ISNA(MATCH(D1410,fo_code,0)),ISNA(MATCH(D1410,p_services,0)))),IF(A1410="BL","Client inconnu",IF(A1410="BR","Fournisseur inconnu","Service inconnu")),IF(H1410="","Article manquant",IF(ISNA(MATCH(H1410,art_ref,0)),"Article inconnu",IF(OR(NOT(ISNUMBER(L1410)),N(L1410)&lt;=0),"Quantité invalide",IF(AND(K1410&lt;&gt;"",OR(NOT(ISNUMBER(K1410)),N(K1410)&lt;=0)),"Qté commandée invalide",IF(AG1410&lt;SUMPRODUCT(MAX((A$6:A1409=A1410)*AG$6:AG1409)),"Date antérieure au bon précédent",IF(AND(A1410&lt;&gt;"BR",ISNUMBER(M1410),N(M1410)&gt;0),IF(A1410="BL","Livré plus que commandé","Sorti plus que demandé"),"OK"))))))))))))</f>
        <v/>
      </c>
      <c r="Y1410" s="57" t="str">
        <f>IF(AND(OR(A1410="BL",A1410="BR",A1410="BS"),AG1410&gt;0,D1410&lt;&gt;""),A1410&amp;"|"&amp;AG1410&amp;"|"&amp;D1410&amp;"|"&amp;F1410,"")</f>
        <v/>
      </c>
      <c r="Z1410" s="57" t="str">
        <f>IF(Y1410="","",IF(COUNTIF(Y$6:Y1409,Y1410)=0,1,0))</f>
        <v/>
      </c>
      <c r="AA1410" s="57" t="str">
        <f>IF(Y1410="","",IF(Z1410=1,COUNTIFS(A$6:A1410,A1410,Z$6:Z1410,1),INDEX(AA$6:AA1409,MATCH(Y1410,Y$6:Y1409,0))))</f>
        <v/>
      </c>
      <c r="AB1410" s="57" t="str">
        <f>IF(B1410="","",COUNTIF(B$6:B1410,B1410))</f>
        <v/>
      </c>
      <c r="AC1410" s="57" t="str">
        <f>IF(B1410="","",B1410&amp;"#"&amp;AB1410)</f>
        <v/>
      </c>
      <c r="AD1410" s="57" t="str">
        <f>IF(Z1410=1,A1410&amp;AA1410,"")</f>
        <v/>
      </c>
      <c r="AE1410" s="57" t="str">
        <f>IF(B1410="","",YEAR(C1410))</f>
        <v/>
      </c>
      <c r="AF1410" s="57" t="str">
        <f>IF(B1410="","",MONTH(C1410))</f>
        <v/>
      </c>
      <c r="AG1410" s="57">
        <f>IF(ISNUMBER(C1410),C1410,0)</f>
        <v>0.0</v>
      </c>
      <c r="AH1410" s="57" t="str">
        <f>IF(N(W1410)&gt;0,COUNTIF(W$6:W1410,"&gt;0"),"")</f>
        <v/>
      </c>
      <c r="AI1410" s="57" t="str">
        <f>IF(Z1410=1,COUNTIF(Z$6:Z1410,1),"")</f>
        <v/>
      </c>
    </row>
    <row r="1411">
      <c r="A1411" s="54" t="n"/>
      <c r="B1411" s="55" t="str">
        <f>IF(AA1411="","",A1411&amp;"-"&amp;RIGHT("000"&amp;AA1411,4))</f>
        <v/>
      </c>
      <c r="C1411" s="56" t="n"/>
      <c r="D1411" s="54" t="n"/>
      <c r="E1411" s="57" t="str">
        <f>IF(D1411="","",IF(A1411="BL",IFERROR(INDEX(cl_name,MATCH(D1411,cl_code,0))&amp;"","Client inconnu"),IF(A1411="BR",IFERROR(INDEX(fo_name,MATCH(D1411,fo_code,0))&amp;"","Fournisseur inconnu"),IF(A1411="BS",IF(ISNA(MATCH(D1411,p_services,0)),"Service inconnu",D1411&amp;""),""))))</f>
        <v/>
      </c>
      <c r="F1411" s="58" t="n"/>
      <c r="G1411" s="58" t="n"/>
      <c r="H1411" s="59" t="n"/>
      <c r="I1411" s="57" t="str">
        <f>IF(H1411="","",IFERROR(INDEX(art_des,MATCH(H1411,art_ref,0))&amp;"","Article inconnu"))</f>
        <v/>
      </c>
      <c r="J1411" s="60" t="str">
        <f>IF(H1411="","",IFERROR(INDEX(art_unit,MATCH(H1411,art_ref,0))&amp;"",""))</f>
        <v/>
      </c>
      <c r="K1411" s="59" t="n"/>
      <c r="L1411" s="59" t="n"/>
      <c r="M1411" s="61" t="str">
        <f>IF(OR(B1411="",NOT(ISNUMBER(K1411)),NOT(ISNUMBER(L1411))),"",IF(OR(K1411&lt;=0,L1411&lt;=0),"",ROUND(L1411-K1411,6)))</f>
        <v/>
      </c>
      <c r="N1411" s="58" t="n"/>
      <c r="O1411" s="62" t="n"/>
      <c r="P1411" s="63" t="str">
        <f>IF(OR(B1411="",NOT(ISNUMBER(L1411))),"",IF(L1411&lt;=0,"",IFERROR(ROUND(L1411*N(INDEX(art_w,MATCH(H1411,art_ref,0))),3),"")))</f>
        <v/>
      </c>
      <c r="Q1411" s="59" t="n"/>
      <c r="R1411" s="54" t="n"/>
      <c r="S1411" s="59" t="n"/>
      <c r="T1411" s="59" t="n"/>
      <c r="U1411" s="64" t="str">
        <f>IF(OR(B1411="",H1411=""),"",IFERROR(IF(A1411="BL",IF(N(INDEX(art_price,MATCH(H1411,art_ref,0)))=0,"",N(INDEX(art_price,MATCH(H1411,art_ref,0)))),IF(N(INDEX(art_cost,MATCH(H1411,art_ref,0)))=0,"",N(INDEX(art_cost,MATCH(H1411,art_ref,0))))),""))</f>
        <v/>
      </c>
      <c r="V1411" s="64" t="str">
        <f>IF(OR(U1411="",NOT(ISNUMBER(L1411))),"",IF(L1411&lt;=0,"",ROUND(L1411*U1411,2)))</f>
        <v/>
      </c>
      <c r="W1411" s="60" t="str">
        <f>IF(AND(B1411&lt;&gt;"",A1411&lt;&gt;"BS",F1411&lt;&gt;"",H1411&lt;&gt;"",ISNUMBER(K1411),ISNUMBER(L1411)),IF(AND(K1411&gt;0,L1411&gt;0,K1411-L1411&gt;0,COUNTIFS(A1412:A$2005,A1411,F1412:F$2005,F1411,H1412:H$2005,H1411,AA1412:AA$2005,"&gt;0")=0),ROUND(K1411-L1411,6),""),"")</f>
        <v/>
      </c>
      <c r="X1411" s="60" t="str">
        <f>IF(AND(A1411="",C1411="",D1411="",H1411="",L1411=""),"",IF(A1411="","Type manquant",IF(AND(A1411&lt;&gt;"BL",A1411&lt;&gt;"BR",A1411&lt;&gt;"BS"),"Type inconnu (BL, BR ou BS)",IF(AG1411=0,"Date manquante ou invalide",IF(D1411="",IF(A1411="BL","Client manquant",IF(A1411="BR","Fournisseur manquant","Service manquant")),IF(IF(A1411="BL",ISNA(MATCH(D1411,cl_code,0)),IF(A1411="BR",ISNA(MATCH(D1411,fo_code,0)),ISNA(MATCH(D1411,p_services,0)))),IF(A1411="BL","Client inconnu",IF(A1411="BR","Fournisseur inconnu","Service inconnu")),IF(H1411="","Article manquant",IF(ISNA(MATCH(H1411,art_ref,0)),"Article inconnu",IF(OR(NOT(ISNUMBER(L1411)),N(L1411)&lt;=0),"Quantité invalide",IF(AND(K1411&lt;&gt;"",OR(NOT(ISNUMBER(K1411)),N(K1411)&lt;=0)),"Qté commandée invalide",IF(AG1411&lt;SUMPRODUCT(MAX((A$6:A1410=A1411)*AG$6:AG1410)),"Date antérieure au bon précédent",IF(AND(A1411&lt;&gt;"BR",ISNUMBER(M1411),N(M1411)&gt;0),IF(A1411="BL","Livré plus que commandé","Sorti plus que demandé"),"OK"))))))))))))</f>
        <v/>
      </c>
      <c r="Y1411" s="57" t="str">
        <f>IF(AND(OR(A1411="BL",A1411="BR",A1411="BS"),AG1411&gt;0,D1411&lt;&gt;""),A1411&amp;"|"&amp;AG1411&amp;"|"&amp;D1411&amp;"|"&amp;F1411,"")</f>
        <v/>
      </c>
      <c r="Z1411" s="57" t="str">
        <f>IF(Y1411="","",IF(COUNTIF(Y$6:Y1410,Y1411)=0,1,0))</f>
        <v/>
      </c>
      <c r="AA1411" s="57" t="str">
        <f>IF(Y1411="","",IF(Z1411=1,COUNTIFS(A$6:A1411,A1411,Z$6:Z1411,1),INDEX(AA$6:AA1410,MATCH(Y1411,Y$6:Y1410,0))))</f>
        <v/>
      </c>
      <c r="AB1411" s="57" t="str">
        <f>IF(B1411="","",COUNTIF(B$6:B1411,B1411))</f>
        <v/>
      </c>
      <c r="AC1411" s="57" t="str">
        <f>IF(B1411="","",B1411&amp;"#"&amp;AB1411)</f>
        <v/>
      </c>
      <c r="AD1411" s="57" t="str">
        <f>IF(Z1411=1,A1411&amp;AA1411,"")</f>
        <v/>
      </c>
      <c r="AE1411" s="57" t="str">
        <f>IF(B1411="","",YEAR(C1411))</f>
        <v/>
      </c>
      <c r="AF1411" s="57" t="str">
        <f>IF(B1411="","",MONTH(C1411))</f>
        <v/>
      </c>
      <c r="AG1411" s="57">
        <f>IF(ISNUMBER(C1411),C1411,0)</f>
        <v>0.0</v>
      </c>
      <c r="AH1411" s="57" t="str">
        <f>IF(N(W1411)&gt;0,COUNTIF(W$6:W1411,"&gt;0"),"")</f>
        <v/>
      </c>
      <c r="AI1411" s="57" t="str">
        <f>IF(Z1411=1,COUNTIF(Z$6:Z1411,1),"")</f>
        <v/>
      </c>
    </row>
    <row r="1412">
      <c r="A1412" s="54" t="n"/>
      <c r="B1412" s="55" t="str">
        <f>IF(AA1412="","",A1412&amp;"-"&amp;RIGHT("000"&amp;AA1412,4))</f>
        <v/>
      </c>
      <c r="C1412" s="56" t="n"/>
      <c r="D1412" s="54" t="n"/>
      <c r="E1412" s="57" t="str">
        <f>IF(D1412="","",IF(A1412="BL",IFERROR(INDEX(cl_name,MATCH(D1412,cl_code,0))&amp;"","Client inconnu"),IF(A1412="BR",IFERROR(INDEX(fo_name,MATCH(D1412,fo_code,0))&amp;"","Fournisseur inconnu"),IF(A1412="BS",IF(ISNA(MATCH(D1412,p_services,0)),"Service inconnu",D1412&amp;""),""))))</f>
        <v/>
      </c>
      <c r="F1412" s="58" t="n"/>
      <c r="G1412" s="58" t="n"/>
      <c r="H1412" s="59" t="n"/>
      <c r="I1412" s="57" t="str">
        <f>IF(H1412="","",IFERROR(INDEX(art_des,MATCH(H1412,art_ref,0))&amp;"","Article inconnu"))</f>
        <v/>
      </c>
      <c r="J1412" s="60" t="str">
        <f>IF(H1412="","",IFERROR(INDEX(art_unit,MATCH(H1412,art_ref,0))&amp;"",""))</f>
        <v/>
      </c>
      <c r="K1412" s="59" t="n"/>
      <c r="L1412" s="59" t="n"/>
      <c r="M1412" s="61" t="str">
        <f>IF(OR(B1412="",NOT(ISNUMBER(K1412)),NOT(ISNUMBER(L1412))),"",IF(OR(K1412&lt;=0,L1412&lt;=0),"",ROUND(L1412-K1412,6)))</f>
        <v/>
      </c>
      <c r="N1412" s="58" t="n"/>
      <c r="O1412" s="62" t="n"/>
      <c r="P1412" s="63" t="str">
        <f>IF(OR(B1412="",NOT(ISNUMBER(L1412))),"",IF(L1412&lt;=0,"",IFERROR(ROUND(L1412*N(INDEX(art_w,MATCH(H1412,art_ref,0))),3),"")))</f>
        <v/>
      </c>
      <c r="Q1412" s="59" t="n"/>
      <c r="R1412" s="54" t="n"/>
      <c r="S1412" s="59" t="n"/>
      <c r="T1412" s="59" t="n"/>
      <c r="U1412" s="64" t="str">
        <f>IF(OR(B1412="",H1412=""),"",IFERROR(IF(A1412="BL",IF(N(INDEX(art_price,MATCH(H1412,art_ref,0)))=0,"",N(INDEX(art_price,MATCH(H1412,art_ref,0)))),IF(N(INDEX(art_cost,MATCH(H1412,art_ref,0)))=0,"",N(INDEX(art_cost,MATCH(H1412,art_ref,0))))),""))</f>
        <v/>
      </c>
      <c r="V1412" s="64" t="str">
        <f>IF(OR(U1412="",NOT(ISNUMBER(L1412))),"",IF(L1412&lt;=0,"",ROUND(L1412*U1412,2)))</f>
        <v/>
      </c>
      <c r="W1412" s="60" t="str">
        <f>IF(AND(B1412&lt;&gt;"",A1412&lt;&gt;"BS",F1412&lt;&gt;"",H1412&lt;&gt;"",ISNUMBER(K1412),ISNUMBER(L1412)),IF(AND(K1412&gt;0,L1412&gt;0,K1412-L1412&gt;0,COUNTIFS(A1413:A$2005,A1412,F1413:F$2005,F1412,H1413:H$2005,H1412,AA1413:AA$2005,"&gt;0")=0),ROUND(K1412-L1412,6),""),"")</f>
        <v/>
      </c>
      <c r="X1412" s="60" t="str">
        <f>IF(AND(A1412="",C1412="",D1412="",H1412="",L1412=""),"",IF(A1412="","Type manquant",IF(AND(A1412&lt;&gt;"BL",A1412&lt;&gt;"BR",A1412&lt;&gt;"BS"),"Type inconnu (BL, BR ou BS)",IF(AG1412=0,"Date manquante ou invalide",IF(D1412="",IF(A1412="BL","Client manquant",IF(A1412="BR","Fournisseur manquant","Service manquant")),IF(IF(A1412="BL",ISNA(MATCH(D1412,cl_code,0)),IF(A1412="BR",ISNA(MATCH(D1412,fo_code,0)),ISNA(MATCH(D1412,p_services,0)))),IF(A1412="BL","Client inconnu",IF(A1412="BR","Fournisseur inconnu","Service inconnu")),IF(H1412="","Article manquant",IF(ISNA(MATCH(H1412,art_ref,0)),"Article inconnu",IF(OR(NOT(ISNUMBER(L1412)),N(L1412)&lt;=0),"Quantité invalide",IF(AND(K1412&lt;&gt;"",OR(NOT(ISNUMBER(K1412)),N(K1412)&lt;=0)),"Qté commandée invalide",IF(AG1412&lt;SUMPRODUCT(MAX((A$6:A1411=A1412)*AG$6:AG1411)),"Date antérieure au bon précédent",IF(AND(A1412&lt;&gt;"BR",ISNUMBER(M1412),N(M1412)&gt;0),IF(A1412="BL","Livré plus que commandé","Sorti plus que demandé"),"OK"))))))))))))</f>
        <v/>
      </c>
      <c r="Y1412" s="57" t="str">
        <f>IF(AND(OR(A1412="BL",A1412="BR",A1412="BS"),AG1412&gt;0,D1412&lt;&gt;""),A1412&amp;"|"&amp;AG1412&amp;"|"&amp;D1412&amp;"|"&amp;F1412,"")</f>
        <v/>
      </c>
      <c r="Z1412" s="57" t="str">
        <f>IF(Y1412="","",IF(COUNTIF(Y$6:Y1411,Y1412)=0,1,0))</f>
        <v/>
      </c>
      <c r="AA1412" s="57" t="str">
        <f>IF(Y1412="","",IF(Z1412=1,COUNTIFS(A$6:A1412,A1412,Z$6:Z1412,1),INDEX(AA$6:AA1411,MATCH(Y1412,Y$6:Y1411,0))))</f>
        <v/>
      </c>
      <c r="AB1412" s="57" t="str">
        <f>IF(B1412="","",COUNTIF(B$6:B1412,B1412))</f>
        <v/>
      </c>
      <c r="AC1412" s="57" t="str">
        <f>IF(B1412="","",B1412&amp;"#"&amp;AB1412)</f>
        <v/>
      </c>
      <c r="AD1412" s="57" t="str">
        <f>IF(Z1412=1,A1412&amp;AA1412,"")</f>
        <v/>
      </c>
      <c r="AE1412" s="57" t="str">
        <f>IF(B1412="","",YEAR(C1412))</f>
        <v/>
      </c>
      <c r="AF1412" s="57" t="str">
        <f>IF(B1412="","",MONTH(C1412))</f>
        <v/>
      </c>
      <c r="AG1412" s="57">
        <f>IF(ISNUMBER(C1412),C1412,0)</f>
        <v>0.0</v>
      </c>
      <c r="AH1412" s="57" t="str">
        <f>IF(N(W1412)&gt;0,COUNTIF(W$6:W1412,"&gt;0"),"")</f>
        <v/>
      </c>
      <c r="AI1412" s="57" t="str">
        <f>IF(Z1412=1,COUNTIF(Z$6:Z1412,1),"")</f>
        <v/>
      </c>
    </row>
    <row r="1413">
      <c r="A1413" s="54" t="n"/>
      <c r="B1413" s="55" t="str">
        <f>IF(AA1413="","",A1413&amp;"-"&amp;RIGHT("000"&amp;AA1413,4))</f>
        <v/>
      </c>
      <c r="C1413" s="56" t="n"/>
      <c r="D1413" s="54" t="n"/>
      <c r="E1413" s="57" t="str">
        <f>IF(D1413="","",IF(A1413="BL",IFERROR(INDEX(cl_name,MATCH(D1413,cl_code,0))&amp;"","Client inconnu"),IF(A1413="BR",IFERROR(INDEX(fo_name,MATCH(D1413,fo_code,0))&amp;"","Fournisseur inconnu"),IF(A1413="BS",IF(ISNA(MATCH(D1413,p_services,0)),"Service inconnu",D1413&amp;""),""))))</f>
        <v/>
      </c>
      <c r="F1413" s="58" t="n"/>
      <c r="G1413" s="58" t="n"/>
      <c r="H1413" s="59" t="n"/>
      <c r="I1413" s="57" t="str">
        <f>IF(H1413="","",IFERROR(INDEX(art_des,MATCH(H1413,art_ref,0))&amp;"","Article inconnu"))</f>
        <v/>
      </c>
      <c r="J1413" s="60" t="str">
        <f>IF(H1413="","",IFERROR(INDEX(art_unit,MATCH(H1413,art_ref,0))&amp;"",""))</f>
        <v/>
      </c>
      <c r="K1413" s="59" t="n"/>
      <c r="L1413" s="59" t="n"/>
      <c r="M1413" s="61" t="str">
        <f>IF(OR(B1413="",NOT(ISNUMBER(K1413)),NOT(ISNUMBER(L1413))),"",IF(OR(K1413&lt;=0,L1413&lt;=0),"",ROUND(L1413-K1413,6)))</f>
        <v/>
      </c>
      <c r="N1413" s="58" t="n"/>
      <c r="O1413" s="62" t="n"/>
      <c r="P1413" s="63" t="str">
        <f>IF(OR(B1413="",NOT(ISNUMBER(L1413))),"",IF(L1413&lt;=0,"",IFERROR(ROUND(L1413*N(INDEX(art_w,MATCH(H1413,art_ref,0))),3),"")))</f>
        <v/>
      </c>
      <c r="Q1413" s="59" t="n"/>
      <c r="R1413" s="54" t="n"/>
      <c r="S1413" s="59" t="n"/>
      <c r="T1413" s="59" t="n"/>
      <c r="U1413" s="64" t="str">
        <f>IF(OR(B1413="",H1413=""),"",IFERROR(IF(A1413="BL",IF(N(INDEX(art_price,MATCH(H1413,art_ref,0)))=0,"",N(INDEX(art_price,MATCH(H1413,art_ref,0)))),IF(N(INDEX(art_cost,MATCH(H1413,art_ref,0)))=0,"",N(INDEX(art_cost,MATCH(H1413,art_ref,0))))),""))</f>
        <v/>
      </c>
      <c r="V1413" s="64" t="str">
        <f>IF(OR(U1413="",NOT(ISNUMBER(L1413))),"",IF(L1413&lt;=0,"",ROUND(L1413*U1413,2)))</f>
        <v/>
      </c>
      <c r="W1413" s="60" t="str">
        <f>IF(AND(B1413&lt;&gt;"",A1413&lt;&gt;"BS",F1413&lt;&gt;"",H1413&lt;&gt;"",ISNUMBER(K1413),ISNUMBER(L1413)),IF(AND(K1413&gt;0,L1413&gt;0,K1413-L1413&gt;0,COUNTIFS(A1414:A$2005,A1413,F1414:F$2005,F1413,H1414:H$2005,H1413,AA1414:AA$2005,"&gt;0")=0),ROUND(K1413-L1413,6),""),"")</f>
        <v/>
      </c>
      <c r="X1413" s="60" t="str">
        <f>IF(AND(A1413="",C1413="",D1413="",H1413="",L1413=""),"",IF(A1413="","Type manquant",IF(AND(A1413&lt;&gt;"BL",A1413&lt;&gt;"BR",A1413&lt;&gt;"BS"),"Type inconnu (BL, BR ou BS)",IF(AG1413=0,"Date manquante ou invalide",IF(D1413="",IF(A1413="BL","Client manquant",IF(A1413="BR","Fournisseur manquant","Service manquant")),IF(IF(A1413="BL",ISNA(MATCH(D1413,cl_code,0)),IF(A1413="BR",ISNA(MATCH(D1413,fo_code,0)),ISNA(MATCH(D1413,p_services,0)))),IF(A1413="BL","Client inconnu",IF(A1413="BR","Fournisseur inconnu","Service inconnu")),IF(H1413="","Article manquant",IF(ISNA(MATCH(H1413,art_ref,0)),"Article inconnu",IF(OR(NOT(ISNUMBER(L1413)),N(L1413)&lt;=0),"Quantité invalide",IF(AND(K1413&lt;&gt;"",OR(NOT(ISNUMBER(K1413)),N(K1413)&lt;=0)),"Qté commandée invalide",IF(AG1413&lt;SUMPRODUCT(MAX((A$6:A1412=A1413)*AG$6:AG1412)),"Date antérieure au bon précédent",IF(AND(A1413&lt;&gt;"BR",ISNUMBER(M1413),N(M1413)&gt;0),IF(A1413="BL","Livré plus que commandé","Sorti plus que demandé"),"OK"))))))))))))</f>
        <v/>
      </c>
      <c r="Y1413" s="57" t="str">
        <f>IF(AND(OR(A1413="BL",A1413="BR",A1413="BS"),AG1413&gt;0,D1413&lt;&gt;""),A1413&amp;"|"&amp;AG1413&amp;"|"&amp;D1413&amp;"|"&amp;F1413,"")</f>
        <v/>
      </c>
      <c r="Z1413" s="57" t="str">
        <f>IF(Y1413="","",IF(COUNTIF(Y$6:Y1412,Y1413)=0,1,0))</f>
        <v/>
      </c>
      <c r="AA1413" s="57" t="str">
        <f>IF(Y1413="","",IF(Z1413=1,COUNTIFS(A$6:A1413,A1413,Z$6:Z1413,1),INDEX(AA$6:AA1412,MATCH(Y1413,Y$6:Y1412,0))))</f>
        <v/>
      </c>
      <c r="AB1413" s="57" t="str">
        <f>IF(B1413="","",COUNTIF(B$6:B1413,B1413))</f>
        <v/>
      </c>
      <c r="AC1413" s="57" t="str">
        <f>IF(B1413="","",B1413&amp;"#"&amp;AB1413)</f>
        <v/>
      </c>
      <c r="AD1413" s="57" t="str">
        <f>IF(Z1413=1,A1413&amp;AA1413,"")</f>
        <v/>
      </c>
      <c r="AE1413" s="57" t="str">
        <f>IF(B1413="","",YEAR(C1413))</f>
        <v/>
      </c>
      <c r="AF1413" s="57" t="str">
        <f>IF(B1413="","",MONTH(C1413))</f>
        <v/>
      </c>
      <c r="AG1413" s="57">
        <f>IF(ISNUMBER(C1413),C1413,0)</f>
        <v>0.0</v>
      </c>
      <c r="AH1413" s="57" t="str">
        <f>IF(N(W1413)&gt;0,COUNTIF(W$6:W1413,"&gt;0"),"")</f>
        <v/>
      </c>
      <c r="AI1413" s="57" t="str">
        <f>IF(Z1413=1,COUNTIF(Z$6:Z1413,1),"")</f>
        <v/>
      </c>
    </row>
    <row r="1414">
      <c r="A1414" s="54" t="n"/>
      <c r="B1414" s="55" t="str">
        <f>IF(AA1414="","",A1414&amp;"-"&amp;RIGHT("000"&amp;AA1414,4))</f>
        <v/>
      </c>
      <c r="C1414" s="56" t="n"/>
      <c r="D1414" s="54" t="n"/>
      <c r="E1414" s="57" t="str">
        <f>IF(D1414="","",IF(A1414="BL",IFERROR(INDEX(cl_name,MATCH(D1414,cl_code,0))&amp;"","Client inconnu"),IF(A1414="BR",IFERROR(INDEX(fo_name,MATCH(D1414,fo_code,0))&amp;"","Fournisseur inconnu"),IF(A1414="BS",IF(ISNA(MATCH(D1414,p_services,0)),"Service inconnu",D1414&amp;""),""))))</f>
        <v/>
      </c>
      <c r="F1414" s="58" t="n"/>
      <c r="G1414" s="58" t="n"/>
      <c r="H1414" s="59" t="n"/>
      <c r="I1414" s="57" t="str">
        <f>IF(H1414="","",IFERROR(INDEX(art_des,MATCH(H1414,art_ref,0))&amp;"","Article inconnu"))</f>
        <v/>
      </c>
      <c r="J1414" s="60" t="str">
        <f>IF(H1414="","",IFERROR(INDEX(art_unit,MATCH(H1414,art_ref,0))&amp;"",""))</f>
        <v/>
      </c>
      <c r="K1414" s="59" t="n"/>
      <c r="L1414" s="59" t="n"/>
      <c r="M1414" s="61" t="str">
        <f>IF(OR(B1414="",NOT(ISNUMBER(K1414)),NOT(ISNUMBER(L1414))),"",IF(OR(K1414&lt;=0,L1414&lt;=0),"",ROUND(L1414-K1414,6)))</f>
        <v/>
      </c>
      <c r="N1414" s="58" t="n"/>
      <c r="O1414" s="62" t="n"/>
      <c r="P1414" s="63" t="str">
        <f>IF(OR(B1414="",NOT(ISNUMBER(L1414))),"",IF(L1414&lt;=0,"",IFERROR(ROUND(L1414*N(INDEX(art_w,MATCH(H1414,art_ref,0))),3),"")))</f>
        <v/>
      </c>
      <c r="Q1414" s="59" t="n"/>
      <c r="R1414" s="54" t="n"/>
      <c r="S1414" s="59" t="n"/>
      <c r="T1414" s="59" t="n"/>
      <c r="U1414" s="64" t="str">
        <f>IF(OR(B1414="",H1414=""),"",IFERROR(IF(A1414="BL",IF(N(INDEX(art_price,MATCH(H1414,art_ref,0)))=0,"",N(INDEX(art_price,MATCH(H1414,art_ref,0)))),IF(N(INDEX(art_cost,MATCH(H1414,art_ref,0)))=0,"",N(INDEX(art_cost,MATCH(H1414,art_ref,0))))),""))</f>
        <v/>
      </c>
      <c r="V1414" s="64" t="str">
        <f>IF(OR(U1414="",NOT(ISNUMBER(L1414))),"",IF(L1414&lt;=0,"",ROUND(L1414*U1414,2)))</f>
        <v/>
      </c>
      <c r="W1414" s="60" t="str">
        <f>IF(AND(B1414&lt;&gt;"",A1414&lt;&gt;"BS",F1414&lt;&gt;"",H1414&lt;&gt;"",ISNUMBER(K1414),ISNUMBER(L1414)),IF(AND(K1414&gt;0,L1414&gt;0,K1414-L1414&gt;0,COUNTIFS(A1415:A$2005,A1414,F1415:F$2005,F1414,H1415:H$2005,H1414,AA1415:AA$2005,"&gt;0")=0),ROUND(K1414-L1414,6),""),"")</f>
        <v/>
      </c>
      <c r="X1414" s="60" t="str">
        <f>IF(AND(A1414="",C1414="",D1414="",H1414="",L1414=""),"",IF(A1414="","Type manquant",IF(AND(A1414&lt;&gt;"BL",A1414&lt;&gt;"BR",A1414&lt;&gt;"BS"),"Type inconnu (BL, BR ou BS)",IF(AG1414=0,"Date manquante ou invalide",IF(D1414="",IF(A1414="BL","Client manquant",IF(A1414="BR","Fournisseur manquant","Service manquant")),IF(IF(A1414="BL",ISNA(MATCH(D1414,cl_code,0)),IF(A1414="BR",ISNA(MATCH(D1414,fo_code,0)),ISNA(MATCH(D1414,p_services,0)))),IF(A1414="BL","Client inconnu",IF(A1414="BR","Fournisseur inconnu","Service inconnu")),IF(H1414="","Article manquant",IF(ISNA(MATCH(H1414,art_ref,0)),"Article inconnu",IF(OR(NOT(ISNUMBER(L1414)),N(L1414)&lt;=0),"Quantité invalide",IF(AND(K1414&lt;&gt;"",OR(NOT(ISNUMBER(K1414)),N(K1414)&lt;=0)),"Qté commandée invalide",IF(AG1414&lt;SUMPRODUCT(MAX((A$6:A1413=A1414)*AG$6:AG1413)),"Date antérieure au bon précédent",IF(AND(A1414&lt;&gt;"BR",ISNUMBER(M1414),N(M1414)&gt;0),IF(A1414="BL","Livré plus que commandé","Sorti plus que demandé"),"OK"))))))))))))</f>
        <v/>
      </c>
      <c r="Y1414" s="57" t="str">
        <f>IF(AND(OR(A1414="BL",A1414="BR",A1414="BS"),AG1414&gt;0,D1414&lt;&gt;""),A1414&amp;"|"&amp;AG1414&amp;"|"&amp;D1414&amp;"|"&amp;F1414,"")</f>
        <v/>
      </c>
      <c r="Z1414" s="57" t="str">
        <f>IF(Y1414="","",IF(COUNTIF(Y$6:Y1413,Y1414)=0,1,0))</f>
        <v/>
      </c>
      <c r="AA1414" s="57" t="str">
        <f>IF(Y1414="","",IF(Z1414=1,COUNTIFS(A$6:A1414,A1414,Z$6:Z1414,1),INDEX(AA$6:AA1413,MATCH(Y1414,Y$6:Y1413,0))))</f>
        <v/>
      </c>
      <c r="AB1414" s="57" t="str">
        <f>IF(B1414="","",COUNTIF(B$6:B1414,B1414))</f>
        <v/>
      </c>
      <c r="AC1414" s="57" t="str">
        <f>IF(B1414="","",B1414&amp;"#"&amp;AB1414)</f>
        <v/>
      </c>
      <c r="AD1414" s="57" t="str">
        <f>IF(Z1414=1,A1414&amp;AA1414,"")</f>
        <v/>
      </c>
      <c r="AE1414" s="57" t="str">
        <f>IF(B1414="","",YEAR(C1414))</f>
        <v/>
      </c>
      <c r="AF1414" s="57" t="str">
        <f>IF(B1414="","",MONTH(C1414))</f>
        <v/>
      </c>
      <c r="AG1414" s="57">
        <f>IF(ISNUMBER(C1414),C1414,0)</f>
        <v>0.0</v>
      </c>
      <c r="AH1414" s="57" t="str">
        <f>IF(N(W1414)&gt;0,COUNTIF(W$6:W1414,"&gt;0"),"")</f>
        <v/>
      </c>
      <c r="AI1414" s="57" t="str">
        <f>IF(Z1414=1,COUNTIF(Z$6:Z1414,1),"")</f>
        <v/>
      </c>
    </row>
    <row r="1415">
      <c r="A1415" s="54" t="n"/>
      <c r="B1415" s="55" t="str">
        <f>IF(AA1415="","",A1415&amp;"-"&amp;RIGHT("000"&amp;AA1415,4))</f>
        <v/>
      </c>
      <c r="C1415" s="56" t="n"/>
      <c r="D1415" s="54" t="n"/>
      <c r="E1415" s="57" t="str">
        <f>IF(D1415="","",IF(A1415="BL",IFERROR(INDEX(cl_name,MATCH(D1415,cl_code,0))&amp;"","Client inconnu"),IF(A1415="BR",IFERROR(INDEX(fo_name,MATCH(D1415,fo_code,0))&amp;"","Fournisseur inconnu"),IF(A1415="BS",IF(ISNA(MATCH(D1415,p_services,0)),"Service inconnu",D1415&amp;""),""))))</f>
        <v/>
      </c>
      <c r="F1415" s="58" t="n"/>
      <c r="G1415" s="58" t="n"/>
      <c r="H1415" s="59" t="n"/>
      <c r="I1415" s="57" t="str">
        <f>IF(H1415="","",IFERROR(INDEX(art_des,MATCH(H1415,art_ref,0))&amp;"","Article inconnu"))</f>
        <v/>
      </c>
      <c r="J1415" s="60" t="str">
        <f>IF(H1415="","",IFERROR(INDEX(art_unit,MATCH(H1415,art_ref,0))&amp;"",""))</f>
        <v/>
      </c>
      <c r="K1415" s="59" t="n"/>
      <c r="L1415" s="59" t="n"/>
      <c r="M1415" s="61" t="str">
        <f>IF(OR(B1415="",NOT(ISNUMBER(K1415)),NOT(ISNUMBER(L1415))),"",IF(OR(K1415&lt;=0,L1415&lt;=0),"",ROUND(L1415-K1415,6)))</f>
        <v/>
      </c>
      <c r="N1415" s="58" t="n"/>
      <c r="O1415" s="62" t="n"/>
      <c r="P1415" s="63" t="str">
        <f>IF(OR(B1415="",NOT(ISNUMBER(L1415))),"",IF(L1415&lt;=0,"",IFERROR(ROUND(L1415*N(INDEX(art_w,MATCH(H1415,art_ref,0))),3),"")))</f>
        <v/>
      </c>
      <c r="Q1415" s="59" t="n"/>
      <c r="R1415" s="54" t="n"/>
      <c r="S1415" s="59" t="n"/>
      <c r="T1415" s="59" t="n"/>
      <c r="U1415" s="64" t="str">
        <f>IF(OR(B1415="",H1415=""),"",IFERROR(IF(A1415="BL",IF(N(INDEX(art_price,MATCH(H1415,art_ref,0)))=0,"",N(INDEX(art_price,MATCH(H1415,art_ref,0)))),IF(N(INDEX(art_cost,MATCH(H1415,art_ref,0)))=0,"",N(INDEX(art_cost,MATCH(H1415,art_ref,0))))),""))</f>
        <v/>
      </c>
      <c r="V1415" s="64" t="str">
        <f>IF(OR(U1415="",NOT(ISNUMBER(L1415))),"",IF(L1415&lt;=0,"",ROUND(L1415*U1415,2)))</f>
        <v/>
      </c>
      <c r="W1415" s="60" t="str">
        <f>IF(AND(B1415&lt;&gt;"",A1415&lt;&gt;"BS",F1415&lt;&gt;"",H1415&lt;&gt;"",ISNUMBER(K1415),ISNUMBER(L1415)),IF(AND(K1415&gt;0,L1415&gt;0,K1415-L1415&gt;0,COUNTIFS(A1416:A$2005,A1415,F1416:F$2005,F1415,H1416:H$2005,H1415,AA1416:AA$2005,"&gt;0")=0),ROUND(K1415-L1415,6),""),"")</f>
        <v/>
      </c>
      <c r="X1415" s="60" t="str">
        <f>IF(AND(A1415="",C1415="",D1415="",H1415="",L1415=""),"",IF(A1415="","Type manquant",IF(AND(A1415&lt;&gt;"BL",A1415&lt;&gt;"BR",A1415&lt;&gt;"BS"),"Type inconnu (BL, BR ou BS)",IF(AG1415=0,"Date manquante ou invalide",IF(D1415="",IF(A1415="BL","Client manquant",IF(A1415="BR","Fournisseur manquant","Service manquant")),IF(IF(A1415="BL",ISNA(MATCH(D1415,cl_code,0)),IF(A1415="BR",ISNA(MATCH(D1415,fo_code,0)),ISNA(MATCH(D1415,p_services,0)))),IF(A1415="BL","Client inconnu",IF(A1415="BR","Fournisseur inconnu","Service inconnu")),IF(H1415="","Article manquant",IF(ISNA(MATCH(H1415,art_ref,0)),"Article inconnu",IF(OR(NOT(ISNUMBER(L1415)),N(L1415)&lt;=0),"Quantité invalide",IF(AND(K1415&lt;&gt;"",OR(NOT(ISNUMBER(K1415)),N(K1415)&lt;=0)),"Qté commandée invalide",IF(AG1415&lt;SUMPRODUCT(MAX((A$6:A1414=A1415)*AG$6:AG1414)),"Date antérieure au bon précédent",IF(AND(A1415&lt;&gt;"BR",ISNUMBER(M1415),N(M1415)&gt;0),IF(A1415="BL","Livré plus que commandé","Sorti plus que demandé"),"OK"))))))))))))</f>
        <v/>
      </c>
      <c r="Y1415" s="57" t="str">
        <f>IF(AND(OR(A1415="BL",A1415="BR",A1415="BS"),AG1415&gt;0,D1415&lt;&gt;""),A1415&amp;"|"&amp;AG1415&amp;"|"&amp;D1415&amp;"|"&amp;F1415,"")</f>
        <v/>
      </c>
      <c r="Z1415" s="57" t="str">
        <f>IF(Y1415="","",IF(COUNTIF(Y$6:Y1414,Y1415)=0,1,0))</f>
        <v/>
      </c>
      <c r="AA1415" s="57" t="str">
        <f>IF(Y1415="","",IF(Z1415=1,COUNTIFS(A$6:A1415,A1415,Z$6:Z1415,1),INDEX(AA$6:AA1414,MATCH(Y1415,Y$6:Y1414,0))))</f>
        <v/>
      </c>
      <c r="AB1415" s="57" t="str">
        <f>IF(B1415="","",COUNTIF(B$6:B1415,B1415))</f>
        <v/>
      </c>
      <c r="AC1415" s="57" t="str">
        <f>IF(B1415="","",B1415&amp;"#"&amp;AB1415)</f>
        <v/>
      </c>
      <c r="AD1415" s="57" t="str">
        <f>IF(Z1415=1,A1415&amp;AA1415,"")</f>
        <v/>
      </c>
      <c r="AE1415" s="57" t="str">
        <f>IF(B1415="","",YEAR(C1415))</f>
        <v/>
      </c>
      <c r="AF1415" s="57" t="str">
        <f>IF(B1415="","",MONTH(C1415))</f>
        <v/>
      </c>
      <c r="AG1415" s="57">
        <f>IF(ISNUMBER(C1415),C1415,0)</f>
        <v>0.0</v>
      </c>
      <c r="AH1415" s="57" t="str">
        <f>IF(N(W1415)&gt;0,COUNTIF(W$6:W1415,"&gt;0"),"")</f>
        <v/>
      </c>
      <c r="AI1415" s="57" t="str">
        <f>IF(Z1415=1,COUNTIF(Z$6:Z1415,1),"")</f>
        <v/>
      </c>
    </row>
    <row r="1416">
      <c r="A1416" s="54" t="n"/>
      <c r="B1416" s="55" t="str">
        <f>IF(AA1416="","",A1416&amp;"-"&amp;RIGHT("000"&amp;AA1416,4))</f>
        <v/>
      </c>
      <c r="C1416" s="56" t="n"/>
      <c r="D1416" s="54" t="n"/>
      <c r="E1416" s="57" t="str">
        <f>IF(D1416="","",IF(A1416="BL",IFERROR(INDEX(cl_name,MATCH(D1416,cl_code,0))&amp;"","Client inconnu"),IF(A1416="BR",IFERROR(INDEX(fo_name,MATCH(D1416,fo_code,0))&amp;"","Fournisseur inconnu"),IF(A1416="BS",IF(ISNA(MATCH(D1416,p_services,0)),"Service inconnu",D1416&amp;""),""))))</f>
        <v/>
      </c>
      <c r="F1416" s="58" t="n"/>
      <c r="G1416" s="58" t="n"/>
      <c r="H1416" s="59" t="n"/>
      <c r="I1416" s="57" t="str">
        <f>IF(H1416="","",IFERROR(INDEX(art_des,MATCH(H1416,art_ref,0))&amp;"","Article inconnu"))</f>
        <v/>
      </c>
      <c r="J1416" s="60" t="str">
        <f>IF(H1416="","",IFERROR(INDEX(art_unit,MATCH(H1416,art_ref,0))&amp;"",""))</f>
        <v/>
      </c>
      <c r="K1416" s="59" t="n"/>
      <c r="L1416" s="59" t="n"/>
      <c r="M1416" s="61" t="str">
        <f>IF(OR(B1416="",NOT(ISNUMBER(K1416)),NOT(ISNUMBER(L1416))),"",IF(OR(K1416&lt;=0,L1416&lt;=0),"",ROUND(L1416-K1416,6)))</f>
        <v/>
      </c>
      <c r="N1416" s="58" t="n"/>
      <c r="O1416" s="62" t="n"/>
      <c r="P1416" s="63" t="str">
        <f>IF(OR(B1416="",NOT(ISNUMBER(L1416))),"",IF(L1416&lt;=0,"",IFERROR(ROUND(L1416*N(INDEX(art_w,MATCH(H1416,art_ref,0))),3),"")))</f>
        <v/>
      </c>
      <c r="Q1416" s="59" t="n"/>
      <c r="R1416" s="54" t="n"/>
      <c r="S1416" s="59" t="n"/>
      <c r="T1416" s="59" t="n"/>
      <c r="U1416" s="64" t="str">
        <f>IF(OR(B1416="",H1416=""),"",IFERROR(IF(A1416="BL",IF(N(INDEX(art_price,MATCH(H1416,art_ref,0)))=0,"",N(INDEX(art_price,MATCH(H1416,art_ref,0)))),IF(N(INDEX(art_cost,MATCH(H1416,art_ref,0)))=0,"",N(INDEX(art_cost,MATCH(H1416,art_ref,0))))),""))</f>
        <v/>
      </c>
      <c r="V1416" s="64" t="str">
        <f>IF(OR(U1416="",NOT(ISNUMBER(L1416))),"",IF(L1416&lt;=0,"",ROUND(L1416*U1416,2)))</f>
        <v/>
      </c>
      <c r="W1416" s="60" t="str">
        <f>IF(AND(B1416&lt;&gt;"",A1416&lt;&gt;"BS",F1416&lt;&gt;"",H1416&lt;&gt;"",ISNUMBER(K1416),ISNUMBER(L1416)),IF(AND(K1416&gt;0,L1416&gt;0,K1416-L1416&gt;0,COUNTIFS(A1417:A$2005,A1416,F1417:F$2005,F1416,H1417:H$2005,H1416,AA1417:AA$2005,"&gt;0")=0),ROUND(K1416-L1416,6),""),"")</f>
        <v/>
      </c>
      <c r="X1416" s="60" t="str">
        <f>IF(AND(A1416="",C1416="",D1416="",H1416="",L1416=""),"",IF(A1416="","Type manquant",IF(AND(A1416&lt;&gt;"BL",A1416&lt;&gt;"BR",A1416&lt;&gt;"BS"),"Type inconnu (BL, BR ou BS)",IF(AG1416=0,"Date manquante ou invalide",IF(D1416="",IF(A1416="BL","Client manquant",IF(A1416="BR","Fournisseur manquant","Service manquant")),IF(IF(A1416="BL",ISNA(MATCH(D1416,cl_code,0)),IF(A1416="BR",ISNA(MATCH(D1416,fo_code,0)),ISNA(MATCH(D1416,p_services,0)))),IF(A1416="BL","Client inconnu",IF(A1416="BR","Fournisseur inconnu","Service inconnu")),IF(H1416="","Article manquant",IF(ISNA(MATCH(H1416,art_ref,0)),"Article inconnu",IF(OR(NOT(ISNUMBER(L1416)),N(L1416)&lt;=0),"Quantité invalide",IF(AND(K1416&lt;&gt;"",OR(NOT(ISNUMBER(K1416)),N(K1416)&lt;=0)),"Qté commandée invalide",IF(AG1416&lt;SUMPRODUCT(MAX((A$6:A1415=A1416)*AG$6:AG1415)),"Date antérieure au bon précédent",IF(AND(A1416&lt;&gt;"BR",ISNUMBER(M1416),N(M1416)&gt;0),IF(A1416="BL","Livré plus que commandé","Sorti plus que demandé"),"OK"))))))))))))</f>
        <v/>
      </c>
      <c r="Y1416" s="57" t="str">
        <f>IF(AND(OR(A1416="BL",A1416="BR",A1416="BS"),AG1416&gt;0,D1416&lt;&gt;""),A1416&amp;"|"&amp;AG1416&amp;"|"&amp;D1416&amp;"|"&amp;F1416,"")</f>
        <v/>
      </c>
      <c r="Z1416" s="57" t="str">
        <f>IF(Y1416="","",IF(COUNTIF(Y$6:Y1415,Y1416)=0,1,0))</f>
        <v/>
      </c>
      <c r="AA1416" s="57" t="str">
        <f>IF(Y1416="","",IF(Z1416=1,COUNTIFS(A$6:A1416,A1416,Z$6:Z1416,1),INDEX(AA$6:AA1415,MATCH(Y1416,Y$6:Y1415,0))))</f>
        <v/>
      </c>
      <c r="AB1416" s="57" t="str">
        <f>IF(B1416="","",COUNTIF(B$6:B1416,B1416))</f>
        <v/>
      </c>
      <c r="AC1416" s="57" t="str">
        <f>IF(B1416="","",B1416&amp;"#"&amp;AB1416)</f>
        <v/>
      </c>
      <c r="AD1416" s="57" t="str">
        <f>IF(Z1416=1,A1416&amp;AA1416,"")</f>
        <v/>
      </c>
      <c r="AE1416" s="57" t="str">
        <f>IF(B1416="","",YEAR(C1416))</f>
        <v/>
      </c>
      <c r="AF1416" s="57" t="str">
        <f>IF(B1416="","",MONTH(C1416))</f>
        <v/>
      </c>
      <c r="AG1416" s="57">
        <f>IF(ISNUMBER(C1416),C1416,0)</f>
        <v>0.0</v>
      </c>
      <c r="AH1416" s="57" t="str">
        <f>IF(N(W1416)&gt;0,COUNTIF(W$6:W1416,"&gt;0"),"")</f>
        <v/>
      </c>
      <c r="AI1416" s="57" t="str">
        <f>IF(Z1416=1,COUNTIF(Z$6:Z1416,1),"")</f>
        <v/>
      </c>
    </row>
    <row r="1417">
      <c r="A1417" s="54" t="n"/>
      <c r="B1417" s="55" t="str">
        <f>IF(AA1417="","",A1417&amp;"-"&amp;RIGHT("000"&amp;AA1417,4))</f>
        <v/>
      </c>
      <c r="C1417" s="56" t="n"/>
      <c r="D1417" s="54" t="n"/>
      <c r="E1417" s="57" t="str">
        <f>IF(D1417="","",IF(A1417="BL",IFERROR(INDEX(cl_name,MATCH(D1417,cl_code,0))&amp;"","Client inconnu"),IF(A1417="BR",IFERROR(INDEX(fo_name,MATCH(D1417,fo_code,0))&amp;"","Fournisseur inconnu"),IF(A1417="BS",IF(ISNA(MATCH(D1417,p_services,0)),"Service inconnu",D1417&amp;""),""))))</f>
        <v/>
      </c>
      <c r="F1417" s="58" t="n"/>
      <c r="G1417" s="58" t="n"/>
      <c r="H1417" s="59" t="n"/>
      <c r="I1417" s="57" t="str">
        <f>IF(H1417="","",IFERROR(INDEX(art_des,MATCH(H1417,art_ref,0))&amp;"","Article inconnu"))</f>
        <v/>
      </c>
      <c r="J1417" s="60" t="str">
        <f>IF(H1417="","",IFERROR(INDEX(art_unit,MATCH(H1417,art_ref,0))&amp;"",""))</f>
        <v/>
      </c>
      <c r="K1417" s="59" t="n"/>
      <c r="L1417" s="59" t="n"/>
      <c r="M1417" s="61" t="str">
        <f>IF(OR(B1417="",NOT(ISNUMBER(K1417)),NOT(ISNUMBER(L1417))),"",IF(OR(K1417&lt;=0,L1417&lt;=0),"",ROUND(L1417-K1417,6)))</f>
        <v/>
      </c>
      <c r="N1417" s="58" t="n"/>
      <c r="O1417" s="62" t="n"/>
      <c r="P1417" s="63" t="str">
        <f>IF(OR(B1417="",NOT(ISNUMBER(L1417))),"",IF(L1417&lt;=0,"",IFERROR(ROUND(L1417*N(INDEX(art_w,MATCH(H1417,art_ref,0))),3),"")))</f>
        <v/>
      </c>
      <c r="Q1417" s="59" t="n"/>
      <c r="R1417" s="54" t="n"/>
      <c r="S1417" s="59" t="n"/>
      <c r="T1417" s="59" t="n"/>
      <c r="U1417" s="64" t="str">
        <f>IF(OR(B1417="",H1417=""),"",IFERROR(IF(A1417="BL",IF(N(INDEX(art_price,MATCH(H1417,art_ref,0)))=0,"",N(INDEX(art_price,MATCH(H1417,art_ref,0)))),IF(N(INDEX(art_cost,MATCH(H1417,art_ref,0)))=0,"",N(INDEX(art_cost,MATCH(H1417,art_ref,0))))),""))</f>
        <v/>
      </c>
      <c r="V1417" s="64" t="str">
        <f>IF(OR(U1417="",NOT(ISNUMBER(L1417))),"",IF(L1417&lt;=0,"",ROUND(L1417*U1417,2)))</f>
        <v/>
      </c>
      <c r="W1417" s="60" t="str">
        <f>IF(AND(B1417&lt;&gt;"",A1417&lt;&gt;"BS",F1417&lt;&gt;"",H1417&lt;&gt;"",ISNUMBER(K1417),ISNUMBER(L1417)),IF(AND(K1417&gt;0,L1417&gt;0,K1417-L1417&gt;0,COUNTIFS(A1418:A$2005,A1417,F1418:F$2005,F1417,H1418:H$2005,H1417,AA1418:AA$2005,"&gt;0")=0),ROUND(K1417-L1417,6),""),"")</f>
        <v/>
      </c>
      <c r="X1417" s="60" t="str">
        <f>IF(AND(A1417="",C1417="",D1417="",H1417="",L1417=""),"",IF(A1417="","Type manquant",IF(AND(A1417&lt;&gt;"BL",A1417&lt;&gt;"BR",A1417&lt;&gt;"BS"),"Type inconnu (BL, BR ou BS)",IF(AG1417=0,"Date manquante ou invalide",IF(D1417="",IF(A1417="BL","Client manquant",IF(A1417="BR","Fournisseur manquant","Service manquant")),IF(IF(A1417="BL",ISNA(MATCH(D1417,cl_code,0)),IF(A1417="BR",ISNA(MATCH(D1417,fo_code,0)),ISNA(MATCH(D1417,p_services,0)))),IF(A1417="BL","Client inconnu",IF(A1417="BR","Fournisseur inconnu","Service inconnu")),IF(H1417="","Article manquant",IF(ISNA(MATCH(H1417,art_ref,0)),"Article inconnu",IF(OR(NOT(ISNUMBER(L1417)),N(L1417)&lt;=0),"Quantité invalide",IF(AND(K1417&lt;&gt;"",OR(NOT(ISNUMBER(K1417)),N(K1417)&lt;=0)),"Qté commandée invalide",IF(AG1417&lt;SUMPRODUCT(MAX((A$6:A1416=A1417)*AG$6:AG1416)),"Date antérieure au bon précédent",IF(AND(A1417&lt;&gt;"BR",ISNUMBER(M1417),N(M1417)&gt;0),IF(A1417="BL","Livré plus que commandé","Sorti plus que demandé"),"OK"))))))))))))</f>
        <v/>
      </c>
      <c r="Y1417" s="57" t="str">
        <f>IF(AND(OR(A1417="BL",A1417="BR",A1417="BS"),AG1417&gt;0,D1417&lt;&gt;""),A1417&amp;"|"&amp;AG1417&amp;"|"&amp;D1417&amp;"|"&amp;F1417,"")</f>
        <v/>
      </c>
      <c r="Z1417" s="57" t="str">
        <f>IF(Y1417="","",IF(COUNTIF(Y$6:Y1416,Y1417)=0,1,0))</f>
        <v/>
      </c>
      <c r="AA1417" s="57" t="str">
        <f>IF(Y1417="","",IF(Z1417=1,COUNTIFS(A$6:A1417,A1417,Z$6:Z1417,1),INDEX(AA$6:AA1416,MATCH(Y1417,Y$6:Y1416,0))))</f>
        <v/>
      </c>
      <c r="AB1417" s="57" t="str">
        <f>IF(B1417="","",COUNTIF(B$6:B1417,B1417))</f>
        <v/>
      </c>
      <c r="AC1417" s="57" t="str">
        <f>IF(B1417="","",B1417&amp;"#"&amp;AB1417)</f>
        <v/>
      </c>
      <c r="AD1417" s="57" t="str">
        <f>IF(Z1417=1,A1417&amp;AA1417,"")</f>
        <v/>
      </c>
      <c r="AE1417" s="57" t="str">
        <f>IF(B1417="","",YEAR(C1417))</f>
        <v/>
      </c>
      <c r="AF1417" s="57" t="str">
        <f>IF(B1417="","",MONTH(C1417))</f>
        <v/>
      </c>
      <c r="AG1417" s="57">
        <f>IF(ISNUMBER(C1417),C1417,0)</f>
        <v>0.0</v>
      </c>
      <c r="AH1417" s="57" t="str">
        <f>IF(N(W1417)&gt;0,COUNTIF(W$6:W1417,"&gt;0"),"")</f>
        <v/>
      </c>
      <c r="AI1417" s="57" t="str">
        <f>IF(Z1417=1,COUNTIF(Z$6:Z1417,1),"")</f>
        <v/>
      </c>
    </row>
    <row r="1418">
      <c r="A1418" s="54" t="n"/>
      <c r="B1418" s="55" t="str">
        <f>IF(AA1418="","",A1418&amp;"-"&amp;RIGHT("000"&amp;AA1418,4))</f>
        <v/>
      </c>
      <c r="C1418" s="56" t="n"/>
      <c r="D1418" s="54" t="n"/>
      <c r="E1418" s="57" t="str">
        <f>IF(D1418="","",IF(A1418="BL",IFERROR(INDEX(cl_name,MATCH(D1418,cl_code,0))&amp;"","Client inconnu"),IF(A1418="BR",IFERROR(INDEX(fo_name,MATCH(D1418,fo_code,0))&amp;"","Fournisseur inconnu"),IF(A1418="BS",IF(ISNA(MATCH(D1418,p_services,0)),"Service inconnu",D1418&amp;""),""))))</f>
        <v/>
      </c>
      <c r="F1418" s="58" t="n"/>
      <c r="G1418" s="58" t="n"/>
      <c r="H1418" s="59" t="n"/>
      <c r="I1418" s="57" t="str">
        <f>IF(H1418="","",IFERROR(INDEX(art_des,MATCH(H1418,art_ref,0))&amp;"","Article inconnu"))</f>
        <v/>
      </c>
      <c r="J1418" s="60" t="str">
        <f>IF(H1418="","",IFERROR(INDEX(art_unit,MATCH(H1418,art_ref,0))&amp;"",""))</f>
        <v/>
      </c>
      <c r="K1418" s="59" t="n"/>
      <c r="L1418" s="59" t="n"/>
      <c r="M1418" s="61" t="str">
        <f>IF(OR(B1418="",NOT(ISNUMBER(K1418)),NOT(ISNUMBER(L1418))),"",IF(OR(K1418&lt;=0,L1418&lt;=0),"",ROUND(L1418-K1418,6)))</f>
        <v/>
      </c>
      <c r="N1418" s="58" t="n"/>
      <c r="O1418" s="62" t="n"/>
      <c r="P1418" s="63" t="str">
        <f>IF(OR(B1418="",NOT(ISNUMBER(L1418))),"",IF(L1418&lt;=0,"",IFERROR(ROUND(L1418*N(INDEX(art_w,MATCH(H1418,art_ref,0))),3),"")))</f>
        <v/>
      </c>
      <c r="Q1418" s="59" t="n"/>
      <c r="R1418" s="54" t="n"/>
      <c r="S1418" s="59" t="n"/>
      <c r="T1418" s="59" t="n"/>
      <c r="U1418" s="64" t="str">
        <f>IF(OR(B1418="",H1418=""),"",IFERROR(IF(A1418="BL",IF(N(INDEX(art_price,MATCH(H1418,art_ref,0)))=0,"",N(INDEX(art_price,MATCH(H1418,art_ref,0)))),IF(N(INDEX(art_cost,MATCH(H1418,art_ref,0)))=0,"",N(INDEX(art_cost,MATCH(H1418,art_ref,0))))),""))</f>
        <v/>
      </c>
      <c r="V1418" s="64" t="str">
        <f>IF(OR(U1418="",NOT(ISNUMBER(L1418))),"",IF(L1418&lt;=0,"",ROUND(L1418*U1418,2)))</f>
        <v/>
      </c>
      <c r="W1418" s="60" t="str">
        <f>IF(AND(B1418&lt;&gt;"",A1418&lt;&gt;"BS",F1418&lt;&gt;"",H1418&lt;&gt;"",ISNUMBER(K1418),ISNUMBER(L1418)),IF(AND(K1418&gt;0,L1418&gt;0,K1418-L1418&gt;0,COUNTIFS(A1419:A$2005,A1418,F1419:F$2005,F1418,H1419:H$2005,H1418,AA1419:AA$2005,"&gt;0")=0),ROUND(K1418-L1418,6),""),"")</f>
        <v/>
      </c>
      <c r="X1418" s="60" t="str">
        <f>IF(AND(A1418="",C1418="",D1418="",H1418="",L1418=""),"",IF(A1418="","Type manquant",IF(AND(A1418&lt;&gt;"BL",A1418&lt;&gt;"BR",A1418&lt;&gt;"BS"),"Type inconnu (BL, BR ou BS)",IF(AG1418=0,"Date manquante ou invalide",IF(D1418="",IF(A1418="BL","Client manquant",IF(A1418="BR","Fournisseur manquant","Service manquant")),IF(IF(A1418="BL",ISNA(MATCH(D1418,cl_code,0)),IF(A1418="BR",ISNA(MATCH(D1418,fo_code,0)),ISNA(MATCH(D1418,p_services,0)))),IF(A1418="BL","Client inconnu",IF(A1418="BR","Fournisseur inconnu","Service inconnu")),IF(H1418="","Article manquant",IF(ISNA(MATCH(H1418,art_ref,0)),"Article inconnu",IF(OR(NOT(ISNUMBER(L1418)),N(L1418)&lt;=0),"Quantité invalide",IF(AND(K1418&lt;&gt;"",OR(NOT(ISNUMBER(K1418)),N(K1418)&lt;=0)),"Qté commandée invalide",IF(AG1418&lt;SUMPRODUCT(MAX((A$6:A1417=A1418)*AG$6:AG1417)),"Date antérieure au bon précédent",IF(AND(A1418&lt;&gt;"BR",ISNUMBER(M1418),N(M1418)&gt;0),IF(A1418="BL","Livré plus que commandé","Sorti plus que demandé"),"OK"))))))))))))</f>
        <v/>
      </c>
      <c r="Y1418" s="57" t="str">
        <f>IF(AND(OR(A1418="BL",A1418="BR",A1418="BS"),AG1418&gt;0,D1418&lt;&gt;""),A1418&amp;"|"&amp;AG1418&amp;"|"&amp;D1418&amp;"|"&amp;F1418,"")</f>
        <v/>
      </c>
      <c r="Z1418" s="57" t="str">
        <f>IF(Y1418="","",IF(COUNTIF(Y$6:Y1417,Y1418)=0,1,0))</f>
        <v/>
      </c>
      <c r="AA1418" s="57" t="str">
        <f>IF(Y1418="","",IF(Z1418=1,COUNTIFS(A$6:A1418,A1418,Z$6:Z1418,1),INDEX(AA$6:AA1417,MATCH(Y1418,Y$6:Y1417,0))))</f>
        <v/>
      </c>
      <c r="AB1418" s="57" t="str">
        <f>IF(B1418="","",COUNTIF(B$6:B1418,B1418))</f>
        <v/>
      </c>
      <c r="AC1418" s="57" t="str">
        <f>IF(B1418="","",B1418&amp;"#"&amp;AB1418)</f>
        <v/>
      </c>
      <c r="AD1418" s="57" t="str">
        <f>IF(Z1418=1,A1418&amp;AA1418,"")</f>
        <v/>
      </c>
      <c r="AE1418" s="57" t="str">
        <f>IF(B1418="","",YEAR(C1418))</f>
        <v/>
      </c>
      <c r="AF1418" s="57" t="str">
        <f>IF(B1418="","",MONTH(C1418))</f>
        <v/>
      </c>
      <c r="AG1418" s="57">
        <f>IF(ISNUMBER(C1418),C1418,0)</f>
        <v>0.0</v>
      </c>
      <c r="AH1418" s="57" t="str">
        <f>IF(N(W1418)&gt;0,COUNTIF(W$6:W1418,"&gt;0"),"")</f>
        <v/>
      </c>
      <c r="AI1418" s="57" t="str">
        <f>IF(Z1418=1,COUNTIF(Z$6:Z1418,1),"")</f>
        <v/>
      </c>
    </row>
    <row r="1419">
      <c r="A1419" s="54" t="n"/>
      <c r="B1419" s="55" t="str">
        <f>IF(AA1419="","",A1419&amp;"-"&amp;RIGHT("000"&amp;AA1419,4))</f>
        <v/>
      </c>
      <c r="C1419" s="56" t="n"/>
      <c r="D1419" s="54" t="n"/>
      <c r="E1419" s="57" t="str">
        <f>IF(D1419="","",IF(A1419="BL",IFERROR(INDEX(cl_name,MATCH(D1419,cl_code,0))&amp;"","Client inconnu"),IF(A1419="BR",IFERROR(INDEX(fo_name,MATCH(D1419,fo_code,0))&amp;"","Fournisseur inconnu"),IF(A1419="BS",IF(ISNA(MATCH(D1419,p_services,0)),"Service inconnu",D1419&amp;""),""))))</f>
        <v/>
      </c>
      <c r="F1419" s="58" t="n"/>
      <c r="G1419" s="58" t="n"/>
      <c r="H1419" s="59" t="n"/>
      <c r="I1419" s="57" t="str">
        <f>IF(H1419="","",IFERROR(INDEX(art_des,MATCH(H1419,art_ref,0))&amp;"","Article inconnu"))</f>
        <v/>
      </c>
      <c r="J1419" s="60" t="str">
        <f>IF(H1419="","",IFERROR(INDEX(art_unit,MATCH(H1419,art_ref,0))&amp;"",""))</f>
        <v/>
      </c>
      <c r="K1419" s="59" t="n"/>
      <c r="L1419" s="59" t="n"/>
      <c r="M1419" s="61" t="str">
        <f>IF(OR(B1419="",NOT(ISNUMBER(K1419)),NOT(ISNUMBER(L1419))),"",IF(OR(K1419&lt;=0,L1419&lt;=0),"",ROUND(L1419-K1419,6)))</f>
        <v/>
      </c>
      <c r="N1419" s="58" t="n"/>
      <c r="O1419" s="62" t="n"/>
      <c r="P1419" s="63" t="str">
        <f>IF(OR(B1419="",NOT(ISNUMBER(L1419))),"",IF(L1419&lt;=0,"",IFERROR(ROUND(L1419*N(INDEX(art_w,MATCH(H1419,art_ref,0))),3),"")))</f>
        <v/>
      </c>
      <c r="Q1419" s="59" t="n"/>
      <c r="R1419" s="54" t="n"/>
      <c r="S1419" s="59" t="n"/>
      <c r="T1419" s="59" t="n"/>
      <c r="U1419" s="64" t="str">
        <f>IF(OR(B1419="",H1419=""),"",IFERROR(IF(A1419="BL",IF(N(INDEX(art_price,MATCH(H1419,art_ref,0)))=0,"",N(INDEX(art_price,MATCH(H1419,art_ref,0)))),IF(N(INDEX(art_cost,MATCH(H1419,art_ref,0)))=0,"",N(INDEX(art_cost,MATCH(H1419,art_ref,0))))),""))</f>
        <v/>
      </c>
      <c r="V1419" s="64" t="str">
        <f>IF(OR(U1419="",NOT(ISNUMBER(L1419))),"",IF(L1419&lt;=0,"",ROUND(L1419*U1419,2)))</f>
        <v/>
      </c>
      <c r="W1419" s="60" t="str">
        <f>IF(AND(B1419&lt;&gt;"",A1419&lt;&gt;"BS",F1419&lt;&gt;"",H1419&lt;&gt;"",ISNUMBER(K1419),ISNUMBER(L1419)),IF(AND(K1419&gt;0,L1419&gt;0,K1419-L1419&gt;0,COUNTIFS(A1420:A$2005,A1419,F1420:F$2005,F1419,H1420:H$2005,H1419,AA1420:AA$2005,"&gt;0")=0),ROUND(K1419-L1419,6),""),"")</f>
        <v/>
      </c>
      <c r="X1419" s="60" t="str">
        <f>IF(AND(A1419="",C1419="",D1419="",H1419="",L1419=""),"",IF(A1419="","Type manquant",IF(AND(A1419&lt;&gt;"BL",A1419&lt;&gt;"BR",A1419&lt;&gt;"BS"),"Type inconnu (BL, BR ou BS)",IF(AG1419=0,"Date manquante ou invalide",IF(D1419="",IF(A1419="BL","Client manquant",IF(A1419="BR","Fournisseur manquant","Service manquant")),IF(IF(A1419="BL",ISNA(MATCH(D1419,cl_code,0)),IF(A1419="BR",ISNA(MATCH(D1419,fo_code,0)),ISNA(MATCH(D1419,p_services,0)))),IF(A1419="BL","Client inconnu",IF(A1419="BR","Fournisseur inconnu","Service inconnu")),IF(H1419="","Article manquant",IF(ISNA(MATCH(H1419,art_ref,0)),"Article inconnu",IF(OR(NOT(ISNUMBER(L1419)),N(L1419)&lt;=0),"Quantité invalide",IF(AND(K1419&lt;&gt;"",OR(NOT(ISNUMBER(K1419)),N(K1419)&lt;=0)),"Qté commandée invalide",IF(AG1419&lt;SUMPRODUCT(MAX((A$6:A1418=A1419)*AG$6:AG1418)),"Date antérieure au bon précédent",IF(AND(A1419&lt;&gt;"BR",ISNUMBER(M1419),N(M1419)&gt;0),IF(A1419="BL","Livré plus que commandé","Sorti plus que demandé"),"OK"))))))))))))</f>
        <v/>
      </c>
      <c r="Y1419" s="57" t="str">
        <f>IF(AND(OR(A1419="BL",A1419="BR",A1419="BS"),AG1419&gt;0,D1419&lt;&gt;""),A1419&amp;"|"&amp;AG1419&amp;"|"&amp;D1419&amp;"|"&amp;F1419,"")</f>
        <v/>
      </c>
      <c r="Z1419" s="57" t="str">
        <f>IF(Y1419="","",IF(COUNTIF(Y$6:Y1418,Y1419)=0,1,0))</f>
        <v/>
      </c>
      <c r="AA1419" s="57" t="str">
        <f>IF(Y1419="","",IF(Z1419=1,COUNTIFS(A$6:A1419,A1419,Z$6:Z1419,1),INDEX(AA$6:AA1418,MATCH(Y1419,Y$6:Y1418,0))))</f>
        <v/>
      </c>
      <c r="AB1419" s="57" t="str">
        <f>IF(B1419="","",COUNTIF(B$6:B1419,B1419))</f>
        <v/>
      </c>
      <c r="AC1419" s="57" t="str">
        <f>IF(B1419="","",B1419&amp;"#"&amp;AB1419)</f>
        <v/>
      </c>
      <c r="AD1419" s="57" t="str">
        <f>IF(Z1419=1,A1419&amp;AA1419,"")</f>
        <v/>
      </c>
      <c r="AE1419" s="57" t="str">
        <f>IF(B1419="","",YEAR(C1419))</f>
        <v/>
      </c>
      <c r="AF1419" s="57" t="str">
        <f>IF(B1419="","",MONTH(C1419))</f>
        <v/>
      </c>
      <c r="AG1419" s="57">
        <f>IF(ISNUMBER(C1419),C1419,0)</f>
        <v>0.0</v>
      </c>
      <c r="AH1419" s="57" t="str">
        <f>IF(N(W1419)&gt;0,COUNTIF(W$6:W1419,"&gt;0"),"")</f>
        <v/>
      </c>
      <c r="AI1419" s="57" t="str">
        <f>IF(Z1419=1,COUNTIF(Z$6:Z1419,1),"")</f>
        <v/>
      </c>
    </row>
    <row r="1420">
      <c r="A1420" s="54" t="n"/>
      <c r="B1420" s="55" t="str">
        <f>IF(AA1420="","",A1420&amp;"-"&amp;RIGHT("000"&amp;AA1420,4))</f>
        <v/>
      </c>
      <c r="C1420" s="56" t="n"/>
      <c r="D1420" s="54" t="n"/>
      <c r="E1420" s="57" t="str">
        <f>IF(D1420="","",IF(A1420="BL",IFERROR(INDEX(cl_name,MATCH(D1420,cl_code,0))&amp;"","Client inconnu"),IF(A1420="BR",IFERROR(INDEX(fo_name,MATCH(D1420,fo_code,0))&amp;"","Fournisseur inconnu"),IF(A1420="BS",IF(ISNA(MATCH(D1420,p_services,0)),"Service inconnu",D1420&amp;""),""))))</f>
        <v/>
      </c>
      <c r="F1420" s="58" t="n"/>
      <c r="G1420" s="58" t="n"/>
      <c r="H1420" s="59" t="n"/>
      <c r="I1420" s="57" t="str">
        <f>IF(H1420="","",IFERROR(INDEX(art_des,MATCH(H1420,art_ref,0))&amp;"","Article inconnu"))</f>
        <v/>
      </c>
      <c r="J1420" s="60" t="str">
        <f>IF(H1420="","",IFERROR(INDEX(art_unit,MATCH(H1420,art_ref,0))&amp;"",""))</f>
        <v/>
      </c>
      <c r="K1420" s="59" t="n"/>
      <c r="L1420" s="59" t="n"/>
      <c r="M1420" s="61" t="str">
        <f>IF(OR(B1420="",NOT(ISNUMBER(K1420)),NOT(ISNUMBER(L1420))),"",IF(OR(K1420&lt;=0,L1420&lt;=0),"",ROUND(L1420-K1420,6)))</f>
        <v/>
      </c>
      <c r="N1420" s="58" t="n"/>
      <c r="O1420" s="62" t="n"/>
      <c r="P1420" s="63" t="str">
        <f>IF(OR(B1420="",NOT(ISNUMBER(L1420))),"",IF(L1420&lt;=0,"",IFERROR(ROUND(L1420*N(INDEX(art_w,MATCH(H1420,art_ref,0))),3),"")))</f>
        <v/>
      </c>
      <c r="Q1420" s="59" t="n"/>
      <c r="R1420" s="54" t="n"/>
      <c r="S1420" s="59" t="n"/>
      <c r="T1420" s="59" t="n"/>
      <c r="U1420" s="64" t="str">
        <f>IF(OR(B1420="",H1420=""),"",IFERROR(IF(A1420="BL",IF(N(INDEX(art_price,MATCH(H1420,art_ref,0)))=0,"",N(INDEX(art_price,MATCH(H1420,art_ref,0)))),IF(N(INDEX(art_cost,MATCH(H1420,art_ref,0)))=0,"",N(INDEX(art_cost,MATCH(H1420,art_ref,0))))),""))</f>
        <v/>
      </c>
      <c r="V1420" s="64" t="str">
        <f>IF(OR(U1420="",NOT(ISNUMBER(L1420))),"",IF(L1420&lt;=0,"",ROUND(L1420*U1420,2)))</f>
        <v/>
      </c>
      <c r="W1420" s="60" t="str">
        <f>IF(AND(B1420&lt;&gt;"",A1420&lt;&gt;"BS",F1420&lt;&gt;"",H1420&lt;&gt;"",ISNUMBER(K1420),ISNUMBER(L1420)),IF(AND(K1420&gt;0,L1420&gt;0,K1420-L1420&gt;0,COUNTIFS(A1421:A$2005,A1420,F1421:F$2005,F1420,H1421:H$2005,H1420,AA1421:AA$2005,"&gt;0")=0),ROUND(K1420-L1420,6),""),"")</f>
        <v/>
      </c>
      <c r="X1420" s="60" t="str">
        <f>IF(AND(A1420="",C1420="",D1420="",H1420="",L1420=""),"",IF(A1420="","Type manquant",IF(AND(A1420&lt;&gt;"BL",A1420&lt;&gt;"BR",A1420&lt;&gt;"BS"),"Type inconnu (BL, BR ou BS)",IF(AG1420=0,"Date manquante ou invalide",IF(D1420="",IF(A1420="BL","Client manquant",IF(A1420="BR","Fournisseur manquant","Service manquant")),IF(IF(A1420="BL",ISNA(MATCH(D1420,cl_code,0)),IF(A1420="BR",ISNA(MATCH(D1420,fo_code,0)),ISNA(MATCH(D1420,p_services,0)))),IF(A1420="BL","Client inconnu",IF(A1420="BR","Fournisseur inconnu","Service inconnu")),IF(H1420="","Article manquant",IF(ISNA(MATCH(H1420,art_ref,0)),"Article inconnu",IF(OR(NOT(ISNUMBER(L1420)),N(L1420)&lt;=0),"Quantité invalide",IF(AND(K1420&lt;&gt;"",OR(NOT(ISNUMBER(K1420)),N(K1420)&lt;=0)),"Qté commandée invalide",IF(AG1420&lt;SUMPRODUCT(MAX((A$6:A1419=A1420)*AG$6:AG1419)),"Date antérieure au bon précédent",IF(AND(A1420&lt;&gt;"BR",ISNUMBER(M1420),N(M1420)&gt;0),IF(A1420="BL","Livré plus que commandé","Sorti plus que demandé"),"OK"))))))))))))</f>
        <v/>
      </c>
      <c r="Y1420" s="57" t="str">
        <f>IF(AND(OR(A1420="BL",A1420="BR",A1420="BS"),AG1420&gt;0,D1420&lt;&gt;""),A1420&amp;"|"&amp;AG1420&amp;"|"&amp;D1420&amp;"|"&amp;F1420,"")</f>
        <v/>
      </c>
      <c r="Z1420" s="57" t="str">
        <f>IF(Y1420="","",IF(COUNTIF(Y$6:Y1419,Y1420)=0,1,0))</f>
        <v/>
      </c>
      <c r="AA1420" s="57" t="str">
        <f>IF(Y1420="","",IF(Z1420=1,COUNTIFS(A$6:A1420,A1420,Z$6:Z1420,1),INDEX(AA$6:AA1419,MATCH(Y1420,Y$6:Y1419,0))))</f>
        <v/>
      </c>
      <c r="AB1420" s="57" t="str">
        <f>IF(B1420="","",COUNTIF(B$6:B1420,B1420))</f>
        <v/>
      </c>
      <c r="AC1420" s="57" t="str">
        <f>IF(B1420="","",B1420&amp;"#"&amp;AB1420)</f>
        <v/>
      </c>
      <c r="AD1420" s="57" t="str">
        <f>IF(Z1420=1,A1420&amp;AA1420,"")</f>
        <v/>
      </c>
      <c r="AE1420" s="57" t="str">
        <f>IF(B1420="","",YEAR(C1420))</f>
        <v/>
      </c>
      <c r="AF1420" s="57" t="str">
        <f>IF(B1420="","",MONTH(C1420))</f>
        <v/>
      </c>
      <c r="AG1420" s="57">
        <f>IF(ISNUMBER(C1420),C1420,0)</f>
        <v>0.0</v>
      </c>
      <c r="AH1420" s="57" t="str">
        <f>IF(N(W1420)&gt;0,COUNTIF(W$6:W1420,"&gt;0"),"")</f>
        <v/>
      </c>
      <c r="AI1420" s="57" t="str">
        <f>IF(Z1420=1,COUNTIF(Z$6:Z1420,1),"")</f>
        <v/>
      </c>
    </row>
    <row r="1421">
      <c r="A1421" s="54" t="n"/>
      <c r="B1421" s="55" t="str">
        <f>IF(AA1421="","",A1421&amp;"-"&amp;RIGHT("000"&amp;AA1421,4))</f>
        <v/>
      </c>
      <c r="C1421" s="56" t="n"/>
      <c r="D1421" s="54" t="n"/>
      <c r="E1421" s="57" t="str">
        <f>IF(D1421="","",IF(A1421="BL",IFERROR(INDEX(cl_name,MATCH(D1421,cl_code,0))&amp;"","Client inconnu"),IF(A1421="BR",IFERROR(INDEX(fo_name,MATCH(D1421,fo_code,0))&amp;"","Fournisseur inconnu"),IF(A1421="BS",IF(ISNA(MATCH(D1421,p_services,0)),"Service inconnu",D1421&amp;""),""))))</f>
        <v/>
      </c>
      <c r="F1421" s="58" t="n"/>
      <c r="G1421" s="58" t="n"/>
      <c r="H1421" s="59" t="n"/>
      <c r="I1421" s="57" t="str">
        <f>IF(H1421="","",IFERROR(INDEX(art_des,MATCH(H1421,art_ref,0))&amp;"","Article inconnu"))</f>
        <v/>
      </c>
      <c r="J1421" s="60" t="str">
        <f>IF(H1421="","",IFERROR(INDEX(art_unit,MATCH(H1421,art_ref,0))&amp;"",""))</f>
        <v/>
      </c>
      <c r="K1421" s="59" t="n"/>
      <c r="L1421" s="59" t="n"/>
      <c r="M1421" s="61" t="str">
        <f>IF(OR(B1421="",NOT(ISNUMBER(K1421)),NOT(ISNUMBER(L1421))),"",IF(OR(K1421&lt;=0,L1421&lt;=0),"",ROUND(L1421-K1421,6)))</f>
        <v/>
      </c>
      <c r="N1421" s="58" t="n"/>
      <c r="O1421" s="62" t="n"/>
      <c r="P1421" s="63" t="str">
        <f>IF(OR(B1421="",NOT(ISNUMBER(L1421))),"",IF(L1421&lt;=0,"",IFERROR(ROUND(L1421*N(INDEX(art_w,MATCH(H1421,art_ref,0))),3),"")))</f>
        <v/>
      </c>
      <c r="Q1421" s="59" t="n"/>
      <c r="R1421" s="54" t="n"/>
      <c r="S1421" s="59" t="n"/>
      <c r="T1421" s="59" t="n"/>
      <c r="U1421" s="64" t="str">
        <f>IF(OR(B1421="",H1421=""),"",IFERROR(IF(A1421="BL",IF(N(INDEX(art_price,MATCH(H1421,art_ref,0)))=0,"",N(INDEX(art_price,MATCH(H1421,art_ref,0)))),IF(N(INDEX(art_cost,MATCH(H1421,art_ref,0)))=0,"",N(INDEX(art_cost,MATCH(H1421,art_ref,0))))),""))</f>
        <v/>
      </c>
      <c r="V1421" s="64" t="str">
        <f>IF(OR(U1421="",NOT(ISNUMBER(L1421))),"",IF(L1421&lt;=0,"",ROUND(L1421*U1421,2)))</f>
        <v/>
      </c>
      <c r="W1421" s="60" t="str">
        <f>IF(AND(B1421&lt;&gt;"",A1421&lt;&gt;"BS",F1421&lt;&gt;"",H1421&lt;&gt;"",ISNUMBER(K1421),ISNUMBER(L1421)),IF(AND(K1421&gt;0,L1421&gt;0,K1421-L1421&gt;0,COUNTIFS(A1422:A$2005,A1421,F1422:F$2005,F1421,H1422:H$2005,H1421,AA1422:AA$2005,"&gt;0")=0),ROUND(K1421-L1421,6),""),"")</f>
        <v/>
      </c>
      <c r="X1421" s="60" t="str">
        <f>IF(AND(A1421="",C1421="",D1421="",H1421="",L1421=""),"",IF(A1421="","Type manquant",IF(AND(A1421&lt;&gt;"BL",A1421&lt;&gt;"BR",A1421&lt;&gt;"BS"),"Type inconnu (BL, BR ou BS)",IF(AG1421=0,"Date manquante ou invalide",IF(D1421="",IF(A1421="BL","Client manquant",IF(A1421="BR","Fournisseur manquant","Service manquant")),IF(IF(A1421="BL",ISNA(MATCH(D1421,cl_code,0)),IF(A1421="BR",ISNA(MATCH(D1421,fo_code,0)),ISNA(MATCH(D1421,p_services,0)))),IF(A1421="BL","Client inconnu",IF(A1421="BR","Fournisseur inconnu","Service inconnu")),IF(H1421="","Article manquant",IF(ISNA(MATCH(H1421,art_ref,0)),"Article inconnu",IF(OR(NOT(ISNUMBER(L1421)),N(L1421)&lt;=0),"Quantité invalide",IF(AND(K1421&lt;&gt;"",OR(NOT(ISNUMBER(K1421)),N(K1421)&lt;=0)),"Qté commandée invalide",IF(AG1421&lt;SUMPRODUCT(MAX((A$6:A1420=A1421)*AG$6:AG1420)),"Date antérieure au bon précédent",IF(AND(A1421&lt;&gt;"BR",ISNUMBER(M1421),N(M1421)&gt;0),IF(A1421="BL","Livré plus que commandé","Sorti plus que demandé"),"OK"))))))))))))</f>
        <v/>
      </c>
      <c r="Y1421" s="57" t="str">
        <f>IF(AND(OR(A1421="BL",A1421="BR",A1421="BS"),AG1421&gt;0,D1421&lt;&gt;""),A1421&amp;"|"&amp;AG1421&amp;"|"&amp;D1421&amp;"|"&amp;F1421,"")</f>
        <v/>
      </c>
      <c r="Z1421" s="57" t="str">
        <f>IF(Y1421="","",IF(COUNTIF(Y$6:Y1420,Y1421)=0,1,0))</f>
        <v/>
      </c>
      <c r="AA1421" s="57" t="str">
        <f>IF(Y1421="","",IF(Z1421=1,COUNTIFS(A$6:A1421,A1421,Z$6:Z1421,1),INDEX(AA$6:AA1420,MATCH(Y1421,Y$6:Y1420,0))))</f>
        <v/>
      </c>
      <c r="AB1421" s="57" t="str">
        <f>IF(B1421="","",COUNTIF(B$6:B1421,B1421))</f>
        <v/>
      </c>
      <c r="AC1421" s="57" t="str">
        <f>IF(B1421="","",B1421&amp;"#"&amp;AB1421)</f>
        <v/>
      </c>
      <c r="AD1421" s="57" t="str">
        <f>IF(Z1421=1,A1421&amp;AA1421,"")</f>
        <v/>
      </c>
      <c r="AE1421" s="57" t="str">
        <f>IF(B1421="","",YEAR(C1421))</f>
        <v/>
      </c>
      <c r="AF1421" s="57" t="str">
        <f>IF(B1421="","",MONTH(C1421))</f>
        <v/>
      </c>
      <c r="AG1421" s="57">
        <f>IF(ISNUMBER(C1421),C1421,0)</f>
        <v>0.0</v>
      </c>
      <c r="AH1421" s="57" t="str">
        <f>IF(N(W1421)&gt;0,COUNTIF(W$6:W1421,"&gt;0"),"")</f>
        <v/>
      </c>
      <c r="AI1421" s="57" t="str">
        <f>IF(Z1421=1,COUNTIF(Z$6:Z1421,1),"")</f>
        <v/>
      </c>
    </row>
    <row r="1422">
      <c r="A1422" s="54" t="n"/>
      <c r="B1422" s="55" t="str">
        <f>IF(AA1422="","",A1422&amp;"-"&amp;RIGHT("000"&amp;AA1422,4))</f>
        <v/>
      </c>
      <c r="C1422" s="56" t="n"/>
      <c r="D1422" s="54" t="n"/>
      <c r="E1422" s="57" t="str">
        <f>IF(D1422="","",IF(A1422="BL",IFERROR(INDEX(cl_name,MATCH(D1422,cl_code,0))&amp;"","Client inconnu"),IF(A1422="BR",IFERROR(INDEX(fo_name,MATCH(D1422,fo_code,0))&amp;"","Fournisseur inconnu"),IF(A1422="BS",IF(ISNA(MATCH(D1422,p_services,0)),"Service inconnu",D1422&amp;""),""))))</f>
        <v/>
      </c>
      <c r="F1422" s="58" t="n"/>
      <c r="G1422" s="58" t="n"/>
      <c r="H1422" s="59" t="n"/>
      <c r="I1422" s="57" t="str">
        <f>IF(H1422="","",IFERROR(INDEX(art_des,MATCH(H1422,art_ref,0))&amp;"","Article inconnu"))</f>
        <v/>
      </c>
      <c r="J1422" s="60" t="str">
        <f>IF(H1422="","",IFERROR(INDEX(art_unit,MATCH(H1422,art_ref,0))&amp;"",""))</f>
        <v/>
      </c>
      <c r="K1422" s="59" t="n"/>
      <c r="L1422" s="59" t="n"/>
      <c r="M1422" s="61" t="str">
        <f>IF(OR(B1422="",NOT(ISNUMBER(K1422)),NOT(ISNUMBER(L1422))),"",IF(OR(K1422&lt;=0,L1422&lt;=0),"",ROUND(L1422-K1422,6)))</f>
        <v/>
      </c>
      <c r="N1422" s="58" t="n"/>
      <c r="O1422" s="62" t="n"/>
      <c r="P1422" s="63" t="str">
        <f>IF(OR(B1422="",NOT(ISNUMBER(L1422))),"",IF(L1422&lt;=0,"",IFERROR(ROUND(L1422*N(INDEX(art_w,MATCH(H1422,art_ref,0))),3),"")))</f>
        <v/>
      </c>
      <c r="Q1422" s="59" t="n"/>
      <c r="R1422" s="54" t="n"/>
      <c r="S1422" s="59" t="n"/>
      <c r="T1422" s="59" t="n"/>
      <c r="U1422" s="64" t="str">
        <f>IF(OR(B1422="",H1422=""),"",IFERROR(IF(A1422="BL",IF(N(INDEX(art_price,MATCH(H1422,art_ref,0)))=0,"",N(INDEX(art_price,MATCH(H1422,art_ref,0)))),IF(N(INDEX(art_cost,MATCH(H1422,art_ref,0)))=0,"",N(INDEX(art_cost,MATCH(H1422,art_ref,0))))),""))</f>
        <v/>
      </c>
      <c r="V1422" s="64" t="str">
        <f>IF(OR(U1422="",NOT(ISNUMBER(L1422))),"",IF(L1422&lt;=0,"",ROUND(L1422*U1422,2)))</f>
        <v/>
      </c>
      <c r="W1422" s="60" t="str">
        <f>IF(AND(B1422&lt;&gt;"",A1422&lt;&gt;"BS",F1422&lt;&gt;"",H1422&lt;&gt;"",ISNUMBER(K1422),ISNUMBER(L1422)),IF(AND(K1422&gt;0,L1422&gt;0,K1422-L1422&gt;0,COUNTIFS(A1423:A$2005,A1422,F1423:F$2005,F1422,H1423:H$2005,H1422,AA1423:AA$2005,"&gt;0")=0),ROUND(K1422-L1422,6),""),"")</f>
        <v/>
      </c>
      <c r="X1422" s="60" t="str">
        <f>IF(AND(A1422="",C1422="",D1422="",H1422="",L1422=""),"",IF(A1422="","Type manquant",IF(AND(A1422&lt;&gt;"BL",A1422&lt;&gt;"BR",A1422&lt;&gt;"BS"),"Type inconnu (BL, BR ou BS)",IF(AG1422=0,"Date manquante ou invalide",IF(D1422="",IF(A1422="BL","Client manquant",IF(A1422="BR","Fournisseur manquant","Service manquant")),IF(IF(A1422="BL",ISNA(MATCH(D1422,cl_code,0)),IF(A1422="BR",ISNA(MATCH(D1422,fo_code,0)),ISNA(MATCH(D1422,p_services,0)))),IF(A1422="BL","Client inconnu",IF(A1422="BR","Fournisseur inconnu","Service inconnu")),IF(H1422="","Article manquant",IF(ISNA(MATCH(H1422,art_ref,0)),"Article inconnu",IF(OR(NOT(ISNUMBER(L1422)),N(L1422)&lt;=0),"Quantité invalide",IF(AND(K1422&lt;&gt;"",OR(NOT(ISNUMBER(K1422)),N(K1422)&lt;=0)),"Qté commandée invalide",IF(AG1422&lt;SUMPRODUCT(MAX((A$6:A1421=A1422)*AG$6:AG1421)),"Date antérieure au bon précédent",IF(AND(A1422&lt;&gt;"BR",ISNUMBER(M1422),N(M1422)&gt;0),IF(A1422="BL","Livré plus que commandé","Sorti plus que demandé"),"OK"))))))))))))</f>
        <v/>
      </c>
      <c r="Y1422" s="57" t="str">
        <f>IF(AND(OR(A1422="BL",A1422="BR",A1422="BS"),AG1422&gt;0,D1422&lt;&gt;""),A1422&amp;"|"&amp;AG1422&amp;"|"&amp;D1422&amp;"|"&amp;F1422,"")</f>
        <v/>
      </c>
      <c r="Z1422" s="57" t="str">
        <f>IF(Y1422="","",IF(COUNTIF(Y$6:Y1421,Y1422)=0,1,0))</f>
        <v/>
      </c>
      <c r="AA1422" s="57" t="str">
        <f>IF(Y1422="","",IF(Z1422=1,COUNTIFS(A$6:A1422,A1422,Z$6:Z1422,1),INDEX(AA$6:AA1421,MATCH(Y1422,Y$6:Y1421,0))))</f>
        <v/>
      </c>
      <c r="AB1422" s="57" t="str">
        <f>IF(B1422="","",COUNTIF(B$6:B1422,B1422))</f>
        <v/>
      </c>
      <c r="AC1422" s="57" t="str">
        <f>IF(B1422="","",B1422&amp;"#"&amp;AB1422)</f>
        <v/>
      </c>
      <c r="AD1422" s="57" t="str">
        <f>IF(Z1422=1,A1422&amp;AA1422,"")</f>
        <v/>
      </c>
      <c r="AE1422" s="57" t="str">
        <f>IF(B1422="","",YEAR(C1422))</f>
        <v/>
      </c>
      <c r="AF1422" s="57" t="str">
        <f>IF(B1422="","",MONTH(C1422))</f>
        <v/>
      </c>
      <c r="AG1422" s="57">
        <f>IF(ISNUMBER(C1422),C1422,0)</f>
        <v>0.0</v>
      </c>
      <c r="AH1422" s="57" t="str">
        <f>IF(N(W1422)&gt;0,COUNTIF(W$6:W1422,"&gt;0"),"")</f>
        <v/>
      </c>
      <c r="AI1422" s="57" t="str">
        <f>IF(Z1422=1,COUNTIF(Z$6:Z1422,1),"")</f>
        <v/>
      </c>
    </row>
    <row r="1423">
      <c r="A1423" s="54" t="n"/>
      <c r="B1423" s="55" t="str">
        <f>IF(AA1423="","",A1423&amp;"-"&amp;RIGHT("000"&amp;AA1423,4))</f>
        <v/>
      </c>
      <c r="C1423" s="56" t="n"/>
      <c r="D1423" s="54" t="n"/>
      <c r="E1423" s="57" t="str">
        <f>IF(D1423="","",IF(A1423="BL",IFERROR(INDEX(cl_name,MATCH(D1423,cl_code,0))&amp;"","Client inconnu"),IF(A1423="BR",IFERROR(INDEX(fo_name,MATCH(D1423,fo_code,0))&amp;"","Fournisseur inconnu"),IF(A1423="BS",IF(ISNA(MATCH(D1423,p_services,0)),"Service inconnu",D1423&amp;""),""))))</f>
        <v/>
      </c>
      <c r="F1423" s="58" t="n"/>
      <c r="G1423" s="58" t="n"/>
      <c r="H1423" s="59" t="n"/>
      <c r="I1423" s="57" t="str">
        <f>IF(H1423="","",IFERROR(INDEX(art_des,MATCH(H1423,art_ref,0))&amp;"","Article inconnu"))</f>
        <v/>
      </c>
      <c r="J1423" s="60" t="str">
        <f>IF(H1423="","",IFERROR(INDEX(art_unit,MATCH(H1423,art_ref,0))&amp;"",""))</f>
        <v/>
      </c>
      <c r="K1423" s="59" t="n"/>
      <c r="L1423" s="59" t="n"/>
      <c r="M1423" s="61" t="str">
        <f>IF(OR(B1423="",NOT(ISNUMBER(K1423)),NOT(ISNUMBER(L1423))),"",IF(OR(K1423&lt;=0,L1423&lt;=0),"",ROUND(L1423-K1423,6)))</f>
        <v/>
      </c>
      <c r="N1423" s="58" t="n"/>
      <c r="O1423" s="62" t="n"/>
      <c r="P1423" s="63" t="str">
        <f>IF(OR(B1423="",NOT(ISNUMBER(L1423))),"",IF(L1423&lt;=0,"",IFERROR(ROUND(L1423*N(INDEX(art_w,MATCH(H1423,art_ref,0))),3),"")))</f>
        <v/>
      </c>
      <c r="Q1423" s="59" t="n"/>
      <c r="R1423" s="54" t="n"/>
      <c r="S1423" s="59" t="n"/>
      <c r="T1423" s="59" t="n"/>
      <c r="U1423" s="64" t="str">
        <f>IF(OR(B1423="",H1423=""),"",IFERROR(IF(A1423="BL",IF(N(INDEX(art_price,MATCH(H1423,art_ref,0)))=0,"",N(INDEX(art_price,MATCH(H1423,art_ref,0)))),IF(N(INDEX(art_cost,MATCH(H1423,art_ref,0)))=0,"",N(INDEX(art_cost,MATCH(H1423,art_ref,0))))),""))</f>
        <v/>
      </c>
      <c r="V1423" s="64" t="str">
        <f>IF(OR(U1423="",NOT(ISNUMBER(L1423))),"",IF(L1423&lt;=0,"",ROUND(L1423*U1423,2)))</f>
        <v/>
      </c>
      <c r="W1423" s="60" t="str">
        <f>IF(AND(B1423&lt;&gt;"",A1423&lt;&gt;"BS",F1423&lt;&gt;"",H1423&lt;&gt;"",ISNUMBER(K1423),ISNUMBER(L1423)),IF(AND(K1423&gt;0,L1423&gt;0,K1423-L1423&gt;0,COUNTIFS(A1424:A$2005,A1423,F1424:F$2005,F1423,H1424:H$2005,H1423,AA1424:AA$2005,"&gt;0")=0),ROUND(K1423-L1423,6),""),"")</f>
        <v/>
      </c>
      <c r="X1423" s="60" t="str">
        <f>IF(AND(A1423="",C1423="",D1423="",H1423="",L1423=""),"",IF(A1423="","Type manquant",IF(AND(A1423&lt;&gt;"BL",A1423&lt;&gt;"BR",A1423&lt;&gt;"BS"),"Type inconnu (BL, BR ou BS)",IF(AG1423=0,"Date manquante ou invalide",IF(D1423="",IF(A1423="BL","Client manquant",IF(A1423="BR","Fournisseur manquant","Service manquant")),IF(IF(A1423="BL",ISNA(MATCH(D1423,cl_code,0)),IF(A1423="BR",ISNA(MATCH(D1423,fo_code,0)),ISNA(MATCH(D1423,p_services,0)))),IF(A1423="BL","Client inconnu",IF(A1423="BR","Fournisseur inconnu","Service inconnu")),IF(H1423="","Article manquant",IF(ISNA(MATCH(H1423,art_ref,0)),"Article inconnu",IF(OR(NOT(ISNUMBER(L1423)),N(L1423)&lt;=0),"Quantité invalide",IF(AND(K1423&lt;&gt;"",OR(NOT(ISNUMBER(K1423)),N(K1423)&lt;=0)),"Qté commandée invalide",IF(AG1423&lt;SUMPRODUCT(MAX((A$6:A1422=A1423)*AG$6:AG1422)),"Date antérieure au bon précédent",IF(AND(A1423&lt;&gt;"BR",ISNUMBER(M1423),N(M1423)&gt;0),IF(A1423="BL","Livré plus que commandé","Sorti plus que demandé"),"OK"))))))))))))</f>
        <v/>
      </c>
      <c r="Y1423" s="57" t="str">
        <f>IF(AND(OR(A1423="BL",A1423="BR",A1423="BS"),AG1423&gt;0,D1423&lt;&gt;""),A1423&amp;"|"&amp;AG1423&amp;"|"&amp;D1423&amp;"|"&amp;F1423,"")</f>
        <v/>
      </c>
      <c r="Z1423" s="57" t="str">
        <f>IF(Y1423="","",IF(COUNTIF(Y$6:Y1422,Y1423)=0,1,0))</f>
        <v/>
      </c>
      <c r="AA1423" s="57" t="str">
        <f>IF(Y1423="","",IF(Z1423=1,COUNTIFS(A$6:A1423,A1423,Z$6:Z1423,1),INDEX(AA$6:AA1422,MATCH(Y1423,Y$6:Y1422,0))))</f>
        <v/>
      </c>
      <c r="AB1423" s="57" t="str">
        <f>IF(B1423="","",COUNTIF(B$6:B1423,B1423))</f>
        <v/>
      </c>
      <c r="AC1423" s="57" t="str">
        <f>IF(B1423="","",B1423&amp;"#"&amp;AB1423)</f>
        <v/>
      </c>
      <c r="AD1423" s="57" t="str">
        <f>IF(Z1423=1,A1423&amp;AA1423,"")</f>
        <v/>
      </c>
      <c r="AE1423" s="57" t="str">
        <f>IF(B1423="","",YEAR(C1423))</f>
        <v/>
      </c>
      <c r="AF1423" s="57" t="str">
        <f>IF(B1423="","",MONTH(C1423))</f>
        <v/>
      </c>
      <c r="AG1423" s="57">
        <f>IF(ISNUMBER(C1423),C1423,0)</f>
        <v>0.0</v>
      </c>
      <c r="AH1423" s="57" t="str">
        <f>IF(N(W1423)&gt;0,COUNTIF(W$6:W1423,"&gt;0"),"")</f>
        <v/>
      </c>
      <c r="AI1423" s="57" t="str">
        <f>IF(Z1423=1,COUNTIF(Z$6:Z1423,1),"")</f>
        <v/>
      </c>
    </row>
    <row r="1424">
      <c r="A1424" s="54" t="n"/>
      <c r="B1424" s="55" t="str">
        <f>IF(AA1424="","",A1424&amp;"-"&amp;RIGHT("000"&amp;AA1424,4))</f>
        <v/>
      </c>
      <c r="C1424" s="56" t="n"/>
      <c r="D1424" s="54" t="n"/>
      <c r="E1424" s="57" t="str">
        <f>IF(D1424="","",IF(A1424="BL",IFERROR(INDEX(cl_name,MATCH(D1424,cl_code,0))&amp;"","Client inconnu"),IF(A1424="BR",IFERROR(INDEX(fo_name,MATCH(D1424,fo_code,0))&amp;"","Fournisseur inconnu"),IF(A1424="BS",IF(ISNA(MATCH(D1424,p_services,0)),"Service inconnu",D1424&amp;""),""))))</f>
        <v/>
      </c>
      <c r="F1424" s="58" t="n"/>
      <c r="G1424" s="58" t="n"/>
      <c r="H1424" s="59" t="n"/>
      <c r="I1424" s="57" t="str">
        <f>IF(H1424="","",IFERROR(INDEX(art_des,MATCH(H1424,art_ref,0))&amp;"","Article inconnu"))</f>
        <v/>
      </c>
      <c r="J1424" s="60" t="str">
        <f>IF(H1424="","",IFERROR(INDEX(art_unit,MATCH(H1424,art_ref,0))&amp;"",""))</f>
        <v/>
      </c>
      <c r="K1424" s="59" t="n"/>
      <c r="L1424" s="59" t="n"/>
      <c r="M1424" s="61" t="str">
        <f>IF(OR(B1424="",NOT(ISNUMBER(K1424)),NOT(ISNUMBER(L1424))),"",IF(OR(K1424&lt;=0,L1424&lt;=0),"",ROUND(L1424-K1424,6)))</f>
        <v/>
      </c>
      <c r="N1424" s="58" t="n"/>
      <c r="O1424" s="62" t="n"/>
      <c r="P1424" s="63" t="str">
        <f>IF(OR(B1424="",NOT(ISNUMBER(L1424))),"",IF(L1424&lt;=0,"",IFERROR(ROUND(L1424*N(INDEX(art_w,MATCH(H1424,art_ref,0))),3),"")))</f>
        <v/>
      </c>
      <c r="Q1424" s="59" t="n"/>
      <c r="R1424" s="54" t="n"/>
      <c r="S1424" s="59" t="n"/>
      <c r="T1424" s="59" t="n"/>
      <c r="U1424" s="64" t="str">
        <f>IF(OR(B1424="",H1424=""),"",IFERROR(IF(A1424="BL",IF(N(INDEX(art_price,MATCH(H1424,art_ref,0)))=0,"",N(INDEX(art_price,MATCH(H1424,art_ref,0)))),IF(N(INDEX(art_cost,MATCH(H1424,art_ref,0)))=0,"",N(INDEX(art_cost,MATCH(H1424,art_ref,0))))),""))</f>
        <v/>
      </c>
      <c r="V1424" s="64" t="str">
        <f>IF(OR(U1424="",NOT(ISNUMBER(L1424))),"",IF(L1424&lt;=0,"",ROUND(L1424*U1424,2)))</f>
        <v/>
      </c>
      <c r="W1424" s="60" t="str">
        <f>IF(AND(B1424&lt;&gt;"",A1424&lt;&gt;"BS",F1424&lt;&gt;"",H1424&lt;&gt;"",ISNUMBER(K1424),ISNUMBER(L1424)),IF(AND(K1424&gt;0,L1424&gt;0,K1424-L1424&gt;0,COUNTIFS(A1425:A$2005,A1424,F1425:F$2005,F1424,H1425:H$2005,H1424,AA1425:AA$2005,"&gt;0")=0),ROUND(K1424-L1424,6),""),"")</f>
        <v/>
      </c>
      <c r="X1424" s="60" t="str">
        <f>IF(AND(A1424="",C1424="",D1424="",H1424="",L1424=""),"",IF(A1424="","Type manquant",IF(AND(A1424&lt;&gt;"BL",A1424&lt;&gt;"BR",A1424&lt;&gt;"BS"),"Type inconnu (BL, BR ou BS)",IF(AG1424=0,"Date manquante ou invalide",IF(D1424="",IF(A1424="BL","Client manquant",IF(A1424="BR","Fournisseur manquant","Service manquant")),IF(IF(A1424="BL",ISNA(MATCH(D1424,cl_code,0)),IF(A1424="BR",ISNA(MATCH(D1424,fo_code,0)),ISNA(MATCH(D1424,p_services,0)))),IF(A1424="BL","Client inconnu",IF(A1424="BR","Fournisseur inconnu","Service inconnu")),IF(H1424="","Article manquant",IF(ISNA(MATCH(H1424,art_ref,0)),"Article inconnu",IF(OR(NOT(ISNUMBER(L1424)),N(L1424)&lt;=0),"Quantité invalide",IF(AND(K1424&lt;&gt;"",OR(NOT(ISNUMBER(K1424)),N(K1424)&lt;=0)),"Qté commandée invalide",IF(AG1424&lt;SUMPRODUCT(MAX((A$6:A1423=A1424)*AG$6:AG1423)),"Date antérieure au bon précédent",IF(AND(A1424&lt;&gt;"BR",ISNUMBER(M1424),N(M1424)&gt;0),IF(A1424="BL","Livré plus que commandé","Sorti plus que demandé"),"OK"))))))))))))</f>
        <v/>
      </c>
      <c r="Y1424" s="57" t="str">
        <f>IF(AND(OR(A1424="BL",A1424="BR",A1424="BS"),AG1424&gt;0,D1424&lt;&gt;""),A1424&amp;"|"&amp;AG1424&amp;"|"&amp;D1424&amp;"|"&amp;F1424,"")</f>
        <v/>
      </c>
      <c r="Z1424" s="57" t="str">
        <f>IF(Y1424="","",IF(COUNTIF(Y$6:Y1423,Y1424)=0,1,0))</f>
        <v/>
      </c>
      <c r="AA1424" s="57" t="str">
        <f>IF(Y1424="","",IF(Z1424=1,COUNTIFS(A$6:A1424,A1424,Z$6:Z1424,1),INDEX(AA$6:AA1423,MATCH(Y1424,Y$6:Y1423,0))))</f>
        <v/>
      </c>
      <c r="AB1424" s="57" t="str">
        <f>IF(B1424="","",COUNTIF(B$6:B1424,B1424))</f>
        <v/>
      </c>
      <c r="AC1424" s="57" t="str">
        <f>IF(B1424="","",B1424&amp;"#"&amp;AB1424)</f>
        <v/>
      </c>
      <c r="AD1424" s="57" t="str">
        <f>IF(Z1424=1,A1424&amp;AA1424,"")</f>
        <v/>
      </c>
      <c r="AE1424" s="57" t="str">
        <f>IF(B1424="","",YEAR(C1424))</f>
        <v/>
      </c>
      <c r="AF1424" s="57" t="str">
        <f>IF(B1424="","",MONTH(C1424))</f>
        <v/>
      </c>
      <c r="AG1424" s="57">
        <f>IF(ISNUMBER(C1424),C1424,0)</f>
        <v>0.0</v>
      </c>
      <c r="AH1424" s="57" t="str">
        <f>IF(N(W1424)&gt;0,COUNTIF(W$6:W1424,"&gt;0"),"")</f>
        <v/>
      </c>
      <c r="AI1424" s="57" t="str">
        <f>IF(Z1424=1,COUNTIF(Z$6:Z1424,1),"")</f>
        <v/>
      </c>
    </row>
    <row r="1425">
      <c r="A1425" s="54" t="n"/>
      <c r="B1425" s="55" t="str">
        <f>IF(AA1425="","",A1425&amp;"-"&amp;RIGHT("000"&amp;AA1425,4))</f>
        <v/>
      </c>
      <c r="C1425" s="56" t="n"/>
      <c r="D1425" s="54" t="n"/>
      <c r="E1425" s="57" t="str">
        <f>IF(D1425="","",IF(A1425="BL",IFERROR(INDEX(cl_name,MATCH(D1425,cl_code,0))&amp;"","Client inconnu"),IF(A1425="BR",IFERROR(INDEX(fo_name,MATCH(D1425,fo_code,0))&amp;"","Fournisseur inconnu"),IF(A1425="BS",IF(ISNA(MATCH(D1425,p_services,0)),"Service inconnu",D1425&amp;""),""))))</f>
        <v/>
      </c>
      <c r="F1425" s="58" t="n"/>
      <c r="G1425" s="58" t="n"/>
      <c r="H1425" s="59" t="n"/>
      <c r="I1425" s="57" t="str">
        <f>IF(H1425="","",IFERROR(INDEX(art_des,MATCH(H1425,art_ref,0))&amp;"","Article inconnu"))</f>
        <v/>
      </c>
      <c r="J1425" s="60" t="str">
        <f>IF(H1425="","",IFERROR(INDEX(art_unit,MATCH(H1425,art_ref,0))&amp;"",""))</f>
        <v/>
      </c>
      <c r="K1425" s="59" t="n"/>
      <c r="L1425" s="59" t="n"/>
      <c r="M1425" s="61" t="str">
        <f>IF(OR(B1425="",NOT(ISNUMBER(K1425)),NOT(ISNUMBER(L1425))),"",IF(OR(K1425&lt;=0,L1425&lt;=0),"",ROUND(L1425-K1425,6)))</f>
        <v/>
      </c>
      <c r="N1425" s="58" t="n"/>
      <c r="O1425" s="62" t="n"/>
      <c r="P1425" s="63" t="str">
        <f>IF(OR(B1425="",NOT(ISNUMBER(L1425))),"",IF(L1425&lt;=0,"",IFERROR(ROUND(L1425*N(INDEX(art_w,MATCH(H1425,art_ref,0))),3),"")))</f>
        <v/>
      </c>
      <c r="Q1425" s="59" t="n"/>
      <c r="R1425" s="54" t="n"/>
      <c r="S1425" s="59" t="n"/>
      <c r="T1425" s="59" t="n"/>
      <c r="U1425" s="64" t="str">
        <f>IF(OR(B1425="",H1425=""),"",IFERROR(IF(A1425="BL",IF(N(INDEX(art_price,MATCH(H1425,art_ref,0)))=0,"",N(INDEX(art_price,MATCH(H1425,art_ref,0)))),IF(N(INDEX(art_cost,MATCH(H1425,art_ref,0)))=0,"",N(INDEX(art_cost,MATCH(H1425,art_ref,0))))),""))</f>
        <v/>
      </c>
      <c r="V1425" s="64" t="str">
        <f>IF(OR(U1425="",NOT(ISNUMBER(L1425))),"",IF(L1425&lt;=0,"",ROUND(L1425*U1425,2)))</f>
        <v/>
      </c>
      <c r="W1425" s="60" t="str">
        <f>IF(AND(B1425&lt;&gt;"",A1425&lt;&gt;"BS",F1425&lt;&gt;"",H1425&lt;&gt;"",ISNUMBER(K1425),ISNUMBER(L1425)),IF(AND(K1425&gt;0,L1425&gt;0,K1425-L1425&gt;0,COUNTIFS(A1426:A$2005,A1425,F1426:F$2005,F1425,H1426:H$2005,H1425,AA1426:AA$2005,"&gt;0")=0),ROUND(K1425-L1425,6),""),"")</f>
        <v/>
      </c>
      <c r="X1425" s="60" t="str">
        <f>IF(AND(A1425="",C1425="",D1425="",H1425="",L1425=""),"",IF(A1425="","Type manquant",IF(AND(A1425&lt;&gt;"BL",A1425&lt;&gt;"BR",A1425&lt;&gt;"BS"),"Type inconnu (BL, BR ou BS)",IF(AG1425=0,"Date manquante ou invalide",IF(D1425="",IF(A1425="BL","Client manquant",IF(A1425="BR","Fournisseur manquant","Service manquant")),IF(IF(A1425="BL",ISNA(MATCH(D1425,cl_code,0)),IF(A1425="BR",ISNA(MATCH(D1425,fo_code,0)),ISNA(MATCH(D1425,p_services,0)))),IF(A1425="BL","Client inconnu",IF(A1425="BR","Fournisseur inconnu","Service inconnu")),IF(H1425="","Article manquant",IF(ISNA(MATCH(H1425,art_ref,0)),"Article inconnu",IF(OR(NOT(ISNUMBER(L1425)),N(L1425)&lt;=0),"Quantité invalide",IF(AND(K1425&lt;&gt;"",OR(NOT(ISNUMBER(K1425)),N(K1425)&lt;=0)),"Qté commandée invalide",IF(AG1425&lt;SUMPRODUCT(MAX((A$6:A1424=A1425)*AG$6:AG1424)),"Date antérieure au bon précédent",IF(AND(A1425&lt;&gt;"BR",ISNUMBER(M1425),N(M1425)&gt;0),IF(A1425="BL","Livré plus que commandé","Sorti plus que demandé"),"OK"))))))))))))</f>
        <v/>
      </c>
      <c r="Y1425" s="57" t="str">
        <f>IF(AND(OR(A1425="BL",A1425="BR",A1425="BS"),AG1425&gt;0,D1425&lt;&gt;""),A1425&amp;"|"&amp;AG1425&amp;"|"&amp;D1425&amp;"|"&amp;F1425,"")</f>
        <v/>
      </c>
      <c r="Z1425" s="57" t="str">
        <f>IF(Y1425="","",IF(COUNTIF(Y$6:Y1424,Y1425)=0,1,0))</f>
        <v/>
      </c>
      <c r="AA1425" s="57" t="str">
        <f>IF(Y1425="","",IF(Z1425=1,COUNTIFS(A$6:A1425,A1425,Z$6:Z1425,1),INDEX(AA$6:AA1424,MATCH(Y1425,Y$6:Y1424,0))))</f>
        <v/>
      </c>
      <c r="AB1425" s="57" t="str">
        <f>IF(B1425="","",COUNTIF(B$6:B1425,B1425))</f>
        <v/>
      </c>
      <c r="AC1425" s="57" t="str">
        <f>IF(B1425="","",B1425&amp;"#"&amp;AB1425)</f>
        <v/>
      </c>
      <c r="AD1425" s="57" t="str">
        <f>IF(Z1425=1,A1425&amp;AA1425,"")</f>
        <v/>
      </c>
      <c r="AE1425" s="57" t="str">
        <f>IF(B1425="","",YEAR(C1425))</f>
        <v/>
      </c>
      <c r="AF1425" s="57" t="str">
        <f>IF(B1425="","",MONTH(C1425))</f>
        <v/>
      </c>
      <c r="AG1425" s="57">
        <f>IF(ISNUMBER(C1425),C1425,0)</f>
        <v>0.0</v>
      </c>
      <c r="AH1425" s="57" t="str">
        <f>IF(N(W1425)&gt;0,COUNTIF(W$6:W1425,"&gt;0"),"")</f>
        <v/>
      </c>
      <c r="AI1425" s="57" t="str">
        <f>IF(Z1425=1,COUNTIF(Z$6:Z1425,1),"")</f>
        <v/>
      </c>
    </row>
    <row r="1426">
      <c r="A1426" s="54" t="n"/>
      <c r="B1426" s="55" t="str">
        <f>IF(AA1426="","",A1426&amp;"-"&amp;RIGHT("000"&amp;AA1426,4))</f>
        <v/>
      </c>
      <c r="C1426" s="56" t="n"/>
      <c r="D1426" s="54" t="n"/>
      <c r="E1426" s="57" t="str">
        <f>IF(D1426="","",IF(A1426="BL",IFERROR(INDEX(cl_name,MATCH(D1426,cl_code,0))&amp;"","Client inconnu"),IF(A1426="BR",IFERROR(INDEX(fo_name,MATCH(D1426,fo_code,0))&amp;"","Fournisseur inconnu"),IF(A1426="BS",IF(ISNA(MATCH(D1426,p_services,0)),"Service inconnu",D1426&amp;""),""))))</f>
        <v/>
      </c>
      <c r="F1426" s="58" t="n"/>
      <c r="G1426" s="58" t="n"/>
      <c r="H1426" s="59" t="n"/>
      <c r="I1426" s="57" t="str">
        <f>IF(H1426="","",IFERROR(INDEX(art_des,MATCH(H1426,art_ref,0))&amp;"","Article inconnu"))</f>
        <v/>
      </c>
      <c r="J1426" s="60" t="str">
        <f>IF(H1426="","",IFERROR(INDEX(art_unit,MATCH(H1426,art_ref,0))&amp;"",""))</f>
        <v/>
      </c>
      <c r="K1426" s="59" t="n"/>
      <c r="L1426" s="59" t="n"/>
      <c r="M1426" s="61" t="str">
        <f>IF(OR(B1426="",NOT(ISNUMBER(K1426)),NOT(ISNUMBER(L1426))),"",IF(OR(K1426&lt;=0,L1426&lt;=0),"",ROUND(L1426-K1426,6)))</f>
        <v/>
      </c>
      <c r="N1426" s="58" t="n"/>
      <c r="O1426" s="62" t="n"/>
      <c r="P1426" s="63" t="str">
        <f>IF(OR(B1426="",NOT(ISNUMBER(L1426))),"",IF(L1426&lt;=0,"",IFERROR(ROUND(L1426*N(INDEX(art_w,MATCH(H1426,art_ref,0))),3),"")))</f>
        <v/>
      </c>
      <c r="Q1426" s="59" t="n"/>
      <c r="R1426" s="54" t="n"/>
      <c r="S1426" s="59" t="n"/>
      <c r="T1426" s="59" t="n"/>
      <c r="U1426" s="64" t="str">
        <f>IF(OR(B1426="",H1426=""),"",IFERROR(IF(A1426="BL",IF(N(INDEX(art_price,MATCH(H1426,art_ref,0)))=0,"",N(INDEX(art_price,MATCH(H1426,art_ref,0)))),IF(N(INDEX(art_cost,MATCH(H1426,art_ref,0)))=0,"",N(INDEX(art_cost,MATCH(H1426,art_ref,0))))),""))</f>
        <v/>
      </c>
      <c r="V1426" s="64" t="str">
        <f>IF(OR(U1426="",NOT(ISNUMBER(L1426))),"",IF(L1426&lt;=0,"",ROUND(L1426*U1426,2)))</f>
        <v/>
      </c>
      <c r="W1426" s="60" t="str">
        <f>IF(AND(B1426&lt;&gt;"",A1426&lt;&gt;"BS",F1426&lt;&gt;"",H1426&lt;&gt;"",ISNUMBER(K1426),ISNUMBER(L1426)),IF(AND(K1426&gt;0,L1426&gt;0,K1426-L1426&gt;0,COUNTIFS(A1427:A$2005,A1426,F1427:F$2005,F1426,H1427:H$2005,H1426,AA1427:AA$2005,"&gt;0")=0),ROUND(K1426-L1426,6),""),"")</f>
        <v/>
      </c>
      <c r="X1426" s="60" t="str">
        <f>IF(AND(A1426="",C1426="",D1426="",H1426="",L1426=""),"",IF(A1426="","Type manquant",IF(AND(A1426&lt;&gt;"BL",A1426&lt;&gt;"BR",A1426&lt;&gt;"BS"),"Type inconnu (BL, BR ou BS)",IF(AG1426=0,"Date manquante ou invalide",IF(D1426="",IF(A1426="BL","Client manquant",IF(A1426="BR","Fournisseur manquant","Service manquant")),IF(IF(A1426="BL",ISNA(MATCH(D1426,cl_code,0)),IF(A1426="BR",ISNA(MATCH(D1426,fo_code,0)),ISNA(MATCH(D1426,p_services,0)))),IF(A1426="BL","Client inconnu",IF(A1426="BR","Fournisseur inconnu","Service inconnu")),IF(H1426="","Article manquant",IF(ISNA(MATCH(H1426,art_ref,0)),"Article inconnu",IF(OR(NOT(ISNUMBER(L1426)),N(L1426)&lt;=0),"Quantité invalide",IF(AND(K1426&lt;&gt;"",OR(NOT(ISNUMBER(K1426)),N(K1426)&lt;=0)),"Qté commandée invalide",IF(AG1426&lt;SUMPRODUCT(MAX((A$6:A1425=A1426)*AG$6:AG1425)),"Date antérieure au bon précédent",IF(AND(A1426&lt;&gt;"BR",ISNUMBER(M1426),N(M1426)&gt;0),IF(A1426="BL","Livré plus que commandé","Sorti plus que demandé"),"OK"))))))))))))</f>
        <v/>
      </c>
      <c r="Y1426" s="57" t="str">
        <f>IF(AND(OR(A1426="BL",A1426="BR",A1426="BS"),AG1426&gt;0,D1426&lt;&gt;""),A1426&amp;"|"&amp;AG1426&amp;"|"&amp;D1426&amp;"|"&amp;F1426,"")</f>
        <v/>
      </c>
      <c r="Z1426" s="57" t="str">
        <f>IF(Y1426="","",IF(COUNTIF(Y$6:Y1425,Y1426)=0,1,0))</f>
        <v/>
      </c>
      <c r="AA1426" s="57" t="str">
        <f>IF(Y1426="","",IF(Z1426=1,COUNTIFS(A$6:A1426,A1426,Z$6:Z1426,1),INDEX(AA$6:AA1425,MATCH(Y1426,Y$6:Y1425,0))))</f>
        <v/>
      </c>
      <c r="AB1426" s="57" t="str">
        <f>IF(B1426="","",COUNTIF(B$6:B1426,B1426))</f>
        <v/>
      </c>
      <c r="AC1426" s="57" t="str">
        <f>IF(B1426="","",B1426&amp;"#"&amp;AB1426)</f>
        <v/>
      </c>
      <c r="AD1426" s="57" t="str">
        <f>IF(Z1426=1,A1426&amp;AA1426,"")</f>
        <v/>
      </c>
      <c r="AE1426" s="57" t="str">
        <f>IF(B1426="","",YEAR(C1426))</f>
        <v/>
      </c>
      <c r="AF1426" s="57" t="str">
        <f>IF(B1426="","",MONTH(C1426))</f>
        <v/>
      </c>
      <c r="AG1426" s="57">
        <f>IF(ISNUMBER(C1426),C1426,0)</f>
        <v>0.0</v>
      </c>
      <c r="AH1426" s="57" t="str">
        <f>IF(N(W1426)&gt;0,COUNTIF(W$6:W1426,"&gt;0"),"")</f>
        <v/>
      </c>
      <c r="AI1426" s="57" t="str">
        <f>IF(Z1426=1,COUNTIF(Z$6:Z1426,1),"")</f>
        <v/>
      </c>
    </row>
    <row r="1427">
      <c r="A1427" s="54" t="n"/>
      <c r="B1427" s="55" t="str">
        <f>IF(AA1427="","",A1427&amp;"-"&amp;RIGHT("000"&amp;AA1427,4))</f>
        <v/>
      </c>
      <c r="C1427" s="56" t="n"/>
      <c r="D1427" s="54" t="n"/>
      <c r="E1427" s="57" t="str">
        <f>IF(D1427="","",IF(A1427="BL",IFERROR(INDEX(cl_name,MATCH(D1427,cl_code,0))&amp;"","Client inconnu"),IF(A1427="BR",IFERROR(INDEX(fo_name,MATCH(D1427,fo_code,0))&amp;"","Fournisseur inconnu"),IF(A1427="BS",IF(ISNA(MATCH(D1427,p_services,0)),"Service inconnu",D1427&amp;""),""))))</f>
        <v/>
      </c>
      <c r="F1427" s="58" t="n"/>
      <c r="G1427" s="58" t="n"/>
      <c r="H1427" s="59" t="n"/>
      <c r="I1427" s="57" t="str">
        <f>IF(H1427="","",IFERROR(INDEX(art_des,MATCH(H1427,art_ref,0))&amp;"","Article inconnu"))</f>
        <v/>
      </c>
      <c r="J1427" s="60" t="str">
        <f>IF(H1427="","",IFERROR(INDEX(art_unit,MATCH(H1427,art_ref,0))&amp;"",""))</f>
        <v/>
      </c>
      <c r="K1427" s="59" t="n"/>
      <c r="L1427" s="59" t="n"/>
      <c r="M1427" s="61" t="str">
        <f>IF(OR(B1427="",NOT(ISNUMBER(K1427)),NOT(ISNUMBER(L1427))),"",IF(OR(K1427&lt;=0,L1427&lt;=0),"",ROUND(L1427-K1427,6)))</f>
        <v/>
      </c>
      <c r="N1427" s="58" t="n"/>
      <c r="O1427" s="62" t="n"/>
      <c r="P1427" s="63" t="str">
        <f>IF(OR(B1427="",NOT(ISNUMBER(L1427))),"",IF(L1427&lt;=0,"",IFERROR(ROUND(L1427*N(INDEX(art_w,MATCH(H1427,art_ref,0))),3),"")))</f>
        <v/>
      </c>
      <c r="Q1427" s="59" t="n"/>
      <c r="R1427" s="54" t="n"/>
      <c r="S1427" s="59" t="n"/>
      <c r="T1427" s="59" t="n"/>
      <c r="U1427" s="64" t="str">
        <f>IF(OR(B1427="",H1427=""),"",IFERROR(IF(A1427="BL",IF(N(INDEX(art_price,MATCH(H1427,art_ref,0)))=0,"",N(INDEX(art_price,MATCH(H1427,art_ref,0)))),IF(N(INDEX(art_cost,MATCH(H1427,art_ref,0)))=0,"",N(INDEX(art_cost,MATCH(H1427,art_ref,0))))),""))</f>
        <v/>
      </c>
      <c r="V1427" s="64" t="str">
        <f>IF(OR(U1427="",NOT(ISNUMBER(L1427))),"",IF(L1427&lt;=0,"",ROUND(L1427*U1427,2)))</f>
        <v/>
      </c>
      <c r="W1427" s="60" t="str">
        <f>IF(AND(B1427&lt;&gt;"",A1427&lt;&gt;"BS",F1427&lt;&gt;"",H1427&lt;&gt;"",ISNUMBER(K1427),ISNUMBER(L1427)),IF(AND(K1427&gt;0,L1427&gt;0,K1427-L1427&gt;0,COUNTIFS(A1428:A$2005,A1427,F1428:F$2005,F1427,H1428:H$2005,H1427,AA1428:AA$2005,"&gt;0")=0),ROUND(K1427-L1427,6),""),"")</f>
        <v/>
      </c>
      <c r="X1427" s="60" t="str">
        <f>IF(AND(A1427="",C1427="",D1427="",H1427="",L1427=""),"",IF(A1427="","Type manquant",IF(AND(A1427&lt;&gt;"BL",A1427&lt;&gt;"BR",A1427&lt;&gt;"BS"),"Type inconnu (BL, BR ou BS)",IF(AG1427=0,"Date manquante ou invalide",IF(D1427="",IF(A1427="BL","Client manquant",IF(A1427="BR","Fournisseur manquant","Service manquant")),IF(IF(A1427="BL",ISNA(MATCH(D1427,cl_code,0)),IF(A1427="BR",ISNA(MATCH(D1427,fo_code,0)),ISNA(MATCH(D1427,p_services,0)))),IF(A1427="BL","Client inconnu",IF(A1427="BR","Fournisseur inconnu","Service inconnu")),IF(H1427="","Article manquant",IF(ISNA(MATCH(H1427,art_ref,0)),"Article inconnu",IF(OR(NOT(ISNUMBER(L1427)),N(L1427)&lt;=0),"Quantité invalide",IF(AND(K1427&lt;&gt;"",OR(NOT(ISNUMBER(K1427)),N(K1427)&lt;=0)),"Qté commandée invalide",IF(AG1427&lt;SUMPRODUCT(MAX((A$6:A1426=A1427)*AG$6:AG1426)),"Date antérieure au bon précédent",IF(AND(A1427&lt;&gt;"BR",ISNUMBER(M1427),N(M1427)&gt;0),IF(A1427="BL","Livré plus que commandé","Sorti plus que demandé"),"OK"))))))))))))</f>
        <v/>
      </c>
      <c r="Y1427" s="57" t="str">
        <f>IF(AND(OR(A1427="BL",A1427="BR",A1427="BS"),AG1427&gt;0,D1427&lt;&gt;""),A1427&amp;"|"&amp;AG1427&amp;"|"&amp;D1427&amp;"|"&amp;F1427,"")</f>
        <v/>
      </c>
      <c r="Z1427" s="57" t="str">
        <f>IF(Y1427="","",IF(COUNTIF(Y$6:Y1426,Y1427)=0,1,0))</f>
        <v/>
      </c>
      <c r="AA1427" s="57" t="str">
        <f>IF(Y1427="","",IF(Z1427=1,COUNTIFS(A$6:A1427,A1427,Z$6:Z1427,1),INDEX(AA$6:AA1426,MATCH(Y1427,Y$6:Y1426,0))))</f>
        <v/>
      </c>
      <c r="AB1427" s="57" t="str">
        <f>IF(B1427="","",COUNTIF(B$6:B1427,B1427))</f>
        <v/>
      </c>
      <c r="AC1427" s="57" t="str">
        <f>IF(B1427="","",B1427&amp;"#"&amp;AB1427)</f>
        <v/>
      </c>
      <c r="AD1427" s="57" t="str">
        <f>IF(Z1427=1,A1427&amp;AA1427,"")</f>
        <v/>
      </c>
      <c r="AE1427" s="57" t="str">
        <f>IF(B1427="","",YEAR(C1427))</f>
        <v/>
      </c>
      <c r="AF1427" s="57" t="str">
        <f>IF(B1427="","",MONTH(C1427))</f>
        <v/>
      </c>
      <c r="AG1427" s="57">
        <f>IF(ISNUMBER(C1427),C1427,0)</f>
        <v>0.0</v>
      </c>
      <c r="AH1427" s="57" t="str">
        <f>IF(N(W1427)&gt;0,COUNTIF(W$6:W1427,"&gt;0"),"")</f>
        <v/>
      </c>
      <c r="AI1427" s="57" t="str">
        <f>IF(Z1427=1,COUNTIF(Z$6:Z1427,1),"")</f>
        <v/>
      </c>
    </row>
    <row r="1428">
      <c r="A1428" s="54" t="n"/>
      <c r="B1428" s="55" t="str">
        <f>IF(AA1428="","",A1428&amp;"-"&amp;RIGHT("000"&amp;AA1428,4))</f>
        <v/>
      </c>
      <c r="C1428" s="56" t="n"/>
      <c r="D1428" s="54" t="n"/>
      <c r="E1428" s="57" t="str">
        <f>IF(D1428="","",IF(A1428="BL",IFERROR(INDEX(cl_name,MATCH(D1428,cl_code,0))&amp;"","Client inconnu"),IF(A1428="BR",IFERROR(INDEX(fo_name,MATCH(D1428,fo_code,0))&amp;"","Fournisseur inconnu"),IF(A1428="BS",IF(ISNA(MATCH(D1428,p_services,0)),"Service inconnu",D1428&amp;""),""))))</f>
        <v/>
      </c>
      <c r="F1428" s="58" t="n"/>
      <c r="G1428" s="58" t="n"/>
      <c r="H1428" s="59" t="n"/>
      <c r="I1428" s="57" t="str">
        <f>IF(H1428="","",IFERROR(INDEX(art_des,MATCH(H1428,art_ref,0))&amp;"","Article inconnu"))</f>
        <v/>
      </c>
      <c r="J1428" s="60" t="str">
        <f>IF(H1428="","",IFERROR(INDEX(art_unit,MATCH(H1428,art_ref,0))&amp;"",""))</f>
        <v/>
      </c>
      <c r="K1428" s="59" t="n"/>
      <c r="L1428" s="59" t="n"/>
      <c r="M1428" s="61" t="str">
        <f>IF(OR(B1428="",NOT(ISNUMBER(K1428)),NOT(ISNUMBER(L1428))),"",IF(OR(K1428&lt;=0,L1428&lt;=0),"",ROUND(L1428-K1428,6)))</f>
        <v/>
      </c>
      <c r="N1428" s="58" t="n"/>
      <c r="O1428" s="62" t="n"/>
      <c r="P1428" s="63" t="str">
        <f>IF(OR(B1428="",NOT(ISNUMBER(L1428))),"",IF(L1428&lt;=0,"",IFERROR(ROUND(L1428*N(INDEX(art_w,MATCH(H1428,art_ref,0))),3),"")))</f>
        <v/>
      </c>
      <c r="Q1428" s="59" t="n"/>
      <c r="R1428" s="54" t="n"/>
      <c r="S1428" s="59" t="n"/>
      <c r="T1428" s="59" t="n"/>
      <c r="U1428" s="64" t="str">
        <f>IF(OR(B1428="",H1428=""),"",IFERROR(IF(A1428="BL",IF(N(INDEX(art_price,MATCH(H1428,art_ref,0)))=0,"",N(INDEX(art_price,MATCH(H1428,art_ref,0)))),IF(N(INDEX(art_cost,MATCH(H1428,art_ref,0)))=0,"",N(INDEX(art_cost,MATCH(H1428,art_ref,0))))),""))</f>
        <v/>
      </c>
      <c r="V1428" s="64" t="str">
        <f>IF(OR(U1428="",NOT(ISNUMBER(L1428))),"",IF(L1428&lt;=0,"",ROUND(L1428*U1428,2)))</f>
        <v/>
      </c>
      <c r="W1428" s="60" t="str">
        <f>IF(AND(B1428&lt;&gt;"",A1428&lt;&gt;"BS",F1428&lt;&gt;"",H1428&lt;&gt;"",ISNUMBER(K1428),ISNUMBER(L1428)),IF(AND(K1428&gt;0,L1428&gt;0,K1428-L1428&gt;0,COUNTIFS(A1429:A$2005,A1428,F1429:F$2005,F1428,H1429:H$2005,H1428,AA1429:AA$2005,"&gt;0")=0),ROUND(K1428-L1428,6),""),"")</f>
        <v/>
      </c>
      <c r="X1428" s="60" t="str">
        <f>IF(AND(A1428="",C1428="",D1428="",H1428="",L1428=""),"",IF(A1428="","Type manquant",IF(AND(A1428&lt;&gt;"BL",A1428&lt;&gt;"BR",A1428&lt;&gt;"BS"),"Type inconnu (BL, BR ou BS)",IF(AG1428=0,"Date manquante ou invalide",IF(D1428="",IF(A1428="BL","Client manquant",IF(A1428="BR","Fournisseur manquant","Service manquant")),IF(IF(A1428="BL",ISNA(MATCH(D1428,cl_code,0)),IF(A1428="BR",ISNA(MATCH(D1428,fo_code,0)),ISNA(MATCH(D1428,p_services,0)))),IF(A1428="BL","Client inconnu",IF(A1428="BR","Fournisseur inconnu","Service inconnu")),IF(H1428="","Article manquant",IF(ISNA(MATCH(H1428,art_ref,0)),"Article inconnu",IF(OR(NOT(ISNUMBER(L1428)),N(L1428)&lt;=0),"Quantité invalide",IF(AND(K1428&lt;&gt;"",OR(NOT(ISNUMBER(K1428)),N(K1428)&lt;=0)),"Qté commandée invalide",IF(AG1428&lt;SUMPRODUCT(MAX((A$6:A1427=A1428)*AG$6:AG1427)),"Date antérieure au bon précédent",IF(AND(A1428&lt;&gt;"BR",ISNUMBER(M1428),N(M1428)&gt;0),IF(A1428="BL","Livré plus que commandé","Sorti plus que demandé"),"OK"))))))))))))</f>
        <v/>
      </c>
      <c r="Y1428" s="57" t="str">
        <f>IF(AND(OR(A1428="BL",A1428="BR",A1428="BS"),AG1428&gt;0,D1428&lt;&gt;""),A1428&amp;"|"&amp;AG1428&amp;"|"&amp;D1428&amp;"|"&amp;F1428,"")</f>
        <v/>
      </c>
      <c r="Z1428" s="57" t="str">
        <f>IF(Y1428="","",IF(COUNTIF(Y$6:Y1427,Y1428)=0,1,0))</f>
        <v/>
      </c>
      <c r="AA1428" s="57" t="str">
        <f>IF(Y1428="","",IF(Z1428=1,COUNTIFS(A$6:A1428,A1428,Z$6:Z1428,1),INDEX(AA$6:AA1427,MATCH(Y1428,Y$6:Y1427,0))))</f>
        <v/>
      </c>
      <c r="AB1428" s="57" t="str">
        <f>IF(B1428="","",COUNTIF(B$6:B1428,B1428))</f>
        <v/>
      </c>
      <c r="AC1428" s="57" t="str">
        <f>IF(B1428="","",B1428&amp;"#"&amp;AB1428)</f>
        <v/>
      </c>
      <c r="AD1428" s="57" t="str">
        <f>IF(Z1428=1,A1428&amp;AA1428,"")</f>
        <v/>
      </c>
      <c r="AE1428" s="57" t="str">
        <f>IF(B1428="","",YEAR(C1428))</f>
        <v/>
      </c>
      <c r="AF1428" s="57" t="str">
        <f>IF(B1428="","",MONTH(C1428))</f>
        <v/>
      </c>
      <c r="AG1428" s="57">
        <f>IF(ISNUMBER(C1428),C1428,0)</f>
        <v>0.0</v>
      </c>
      <c r="AH1428" s="57" t="str">
        <f>IF(N(W1428)&gt;0,COUNTIF(W$6:W1428,"&gt;0"),"")</f>
        <v/>
      </c>
      <c r="AI1428" s="57" t="str">
        <f>IF(Z1428=1,COUNTIF(Z$6:Z1428,1),"")</f>
        <v/>
      </c>
    </row>
    <row r="1429">
      <c r="A1429" s="54" t="n"/>
      <c r="B1429" s="55" t="str">
        <f>IF(AA1429="","",A1429&amp;"-"&amp;RIGHT("000"&amp;AA1429,4))</f>
        <v/>
      </c>
      <c r="C1429" s="56" t="n"/>
      <c r="D1429" s="54" t="n"/>
      <c r="E1429" s="57" t="str">
        <f>IF(D1429="","",IF(A1429="BL",IFERROR(INDEX(cl_name,MATCH(D1429,cl_code,0))&amp;"","Client inconnu"),IF(A1429="BR",IFERROR(INDEX(fo_name,MATCH(D1429,fo_code,0))&amp;"","Fournisseur inconnu"),IF(A1429="BS",IF(ISNA(MATCH(D1429,p_services,0)),"Service inconnu",D1429&amp;""),""))))</f>
        <v/>
      </c>
      <c r="F1429" s="58" t="n"/>
      <c r="G1429" s="58" t="n"/>
      <c r="H1429" s="59" t="n"/>
      <c r="I1429" s="57" t="str">
        <f>IF(H1429="","",IFERROR(INDEX(art_des,MATCH(H1429,art_ref,0))&amp;"","Article inconnu"))</f>
        <v/>
      </c>
      <c r="J1429" s="60" t="str">
        <f>IF(H1429="","",IFERROR(INDEX(art_unit,MATCH(H1429,art_ref,0))&amp;"",""))</f>
        <v/>
      </c>
      <c r="K1429" s="59" t="n"/>
      <c r="L1429" s="59" t="n"/>
      <c r="M1429" s="61" t="str">
        <f>IF(OR(B1429="",NOT(ISNUMBER(K1429)),NOT(ISNUMBER(L1429))),"",IF(OR(K1429&lt;=0,L1429&lt;=0),"",ROUND(L1429-K1429,6)))</f>
        <v/>
      </c>
      <c r="N1429" s="58" t="n"/>
      <c r="O1429" s="62" t="n"/>
      <c r="P1429" s="63" t="str">
        <f>IF(OR(B1429="",NOT(ISNUMBER(L1429))),"",IF(L1429&lt;=0,"",IFERROR(ROUND(L1429*N(INDEX(art_w,MATCH(H1429,art_ref,0))),3),"")))</f>
        <v/>
      </c>
      <c r="Q1429" s="59" t="n"/>
      <c r="R1429" s="54" t="n"/>
      <c r="S1429" s="59" t="n"/>
      <c r="T1429" s="59" t="n"/>
      <c r="U1429" s="64" t="str">
        <f>IF(OR(B1429="",H1429=""),"",IFERROR(IF(A1429="BL",IF(N(INDEX(art_price,MATCH(H1429,art_ref,0)))=0,"",N(INDEX(art_price,MATCH(H1429,art_ref,0)))),IF(N(INDEX(art_cost,MATCH(H1429,art_ref,0)))=0,"",N(INDEX(art_cost,MATCH(H1429,art_ref,0))))),""))</f>
        <v/>
      </c>
      <c r="V1429" s="64" t="str">
        <f>IF(OR(U1429="",NOT(ISNUMBER(L1429))),"",IF(L1429&lt;=0,"",ROUND(L1429*U1429,2)))</f>
        <v/>
      </c>
      <c r="W1429" s="60" t="str">
        <f>IF(AND(B1429&lt;&gt;"",A1429&lt;&gt;"BS",F1429&lt;&gt;"",H1429&lt;&gt;"",ISNUMBER(K1429),ISNUMBER(L1429)),IF(AND(K1429&gt;0,L1429&gt;0,K1429-L1429&gt;0,COUNTIFS(A1430:A$2005,A1429,F1430:F$2005,F1429,H1430:H$2005,H1429,AA1430:AA$2005,"&gt;0")=0),ROUND(K1429-L1429,6),""),"")</f>
        <v/>
      </c>
      <c r="X1429" s="60" t="str">
        <f>IF(AND(A1429="",C1429="",D1429="",H1429="",L1429=""),"",IF(A1429="","Type manquant",IF(AND(A1429&lt;&gt;"BL",A1429&lt;&gt;"BR",A1429&lt;&gt;"BS"),"Type inconnu (BL, BR ou BS)",IF(AG1429=0,"Date manquante ou invalide",IF(D1429="",IF(A1429="BL","Client manquant",IF(A1429="BR","Fournisseur manquant","Service manquant")),IF(IF(A1429="BL",ISNA(MATCH(D1429,cl_code,0)),IF(A1429="BR",ISNA(MATCH(D1429,fo_code,0)),ISNA(MATCH(D1429,p_services,0)))),IF(A1429="BL","Client inconnu",IF(A1429="BR","Fournisseur inconnu","Service inconnu")),IF(H1429="","Article manquant",IF(ISNA(MATCH(H1429,art_ref,0)),"Article inconnu",IF(OR(NOT(ISNUMBER(L1429)),N(L1429)&lt;=0),"Quantité invalide",IF(AND(K1429&lt;&gt;"",OR(NOT(ISNUMBER(K1429)),N(K1429)&lt;=0)),"Qté commandée invalide",IF(AG1429&lt;SUMPRODUCT(MAX((A$6:A1428=A1429)*AG$6:AG1428)),"Date antérieure au bon précédent",IF(AND(A1429&lt;&gt;"BR",ISNUMBER(M1429),N(M1429)&gt;0),IF(A1429="BL","Livré plus que commandé","Sorti plus que demandé"),"OK"))))))))))))</f>
        <v/>
      </c>
      <c r="Y1429" s="57" t="str">
        <f>IF(AND(OR(A1429="BL",A1429="BR",A1429="BS"),AG1429&gt;0,D1429&lt;&gt;""),A1429&amp;"|"&amp;AG1429&amp;"|"&amp;D1429&amp;"|"&amp;F1429,"")</f>
        <v/>
      </c>
      <c r="Z1429" s="57" t="str">
        <f>IF(Y1429="","",IF(COUNTIF(Y$6:Y1428,Y1429)=0,1,0))</f>
        <v/>
      </c>
      <c r="AA1429" s="57" t="str">
        <f>IF(Y1429="","",IF(Z1429=1,COUNTIFS(A$6:A1429,A1429,Z$6:Z1429,1),INDEX(AA$6:AA1428,MATCH(Y1429,Y$6:Y1428,0))))</f>
        <v/>
      </c>
      <c r="AB1429" s="57" t="str">
        <f>IF(B1429="","",COUNTIF(B$6:B1429,B1429))</f>
        <v/>
      </c>
      <c r="AC1429" s="57" t="str">
        <f>IF(B1429="","",B1429&amp;"#"&amp;AB1429)</f>
        <v/>
      </c>
      <c r="AD1429" s="57" t="str">
        <f>IF(Z1429=1,A1429&amp;AA1429,"")</f>
        <v/>
      </c>
      <c r="AE1429" s="57" t="str">
        <f>IF(B1429="","",YEAR(C1429))</f>
        <v/>
      </c>
      <c r="AF1429" s="57" t="str">
        <f>IF(B1429="","",MONTH(C1429))</f>
        <v/>
      </c>
      <c r="AG1429" s="57">
        <f>IF(ISNUMBER(C1429),C1429,0)</f>
        <v>0.0</v>
      </c>
      <c r="AH1429" s="57" t="str">
        <f>IF(N(W1429)&gt;0,COUNTIF(W$6:W1429,"&gt;0"),"")</f>
        <v/>
      </c>
      <c r="AI1429" s="57" t="str">
        <f>IF(Z1429=1,COUNTIF(Z$6:Z1429,1),"")</f>
        <v/>
      </c>
    </row>
    <row r="1430">
      <c r="A1430" s="54" t="n"/>
      <c r="B1430" s="55" t="str">
        <f>IF(AA1430="","",A1430&amp;"-"&amp;RIGHT("000"&amp;AA1430,4))</f>
        <v/>
      </c>
      <c r="C1430" s="56" t="n"/>
      <c r="D1430" s="54" t="n"/>
      <c r="E1430" s="57" t="str">
        <f>IF(D1430="","",IF(A1430="BL",IFERROR(INDEX(cl_name,MATCH(D1430,cl_code,0))&amp;"","Client inconnu"),IF(A1430="BR",IFERROR(INDEX(fo_name,MATCH(D1430,fo_code,0))&amp;"","Fournisseur inconnu"),IF(A1430="BS",IF(ISNA(MATCH(D1430,p_services,0)),"Service inconnu",D1430&amp;""),""))))</f>
        <v/>
      </c>
      <c r="F1430" s="58" t="n"/>
      <c r="G1430" s="58" t="n"/>
      <c r="H1430" s="59" t="n"/>
      <c r="I1430" s="57" t="str">
        <f>IF(H1430="","",IFERROR(INDEX(art_des,MATCH(H1430,art_ref,0))&amp;"","Article inconnu"))</f>
        <v/>
      </c>
      <c r="J1430" s="60" t="str">
        <f>IF(H1430="","",IFERROR(INDEX(art_unit,MATCH(H1430,art_ref,0))&amp;"",""))</f>
        <v/>
      </c>
      <c r="K1430" s="59" t="n"/>
      <c r="L1430" s="59" t="n"/>
      <c r="M1430" s="61" t="str">
        <f>IF(OR(B1430="",NOT(ISNUMBER(K1430)),NOT(ISNUMBER(L1430))),"",IF(OR(K1430&lt;=0,L1430&lt;=0),"",ROUND(L1430-K1430,6)))</f>
        <v/>
      </c>
      <c r="N1430" s="58" t="n"/>
      <c r="O1430" s="62" t="n"/>
      <c r="P1430" s="63" t="str">
        <f>IF(OR(B1430="",NOT(ISNUMBER(L1430))),"",IF(L1430&lt;=0,"",IFERROR(ROUND(L1430*N(INDEX(art_w,MATCH(H1430,art_ref,0))),3),"")))</f>
        <v/>
      </c>
      <c r="Q1430" s="59" t="n"/>
      <c r="R1430" s="54" t="n"/>
      <c r="S1430" s="59" t="n"/>
      <c r="T1430" s="59" t="n"/>
      <c r="U1430" s="64" t="str">
        <f>IF(OR(B1430="",H1430=""),"",IFERROR(IF(A1430="BL",IF(N(INDEX(art_price,MATCH(H1430,art_ref,0)))=0,"",N(INDEX(art_price,MATCH(H1430,art_ref,0)))),IF(N(INDEX(art_cost,MATCH(H1430,art_ref,0)))=0,"",N(INDEX(art_cost,MATCH(H1430,art_ref,0))))),""))</f>
        <v/>
      </c>
      <c r="V1430" s="64" t="str">
        <f>IF(OR(U1430="",NOT(ISNUMBER(L1430))),"",IF(L1430&lt;=0,"",ROUND(L1430*U1430,2)))</f>
        <v/>
      </c>
      <c r="W1430" s="60" t="str">
        <f>IF(AND(B1430&lt;&gt;"",A1430&lt;&gt;"BS",F1430&lt;&gt;"",H1430&lt;&gt;"",ISNUMBER(K1430),ISNUMBER(L1430)),IF(AND(K1430&gt;0,L1430&gt;0,K1430-L1430&gt;0,COUNTIFS(A1431:A$2005,A1430,F1431:F$2005,F1430,H1431:H$2005,H1430,AA1431:AA$2005,"&gt;0")=0),ROUND(K1430-L1430,6),""),"")</f>
        <v/>
      </c>
      <c r="X1430" s="60" t="str">
        <f>IF(AND(A1430="",C1430="",D1430="",H1430="",L1430=""),"",IF(A1430="","Type manquant",IF(AND(A1430&lt;&gt;"BL",A1430&lt;&gt;"BR",A1430&lt;&gt;"BS"),"Type inconnu (BL, BR ou BS)",IF(AG1430=0,"Date manquante ou invalide",IF(D1430="",IF(A1430="BL","Client manquant",IF(A1430="BR","Fournisseur manquant","Service manquant")),IF(IF(A1430="BL",ISNA(MATCH(D1430,cl_code,0)),IF(A1430="BR",ISNA(MATCH(D1430,fo_code,0)),ISNA(MATCH(D1430,p_services,0)))),IF(A1430="BL","Client inconnu",IF(A1430="BR","Fournisseur inconnu","Service inconnu")),IF(H1430="","Article manquant",IF(ISNA(MATCH(H1430,art_ref,0)),"Article inconnu",IF(OR(NOT(ISNUMBER(L1430)),N(L1430)&lt;=0),"Quantité invalide",IF(AND(K1430&lt;&gt;"",OR(NOT(ISNUMBER(K1430)),N(K1430)&lt;=0)),"Qté commandée invalide",IF(AG1430&lt;SUMPRODUCT(MAX((A$6:A1429=A1430)*AG$6:AG1429)),"Date antérieure au bon précédent",IF(AND(A1430&lt;&gt;"BR",ISNUMBER(M1430),N(M1430)&gt;0),IF(A1430="BL","Livré plus que commandé","Sorti plus que demandé"),"OK"))))))))))))</f>
        <v/>
      </c>
      <c r="Y1430" s="57" t="str">
        <f>IF(AND(OR(A1430="BL",A1430="BR",A1430="BS"),AG1430&gt;0,D1430&lt;&gt;""),A1430&amp;"|"&amp;AG1430&amp;"|"&amp;D1430&amp;"|"&amp;F1430,"")</f>
        <v/>
      </c>
      <c r="Z1430" s="57" t="str">
        <f>IF(Y1430="","",IF(COUNTIF(Y$6:Y1429,Y1430)=0,1,0))</f>
        <v/>
      </c>
      <c r="AA1430" s="57" t="str">
        <f>IF(Y1430="","",IF(Z1430=1,COUNTIFS(A$6:A1430,A1430,Z$6:Z1430,1),INDEX(AA$6:AA1429,MATCH(Y1430,Y$6:Y1429,0))))</f>
        <v/>
      </c>
      <c r="AB1430" s="57" t="str">
        <f>IF(B1430="","",COUNTIF(B$6:B1430,B1430))</f>
        <v/>
      </c>
      <c r="AC1430" s="57" t="str">
        <f>IF(B1430="","",B1430&amp;"#"&amp;AB1430)</f>
        <v/>
      </c>
      <c r="AD1430" s="57" t="str">
        <f>IF(Z1430=1,A1430&amp;AA1430,"")</f>
        <v/>
      </c>
      <c r="AE1430" s="57" t="str">
        <f>IF(B1430="","",YEAR(C1430))</f>
        <v/>
      </c>
      <c r="AF1430" s="57" t="str">
        <f>IF(B1430="","",MONTH(C1430))</f>
        <v/>
      </c>
      <c r="AG1430" s="57">
        <f>IF(ISNUMBER(C1430),C1430,0)</f>
        <v>0.0</v>
      </c>
      <c r="AH1430" s="57" t="str">
        <f>IF(N(W1430)&gt;0,COUNTIF(W$6:W1430,"&gt;0"),"")</f>
        <v/>
      </c>
      <c r="AI1430" s="57" t="str">
        <f>IF(Z1430=1,COUNTIF(Z$6:Z1430,1),"")</f>
        <v/>
      </c>
    </row>
    <row r="1431">
      <c r="A1431" s="54" t="n"/>
      <c r="B1431" s="55" t="str">
        <f>IF(AA1431="","",A1431&amp;"-"&amp;RIGHT("000"&amp;AA1431,4))</f>
        <v/>
      </c>
      <c r="C1431" s="56" t="n"/>
      <c r="D1431" s="54" t="n"/>
      <c r="E1431" s="57" t="str">
        <f>IF(D1431="","",IF(A1431="BL",IFERROR(INDEX(cl_name,MATCH(D1431,cl_code,0))&amp;"","Client inconnu"),IF(A1431="BR",IFERROR(INDEX(fo_name,MATCH(D1431,fo_code,0))&amp;"","Fournisseur inconnu"),IF(A1431="BS",IF(ISNA(MATCH(D1431,p_services,0)),"Service inconnu",D1431&amp;""),""))))</f>
        <v/>
      </c>
      <c r="F1431" s="58" t="n"/>
      <c r="G1431" s="58" t="n"/>
      <c r="H1431" s="59" t="n"/>
      <c r="I1431" s="57" t="str">
        <f>IF(H1431="","",IFERROR(INDEX(art_des,MATCH(H1431,art_ref,0))&amp;"","Article inconnu"))</f>
        <v/>
      </c>
      <c r="J1431" s="60" t="str">
        <f>IF(H1431="","",IFERROR(INDEX(art_unit,MATCH(H1431,art_ref,0))&amp;"",""))</f>
        <v/>
      </c>
      <c r="K1431" s="59" t="n"/>
      <c r="L1431" s="59" t="n"/>
      <c r="M1431" s="61" t="str">
        <f>IF(OR(B1431="",NOT(ISNUMBER(K1431)),NOT(ISNUMBER(L1431))),"",IF(OR(K1431&lt;=0,L1431&lt;=0),"",ROUND(L1431-K1431,6)))</f>
        <v/>
      </c>
      <c r="N1431" s="58" t="n"/>
      <c r="O1431" s="62" t="n"/>
      <c r="P1431" s="63" t="str">
        <f>IF(OR(B1431="",NOT(ISNUMBER(L1431))),"",IF(L1431&lt;=0,"",IFERROR(ROUND(L1431*N(INDEX(art_w,MATCH(H1431,art_ref,0))),3),"")))</f>
        <v/>
      </c>
      <c r="Q1431" s="59" t="n"/>
      <c r="R1431" s="54" t="n"/>
      <c r="S1431" s="59" t="n"/>
      <c r="T1431" s="59" t="n"/>
      <c r="U1431" s="64" t="str">
        <f>IF(OR(B1431="",H1431=""),"",IFERROR(IF(A1431="BL",IF(N(INDEX(art_price,MATCH(H1431,art_ref,0)))=0,"",N(INDEX(art_price,MATCH(H1431,art_ref,0)))),IF(N(INDEX(art_cost,MATCH(H1431,art_ref,0)))=0,"",N(INDEX(art_cost,MATCH(H1431,art_ref,0))))),""))</f>
        <v/>
      </c>
      <c r="V1431" s="64" t="str">
        <f>IF(OR(U1431="",NOT(ISNUMBER(L1431))),"",IF(L1431&lt;=0,"",ROUND(L1431*U1431,2)))</f>
        <v/>
      </c>
      <c r="W1431" s="60" t="str">
        <f>IF(AND(B1431&lt;&gt;"",A1431&lt;&gt;"BS",F1431&lt;&gt;"",H1431&lt;&gt;"",ISNUMBER(K1431),ISNUMBER(L1431)),IF(AND(K1431&gt;0,L1431&gt;0,K1431-L1431&gt;0,COUNTIFS(A1432:A$2005,A1431,F1432:F$2005,F1431,H1432:H$2005,H1431,AA1432:AA$2005,"&gt;0")=0),ROUND(K1431-L1431,6),""),"")</f>
        <v/>
      </c>
      <c r="X1431" s="60" t="str">
        <f>IF(AND(A1431="",C1431="",D1431="",H1431="",L1431=""),"",IF(A1431="","Type manquant",IF(AND(A1431&lt;&gt;"BL",A1431&lt;&gt;"BR",A1431&lt;&gt;"BS"),"Type inconnu (BL, BR ou BS)",IF(AG1431=0,"Date manquante ou invalide",IF(D1431="",IF(A1431="BL","Client manquant",IF(A1431="BR","Fournisseur manquant","Service manquant")),IF(IF(A1431="BL",ISNA(MATCH(D1431,cl_code,0)),IF(A1431="BR",ISNA(MATCH(D1431,fo_code,0)),ISNA(MATCH(D1431,p_services,0)))),IF(A1431="BL","Client inconnu",IF(A1431="BR","Fournisseur inconnu","Service inconnu")),IF(H1431="","Article manquant",IF(ISNA(MATCH(H1431,art_ref,0)),"Article inconnu",IF(OR(NOT(ISNUMBER(L1431)),N(L1431)&lt;=0),"Quantité invalide",IF(AND(K1431&lt;&gt;"",OR(NOT(ISNUMBER(K1431)),N(K1431)&lt;=0)),"Qté commandée invalide",IF(AG1431&lt;SUMPRODUCT(MAX((A$6:A1430=A1431)*AG$6:AG1430)),"Date antérieure au bon précédent",IF(AND(A1431&lt;&gt;"BR",ISNUMBER(M1431),N(M1431)&gt;0),IF(A1431="BL","Livré plus que commandé","Sorti plus que demandé"),"OK"))))))))))))</f>
        <v/>
      </c>
      <c r="Y1431" s="57" t="str">
        <f>IF(AND(OR(A1431="BL",A1431="BR",A1431="BS"),AG1431&gt;0,D1431&lt;&gt;""),A1431&amp;"|"&amp;AG1431&amp;"|"&amp;D1431&amp;"|"&amp;F1431,"")</f>
        <v/>
      </c>
      <c r="Z1431" s="57" t="str">
        <f>IF(Y1431="","",IF(COUNTIF(Y$6:Y1430,Y1431)=0,1,0))</f>
        <v/>
      </c>
      <c r="AA1431" s="57" t="str">
        <f>IF(Y1431="","",IF(Z1431=1,COUNTIFS(A$6:A1431,A1431,Z$6:Z1431,1),INDEX(AA$6:AA1430,MATCH(Y1431,Y$6:Y1430,0))))</f>
        <v/>
      </c>
      <c r="AB1431" s="57" t="str">
        <f>IF(B1431="","",COUNTIF(B$6:B1431,B1431))</f>
        <v/>
      </c>
      <c r="AC1431" s="57" t="str">
        <f>IF(B1431="","",B1431&amp;"#"&amp;AB1431)</f>
        <v/>
      </c>
      <c r="AD1431" s="57" t="str">
        <f>IF(Z1431=1,A1431&amp;AA1431,"")</f>
        <v/>
      </c>
      <c r="AE1431" s="57" t="str">
        <f>IF(B1431="","",YEAR(C1431))</f>
        <v/>
      </c>
      <c r="AF1431" s="57" t="str">
        <f>IF(B1431="","",MONTH(C1431))</f>
        <v/>
      </c>
      <c r="AG1431" s="57">
        <f>IF(ISNUMBER(C1431),C1431,0)</f>
        <v>0.0</v>
      </c>
      <c r="AH1431" s="57" t="str">
        <f>IF(N(W1431)&gt;0,COUNTIF(W$6:W1431,"&gt;0"),"")</f>
        <v/>
      </c>
      <c r="AI1431" s="57" t="str">
        <f>IF(Z1431=1,COUNTIF(Z$6:Z1431,1),"")</f>
        <v/>
      </c>
    </row>
    <row r="1432">
      <c r="A1432" s="54" t="n"/>
      <c r="B1432" s="55" t="str">
        <f>IF(AA1432="","",A1432&amp;"-"&amp;RIGHT("000"&amp;AA1432,4))</f>
        <v/>
      </c>
      <c r="C1432" s="56" t="n"/>
      <c r="D1432" s="54" t="n"/>
      <c r="E1432" s="57" t="str">
        <f>IF(D1432="","",IF(A1432="BL",IFERROR(INDEX(cl_name,MATCH(D1432,cl_code,0))&amp;"","Client inconnu"),IF(A1432="BR",IFERROR(INDEX(fo_name,MATCH(D1432,fo_code,0))&amp;"","Fournisseur inconnu"),IF(A1432="BS",IF(ISNA(MATCH(D1432,p_services,0)),"Service inconnu",D1432&amp;""),""))))</f>
        <v/>
      </c>
      <c r="F1432" s="58" t="n"/>
      <c r="G1432" s="58" t="n"/>
      <c r="H1432" s="59" t="n"/>
      <c r="I1432" s="57" t="str">
        <f>IF(H1432="","",IFERROR(INDEX(art_des,MATCH(H1432,art_ref,0))&amp;"","Article inconnu"))</f>
        <v/>
      </c>
      <c r="J1432" s="60" t="str">
        <f>IF(H1432="","",IFERROR(INDEX(art_unit,MATCH(H1432,art_ref,0))&amp;"",""))</f>
        <v/>
      </c>
      <c r="K1432" s="59" t="n"/>
      <c r="L1432" s="59" t="n"/>
      <c r="M1432" s="61" t="str">
        <f>IF(OR(B1432="",NOT(ISNUMBER(K1432)),NOT(ISNUMBER(L1432))),"",IF(OR(K1432&lt;=0,L1432&lt;=0),"",ROUND(L1432-K1432,6)))</f>
        <v/>
      </c>
      <c r="N1432" s="58" t="n"/>
      <c r="O1432" s="62" t="n"/>
      <c r="P1432" s="63" t="str">
        <f>IF(OR(B1432="",NOT(ISNUMBER(L1432))),"",IF(L1432&lt;=0,"",IFERROR(ROUND(L1432*N(INDEX(art_w,MATCH(H1432,art_ref,0))),3),"")))</f>
        <v/>
      </c>
      <c r="Q1432" s="59" t="n"/>
      <c r="R1432" s="54" t="n"/>
      <c r="S1432" s="59" t="n"/>
      <c r="T1432" s="59" t="n"/>
      <c r="U1432" s="64" t="str">
        <f>IF(OR(B1432="",H1432=""),"",IFERROR(IF(A1432="BL",IF(N(INDEX(art_price,MATCH(H1432,art_ref,0)))=0,"",N(INDEX(art_price,MATCH(H1432,art_ref,0)))),IF(N(INDEX(art_cost,MATCH(H1432,art_ref,0)))=0,"",N(INDEX(art_cost,MATCH(H1432,art_ref,0))))),""))</f>
        <v/>
      </c>
      <c r="V1432" s="64" t="str">
        <f>IF(OR(U1432="",NOT(ISNUMBER(L1432))),"",IF(L1432&lt;=0,"",ROUND(L1432*U1432,2)))</f>
        <v/>
      </c>
      <c r="W1432" s="60" t="str">
        <f>IF(AND(B1432&lt;&gt;"",A1432&lt;&gt;"BS",F1432&lt;&gt;"",H1432&lt;&gt;"",ISNUMBER(K1432),ISNUMBER(L1432)),IF(AND(K1432&gt;0,L1432&gt;0,K1432-L1432&gt;0,COUNTIFS(A1433:A$2005,A1432,F1433:F$2005,F1432,H1433:H$2005,H1432,AA1433:AA$2005,"&gt;0")=0),ROUND(K1432-L1432,6),""),"")</f>
        <v/>
      </c>
      <c r="X1432" s="60" t="str">
        <f>IF(AND(A1432="",C1432="",D1432="",H1432="",L1432=""),"",IF(A1432="","Type manquant",IF(AND(A1432&lt;&gt;"BL",A1432&lt;&gt;"BR",A1432&lt;&gt;"BS"),"Type inconnu (BL, BR ou BS)",IF(AG1432=0,"Date manquante ou invalide",IF(D1432="",IF(A1432="BL","Client manquant",IF(A1432="BR","Fournisseur manquant","Service manquant")),IF(IF(A1432="BL",ISNA(MATCH(D1432,cl_code,0)),IF(A1432="BR",ISNA(MATCH(D1432,fo_code,0)),ISNA(MATCH(D1432,p_services,0)))),IF(A1432="BL","Client inconnu",IF(A1432="BR","Fournisseur inconnu","Service inconnu")),IF(H1432="","Article manquant",IF(ISNA(MATCH(H1432,art_ref,0)),"Article inconnu",IF(OR(NOT(ISNUMBER(L1432)),N(L1432)&lt;=0),"Quantité invalide",IF(AND(K1432&lt;&gt;"",OR(NOT(ISNUMBER(K1432)),N(K1432)&lt;=0)),"Qté commandée invalide",IF(AG1432&lt;SUMPRODUCT(MAX((A$6:A1431=A1432)*AG$6:AG1431)),"Date antérieure au bon précédent",IF(AND(A1432&lt;&gt;"BR",ISNUMBER(M1432),N(M1432)&gt;0),IF(A1432="BL","Livré plus que commandé","Sorti plus que demandé"),"OK"))))))))))))</f>
        <v/>
      </c>
      <c r="Y1432" s="57" t="str">
        <f>IF(AND(OR(A1432="BL",A1432="BR",A1432="BS"),AG1432&gt;0,D1432&lt;&gt;""),A1432&amp;"|"&amp;AG1432&amp;"|"&amp;D1432&amp;"|"&amp;F1432,"")</f>
        <v/>
      </c>
      <c r="Z1432" s="57" t="str">
        <f>IF(Y1432="","",IF(COUNTIF(Y$6:Y1431,Y1432)=0,1,0))</f>
        <v/>
      </c>
      <c r="AA1432" s="57" t="str">
        <f>IF(Y1432="","",IF(Z1432=1,COUNTIFS(A$6:A1432,A1432,Z$6:Z1432,1),INDEX(AA$6:AA1431,MATCH(Y1432,Y$6:Y1431,0))))</f>
        <v/>
      </c>
      <c r="AB1432" s="57" t="str">
        <f>IF(B1432="","",COUNTIF(B$6:B1432,B1432))</f>
        <v/>
      </c>
      <c r="AC1432" s="57" t="str">
        <f>IF(B1432="","",B1432&amp;"#"&amp;AB1432)</f>
        <v/>
      </c>
      <c r="AD1432" s="57" t="str">
        <f>IF(Z1432=1,A1432&amp;AA1432,"")</f>
        <v/>
      </c>
      <c r="AE1432" s="57" t="str">
        <f>IF(B1432="","",YEAR(C1432))</f>
        <v/>
      </c>
      <c r="AF1432" s="57" t="str">
        <f>IF(B1432="","",MONTH(C1432))</f>
        <v/>
      </c>
      <c r="AG1432" s="57">
        <f>IF(ISNUMBER(C1432),C1432,0)</f>
        <v>0.0</v>
      </c>
      <c r="AH1432" s="57" t="str">
        <f>IF(N(W1432)&gt;0,COUNTIF(W$6:W1432,"&gt;0"),"")</f>
        <v/>
      </c>
      <c r="AI1432" s="57" t="str">
        <f>IF(Z1432=1,COUNTIF(Z$6:Z1432,1),"")</f>
        <v/>
      </c>
    </row>
    <row r="1433">
      <c r="A1433" s="54" t="n"/>
      <c r="B1433" s="55" t="str">
        <f>IF(AA1433="","",A1433&amp;"-"&amp;RIGHT("000"&amp;AA1433,4))</f>
        <v/>
      </c>
      <c r="C1433" s="56" t="n"/>
      <c r="D1433" s="54" t="n"/>
      <c r="E1433" s="57" t="str">
        <f>IF(D1433="","",IF(A1433="BL",IFERROR(INDEX(cl_name,MATCH(D1433,cl_code,0))&amp;"","Client inconnu"),IF(A1433="BR",IFERROR(INDEX(fo_name,MATCH(D1433,fo_code,0))&amp;"","Fournisseur inconnu"),IF(A1433="BS",IF(ISNA(MATCH(D1433,p_services,0)),"Service inconnu",D1433&amp;""),""))))</f>
        <v/>
      </c>
      <c r="F1433" s="58" t="n"/>
      <c r="G1433" s="58" t="n"/>
      <c r="H1433" s="59" t="n"/>
      <c r="I1433" s="57" t="str">
        <f>IF(H1433="","",IFERROR(INDEX(art_des,MATCH(H1433,art_ref,0))&amp;"","Article inconnu"))</f>
        <v/>
      </c>
      <c r="J1433" s="60" t="str">
        <f>IF(H1433="","",IFERROR(INDEX(art_unit,MATCH(H1433,art_ref,0))&amp;"",""))</f>
        <v/>
      </c>
      <c r="K1433" s="59" t="n"/>
      <c r="L1433" s="59" t="n"/>
      <c r="M1433" s="61" t="str">
        <f>IF(OR(B1433="",NOT(ISNUMBER(K1433)),NOT(ISNUMBER(L1433))),"",IF(OR(K1433&lt;=0,L1433&lt;=0),"",ROUND(L1433-K1433,6)))</f>
        <v/>
      </c>
      <c r="N1433" s="58" t="n"/>
      <c r="O1433" s="62" t="n"/>
      <c r="P1433" s="63" t="str">
        <f>IF(OR(B1433="",NOT(ISNUMBER(L1433))),"",IF(L1433&lt;=0,"",IFERROR(ROUND(L1433*N(INDEX(art_w,MATCH(H1433,art_ref,0))),3),"")))</f>
        <v/>
      </c>
      <c r="Q1433" s="59" t="n"/>
      <c r="R1433" s="54" t="n"/>
      <c r="S1433" s="59" t="n"/>
      <c r="T1433" s="59" t="n"/>
      <c r="U1433" s="64" t="str">
        <f>IF(OR(B1433="",H1433=""),"",IFERROR(IF(A1433="BL",IF(N(INDEX(art_price,MATCH(H1433,art_ref,0)))=0,"",N(INDEX(art_price,MATCH(H1433,art_ref,0)))),IF(N(INDEX(art_cost,MATCH(H1433,art_ref,0)))=0,"",N(INDEX(art_cost,MATCH(H1433,art_ref,0))))),""))</f>
        <v/>
      </c>
      <c r="V1433" s="64" t="str">
        <f>IF(OR(U1433="",NOT(ISNUMBER(L1433))),"",IF(L1433&lt;=0,"",ROUND(L1433*U1433,2)))</f>
        <v/>
      </c>
      <c r="W1433" s="60" t="str">
        <f>IF(AND(B1433&lt;&gt;"",A1433&lt;&gt;"BS",F1433&lt;&gt;"",H1433&lt;&gt;"",ISNUMBER(K1433),ISNUMBER(L1433)),IF(AND(K1433&gt;0,L1433&gt;0,K1433-L1433&gt;0,COUNTIFS(A1434:A$2005,A1433,F1434:F$2005,F1433,H1434:H$2005,H1433,AA1434:AA$2005,"&gt;0")=0),ROUND(K1433-L1433,6),""),"")</f>
        <v/>
      </c>
      <c r="X1433" s="60" t="str">
        <f>IF(AND(A1433="",C1433="",D1433="",H1433="",L1433=""),"",IF(A1433="","Type manquant",IF(AND(A1433&lt;&gt;"BL",A1433&lt;&gt;"BR",A1433&lt;&gt;"BS"),"Type inconnu (BL, BR ou BS)",IF(AG1433=0,"Date manquante ou invalide",IF(D1433="",IF(A1433="BL","Client manquant",IF(A1433="BR","Fournisseur manquant","Service manquant")),IF(IF(A1433="BL",ISNA(MATCH(D1433,cl_code,0)),IF(A1433="BR",ISNA(MATCH(D1433,fo_code,0)),ISNA(MATCH(D1433,p_services,0)))),IF(A1433="BL","Client inconnu",IF(A1433="BR","Fournisseur inconnu","Service inconnu")),IF(H1433="","Article manquant",IF(ISNA(MATCH(H1433,art_ref,0)),"Article inconnu",IF(OR(NOT(ISNUMBER(L1433)),N(L1433)&lt;=0),"Quantité invalide",IF(AND(K1433&lt;&gt;"",OR(NOT(ISNUMBER(K1433)),N(K1433)&lt;=0)),"Qté commandée invalide",IF(AG1433&lt;SUMPRODUCT(MAX((A$6:A1432=A1433)*AG$6:AG1432)),"Date antérieure au bon précédent",IF(AND(A1433&lt;&gt;"BR",ISNUMBER(M1433),N(M1433)&gt;0),IF(A1433="BL","Livré plus que commandé","Sorti plus que demandé"),"OK"))))))))))))</f>
        <v/>
      </c>
      <c r="Y1433" s="57" t="str">
        <f>IF(AND(OR(A1433="BL",A1433="BR",A1433="BS"),AG1433&gt;0,D1433&lt;&gt;""),A1433&amp;"|"&amp;AG1433&amp;"|"&amp;D1433&amp;"|"&amp;F1433,"")</f>
        <v/>
      </c>
      <c r="Z1433" s="57" t="str">
        <f>IF(Y1433="","",IF(COUNTIF(Y$6:Y1432,Y1433)=0,1,0))</f>
        <v/>
      </c>
      <c r="AA1433" s="57" t="str">
        <f>IF(Y1433="","",IF(Z1433=1,COUNTIFS(A$6:A1433,A1433,Z$6:Z1433,1),INDEX(AA$6:AA1432,MATCH(Y1433,Y$6:Y1432,0))))</f>
        <v/>
      </c>
      <c r="AB1433" s="57" t="str">
        <f>IF(B1433="","",COUNTIF(B$6:B1433,B1433))</f>
        <v/>
      </c>
      <c r="AC1433" s="57" t="str">
        <f>IF(B1433="","",B1433&amp;"#"&amp;AB1433)</f>
        <v/>
      </c>
      <c r="AD1433" s="57" t="str">
        <f>IF(Z1433=1,A1433&amp;AA1433,"")</f>
        <v/>
      </c>
      <c r="AE1433" s="57" t="str">
        <f>IF(B1433="","",YEAR(C1433))</f>
        <v/>
      </c>
      <c r="AF1433" s="57" t="str">
        <f>IF(B1433="","",MONTH(C1433))</f>
        <v/>
      </c>
      <c r="AG1433" s="57">
        <f>IF(ISNUMBER(C1433),C1433,0)</f>
        <v>0.0</v>
      </c>
      <c r="AH1433" s="57" t="str">
        <f>IF(N(W1433)&gt;0,COUNTIF(W$6:W1433,"&gt;0"),"")</f>
        <v/>
      </c>
      <c r="AI1433" s="57" t="str">
        <f>IF(Z1433=1,COUNTIF(Z$6:Z1433,1),"")</f>
        <v/>
      </c>
    </row>
    <row r="1434">
      <c r="A1434" s="54" t="n"/>
      <c r="B1434" s="55" t="str">
        <f>IF(AA1434="","",A1434&amp;"-"&amp;RIGHT("000"&amp;AA1434,4))</f>
        <v/>
      </c>
      <c r="C1434" s="56" t="n"/>
      <c r="D1434" s="54" t="n"/>
      <c r="E1434" s="57" t="str">
        <f>IF(D1434="","",IF(A1434="BL",IFERROR(INDEX(cl_name,MATCH(D1434,cl_code,0))&amp;"","Client inconnu"),IF(A1434="BR",IFERROR(INDEX(fo_name,MATCH(D1434,fo_code,0))&amp;"","Fournisseur inconnu"),IF(A1434="BS",IF(ISNA(MATCH(D1434,p_services,0)),"Service inconnu",D1434&amp;""),""))))</f>
        <v/>
      </c>
      <c r="F1434" s="58" t="n"/>
      <c r="G1434" s="58" t="n"/>
      <c r="H1434" s="59" t="n"/>
      <c r="I1434" s="57" t="str">
        <f>IF(H1434="","",IFERROR(INDEX(art_des,MATCH(H1434,art_ref,0))&amp;"","Article inconnu"))</f>
        <v/>
      </c>
      <c r="J1434" s="60" t="str">
        <f>IF(H1434="","",IFERROR(INDEX(art_unit,MATCH(H1434,art_ref,0))&amp;"",""))</f>
        <v/>
      </c>
      <c r="K1434" s="59" t="n"/>
      <c r="L1434" s="59" t="n"/>
      <c r="M1434" s="61" t="str">
        <f>IF(OR(B1434="",NOT(ISNUMBER(K1434)),NOT(ISNUMBER(L1434))),"",IF(OR(K1434&lt;=0,L1434&lt;=0),"",ROUND(L1434-K1434,6)))</f>
        <v/>
      </c>
      <c r="N1434" s="58" t="n"/>
      <c r="O1434" s="62" t="n"/>
      <c r="P1434" s="63" t="str">
        <f>IF(OR(B1434="",NOT(ISNUMBER(L1434))),"",IF(L1434&lt;=0,"",IFERROR(ROUND(L1434*N(INDEX(art_w,MATCH(H1434,art_ref,0))),3),"")))</f>
        <v/>
      </c>
      <c r="Q1434" s="59" t="n"/>
      <c r="R1434" s="54" t="n"/>
      <c r="S1434" s="59" t="n"/>
      <c r="T1434" s="59" t="n"/>
      <c r="U1434" s="64" t="str">
        <f>IF(OR(B1434="",H1434=""),"",IFERROR(IF(A1434="BL",IF(N(INDEX(art_price,MATCH(H1434,art_ref,0)))=0,"",N(INDEX(art_price,MATCH(H1434,art_ref,0)))),IF(N(INDEX(art_cost,MATCH(H1434,art_ref,0)))=0,"",N(INDEX(art_cost,MATCH(H1434,art_ref,0))))),""))</f>
        <v/>
      </c>
      <c r="V1434" s="64" t="str">
        <f>IF(OR(U1434="",NOT(ISNUMBER(L1434))),"",IF(L1434&lt;=0,"",ROUND(L1434*U1434,2)))</f>
        <v/>
      </c>
      <c r="W1434" s="60" t="str">
        <f>IF(AND(B1434&lt;&gt;"",A1434&lt;&gt;"BS",F1434&lt;&gt;"",H1434&lt;&gt;"",ISNUMBER(K1434),ISNUMBER(L1434)),IF(AND(K1434&gt;0,L1434&gt;0,K1434-L1434&gt;0,COUNTIFS(A1435:A$2005,A1434,F1435:F$2005,F1434,H1435:H$2005,H1434,AA1435:AA$2005,"&gt;0")=0),ROUND(K1434-L1434,6),""),"")</f>
        <v/>
      </c>
      <c r="X1434" s="60" t="str">
        <f>IF(AND(A1434="",C1434="",D1434="",H1434="",L1434=""),"",IF(A1434="","Type manquant",IF(AND(A1434&lt;&gt;"BL",A1434&lt;&gt;"BR",A1434&lt;&gt;"BS"),"Type inconnu (BL, BR ou BS)",IF(AG1434=0,"Date manquante ou invalide",IF(D1434="",IF(A1434="BL","Client manquant",IF(A1434="BR","Fournisseur manquant","Service manquant")),IF(IF(A1434="BL",ISNA(MATCH(D1434,cl_code,0)),IF(A1434="BR",ISNA(MATCH(D1434,fo_code,0)),ISNA(MATCH(D1434,p_services,0)))),IF(A1434="BL","Client inconnu",IF(A1434="BR","Fournisseur inconnu","Service inconnu")),IF(H1434="","Article manquant",IF(ISNA(MATCH(H1434,art_ref,0)),"Article inconnu",IF(OR(NOT(ISNUMBER(L1434)),N(L1434)&lt;=0),"Quantité invalide",IF(AND(K1434&lt;&gt;"",OR(NOT(ISNUMBER(K1434)),N(K1434)&lt;=0)),"Qté commandée invalide",IF(AG1434&lt;SUMPRODUCT(MAX((A$6:A1433=A1434)*AG$6:AG1433)),"Date antérieure au bon précédent",IF(AND(A1434&lt;&gt;"BR",ISNUMBER(M1434),N(M1434)&gt;0),IF(A1434="BL","Livré plus que commandé","Sorti plus que demandé"),"OK"))))))))))))</f>
        <v/>
      </c>
      <c r="Y1434" s="57" t="str">
        <f>IF(AND(OR(A1434="BL",A1434="BR",A1434="BS"),AG1434&gt;0,D1434&lt;&gt;""),A1434&amp;"|"&amp;AG1434&amp;"|"&amp;D1434&amp;"|"&amp;F1434,"")</f>
        <v/>
      </c>
      <c r="Z1434" s="57" t="str">
        <f>IF(Y1434="","",IF(COUNTIF(Y$6:Y1433,Y1434)=0,1,0))</f>
        <v/>
      </c>
      <c r="AA1434" s="57" t="str">
        <f>IF(Y1434="","",IF(Z1434=1,COUNTIFS(A$6:A1434,A1434,Z$6:Z1434,1),INDEX(AA$6:AA1433,MATCH(Y1434,Y$6:Y1433,0))))</f>
        <v/>
      </c>
      <c r="AB1434" s="57" t="str">
        <f>IF(B1434="","",COUNTIF(B$6:B1434,B1434))</f>
        <v/>
      </c>
      <c r="AC1434" s="57" t="str">
        <f>IF(B1434="","",B1434&amp;"#"&amp;AB1434)</f>
        <v/>
      </c>
      <c r="AD1434" s="57" t="str">
        <f>IF(Z1434=1,A1434&amp;AA1434,"")</f>
        <v/>
      </c>
      <c r="AE1434" s="57" t="str">
        <f>IF(B1434="","",YEAR(C1434))</f>
        <v/>
      </c>
      <c r="AF1434" s="57" t="str">
        <f>IF(B1434="","",MONTH(C1434))</f>
        <v/>
      </c>
      <c r="AG1434" s="57">
        <f>IF(ISNUMBER(C1434),C1434,0)</f>
        <v>0.0</v>
      </c>
      <c r="AH1434" s="57" t="str">
        <f>IF(N(W1434)&gt;0,COUNTIF(W$6:W1434,"&gt;0"),"")</f>
        <v/>
      </c>
      <c r="AI1434" s="57" t="str">
        <f>IF(Z1434=1,COUNTIF(Z$6:Z1434,1),"")</f>
        <v/>
      </c>
    </row>
    <row r="1435">
      <c r="A1435" s="54" t="n"/>
      <c r="B1435" s="55" t="str">
        <f>IF(AA1435="","",A1435&amp;"-"&amp;RIGHT("000"&amp;AA1435,4))</f>
        <v/>
      </c>
      <c r="C1435" s="56" t="n"/>
      <c r="D1435" s="54" t="n"/>
      <c r="E1435" s="57" t="str">
        <f>IF(D1435="","",IF(A1435="BL",IFERROR(INDEX(cl_name,MATCH(D1435,cl_code,0))&amp;"","Client inconnu"),IF(A1435="BR",IFERROR(INDEX(fo_name,MATCH(D1435,fo_code,0))&amp;"","Fournisseur inconnu"),IF(A1435="BS",IF(ISNA(MATCH(D1435,p_services,0)),"Service inconnu",D1435&amp;""),""))))</f>
        <v/>
      </c>
      <c r="F1435" s="58" t="n"/>
      <c r="G1435" s="58" t="n"/>
      <c r="H1435" s="59" t="n"/>
      <c r="I1435" s="57" t="str">
        <f>IF(H1435="","",IFERROR(INDEX(art_des,MATCH(H1435,art_ref,0))&amp;"","Article inconnu"))</f>
        <v/>
      </c>
      <c r="J1435" s="60" t="str">
        <f>IF(H1435="","",IFERROR(INDEX(art_unit,MATCH(H1435,art_ref,0))&amp;"",""))</f>
        <v/>
      </c>
      <c r="K1435" s="59" t="n"/>
      <c r="L1435" s="59" t="n"/>
      <c r="M1435" s="61" t="str">
        <f>IF(OR(B1435="",NOT(ISNUMBER(K1435)),NOT(ISNUMBER(L1435))),"",IF(OR(K1435&lt;=0,L1435&lt;=0),"",ROUND(L1435-K1435,6)))</f>
        <v/>
      </c>
      <c r="N1435" s="58" t="n"/>
      <c r="O1435" s="62" t="n"/>
      <c r="P1435" s="63" t="str">
        <f>IF(OR(B1435="",NOT(ISNUMBER(L1435))),"",IF(L1435&lt;=0,"",IFERROR(ROUND(L1435*N(INDEX(art_w,MATCH(H1435,art_ref,0))),3),"")))</f>
        <v/>
      </c>
      <c r="Q1435" s="59" t="n"/>
      <c r="R1435" s="54" t="n"/>
      <c r="S1435" s="59" t="n"/>
      <c r="T1435" s="59" t="n"/>
      <c r="U1435" s="64" t="str">
        <f>IF(OR(B1435="",H1435=""),"",IFERROR(IF(A1435="BL",IF(N(INDEX(art_price,MATCH(H1435,art_ref,0)))=0,"",N(INDEX(art_price,MATCH(H1435,art_ref,0)))),IF(N(INDEX(art_cost,MATCH(H1435,art_ref,0)))=0,"",N(INDEX(art_cost,MATCH(H1435,art_ref,0))))),""))</f>
        <v/>
      </c>
      <c r="V1435" s="64" t="str">
        <f>IF(OR(U1435="",NOT(ISNUMBER(L1435))),"",IF(L1435&lt;=0,"",ROUND(L1435*U1435,2)))</f>
        <v/>
      </c>
      <c r="W1435" s="60" t="str">
        <f>IF(AND(B1435&lt;&gt;"",A1435&lt;&gt;"BS",F1435&lt;&gt;"",H1435&lt;&gt;"",ISNUMBER(K1435),ISNUMBER(L1435)),IF(AND(K1435&gt;0,L1435&gt;0,K1435-L1435&gt;0,COUNTIFS(A1436:A$2005,A1435,F1436:F$2005,F1435,H1436:H$2005,H1435,AA1436:AA$2005,"&gt;0")=0),ROUND(K1435-L1435,6),""),"")</f>
        <v/>
      </c>
      <c r="X1435" s="60" t="str">
        <f>IF(AND(A1435="",C1435="",D1435="",H1435="",L1435=""),"",IF(A1435="","Type manquant",IF(AND(A1435&lt;&gt;"BL",A1435&lt;&gt;"BR",A1435&lt;&gt;"BS"),"Type inconnu (BL, BR ou BS)",IF(AG1435=0,"Date manquante ou invalide",IF(D1435="",IF(A1435="BL","Client manquant",IF(A1435="BR","Fournisseur manquant","Service manquant")),IF(IF(A1435="BL",ISNA(MATCH(D1435,cl_code,0)),IF(A1435="BR",ISNA(MATCH(D1435,fo_code,0)),ISNA(MATCH(D1435,p_services,0)))),IF(A1435="BL","Client inconnu",IF(A1435="BR","Fournisseur inconnu","Service inconnu")),IF(H1435="","Article manquant",IF(ISNA(MATCH(H1435,art_ref,0)),"Article inconnu",IF(OR(NOT(ISNUMBER(L1435)),N(L1435)&lt;=0),"Quantité invalide",IF(AND(K1435&lt;&gt;"",OR(NOT(ISNUMBER(K1435)),N(K1435)&lt;=0)),"Qté commandée invalide",IF(AG1435&lt;SUMPRODUCT(MAX((A$6:A1434=A1435)*AG$6:AG1434)),"Date antérieure au bon précédent",IF(AND(A1435&lt;&gt;"BR",ISNUMBER(M1435),N(M1435)&gt;0),IF(A1435="BL","Livré plus que commandé","Sorti plus que demandé"),"OK"))))))))))))</f>
        <v/>
      </c>
      <c r="Y1435" s="57" t="str">
        <f>IF(AND(OR(A1435="BL",A1435="BR",A1435="BS"),AG1435&gt;0,D1435&lt;&gt;""),A1435&amp;"|"&amp;AG1435&amp;"|"&amp;D1435&amp;"|"&amp;F1435,"")</f>
        <v/>
      </c>
      <c r="Z1435" s="57" t="str">
        <f>IF(Y1435="","",IF(COUNTIF(Y$6:Y1434,Y1435)=0,1,0))</f>
        <v/>
      </c>
      <c r="AA1435" s="57" t="str">
        <f>IF(Y1435="","",IF(Z1435=1,COUNTIFS(A$6:A1435,A1435,Z$6:Z1435,1),INDEX(AA$6:AA1434,MATCH(Y1435,Y$6:Y1434,0))))</f>
        <v/>
      </c>
      <c r="AB1435" s="57" t="str">
        <f>IF(B1435="","",COUNTIF(B$6:B1435,B1435))</f>
        <v/>
      </c>
      <c r="AC1435" s="57" t="str">
        <f>IF(B1435="","",B1435&amp;"#"&amp;AB1435)</f>
        <v/>
      </c>
      <c r="AD1435" s="57" t="str">
        <f>IF(Z1435=1,A1435&amp;AA1435,"")</f>
        <v/>
      </c>
      <c r="AE1435" s="57" t="str">
        <f>IF(B1435="","",YEAR(C1435))</f>
        <v/>
      </c>
      <c r="AF1435" s="57" t="str">
        <f>IF(B1435="","",MONTH(C1435))</f>
        <v/>
      </c>
      <c r="AG1435" s="57">
        <f>IF(ISNUMBER(C1435),C1435,0)</f>
        <v>0.0</v>
      </c>
      <c r="AH1435" s="57" t="str">
        <f>IF(N(W1435)&gt;0,COUNTIF(W$6:W1435,"&gt;0"),"")</f>
        <v/>
      </c>
      <c r="AI1435" s="57" t="str">
        <f>IF(Z1435=1,COUNTIF(Z$6:Z1435,1),"")</f>
        <v/>
      </c>
    </row>
    <row r="1436">
      <c r="A1436" s="54" t="n"/>
      <c r="B1436" s="55" t="str">
        <f>IF(AA1436="","",A1436&amp;"-"&amp;RIGHT("000"&amp;AA1436,4))</f>
        <v/>
      </c>
      <c r="C1436" s="56" t="n"/>
      <c r="D1436" s="54" t="n"/>
      <c r="E1436" s="57" t="str">
        <f>IF(D1436="","",IF(A1436="BL",IFERROR(INDEX(cl_name,MATCH(D1436,cl_code,0))&amp;"","Client inconnu"),IF(A1436="BR",IFERROR(INDEX(fo_name,MATCH(D1436,fo_code,0))&amp;"","Fournisseur inconnu"),IF(A1436="BS",IF(ISNA(MATCH(D1436,p_services,0)),"Service inconnu",D1436&amp;""),""))))</f>
        <v/>
      </c>
      <c r="F1436" s="58" t="n"/>
      <c r="G1436" s="58" t="n"/>
      <c r="H1436" s="59" t="n"/>
      <c r="I1436" s="57" t="str">
        <f>IF(H1436="","",IFERROR(INDEX(art_des,MATCH(H1436,art_ref,0))&amp;"","Article inconnu"))</f>
        <v/>
      </c>
      <c r="J1436" s="60" t="str">
        <f>IF(H1436="","",IFERROR(INDEX(art_unit,MATCH(H1436,art_ref,0))&amp;"",""))</f>
        <v/>
      </c>
      <c r="K1436" s="59" t="n"/>
      <c r="L1436" s="59" t="n"/>
      <c r="M1436" s="61" t="str">
        <f>IF(OR(B1436="",NOT(ISNUMBER(K1436)),NOT(ISNUMBER(L1436))),"",IF(OR(K1436&lt;=0,L1436&lt;=0),"",ROUND(L1436-K1436,6)))</f>
        <v/>
      </c>
      <c r="N1436" s="58" t="n"/>
      <c r="O1436" s="62" t="n"/>
      <c r="P1436" s="63" t="str">
        <f>IF(OR(B1436="",NOT(ISNUMBER(L1436))),"",IF(L1436&lt;=0,"",IFERROR(ROUND(L1436*N(INDEX(art_w,MATCH(H1436,art_ref,0))),3),"")))</f>
        <v/>
      </c>
      <c r="Q1436" s="59" t="n"/>
      <c r="R1436" s="54" t="n"/>
      <c r="S1436" s="59" t="n"/>
      <c r="T1436" s="59" t="n"/>
      <c r="U1436" s="64" t="str">
        <f>IF(OR(B1436="",H1436=""),"",IFERROR(IF(A1436="BL",IF(N(INDEX(art_price,MATCH(H1436,art_ref,0)))=0,"",N(INDEX(art_price,MATCH(H1436,art_ref,0)))),IF(N(INDEX(art_cost,MATCH(H1436,art_ref,0)))=0,"",N(INDEX(art_cost,MATCH(H1436,art_ref,0))))),""))</f>
        <v/>
      </c>
      <c r="V1436" s="64" t="str">
        <f>IF(OR(U1436="",NOT(ISNUMBER(L1436))),"",IF(L1436&lt;=0,"",ROUND(L1436*U1436,2)))</f>
        <v/>
      </c>
      <c r="W1436" s="60" t="str">
        <f>IF(AND(B1436&lt;&gt;"",A1436&lt;&gt;"BS",F1436&lt;&gt;"",H1436&lt;&gt;"",ISNUMBER(K1436),ISNUMBER(L1436)),IF(AND(K1436&gt;0,L1436&gt;0,K1436-L1436&gt;0,COUNTIFS(A1437:A$2005,A1436,F1437:F$2005,F1436,H1437:H$2005,H1436,AA1437:AA$2005,"&gt;0")=0),ROUND(K1436-L1436,6),""),"")</f>
        <v/>
      </c>
      <c r="X1436" s="60" t="str">
        <f>IF(AND(A1436="",C1436="",D1436="",H1436="",L1436=""),"",IF(A1436="","Type manquant",IF(AND(A1436&lt;&gt;"BL",A1436&lt;&gt;"BR",A1436&lt;&gt;"BS"),"Type inconnu (BL, BR ou BS)",IF(AG1436=0,"Date manquante ou invalide",IF(D1436="",IF(A1436="BL","Client manquant",IF(A1436="BR","Fournisseur manquant","Service manquant")),IF(IF(A1436="BL",ISNA(MATCH(D1436,cl_code,0)),IF(A1436="BR",ISNA(MATCH(D1436,fo_code,0)),ISNA(MATCH(D1436,p_services,0)))),IF(A1436="BL","Client inconnu",IF(A1436="BR","Fournisseur inconnu","Service inconnu")),IF(H1436="","Article manquant",IF(ISNA(MATCH(H1436,art_ref,0)),"Article inconnu",IF(OR(NOT(ISNUMBER(L1436)),N(L1436)&lt;=0),"Quantité invalide",IF(AND(K1436&lt;&gt;"",OR(NOT(ISNUMBER(K1436)),N(K1436)&lt;=0)),"Qté commandée invalide",IF(AG1436&lt;SUMPRODUCT(MAX((A$6:A1435=A1436)*AG$6:AG1435)),"Date antérieure au bon précédent",IF(AND(A1436&lt;&gt;"BR",ISNUMBER(M1436),N(M1436)&gt;0),IF(A1436="BL","Livré plus que commandé","Sorti plus que demandé"),"OK"))))))))))))</f>
        <v/>
      </c>
      <c r="Y1436" s="57" t="str">
        <f>IF(AND(OR(A1436="BL",A1436="BR",A1436="BS"),AG1436&gt;0,D1436&lt;&gt;""),A1436&amp;"|"&amp;AG1436&amp;"|"&amp;D1436&amp;"|"&amp;F1436,"")</f>
        <v/>
      </c>
      <c r="Z1436" s="57" t="str">
        <f>IF(Y1436="","",IF(COUNTIF(Y$6:Y1435,Y1436)=0,1,0))</f>
        <v/>
      </c>
      <c r="AA1436" s="57" t="str">
        <f>IF(Y1436="","",IF(Z1436=1,COUNTIFS(A$6:A1436,A1436,Z$6:Z1436,1),INDEX(AA$6:AA1435,MATCH(Y1436,Y$6:Y1435,0))))</f>
        <v/>
      </c>
      <c r="AB1436" s="57" t="str">
        <f>IF(B1436="","",COUNTIF(B$6:B1436,B1436))</f>
        <v/>
      </c>
      <c r="AC1436" s="57" t="str">
        <f>IF(B1436="","",B1436&amp;"#"&amp;AB1436)</f>
        <v/>
      </c>
      <c r="AD1436" s="57" t="str">
        <f>IF(Z1436=1,A1436&amp;AA1436,"")</f>
        <v/>
      </c>
      <c r="AE1436" s="57" t="str">
        <f>IF(B1436="","",YEAR(C1436))</f>
        <v/>
      </c>
      <c r="AF1436" s="57" t="str">
        <f>IF(B1436="","",MONTH(C1436))</f>
        <v/>
      </c>
      <c r="AG1436" s="57">
        <f>IF(ISNUMBER(C1436),C1436,0)</f>
        <v>0.0</v>
      </c>
      <c r="AH1436" s="57" t="str">
        <f>IF(N(W1436)&gt;0,COUNTIF(W$6:W1436,"&gt;0"),"")</f>
        <v/>
      </c>
      <c r="AI1436" s="57" t="str">
        <f>IF(Z1436=1,COUNTIF(Z$6:Z1436,1),"")</f>
        <v/>
      </c>
    </row>
    <row r="1437">
      <c r="A1437" s="54" t="n"/>
      <c r="B1437" s="55" t="str">
        <f>IF(AA1437="","",A1437&amp;"-"&amp;RIGHT("000"&amp;AA1437,4))</f>
        <v/>
      </c>
      <c r="C1437" s="56" t="n"/>
      <c r="D1437" s="54" t="n"/>
      <c r="E1437" s="57" t="str">
        <f>IF(D1437="","",IF(A1437="BL",IFERROR(INDEX(cl_name,MATCH(D1437,cl_code,0))&amp;"","Client inconnu"),IF(A1437="BR",IFERROR(INDEX(fo_name,MATCH(D1437,fo_code,0))&amp;"","Fournisseur inconnu"),IF(A1437="BS",IF(ISNA(MATCH(D1437,p_services,0)),"Service inconnu",D1437&amp;""),""))))</f>
        <v/>
      </c>
      <c r="F1437" s="58" t="n"/>
      <c r="G1437" s="58" t="n"/>
      <c r="H1437" s="59" t="n"/>
      <c r="I1437" s="57" t="str">
        <f>IF(H1437="","",IFERROR(INDEX(art_des,MATCH(H1437,art_ref,0))&amp;"","Article inconnu"))</f>
        <v/>
      </c>
      <c r="J1437" s="60" t="str">
        <f>IF(H1437="","",IFERROR(INDEX(art_unit,MATCH(H1437,art_ref,0))&amp;"",""))</f>
        <v/>
      </c>
      <c r="K1437" s="59" t="n"/>
      <c r="L1437" s="59" t="n"/>
      <c r="M1437" s="61" t="str">
        <f>IF(OR(B1437="",NOT(ISNUMBER(K1437)),NOT(ISNUMBER(L1437))),"",IF(OR(K1437&lt;=0,L1437&lt;=0),"",ROUND(L1437-K1437,6)))</f>
        <v/>
      </c>
      <c r="N1437" s="58" t="n"/>
      <c r="O1437" s="62" t="n"/>
      <c r="P1437" s="63" t="str">
        <f>IF(OR(B1437="",NOT(ISNUMBER(L1437))),"",IF(L1437&lt;=0,"",IFERROR(ROUND(L1437*N(INDEX(art_w,MATCH(H1437,art_ref,0))),3),"")))</f>
        <v/>
      </c>
      <c r="Q1437" s="59" t="n"/>
      <c r="R1437" s="54" t="n"/>
      <c r="S1437" s="59" t="n"/>
      <c r="T1437" s="59" t="n"/>
      <c r="U1437" s="64" t="str">
        <f>IF(OR(B1437="",H1437=""),"",IFERROR(IF(A1437="BL",IF(N(INDEX(art_price,MATCH(H1437,art_ref,0)))=0,"",N(INDEX(art_price,MATCH(H1437,art_ref,0)))),IF(N(INDEX(art_cost,MATCH(H1437,art_ref,0)))=0,"",N(INDEX(art_cost,MATCH(H1437,art_ref,0))))),""))</f>
        <v/>
      </c>
      <c r="V1437" s="64" t="str">
        <f>IF(OR(U1437="",NOT(ISNUMBER(L1437))),"",IF(L1437&lt;=0,"",ROUND(L1437*U1437,2)))</f>
        <v/>
      </c>
      <c r="W1437" s="60" t="str">
        <f>IF(AND(B1437&lt;&gt;"",A1437&lt;&gt;"BS",F1437&lt;&gt;"",H1437&lt;&gt;"",ISNUMBER(K1437),ISNUMBER(L1437)),IF(AND(K1437&gt;0,L1437&gt;0,K1437-L1437&gt;0,COUNTIFS(A1438:A$2005,A1437,F1438:F$2005,F1437,H1438:H$2005,H1437,AA1438:AA$2005,"&gt;0")=0),ROUND(K1437-L1437,6),""),"")</f>
        <v/>
      </c>
      <c r="X1437" s="60" t="str">
        <f>IF(AND(A1437="",C1437="",D1437="",H1437="",L1437=""),"",IF(A1437="","Type manquant",IF(AND(A1437&lt;&gt;"BL",A1437&lt;&gt;"BR",A1437&lt;&gt;"BS"),"Type inconnu (BL, BR ou BS)",IF(AG1437=0,"Date manquante ou invalide",IF(D1437="",IF(A1437="BL","Client manquant",IF(A1437="BR","Fournisseur manquant","Service manquant")),IF(IF(A1437="BL",ISNA(MATCH(D1437,cl_code,0)),IF(A1437="BR",ISNA(MATCH(D1437,fo_code,0)),ISNA(MATCH(D1437,p_services,0)))),IF(A1437="BL","Client inconnu",IF(A1437="BR","Fournisseur inconnu","Service inconnu")),IF(H1437="","Article manquant",IF(ISNA(MATCH(H1437,art_ref,0)),"Article inconnu",IF(OR(NOT(ISNUMBER(L1437)),N(L1437)&lt;=0),"Quantité invalide",IF(AND(K1437&lt;&gt;"",OR(NOT(ISNUMBER(K1437)),N(K1437)&lt;=0)),"Qté commandée invalide",IF(AG1437&lt;SUMPRODUCT(MAX((A$6:A1436=A1437)*AG$6:AG1436)),"Date antérieure au bon précédent",IF(AND(A1437&lt;&gt;"BR",ISNUMBER(M1437),N(M1437)&gt;0),IF(A1437="BL","Livré plus que commandé","Sorti plus que demandé"),"OK"))))))))))))</f>
        <v/>
      </c>
      <c r="Y1437" s="57" t="str">
        <f>IF(AND(OR(A1437="BL",A1437="BR",A1437="BS"),AG1437&gt;0,D1437&lt;&gt;""),A1437&amp;"|"&amp;AG1437&amp;"|"&amp;D1437&amp;"|"&amp;F1437,"")</f>
        <v/>
      </c>
      <c r="Z1437" s="57" t="str">
        <f>IF(Y1437="","",IF(COUNTIF(Y$6:Y1436,Y1437)=0,1,0))</f>
        <v/>
      </c>
      <c r="AA1437" s="57" t="str">
        <f>IF(Y1437="","",IF(Z1437=1,COUNTIFS(A$6:A1437,A1437,Z$6:Z1437,1),INDEX(AA$6:AA1436,MATCH(Y1437,Y$6:Y1436,0))))</f>
        <v/>
      </c>
      <c r="AB1437" s="57" t="str">
        <f>IF(B1437="","",COUNTIF(B$6:B1437,B1437))</f>
        <v/>
      </c>
      <c r="AC1437" s="57" t="str">
        <f>IF(B1437="","",B1437&amp;"#"&amp;AB1437)</f>
        <v/>
      </c>
      <c r="AD1437" s="57" t="str">
        <f>IF(Z1437=1,A1437&amp;AA1437,"")</f>
        <v/>
      </c>
      <c r="AE1437" s="57" t="str">
        <f>IF(B1437="","",YEAR(C1437))</f>
        <v/>
      </c>
      <c r="AF1437" s="57" t="str">
        <f>IF(B1437="","",MONTH(C1437))</f>
        <v/>
      </c>
      <c r="AG1437" s="57">
        <f>IF(ISNUMBER(C1437),C1437,0)</f>
        <v>0.0</v>
      </c>
      <c r="AH1437" s="57" t="str">
        <f>IF(N(W1437)&gt;0,COUNTIF(W$6:W1437,"&gt;0"),"")</f>
        <v/>
      </c>
      <c r="AI1437" s="57" t="str">
        <f>IF(Z1437=1,COUNTIF(Z$6:Z1437,1),"")</f>
        <v/>
      </c>
    </row>
    <row r="1438">
      <c r="A1438" s="54" t="n"/>
      <c r="B1438" s="55" t="str">
        <f>IF(AA1438="","",A1438&amp;"-"&amp;RIGHT("000"&amp;AA1438,4))</f>
        <v/>
      </c>
      <c r="C1438" s="56" t="n"/>
      <c r="D1438" s="54" t="n"/>
      <c r="E1438" s="57" t="str">
        <f>IF(D1438="","",IF(A1438="BL",IFERROR(INDEX(cl_name,MATCH(D1438,cl_code,0))&amp;"","Client inconnu"),IF(A1438="BR",IFERROR(INDEX(fo_name,MATCH(D1438,fo_code,0))&amp;"","Fournisseur inconnu"),IF(A1438="BS",IF(ISNA(MATCH(D1438,p_services,0)),"Service inconnu",D1438&amp;""),""))))</f>
        <v/>
      </c>
      <c r="F1438" s="58" t="n"/>
      <c r="G1438" s="58" t="n"/>
      <c r="H1438" s="59" t="n"/>
      <c r="I1438" s="57" t="str">
        <f>IF(H1438="","",IFERROR(INDEX(art_des,MATCH(H1438,art_ref,0))&amp;"","Article inconnu"))</f>
        <v/>
      </c>
      <c r="J1438" s="60" t="str">
        <f>IF(H1438="","",IFERROR(INDEX(art_unit,MATCH(H1438,art_ref,0))&amp;"",""))</f>
        <v/>
      </c>
      <c r="K1438" s="59" t="n"/>
      <c r="L1438" s="59" t="n"/>
      <c r="M1438" s="61" t="str">
        <f>IF(OR(B1438="",NOT(ISNUMBER(K1438)),NOT(ISNUMBER(L1438))),"",IF(OR(K1438&lt;=0,L1438&lt;=0),"",ROUND(L1438-K1438,6)))</f>
        <v/>
      </c>
      <c r="N1438" s="58" t="n"/>
      <c r="O1438" s="62" t="n"/>
      <c r="P1438" s="63" t="str">
        <f>IF(OR(B1438="",NOT(ISNUMBER(L1438))),"",IF(L1438&lt;=0,"",IFERROR(ROUND(L1438*N(INDEX(art_w,MATCH(H1438,art_ref,0))),3),"")))</f>
        <v/>
      </c>
      <c r="Q1438" s="59" t="n"/>
      <c r="R1438" s="54" t="n"/>
      <c r="S1438" s="59" t="n"/>
      <c r="T1438" s="59" t="n"/>
      <c r="U1438" s="64" t="str">
        <f>IF(OR(B1438="",H1438=""),"",IFERROR(IF(A1438="BL",IF(N(INDEX(art_price,MATCH(H1438,art_ref,0)))=0,"",N(INDEX(art_price,MATCH(H1438,art_ref,0)))),IF(N(INDEX(art_cost,MATCH(H1438,art_ref,0)))=0,"",N(INDEX(art_cost,MATCH(H1438,art_ref,0))))),""))</f>
        <v/>
      </c>
      <c r="V1438" s="64" t="str">
        <f>IF(OR(U1438="",NOT(ISNUMBER(L1438))),"",IF(L1438&lt;=0,"",ROUND(L1438*U1438,2)))</f>
        <v/>
      </c>
      <c r="W1438" s="60" t="str">
        <f>IF(AND(B1438&lt;&gt;"",A1438&lt;&gt;"BS",F1438&lt;&gt;"",H1438&lt;&gt;"",ISNUMBER(K1438),ISNUMBER(L1438)),IF(AND(K1438&gt;0,L1438&gt;0,K1438-L1438&gt;0,COUNTIFS(A1439:A$2005,A1438,F1439:F$2005,F1438,H1439:H$2005,H1438,AA1439:AA$2005,"&gt;0")=0),ROUND(K1438-L1438,6),""),"")</f>
        <v/>
      </c>
      <c r="X1438" s="60" t="str">
        <f>IF(AND(A1438="",C1438="",D1438="",H1438="",L1438=""),"",IF(A1438="","Type manquant",IF(AND(A1438&lt;&gt;"BL",A1438&lt;&gt;"BR",A1438&lt;&gt;"BS"),"Type inconnu (BL, BR ou BS)",IF(AG1438=0,"Date manquante ou invalide",IF(D1438="",IF(A1438="BL","Client manquant",IF(A1438="BR","Fournisseur manquant","Service manquant")),IF(IF(A1438="BL",ISNA(MATCH(D1438,cl_code,0)),IF(A1438="BR",ISNA(MATCH(D1438,fo_code,0)),ISNA(MATCH(D1438,p_services,0)))),IF(A1438="BL","Client inconnu",IF(A1438="BR","Fournisseur inconnu","Service inconnu")),IF(H1438="","Article manquant",IF(ISNA(MATCH(H1438,art_ref,0)),"Article inconnu",IF(OR(NOT(ISNUMBER(L1438)),N(L1438)&lt;=0),"Quantité invalide",IF(AND(K1438&lt;&gt;"",OR(NOT(ISNUMBER(K1438)),N(K1438)&lt;=0)),"Qté commandée invalide",IF(AG1438&lt;SUMPRODUCT(MAX((A$6:A1437=A1438)*AG$6:AG1437)),"Date antérieure au bon précédent",IF(AND(A1438&lt;&gt;"BR",ISNUMBER(M1438),N(M1438)&gt;0),IF(A1438="BL","Livré plus que commandé","Sorti plus que demandé"),"OK"))))))))))))</f>
        <v/>
      </c>
      <c r="Y1438" s="57" t="str">
        <f>IF(AND(OR(A1438="BL",A1438="BR",A1438="BS"),AG1438&gt;0,D1438&lt;&gt;""),A1438&amp;"|"&amp;AG1438&amp;"|"&amp;D1438&amp;"|"&amp;F1438,"")</f>
        <v/>
      </c>
      <c r="Z1438" s="57" t="str">
        <f>IF(Y1438="","",IF(COUNTIF(Y$6:Y1437,Y1438)=0,1,0))</f>
        <v/>
      </c>
      <c r="AA1438" s="57" t="str">
        <f>IF(Y1438="","",IF(Z1438=1,COUNTIFS(A$6:A1438,A1438,Z$6:Z1438,1),INDEX(AA$6:AA1437,MATCH(Y1438,Y$6:Y1437,0))))</f>
        <v/>
      </c>
      <c r="AB1438" s="57" t="str">
        <f>IF(B1438="","",COUNTIF(B$6:B1438,B1438))</f>
        <v/>
      </c>
      <c r="AC1438" s="57" t="str">
        <f>IF(B1438="","",B1438&amp;"#"&amp;AB1438)</f>
        <v/>
      </c>
      <c r="AD1438" s="57" t="str">
        <f>IF(Z1438=1,A1438&amp;AA1438,"")</f>
        <v/>
      </c>
      <c r="AE1438" s="57" t="str">
        <f>IF(B1438="","",YEAR(C1438))</f>
        <v/>
      </c>
      <c r="AF1438" s="57" t="str">
        <f>IF(B1438="","",MONTH(C1438))</f>
        <v/>
      </c>
      <c r="AG1438" s="57">
        <f>IF(ISNUMBER(C1438),C1438,0)</f>
        <v>0.0</v>
      </c>
      <c r="AH1438" s="57" t="str">
        <f>IF(N(W1438)&gt;0,COUNTIF(W$6:W1438,"&gt;0"),"")</f>
        <v/>
      </c>
      <c r="AI1438" s="57" t="str">
        <f>IF(Z1438=1,COUNTIF(Z$6:Z1438,1),"")</f>
        <v/>
      </c>
    </row>
    <row r="1439">
      <c r="A1439" s="54" t="n"/>
      <c r="B1439" s="55" t="str">
        <f>IF(AA1439="","",A1439&amp;"-"&amp;RIGHT("000"&amp;AA1439,4))</f>
        <v/>
      </c>
      <c r="C1439" s="56" t="n"/>
      <c r="D1439" s="54" t="n"/>
      <c r="E1439" s="57" t="str">
        <f>IF(D1439="","",IF(A1439="BL",IFERROR(INDEX(cl_name,MATCH(D1439,cl_code,0))&amp;"","Client inconnu"),IF(A1439="BR",IFERROR(INDEX(fo_name,MATCH(D1439,fo_code,0))&amp;"","Fournisseur inconnu"),IF(A1439="BS",IF(ISNA(MATCH(D1439,p_services,0)),"Service inconnu",D1439&amp;""),""))))</f>
        <v/>
      </c>
      <c r="F1439" s="58" t="n"/>
      <c r="G1439" s="58" t="n"/>
      <c r="H1439" s="59" t="n"/>
      <c r="I1439" s="57" t="str">
        <f>IF(H1439="","",IFERROR(INDEX(art_des,MATCH(H1439,art_ref,0))&amp;"","Article inconnu"))</f>
        <v/>
      </c>
      <c r="J1439" s="60" t="str">
        <f>IF(H1439="","",IFERROR(INDEX(art_unit,MATCH(H1439,art_ref,0))&amp;"",""))</f>
        <v/>
      </c>
      <c r="K1439" s="59" t="n"/>
      <c r="L1439" s="59" t="n"/>
      <c r="M1439" s="61" t="str">
        <f>IF(OR(B1439="",NOT(ISNUMBER(K1439)),NOT(ISNUMBER(L1439))),"",IF(OR(K1439&lt;=0,L1439&lt;=0),"",ROUND(L1439-K1439,6)))</f>
        <v/>
      </c>
      <c r="N1439" s="58" t="n"/>
      <c r="O1439" s="62" t="n"/>
      <c r="P1439" s="63" t="str">
        <f>IF(OR(B1439="",NOT(ISNUMBER(L1439))),"",IF(L1439&lt;=0,"",IFERROR(ROUND(L1439*N(INDEX(art_w,MATCH(H1439,art_ref,0))),3),"")))</f>
        <v/>
      </c>
      <c r="Q1439" s="59" t="n"/>
      <c r="R1439" s="54" t="n"/>
      <c r="S1439" s="59" t="n"/>
      <c r="T1439" s="59" t="n"/>
      <c r="U1439" s="64" t="str">
        <f>IF(OR(B1439="",H1439=""),"",IFERROR(IF(A1439="BL",IF(N(INDEX(art_price,MATCH(H1439,art_ref,0)))=0,"",N(INDEX(art_price,MATCH(H1439,art_ref,0)))),IF(N(INDEX(art_cost,MATCH(H1439,art_ref,0)))=0,"",N(INDEX(art_cost,MATCH(H1439,art_ref,0))))),""))</f>
        <v/>
      </c>
      <c r="V1439" s="64" t="str">
        <f>IF(OR(U1439="",NOT(ISNUMBER(L1439))),"",IF(L1439&lt;=0,"",ROUND(L1439*U1439,2)))</f>
        <v/>
      </c>
      <c r="W1439" s="60" t="str">
        <f>IF(AND(B1439&lt;&gt;"",A1439&lt;&gt;"BS",F1439&lt;&gt;"",H1439&lt;&gt;"",ISNUMBER(K1439),ISNUMBER(L1439)),IF(AND(K1439&gt;0,L1439&gt;0,K1439-L1439&gt;0,COUNTIFS(A1440:A$2005,A1439,F1440:F$2005,F1439,H1440:H$2005,H1439,AA1440:AA$2005,"&gt;0")=0),ROUND(K1439-L1439,6),""),"")</f>
        <v/>
      </c>
      <c r="X1439" s="60" t="str">
        <f>IF(AND(A1439="",C1439="",D1439="",H1439="",L1439=""),"",IF(A1439="","Type manquant",IF(AND(A1439&lt;&gt;"BL",A1439&lt;&gt;"BR",A1439&lt;&gt;"BS"),"Type inconnu (BL, BR ou BS)",IF(AG1439=0,"Date manquante ou invalide",IF(D1439="",IF(A1439="BL","Client manquant",IF(A1439="BR","Fournisseur manquant","Service manquant")),IF(IF(A1439="BL",ISNA(MATCH(D1439,cl_code,0)),IF(A1439="BR",ISNA(MATCH(D1439,fo_code,0)),ISNA(MATCH(D1439,p_services,0)))),IF(A1439="BL","Client inconnu",IF(A1439="BR","Fournisseur inconnu","Service inconnu")),IF(H1439="","Article manquant",IF(ISNA(MATCH(H1439,art_ref,0)),"Article inconnu",IF(OR(NOT(ISNUMBER(L1439)),N(L1439)&lt;=0),"Quantité invalide",IF(AND(K1439&lt;&gt;"",OR(NOT(ISNUMBER(K1439)),N(K1439)&lt;=0)),"Qté commandée invalide",IF(AG1439&lt;SUMPRODUCT(MAX((A$6:A1438=A1439)*AG$6:AG1438)),"Date antérieure au bon précédent",IF(AND(A1439&lt;&gt;"BR",ISNUMBER(M1439),N(M1439)&gt;0),IF(A1439="BL","Livré plus que commandé","Sorti plus que demandé"),"OK"))))))))))))</f>
        <v/>
      </c>
      <c r="Y1439" s="57" t="str">
        <f>IF(AND(OR(A1439="BL",A1439="BR",A1439="BS"),AG1439&gt;0,D1439&lt;&gt;""),A1439&amp;"|"&amp;AG1439&amp;"|"&amp;D1439&amp;"|"&amp;F1439,"")</f>
        <v/>
      </c>
      <c r="Z1439" s="57" t="str">
        <f>IF(Y1439="","",IF(COUNTIF(Y$6:Y1438,Y1439)=0,1,0))</f>
        <v/>
      </c>
      <c r="AA1439" s="57" t="str">
        <f>IF(Y1439="","",IF(Z1439=1,COUNTIFS(A$6:A1439,A1439,Z$6:Z1439,1),INDEX(AA$6:AA1438,MATCH(Y1439,Y$6:Y1438,0))))</f>
        <v/>
      </c>
      <c r="AB1439" s="57" t="str">
        <f>IF(B1439="","",COUNTIF(B$6:B1439,B1439))</f>
        <v/>
      </c>
      <c r="AC1439" s="57" t="str">
        <f>IF(B1439="","",B1439&amp;"#"&amp;AB1439)</f>
        <v/>
      </c>
      <c r="AD1439" s="57" t="str">
        <f>IF(Z1439=1,A1439&amp;AA1439,"")</f>
        <v/>
      </c>
      <c r="AE1439" s="57" t="str">
        <f>IF(B1439="","",YEAR(C1439))</f>
        <v/>
      </c>
      <c r="AF1439" s="57" t="str">
        <f>IF(B1439="","",MONTH(C1439))</f>
        <v/>
      </c>
      <c r="AG1439" s="57">
        <f>IF(ISNUMBER(C1439),C1439,0)</f>
        <v>0.0</v>
      </c>
      <c r="AH1439" s="57" t="str">
        <f>IF(N(W1439)&gt;0,COUNTIF(W$6:W1439,"&gt;0"),"")</f>
        <v/>
      </c>
      <c r="AI1439" s="57" t="str">
        <f>IF(Z1439=1,COUNTIF(Z$6:Z1439,1),"")</f>
        <v/>
      </c>
    </row>
    <row r="1440">
      <c r="A1440" s="54" t="n"/>
      <c r="B1440" s="55" t="str">
        <f>IF(AA1440="","",A1440&amp;"-"&amp;RIGHT("000"&amp;AA1440,4))</f>
        <v/>
      </c>
      <c r="C1440" s="56" t="n"/>
      <c r="D1440" s="54" t="n"/>
      <c r="E1440" s="57" t="str">
        <f>IF(D1440="","",IF(A1440="BL",IFERROR(INDEX(cl_name,MATCH(D1440,cl_code,0))&amp;"","Client inconnu"),IF(A1440="BR",IFERROR(INDEX(fo_name,MATCH(D1440,fo_code,0))&amp;"","Fournisseur inconnu"),IF(A1440="BS",IF(ISNA(MATCH(D1440,p_services,0)),"Service inconnu",D1440&amp;""),""))))</f>
        <v/>
      </c>
      <c r="F1440" s="58" t="n"/>
      <c r="G1440" s="58" t="n"/>
      <c r="H1440" s="59" t="n"/>
      <c r="I1440" s="57" t="str">
        <f>IF(H1440="","",IFERROR(INDEX(art_des,MATCH(H1440,art_ref,0))&amp;"","Article inconnu"))</f>
        <v/>
      </c>
      <c r="J1440" s="60" t="str">
        <f>IF(H1440="","",IFERROR(INDEX(art_unit,MATCH(H1440,art_ref,0))&amp;"",""))</f>
        <v/>
      </c>
      <c r="K1440" s="59" t="n"/>
      <c r="L1440" s="59" t="n"/>
      <c r="M1440" s="61" t="str">
        <f>IF(OR(B1440="",NOT(ISNUMBER(K1440)),NOT(ISNUMBER(L1440))),"",IF(OR(K1440&lt;=0,L1440&lt;=0),"",ROUND(L1440-K1440,6)))</f>
        <v/>
      </c>
      <c r="N1440" s="58" t="n"/>
      <c r="O1440" s="62" t="n"/>
      <c r="P1440" s="63" t="str">
        <f>IF(OR(B1440="",NOT(ISNUMBER(L1440))),"",IF(L1440&lt;=0,"",IFERROR(ROUND(L1440*N(INDEX(art_w,MATCH(H1440,art_ref,0))),3),"")))</f>
        <v/>
      </c>
      <c r="Q1440" s="59" t="n"/>
      <c r="R1440" s="54" t="n"/>
      <c r="S1440" s="59" t="n"/>
      <c r="T1440" s="59" t="n"/>
      <c r="U1440" s="64" t="str">
        <f>IF(OR(B1440="",H1440=""),"",IFERROR(IF(A1440="BL",IF(N(INDEX(art_price,MATCH(H1440,art_ref,0)))=0,"",N(INDEX(art_price,MATCH(H1440,art_ref,0)))),IF(N(INDEX(art_cost,MATCH(H1440,art_ref,0)))=0,"",N(INDEX(art_cost,MATCH(H1440,art_ref,0))))),""))</f>
        <v/>
      </c>
      <c r="V1440" s="64" t="str">
        <f>IF(OR(U1440="",NOT(ISNUMBER(L1440))),"",IF(L1440&lt;=0,"",ROUND(L1440*U1440,2)))</f>
        <v/>
      </c>
      <c r="W1440" s="60" t="str">
        <f>IF(AND(B1440&lt;&gt;"",A1440&lt;&gt;"BS",F1440&lt;&gt;"",H1440&lt;&gt;"",ISNUMBER(K1440),ISNUMBER(L1440)),IF(AND(K1440&gt;0,L1440&gt;0,K1440-L1440&gt;0,COUNTIFS(A1441:A$2005,A1440,F1441:F$2005,F1440,H1441:H$2005,H1440,AA1441:AA$2005,"&gt;0")=0),ROUND(K1440-L1440,6),""),"")</f>
        <v/>
      </c>
      <c r="X1440" s="60" t="str">
        <f>IF(AND(A1440="",C1440="",D1440="",H1440="",L1440=""),"",IF(A1440="","Type manquant",IF(AND(A1440&lt;&gt;"BL",A1440&lt;&gt;"BR",A1440&lt;&gt;"BS"),"Type inconnu (BL, BR ou BS)",IF(AG1440=0,"Date manquante ou invalide",IF(D1440="",IF(A1440="BL","Client manquant",IF(A1440="BR","Fournisseur manquant","Service manquant")),IF(IF(A1440="BL",ISNA(MATCH(D1440,cl_code,0)),IF(A1440="BR",ISNA(MATCH(D1440,fo_code,0)),ISNA(MATCH(D1440,p_services,0)))),IF(A1440="BL","Client inconnu",IF(A1440="BR","Fournisseur inconnu","Service inconnu")),IF(H1440="","Article manquant",IF(ISNA(MATCH(H1440,art_ref,0)),"Article inconnu",IF(OR(NOT(ISNUMBER(L1440)),N(L1440)&lt;=0),"Quantité invalide",IF(AND(K1440&lt;&gt;"",OR(NOT(ISNUMBER(K1440)),N(K1440)&lt;=0)),"Qté commandée invalide",IF(AG1440&lt;SUMPRODUCT(MAX((A$6:A1439=A1440)*AG$6:AG1439)),"Date antérieure au bon précédent",IF(AND(A1440&lt;&gt;"BR",ISNUMBER(M1440),N(M1440)&gt;0),IF(A1440="BL","Livré plus que commandé","Sorti plus que demandé"),"OK"))))))))))))</f>
        <v/>
      </c>
      <c r="Y1440" s="57" t="str">
        <f>IF(AND(OR(A1440="BL",A1440="BR",A1440="BS"),AG1440&gt;0,D1440&lt;&gt;""),A1440&amp;"|"&amp;AG1440&amp;"|"&amp;D1440&amp;"|"&amp;F1440,"")</f>
        <v/>
      </c>
      <c r="Z1440" s="57" t="str">
        <f>IF(Y1440="","",IF(COUNTIF(Y$6:Y1439,Y1440)=0,1,0))</f>
        <v/>
      </c>
      <c r="AA1440" s="57" t="str">
        <f>IF(Y1440="","",IF(Z1440=1,COUNTIFS(A$6:A1440,A1440,Z$6:Z1440,1),INDEX(AA$6:AA1439,MATCH(Y1440,Y$6:Y1439,0))))</f>
        <v/>
      </c>
      <c r="AB1440" s="57" t="str">
        <f>IF(B1440="","",COUNTIF(B$6:B1440,B1440))</f>
        <v/>
      </c>
      <c r="AC1440" s="57" t="str">
        <f>IF(B1440="","",B1440&amp;"#"&amp;AB1440)</f>
        <v/>
      </c>
      <c r="AD1440" s="57" t="str">
        <f>IF(Z1440=1,A1440&amp;AA1440,"")</f>
        <v/>
      </c>
      <c r="AE1440" s="57" t="str">
        <f>IF(B1440="","",YEAR(C1440))</f>
        <v/>
      </c>
      <c r="AF1440" s="57" t="str">
        <f>IF(B1440="","",MONTH(C1440))</f>
        <v/>
      </c>
      <c r="AG1440" s="57">
        <f>IF(ISNUMBER(C1440),C1440,0)</f>
        <v>0.0</v>
      </c>
      <c r="AH1440" s="57" t="str">
        <f>IF(N(W1440)&gt;0,COUNTIF(W$6:W1440,"&gt;0"),"")</f>
        <v/>
      </c>
      <c r="AI1440" s="57" t="str">
        <f>IF(Z1440=1,COUNTIF(Z$6:Z1440,1),"")</f>
        <v/>
      </c>
    </row>
    <row r="1441">
      <c r="A1441" s="54" t="n"/>
      <c r="B1441" s="55" t="str">
        <f>IF(AA1441="","",A1441&amp;"-"&amp;RIGHT("000"&amp;AA1441,4))</f>
        <v/>
      </c>
      <c r="C1441" s="56" t="n"/>
      <c r="D1441" s="54" t="n"/>
      <c r="E1441" s="57" t="str">
        <f>IF(D1441="","",IF(A1441="BL",IFERROR(INDEX(cl_name,MATCH(D1441,cl_code,0))&amp;"","Client inconnu"),IF(A1441="BR",IFERROR(INDEX(fo_name,MATCH(D1441,fo_code,0))&amp;"","Fournisseur inconnu"),IF(A1441="BS",IF(ISNA(MATCH(D1441,p_services,0)),"Service inconnu",D1441&amp;""),""))))</f>
        <v/>
      </c>
      <c r="F1441" s="58" t="n"/>
      <c r="G1441" s="58" t="n"/>
      <c r="H1441" s="59" t="n"/>
      <c r="I1441" s="57" t="str">
        <f>IF(H1441="","",IFERROR(INDEX(art_des,MATCH(H1441,art_ref,0))&amp;"","Article inconnu"))</f>
        <v/>
      </c>
      <c r="J1441" s="60" t="str">
        <f>IF(H1441="","",IFERROR(INDEX(art_unit,MATCH(H1441,art_ref,0))&amp;"",""))</f>
        <v/>
      </c>
      <c r="K1441" s="59" t="n"/>
      <c r="L1441" s="59" t="n"/>
      <c r="M1441" s="61" t="str">
        <f>IF(OR(B1441="",NOT(ISNUMBER(K1441)),NOT(ISNUMBER(L1441))),"",IF(OR(K1441&lt;=0,L1441&lt;=0),"",ROUND(L1441-K1441,6)))</f>
        <v/>
      </c>
      <c r="N1441" s="58" t="n"/>
      <c r="O1441" s="62" t="n"/>
      <c r="P1441" s="63" t="str">
        <f>IF(OR(B1441="",NOT(ISNUMBER(L1441))),"",IF(L1441&lt;=0,"",IFERROR(ROUND(L1441*N(INDEX(art_w,MATCH(H1441,art_ref,0))),3),"")))</f>
        <v/>
      </c>
      <c r="Q1441" s="59" t="n"/>
      <c r="R1441" s="54" t="n"/>
      <c r="S1441" s="59" t="n"/>
      <c r="T1441" s="59" t="n"/>
      <c r="U1441" s="64" t="str">
        <f>IF(OR(B1441="",H1441=""),"",IFERROR(IF(A1441="BL",IF(N(INDEX(art_price,MATCH(H1441,art_ref,0)))=0,"",N(INDEX(art_price,MATCH(H1441,art_ref,0)))),IF(N(INDEX(art_cost,MATCH(H1441,art_ref,0)))=0,"",N(INDEX(art_cost,MATCH(H1441,art_ref,0))))),""))</f>
        <v/>
      </c>
      <c r="V1441" s="64" t="str">
        <f>IF(OR(U1441="",NOT(ISNUMBER(L1441))),"",IF(L1441&lt;=0,"",ROUND(L1441*U1441,2)))</f>
        <v/>
      </c>
      <c r="W1441" s="60" t="str">
        <f>IF(AND(B1441&lt;&gt;"",A1441&lt;&gt;"BS",F1441&lt;&gt;"",H1441&lt;&gt;"",ISNUMBER(K1441),ISNUMBER(L1441)),IF(AND(K1441&gt;0,L1441&gt;0,K1441-L1441&gt;0,COUNTIFS(A1442:A$2005,A1441,F1442:F$2005,F1441,H1442:H$2005,H1441,AA1442:AA$2005,"&gt;0")=0),ROUND(K1441-L1441,6),""),"")</f>
        <v/>
      </c>
      <c r="X1441" s="60" t="str">
        <f>IF(AND(A1441="",C1441="",D1441="",H1441="",L1441=""),"",IF(A1441="","Type manquant",IF(AND(A1441&lt;&gt;"BL",A1441&lt;&gt;"BR",A1441&lt;&gt;"BS"),"Type inconnu (BL, BR ou BS)",IF(AG1441=0,"Date manquante ou invalide",IF(D1441="",IF(A1441="BL","Client manquant",IF(A1441="BR","Fournisseur manquant","Service manquant")),IF(IF(A1441="BL",ISNA(MATCH(D1441,cl_code,0)),IF(A1441="BR",ISNA(MATCH(D1441,fo_code,0)),ISNA(MATCH(D1441,p_services,0)))),IF(A1441="BL","Client inconnu",IF(A1441="BR","Fournisseur inconnu","Service inconnu")),IF(H1441="","Article manquant",IF(ISNA(MATCH(H1441,art_ref,0)),"Article inconnu",IF(OR(NOT(ISNUMBER(L1441)),N(L1441)&lt;=0),"Quantité invalide",IF(AND(K1441&lt;&gt;"",OR(NOT(ISNUMBER(K1441)),N(K1441)&lt;=0)),"Qté commandée invalide",IF(AG1441&lt;SUMPRODUCT(MAX((A$6:A1440=A1441)*AG$6:AG1440)),"Date antérieure au bon précédent",IF(AND(A1441&lt;&gt;"BR",ISNUMBER(M1441),N(M1441)&gt;0),IF(A1441="BL","Livré plus que commandé","Sorti plus que demandé"),"OK"))))))))))))</f>
        <v/>
      </c>
      <c r="Y1441" s="57" t="str">
        <f>IF(AND(OR(A1441="BL",A1441="BR",A1441="BS"),AG1441&gt;0,D1441&lt;&gt;""),A1441&amp;"|"&amp;AG1441&amp;"|"&amp;D1441&amp;"|"&amp;F1441,"")</f>
        <v/>
      </c>
      <c r="Z1441" s="57" t="str">
        <f>IF(Y1441="","",IF(COUNTIF(Y$6:Y1440,Y1441)=0,1,0))</f>
        <v/>
      </c>
      <c r="AA1441" s="57" t="str">
        <f>IF(Y1441="","",IF(Z1441=1,COUNTIFS(A$6:A1441,A1441,Z$6:Z1441,1),INDEX(AA$6:AA1440,MATCH(Y1441,Y$6:Y1440,0))))</f>
        <v/>
      </c>
      <c r="AB1441" s="57" t="str">
        <f>IF(B1441="","",COUNTIF(B$6:B1441,B1441))</f>
        <v/>
      </c>
      <c r="AC1441" s="57" t="str">
        <f>IF(B1441="","",B1441&amp;"#"&amp;AB1441)</f>
        <v/>
      </c>
      <c r="AD1441" s="57" t="str">
        <f>IF(Z1441=1,A1441&amp;AA1441,"")</f>
        <v/>
      </c>
      <c r="AE1441" s="57" t="str">
        <f>IF(B1441="","",YEAR(C1441))</f>
        <v/>
      </c>
      <c r="AF1441" s="57" t="str">
        <f>IF(B1441="","",MONTH(C1441))</f>
        <v/>
      </c>
      <c r="AG1441" s="57">
        <f>IF(ISNUMBER(C1441),C1441,0)</f>
        <v>0.0</v>
      </c>
      <c r="AH1441" s="57" t="str">
        <f>IF(N(W1441)&gt;0,COUNTIF(W$6:W1441,"&gt;0"),"")</f>
        <v/>
      </c>
      <c r="AI1441" s="57" t="str">
        <f>IF(Z1441=1,COUNTIF(Z$6:Z1441,1),"")</f>
        <v/>
      </c>
    </row>
    <row r="1442">
      <c r="A1442" s="54" t="n"/>
      <c r="B1442" s="55" t="str">
        <f>IF(AA1442="","",A1442&amp;"-"&amp;RIGHT("000"&amp;AA1442,4))</f>
        <v/>
      </c>
      <c r="C1442" s="56" t="n"/>
      <c r="D1442" s="54" t="n"/>
      <c r="E1442" s="57" t="str">
        <f>IF(D1442="","",IF(A1442="BL",IFERROR(INDEX(cl_name,MATCH(D1442,cl_code,0))&amp;"","Client inconnu"),IF(A1442="BR",IFERROR(INDEX(fo_name,MATCH(D1442,fo_code,0))&amp;"","Fournisseur inconnu"),IF(A1442="BS",IF(ISNA(MATCH(D1442,p_services,0)),"Service inconnu",D1442&amp;""),""))))</f>
        <v/>
      </c>
      <c r="F1442" s="58" t="n"/>
      <c r="G1442" s="58" t="n"/>
      <c r="H1442" s="59" t="n"/>
      <c r="I1442" s="57" t="str">
        <f>IF(H1442="","",IFERROR(INDEX(art_des,MATCH(H1442,art_ref,0))&amp;"","Article inconnu"))</f>
        <v/>
      </c>
      <c r="J1442" s="60" t="str">
        <f>IF(H1442="","",IFERROR(INDEX(art_unit,MATCH(H1442,art_ref,0))&amp;"",""))</f>
        <v/>
      </c>
      <c r="K1442" s="59" t="n"/>
      <c r="L1442" s="59" t="n"/>
      <c r="M1442" s="61" t="str">
        <f>IF(OR(B1442="",NOT(ISNUMBER(K1442)),NOT(ISNUMBER(L1442))),"",IF(OR(K1442&lt;=0,L1442&lt;=0),"",ROUND(L1442-K1442,6)))</f>
        <v/>
      </c>
      <c r="N1442" s="58" t="n"/>
      <c r="O1442" s="62" t="n"/>
      <c r="P1442" s="63" t="str">
        <f>IF(OR(B1442="",NOT(ISNUMBER(L1442))),"",IF(L1442&lt;=0,"",IFERROR(ROUND(L1442*N(INDEX(art_w,MATCH(H1442,art_ref,0))),3),"")))</f>
        <v/>
      </c>
      <c r="Q1442" s="59" t="n"/>
      <c r="R1442" s="54" t="n"/>
      <c r="S1442" s="59" t="n"/>
      <c r="T1442" s="59" t="n"/>
      <c r="U1442" s="64" t="str">
        <f>IF(OR(B1442="",H1442=""),"",IFERROR(IF(A1442="BL",IF(N(INDEX(art_price,MATCH(H1442,art_ref,0)))=0,"",N(INDEX(art_price,MATCH(H1442,art_ref,0)))),IF(N(INDEX(art_cost,MATCH(H1442,art_ref,0)))=0,"",N(INDEX(art_cost,MATCH(H1442,art_ref,0))))),""))</f>
        <v/>
      </c>
      <c r="V1442" s="64" t="str">
        <f>IF(OR(U1442="",NOT(ISNUMBER(L1442))),"",IF(L1442&lt;=0,"",ROUND(L1442*U1442,2)))</f>
        <v/>
      </c>
      <c r="W1442" s="60" t="str">
        <f>IF(AND(B1442&lt;&gt;"",A1442&lt;&gt;"BS",F1442&lt;&gt;"",H1442&lt;&gt;"",ISNUMBER(K1442),ISNUMBER(L1442)),IF(AND(K1442&gt;0,L1442&gt;0,K1442-L1442&gt;0,COUNTIFS(A1443:A$2005,A1442,F1443:F$2005,F1442,H1443:H$2005,H1442,AA1443:AA$2005,"&gt;0")=0),ROUND(K1442-L1442,6),""),"")</f>
        <v/>
      </c>
      <c r="X1442" s="60" t="str">
        <f>IF(AND(A1442="",C1442="",D1442="",H1442="",L1442=""),"",IF(A1442="","Type manquant",IF(AND(A1442&lt;&gt;"BL",A1442&lt;&gt;"BR",A1442&lt;&gt;"BS"),"Type inconnu (BL, BR ou BS)",IF(AG1442=0,"Date manquante ou invalide",IF(D1442="",IF(A1442="BL","Client manquant",IF(A1442="BR","Fournisseur manquant","Service manquant")),IF(IF(A1442="BL",ISNA(MATCH(D1442,cl_code,0)),IF(A1442="BR",ISNA(MATCH(D1442,fo_code,0)),ISNA(MATCH(D1442,p_services,0)))),IF(A1442="BL","Client inconnu",IF(A1442="BR","Fournisseur inconnu","Service inconnu")),IF(H1442="","Article manquant",IF(ISNA(MATCH(H1442,art_ref,0)),"Article inconnu",IF(OR(NOT(ISNUMBER(L1442)),N(L1442)&lt;=0),"Quantité invalide",IF(AND(K1442&lt;&gt;"",OR(NOT(ISNUMBER(K1442)),N(K1442)&lt;=0)),"Qté commandée invalide",IF(AG1442&lt;SUMPRODUCT(MAX((A$6:A1441=A1442)*AG$6:AG1441)),"Date antérieure au bon précédent",IF(AND(A1442&lt;&gt;"BR",ISNUMBER(M1442),N(M1442)&gt;0),IF(A1442="BL","Livré plus que commandé","Sorti plus que demandé"),"OK"))))))))))))</f>
        <v/>
      </c>
      <c r="Y1442" s="57" t="str">
        <f>IF(AND(OR(A1442="BL",A1442="BR",A1442="BS"),AG1442&gt;0,D1442&lt;&gt;""),A1442&amp;"|"&amp;AG1442&amp;"|"&amp;D1442&amp;"|"&amp;F1442,"")</f>
        <v/>
      </c>
      <c r="Z1442" s="57" t="str">
        <f>IF(Y1442="","",IF(COUNTIF(Y$6:Y1441,Y1442)=0,1,0))</f>
        <v/>
      </c>
      <c r="AA1442" s="57" t="str">
        <f>IF(Y1442="","",IF(Z1442=1,COUNTIFS(A$6:A1442,A1442,Z$6:Z1442,1),INDEX(AA$6:AA1441,MATCH(Y1442,Y$6:Y1441,0))))</f>
        <v/>
      </c>
      <c r="AB1442" s="57" t="str">
        <f>IF(B1442="","",COUNTIF(B$6:B1442,B1442))</f>
        <v/>
      </c>
      <c r="AC1442" s="57" t="str">
        <f>IF(B1442="","",B1442&amp;"#"&amp;AB1442)</f>
        <v/>
      </c>
      <c r="AD1442" s="57" t="str">
        <f>IF(Z1442=1,A1442&amp;AA1442,"")</f>
        <v/>
      </c>
      <c r="AE1442" s="57" t="str">
        <f>IF(B1442="","",YEAR(C1442))</f>
        <v/>
      </c>
      <c r="AF1442" s="57" t="str">
        <f>IF(B1442="","",MONTH(C1442))</f>
        <v/>
      </c>
      <c r="AG1442" s="57">
        <f>IF(ISNUMBER(C1442),C1442,0)</f>
        <v>0.0</v>
      </c>
      <c r="AH1442" s="57" t="str">
        <f>IF(N(W1442)&gt;0,COUNTIF(W$6:W1442,"&gt;0"),"")</f>
        <v/>
      </c>
      <c r="AI1442" s="57" t="str">
        <f>IF(Z1442=1,COUNTIF(Z$6:Z1442,1),"")</f>
        <v/>
      </c>
    </row>
    <row r="1443">
      <c r="A1443" s="54" t="n"/>
      <c r="B1443" s="55" t="str">
        <f>IF(AA1443="","",A1443&amp;"-"&amp;RIGHT("000"&amp;AA1443,4))</f>
        <v/>
      </c>
      <c r="C1443" s="56" t="n"/>
      <c r="D1443" s="54" t="n"/>
      <c r="E1443" s="57" t="str">
        <f>IF(D1443="","",IF(A1443="BL",IFERROR(INDEX(cl_name,MATCH(D1443,cl_code,0))&amp;"","Client inconnu"),IF(A1443="BR",IFERROR(INDEX(fo_name,MATCH(D1443,fo_code,0))&amp;"","Fournisseur inconnu"),IF(A1443="BS",IF(ISNA(MATCH(D1443,p_services,0)),"Service inconnu",D1443&amp;""),""))))</f>
        <v/>
      </c>
      <c r="F1443" s="58" t="n"/>
      <c r="G1443" s="58" t="n"/>
      <c r="H1443" s="59" t="n"/>
      <c r="I1443" s="57" t="str">
        <f>IF(H1443="","",IFERROR(INDEX(art_des,MATCH(H1443,art_ref,0))&amp;"","Article inconnu"))</f>
        <v/>
      </c>
      <c r="J1443" s="60" t="str">
        <f>IF(H1443="","",IFERROR(INDEX(art_unit,MATCH(H1443,art_ref,0))&amp;"",""))</f>
        <v/>
      </c>
      <c r="K1443" s="59" t="n"/>
      <c r="L1443" s="59" t="n"/>
      <c r="M1443" s="61" t="str">
        <f>IF(OR(B1443="",NOT(ISNUMBER(K1443)),NOT(ISNUMBER(L1443))),"",IF(OR(K1443&lt;=0,L1443&lt;=0),"",ROUND(L1443-K1443,6)))</f>
        <v/>
      </c>
      <c r="N1443" s="58" t="n"/>
      <c r="O1443" s="62" t="n"/>
      <c r="P1443" s="63" t="str">
        <f>IF(OR(B1443="",NOT(ISNUMBER(L1443))),"",IF(L1443&lt;=0,"",IFERROR(ROUND(L1443*N(INDEX(art_w,MATCH(H1443,art_ref,0))),3),"")))</f>
        <v/>
      </c>
      <c r="Q1443" s="59" t="n"/>
      <c r="R1443" s="54" t="n"/>
      <c r="S1443" s="59" t="n"/>
      <c r="T1443" s="59" t="n"/>
      <c r="U1443" s="64" t="str">
        <f>IF(OR(B1443="",H1443=""),"",IFERROR(IF(A1443="BL",IF(N(INDEX(art_price,MATCH(H1443,art_ref,0)))=0,"",N(INDEX(art_price,MATCH(H1443,art_ref,0)))),IF(N(INDEX(art_cost,MATCH(H1443,art_ref,0)))=0,"",N(INDEX(art_cost,MATCH(H1443,art_ref,0))))),""))</f>
        <v/>
      </c>
      <c r="V1443" s="64" t="str">
        <f>IF(OR(U1443="",NOT(ISNUMBER(L1443))),"",IF(L1443&lt;=0,"",ROUND(L1443*U1443,2)))</f>
        <v/>
      </c>
      <c r="W1443" s="60" t="str">
        <f>IF(AND(B1443&lt;&gt;"",A1443&lt;&gt;"BS",F1443&lt;&gt;"",H1443&lt;&gt;"",ISNUMBER(K1443),ISNUMBER(L1443)),IF(AND(K1443&gt;0,L1443&gt;0,K1443-L1443&gt;0,COUNTIFS(A1444:A$2005,A1443,F1444:F$2005,F1443,H1444:H$2005,H1443,AA1444:AA$2005,"&gt;0")=0),ROUND(K1443-L1443,6),""),"")</f>
        <v/>
      </c>
      <c r="X1443" s="60" t="str">
        <f>IF(AND(A1443="",C1443="",D1443="",H1443="",L1443=""),"",IF(A1443="","Type manquant",IF(AND(A1443&lt;&gt;"BL",A1443&lt;&gt;"BR",A1443&lt;&gt;"BS"),"Type inconnu (BL, BR ou BS)",IF(AG1443=0,"Date manquante ou invalide",IF(D1443="",IF(A1443="BL","Client manquant",IF(A1443="BR","Fournisseur manquant","Service manquant")),IF(IF(A1443="BL",ISNA(MATCH(D1443,cl_code,0)),IF(A1443="BR",ISNA(MATCH(D1443,fo_code,0)),ISNA(MATCH(D1443,p_services,0)))),IF(A1443="BL","Client inconnu",IF(A1443="BR","Fournisseur inconnu","Service inconnu")),IF(H1443="","Article manquant",IF(ISNA(MATCH(H1443,art_ref,0)),"Article inconnu",IF(OR(NOT(ISNUMBER(L1443)),N(L1443)&lt;=0),"Quantité invalide",IF(AND(K1443&lt;&gt;"",OR(NOT(ISNUMBER(K1443)),N(K1443)&lt;=0)),"Qté commandée invalide",IF(AG1443&lt;SUMPRODUCT(MAX((A$6:A1442=A1443)*AG$6:AG1442)),"Date antérieure au bon précédent",IF(AND(A1443&lt;&gt;"BR",ISNUMBER(M1443),N(M1443)&gt;0),IF(A1443="BL","Livré plus que commandé","Sorti plus que demandé"),"OK"))))))))))))</f>
        <v/>
      </c>
      <c r="Y1443" s="57" t="str">
        <f>IF(AND(OR(A1443="BL",A1443="BR",A1443="BS"),AG1443&gt;0,D1443&lt;&gt;""),A1443&amp;"|"&amp;AG1443&amp;"|"&amp;D1443&amp;"|"&amp;F1443,"")</f>
        <v/>
      </c>
      <c r="Z1443" s="57" t="str">
        <f>IF(Y1443="","",IF(COUNTIF(Y$6:Y1442,Y1443)=0,1,0))</f>
        <v/>
      </c>
      <c r="AA1443" s="57" t="str">
        <f>IF(Y1443="","",IF(Z1443=1,COUNTIFS(A$6:A1443,A1443,Z$6:Z1443,1),INDEX(AA$6:AA1442,MATCH(Y1443,Y$6:Y1442,0))))</f>
        <v/>
      </c>
      <c r="AB1443" s="57" t="str">
        <f>IF(B1443="","",COUNTIF(B$6:B1443,B1443))</f>
        <v/>
      </c>
      <c r="AC1443" s="57" t="str">
        <f>IF(B1443="","",B1443&amp;"#"&amp;AB1443)</f>
        <v/>
      </c>
      <c r="AD1443" s="57" t="str">
        <f>IF(Z1443=1,A1443&amp;AA1443,"")</f>
        <v/>
      </c>
      <c r="AE1443" s="57" t="str">
        <f>IF(B1443="","",YEAR(C1443))</f>
        <v/>
      </c>
      <c r="AF1443" s="57" t="str">
        <f>IF(B1443="","",MONTH(C1443))</f>
        <v/>
      </c>
      <c r="AG1443" s="57">
        <f>IF(ISNUMBER(C1443),C1443,0)</f>
        <v>0.0</v>
      </c>
      <c r="AH1443" s="57" t="str">
        <f>IF(N(W1443)&gt;0,COUNTIF(W$6:W1443,"&gt;0"),"")</f>
        <v/>
      </c>
      <c r="AI1443" s="57" t="str">
        <f>IF(Z1443=1,COUNTIF(Z$6:Z1443,1),"")</f>
        <v/>
      </c>
    </row>
    <row r="1444">
      <c r="A1444" s="54" t="n"/>
      <c r="B1444" s="55" t="str">
        <f>IF(AA1444="","",A1444&amp;"-"&amp;RIGHT("000"&amp;AA1444,4))</f>
        <v/>
      </c>
      <c r="C1444" s="56" t="n"/>
      <c r="D1444" s="54" t="n"/>
      <c r="E1444" s="57" t="str">
        <f>IF(D1444="","",IF(A1444="BL",IFERROR(INDEX(cl_name,MATCH(D1444,cl_code,0))&amp;"","Client inconnu"),IF(A1444="BR",IFERROR(INDEX(fo_name,MATCH(D1444,fo_code,0))&amp;"","Fournisseur inconnu"),IF(A1444="BS",IF(ISNA(MATCH(D1444,p_services,0)),"Service inconnu",D1444&amp;""),""))))</f>
        <v/>
      </c>
      <c r="F1444" s="58" t="n"/>
      <c r="G1444" s="58" t="n"/>
      <c r="H1444" s="59" t="n"/>
      <c r="I1444" s="57" t="str">
        <f>IF(H1444="","",IFERROR(INDEX(art_des,MATCH(H1444,art_ref,0))&amp;"","Article inconnu"))</f>
        <v/>
      </c>
      <c r="J1444" s="60" t="str">
        <f>IF(H1444="","",IFERROR(INDEX(art_unit,MATCH(H1444,art_ref,0))&amp;"",""))</f>
        <v/>
      </c>
      <c r="K1444" s="59" t="n"/>
      <c r="L1444" s="59" t="n"/>
      <c r="M1444" s="61" t="str">
        <f>IF(OR(B1444="",NOT(ISNUMBER(K1444)),NOT(ISNUMBER(L1444))),"",IF(OR(K1444&lt;=0,L1444&lt;=0),"",ROUND(L1444-K1444,6)))</f>
        <v/>
      </c>
      <c r="N1444" s="58" t="n"/>
      <c r="O1444" s="62" t="n"/>
      <c r="P1444" s="63" t="str">
        <f>IF(OR(B1444="",NOT(ISNUMBER(L1444))),"",IF(L1444&lt;=0,"",IFERROR(ROUND(L1444*N(INDEX(art_w,MATCH(H1444,art_ref,0))),3),"")))</f>
        <v/>
      </c>
      <c r="Q1444" s="59" t="n"/>
      <c r="R1444" s="54" t="n"/>
      <c r="S1444" s="59" t="n"/>
      <c r="T1444" s="59" t="n"/>
      <c r="U1444" s="64" t="str">
        <f>IF(OR(B1444="",H1444=""),"",IFERROR(IF(A1444="BL",IF(N(INDEX(art_price,MATCH(H1444,art_ref,0)))=0,"",N(INDEX(art_price,MATCH(H1444,art_ref,0)))),IF(N(INDEX(art_cost,MATCH(H1444,art_ref,0)))=0,"",N(INDEX(art_cost,MATCH(H1444,art_ref,0))))),""))</f>
        <v/>
      </c>
      <c r="V1444" s="64" t="str">
        <f>IF(OR(U1444="",NOT(ISNUMBER(L1444))),"",IF(L1444&lt;=0,"",ROUND(L1444*U1444,2)))</f>
        <v/>
      </c>
      <c r="W1444" s="60" t="str">
        <f>IF(AND(B1444&lt;&gt;"",A1444&lt;&gt;"BS",F1444&lt;&gt;"",H1444&lt;&gt;"",ISNUMBER(K1444),ISNUMBER(L1444)),IF(AND(K1444&gt;0,L1444&gt;0,K1444-L1444&gt;0,COUNTIFS(A1445:A$2005,A1444,F1445:F$2005,F1444,H1445:H$2005,H1444,AA1445:AA$2005,"&gt;0")=0),ROUND(K1444-L1444,6),""),"")</f>
        <v/>
      </c>
      <c r="X1444" s="60" t="str">
        <f>IF(AND(A1444="",C1444="",D1444="",H1444="",L1444=""),"",IF(A1444="","Type manquant",IF(AND(A1444&lt;&gt;"BL",A1444&lt;&gt;"BR",A1444&lt;&gt;"BS"),"Type inconnu (BL, BR ou BS)",IF(AG1444=0,"Date manquante ou invalide",IF(D1444="",IF(A1444="BL","Client manquant",IF(A1444="BR","Fournisseur manquant","Service manquant")),IF(IF(A1444="BL",ISNA(MATCH(D1444,cl_code,0)),IF(A1444="BR",ISNA(MATCH(D1444,fo_code,0)),ISNA(MATCH(D1444,p_services,0)))),IF(A1444="BL","Client inconnu",IF(A1444="BR","Fournisseur inconnu","Service inconnu")),IF(H1444="","Article manquant",IF(ISNA(MATCH(H1444,art_ref,0)),"Article inconnu",IF(OR(NOT(ISNUMBER(L1444)),N(L1444)&lt;=0),"Quantité invalide",IF(AND(K1444&lt;&gt;"",OR(NOT(ISNUMBER(K1444)),N(K1444)&lt;=0)),"Qté commandée invalide",IF(AG1444&lt;SUMPRODUCT(MAX((A$6:A1443=A1444)*AG$6:AG1443)),"Date antérieure au bon précédent",IF(AND(A1444&lt;&gt;"BR",ISNUMBER(M1444),N(M1444)&gt;0),IF(A1444="BL","Livré plus que commandé","Sorti plus que demandé"),"OK"))))))))))))</f>
        <v/>
      </c>
      <c r="Y1444" s="57" t="str">
        <f>IF(AND(OR(A1444="BL",A1444="BR",A1444="BS"),AG1444&gt;0,D1444&lt;&gt;""),A1444&amp;"|"&amp;AG1444&amp;"|"&amp;D1444&amp;"|"&amp;F1444,"")</f>
        <v/>
      </c>
      <c r="Z1444" s="57" t="str">
        <f>IF(Y1444="","",IF(COUNTIF(Y$6:Y1443,Y1444)=0,1,0))</f>
        <v/>
      </c>
      <c r="AA1444" s="57" t="str">
        <f>IF(Y1444="","",IF(Z1444=1,COUNTIFS(A$6:A1444,A1444,Z$6:Z1444,1),INDEX(AA$6:AA1443,MATCH(Y1444,Y$6:Y1443,0))))</f>
        <v/>
      </c>
      <c r="AB1444" s="57" t="str">
        <f>IF(B1444="","",COUNTIF(B$6:B1444,B1444))</f>
        <v/>
      </c>
      <c r="AC1444" s="57" t="str">
        <f>IF(B1444="","",B1444&amp;"#"&amp;AB1444)</f>
        <v/>
      </c>
      <c r="AD1444" s="57" t="str">
        <f>IF(Z1444=1,A1444&amp;AA1444,"")</f>
        <v/>
      </c>
      <c r="AE1444" s="57" t="str">
        <f>IF(B1444="","",YEAR(C1444))</f>
        <v/>
      </c>
      <c r="AF1444" s="57" t="str">
        <f>IF(B1444="","",MONTH(C1444))</f>
        <v/>
      </c>
      <c r="AG1444" s="57">
        <f>IF(ISNUMBER(C1444),C1444,0)</f>
        <v>0.0</v>
      </c>
      <c r="AH1444" s="57" t="str">
        <f>IF(N(W1444)&gt;0,COUNTIF(W$6:W1444,"&gt;0"),"")</f>
        <v/>
      </c>
      <c r="AI1444" s="57" t="str">
        <f>IF(Z1444=1,COUNTIF(Z$6:Z1444,1),"")</f>
        <v/>
      </c>
    </row>
    <row r="1445">
      <c r="A1445" s="54" t="n"/>
      <c r="B1445" s="55" t="str">
        <f>IF(AA1445="","",A1445&amp;"-"&amp;RIGHT("000"&amp;AA1445,4))</f>
        <v/>
      </c>
      <c r="C1445" s="56" t="n"/>
      <c r="D1445" s="54" t="n"/>
      <c r="E1445" s="57" t="str">
        <f>IF(D1445="","",IF(A1445="BL",IFERROR(INDEX(cl_name,MATCH(D1445,cl_code,0))&amp;"","Client inconnu"),IF(A1445="BR",IFERROR(INDEX(fo_name,MATCH(D1445,fo_code,0))&amp;"","Fournisseur inconnu"),IF(A1445="BS",IF(ISNA(MATCH(D1445,p_services,0)),"Service inconnu",D1445&amp;""),""))))</f>
        <v/>
      </c>
      <c r="F1445" s="58" t="n"/>
      <c r="G1445" s="58" t="n"/>
      <c r="H1445" s="59" t="n"/>
      <c r="I1445" s="57" t="str">
        <f>IF(H1445="","",IFERROR(INDEX(art_des,MATCH(H1445,art_ref,0))&amp;"","Article inconnu"))</f>
        <v/>
      </c>
      <c r="J1445" s="60" t="str">
        <f>IF(H1445="","",IFERROR(INDEX(art_unit,MATCH(H1445,art_ref,0))&amp;"",""))</f>
        <v/>
      </c>
      <c r="K1445" s="59" t="n"/>
      <c r="L1445" s="59" t="n"/>
      <c r="M1445" s="61" t="str">
        <f>IF(OR(B1445="",NOT(ISNUMBER(K1445)),NOT(ISNUMBER(L1445))),"",IF(OR(K1445&lt;=0,L1445&lt;=0),"",ROUND(L1445-K1445,6)))</f>
        <v/>
      </c>
      <c r="N1445" s="58" t="n"/>
      <c r="O1445" s="62" t="n"/>
      <c r="P1445" s="63" t="str">
        <f>IF(OR(B1445="",NOT(ISNUMBER(L1445))),"",IF(L1445&lt;=0,"",IFERROR(ROUND(L1445*N(INDEX(art_w,MATCH(H1445,art_ref,0))),3),"")))</f>
        <v/>
      </c>
      <c r="Q1445" s="59" t="n"/>
      <c r="R1445" s="54" t="n"/>
      <c r="S1445" s="59" t="n"/>
      <c r="T1445" s="59" t="n"/>
      <c r="U1445" s="64" t="str">
        <f>IF(OR(B1445="",H1445=""),"",IFERROR(IF(A1445="BL",IF(N(INDEX(art_price,MATCH(H1445,art_ref,0)))=0,"",N(INDEX(art_price,MATCH(H1445,art_ref,0)))),IF(N(INDEX(art_cost,MATCH(H1445,art_ref,0)))=0,"",N(INDEX(art_cost,MATCH(H1445,art_ref,0))))),""))</f>
        <v/>
      </c>
      <c r="V1445" s="64" t="str">
        <f>IF(OR(U1445="",NOT(ISNUMBER(L1445))),"",IF(L1445&lt;=0,"",ROUND(L1445*U1445,2)))</f>
        <v/>
      </c>
      <c r="W1445" s="60" t="str">
        <f>IF(AND(B1445&lt;&gt;"",A1445&lt;&gt;"BS",F1445&lt;&gt;"",H1445&lt;&gt;"",ISNUMBER(K1445),ISNUMBER(L1445)),IF(AND(K1445&gt;0,L1445&gt;0,K1445-L1445&gt;0,COUNTIFS(A1446:A$2005,A1445,F1446:F$2005,F1445,H1446:H$2005,H1445,AA1446:AA$2005,"&gt;0")=0),ROUND(K1445-L1445,6),""),"")</f>
        <v/>
      </c>
      <c r="X1445" s="60" t="str">
        <f>IF(AND(A1445="",C1445="",D1445="",H1445="",L1445=""),"",IF(A1445="","Type manquant",IF(AND(A1445&lt;&gt;"BL",A1445&lt;&gt;"BR",A1445&lt;&gt;"BS"),"Type inconnu (BL, BR ou BS)",IF(AG1445=0,"Date manquante ou invalide",IF(D1445="",IF(A1445="BL","Client manquant",IF(A1445="BR","Fournisseur manquant","Service manquant")),IF(IF(A1445="BL",ISNA(MATCH(D1445,cl_code,0)),IF(A1445="BR",ISNA(MATCH(D1445,fo_code,0)),ISNA(MATCH(D1445,p_services,0)))),IF(A1445="BL","Client inconnu",IF(A1445="BR","Fournisseur inconnu","Service inconnu")),IF(H1445="","Article manquant",IF(ISNA(MATCH(H1445,art_ref,0)),"Article inconnu",IF(OR(NOT(ISNUMBER(L1445)),N(L1445)&lt;=0),"Quantité invalide",IF(AND(K1445&lt;&gt;"",OR(NOT(ISNUMBER(K1445)),N(K1445)&lt;=0)),"Qté commandée invalide",IF(AG1445&lt;SUMPRODUCT(MAX((A$6:A1444=A1445)*AG$6:AG1444)),"Date antérieure au bon précédent",IF(AND(A1445&lt;&gt;"BR",ISNUMBER(M1445),N(M1445)&gt;0),IF(A1445="BL","Livré plus que commandé","Sorti plus que demandé"),"OK"))))))))))))</f>
        <v/>
      </c>
      <c r="Y1445" s="57" t="str">
        <f>IF(AND(OR(A1445="BL",A1445="BR",A1445="BS"),AG1445&gt;0,D1445&lt;&gt;""),A1445&amp;"|"&amp;AG1445&amp;"|"&amp;D1445&amp;"|"&amp;F1445,"")</f>
        <v/>
      </c>
      <c r="Z1445" s="57" t="str">
        <f>IF(Y1445="","",IF(COUNTIF(Y$6:Y1444,Y1445)=0,1,0))</f>
        <v/>
      </c>
      <c r="AA1445" s="57" t="str">
        <f>IF(Y1445="","",IF(Z1445=1,COUNTIFS(A$6:A1445,A1445,Z$6:Z1445,1),INDEX(AA$6:AA1444,MATCH(Y1445,Y$6:Y1444,0))))</f>
        <v/>
      </c>
      <c r="AB1445" s="57" t="str">
        <f>IF(B1445="","",COUNTIF(B$6:B1445,B1445))</f>
        <v/>
      </c>
      <c r="AC1445" s="57" t="str">
        <f>IF(B1445="","",B1445&amp;"#"&amp;AB1445)</f>
        <v/>
      </c>
      <c r="AD1445" s="57" t="str">
        <f>IF(Z1445=1,A1445&amp;AA1445,"")</f>
        <v/>
      </c>
      <c r="AE1445" s="57" t="str">
        <f>IF(B1445="","",YEAR(C1445))</f>
        <v/>
      </c>
      <c r="AF1445" s="57" t="str">
        <f>IF(B1445="","",MONTH(C1445))</f>
        <v/>
      </c>
      <c r="AG1445" s="57">
        <f>IF(ISNUMBER(C1445),C1445,0)</f>
        <v>0.0</v>
      </c>
      <c r="AH1445" s="57" t="str">
        <f>IF(N(W1445)&gt;0,COUNTIF(W$6:W1445,"&gt;0"),"")</f>
        <v/>
      </c>
      <c r="AI1445" s="57" t="str">
        <f>IF(Z1445=1,COUNTIF(Z$6:Z1445,1),"")</f>
        <v/>
      </c>
    </row>
    <row r="1446">
      <c r="A1446" s="54" t="n"/>
      <c r="B1446" s="55" t="str">
        <f>IF(AA1446="","",A1446&amp;"-"&amp;RIGHT("000"&amp;AA1446,4))</f>
        <v/>
      </c>
      <c r="C1446" s="56" t="n"/>
      <c r="D1446" s="54" t="n"/>
      <c r="E1446" s="57" t="str">
        <f>IF(D1446="","",IF(A1446="BL",IFERROR(INDEX(cl_name,MATCH(D1446,cl_code,0))&amp;"","Client inconnu"),IF(A1446="BR",IFERROR(INDEX(fo_name,MATCH(D1446,fo_code,0))&amp;"","Fournisseur inconnu"),IF(A1446="BS",IF(ISNA(MATCH(D1446,p_services,0)),"Service inconnu",D1446&amp;""),""))))</f>
        <v/>
      </c>
      <c r="F1446" s="58" t="n"/>
      <c r="G1446" s="58" t="n"/>
      <c r="H1446" s="59" t="n"/>
      <c r="I1446" s="57" t="str">
        <f>IF(H1446="","",IFERROR(INDEX(art_des,MATCH(H1446,art_ref,0))&amp;"","Article inconnu"))</f>
        <v/>
      </c>
      <c r="J1446" s="60" t="str">
        <f>IF(H1446="","",IFERROR(INDEX(art_unit,MATCH(H1446,art_ref,0))&amp;"",""))</f>
        <v/>
      </c>
      <c r="K1446" s="59" t="n"/>
      <c r="L1446" s="59" t="n"/>
      <c r="M1446" s="61" t="str">
        <f>IF(OR(B1446="",NOT(ISNUMBER(K1446)),NOT(ISNUMBER(L1446))),"",IF(OR(K1446&lt;=0,L1446&lt;=0),"",ROUND(L1446-K1446,6)))</f>
        <v/>
      </c>
      <c r="N1446" s="58" t="n"/>
      <c r="O1446" s="62" t="n"/>
      <c r="P1446" s="63" t="str">
        <f>IF(OR(B1446="",NOT(ISNUMBER(L1446))),"",IF(L1446&lt;=0,"",IFERROR(ROUND(L1446*N(INDEX(art_w,MATCH(H1446,art_ref,0))),3),"")))</f>
        <v/>
      </c>
      <c r="Q1446" s="59" t="n"/>
      <c r="R1446" s="54" t="n"/>
      <c r="S1446" s="59" t="n"/>
      <c r="T1446" s="59" t="n"/>
      <c r="U1446" s="64" t="str">
        <f>IF(OR(B1446="",H1446=""),"",IFERROR(IF(A1446="BL",IF(N(INDEX(art_price,MATCH(H1446,art_ref,0)))=0,"",N(INDEX(art_price,MATCH(H1446,art_ref,0)))),IF(N(INDEX(art_cost,MATCH(H1446,art_ref,0)))=0,"",N(INDEX(art_cost,MATCH(H1446,art_ref,0))))),""))</f>
        <v/>
      </c>
      <c r="V1446" s="64" t="str">
        <f>IF(OR(U1446="",NOT(ISNUMBER(L1446))),"",IF(L1446&lt;=0,"",ROUND(L1446*U1446,2)))</f>
        <v/>
      </c>
      <c r="W1446" s="60" t="str">
        <f>IF(AND(B1446&lt;&gt;"",A1446&lt;&gt;"BS",F1446&lt;&gt;"",H1446&lt;&gt;"",ISNUMBER(K1446),ISNUMBER(L1446)),IF(AND(K1446&gt;0,L1446&gt;0,K1446-L1446&gt;0,COUNTIFS(A1447:A$2005,A1446,F1447:F$2005,F1446,H1447:H$2005,H1446,AA1447:AA$2005,"&gt;0")=0),ROUND(K1446-L1446,6),""),"")</f>
        <v/>
      </c>
      <c r="X1446" s="60" t="str">
        <f>IF(AND(A1446="",C1446="",D1446="",H1446="",L1446=""),"",IF(A1446="","Type manquant",IF(AND(A1446&lt;&gt;"BL",A1446&lt;&gt;"BR",A1446&lt;&gt;"BS"),"Type inconnu (BL, BR ou BS)",IF(AG1446=0,"Date manquante ou invalide",IF(D1446="",IF(A1446="BL","Client manquant",IF(A1446="BR","Fournisseur manquant","Service manquant")),IF(IF(A1446="BL",ISNA(MATCH(D1446,cl_code,0)),IF(A1446="BR",ISNA(MATCH(D1446,fo_code,0)),ISNA(MATCH(D1446,p_services,0)))),IF(A1446="BL","Client inconnu",IF(A1446="BR","Fournisseur inconnu","Service inconnu")),IF(H1446="","Article manquant",IF(ISNA(MATCH(H1446,art_ref,0)),"Article inconnu",IF(OR(NOT(ISNUMBER(L1446)),N(L1446)&lt;=0),"Quantité invalide",IF(AND(K1446&lt;&gt;"",OR(NOT(ISNUMBER(K1446)),N(K1446)&lt;=0)),"Qté commandée invalide",IF(AG1446&lt;SUMPRODUCT(MAX((A$6:A1445=A1446)*AG$6:AG1445)),"Date antérieure au bon précédent",IF(AND(A1446&lt;&gt;"BR",ISNUMBER(M1446),N(M1446)&gt;0),IF(A1446="BL","Livré plus que commandé","Sorti plus que demandé"),"OK"))))))))))))</f>
        <v/>
      </c>
      <c r="Y1446" s="57" t="str">
        <f>IF(AND(OR(A1446="BL",A1446="BR",A1446="BS"),AG1446&gt;0,D1446&lt;&gt;""),A1446&amp;"|"&amp;AG1446&amp;"|"&amp;D1446&amp;"|"&amp;F1446,"")</f>
        <v/>
      </c>
      <c r="Z1446" s="57" t="str">
        <f>IF(Y1446="","",IF(COUNTIF(Y$6:Y1445,Y1446)=0,1,0))</f>
        <v/>
      </c>
      <c r="AA1446" s="57" t="str">
        <f>IF(Y1446="","",IF(Z1446=1,COUNTIFS(A$6:A1446,A1446,Z$6:Z1446,1),INDEX(AA$6:AA1445,MATCH(Y1446,Y$6:Y1445,0))))</f>
        <v/>
      </c>
      <c r="AB1446" s="57" t="str">
        <f>IF(B1446="","",COUNTIF(B$6:B1446,B1446))</f>
        <v/>
      </c>
      <c r="AC1446" s="57" t="str">
        <f>IF(B1446="","",B1446&amp;"#"&amp;AB1446)</f>
        <v/>
      </c>
      <c r="AD1446" s="57" t="str">
        <f>IF(Z1446=1,A1446&amp;AA1446,"")</f>
        <v/>
      </c>
      <c r="AE1446" s="57" t="str">
        <f>IF(B1446="","",YEAR(C1446))</f>
        <v/>
      </c>
      <c r="AF1446" s="57" t="str">
        <f>IF(B1446="","",MONTH(C1446))</f>
        <v/>
      </c>
      <c r="AG1446" s="57">
        <f>IF(ISNUMBER(C1446),C1446,0)</f>
        <v>0.0</v>
      </c>
      <c r="AH1446" s="57" t="str">
        <f>IF(N(W1446)&gt;0,COUNTIF(W$6:W1446,"&gt;0"),"")</f>
        <v/>
      </c>
      <c r="AI1446" s="57" t="str">
        <f>IF(Z1446=1,COUNTIF(Z$6:Z1446,1),"")</f>
        <v/>
      </c>
    </row>
    <row r="1447">
      <c r="A1447" s="54" t="n"/>
      <c r="B1447" s="55" t="str">
        <f>IF(AA1447="","",A1447&amp;"-"&amp;RIGHT("000"&amp;AA1447,4))</f>
        <v/>
      </c>
      <c r="C1447" s="56" t="n"/>
      <c r="D1447" s="54" t="n"/>
      <c r="E1447" s="57" t="str">
        <f>IF(D1447="","",IF(A1447="BL",IFERROR(INDEX(cl_name,MATCH(D1447,cl_code,0))&amp;"","Client inconnu"),IF(A1447="BR",IFERROR(INDEX(fo_name,MATCH(D1447,fo_code,0))&amp;"","Fournisseur inconnu"),IF(A1447="BS",IF(ISNA(MATCH(D1447,p_services,0)),"Service inconnu",D1447&amp;""),""))))</f>
        <v/>
      </c>
      <c r="F1447" s="58" t="n"/>
      <c r="G1447" s="58" t="n"/>
      <c r="H1447" s="59" t="n"/>
      <c r="I1447" s="57" t="str">
        <f>IF(H1447="","",IFERROR(INDEX(art_des,MATCH(H1447,art_ref,0))&amp;"","Article inconnu"))</f>
        <v/>
      </c>
      <c r="J1447" s="60" t="str">
        <f>IF(H1447="","",IFERROR(INDEX(art_unit,MATCH(H1447,art_ref,0))&amp;"",""))</f>
        <v/>
      </c>
      <c r="K1447" s="59" t="n"/>
      <c r="L1447" s="59" t="n"/>
      <c r="M1447" s="61" t="str">
        <f>IF(OR(B1447="",NOT(ISNUMBER(K1447)),NOT(ISNUMBER(L1447))),"",IF(OR(K1447&lt;=0,L1447&lt;=0),"",ROUND(L1447-K1447,6)))</f>
        <v/>
      </c>
      <c r="N1447" s="58" t="n"/>
      <c r="O1447" s="62" t="n"/>
      <c r="P1447" s="63" t="str">
        <f>IF(OR(B1447="",NOT(ISNUMBER(L1447))),"",IF(L1447&lt;=0,"",IFERROR(ROUND(L1447*N(INDEX(art_w,MATCH(H1447,art_ref,0))),3),"")))</f>
        <v/>
      </c>
      <c r="Q1447" s="59" t="n"/>
      <c r="R1447" s="54" t="n"/>
      <c r="S1447" s="59" t="n"/>
      <c r="T1447" s="59" t="n"/>
      <c r="U1447" s="64" t="str">
        <f>IF(OR(B1447="",H1447=""),"",IFERROR(IF(A1447="BL",IF(N(INDEX(art_price,MATCH(H1447,art_ref,0)))=0,"",N(INDEX(art_price,MATCH(H1447,art_ref,0)))),IF(N(INDEX(art_cost,MATCH(H1447,art_ref,0)))=0,"",N(INDEX(art_cost,MATCH(H1447,art_ref,0))))),""))</f>
        <v/>
      </c>
      <c r="V1447" s="64" t="str">
        <f>IF(OR(U1447="",NOT(ISNUMBER(L1447))),"",IF(L1447&lt;=0,"",ROUND(L1447*U1447,2)))</f>
        <v/>
      </c>
      <c r="W1447" s="60" t="str">
        <f>IF(AND(B1447&lt;&gt;"",A1447&lt;&gt;"BS",F1447&lt;&gt;"",H1447&lt;&gt;"",ISNUMBER(K1447),ISNUMBER(L1447)),IF(AND(K1447&gt;0,L1447&gt;0,K1447-L1447&gt;0,COUNTIFS(A1448:A$2005,A1447,F1448:F$2005,F1447,H1448:H$2005,H1447,AA1448:AA$2005,"&gt;0")=0),ROUND(K1447-L1447,6),""),"")</f>
        <v/>
      </c>
      <c r="X1447" s="60" t="str">
        <f>IF(AND(A1447="",C1447="",D1447="",H1447="",L1447=""),"",IF(A1447="","Type manquant",IF(AND(A1447&lt;&gt;"BL",A1447&lt;&gt;"BR",A1447&lt;&gt;"BS"),"Type inconnu (BL, BR ou BS)",IF(AG1447=0,"Date manquante ou invalide",IF(D1447="",IF(A1447="BL","Client manquant",IF(A1447="BR","Fournisseur manquant","Service manquant")),IF(IF(A1447="BL",ISNA(MATCH(D1447,cl_code,0)),IF(A1447="BR",ISNA(MATCH(D1447,fo_code,0)),ISNA(MATCH(D1447,p_services,0)))),IF(A1447="BL","Client inconnu",IF(A1447="BR","Fournisseur inconnu","Service inconnu")),IF(H1447="","Article manquant",IF(ISNA(MATCH(H1447,art_ref,0)),"Article inconnu",IF(OR(NOT(ISNUMBER(L1447)),N(L1447)&lt;=0),"Quantité invalide",IF(AND(K1447&lt;&gt;"",OR(NOT(ISNUMBER(K1447)),N(K1447)&lt;=0)),"Qté commandée invalide",IF(AG1447&lt;SUMPRODUCT(MAX((A$6:A1446=A1447)*AG$6:AG1446)),"Date antérieure au bon précédent",IF(AND(A1447&lt;&gt;"BR",ISNUMBER(M1447),N(M1447)&gt;0),IF(A1447="BL","Livré plus que commandé","Sorti plus que demandé"),"OK"))))))))))))</f>
        <v/>
      </c>
      <c r="Y1447" s="57" t="str">
        <f>IF(AND(OR(A1447="BL",A1447="BR",A1447="BS"),AG1447&gt;0,D1447&lt;&gt;""),A1447&amp;"|"&amp;AG1447&amp;"|"&amp;D1447&amp;"|"&amp;F1447,"")</f>
        <v/>
      </c>
      <c r="Z1447" s="57" t="str">
        <f>IF(Y1447="","",IF(COUNTIF(Y$6:Y1446,Y1447)=0,1,0))</f>
        <v/>
      </c>
      <c r="AA1447" s="57" t="str">
        <f>IF(Y1447="","",IF(Z1447=1,COUNTIFS(A$6:A1447,A1447,Z$6:Z1447,1),INDEX(AA$6:AA1446,MATCH(Y1447,Y$6:Y1446,0))))</f>
        <v/>
      </c>
      <c r="AB1447" s="57" t="str">
        <f>IF(B1447="","",COUNTIF(B$6:B1447,B1447))</f>
        <v/>
      </c>
      <c r="AC1447" s="57" t="str">
        <f>IF(B1447="","",B1447&amp;"#"&amp;AB1447)</f>
        <v/>
      </c>
      <c r="AD1447" s="57" t="str">
        <f>IF(Z1447=1,A1447&amp;AA1447,"")</f>
        <v/>
      </c>
      <c r="AE1447" s="57" t="str">
        <f>IF(B1447="","",YEAR(C1447))</f>
        <v/>
      </c>
      <c r="AF1447" s="57" t="str">
        <f>IF(B1447="","",MONTH(C1447))</f>
        <v/>
      </c>
      <c r="AG1447" s="57">
        <f>IF(ISNUMBER(C1447),C1447,0)</f>
        <v>0.0</v>
      </c>
      <c r="AH1447" s="57" t="str">
        <f>IF(N(W1447)&gt;0,COUNTIF(W$6:W1447,"&gt;0"),"")</f>
        <v/>
      </c>
      <c r="AI1447" s="57" t="str">
        <f>IF(Z1447=1,COUNTIF(Z$6:Z1447,1),"")</f>
        <v/>
      </c>
    </row>
    <row r="1448">
      <c r="A1448" s="54" t="n"/>
      <c r="B1448" s="55" t="str">
        <f>IF(AA1448="","",A1448&amp;"-"&amp;RIGHT("000"&amp;AA1448,4))</f>
        <v/>
      </c>
      <c r="C1448" s="56" t="n"/>
      <c r="D1448" s="54" t="n"/>
      <c r="E1448" s="57" t="str">
        <f>IF(D1448="","",IF(A1448="BL",IFERROR(INDEX(cl_name,MATCH(D1448,cl_code,0))&amp;"","Client inconnu"),IF(A1448="BR",IFERROR(INDEX(fo_name,MATCH(D1448,fo_code,0))&amp;"","Fournisseur inconnu"),IF(A1448="BS",IF(ISNA(MATCH(D1448,p_services,0)),"Service inconnu",D1448&amp;""),""))))</f>
        <v/>
      </c>
      <c r="F1448" s="58" t="n"/>
      <c r="G1448" s="58" t="n"/>
      <c r="H1448" s="59" t="n"/>
      <c r="I1448" s="57" t="str">
        <f>IF(H1448="","",IFERROR(INDEX(art_des,MATCH(H1448,art_ref,0))&amp;"","Article inconnu"))</f>
        <v/>
      </c>
      <c r="J1448" s="60" t="str">
        <f>IF(H1448="","",IFERROR(INDEX(art_unit,MATCH(H1448,art_ref,0))&amp;"",""))</f>
        <v/>
      </c>
      <c r="K1448" s="59" t="n"/>
      <c r="L1448" s="59" t="n"/>
      <c r="M1448" s="61" t="str">
        <f>IF(OR(B1448="",NOT(ISNUMBER(K1448)),NOT(ISNUMBER(L1448))),"",IF(OR(K1448&lt;=0,L1448&lt;=0),"",ROUND(L1448-K1448,6)))</f>
        <v/>
      </c>
      <c r="N1448" s="58" t="n"/>
      <c r="O1448" s="62" t="n"/>
      <c r="P1448" s="63" t="str">
        <f>IF(OR(B1448="",NOT(ISNUMBER(L1448))),"",IF(L1448&lt;=0,"",IFERROR(ROUND(L1448*N(INDEX(art_w,MATCH(H1448,art_ref,0))),3),"")))</f>
        <v/>
      </c>
      <c r="Q1448" s="59" t="n"/>
      <c r="R1448" s="54" t="n"/>
      <c r="S1448" s="59" t="n"/>
      <c r="T1448" s="59" t="n"/>
      <c r="U1448" s="64" t="str">
        <f>IF(OR(B1448="",H1448=""),"",IFERROR(IF(A1448="BL",IF(N(INDEX(art_price,MATCH(H1448,art_ref,0)))=0,"",N(INDEX(art_price,MATCH(H1448,art_ref,0)))),IF(N(INDEX(art_cost,MATCH(H1448,art_ref,0)))=0,"",N(INDEX(art_cost,MATCH(H1448,art_ref,0))))),""))</f>
        <v/>
      </c>
      <c r="V1448" s="64" t="str">
        <f>IF(OR(U1448="",NOT(ISNUMBER(L1448))),"",IF(L1448&lt;=0,"",ROUND(L1448*U1448,2)))</f>
        <v/>
      </c>
      <c r="W1448" s="60" t="str">
        <f>IF(AND(B1448&lt;&gt;"",A1448&lt;&gt;"BS",F1448&lt;&gt;"",H1448&lt;&gt;"",ISNUMBER(K1448),ISNUMBER(L1448)),IF(AND(K1448&gt;0,L1448&gt;0,K1448-L1448&gt;0,COUNTIFS(A1449:A$2005,A1448,F1449:F$2005,F1448,H1449:H$2005,H1448,AA1449:AA$2005,"&gt;0")=0),ROUND(K1448-L1448,6),""),"")</f>
        <v/>
      </c>
      <c r="X1448" s="60" t="str">
        <f>IF(AND(A1448="",C1448="",D1448="",H1448="",L1448=""),"",IF(A1448="","Type manquant",IF(AND(A1448&lt;&gt;"BL",A1448&lt;&gt;"BR",A1448&lt;&gt;"BS"),"Type inconnu (BL, BR ou BS)",IF(AG1448=0,"Date manquante ou invalide",IF(D1448="",IF(A1448="BL","Client manquant",IF(A1448="BR","Fournisseur manquant","Service manquant")),IF(IF(A1448="BL",ISNA(MATCH(D1448,cl_code,0)),IF(A1448="BR",ISNA(MATCH(D1448,fo_code,0)),ISNA(MATCH(D1448,p_services,0)))),IF(A1448="BL","Client inconnu",IF(A1448="BR","Fournisseur inconnu","Service inconnu")),IF(H1448="","Article manquant",IF(ISNA(MATCH(H1448,art_ref,0)),"Article inconnu",IF(OR(NOT(ISNUMBER(L1448)),N(L1448)&lt;=0),"Quantité invalide",IF(AND(K1448&lt;&gt;"",OR(NOT(ISNUMBER(K1448)),N(K1448)&lt;=0)),"Qté commandée invalide",IF(AG1448&lt;SUMPRODUCT(MAX((A$6:A1447=A1448)*AG$6:AG1447)),"Date antérieure au bon précédent",IF(AND(A1448&lt;&gt;"BR",ISNUMBER(M1448),N(M1448)&gt;0),IF(A1448="BL","Livré plus que commandé","Sorti plus que demandé"),"OK"))))))))))))</f>
        <v/>
      </c>
      <c r="Y1448" s="57" t="str">
        <f>IF(AND(OR(A1448="BL",A1448="BR",A1448="BS"),AG1448&gt;0,D1448&lt;&gt;""),A1448&amp;"|"&amp;AG1448&amp;"|"&amp;D1448&amp;"|"&amp;F1448,"")</f>
        <v/>
      </c>
      <c r="Z1448" s="57" t="str">
        <f>IF(Y1448="","",IF(COUNTIF(Y$6:Y1447,Y1448)=0,1,0))</f>
        <v/>
      </c>
      <c r="AA1448" s="57" t="str">
        <f>IF(Y1448="","",IF(Z1448=1,COUNTIFS(A$6:A1448,A1448,Z$6:Z1448,1),INDEX(AA$6:AA1447,MATCH(Y1448,Y$6:Y1447,0))))</f>
        <v/>
      </c>
      <c r="AB1448" s="57" t="str">
        <f>IF(B1448="","",COUNTIF(B$6:B1448,B1448))</f>
        <v/>
      </c>
      <c r="AC1448" s="57" t="str">
        <f>IF(B1448="","",B1448&amp;"#"&amp;AB1448)</f>
        <v/>
      </c>
      <c r="AD1448" s="57" t="str">
        <f>IF(Z1448=1,A1448&amp;AA1448,"")</f>
        <v/>
      </c>
      <c r="AE1448" s="57" t="str">
        <f>IF(B1448="","",YEAR(C1448))</f>
        <v/>
      </c>
      <c r="AF1448" s="57" t="str">
        <f>IF(B1448="","",MONTH(C1448))</f>
        <v/>
      </c>
      <c r="AG1448" s="57">
        <f>IF(ISNUMBER(C1448),C1448,0)</f>
        <v>0.0</v>
      </c>
      <c r="AH1448" s="57" t="str">
        <f>IF(N(W1448)&gt;0,COUNTIF(W$6:W1448,"&gt;0"),"")</f>
        <v/>
      </c>
      <c r="AI1448" s="57" t="str">
        <f>IF(Z1448=1,COUNTIF(Z$6:Z1448,1),"")</f>
        <v/>
      </c>
    </row>
    <row r="1449">
      <c r="A1449" s="54" t="n"/>
      <c r="B1449" s="55" t="str">
        <f>IF(AA1449="","",A1449&amp;"-"&amp;RIGHT("000"&amp;AA1449,4))</f>
        <v/>
      </c>
      <c r="C1449" s="56" t="n"/>
      <c r="D1449" s="54" t="n"/>
      <c r="E1449" s="57" t="str">
        <f>IF(D1449="","",IF(A1449="BL",IFERROR(INDEX(cl_name,MATCH(D1449,cl_code,0))&amp;"","Client inconnu"),IF(A1449="BR",IFERROR(INDEX(fo_name,MATCH(D1449,fo_code,0))&amp;"","Fournisseur inconnu"),IF(A1449="BS",IF(ISNA(MATCH(D1449,p_services,0)),"Service inconnu",D1449&amp;""),""))))</f>
        <v/>
      </c>
      <c r="F1449" s="58" t="n"/>
      <c r="G1449" s="58" t="n"/>
      <c r="H1449" s="59" t="n"/>
      <c r="I1449" s="57" t="str">
        <f>IF(H1449="","",IFERROR(INDEX(art_des,MATCH(H1449,art_ref,0))&amp;"","Article inconnu"))</f>
        <v/>
      </c>
      <c r="J1449" s="60" t="str">
        <f>IF(H1449="","",IFERROR(INDEX(art_unit,MATCH(H1449,art_ref,0))&amp;"",""))</f>
        <v/>
      </c>
      <c r="K1449" s="59" t="n"/>
      <c r="L1449" s="59" t="n"/>
      <c r="M1449" s="61" t="str">
        <f>IF(OR(B1449="",NOT(ISNUMBER(K1449)),NOT(ISNUMBER(L1449))),"",IF(OR(K1449&lt;=0,L1449&lt;=0),"",ROUND(L1449-K1449,6)))</f>
        <v/>
      </c>
      <c r="N1449" s="58" t="n"/>
      <c r="O1449" s="62" t="n"/>
      <c r="P1449" s="63" t="str">
        <f>IF(OR(B1449="",NOT(ISNUMBER(L1449))),"",IF(L1449&lt;=0,"",IFERROR(ROUND(L1449*N(INDEX(art_w,MATCH(H1449,art_ref,0))),3),"")))</f>
        <v/>
      </c>
      <c r="Q1449" s="59" t="n"/>
      <c r="R1449" s="54" t="n"/>
      <c r="S1449" s="59" t="n"/>
      <c r="T1449" s="59" t="n"/>
      <c r="U1449" s="64" t="str">
        <f>IF(OR(B1449="",H1449=""),"",IFERROR(IF(A1449="BL",IF(N(INDEX(art_price,MATCH(H1449,art_ref,0)))=0,"",N(INDEX(art_price,MATCH(H1449,art_ref,0)))),IF(N(INDEX(art_cost,MATCH(H1449,art_ref,0)))=0,"",N(INDEX(art_cost,MATCH(H1449,art_ref,0))))),""))</f>
        <v/>
      </c>
      <c r="V1449" s="64" t="str">
        <f>IF(OR(U1449="",NOT(ISNUMBER(L1449))),"",IF(L1449&lt;=0,"",ROUND(L1449*U1449,2)))</f>
        <v/>
      </c>
      <c r="W1449" s="60" t="str">
        <f>IF(AND(B1449&lt;&gt;"",A1449&lt;&gt;"BS",F1449&lt;&gt;"",H1449&lt;&gt;"",ISNUMBER(K1449),ISNUMBER(L1449)),IF(AND(K1449&gt;0,L1449&gt;0,K1449-L1449&gt;0,COUNTIFS(A1450:A$2005,A1449,F1450:F$2005,F1449,H1450:H$2005,H1449,AA1450:AA$2005,"&gt;0")=0),ROUND(K1449-L1449,6),""),"")</f>
        <v/>
      </c>
      <c r="X1449" s="60" t="str">
        <f>IF(AND(A1449="",C1449="",D1449="",H1449="",L1449=""),"",IF(A1449="","Type manquant",IF(AND(A1449&lt;&gt;"BL",A1449&lt;&gt;"BR",A1449&lt;&gt;"BS"),"Type inconnu (BL, BR ou BS)",IF(AG1449=0,"Date manquante ou invalide",IF(D1449="",IF(A1449="BL","Client manquant",IF(A1449="BR","Fournisseur manquant","Service manquant")),IF(IF(A1449="BL",ISNA(MATCH(D1449,cl_code,0)),IF(A1449="BR",ISNA(MATCH(D1449,fo_code,0)),ISNA(MATCH(D1449,p_services,0)))),IF(A1449="BL","Client inconnu",IF(A1449="BR","Fournisseur inconnu","Service inconnu")),IF(H1449="","Article manquant",IF(ISNA(MATCH(H1449,art_ref,0)),"Article inconnu",IF(OR(NOT(ISNUMBER(L1449)),N(L1449)&lt;=0),"Quantité invalide",IF(AND(K1449&lt;&gt;"",OR(NOT(ISNUMBER(K1449)),N(K1449)&lt;=0)),"Qté commandée invalide",IF(AG1449&lt;SUMPRODUCT(MAX((A$6:A1448=A1449)*AG$6:AG1448)),"Date antérieure au bon précédent",IF(AND(A1449&lt;&gt;"BR",ISNUMBER(M1449),N(M1449)&gt;0),IF(A1449="BL","Livré plus que commandé","Sorti plus que demandé"),"OK"))))))))))))</f>
        <v/>
      </c>
      <c r="Y1449" s="57" t="str">
        <f>IF(AND(OR(A1449="BL",A1449="BR",A1449="BS"),AG1449&gt;0,D1449&lt;&gt;""),A1449&amp;"|"&amp;AG1449&amp;"|"&amp;D1449&amp;"|"&amp;F1449,"")</f>
        <v/>
      </c>
      <c r="Z1449" s="57" t="str">
        <f>IF(Y1449="","",IF(COUNTIF(Y$6:Y1448,Y1449)=0,1,0))</f>
        <v/>
      </c>
      <c r="AA1449" s="57" t="str">
        <f>IF(Y1449="","",IF(Z1449=1,COUNTIFS(A$6:A1449,A1449,Z$6:Z1449,1),INDEX(AA$6:AA1448,MATCH(Y1449,Y$6:Y1448,0))))</f>
        <v/>
      </c>
      <c r="AB1449" s="57" t="str">
        <f>IF(B1449="","",COUNTIF(B$6:B1449,B1449))</f>
        <v/>
      </c>
      <c r="AC1449" s="57" t="str">
        <f>IF(B1449="","",B1449&amp;"#"&amp;AB1449)</f>
        <v/>
      </c>
      <c r="AD1449" s="57" t="str">
        <f>IF(Z1449=1,A1449&amp;AA1449,"")</f>
        <v/>
      </c>
      <c r="AE1449" s="57" t="str">
        <f>IF(B1449="","",YEAR(C1449))</f>
        <v/>
      </c>
      <c r="AF1449" s="57" t="str">
        <f>IF(B1449="","",MONTH(C1449))</f>
        <v/>
      </c>
      <c r="AG1449" s="57">
        <f>IF(ISNUMBER(C1449),C1449,0)</f>
        <v>0.0</v>
      </c>
      <c r="AH1449" s="57" t="str">
        <f>IF(N(W1449)&gt;0,COUNTIF(W$6:W1449,"&gt;0"),"")</f>
        <v/>
      </c>
      <c r="AI1449" s="57" t="str">
        <f>IF(Z1449=1,COUNTIF(Z$6:Z1449,1),"")</f>
        <v/>
      </c>
    </row>
    <row r="1450">
      <c r="A1450" s="54" t="n"/>
      <c r="B1450" s="55" t="str">
        <f>IF(AA1450="","",A1450&amp;"-"&amp;RIGHT("000"&amp;AA1450,4))</f>
        <v/>
      </c>
      <c r="C1450" s="56" t="n"/>
      <c r="D1450" s="54" t="n"/>
      <c r="E1450" s="57" t="str">
        <f>IF(D1450="","",IF(A1450="BL",IFERROR(INDEX(cl_name,MATCH(D1450,cl_code,0))&amp;"","Client inconnu"),IF(A1450="BR",IFERROR(INDEX(fo_name,MATCH(D1450,fo_code,0))&amp;"","Fournisseur inconnu"),IF(A1450="BS",IF(ISNA(MATCH(D1450,p_services,0)),"Service inconnu",D1450&amp;""),""))))</f>
        <v/>
      </c>
      <c r="F1450" s="58" t="n"/>
      <c r="G1450" s="58" t="n"/>
      <c r="H1450" s="59" t="n"/>
      <c r="I1450" s="57" t="str">
        <f>IF(H1450="","",IFERROR(INDEX(art_des,MATCH(H1450,art_ref,0))&amp;"","Article inconnu"))</f>
        <v/>
      </c>
      <c r="J1450" s="60" t="str">
        <f>IF(H1450="","",IFERROR(INDEX(art_unit,MATCH(H1450,art_ref,0))&amp;"",""))</f>
        <v/>
      </c>
      <c r="K1450" s="59" t="n"/>
      <c r="L1450" s="59" t="n"/>
      <c r="M1450" s="61" t="str">
        <f>IF(OR(B1450="",NOT(ISNUMBER(K1450)),NOT(ISNUMBER(L1450))),"",IF(OR(K1450&lt;=0,L1450&lt;=0),"",ROUND(L1450-K1450,6)))</f>
        <v/>
      </c>
      <c r="N1450" s="58" t="n"/>
      <c r="O1450" s="62" t="n"/>
      <c r="P1450" s="63" t="str">
        <f>IF(OR(B1450="",NOT(ISNUMBER(L1450))),"",IF(L1450&lt;=0,"",IFERROR(ROUND(L1450*N(INDEX(art_w,MATCH(H1450,art_ref,0))),3),"")))</f>
        <v/>
      </c>
      <c r="Q1450" s="59" t="n"/>
      <c r="R1450" s="54" t="n"/>
      <c r="S1450" s="59" t="n"/>
      <c r="T1450" s="59" t="n"/>
      <c r="U1450" s="64" t="str">
        <f>IF(OR(B1450="",H1450=""),"",IFERROR(IF(A1450="BL",IF(N(INDEX(art_price,MATCH(H1450,art_ref,0)))=0,"",N(INDEX(art_price,MATCH(H1450,art_ref,0)))),IF(N(INDEX(art_cost,MATCH(H1450,art_ref,0)))=0,"",N(INDEX(art_cost,MATCH(H1450,art_ref,0))))),""))</f>
        <v/>
      </c>
      <c r="V1450" s="64" t="str">
        <f>IF(OR(U1450="",NOT(ISNUMBER(L1450))),"",IF(L1450&lt;=0,"",ROUND(L1450*U1450,2)))</f>
        <v/>
      </c>
      <c r="W1450" s="60" t="str">
        <f>IF(AND(B1450&lt;&gt;"",A1450&lt;&gt;"BS",F1450&lt;&gt;"",H1450&lt;&gt;"",ISNUMBER(K1450),ISNUMBER(L1450)),IF(AND(K1450&gt;0,L1450&gt;0,K1450-L1450&gt;0,COUNTIFS(A1451:A$2005,A1450,F1451:F$2005,F1450,H1451:H$2005,H1450,AA1451:AA$2005,"&gt;0")=0),ROUND(K1450-L1450,6),""),"")</f>
        <v/>
      </c>
      <c r="X1450" s="60" t="str">
        <f>IF(AND(A1450="",C1450="",D1450="",H1450="",L1450=""),"",IF(A1450="","Type manquant",IF(AND(A1450&lt;&gt;"BL",A1450&lt;&gt;"BR",A1450&lt;&gt;"BS"),"Type inconnu (BL, BR ou BS)",IF(AG1450=0,"Date manquante ou invalide",IF(D1450="",IF(A1450="BL","Client manquant",IF(A1450="BR","Fournisseur manquant","Service manquant")),IF(IF(A1450="BL",ISNA(MATCH(D1450,cl_code,0)),IF(A1450="BR",ISNA(MATCH(D1450,fo_code,0)),ISNA(MATCH(D1450,p_services,0)))),IF(A1450="BL","Client inconnu",IF(A1450="BR","Fournisseur inconnu","Service inconnu")),IF(H1450="","Article manquant",IF(ISNA(MATCH(H1450,art_ref,0)),"Article inconnu",IF(OR(NOT(ISNUMBER(L1450)),N(L1450)&lt;=0),"Quantité invalide",IF(AND(K1450&lt;&gt;"",OR(NOT(ISNUMBER(K1450)),N(K1450)&lt;=0)),"Qté commandée invalide",IF(AG1450&lt;SUMPRODUCT(MAX((A$6:A1449=A1450)*AG$6:AG1449)),"Date antérieure au bon précédent",IF(AND(A1450&lt;&gt;"BR",ISNUMBER(M1450),N(M1450)&gt;0),IF(A1450="BL","Livré plus que commandé","Sorti plus que demandé"),"OK"))))))))))))</f>
        <v/>
      </c>
      <c r="Y1450" s="57" t="str">
        <f>IF(AND(OR(A1450="BL",A1450="BR",A1450="BS"),AG1450&gt;0,D1450&lt;&gt;""),A1450&amp;"|"&amp;AG1450&amp;"|"&amp;D1450&amp;"|"&amp;F1450,"")</f>
        <v/>
      </c>
      <c r="Z1450" s="57" t="str">
        <f>IF(Y1450="","",IF(COUNTIF(Y$6:Y1449,Y1450)=0,1,0))</f>
        <v/>
      </c>
      <c r="AA1450" s="57" t="str">
        <f>IF(Y1450="","",IF(Z1450=1,COUNTIFS(A$6:A1450,A1450,Z$6:Z1450,1),INDEX(AA$6:AA1449,MATCH(Y1450,Y$6:Y1449,0))))</f>
        <v/>
      </c>
      <c r="AB1450" s="57" t="str">
        <f>IF(B1450="","",COUNTIF(B$6:B1450,B1450))</f>
        <v/>
      </c>
      <c r="AC1450" s="57" t="str">
        <f>IF(B1450="","",B1450&amp;"#"&amp;AB1450)</f>
        <v/>
      </c>
      <c r="AD1450" s="57" t="str">
        <f>IF(Z1450=1,A1450&amp;AA1450,"")</f>
        <v/>
      </c>
      <c r="AE1450" s="57" t="str">
        <f>IF(B1450="","",YEAR(C1450))</f>
        <v/>
      </c>
      <c r="AF1450" s="57" t="str">
        <f>IF(B1450="","",MONTH(C1450))</f>
        <v/>
      </c>
      <c r="AG1450" s="57">
        <f>IF(ISNUMBER(C1450),C1450,0)</f>
        <v>0.0</v>
      </c>
      <c r="AH1450" s="57" t="str">
        <f>IF(N(W1450)&gt;0,COUNTIF(W$6:W1450,"&gt;0"),"")</f>
        <v/>
      </c>
      <c r="AI1450" s="57" t="str">
        <f>IF(Z1450=1,COUNTIF(Z$6:Z1450,1),"")</f>
        <v/>
      </c>
    </row>
    <row r="1451">
      <c r="A1451" s="54" t="n"/>
      <c r="B1451" s="55" t="str">
        <f>IF(AA1451="","",A1451&amp;"-"&amp;RIGHT("000"&amp;AA1451,4))</f>
        <v/>
      </c>
      <c r="C1451" s="56" t="n"/>
      <c r="D1451" s="54" t="n"/>
      <c r="E1451" s="57" t="str">
        <f>IF(D1451="","",IF(A1451="BL",IFERROR(INDEX(cl_name,MATCH(D1451,cl_code,0))&amp;"","Client inconnu"),IF(A1451="BR",IFERROR(INDEX(fo_name,MATCH(D1451,fo_code,0))&amp;"","Fournisseur inconnu"),IF(A1451="BS",IF(ISNA(MATCH(D1451,p_services,0)),"Service inconnu",D1451&amp;""),""))))</f>
        <v/>
      </c>
      <c r="F1451" s="58" t="n"/>
      <c r="G1451" s="58" t="n"/>
      <c r="H1451" s="59" t="n"/>
      <c r="I1451" s="57" t="str">
        <f>IF(H1451="","",IFERROR(INDEX(art_des,MATCH(H1451,art_ref,0))&amp;"","Article inconnu"))</f>
        <v/>
      </c>
      <c r="J1451" s="60" t="str">
        <f>IF(H1451="","",IFERROR(INDEX(art_unit,MATCH(H1451,art_ref,0))&amp;"",""))</f>
        <v/>
      </c>
      <c r="K1451" s="59" t="n"/>
      <c r="L1451" s="59" t="n"/>
      <c r="M1451" s="61" t="str">
        <f>IF(OR(B1451="",NOT(ISNUMBER(K1451)),NOT(ISNUMBER(L1451))),"",IF(OR(K1451&lt;=0,L1451&lt;=0),"",ROUND(L1451-K1451,6)))</f>
        <v/>
      </c>
      <c r="N1451" s="58" t="n"/>
      <c r="O1451" s="62" t="n"/>
      <c r="P1451" s="63" t="str">
        <f>IF(OR(B1451="",NOT(ISNUMBER(L1451))),"",IF(L1451&lt;=0,"",IFERROR(ROUND(L1451*N(INDEX(art_w,MATCH(H1451,art_ref,0))),3),"")))</f>
        <v/>
      </c>
      <c r="Q1451" s="59" t="n"/>
      <c r="R1451" s="54" t="n"/>
      <c r="S1451" s="59" t="n"/>
      <c r="T1451" s="59" t="n"/>
      <c r="U1451" s="64" t="str">
        <f>IF(OR(B1451="",H1451=""),"",IFERROR(IF(A1451="BL",IF(N(INDEX(art_price,MATCH(H1451,art_ref,0)))=0,"",N(INDEX(art_price,MATCH(H1451,art_ref,0)))),IF(N(INDEX(art_cost,MATCH(H1451,art_ref,0)))=0,"",N(INDEX(art_cost,MATCH(H1451,art_ref,0))))),""))</f>
        <v/>
      </c>
      <c r="V1451" s="64" t="str">
        <f>IF(OR(U1451="",NOT(ISNUMBER(L1451))),"",IF(L1451&lt;=0,"",ROUND(L1451*U1451,2)))</f>
        <v/>
      </c>
      <c r="W1451" s="60" t="str">
        <f>IF(AND(B1451&lt;&gt;"",A1451&lt;&gt;"BS",F1451&lt;&gt;"",H1451&lt;&gt;"",ISNUMBER(K1451),ISNUMBER(L1451)),IF(AND(K1451&gt;0,L1451&gt;0,K1451-L1451&gt;0,COUNTIFS(A1452:A$2005,A1451,F1452:F$2005,F1451,H1452:H$2005,H1451,AA1452:AA$2005,"&gt;0")=0),ROUND(K1451-L1451,6),""),"")</f>
        <v/>
      </c>
      <c r="X1451" s="60" t="str">
        <f>IF(AND(A1451="",C1451="",D1451="",H1451="",L1451=""),"",IF(A1451="","Type manquant",IF(AND(A1451&lt;&gt;"BL",A1451&lt;&gt;"BR",A1451&lt;&gt;"BS"),"Type inconnu (BL, BR ou BS)",IF(AG1451=0,"Date manquante ou invalide",IF(D1451="",IF(A1451="BL","Client manquant",IF(A1451="BR","Fournisseur manquant","Service manquant")),IF(IF(A1451="BL",ISNA(MATCH(D1451,cl_code,0)),IF(A1451="BR",ISNA(MATCH(D1451,fo_code,0)),ISNA(MATCH(D1451,p_services,0)))),IF(A1451="BL","Client inconnu",IF(A1451="BR","Fournisseur inconnu","Service inconnu")),IF(H1451="","Article manquant",IF(ISNA(MATCH(H1451,art_ref,0)),"Article inconnu",IF(OR(NOT(ISNUMBER(L1451)),N(L1451)&lt;=0),"Quantité invalide",IF(AND(K1451&lt;&gt;"",OR(NOT(ISNUMBER(K1451)),N(K1451)&lt;=0)),"Qté commandée invalide",IF(AG1451&lt;SUMPRODUCT(MAX((A$6:A1450=A1451)*AG$6:AG1450)),"Date antérieure au bon précédent",IF(AND(A1451&lt;&gt;"BR",ISNUMBER(M1451),N(M1451)&gt;0),IF(A1451="BL","Livré plus que commandé","Sorti plus que demandé"),"OK"))))))))))))</f>
        <v/>
      </c>
      <c r="Y1451" s="57" t="str">
        <f>IF(AND(OR(A1451="BL",A1451="BR",A1451="BS"),AG1451&gt;0,D1451&lt;&gt;""),A1451&amp;"|"&amp;AG1451&amp;"|"&amp;D1451&amp;"|"&amp;F1451,"")</f>
        <v/>
      </c>
      <c r="Z1451" s="57" t="str">
        <f>IF(Y1451="","",IF(COUNTIF(Y$6:Y1450,Y1451)=0,1,0))</f>
        <v/>
      </c>
      <c r="AA1451" s="57" t="str">
        <f>IF(Y1451="","",IF(Z1451=1,COUNTIFS(A$6:A1451,A1451,Z$6:Z1451,1),INDEX(AA$6:AA1450,MATCH(Y1451,Y$6:Y1450,0))))</f>
        <v/>
      </c>
      <c r="AB1451" s="57" t="str">
        <f>IF(B1451="","",COUNTIF(B$6:B1451,B1451))</f>
        <v/>
      </c>
      <c r="AC1451" s="57" t="str">
        <f>IF(B1451="","",B1451&amp;"#"&amp;AB1451)</f>
        <v/>
      </c>
      <c r="AD1451" s="57" t="str">
        <f>IF(Z1451=1,A1451&amp;AA1451,"")</f>
        <v/>
      </c>
      <c r="AE1451" s="57" t="str">
        <f>IF(B1451="","",YEAR(C1451))</f>
        <v/>
      </c>
      <c r="AF1451" s="57" t="str">
        <f>IF(B1451="","",MONTH(C1451))</f>
        <v/>
      </c>
      <c r="AG1451" s="57">
        <f>IF(ISNUMBER(C1451),C1451,0)</f>
        <v>0.0</v>
      </c>
      <c r="AH1451" s="57" t="str">
        <f>IF(N(W1451)&gt;0,COUNTIF(W$6:W1451,"&gt;0"),"")</f>
        <v/>
      </c>
      <c r="AI1451" s="57" t="str">
        <f>IF(Z1451=1,COUNTIF(Z$6:Z1451,1),"")</f>
        <v/>
      </c>
    </row>
    <row r="1452">
      <c r="A1452" s="54" t="n"/>
      <c r="B1452" s="55" t="str">
        <f>IF(AA1452="","",A1452&amp;"-"&amp;RIGHT("000"&amp;AA1452,4))</f>
        <v/>
      </c>
      <c r="C1452" s="56" t="n"/>
      <c r="D1452" s="54" t="n"/>
      <c r="E1452" s="57" t="str">
        <f>IF(D1452="","",IF(A1452="BL",IFERROR(INDEX(cl_name,MATCH(D1452,cl_code,0))&amp;"","Client inconnu"),IF(A1452="BR",IFERROR(INDEX(fo_name,MATCH(D1452,fo_code,0))&amp;"","Fournisseur inconnu"),IF(A1452="BS",IF(ISNA(MATCH(D1452,p_services,0)),"Service inconnu",D1452&amp;""),""))))</f>
        <v/>
      </c>
      <c r="F1452" s="58" t="n"/>
      <c r="G1452" s="58" t="n"/>
      <c r="H1452" s="59" t="n"/>
      <c r="I1452" s="57" t="str">
        <f>IF(H1452="","",IFERROR(INDEX(art_des,MATCH(H1452,art_ref,0))&amp;"","Article inconnu"))</f>
        <v/>
      </c>
      <c r="J1452" s="60" t="str">
        <f>IF(H1452="","",IFERROR(INDEX(art_unit,MATCH(H1452,art_ref,0))&amp;"",""))</f>
        <v/>
      </c>
      <c r="K1452" s="59" t="n"/>
      <c r="L1452" s="59" t="n"/>
      <c r="M1452" s="61" t="str">
        <f>IF(OR(B1452="",NOT(ISNUMBER(K1452)),NOT(ISNUMBER(L1452))),"",IF(OR(K1452&lt;=0,L1452&lt;=0),"",ROUND(L1452-K1452,6)))</f>
        <v/>
      </c>
      <c r="N1452" s="58" t="n"/>
      <c r="O1452" s="62" t="n"/>
      <c r="P1452" s="63" t="str">
        <f>IF(OR(B1452="",NOT(ISNUMBER(L1452))),"",IF(L1452&lt;=0,"",IFERROR(ROUND(L1452*N(INDEX(art_w,MATCH(H1452,art_ref,0))),3),"")))</f>
        <v/>
      </c>
      <c r="Q1452" s="59" t="n"/>
      <c r="R1452" s="54" t="n"/>
      <c r="S1452" s="59" t="n"/>
      <c r="T1452" s="59" t="n"/>
      <c r="U1452" s="64" t="str">
        <f>IF(OR(B1452="",H1452=""),"",IFERROR(IF(A1452="BL",IF(N(INDEX(art_price,MATCH(H1452,art_ref,0)))=0,"",N(INDEX(art_price,MATCH(H1452,art_ref,0)))),IF(N(INDEX(art_cost,MATCH(H1452,art_ref,0)))=0,"",N(INDEX(art_cost,MATCH(H1452,art_ref,0))))),""))</f>
        <v/>
      </c>
      <c r="V1452" s="64" t="str">
        <f>IF(OR(U1452="",NOT(ISNUMBER(L1452))),"",IF(L1452&lt;=0,"",ROUND(L1452*U1452,2)))</f>
        <v/>
      </c>
      <c r="W1452" s="60" t="str">
        <f>IF(AND(B1452&lt;&gt;"",A1452&lt;&gt;"BS",F1452&lt;&gt;"",H1452&lt;&gt;"",ISNUMBER(K1452),ISNUMBER(L1452)),IF(AND(K1452&gt;0,L1452&gt;0,K1452-L1452&gt;0,COUNTIFS(A1453:A$2005,A1452,F1453:F$2005,F1452,H1453:H$2005,H1452,AA1453:AA$2005,"&gt;0")=0),ROUND(K1452-L1452,6),""),"")</f>
        <v/>
      </c>
      <c r="X1452" s="60" t="str">
        <f>IF(AND(A1452="",C1452="",D1452="",H1452="",L1452=""),"",IF(A1452="","Type manquant",IF(AND(A1452&lt;&gt;"BL",A1452&lt;&gt;"BR",A1452&lt;&gt;"BS"),"Type inconnu (BL, BR ou BS)",IF(AG1452=0,"Date manquante ou invalide",IF(D1452="",IF(A1452="BL","Client manquant",IF(A1452="BR","Fournisseur manquant","Service manquant")),IF(IF(A1452="BL",ISNA(MATCH(D1452,cl_code,0)),IF(A1452="BR",ISNA(MATCH(D1452,fo_code,0)),ISNA(MATCH(D1452,p_services,0)))),IF(A1452="BL","Client inconnu",IF(A1452="BR","Fournisseur inconnu","Service inconnu")),IF(H1452="","Article manquant",IF(ISNA(MATCH(H1452,art_ref,0)),"Article inconnu",IF(OR(NOT(ISNUMBER(L1452)),N(L1452)&lt;=0),"Quantité invalide",IF(AND(K1452&lt;&gt;"",OR(NOT(ISNUMBER(K1452)),N(K1452)&lt;=0)),"Qté commandée invalide",IF(AG1452&lt;SUMPRODUCT(MAX((A$6:A1451=A1452)*AG$6:AG1451)),"Date antérieure au bon précédent",IF(AND(A1452&lt;&gt;"BR",ISNUMBER(M1452),N(M1452)&gt;0),IF(A1452="BL","Livré plus que commandé","Sorti plus que demandé"),"OK"))))))))))))</f>
        <v/>
      </c>
      <c r="Y1452" s="57" t="str">
        <f>IF(AND(OR(A1452="BL",A1452="BR",A1452="BS"),AG1452&gt;0,D1452&lt;&gt;""),A1452&amp;"|"&amp;AG1452&amp;"|"&amp;D1452&amp;"|"&amp;F1452,"")</f>
        <v/>
      </c>
      <c r="Z1452" s="57" t="str">
        <f>IF(Y1452="","",IF(COUNTIF(Y$6:Y1451,Y1452)=0,1,0))</f>
        <v/>
      </c>
      <c r="AA1452" s="57" t="str">
        <f>IF(Y1452="","",IF(Z1452=1,COUNTIFS(A$6:A1452,A1452,Z$6:Z1452,1),INDEX(AA$6:AA1451,MATCH(Y1452,Y$6:Y1451,0))))</f>
        <v/>
      </c>
      <c r="AB1452" s="57" t="str">
        <f>IF(B1452="","",COUNTIF(B$6:B1452,B1452))</f>
        <v/>
      </c>
      <c r="AC1452" s="57" t="str">
        <f>IF(B1452="","",B1452&amp;"#"&amp;AB1452)</f>
        <v/>
      </c>
      <c r="AD1452" s="57" t="str">
        <f>IF(Z1452=1,A1452&amp;AA1452,"")</f>
        <v/>
      </c>
      <c r="AE1452" s="57" t="str">
        <f>IF(B1452="","",YEAR(C1452))</f>
        <v/>
      </c>
      <c r="AF1452" s="57" t="str">
        <f>IF(B1452="","",MONTH(C1452))</f>
        <v/>
      </c>
      <c r="AG1452" s="57">
        <f>IF(ISNUMBER(C1452),C1452,0)</f>
        <v>0.0</v>
      </c>
      <c r="AH1452" s="57" t="str">
        <f>IF(N(W1452)&gt;0,COUNTIF(W$6:W1452,"&gt;0"),"")</f>
        <v/>
      </c>
      <c r="AI1452" s="57" t="str">
        <f>IF(Z1452=1,COUNTIF(Z$6:Z1452,1),"")</f>
        <v/>
      </c>
    </row>
    <row r="1453">
      <c r="A1453" s="54" t="n"/>
      <c r="B1453" s="55" t="str">
        <f>IF(AA1453="","",A1453&amp;"-"&amp;RIGHT("000"&amp;AA1453,4))</f>
        <v/>
      </c>
      <c r="C1453" s="56" t="n"/>
      <c r="D1453" s="54" t="n"/>
      <c r="E1453" s="57" t="str">
        <f>IF(D1453="","",IF(A1453="BL",IFERROR(INDEX(cl_name,MATCH(D1453,cl_code,0))&amp;"","Client inconnu"),IF(A1453="BR",IFERROR(INDEX(fo_name,MATCH(D1453,fo_code,0))&amp;"","Fournisseur inconnu"),IF(A1453="BS",IF(ISNA(MATCH(D1453,p_services,0)),"Service inconnu",D1453&amp;""),""))))</f>
        <v/>
      </c>
      <c r="F1453" s="58" t="n"/>
      <c r="G1453" s="58" t="n"/>
      <c r="H1453" s="59" t="n"/>
      <c r="I1453" s="57" t="str">
        <f>IF(H1453="","",IFERROR(INDEX(art_des,MATCH(H1453,art_ref,0))&amp;"","Article inconnu"))</f>
        <v/>
      </c>
      <c r="J1453" s="60" t="str">
        <f>IF(H1453="","",IFERROR(INDEX(art_unit,MATCH(H1453,art_ref,0))&amp;"",""))</f>
        <v/>
      </c>
      <c r="K1453" s="59" t="n"/>
      <c r="L1453" s="59" t="n"/>
      <c r="M1453" s="61" t="str">
        <f>IF(OR(B1453="",NOT(ISNUMBER(K1453)),NOT(ISNUMBER(L1453))),"",IF(OR(K1453&lt;=0,L1453&lt;=0),"",ROUND(L1453-K1453,6)))</f>
        <v/>
      </c>
      <c r="N1453" s="58" t="n"/>
      <c r="O1453" s="62" t="n"/>
      <c r="P1453" s="63" t="str">
        <f>IF(OR(B1453="",NOT(ISNUMBER(L1453))),"",IF(L1453&lt;=0,"",IFERROR(ROUND(L1453*N(INDEX(art_w,MATCH(H1453,art_ref,0))),3),"")))</f>
        <v/>
      </c>
      <c r="Q1453" s="59" t="n"/>
      <c r="R1453" s="54" t="n"/>
      <c r="S1453" s="59" t="n"/>
      <c r="T1453" s="59" t="n"/>
      <c r="U1453" s="64" t="str">
        <f>IF(OR(B1453="",H1453=""),"",IFERROR(IF(A1453="BL",IF(N(INDEX(art_price,MATCH(H1453,art_ref,0)))=0,"",N(INDEX(art_price,MATCH(H1453,art_ref,0)))),IF(N(INDEX(art_cost,MATCH(H1453,art_ref,0)))=0,"",N(INDEX(art_cost,MATCH(H1453,art_ref,0))))),""))</f>
        <v/>
      </c>
      <c r="V1453" s="64" t="str">
        <f>IF(OR(U1453="",NOT(ISNUMBER(L1453))),"",IF(L1453&lt;=0,"",ROUND(L1453*U1453,2)))</f>
        <v/>
      </c>
      <c r="W1453" s="60" t="str">
        <f>IF(AND(B1453&lt;&gt;"",A1453&lt;&gt;"BS",F1453&lt;&gt;"",H1453&lt;&gt;"",ISNUMBER(K1453),ISNUMBER(L1453)),IF(AND(K1453&gt;0,L1453&gt;0,K1453-L1453&gt;0,COUNTIFS(A1454:A$2005,A1453,F1454:F$2005,F1453,H1454:H$2005,H1453,AA1454:AA$2005,"&gt;0")=0),ROUND(K1453-L1453,6),""),"")</f>
        <v/>
      </c>
      <c r="X1453" s="60" t="str">
        <f>IF(AND(A1453="",C1453="",D1453="",H1453="",L1453=""),"",IF(A1453="","Type manquant",IF(AND(A1453&lt;&gt;"BL",A1453&lt;&gt;"BR",A1453&lt;&gt;"BS"),"Type inconnu (BL, BR ou BS)",IF(AG1453=0,"Date manquante ou invalide",IF(D1453="",IF(A1453="BL","Client manquant",IF(A1453="BR","Fournisseur manquant","Service manquant")),IF(IF(A1453="BL",ISNA(MATCH(D1453,cl_code,0)),IF(A1453="BR",ISNA(MATCH(D1453,fo_code,0)),ISNA(MATCH(D1453,p_services,0)))),IF(A1453="BL","Client inconnu",IF(A1453="BR","Fournisseur inconnu","Service inconnu")),IF(H1453="","Article manquant",IF(ISNA(MATCH(H1453,art_ref,0)),"Article inconnu",IF(OR(NOT(ISNUMBER(L1453)),N(L1453)&lt;=0),"Quantité invalide",IF(AND(K1453&lt;&gt;"",OR(NOT(ISNUMBER(K1453)),N(K1453)&lt;=0)),"Qté commandée invalide",IF(AG1453&lt;SUMPRODUCT(MAX((A$6:A1452=A1453)*AG$6:AG1452)),"Date antérieure au bon précédent",IF(AND(A1453&lt;&gt;"BR",ISNUMBER(M1453),N(M1453)&gt;0),IF(A1453="BL","Livré plus que commandé","Sorti plus que demandé"),"OK"))))))))))))</f>
        <v/>
      </c>
      <c r="Y1453" s="57" t="str">
        <f>IF(AND(OR(A1453="BL",A1453="BR",A1453="BS"),AG1453&gt;0,D1453&lt;&gt;""),A1453&amp;"|"&amp;AG1453&amp;"|"&amp;D1453&amp;"|"&amp;F1453,"")</f>
        <v/>
      </c>
      <c r="Z1453" s="57" t="str">
        <f>IF(Y1453="","",IF(COUNTIF(Y$6:Y1452,Y1453)=0,1,0))</f>
        <v/>
      </c>
      <c r="AA1453" s="57" t="str">
        <f>IF(Y1453="","",IF(Z1453=1,COUNTIFS(A$6:A1453,A1453,Z$6:Z1453,1),INDEX(AA$6:AA1452,MATCH(Y1453,Y$6:Y1452,0))))</f>
        <v/>
      </c>
      <c r="AB1453" s="57" t="str">
        <f>IF(B1453="","",COUNTIF(B$6:B1453,B1453))</f>
        <v/>
      </c>
      <c r="AC1453" s="57" t="str">
        <f>IF(B1453="","",B1453&amp;"#"&amp;AB1453)</f>
        <v/>
      </c>
      <c r="AD1453" s="57" t="str">
        <f>IF(Z1453=1,A1453&amp;AA1453,"")</f>
        <v/>
      </c>
      <c r="AE1453" s="57" t="str">
        <f>IF(B1453="","",YEAR(C1453))</f>
        <v/>
      </c>
      <c r="AF1453" s="57" t="str">
        <f>IF(B1453="","",MONTH(C1453))</f>
        <v/>
      </c>
      <c r="AG1453" s="57">
        <f>IF(ISNUMBER(C1453),C1453,0)</f>
        <v>0.0</v>
      </c>
      <c r="AH1453" s="57" t="str">
        <f>IF(N(W1453)&gt;0,COUNTIF(W$6:W1453,"&gt;0"),"")</f>
        <v/>
      </c>
      <c r="AI1453" s="57" t="str">
        <f>IF(Z1453=1,COUNTIF(Z$6:Z1453,1),"")</f>
        <v/>
      </c>
    </row>
    <row r="1454">
      <c r="A1454" s="54" t="n"/>
      <c r="B1454" s="55" t="str">
        <f>IF(AA1454="","",A1454&amp;"-"&amp;RIGHT("000"&amp;AA1454,4))</f>
        <v/>
      </c>
      <c r="C1454" s="56" t="n"/>
      <c r="D1454" s="54" t="n"/>
      <c r="E1454" s="57" t="str">
        <f>IF(D1454="","",IF(A1454="BL",IFERROR(INDEX(cl_name,MATCH(D1454,cl_code,0))&amp;"","Client inconnu"),IF(A1454="BR",IFERROR(INDEX(fo_name,MATCH(D1454,fo_code,0))&amp;"","Fournisseur inconnu"),IF(A1454="BS",IF(ISNA(MATCH(D1454,p_services,0)),"Service inconnu",D1454&amp;""),""))))</f>
        <v/>
      </c>
      <c r="F1454" s="58" t="n"/>
      <c r="G1454" s="58" t="n"/>
      <c r="H1454" s="59" t="n"/>
      <c r="I1454" s="57" t="str">
        <f>IF(H1454="","",IFERROR(INDEX(art_des,MATCH(H1454,art_ref,0))&amp;"","Article inconnu"))</f>
        <v/>
      </c>
      <c r="J1454" s="60" t="str">
        <f>IF(H1454="","",IFERROR(INDEX(art_unit,MATCH(H1454,art_ref,0))&amp;"",""))</f>
        <v/>
      </c>
      <c r="K1454" s="59" t="n"/>
      <c r="L1454" s="59" t="n"/>
      <c r="M1454" s="61" t="str">
        <f>IF(OR(B1454="",NOT(ISNUMBER(K1454)),NOT(ISNUMBER(L1454))),"",IF(OR(K1454&lt;=0,L1454&lt;=0),"",ROUND(L1454-K1454,6)))</f>
        <v/>
      </c>
      <c r="N1454" s="58" t="n"/>
      <c r="O1454" s="62" t="n"/>
      <c r="P1454" s="63" t="str">
        <f>IF(OR(B1454="",NOT(ISNUMBER(L1454))),"",IF(L1454&lt;=0,"",IFERROR(ROUND(L1454*N(INDEX(art_w,MATCH(H1454,art_ref,0))),3),"")))</f>
        <v/>
      </c>
      <c r="Q1454" s="59" t="n"/>
      <c r="R1454" s="54" t="n"/>
      <c r="S1454" s="59" t="n"/>
      <c r="T1454" s="59" t="n"/>
      <c r="U1454" s="64" t="str">
        <f>IF(OR(B1454="",H1454=""),"",IFERROR(IF(A1454="BL",IF(N(INDEX(art_price,MATCH(H1454,art_ref,0)))=0,"",N(INDEX(art_price,MATCH(H1454,art_ref,0)))),IF(N(INDEX(art_cost,MATCH(H1454,art_ref,0)))=0,"",N(INDEX(art_cost,MATCH(H1454,art_ref,0))))),""))</f>
        <v/>
      </c>
      <c r="V1454" s="64" t="str">
        <f>IF(OR(U1454="",NOT(ISNUMBER(L1454))),"",IF(L1454&lt;=0,"",ROUND(L1454*U1454,2)))</f>
        <v/>
      </c>
      <c r="W1454" s="60" t="str">
        <f>IF(AND(B1454&lt;&gt;"",A1454&lt;&gt;"BS",F1454&lt;&gt;"",H1454&lt;&gt;"",ISNUMBER(K1454),ISNUMBER(L1454)),IF(AND(K1454&gt;0,L1454&gt;0,K1454-L1454&gt;0,COUNTIFS(A1455:A$2005,A1454,F1455:F$2005,F1454,H1455:H$2005,H1454,AA1455:AA$2005,"&gt;0")=0),ROUND(K1454-L1454,6),""),"")</f>
        <v/>
      </c>
      <c r="X1454" s="60" t="str">
        <f>IF(AND(A1454="",C1454="",D1454="",H1454="",L1454=""),"",IF(A1454="","Type manquant",IF(AND(A1454&lt;&gt;"BL",A1454&lt;&gt;"BR",A1454&lt;&gt;"BS"),"Type inconnu (BL, BR ou BS)",IF(AG1454=0,"Date manquante ou invalide",IF(D1454="",IF(A1454="BL","Client manquant",IF(A1454="BR","Fournisseur manquant","Service manquant")),IF(IF(A1454="BL",ISNA(MATCH(D1454,cl_code,0)),IF(A1454="BR",ISNA(MATCH(D1454,fo_code,0)),ISNA(MATCH(D1454,p_services,0)))),IF(A1454="BL","Client inconnu",IF(A1454="BR","Fournisseur inconnu","Service inconnu")),IF(H1454="","Article manquant",IF(ISNA(MATCH(H1454,art_ref,0)),"Article inconnu",IF(OR(NOT(ISNUMBER(L1454)),N(L1454)&lt;=0),"Quantité invalide",IF(AND(K1454&lt;&gt;"",OR(NOT(ISNUMBER(K1454)),N(K1454)&lt;=0)),"Qté commandée invalide",IF(AG1454&lt;SUMPRODUCT(MAX((A$6:A1453=A1454)*AG$6:AG1453)),"Date antérieure au bon précédent",IF(AND(A1454&lt;&gt;"BR",ISNUMBER(M1454),N(M1454)&gt;0),IF(A1454="BL","Livré plus que commandé","Sorti plus que demandé"),"OK"))))))))))))</f>
        <v/>
      </c>
      <c r="Y1454" s="57" t="str">
        <f>IF(AND(OR(A1454="BL",A1454="BR",A1454="BS"),AG1454&gt;0,D1454&lt;&gt;""),A1454&amp;"|"&amp;AG1454&amp;"|"&amp;D1454&amp;"|"&amp;F1454,"")</f>
        <v/>
      </c>
      <c r="Z1454" s="57" t="str">
        <f>IF(Y1454="","",IF(COUNTIF(Y$6:Y1453,Y1454)=0,1,0))</f>
        <v/>
      </c>
      <c r="AA1454" s="57" t="str">
        <f>IF(Y1454="","",IF(Z1454=1,COUNTIFS(A$6:A1454,A1454,Z$6:Z1454,1),INDEX(AA$6:AA1453,MATCH(Y1454,Y$6:Y1453,0))))</f>
        <v/>
      </c>
      <c r="AB1454" s="57" t="str">
        <f>IF(B1454="","",COUNTIF(B$6:B1454,B1454))</f>
        <v/>
      </c>
      <c r="AC1454" s="57" t="str">
        <f>IF(B1454="","",B1454&amp;"#"&amp;AB1454)</f>
        <v/>
      </c>
      <c r="AD1454" s="57" t="str">
        <f>IF(Z1454=1,A1454&amp;AA1454,"")</f>
        <v/>
      </c>
      <c r="AE1454" s="57" t="str">
        <f>IF(B1454="","",YEAR(C1454))</f>
        <v/>
      </c>
      <c r="AF1454" s="57" t="str">
        <f>IF(B1454="","",MONTH(C1454))</f>
        <v/>
      </c>
      <c r="AG1454" s="57">
        <f>IF(ISNUMBER(C1454),C1454,0)</f>
        <v>0.0</v>
      </c>
      <c r="AH1454" s="57" t="str">
        <f>IF(N(W1454)&gt;0,COUNTIF(W$6:W1454,"&gt;0"),"")</f>
        <v/>
      </c>
      <c r="AI1454" s="57" t="str">
        <f>IF(Z1454=1,COUNTIF(Z$6:Z1454,1),"")</f>
        <v/>
      </c>
    </row>
    <row r="1455">
      <c r="A1455" s="54" t="n"/>
      <c r="B1455" s="55" t="str">
        <f>IF(AA1455="","",A1455&amp;"-"&amp;RIGHT("000"&amp;AA1455,4))</f>
        <v/>
      </c>
      <c r="C1455" s="56" t="n"/>
      <c r="D1455" s="54" t="n"/>
      <c r="E1455" s="57" t="str">
        <f>IF(D1455="","",IF(A1455="BL",IFERROR(INDEX(cl_name,MATCH(D1455,cl_code,0))&amp;"","Client inconnu"),IF(A1455="BR",IFERROR(INDEX(fo_name,MATCH(D1455,fo_code,0))&amp;"","Fournisseur inconnu"),IF(A1455="BS",IF(ISNA(MATCH(D1455,p_services,0)),"Service inconnu",D1455&amp;""),""))))</f>
        <v/>
      </c>
      <c r="F1455" s="58" t="n"/>
      <c r="G1455" s="58" t="n"/>
      <c r="H1455" s="59" t="n"/>
      <c r="I1455" s="57" t="str">
        <f>IF(H1455="","",IFERROR(INDEX(art_des,MATCH(H1455,art_ref,0))&amp;"","Article inconnu"))</f>
        <v/>
      </c>
      <c r="J1455" s="60" t="str">
        <f>IF(H1455="","",IFERROR(INDEX(art_unit,MATCH(H1455,art_ref,0))&amp;"",""))</f>
        <v/>
      </c>
      <c r="K1455" s="59" t="n"/>
      <c r="L1455" s="59" t="n"/>
      <c r="M1455" s="61" t="str">
        <f>IF(OR(B1455="",NOT(ISNUMBER(K1455)),NOT(ISNUMBER(L1455))),"",IF(OR(K1455&lt;=0,L1455&lt;=0),"",ROUND(L1455-K1455,6)))</f>
        <v/>
      </c>
      <c r="N1455" s="58" t="n"/>
      <c r="O1455" s="62" t="n"/>
      <c r="P1455" s="63" t="str">
        <f>IF(OR(B1455="",NOT(ISNUMBER(L1455))),"",IF(L1455&lt;=0,"",IFERROR(ROUND(L1455*N(INDEX(art_w,MATCH(H1455,art_ref,0))),3),"")))</f>
        <v/>
      </c>
      <c r="Q1455" s="59" t="n"/>
      <c r="R1455" s="54" t="n"/>
      <c r="S1455" s="59" t="n"/>
      <c r="T1455" s="59" t="n"/>
      <c r="U1455" s="64" t="str">
        <f>IF(OR(B1455="",H1455=""),"",IFERROR(IF(A1455="BL",IF(N(INDEX(art_price,MATCH(H1455,art_ref,0)))=0,"",N(INDEX(art_price,MATCH(H1455,art_ref,0)))),IF(N(INDEX(art_cost,MATCH(H1455,art_ref,0)))=0,"",N(INDEX(art_cost,MATCH(H1455,art_ref,0))))),""))</f>
        <v/>
      </c>
      <c r="V1455" s="64" t="str">
        <f>IF(OR(U1455="",NOT(ISNUMBER(L1455))),"",IF(L1455&lt;=0,"",ROUND(L1455*U1455,2)))</f>
        <v/>
      </c>
      <c r="W1455" s="60" t="str">
        <f>IF(AND(B1455&lt;&gt;"",A1455&lt;&gt;"BS",F1455&lt;&gt;"",H1455&lt;&gt;"",ISNUMBER(K1455),ISNUMBER(L1455)),IF(AND(K1455&gt;0,L1455&gt;0,K1455-L1455&gt;0,COUNTIFS(A1456:A$2005,A1455,F1456:F$2005,F1455,H1456:H$2005,H1455,AA1456:AA$2005,"&gt;0")=0),ROUND(K1455-L1455,6),""),"")</f>
        <v/>
      </c>
      <c r="X1455" s="60" t="str">
        <f>IF(AND(A1455="",C1455="",D1455="",H1455="",L1455=""),"",IF(A1455="","Type manquant",IF(AND(A1455&lt;&gt;"BL",A1455&lt;&gt;"BR",A1455&lt;&gt;"BS"),"Type inconnu (BL, BR ou BS)",IF(AG1455=0,"Date manquante ou invalide",IF(D1455="",IF(A1455="BL","Client manquant",IF(A1455="BR","Fournisseur manquant","Service manquant")),IF(IF(A1455="BL",ISNA(MATCH(D1455,cl_code,0)),IF(A1455="BR",ISNA(MATCH(D1455,fo_code,0)),ISNA(MATCH(D1455,p_services,0)))),IF(A1455="BL","Client inconnu",IF(A1455="BR","Fournisseur inconnu","Service inconnu")),IF(H1455="","Article manquant",IF(ISNA(MATCH(H1455,art_ref,0)),"Article inconnu",IF(OR(NOT(ISNUMBER(L1455)),N(L1455)&lt;=0),"Quantité invalide",IF(AND(K1455&lt;&gt;"",OR(NOT(ISNUMBER(K1455)),N(K1455)&lt;=0)),"Qté commandée invalide",IF(AG1455&lt;SUMPRODUCT(MAX((A$6:A1454=A1455)*AG$6:AG1454)),"Date antérieure au bon précédent",IF(AND(A1455&lt;&gt;"BR",ISNUMBER(M1455),N(M1455)&gt;0),IF(A1455="BL","Livré plus que commandé","Sorti plus que demandé"),"OK"))))))))))))</f>
        <v/>
      </c>
      <c r="Y1455" s="57" t="str">
        <f>IF(AND(OR(A1455="BL",A1455="BR",A1455="BS"),AG1455&gt;0,D1455&lt;&gt;""),A1455&amp;"|"&amp;AG1455&amp;"|"&amp;D1455&amp;"|"&amp;F1455,"")</f>
        <v/>
      </c>
      <c r="Z1455" s="57" t="str">
        <f>IF(Y1455="","",IF(COUNTIF(Y$6:Y1454,Y1455)=0,1,0))</f>
        <v/>
      </c>
      <c r="AA1455" s="57" t="str">
        <f>IF(Y1455="","",IF(Z1455=1,COUNTIFS(A$6:A1455,A1455,Z$6:Z1455,1),INDEX(AA$6:AA1454,MATCH(Y1455,Y$6:Y1454,0))))</f>
        <v/>
      </c>
      <c r="AB1455" s="57" t="str">
        <f>IF(B1455="","",COUNTIF(B$6:B1455,B1455))</f>
        <v/>
      </c>
      <c r="AC1455" s="57" t="str">
        <f>IF(B1455="","",B1455&amp;"#"&amp;AB1455)</f>
        <v/>
      </c>
      <c r="AD1455" s="57" t="str">
        <f>IF(Z1455=1,A1455&amp;AA1455,"")</f>
        <v/>
      </c>
      <c r="AE1455" s="57" t="str">
        <f>IF(B1455="","",YEAR(C1455))</f>
        <v/>
      </c>
      <c r="AF1455" s="57" t="str">
        <f>IF(B1455="","",MONTH(C1455))</f>
        <v/>
      </c>
      <c r="AG1455" s="57">
        <f>IF(ISNUMBER(C1455),C1455,0)</f>
        <v>0.0</v>
      </c>
      <c r="AH1455" s="57" t="str">
        <f>IF(N(W1455)&gt;0,COUNTIF(W$6:W1455,"&gt;0"),"")</f>
        <v/>
      </c>
      <c r="AI1455" s="57" t="str">
        <f>IF(Z1455=1,COUNTIF(Z$6:Z1455,1),"")</f>
        <v/>
      </c>
    </row>
    <row r="1456">
      <c r="A1456" s="54" t="n"/>
      <c r="B1456" s="55" t="str">
        <f>IF(AA1456="","",A1456&amp;"-"&amp;RIGHT("000"&amp;AA1456,4))</f>
        <v/>
      </c>
      <c r="C1456" s="56" t="n"/>
      <c r="D1456" s="54" t="n"/>
      <c r="E1456" s="57" t="str">
        <f>IF(D1456="","",IF(A1456="BL",IFERROR(INDEX(cl_name,MATCH(D1456,cl_code,0))&amp;"","Client inconnu"),IF(A1456="BR",IFERROR(INDEX(fo_name,MATCH(D1456,fo_code,0))&amp;"","Fournisseur inconnu"),IF(A1456="BS",IF(ISNA(MATCH(D1456,p_services,0)),"Service inconnu",D1456&amp;""),""))))</f>
        <v/>
      </c>
      <c r="F1456" s="58" t="n"/>
      <c r="G1456" s="58" t="n"/>
      <c r="H1456" s="59" t="n"/>
      <c r="I1456" s="57" t="str">
        <f>IF(H1456="","",IFERROR(INDEX(art_des,MATCH(H1456,art_ref,0))&amp;"","Article inconnu"))</f>
        <v/>
      </c>
      <c r="J1456" s="60" t="str">
        <f>IF(H1456="","",IFERROR(INDEX(art_unit,MATCH(H1456,art_ref,0))&amp;"",""))</f>
        <v/>
      </c>
      <c r="K1456" s="59" t="n"/>
      <c r="L1456" s="59" t="n"/>
      <c r="M1456" s="61" t="str">
        <f>IF(OR(B1456="",NOT(ISNUMBER(K1456)),NOT(ISNUMBER(L1456))),"",IF(OR(K1456&lt;=0,L1456&lt;=0),"",ROUND(L1456-K1456,6)))</f>
        <v/>
      </c>
      <c r="N1456" s="58" t="n"/>
      <c r="O1456" s="62" t="n"/>
      <c r="P1456" s="63" t="str">
        <f>IF(OR(B1456="",NOT(ISNUMBER(L1456))),"",IF(L1456&lt;=0,"",IFERROR(ROUND(L1456*N(INDEX(art_w,MATCH(H1456,art_ref,0))),3),"")))</f>
        <v/>
      </c>
      <c r="Q1456" s="59" t="n"/>
      <c r="R1456" s="54" t="n"/>
      <c r="S1456" s="59" t="n"/>
      <c r="T1456" s="59" t="n"/>
      <c r="U1456" s="64" t="str">
        <f>IF(OR(B1456="",H1456=""),"",IFERROR(IF(A1456="BL",IF(N(INDEX(art_price,MATCH(H1456,art_ref,0)))=0,"",N(INDEX(art_price,MATCH(H1456,art_ref,0)))),IF(N(INDEX(art_cost,MATCH(H1456,art_ref,0)))=0,"",N(INDEX(art_cost,MATCH(H1456,art_ref,0))))),""))</f>
        <v/>
      </c>
      <c r="V1456" s="64" t="str">
        <f>IF(OR(U1456="",NOT(ISNUMBER(L1456))),"",IF(L1456&lt;=0,"",ROUND(L1456*U1456,2)))</f>
        <v/>
      </c>
      <c r="W1456" s="60" t="str">
        <f>IF(AND(B1456&lt;&gt;"",A1456&lt;&gt;"BS",F1456&lt;&gt;"",H1456&lt;&gt;"",ISNUMBER(K1456),ISNUMBER(L1456)),IF(AND(K1456&gt;0,L1456&gt;0,K1456-L1456&gt;0,COUNTIFS(A1457:A$2005,A1456,F1457:F$2005,F1456,H1457:H$2005,H1456,AA1457:AA$2005,"&gt;0")=0),ROUND(K1456-L1456,6),""),"")</f>
        <v/>
      </c>
      <c r="X1456" s="60" t="str">
        <f>IF(AND(A1456="",C1456="",D1456="",H1456="",L1456=""),"",IF(A1456="","Type manquant",IF(AND(A1456&lt;&gt;"BL",A1456&lt;&gt;"BR",A1456&lt;&gt;"BS"),"Type inconnu (BL, BR ou BS)",IF(AG1456=0,"Date manquante ou invalide",IF(D1456="",IF(A1456="BL","Client manquant",IF(A1456="BR","Fournisseur manquant","Service manquant")),IF(IF(A1456="BL",ISNA(MATCH(D1456,cl_code,0)),IF(A1456="BR",ISNA(MATCH(D1456,fo_code,0)),ISNA(MATCH(D1456,p_services,0)))),IF(A1456="BL","Client inconnu",IF(A1456="BR","Fournisseur inconnu","Service inconnu")),IF(H1456="","Article manquant",IF(ISNA(MATCH(H1456,art_ref,0)),"Article inconnu",IF(OR(NOT(ISNUMBER(L1456)),N(L1456)&lt;=0),"Quantité invalide",IF(AND(K1456&lt;&gt;"",OR(NOT(ISNUMBER(K1456)),N(K1456)&lt;=0)),"Qté commandée invalide",IF(AG1456&lt;SUMPRODUCT(MAX((A$6:A1455=A1456)*AG$6:AG1455)),"Date antérieure au bon précédent",IF(AND(A1456&lt;&gt;"BR",ISNUMBER(M1456),N(M1456)&gt;0),IF(A1456="BL","Livré plus que commandé","Sorti plus que demandé"),"OK"))))))))))))</f>
        <v/>
      </c>
      <c r="Y1456" s="57" t="str">
        <f>IF(AND(OR(A1456="BL",A1456="BR",A1456="BS"),AG1456&gt;0,D1456&lt;&gt;""),A1456&amp;"|"&amp;AG1456&amp;"|"&amp;D1456&amp;"|"&amp;F1456,"")</f>
        <v/>
      </c>
      <c r="Z1456" s="57" t="str">
        <f>IF(Y1456="","",IF(COUNTIF(Y$6:Y1455,Y1456)=0,1,0))</f>
        <v/>
      </c>
      <c r="AA1456" s="57" t="str">
        <f>IF(Y1456="","",IF(Z1456=1,COUNTIFS(A$6:A1456,A1456,Z$6:Z1456,1),INDEX(AA$6:AA1455,MATCH(Y1456,Y$6:Y1455,0))))</f>
        <v/>
      </c>
      <c r="AB1456" s="57" t="str">
        <f>IF(B1456="","",COUNTIF(B$6:B1456,B1456))</f>
        <v/>
      </c>
      <c r="AC1456" s="57" t="str">
        <f>IF(B1456="","",B1456&amp;"#"&amp;AB1456)</f>
        <v/>
      </c>
      <c r="AD1456" s="57" t="str">
        <f>IF(Z1456=1,A1456&amp;AA1456,"")</f>
        <v/>
      </c>
      <c r="AE1456" s="57" t="str">
        <f>IF(B1456="","",YEAR(C1456))</f>
        <v/>
      </c>
      <c r="AF1456" s="57" t="str">
        <f>IF(B1456="","",MONTH(C1456))</f>
        <v/>
      </c>
      <c r="AG1456" s="57">
        <f>IF(ISNUMBER(C1456),C1456,0)</f>
        <v>0.0</v>
      </c>
      <c r="AH1456" s="57" t="str">
        <f>IF(N(W1456)&gt;0,COUNTIF(W$6:W1456,"&gt;0"),"")</f>
        <v/>
      </c>
      <c r="AI1456" s="57" t="str">
        <f>IF(Z1456=1,COUNTIF(Z$6:Z1456,1),"")</f>
        <v/>
      </c>
    </row>
    <row r="1457">
      <c r="A1457" s="54" t="n"/>
      <c r="B1457" s="55" t="str">
        <f>IF(AA1457="","",A1457&amp;"-"&amp;RIGHT("000"&amp;AA1457,4))</f>
        <v/>
      </c>
      <c r="C1457" s="56" t="n"/>
      <c r="D1457" s="54" t="n"/>
      <c r="E1457" s="57" t="str">
        <f>IF(D1457="","",IF(A1457="BL",IFERROR(INDEX(cl_name,MATCH(D1457,cl_code,0))&amp;"","Client inconnu"),IF(A1457="BR",IFERROR(INDEX(fo_name,MATCH(D1457,fo_code,0))&amp;"","Fournisseur inconnu"),IF(A1457="BS",IF(ISNA(MATCH(D1457,p_services,0)),"Service inconnu",D1457&amp;""),""))))</f>
        <v/>
      </c>
      <c r="F1457" s="58" t="n"/>
      <c r="G1457" s="58" t="n"/>
      <c r="H1457" s="59" t="n"/>
      <c r="I1457" s="57" t="str">
        <f>IF(H1457="","",IFERROR(INDEX(art_des,MATCH(H1457,art_ref,0))&amp;"","Article inconnu"))</f>
        <v/>
      </c>
      <c r="J1457" s="60" t="str">
        <f>IF(H1457="","",IFERROR(INDEX(art_unit,MATCH(H1457,art_ref,0))&amp;"",""))</f>
        <v/>
      </c>
      <c r="K1457" s="59" t="n"/>
      <c r="L1457" s="59" t="n"/>
      <c r="M1457" s="61" t="str">
        <f>IF(OR(B1457="",NOT(ISNUMBER(K1457)),NOT(ISNUMBER(L1457))),"",IF(OR(K1457&lt;=0,L1457&lt;=0),"",ROUND(L1457-K1457,6)))</f>
        <v/>
      </c>
      <c r="N1457" s="58" t="n"/>
      <c r="O1457" s="62" t="n"/>
      <c r="P1457" s="63" t="str">
        <f>IF(OR(B1457="",NOT(ISNUMBER(L1457))),"",IF(L1457&lt;=0,"",IFERROR(ROUND(L1457*N(INDEX(art_w,MATCH(H1457,art_ref,0))),3),"")))</f>
        <v/>
      </c>
      <c r="Q1457" s="59" t="n"/>
      <c r="R1457" s="54" t="n"/>
      <c r="S1457" s="59" t="n"/>
      <c r="T1457" s="59" t="n"/>
      <c r="U1457" s="64" t="str">
        <f>IF(OR(B1457="",H1457=""),"",IFERROR(IF(A1457="BL",IF(N(INDEX(art_price,MATCH(H1457,art_ref,0)))=0,"",N(INDEX(art_price,MATCH(H1457,art_ref,0)))),IF(N(INDEX(art_cost,MATCH(H1457,art_ref,0)))=0,"",N(INDEX(art_cost,MATCH(H1457,art_ref,0))))),""))</f>
        <v/>
      </c>
      <c r="V1457" s="64" t="str">
        <f>IF(OR(U1457="",NOT(ISNUMBER(L1457))),"",IF(L1457&lt;=0,"",ROUND(L1457*U1457,2)))</f>
        <v/>
      </c>
      <c r="W1457" s="60" t="str">
        <f>IF(AND(B1457&lt;&gt;"",A1457&lt;&gt;"BS",F1457&lt;&gt;"",H1457&lt;&gt;"",ISNUMBER(K1457),ISNUMBER(L1457)),IF(AND(K1457&gt;0,L1457&gt;0,K1457-L1457&gt;0,COUNTIFS(A1458:A$2005,A1457,F1458:F$2005,F1457,H1458:H$2005,H1457,AA1458:AA$2005,"&gt;0")=0),ROUND(K1457-L1457,6),""),"")</f>
        <v/>
      </c>
      <c r="X1457" s="60" t="str">
        <f>IF(AND(A1457="",C1457="",D1457="",H1457="",L1457=""),"",IF(A1457="","Type manquant",IF(AND(A1457&lt;&gt;"BL",A1457&lt;&gt;"BR",A1457&lt;&gt;"BS"),"Type inconnu (BL, BR ou BS)",IF(AG1457=0,"Date manquante ou invalide",IF(D1457="",IF(A1457="BL","Client manquant",IF(A1457="BR","Fournisseur manquant","Service manquant")),IF(IF(A1457="BL",ISNA(MATCH(D1457,cl_code,0)),IF(A1457="BR",ISNA(MATCH(D1457,fo_code,0)),ISNA(MATCH(D1457,p_services,0)))),IF(A1457="BL","Client inconnu",IF(A1457="BR","Fournisseur inconnu","Service inconnu")),IF(H1457="","Article manquant",IF(ISNA(MATCH(H1457,art_ref,0)),"Article inconnu",IF(OR(NOT(ISNUMBER(L1457)),N(L1457)&lt;=0),"Quantité invalide",IF(AND(K1457&lt;&gt;"",OR(NOT(ISNUMBER(K1457)),N(K1457)&lt;=0)),"Qté commandée invalide",IF(AG1457&lt;SUMPRODUCT(MAX((A$6:A1456=A1457)*AG$6:AG1456)),"Date antérieure au bon précédent",IF(AND(A1457&lt;&gt;"BR",ISNUMBER(M1457),N(M1457)&gt;0),IF(A1457="BL","Livré plus que commandé","Sorti plus que demandé"),"OK"))))))))))))</f>
        <v/>
      </c>
      <c r="Y1457" s="57" t="str">
        <f>IF(AND(OR(A1457="BL",A1457="BR",A1457="BS"),AG1457&gt;0,D1457&lt;&gt;""),A1457&amp;"|"&amp;AG1457&amp;"|"&amp;D1457&amp;"|"&amp;F1457,"")</f>
        <v/>
      </c>
      <c r="Z1457" s="57" t="str">
        <f>IF(Y1457="","",IF(COUNTIF(Y$6:Y1456,Y1457)=0,1,0))</f>
        <v/>
      </c>
      <c r="AA1457" s="57" t="str">
        <f>IF(Y1457="","",IF(Z1457=1,COUNTIFS(A$6:A1457,A1457,Z$6:Z1457,1),INDEX(AA$6:AA1456,MATCH(Y1457,Y$6:Y1456,0))))</f>
        <v/>
      </c>
      <c r="AB1457" s="57" t="str">
        <f>IF(B1457="","",COUNTIF(B$6:B1457,B1457))</f>
        <v/>
      </c>
      <c r="AC1457" s="57" t="str">
        <f>IF(B1457="","",B1457&amp;"#"&amp;AB1457)</f>
        <v/>
      </c>
      <c r="AD1457" s="57" t="str">
        <f>IF(Z1457=1,A1457&amp;AA1457,"")</f>
        <v/>
      </c>
      <c r="AE1457" s="57" t="str">
        <f>IF(B1457="","",YEAR(C1457))</f>
        <v/>
      </c>
      <c r="AF1457" s="57" t="str">
        <f>IF(B1457="","",MONTH(C1457))</f>
        <v/>
      </c>
      <c r="AG1457" s="57">
        <f>IF(ISNUMBER(C1457),C1457,0)</f>
        <v>0.0</v>
      </c>
      <c r="AH1457" s="57" t="str">
        <f>IF(N(W1457)&gt;0,COUNTIF(W$6:W1457,"&gt;0"),"")</f>
        <v/>
      </c>
      <c r="AI1457" s="57" t="str">
        <f>IF(Z1457=1,COUNTIF(Z$6:Z1457,1),"")</f>
        <v/>
      </c>
    </row>
    <row r="1458">
      <c r="A1458" s="54" t="n"/>
      <c r="B1458" s="55" t="str">
        <f>IF(AA1458="","",A1458&amp;"-"&amp;RIGHT("000"&amp;AA1458,4))</f>
        <v/>
      </c>
      <c r="C1458" s="56" t="n"/>
      <c r="D1458" s="54" t="n"/>
      <c r="E1458" s="57" t="str">
        <f>IF(D1458="","",IF(A1458="BL",IFERROR(INDEX(cl_name,MATCH(D1458,cl_code,0))&amp;"","Client inconnu"),IF(A1458="BR",IFERROR(INDEX(fo_name,MATCH(D1458,fo_code,0))&amp;"","Fournisseur inconnu"),IF(A1458="BS",IF(ISNA(MATCH(D1458,p_services,0)),"Service inconnu",D1458&amp;""),""))))</f>
        <v/>
      </c>
      <c r="F1458" s="58" t="n"/>
      <c r="G1458" s="58" t="n"/>
      <c r="H1458" s="59" t="n"/>
      <c r="I1458" s="57" t="str">
        <f>IF(H1458="","",IFERROR(INDEX(art_des,MATCH(H1458,art_ref,0))&amp;"","Article inconnu"))</f>
        <v/>
      </c>
      <c r="J1458" s="60" t="str">
        <f>IF(H1458="","",IFERROR(INDEX(art_unit,MATCH(H1458,art_ref,0))&amp;"",""))</f>
        <v/>
      </c>
      <c r="K1458" s="59" t="n"/>
      <c r="L1458" s="59" t="n"/>
      <c r="M1458" s="61" t="str">
        <f>IF(OR(B1458="",NOT(ISNUMBER(K1458)),NOT(ISNUMBER(L1458))),"",IF(OR(K1458&lt;=0,L1458&lt;=0),"",ROUND(L1458-K1458,6)))</f>
        <v/>
      </c>
      <c r="N1458" s="58" t="n"/>
      <c r="O1458" s="62" t="n"/>
      <c r="P1458" s="63" t="str">
        <f>IF(OR(B1458="",NOT(ISNUMBER(L1458))),"",IF(L1458&lt;=0,"",IFERROR(ROUND(L1458*N(INDEX(art_w,MATCH(H1458,art_ref,0))),3),"")))</f>
        <v/>
      </c>
      <c r="Q1458" s="59" t="n"/>
      <c r="R1458" s="54" t="n"/>
      <c r="S1458" s="59" t="n"/>
      <c r="T1458" s="59" t="n"/>
      <c r="U1458" s="64" t="str">
        <f>IF(OR(B1458="",H1458=""),"",IFERROR(IF(A1458="BL",IF(N(INDEX(art_price,MATCH(H1458,art_ref,0)))=0,"",N(INDEX(art_price,MATCH(H1458,art_ref,0)))),IF(N(INDEX(art_cost,MATCH(H1458,art_ref,0)))=0,"",N(INDEX(art_cost,MATCH(H1458,art_ref,0))))),""))</f>
        <v/>
      </c>
      <c r="V1458" s="64" t="str">
        <f>IF(OR(U1458="",NOT(ISNUMBER(L1458))),"",IF(L1458&lt;=0,"",ROUND(L1458*U1458,2)))</f>
        <v/>
      </c>
      <c r="W1458" s="60" t="str">
        <f>IF(AND(B1458&lt;&gt;"",A1458&lt;&gt;"BS",F1458&lt;&gt;"",H1458&lt;&gt;"",ISNUMBER(K1458),ISNUMBER(L1458)),IF(AND(K1458&gt;0,L1458&gt;0,K1458-L1458&gt;0,COUNTIFS(A1459:A$2005,A1458,F1459:F$2005,F1458,H1459:H$2005,H1458,AA1459:AA$2005,"&gt;0")=0),ROUND(K1458-L1458,6),""),"")</f>
        <v/>
      </c>
      <c r="X1458" s="60" t="str">
        <f>IF(AND(A1458="",C1458="",D1458="",H1458="",L1458=""),"",IF(A1458="","Type manquant",IF(AND(A1458&lt;&gt;"BL",A1458&lt;&gt;"BR",A1458&lt;&gt;"BS"),"Type inconnu (BL, BR ou BS)",IF(AG1458=0,"Date manquante ou invalide",IF(D1458="",IF(A1458="BL","Client manquant",IF(A1458="BR","Fournisseur manquant","Service manquant")),IF(IF(A1458="BL",ISNA(MATCH(D1458,cl_code,0)),IF(A1458="BR",ISNA(MATCH(D1458,fo_code,0)),ISNA(MATCH(D1458,p_services,0)))),IF(A1458="BL","Client inconnu",IF(A1458="BR","Fournisseur inconnu","Service inconnu")),IF(H1458="","Article manquant",IF(ISNA(MATCH(H1458,art_ref,0)),"Article inconnu",IF(OR(NOT(ISNUMBER(L1458)),N(L1458)&lt;=0),"Quantité invalide",IF(AND(K1458&lt;&gt;"",OR(NOT(ISNUMBER(K1458)),N(K1458)&lt;=0)),"Qté commandée invalide",IF(AG1458&lt;SUMPRODUCT(MAX((A$6:A1457=A1458)*AG$6:AG1457)),"Date antérieure au bon précédent",IF(AND(A1458&lt;&gt;"BR",ISNUMBER(M1458),N(M1458)&gt;0),IF(A1458="BL","Livré plus que commandé","Sorti plus que demandé"),"OK"))))))))))))</f>
        <v/>
      </c>
      <c r="Y1458" s="57" t="str">
        <f>IF(AND(OR(A1458="BL",A1458="BR",A1458="BS"),AG1458&gt;0,D1458&lt;&gt;""),A1458&amp;"|"&amp;AG1458&amp;"|"&amp;D1458&amp;"|"&amp;F1458,"")</f>
        <v/>
      </c>
      <c r="Z1458" s="57" t="str">
        <f>IF(Y1458="","",IF(COUNTIF(Y$6:Y1457,Y1458)=0,1,0))</f>
        <v/>
      </c>
      <c r="AA1458" s="57" t="str">
        <f>IF(Y1458="","",IF(Z1458=1,COUNTIFS(A$6:A1458,A1458,Z$6:Z1458,1),INDEX(AA$6:AA1457,MATCH(Y1458,Y$6:Y1457,0))))</f>
        <v/>
      </c>
      <c r="AB1458" s="57" t="str">
        <f>IF(B1458="","",COUNTIF(B$6:B1458,B1458))</f>
        <v/>
      </c>
      <c r="AC1458" s="57" t="str">
        <f>IF(B1458="","",B1458&amp;"#"&amp;AB1458)</f>
        <v/>
      </c>
      <c r="AD1458" s="57" t="str">
        <f>IF(Z1458=1,A1458&amp;AA1458,"")</f>
        <v/>
      </c>
      <c r="AE1458" s="57" t="str">
        <f>IF(B1458="","",YEAR(C1458))</f>
        <v/>
      </c>
      <c r="AF1458" s="57" t="str">
        <f>IF(B1458="","",MONTH(C1458))</f>
        <v/>
      </c>
      <c r="AG1458" s="57">
        <f>IF(ISNUMBER(C1458),C1458,0)</f>
        <v>0.0</v>
      </c>
      <c r="AH1458" s="57" t="str">
        <f>IF(N(W1458)&gt;0,COUNTIF(W$6:W1458,"&gt;0"),"")</f>
        <v/>
      </c>
      <c r="AI1458" s="57" t="str">
        <f>IF(Z1458=1,COUNTIF(Z$6:Z1458,1),"")</f>
        <v/>
      </c>
    </row>
    <row r="1459">
      <c r="A1459" s="54" t="n"/>
      <c r="B1459" s="55" t="str">
        <f>IF(AA1459="","",A1459&amp;"-"&amp;RIGHT("000"&amp;AA1459,4))</f>
        <v/>
      </c>
      <c r="C1459" s="56" t="n"/>
      <c r="D1459" s="54" t="n"/>
      <c r="E1459" s="57" t="str">
        <f>IF(D1459="","",IF(A1459="BL",IFERROR(INDEX(cl_name,MATCH(D1459,cl_code,0))&amp;"","Client inconnu"),IF(A1459="BR",IFERROR(INDEX(fo_name,MATCH(D1459,fo_code,0))&amp;"","Fournisseur inconnu"),IF(A1459="BS",IF(ISNA(MATCH(D1459,p_services,0)),"Service inconnu",D1459&amp;""),""))))</f>
        <v/>
      </c>
      <c r="F1459" s="58" t="n"/>
      <c r="G1459" s="58" t="n"/>
      <c r="H1459" s="59" t="n"/>
      <c r="I1459" s="57" t="str">
        <f>IF(H1459="","",IFERROR(INDEX(art_des,MATCH(H1459,art_ref,0))&amp;"","Article inconnu"))</f>
        <v/>
      </c>
      <c r="J1459" s="60" t="str">
        <f>IF(H1459="","",IFERROR(INDEX(art_unit,MATCH(H1459,art_ref,0))&amp;"",""))</f>
        <v/>
      </c>
      <c r="K1459" s="59" t="n"/>
      <c r="L1459" s="59" t="n"/>
      <c r="M1459" s="61" t="str">
        <f>IF(OR(B1459="",NOT(ISNUMBER(K1459)),NOT(ISNUMBER(L1459))),"",IF(OR(K1459&lt;=0,L1459&lt;=0),"",ROUND(L1459-K1459,6)))</f>
        <v/>
      </c>
      <c r="N1459" s="58" t="n"/>
      <c r="O1459" s="62" t="n"/>
      <c r="P1459" s="63" t="str">
        <f>IF(OR(B1459="",NOT(ISNUMBER(L1459))),"",IF(L1459&lt;=0,"",IFERROR(ROUND(L1459*N(INDEX(art_w,MATCH(H1459,art_ref,0))),3),"")))</f>
        <v/>
      </c>
      <c r="Q1459" s="59" t="n"/>
      <c r="R1459" s="54" t="n"/>
      <c r="S1459" s="59" t="n"/>
      <c r="T1459" s="59" t="n"/>
      <c r="U1459" s="64" t="str">
        <f>IF(OR(B1459="",H1459=""),"",IFERROR(IF(A1459="BL",IF(N(INDEX(art_price,MATCH(H1459,art_ref,0)))=0,"",N(INDEX(art_price,MATCH(H1459,art_ref,0)))),IF(N(INDEX(art_cost,MATCH(H1459,art_ref,0)))=0,"",N(INDEX(art_cost,MATCH(H1459,art_ref,0))))),""))</f>
        <v/>
      </c>
      <c r="V1459" s="64" t="str">
        <f>IF(OR(U1459="",NOT(ISNUMBER(L1459))),"",IF(L1459&lt;=0,"",ROUND(L1459*U1459,2)))</f>
        <v/>
      </c>
      <c r="W1459" s="60" t="str">
        <f>IF(AND(B1459&lt;&gt;"",A1459&lt;&gt;"BS",F1459&lt;&gt;"",H1459&lt;&gt;"",ISNUMBER(K1459),ISNUMBER(L1459)),IF(AND(K1459&gt;0,L1459&gt;0,K1459-L1459&gt;0,COUNTIFS(A1460:A$2005,A1459,F1460:F$2005,F1459,H1460:H$2005,H1459,AA1460:AA$2005,"&gt;0")=0),ROUND(K1459-L1459,6),""),"")</f>
        <v/>
      </c>
      <c r="X1459" s="60" t="str">
        <f>IF(AND(A1459="",C1459="",D1459="",H1459="",L1459=""),"",IF(A1459="","Type manquant",IF(AND(A1459&lt;&gt;"BL",A1459&lt;&gt;"BR",A1459&lt;&gt;"BS"),"Type inconnu (BL, BR ou BS)",IF(AG1459=0,"Date manquante ou invalide",IF(D1459="",IF(A1459="BL","Client manquant",IF(A1459="BR","Fournisseur manquant","Service manquant")),IF(IF(A1459="BL",ISNA(MATCH(D1459,cl_code,0)),IF(A1459="BR",ISNA(MATCH(D1459,fo_code,0)),ISNA(MATCH(D1459,p_services,0)))),IF(A1459="BL","Client inconnu",IF(A1459="BR","Fournisseur inconnu","Service inconnu")),IF(H1459="","Article manquant",IF(ISNA(MATCH(H1459,art_ref,0)),"Article inconnu",IF(OR(NOT(ISNUMBER(L1459)),N(L1459)&lt;=0),"Quantité invalide",IF(AND(K1459&lt;&gt;"",OR(NOT(ISNUMBER(K1459)),N(K1459)&lt;=0)),"Qté commandée invalide",IF(AG1459&lt;SUMPRODUCT(MAX((A$6:A1458=A1459)*AG$6:AG1458)),"Date antérieure au bon précédent",IF(AND(A1459&lt;&gt;"BR",ISNUMBER(M1459),N(M1459)&gt;0),IF(A1459="BL","Livré plus que commandé","Sorti plus que demandé"),"OK"))))))))))))</f>
        <v/>
      </c>
      <c r="Y1459" s="57" t="str">
        <f>IF(AND(OR(A1459="BL",A1459="BR",A1459="BS"),AG1459&gt;0,D1459&lt;&gt;""),A1459&amp;"|"&amp;AG1459&amp;"|"&amp;D1459&amp;"|"&amp;F1459,"")</f>
        <v/>
      </c>
      <c r="Z1459" s="57" t="str">
        <f>IF(Y1459="","",IF(COUNTIF(Y$6:Y1458,Y1459)=0,1,0))</f>
        <v/>
      </c>
      <c r="AA1459" s="57" t="str">
        <f>IF(Y1459="","",IF(Z1459=1,COUNTIFS(A$6:A1459,A1459,Z$6:Z1459,1),INDEX(AA$6:AA1458,MATCH(Y1459,Y$6:Y1458,0))))</f>
        <v/>
      </c>
      <c r="AB1459" s="57" t="str">
        <f>IF(B1459="","",COUNTIF(B$6:B1459,B1459))</f>
        <v/>
      </c>
      <c r="AC1459" s="57" t="str">
        <f>IF(B1459="","",B1459&amp;"#"&amp;AB1459)</f>
        <v/>
      </c>
      <c r="AD1459" s="57" t="str">
        <f>IF(Z1459=1,A1459&amp;AA1459,"")</f>
        <v/>
      </c>
      <c r="AE1459" s="57" t="str">
        <f>IF(B1459="","",YEAR(C1459))</f>
        <v/>
      </c>
      <c r="AF1459" s="57" t="str">
        <f>IF(B1459="","",MONTH(C1459))</f>
        <v/>
      </c>
      <c r="AG1459" s="57">
        <f>IF(ISNUMBER(C1459),C1459,0)</f>
        <v>0.0</v>
      </c>
      <c r="AH1459" s="57" t="str">
        <f>IF(N(W1459)&gt;0,COUNTIF(W$6:W1459,"&gt;0"),"")</f>
        <v/>
      </c>
      <c r="AI1459" s="57" t="str">
        <f>IF(Z1459=1,COUNTIF(Z$6:Z1459,1),"")</f>
        <v/>
      </c>
    </row>
    <row r="1460">
      <c r="A1460" s="54" t="n"/>
      <c r="B1460" s="55" t="str">
        <f>IF(AA1460="","",A1460&amp;"-"&amp;RIGHT("000"&amp;AA1460,4))</f>
        <v/>
      </c>
      <c r="C1460" s="56" t="n"/>
      <c r="D1460" s="54" t="n"/>
      <c r="E1460" s="57" t="str">
        <f>IF(D1460="","",IF(A1460="BL",IFERROR(INDEX(cl_name,MATCH(D1460,cl_code,0))&amp;"","Client inconnu"),IF(A1460="BR",IFERROR(INDEX(fo_name,MATCH(D1460,fo_code,0))&amp;"","Fournisseur inconnu"),IF(A1460="BS",IF(ISNA(MATCH(D1460,p_services,0)),"Service inconnu",D1460&amp;""),""))))</f>
        <v/>
      </c>
      <c r="F1460" s="58" t="n"/>
      <c r="G1460" s="58" t="n"/>
      <c r="H1460" s="59" t="n"/>
      <c r="I1460" s="57" t="str">
        <f>IF(H1460="","",IFERROR(INDEX(art_des,MATCH(H1460,art_ref,0))&amp;"","Article inconnu"))</f>
        <v/>
      </c>
      <c r="J1460" s="60" t="str">
        <f>IF(H1460="","",IFERROR(INDEX(art_unit,MATCH(H1460,art_ref,0))&amp;"",""))</f>
        <v/>
      </c>
      <c r="K1460" s="59" t="n"/>
      <c r="L1460" s="59" t="n"/>
      <c r="M1460" s="61" t="str">
        <f>IF(OR(B1460="",NOT(ISNUMBER(K1460)),NOT(ISNUMBER(L1460))),"",IF(OR(K1460&lt;=0,L1460&lt;=0),"",ROUND(L1460-K1460,6)))</f>
        <v/>
      </c>
      <c r="N1460" s="58" t="n"/>
      <c r="O1460" s="62" t="n"/>
      <c r="P1460" s="63" t="str">
        <f>IF(OR(B1460="",NOT(ISNUMBER(L1460))),"",IF(L1460&lt;=0,"",IFERROR(ROUND(L1460*N(INDEX(art_w,MATCH(H1460,art_ref,0))),3),"")))</f>
        <v/>
      </c>
      <c r="Q1460" s="59" t="n"/>
      <c r="R1460" s="54" t="n"/>
      <c r="S1460" s="59" t="n"/>
      <c r="T1460" s="59" t="n"/>
      <c r="U1460" s="64" t="str">
        <f>IF(OR(B1460="",H1460=""),"",IFERROR(IF(A1460="BL",IF(N(INDEX(art_price,MATCH(H1460,art_ref,0)))=0,"",N(INDEX(art_price,MATCH(H1460,art_ref,0)))),IF(N(INDEX(art_cost,MATCH(H1460,art_ref,0)))=0,"",N(INDEX(art_cost,MATCH(H1460,art_ref,0))))),""))</f>
        <v/>
      </c>
      <c r="V1460" s="64" t="str">
        <f>IF(OR(U1460="",NOT(ISNUMBER(L1460))),"",IF(L1460&lt;=0,"",ROUND(L1460*U1460,2)))</f>
        <v/>
      </c>
      <c r="W1460" s="60" t="str">
        <f>IF(AND(B1460&lt;&gt;"",A1460&lt;&gt;"BS",F1460&lt;&gt;"",H1460&lt;&gt;"",ISNUMBER(K1460),ISNUMBER(L1460)),IF(AND(K1460&gt;0,L1460&gt;0,K1460-L1460&gt;0,COUNTIFS(A1461:A$2005,A1460,F1461:F$2005,F1460,H1461:H$2005,H1460,AA1461:AA$2005,"&gt;0")=0),ROUND(K1460-L1460,6),""),"")</f>
        <v/>
      </c>
      <c r="X1460" s="60" t="str">
        <f>IF(AND(A1460="",C1460="",D1460="",H1460="",L1460=""),"",IF(A1460="","Type manquant",IF(AND(A1460&lt;&gt;"BL",A1460&lt;&gt;"BR",A1460&lt;&gt;"BS"),"Type inconnu (BL, BR ou BS)",IF(AG1460=0,"Date manquante ou invalide",IF(D1460="",IF(A1460="BL","Client manquant",IF(A1460="BR","Fournisseur manquant","Service manquant")),IF(IF(A1460="BL",ISNA(MATCH(D1460,cl_code,0)),IF(A1460="BR",ISNA(MATCH(D1460,fo_code,0)),ISNA(MATCH(D1460,p_services,0)))),IF(A1460="BL","Client inconnu",IF(A1460="BR","Fournisseur inconnu","Service inconnu")),IF(H1460="","Article manquant",IF(ISNA(MATCH(H1460,art_ref,0)),"Article inconnu",IF(OR(NOT(ISNUMBER(L1460)),N(L1460)&lt;=0),"Quantité invalide",IF(AND(K1460&lt;&gt;"",OR(NOT(ISNUMBER(K1460)),N(K1460)&lt;=0)),"Qté commandée invalide",IF(AG1460&lt;SUMPRODUCT(MAX((A$6:A1459=A1460)*AG$6:AG1459)),"Date antérieure au bon précédent",IF(AND(A1460&lt;&gt;"BR",ISNUMBER(M1460),N(M1460)&gt;0),IF(A1460="BL","Livré plus que commandé","Sorti plus que demandé"),"OK"))))))))))))</f>
        <v/>
      </c>
      <c r="Y1460" s="57" t="str">
        <f>IF(AND(OR(A1460="BL",A1460="BR",A1460="BS"),AG1460&gt;0,D1460&lt;&gt;""),A1460&amp;"|"&amp;AG1460&amp;"|"&amp;D1460&amp;"|"&amp;F1460,"")</f>
        <v/>
      </c>
      <c r="Z1460" s="57" t="str">
        <f>IF(Y1460="","",IF(COUNTIF(Y$6:Y1459,Y1460)=0,1,0))</f>
        <v/>
      </c>
      <c r="AA1460" s="57" t="str">
        <f>IF(Y1460="","",IF(Z1460=1,COUNTIFS(A$6:A1460,A1460,Z$6:Z1460,1),INDEX(AA$6:AA1459,MATCH(Y1460,Y$6:Y1459,0))))</f>
        <v/>
      </c>
      <c r="AB1460" s="57" t="str">
        <f>IF(B1460="","",COUNTIF(B$6:B1460,B1460))</f>
        <v/>
      </c>
      <c r="AC1460" s="57" t="str">
        <f>IF(B1460="","",B1460&amp;"#"&amp;AB1460)</f>
        <v/>
      </c>
      <c r="AD1460" s="57" t="str">
        <f>IF(Z1460=1,A1460&amp;AA1460,"")</f>
        <v/>
      </c>
      <c r="AE1460" s="57" t="str">
        <f>IF(B1460="","",YEAR(C1460))</f>
        <v/>
      </c>
      <c r="AF1460" s="57" t="str">
        <f>IF(B1460="","",MONTH(C1460))</f>
        <v/>
      </c>
      <c r="AG1460" s="57">
        <f>IF(ISNUMBER(C1460),C1460,0)</f>
        <v>0.0</v>
      </c>
      <c r="AH1460" s="57" t="str">
        <f>IF(N(W1460)&gt;0,COUNTIF(W$6:W1460,"&gt;0"),"")</f>
        <v/>
      </c>
      <c r="AI1460" s="57" t="str">
        <f>IF(Z1460=1,COUNTIF(Z$6:Z1460,1),"")</f>
        <v/>
      </c>
    </row>
    <row r="1461">
      <c r="A1461" s="54" t="n"/>
      <c r="B1461" s="55" t="str">
        <f>IF(AA1461="","",A1461&amp;"-"&amp;RIGHT("000"&amp;AA1461,4))</f>
        <v/>
      </c>
      <c r="C1461" s="56" t="n"/>
      <c r="D1461" s="54" t="n"/>
      <c r="E1461" s="57" t="str">
        <f>IF(D1461="","",IF(A1461="BL",IFERROR(INDEX(cl_name,MATCH(D1461,cl_code,0))&amp;"","Client inconnu"),IF(A1461="BR",IFERROR(INDEX(fo_name,MATCH(D1461,fo_code,0))&amp;"","Fournisseur inconnu"),IF(A1461="BS",IF(ISNA(MATCH(D1461,p_services,0)),"Service inconnu",D1461&amp;""),""))))</f>
        <v/>
      </c>
      <c r="F1461" s="58" t="n"/>
      <c r="G1461" s="58" t="n"/>
      <c r="H1461" s="59" t="n"/>
      <c r="I1461" s="57" t="str">
        <f>IF(H1461="","",IFERROR(INDEX(art_des,MATCH(H1461,art_ref,0))&amp;"","Article inconnu"))</f>
        <v/>
      </c>
      <c r="J1461" s="60" t="str">
        <f>IF(H1461="","",IFERROR(INDEX(art_unit,MATCH(H1461,art_ref,0))&amp;"",""))</f>
        <v/>
      </c>
      <c r="K1461" s="59" t="n"/>
      <c r="L1461" s="59" t="n"/>
      <c r="M1461" s="61" t="str">
        <f>IF(OR(B1461="",NOT(ISNUMBER(K1461)),NOT(ISNUMBER(L1461))),"",IF(OR(K1461&lt;=0,L1461&lt;=0),"",ROUND(L1461-K1461,6)))</f>
        <v/>
      </c>
      <c r="N1461" s="58" t="n"/>
      <c r="O1461" s="62" t="n"/>
      <c r="P1461" s="63" t="str">
        <f>IF(OR(B1461="",NOT(ISNUMBER(L1461))),"",IF(L1461&lt;=0,"",IFERROR(ROUND(L1461*N(INDEX(art_w,MATCH(H1461,art_ref,0))),3),"")))</f>
        <v/>
      </c>
      <c r="Q1461" s="59" t="n"/>
      <c r="R1461" s="54" t="n"/>
      <c r="S1461" s="59" t="n"/>
      <c r="T1461" s="59" t="n"/>
      <c r="U1461" s="64" t="str">
        <f>IF(OR(B1461="",H1461=""),"",IFERROR(IF(A1461="BL",IF(N(INDEX(art_price,MATCH(H1461,art_ref,0)))=0,"",N(INDEX(art_price,MATCH(H1461,art_ref,0)))),IF(N(INDEX(art_cost,MATCH(H1461,art_ref,0)))=0,"",N(INDEX(art_cost,MATCH(H1461,art_ref,0))))),""))</f>
        <v/>
      </c>
      <c r="V1461" s="64" t="str">
        <f>IF(OR(U1461="",NOT(ISNUMBER(L1461))),"",IF(L1461&lt;=0,"",ROUND(L1461*U1461,2)))</f>
        <v/>
      </c>
      <c r="W1461" s="60" t="str">
        <f>IF(AND(B1461&lt;&gt;"",A1461&lt;&gt;"BS",F1461&lt;&gt;"",H1461&lt;&gt;"",ISNUMBER(K1461),ISNUMBER(L1461)),IF(AND(K1461&gt;0,L1461&gt;0,K1461-L1461&gt;0,COUNTIFS(A1462:A$2005,A1461,F1462:F$2005,F1461,H1462:H$2005,H1461,AA1462:AA$2005,"&gt;0")=0),ROUND(K1461-L1461,6),""),"")</f>
        <v/>
      </c>
      <c r="X1461" s="60" t="str">
        <f>IF(AND(A1461="",C1461="",D1461="",H1461="",L1461=""),"",IF(A1461="","Type manquant",IF(AND(A1461&lt;&gt;"BL",A1461&lt;&gt;"BR",A1461&lt;&gt;"BS"),"Type inconnu (BL, BR ou BS)",IF(AG1461=0,"Date manquante ou invalide",IF(D1461="",IF(A1461="BL","Client manquant",IF(A1461="BR","Fournisseur manquant","Service manquant")),IF(IF(A1461="BL",ISNA(MATCH(D1461,cl_code,0)),IF(A1461="BR",ISNA(MATCH(D1461,fo_code,0)),ISNA(MATCH(D1461,p_services,0)))),IF(A1461="BL","Client inconnu",IF(A1461="BR","Fournisseur inconnu","Service inconnu")),IF(H1461="","Article manquant",IF(ISNA(MATCH(H1461,art_ref,0)),"Article inconnu",IF(OR(NOT(ISNUMBER(L1461)),N(L1461)&lt;=0),"Quantité invalide",IF(AND(K1461&lt;&gt;"",OR(NOT(ISNUMBER(K1461)),N(K1461)&lt;=0)),"Qté commandée invalide",IF(AG1461&lt;SUMPRODUCT(MAX((A$6:A1460=A1461)*AG$6:AG1460)),"Date antérieure au bon précédent",IF(AND(A1461&lt;&gt;"BR",ISNUMBER(M1461),N(M1461)&gt;0),IF(A1461="BL","Livré plus que commandé","Sorti plus que demandé"),"OK"))))))))))))</f>
        <v/>
      </c>
      <c r="Y1461" s="57" t="str">
        <f>IF(AND(OR(A1461="BL",A1461="BR",A1461="BS"),AG1461&gt;0,D1461&lt;&gt;""),A1461&amp;"|"&amp;AG1461&amp;"|"&amp;D1461&amp;"|"&amp;F1461,"")</f>
        <v/>
      </c>
      <c r="Z1461" s="57" t="str">
        <f>IF(Y1461="","",IF(COUNTIF(Y$6:Y1460,Y1461)=0,1,0))</f>
        <v/>
      </c>
      <c r="AA1461" s="57" t="str">
        <f>IF(Y1461="","",IF(Z1461=1,COUNTIFS(A$6:A1461,A1461,Z$6:Z1461,1),INDEX(AA$6:AA1460,MATCH(Y1461,Y$6:Y1460,0))))</f>
        <v/>
      </c>
      <c r="AB1461" s="57" t="str">
        <f>IF(B1461="","",COUNTIF(B$6:B1461,B1461))</f>
        <v/>
      </c>
      <c r="AC1461" s="57" t="str">
        <f>IF(B1461="","",B1461&amp;"#"&amp;AB1461)</f>
        <v/>
      </c>
      <c r="AD1461" s="57" t="str">
        <f>IF(Z1461=1,A1461&amp;AA1461,"")</f>
        <v/>
      </c>
      <c r="AE1461" s="57" t="str">
        <f>IF(B1461="","",YEAR(C1461))</f>
        <v/>
      </c>
      <c r="AF1461" s="57" t="str">
        <f>IF(B1461="","",MONTH(C1461))</f>
        <v/>
      </c>
      <c r="AG1461" s="57">
        <f>IF(ISNUMBER(C1461),C1461,0)</f>
        <v>0.0</v>
      </c>
      <c r="AH1461" s="57" t="str">
        <f>IF(N(W1461)&gt;0,COUNTIF(W$6:W1461,"&gt;0"),"")</f>
        <v/>
      </c>
      <c r="AI1461" s="57" t="str">
        <f>IF(Z1461=1,COUNTIF(Z$6:Z1461,1),"")</f>
        <v/>
      </c>
    </row>
    <row r="1462">
      <c r="A1462" s="54" t="n"/>
      <c r="B1462" s="55" t="str">
        <f>IF(AA1462="","",A1462&amp;"-"&amp;RIGHT("000"&amp;AA1462,4))</f>
        <v/>
      </c>
      <c r="C1462" s="56" t="n"/>
      <c r="D1462" s="54" t="n"/>
      <c r="E1462" s="57" t="str">
        <f>IF(D1462="","",IF(A1462="BL",IFERROR(INDEX(cl_name,MATCH(D1462,cl_code,0))&amp;"","Client inconnu"),IF(A1462="BR",IFERROR(INDEX(fo_name,MATCH(D1462,fo_code,0))&amp;"","Fournisseur inconnu"),IF(A1462="BS",IF(ISNA(MATCH(D1462,p_services,0)),"Service inconnu",D1462&amp;""),""))))</f>
        <v/>
      </c>
      <c r="F1462" s="58" t="n"/>
      <c r="G1462" s="58" t="n"/>
      <c r="H1462" s="59" t="n"/>
      <c r="I1462" s="57" t="str">
        <f>IF(H1462="","",IFERROR(INDEX(art_des,MATCH(H1462,art_ref,0))&amp;"","Article inconnu"))</f>
        <v/>
      </c>
      <c r="J1462" s="60" t="str">
        <f>IF(H1462="","",IFERROR(INDEX(art_unit,MATCH(H1462,art_ref,0))&amp;"",""))</f>
        <v/>
      </c>
      <c r="K1462" s="59" t="n"/>
      <c r="L1462" s="59" t="n"/>
      <c r="M1462" s="61" t="str">
        <f>IF(OR(B1462="",NOT(ISNUMBER(K1462)),NOT(ISNUMBER(L1462))),"",IF(OR(K1462&lt;=0,L1462&lt;=0),"",ROUND(L1462-K1462,6)))</f>
        <v/>
      </c>
      <c r="N1462" s="58" t="n"/>
      <c r="O1462" s="62" t="n"/>
      <c r="P1462" s="63" t="str">
        <f>IF(OR(B1462="",NOT(ISNUMBER(L1462))),"",IF(L1462&lt;=0,"",IFERROR(ROUND(L1462*N(INDEX(art_w,MATCH(H1462,art_ref,0))),3),"")))</f>
        <v/>
      </c>
      <c r="Q1462" s="59" t="n"/>
      <c r="R1462" s="54" t="n"/>
      <c r="S1462" s="59" t="n"/>
      <c r="T1462" s="59" t="n"/>
      <c r="U1462" s="64" t="str">
        <f>IF(OR(B1462="",H1462=""),"",IFERROR(IF(A1462="BL",IF(N(INDEX(art_price,MATCH(H1462,art_ref,0)))=0,"",N(INDEX(art_price,MATCH(H1462,art_ref,0)))),IF(N(INDEX(art_cost,MATCH(H1462,art_ref,0)))=0,"",N(INDEX(art_cost,MATCH(H1462,art_ref,0))))),""))</f>
        <v/>
      </c>
      <c r="V1462" s="64" t="str">
        <f>IF(OR(U1462="",NOT(ISNUMBER(L1462))),"",IF(L1462&lt;=0,"",ROUND(L1462*U1462,2)))</f>
        <v/>
      </c>
      <c r="W1462" s="60" t="str">
        <f>IF(AND(B1462&lt;&gt;"",A1462&lt;&gt;"BS",F1462&lt;&gt;"",H1462&lt;&gt;"",ISNUMBER(K1462),ISNUMBER(L1462)),IF(AND(K1462&gt;0,L1462&gt;0,K1462-L1462&gt;0,COUNTIFS(A1463:A$2005,A1462,F1463:F$2005,F1462,H1463:H$2005,H1462,AA1463:AA$2005,"&gt;0")=0),ROUND(K1462-L1462,6),""),"")</f>
        <v/>
      </c>
      <c r="X1462" s="60" t="str">
        <f>IF(AND(A1462="",C1462="",D1462="",H1462="",L1462=""),"",IF(A1462="","Type manquant",IF(AND(A1462&lt;&gt;"BL",A1462&lt;&gt;"BR",A1462&lt;&gt;"BS"),"Type inconnu (BL, BR ou BS)",IF(AG1462=0,"Date manquante ou invalide",IF(D1462="",IF(A1462="BL","Client manquant",IF(A1462="BR","Fournisseur manquant","Service manquant")),IF(IF(A1462="BL",ISNA(MATCH(D1462,cl_code,0)),IF(A1462="BR",ISNA(MATCH(D1462,fo_code,0)),ISNA(MATCH(D1462,p_services,0)))),IF(A1462="BL","Client inconnu",IF(A1462="BR","Fournisseur inconnu","Service inconnu")),IF(H1462="","Article manquant",IF(ISNA(MATCH(H1462,art_ref,0)),"Article inconnu",IF(OR(NOT(ISNUMBER(L1462)),N(L1462)&lt;=0),"Quantité invalide",IF(AND(K1462&lt;&gt;"",OR(NOT(ISNUMBER(K1462)),N(K1462)&lt;=0)),"Qté commandée invalide",IF(AG1462&lt;SUMPRODUCT(MAX((A$6:A1461=A1462)*AG$6:AG1461)),"Date antérieure au bon précédent",IF(AND(A1462&lt;&gt;"BR",ISNUMBER(M1462),N(M1462)&gt;0),IF(A1462="BL","Livré plus que commandé","Sorti plus que demandé"),"OK"))))))))))))</f>
        <v/>
      </c>
      <c r="Y1462" s="57" t="str">
        <f>IF(AND(OR(A1462="BL",A1462="BR",A1462="BS"),AG1462&gt;0,D1462&lt;&gt;""),A1462&amp;"|"&amp;AG1462&amp;"|"&amp;D1462&amp;"|"&amp;F1462,"")</f>
        <v/>
      </c>
      <c r="Z1462" s="57" t="str">
        <f>IF(Y1462="","",IF(COUNTIF(Y$6:Y1461,Y1462)=0,1,0))</f>
        <v/>
      </c>
      <c r="AA1462" s="57" t="str">
        <f>IF(Y1462="","",IF(Z1462=1,COUNTIFS(A$6:A1462,A1462,Z$6:Z1462,1),INDEX(AA$6:AA1461,MATCH(Y1462,Y$6:Y1461,0))))</f>
        <v/>
      </c>
      <c r="AB1462" s="57" t="str">
        <f>IF(B1462="","",COUNTIF(B$6:B1462,B1462))</f>
        <v/>
      </c>
      <c r="AC1462" s="57" t="str">
        <f>IF(B1462="","",B1462&amp;"#"&amp;AB1462)</f>
        <v/>
      </c>
      <c r="AD1462" s="57" t="str">
        <f>IF(Z1462=1,A1462&amp;AA1462,"")</f>
        <v/>
      </c>
      <c r="AE1462" s="57" t="str">
        <f>IF(B1462="","",YEAR(C1462))</f>
        <v/>
      </c>
      <c r="AF1462" s="57" t="str">
        <f>IF(B1462="","",MONTH(C1462))</f>
        <v/>
      </c>
      <c r="AG1462" s="57">
        <f>IF(ISNUMBER(C1462),C1462,0)</f>
        <v>0.0</v>
      </c>
      <c r="AH1462" s="57" t="str">
        <f>IF(N(W1462)&gt;0,COUNTIF(W$6:W1462,"&gt;0"),"")</f>
        <v/>
      </c>
      <c r="AI1462" s="57" t="str">
        <f>IF(Z1462=1,COUNTIF(Z$6:Z1462,1),"")</f>
        <v/>
      </c>
    </row>
    <row r="1463">
      <c r="A1463" s="54" t="n"/>
      <c r="B1463" s="55" t="str">
        <f>IF(AA1463="","",A1463&amp;"-"&amp;RIGHT("000"&amp;AA1463,4))</f>
        <v/>
      </c>
      <c r="C1463" s="56" t="n"/>
      <c r="D1463" s="54" t="n"/>
      <c r="E1463" s="57" t="str">
        <f>IF(D1463="","",IF(A1463="BL",IFERROR(INDEX(cl_name,MATCH(D1463,cl_code,0))&amp;"","Client inconnu"),IF(A1463="BR",IFERROR(INDEX(fo_name,MATCH(D1463,fo_code,0))&amp;"","Fournisseur inconnu"),IF(A1463="BS",IF(ISNA(MATCH(D1463,p_services,0)),"Service inconnu",D1463&amp;""),""))))</f>
        <v/>
      </c>
      <c r="F1463" s="58" t="n"/>
      <c r="G1463" s="58" t="n"/>
      <c r="H1463" s="59" t="n"/>
      <c r="I1463" s="57" t="str">
        <f>IF(H1463="","",IFERROR(INDEX(art_des,MATCH(H1463,art_ref,0))&amp;"","Article inconnu"))</f>
        <v/>
      </c>
      <c r="J1463" s="60" t="str">
        <f>IF(H1463="","",IFERROR(INDEX(art_unit,MATCH(H1463,art_ref,0))&amp;"",""))</f>
        <v/>
      </c>
      <c r="K1463" s="59" t="n"/>
      <c r="L1463" s="59" t="n"/>
      <c r="M1463" s="61" t="str">
        <f>IF(OR(B1463="",NOT(ISNUMBER(K1463)),NOT(ISNUMBER(L1463))),"",IF(OR(K1463&lt;=0,L1463&lt;=0),"",ROUND(L1463-K1463,6)))</f>
        <v/>
      </c>
      <c r="N1463" s="58" t="n"/>
      <c r="O1463" s="62" t="n"/>
      <c r="P1463" s="63" t="str">
        <f>IF(OR(B1463="",NOT(ISNUMBER(L1463))),"",IF(L1463&lt;=0,"",IFERROR(ROUND(L1463*N(INDEX(art_w,MATCH(H1463,art_ref,0))),3),"")))</f>
        <v/>
      </c>
      <c r="Q1463" s="59" t="n"/>
      <c r="R1463" s="54" t="n"/>
      <c r="S1463" s="59" t="n"/>
      <c r="T1463" s="59" t="n"/>
      <c r="U1463" s="64" t="str">
        <f>IF(OR(B1463="",H1463=""),"",IFERROR(IF(A1463="BL",IF(N(INDEX(art_price,MATCH(H1463,art_ref,0)))=0,"",N(INDEX(art_price,MATCH(H1463,art_ref,0)))),IF(N(INDEX(art_cost,MATCH(H1463,art_ref,0)))=0,"",N(INDEX(art_cost,MATCH(H1463,art_ref,0))))),""))</f>
        <v/>
      </c>
      <c r="V1463" s="64" t="str">
        <f>IF(OR(U1463="",NOT(ISNUMBER(L1463))),"",IF(L1463&lt;=0,"",ROUND(L1463*U1463,2)))</f>
        <v/>
      </c>
      <c r="W1463" s="60" t="str">
        <f>IF(AND(B1463&lt;&gt;"",A1463&lt;&gt;"BS",F1463&lt;&gt;"",H1463&lt;&gt;"",ISNUMBER(K1463),ISNUMBER(L1463)),IF(AND(K1463&gt;0,L1463&gt;0,K1463-L1463&gt;0,COUNTIFS(A1464:A$2005,A1463,F1464:F$2005,F1463,H1464:H$2005,H1463,AA1464:AA$2005,"&gt;0")=0),ROUND(K1463-L1463,6),""),"")</f>
        <v/>
      </c>
      <c r="X1463" s="60" t="str">
        <f>IF(AND(A1463="",C1463="",D1463="",H1463="",L1463=""),"",IF(A1463="","Type manquant",IF(AND(A1463&lt;&gt;"BL",A1463&lt;&gt;"BR",A1463&lt;&gt;"BS"),"Type inconnu (BL, BR ou BS)",IF(AG1463=0,"Date manquante ou invalide",IF(D1463="",IF(A1463="BL","Client manquant",IF(A1463="BR","Fournisseur manquant","Service manquant")),IF(IF(A1463="BL",ISNA(MATCH(D1463,cl_code,0)),IF(A1463="BR",ISNA(MATCH(D1463,fo_code,0)),ISNA(MATCH(D1463,p_services,0)))),IF(A1463="BL","Client inconnu",IF(A1463="BR","Fournisseur inconnu","Service inconnu")),IF(H1463="","Article manquant",IF(ISNA(MATCH(H1463,art_ref,0)),"Article inconnu",IF(OR(NOT(ISNUMBER(L1463)),N(L1463)&lt;=0),"Quantité invalide",IF(AND(K1463&lt;&gt;"",OR(NOT(ISNUMBER(K1463)),N(K1463)&lt;=0)),"Qté commandée invalide",IF(AG1463&lt;SUMPRODUCT(MAX((A$6:A1462=A1463)*AG$6:AG1462)),"Date antérieure au bon précédent",IF(AND(A1463&lt;&gt;"BR",ISNUMBER(M1463),N(M1463)&gt;0),IF(A1463="BL","Livré plus que commandé","Sorti plus que demandé"),"OK"))))))))))))</f>
        <v/>
      </c>
      <c r="Y1463" s="57" t="str">
        <f>IF(AND(OR(A1463="BL",A1463="BR",A1463="BS"),AG1463&gt;0,D1463&lt;&gt;""),A1463&amp;"|"&amp;AG1463&amp;"|"&amp;D1463&amp;"|"&amp;F1463,"")</f>
        <v/>
      </c>
      <c r="Z1463" s="57" t="str">
        <f>IF(Y1463="","",IF(COUNTIF(Y$6:Y1462,Y1463)=0,1,0))</f>
        <v/>
      </c>
      <c r="AA1463" s="57" t="str">
        <f>IF(Y1463="","",IF(Z1463=1,COUNTIFS(A$6:A1463,A1463,Z$6:Z1463,1),INDEX(AA$6:AA1462,MATCH(Y1463,Y$6:Y1462,0))))</f>
        <v/>
      </c>
      <c r="AB1463" s="57" t="str">
        <f>IF(B1463="","",COUNTIF(B$6:B1463,B1463))</f>
        <v/>
      </c>
      <c r="AC1463" s="57" t="str">
        <f>IF(B1463="","",B1463&amp;"#"&amp;AB1463)</f>
        <v/>
      </c>
      <c r="AD1463" s="57" t="str">
        <f>IF(Z1463=1,A1463&amp;AA1463,"")</f>
        <v/>
      </c>
      <c r="AE1463" s="57" t="str">
        <f>IF(B1463="","",YEAR(C1463))</f>
        <v/>
      </c>
      <c r="AF1463" s="57" t="str">
        <f>IF(B1463="","",MONTH(C1463))</f>
        <v/>
      </c>
      <c r="AG1463" s="57">
        <f>IF(ISNUMBER(C1463),C1463,0)</f>
        <v>0.0</v>
      </c>
      <c r="AH1463" s="57" t="str">
        <f>IF(N(W1463)&gt;0,COUNTIF(W$6:W1463,"&gt;0"),"")</f>
        <v/>
      </c>
      <c r="AI1463" s="57" t="str">
        <f>IF(Z1463=1,COUNTIF(Z$6:Z1463,1),"")</f>
        <v/>
      </c>
    </row>
    <row r="1464">
      <c r="A1464" s="54" t="n"/>
      <c r="B1464" s="55" t="str">
        <f>IF(AA1464="","",A1464&amp;"-"&amp;RIGHT("000"&amp;AA1464,4))</f>
        <v/>
      </c>
      <c r="C1464" s="56" t="n"/>
      <c r="D1464" s="54" t="n"/>
      <c r="E1464" s="57" t="str">
        <f>IF(D1464="","",IF(A1464="BL",IFERROR(INDEX(cl_name,MATCH(D1464,cl_code,0))&amp;"","Client inconnu"),IF(A1464="BR",IFERROR(INDEX(fo_name,MATCH(D1464,fo_code,0))&amp;"","Fournisseur inconnu"),IF(A1464="BS",IF(ISNA(MATCH(D1464,p_services,0)),"Service inconnu",D1464&amp;""),""))))</f>
        <v/>
      </c>
      <c r="F1464" s="58" t="n"/>
      <c r="G1464" s="58" t="n"/>
      <c r="H1464" s="59" t="n"/>
      <c r="I1464" s="57" t="str">
        <f>IF(H1464="","",IFERROR(INDEX(art_des,MATCH(H1464,art_ref,0))&amp;"","Article inconnu"))</f>
        <v/>
      </c>
      <c r="J1464" s="60" t="str">
        <f>IF(H1464="","",IFERROR(INDEX(art_unit,MATCH(H1464,art_ref,0))&amp;"",""))</f>
        <v/>
      </c>
      <c r="K1464" s="59" t="n"/>
      <c r="L1464" s="59" t="n"/>
      <c r="M1464" s="61" t="str">
        <f>IF(OR(B1464="",NOT(ISNUMBER(K1464)),NOT(ISNUMBER(L1464))),"",IF(OR(K1464&lt;=0,L1464&lt;=0),"",ROUND(L1464-K1464,6)))</f>
        <v/>
      </c>
      <c r="N1464" s="58" t="n"/>
      <c r="O1464" s="62" t="n"/>
      <c r="P1464" s="63" t="str">
        <f>IF(OR(B1464="",NOT(ISNUMBER(L1464))),"",IF(L1464&lt;=0,"",IFERROR(ROUND(L1464*N(INDEX(art_w,MATCH(H1464,art_ref,0))),3),"")))</f>
        <v/>
      </c>
      <c r="Q1464" s="59" t="n"/>
      <c r="R1464" s="54" t="n"/>
      <c r="S1464" s="59" t="n"/>
      <c r="T1464" s="59" t="n"/>
      <c r="U1464" s="64" t="str">
        <f>IF(OR(B1464="",H1464=""),"",IFERROR(IF(A1464="BL",IF(N(INDEX(art_price,MATCH(H1464,art_ref,0)))=0,"",N(INDEX(art_price,MATCH(H1464,art_ref,0)))),IF(N(INDEX(art_cost,MATCH(H1464,art_ref,0)))=0,"",N(INDEX(art_cost,MATCH(H1464,art_ref,0))))),""))</f>
        <v/>
      </c>
      <c r="V1464" s="64" t="str">
        <f>IF(OR(U1464="",NOT(ISNUMBER(L1464))),"",IF(L1464&lt;=0,"",ROUND(L1464*U1464,2)))</f>
        <v/>
      </c>
      <c r="W1464" s="60" t="str">
        <f>IF(AND(B1464&lt;&gt;"",A1464&lt;&gt;"BS",F1464&lt;&gt;"",H1464&lt;&gt;"",ISNUMBER(K1464),ISNUMBER(L1464)),IF(AND(K1464&gt;0,L1464&gt;0,K1464-L1464&gt;0,COUNTIFS(A1465:A$2005,A1464,F1465:F$2005,F1464,H1465:H$2005,H1464,AA1465:AA$2005,"&gt;0")=0),ROUND(K1464-L1464,6),""),"")</f>
        <v/>
      </c>
      <c r="X1464" s="60" t="str">
        <f>IF(AND(A1464="",C1464="",D1464="",H1464="",L1464=""),"",IF(A1464="","Type manquant",IF(AND(A1464&lt;&gt;"BL",A1464&lt;&gt;"BR",A1464&lt;&gt;"BS"),"Type inconnu (BL, BR ou BS)",IF(AG1464=0,"Date manquante ou invalide",IF(D1464="",IF(A1464="BL","Client manquant",IF(A1464="BR","Fournisseur manquant","Service manquant")),IF(IF(A1464="BL",ISNA(MATCH(D1464,cl_code,0)),IF(A1464="BR",ISNA(MATCH(D1464,fo_code,0)),ISNA(MATCH(D1464,p_services,0)))),IF(A1464="BL","Client inconnu",IF(A1464="BR","Fournisseur inconnu","Service inconnu")),IF(H1464="","Article manquant",IF(ISNA(MATCH(H1464,art_ref,0)),"Article inconnu",IF(OR(NOT(ISNUMBER(L1464)),N(L1464)&lt;=0),"Quantité invalide",IF(AND(K1464&lt;&gt;"",OR(NOT(ISNUMBER(K1464)),N(K1464)&lt;=0)),"Qté commandée invalide",IF(AG1464&lt;SUMPRODUCT(MAX((A$6:A1463=A1464)*AG$6:AG1463)),"Date antérieure au bon précédent",IF(AND(A1464&lt;&gt;"BR",ISNUMBER(M1464),N(M1464)&gt;0),IF(A1464="BL","Livré plus que commandé","Sorti plus que demandé"),"OK"))))))))))))</f>
        <v/>
      </c>
      <c r="Y1464" s="57" t="str">
        <f>IF(AND(OR(A1464="BL",A1464="BR",A1464="BS"),AG1464&gt;0,D1464&lt;&gt;""),A1464&amp;"|"&amp;AG1464&amp;"|"&amp;D1464&amp;"|"&amp;F1464,"")</f>
        <v/>
      </c>
      <c r="Z1464" s="57" t="str">
        <f>IF(Y1464="","",IF(COUNTIF(Y$6:Y1463,Y1464)=0,1,0))</f>
        <v/>
      </c>
      <c r="AA1464" s="57" t="str">
        <f>IF(Y1464="","",IF(Z1464=1,COUNTIFS(A$6:A1464,A1464,Z$6:Z1464,1),INDEX(AA$6:AA1463,MATCH(Y1464,Y$6:Y1463,0))))</f>
        <v/>
      </c>
      <c r="AB1464" s="57" t="str">
        <f>IF(B1464="","",COUNTIF(B$6:B1464,B1464))</f>
        <v/>
      </c>
      <c r="AC1464" s="57" t="str">
        <f>IF(B1464="","",B1464&amp;"#"&amp;AB1464)</f>
        <v/>
      </c>
      <c r="AD1464" s="57" t="str">
        <f>IF(Z1464=1,A1464&amp;AA1464,"")</f>
        <v/>
      </c>
      <c r="AE1464" s="57" t="str">
        <f>IF(B1464="","",YEAR(C1464))</f>
        <v/>
      </c>
      <c r="AF1464" s="57" t="str">
        <f>IF(B1464="","",MONTH(C1464))</f>
        <v/>
      </c>
      <c r="AG1464" s="57">
        <f>IF(ISNUMBER(C1464),C1464,0)</f>
        <v>0.0</v>
      </c>
      <c r="AH1464" s="57" t="str">
        <f>IF(N(W1464)&gt;0,COUNTIF(W$6:W1464,"&gt;0"),"")</f>
        <v/>
      </c>
      <c r="AI1464" s="57" t="str">
        <f>IF(Z1464=1,COUNTIF(Z$6:Z1464,1),"")</f>
        <v/>
      </c>
    </row>
    <row r="1465">
      <c r="A1465" s="54" t="n"/>
      <c r="B1465" s="55" t="str">
        <f>IF(AA1465="","",A1465&amp;"-"&amp;RIGHT("000"&amp;AA1465,4))</f>
        <v/>
      </c>
      <c r="C1465" s="56" t="n"/>
      <c r="D1465" s="54" t="n"/>
      <c r="E1465" s="57" t="str">
        <f>IF(D1465="","",IF(A1465="BL",IFERROR(INDEX(cl_name,MATCH(D1465,cl_code,0))&amp;"","Client inconnu"),IF(A1465="BR",IFERROR(INDEX(fo_name,MATCH(D1465,fo_code,0))&amp;"","Fournisseur inconnu"),IF(A1465="BS",IF(ISNA(MATCH(D1465,p_services,0)),"Service inconnu",D1465&amp;""),""))))</f>
        <v/>
      </c>
      <c r="F1465" s="58" t="n"/>
      <c r="G1465" s="58" t="n"/>
      <c r="H1465" s="59" t="n"/>
      <c r="I1465" s="57" t="str">
        <f>IF(H1465="","",IFERROR(INDEX(art_des,MATCH(H1465,art_ref,0))&amp;"","Article inconnu"))</f>
        <v/>
      </c>
      <c r="J1465" s="60" t="str">
        <f>IF(H1465="","",IFERROR(INDEX(art_unit,MATCH(H1465,art_ref,0))&amp;"",""))</f>
        <v/>
      </c>
      <c r="K1465" s="59" t="n"/>
      <c r="L1465" s="59" t="n"/>
      <c r="M1465" s="61" t="str">
        <f>IF(OR(B1465="",NOT(ISNUMBER(K1465)),NOT(ISNUMBER(L1465))),"",IF(OR(K1465&lt;=0,L1465&lt;=0),"",ROUND(L1465-K1465,6)))</f>
        <v/>
      </c>
      <c r="N1465" s="58" t="n"/>
      <c r="O1465" s="62" t="n"/>
      <c r="P1465" s="63" t="str">
        <f>IF(OR(B1465="",NOT(ISNUMBER(L1465))),"",IF(L1465&lt;=0,"",IFERROR(ROUND(L1465*N(INDEX(art_w,MATCH(H1465,art_ref,0))),3),"")))</f>
        <v/>
      </c>
      <c r="Q1465" s="59" t="n"/>
      <c r="R1465" s="54" t="n"/>
      <c r="S1465" s="59" t="n"/>
      <c r="T1465" s="59" t="n"/>
      <c r="U1465" s="64" t="str">
        <f>IF(OR(B1465="",H1465=""),"",IFERROR(IF(A1465="BL",IF(N(INDEX(art_price,MATCH(H1465,art_ref,0)))=0,"",N(INDEX(art_price,MATCH(H1465,art_ref,0)))),IF(N(INDEX(art_cost,MATCH(H1465,art_ref,0)))=0,"",N(INDEX(art_cost,MATCH(H1465,art_ref,0))))),""))</f>
        <v/>
      </c>
      <c r="V1465" s="64" t="str">
        <f>IF(OR(U1465="",NOT(ISNUMBER(L1465))),"",IF(L1465&lt;=0,"",ROUND(L1465*U1465,2)))</f>
        <v/>
      </c>
      <c r="W1465" s="60" t="str">
        <f>IF(AND(B1465&lt;&gt;"",A1465&lt;&gt;"BS",F1465&lt;&gt;"",H1465&lt;&gt;"",ISNUMBER(K1465),ISNUMBER(L1465)),IF(AND(K1465&gt;0,L1465&gt;0,K1465-L1465&gt;0,COUNTIFS(A1466:A$2005,A1465,F1466:F$2005,F1465,H1466:H$2005,H1465,AA1466:AA$2005,"&gt;0")=0),ROUND(K1465-L1465,6),""),"")</f>
        <v/>
      </c>
      <c r="X1465" s="60" t="str">
        <f>IF(AND(A1465="",C1465="",D1465="",H1465="",L1465=""),"",IF(A1465="","Type manquant",IF(AND(A1465&lt;&gt;"BL",A1465&lt;&gt;"BR",A1465&lt;&gt;"BS"),"Type inconnu (BL, BR ou BS)",IF(AG1465=0,"Date manquante ou invalide",IF(D1465="",IF(A1465="BL","Client manquant",IF(A1465="BR","Fournisseur manquant","Service manquant")),IF(IF(A1465="BL",ISNA(MATCH(D1465,cl_code,0)),IF(A1465="BR",ISNA(MATCH(D1465,fo_code,0)),ISNA(MATCH(D1465,p_services,0)))),IF(A1465="BL","Client inconnu",IF(A1465="BR","Fournisseur inconnu","Service inconnu")),IF(H1465="","Article manquant",IF(ISNA(MATCH(H1465,art_ref,0)),"Article inconnu",IF(OR(NOT(ISNUMBER(L1465)),N(L1465)&lt;=0),"Quantité invalide",IF(AND(K1465&lt;&gt;"",OR(NOT(ISNUMBER(K1465)),N(K1465)&lt;=0)),"Qté commandée invalide",IF(AG1465&lt;SUMPRODUCT(MAX((A$6:A1464=A1465)*AG$6:AG1464)),"Date antérieure au bon précédent",IF(AND(A1465&lt;&gt;"BR",ISNUMBER(M1465),N(M1465)&gt;0),IF(A1465="BL","Livré plus que commandé","Sorti plus que demandé"),"OK"))))))))))))</f>
        <v/>
      </c>
      <c r="Y1465" s="57" t="str">
        <f>IF(AND(OR(A1465="BL",A1465="BR",A1465="BS"),AG1465&gt;0,D1465&lt;&gt;""),A1465&amp;"|"&amp;AG1465&amp;"|"&amp;D1465&amp;"|"&amp;F1465,"")</f>
        <v/>
      </c>
      <c r="Z1465" s="57" t="str">
        <f>IF(Y1465="","",IF(COUNTIF(Y$6:Y1464,Y1465)=0,1,0))</f>
        <v/>
      </c>
      <c r="AA1465" s="57" t="str">
        <f>IF(Y1465="","",IF(Z1465=1,COUNTIFS(A$6:A1465,A1465,Z$6:Z1465,1),INDEX(AA$6:AA1464,MATCH(Y1465,Y$6:Y1464,0))))</f>
        <v/>
      </c>
      <c r="AB1465" s="57" t="str">
        <f>IF(B1465="","",COUNTIF(B$6:B1465,B1465))</f>
        <v/>
      </c>
      <c r="AC1465" s="57" t="str">
        <f>IF(B1465="","",B1465&amp;"#"&amp;AB1465)</f>
        <v/>
      </c>
      <c r="AD1465" s="57" t="str">
        <f>IF(Z1465=1,A1465&amp;AA1465,"")</f>
        <v/>
      </c>
      <c r="AE1465" s="57" t="str">
        <f>IF(B1465="","",YEAR(C1465))</f>
        <v/>
      </c>
      <c r="AF1465" s="57" t="str">
        <f>IF(B1465="","",MONTH(C1465))</f>
        <v/>
      </c>
      <c r="AG1465" s="57">
        <f>IF(ISNUMBER(C1465),C1465,0)</f>
        <v>0.0</v>
      </c>
      <c r="AH1465" s="57" t="str">
        <f>IF(N(W1465)&gt;0,COUNTIF(W$6:W1465,"&gt;0"),"")</f>
        <v/>
      </c>
      <c r="AI1465" s="57" t="str">
        <f>IF(Z1465=1,COUNTIF(Z$6:Z1465,1),"")</f>
        <v/>
      </c>
    </row>
    <row r="1466">
      <c r="A1466" s="54" t="n"/>
      <c r="B1466" s="55" t="str">
        <f>IF(AA1466="","",A1466&amp;"-"&amp;RIGHT("000"&amp;AA1466,4))</f>
        <v/>
      </c>
      <c r="C1466" s="56" t="n"/>
      <c r="D1466" s="54" t="n"/>
      <c r="E1466" s="57" t="str">
        <f>IF(D1466="","",IF(A1466="BL",IFERROR(INDEX(cl_name,MATCH(D1466,cl_code,0))&amp;"","Client inconnu"),IF(A1466="BR",IFERROR(INDEX(fo_name,MATCH(D1466,fo_code,0))&amp;"","Fournisseur inconnu"),IF(A1466="BS",IF(ISNA(MATCH(D1466,p_services,0)),"Service inconnu",D1466&amp;""),""))))</f>
        <v/>
      </c>
      <c r="F1466" s="58" t="n"/>
      <c r="G1466" s="58" t="n"/>
      <c r="H1466" s="59" t="n"/>
      <c r="I1466" s="57" t="str">
        <f>IF(H1466="","",IFERROR(INDEX(art_des,MATCH(H1466,art_ref,0))&amp;"","Article inconnu"))</f>
        <v/>
      </c>
      <c r="J1466" s="60" t="str">
        <f>IF(H1466="","",IFERROR(INDEX(art_unit,MATCH(H1466,art_ref,0))&amp;"",""))</f>
        <v/>
      </c>
      <c r="K1466" s="59" t="n"/>
      <c r="L1466" s="59" t="n"/>
      <c r="M1466" s="61" t="str">
        <f>IF(OR(B1466="",NOT(ISNUMBER(K1466)),NOT(ISNUMBER(L1466))),"",IF(OR(K1466&lt;=0,L1466&lt;=0),"",ROUND(L1466-K1466,6)))</f>
        <v/>
      </c>
      <c r="N1466" s="58" t="n"/>
      <c r="O1466" s="62" t="n"/>
      <c r="P1466" s="63" t="str">
        <f>IF(OR(B1466="",NOT(ISNUMBER(L1466))),"",IF(L1466&lt;=0,"",IFERROR(ROUND(L1466*N(INDEX(art_w,MATCH(H1466,art_ref,0))),3),"")))</f>
        <v/>
      </c>
      <c r="Q1466" s="59" t="n"/>
      <c r="R1466" s="54" t="n"/>
      <c r="S1466" s="59" t="n"/>
      <c r="T1466" s="59" t="n"/>
      <c r="U1466" s="64" t="str">
        <f>IF(OR(B1466="",H1466=""),"",IFERROR(IF(A1466="BL",IF(N(INDEX(art_price,MATCH(H1466,art_ref,0)))=0,"",N(INDEX(art_price,MATCH(H1466,art_ref,0)))),IF(N(INDEX(art_cost,MATCH(H1466,art_ref,0)))=0,"",N(INDEX(art_cost,MATCH(H1466,art_ref,0))))),""))</f>
        <v/>
      </c>
      <c r="V1466" s="64" t="str">
        <f>IF(OR(U1466="",NOT(ISNUMBER(L1466))),"",IF(L1466&lt;=0,"",ROUND(L1466*U1466,2)))</f>
        <v/>
      </c>
      <c r="W1466" s="60" t="str">
        <f>IF(AND(B1466&lt;&gt;"",A1466&lt;&gt;"BS",F1466&lt;&gt;"",H1466&lt;&gt;"",ISNUMBER(K1466),ISNUMBER(L1466)),IF(AND(K1466&gt;0,L1466&gt;0,K1466-L1466&gt;0,COUNTIFS(A1467:A$2005,A1466,F1467:F$2005,F1466,H1467:H$2005,H1466,AA1467:AA$2005,"&gt;0")=0),ROUND(K1466-L1466,6),""),"")</f>
        <v/>
      </c>
      <c r="X1466" s="60" t="str">
        <f>IF(AND(A1466="",C1466="",D1466="",H1466="",L1466=""),"",IF(A1466="","Type manquant",IF(AND(A1466&lt;&gt;"BL",A1466&lt;&gt;"BR",A1466&lt;&gt;"BS"),"Type inconnu (BL, BR ou BS)",IF(AG1466=0,"Date manquante ou invalide",IF(D1466="",IF(A1466="BL","Client manquant",IF(A1466="BR","Fournisseur manquant","Service manquant")),IF(IF(A1466="BL",ISNA(MATCH(D1466,cl_code,0)),IF(A1466="BR",ISNA(MATCH(D1466,fo_code,0)),ISNA(MATCH(D1466,p_services,0)))),IF(A1466="BL","Client inconnu",IF(A1466="BR","Fournisseur inconnu","Service inconnu")),IF(H1466="","Article manquant",IF(ISNA(MATCH(H1466,art_ref,0)),"Article inconnu",IF(OR(NOT(ISNUMBER(L1466)),N(L1466)&lt;=0),"Quantité invalide",IF(AND(K1466&lt;&gt;"",OR(NOT(ISNUMBER(K1466)),N(K1466)&lt;=0)),"Qté commandée invalide",IF(AG1466&lt;SUMPRODUCT(MAX((A$6:A1465=A1466)*AG$6:AG1465)),"Date antérieure au bon précédent",IF(AND(A1466&lt;&gt;"BR",ISNUMBER(M1466),N(M1466)&gt;0),IF(A1466="BL","Livré plus que commandé","Sorti plus que demandé"),"OK"))))))))))))</f>
        <v/>
      </c>
      <c r="Y1466" s="57" t="str">
        <f>IF(AND(OR(A1466="BL",A1466="BR",A1466="BS"),AG1466&gt;0,D1466&lt;&gt;""),A1466&amp;"|"&amp;AG1466&amp;"|"&amp;D1466&amp;"|"&amp;F1466,"")</f>
        <v/>
      </c>
      <c r="Z1466" s="57" t="str">
        <f>IF(Y1466="","",IF(COUNTIF(Y$6:Y1465,Y1466)=0,1,0))</f>
        <v/>
      </c>
      <c r="AA1466" s="57" t="str">
        <f>IF(Y1466="","",IF(Z1466=1,COUNTIFS(A$6:A1466,A1466,Z$6:Z1466,1),INDEX(AA$6:AA1465,MATCH(Y1466,Y$6:Y1465,0))))</f>
        <v/>
      </c>
      <c r="AB1466" s="57" t="str">
        <f>IF(B1466="","",COUNTIF(B$6:B1466,B1466))</f>
        <v/>
      </c>
      <c r="AC1466" s="57" t="str">
        <f>IF(B1466="","",B1466&amp;"#"&amp;AB1466)</f>
        <v/>
      </c>
      <c r="AD1466" s="57" t="str">
        <f>IF(Z1466=1,A1466&amp;AA1466,"")</f>
        <v/>
      </c>
      <c r="AE1466" s="57" t="str">
        <f>IF(B1466="","",YEAR(C1466))</f>
        <v/>
      </c>
      <c r="AF1466" s="57" t="str">
        <f>IF(B1466="","",MONTH(C1466))</f>
        <v/>
      </c>
      <c r="AG1466" s="57">
        <f>IF(ISNUMBER(C1466),C1466,0)</f>
        <v>0.0</v>
      </c>
      <c r="AH1466" s="57" t="str">
        <f>IF(N(W1466)&gt;0,COUNTIF(W$6:W1466,"&gt;0"),"")</f>
        <v/>
      </c>
      <c r="AI1466" s="57" t="str">
        <f>IF(Z1466=1,COUNTIF(Z$6:Z1466,1),"")</f>
        <v/>
      </c>
    </row>
    <row r="1467">
      <c r="A1467" s="54" t="n"/>
      <c r="B1467" s="55" t="str">
        <f>IF(AA1467="","",A1467&amp;"-"&amp;RIGHT("000"&amp;AA1467,4))</f>
        <v/>
      </c>
      <c r="C1467" s="56" t="n"/>
      <c r="D1467" s="54" t="n"/>
      <c r="E1467" s="57" t="str">
        <f>IF(D1467="","",IF(A1467="BL",IFERROR(INDEX(cl_name,MATCH(D1467,cl_code,0))&amp;"","Client inconnu"),IF(A1467="BR",IFERROR(INDEX(fo_name,MATCH(D1467,fo_code,0))&amp;"","Fournisseur inconnu"),IF(A1467="BS",IF(ISNA(MATCH(D1467,p_services,0)),"Service inconnu",D1467&amp;""),""))))</f>
        <v/>
      </c>
      <c r="F1467" s="58" t="n"/>
      <c r="G1467" s="58" t="n"/>
      <c r="H1467" s="59" t="n"/>
      <c r="I1467" s="57" t="str">
        <f>IF(H1467="","",IFERROR(INDEX(art_des,MATCH(H1467,art_ref,0))&amp;"","Article inconnu"))</f>
        <v/>
      </c>
      <c r="J1467" s="60" t="str">
        <f>IF(H1467="","",IFERROR(INDEX(art_unit,MATCH(H1467,art_ref,0))&amp;"",""))</f>
        <v/>
      </c>
      <c r="K1467" s="59" t="n"/>
      <c r="L1467" s="59" t="n"/>
      <c r="M1467" s="61" t="str">
        <f>IF(OR(B1467="",NOT(ISNUMBER(K1467)),NOT(ISNUMBER(L1467))),"",IF(OR(K1467&lt;=0,L1467&lt;=0),"",ROUND(L1467-K1467,6)))</f>
        <v/>
      </c>
      <c r="N1467" s="58" t="n"/>
      <c r="O1467" s="62" t="n"/>
      <c r="P1467" s="63" t="str">
        <f>IF(OR(B1467="",NOT(ISNUMBER(L1467))),"",IF(L1467&lt;=0,"",IFERROR(ROUND(L1467*N(INDEX(art_w,MATCH(H1467,art_ref,0))),3),"")))</f>
        <v/>
      </c>
      <c r="Q1467" s="59" t="n"/>
      <c r="R1467" s="54" t="n"/>
      <c r="S1467" s="59" t="n"/>
      <c r="T1467" s="59" t="n"/>
      <c r="U1467" s="64" t="str">
        <f>IF(OR(B1467="",H1467=""),"",IFERROR(IF(A1467="BL",IF(N(INDEX(art_price,MATCH(H1467,art_ref,0)))=0,"",N(INDEX(art_price,MATCH(H1467,art_ref,0)))),IF(N(INDEX(art_cost,MATCH(H1467,art_ref,0)))=0,"",N(INDEX(art_cost,MATCH(H1467,art_ref,0))))),""))</f>
        <v/>
      </c>
      <c r="V1467" s="64" t="str">
        <f>IF(OR(U1467="",NOT(ISNUMBER(L1467))),"",IF(L1467&lt;=0,"",ROUND(L1467*U1467,2)))</f>
        <v/>
      </c>
      <c r="W1467" s="60" t="str">
        <f>IF(AND(B1467&lt;&gt;"",A1467&lt;&gt;"BS",F1467&lt;&gt;"",H1467&lt;&gt;"",ISNUMBER(K1467),ISNUMBER(L1467)),IF(AND(K1467&gt;0,L1467&gt;0,K1467-L1467&gt;0,COUNTIFS(A1468:A$2005,A1467,F1468:F$2005,F1467,H1468:H$2005,H1467,AA1468:AA$2005,"&gt;0")=0),ROUND(K1467-L1467,6),""),"")</f>
        <v/>
      </c>
      <c r="X1467" s="60" t="str">
        <f>IF(AND(A1467="",C1467="",D1467="",H1467="",L1467=""),"",IF(A1467="","Type manquant",IF(AND(A1467&lt;&gt;"BL",A1467&lt;&gt;"BR",A1467&lt;&gt;"BS"),"Type inconnu (BL, BR ou BS)",IF(AG1467=0,"Date manquante ou invalide",IF(D1467="",IF(A1467="BL","Client manquant",IF(A1467="BR","Fournisseur manquant","Service manquant")),IF(IF(A1467="BL",ISNA(MATCH(D1467,cl_code,0)),IF(A1467="BR",ISNA(MATCH(D1467,fo_code,0)),ISNA(MATCH(D1467,p_services,0)))),IF(A1467="BL","Client inconnu",IF(A1467="BR","Fournisseur inconnu","Service inconnu")),IF(H1467="","Article manquant",IF(ISNA(MATCH(H1467,art_ref,0)),"Article inconnu",IF(OR(NOT(ISNUMBER(L1467)),N(L1467)&lt;=0),"Quantité invalide",IF(AND(K1467&lt;&gt;"",OR(NOT(ISNUMBER(K1467)),N(K1467)&lt;=0)),"Qté commandée invalide",IF(AG1467&lt;SUMPRODUCT(MAX((A$6:A1466=A1467)*AG$6:AG1466)),"Date antérieure au bon précédent",IF(AND(A1467&lt;&gt;"BR",ISNUMBER(M1467),N(M1467)&gt;0),IF(A1467="BL","Livré plus que commandé","Sorti plus que demandé"),"OK"))))))))))))</f>
        <v/>
      </c>
      <c r="Y1467" s="57" t="str">
        <f>IF(AND(OR(A1467="BL",A1467="BR",A1467="BS"),AG1467&gt;0,D1467&lt;&gt;""),A1467&amp;"|"&amp;AG1467&amp;"|"&amp;D1467&amp;"|"&amp;F1467,"")</f>
        <v/>
      </c>
      <c r="Z1467" s="57" t="str">
        <f>IF(Y1467="","",IF(COUNTIF(Y$6:Y1466,Y1467)=0,1,0))</f>
        <v/>
      </c>
      <c r="AA1467" s="57" t="str">
        <f>IF(Y1467="","",IF(Z1467=1,COUNTIFS(A$6:A1467,A1467,Z$6:Z1467,1),INDEX(AA$6:AA1466,MATCH(Y1467,Y$6:Y1466,0))))</f>
        <v/>
      </c>
      <c r="AB1467" s="57" t="str">
        <f>IF(B1467="","",COUNTIF(B$6:B1467,B1467))</f>
        <v/>
      </c>
      <c r="AC1467" s="57" t="str">
        <f>IF(B1467="","",B1467&amp;"#"&amp;AB1467)</f>
        <v/>
      </c>
      <c r="AD1467" s="57" t="str">
        <f>IF(Z1467=1,A1467&amp;AA1467,"")</f>
        <v/>
      </c>
      <c r="AE1467" s="57" t="str">
        <f>IF(B1467="","",YEAR(C1467))</f>
        <v/>
      </c>
      <c r="AF1467" s="57" t="str">
        <f>IF(B1467="","",MONTH(C1467))</f>
        <v/>
      </c>
      <c r="AG1467" s="57">
        <f>IF(ISNUMBER(C1467),C1467,0)</f>
        <v>0.0</v>
      </c>
      <c r="AH1467" s="57" t="str">
        <f>IF(N(W1467)&gt;0,COUNTIF(W$6:W1467,"&gt;0"),"")</f>
        <v/>
      </c>
      <c r="AI1467" s="57" t="str">
        <f>IF(Z1467=1,COUNTIF(Z$6:Z1467,1),"")</f>
        <v/>
      </c>
    </row>
    <row r="1468">
      <c r="A1468" s="54" t="n"/>
      <c r="B1468" s="55" t="str">
        <f>IF(AA1468="","",A1468&amp;"-"&amp;RIGHT("000"&amp;AA1468,4))</f>
        <v/>
      </c>
      <c r="C1468" s="56" t="n"/>
      <c r="D1468" s="54" t="n"/>
      <c r="E1468" s="57" t="str">
        <f>IF(D1468="","",IF(A1468="BL",IFERROR(INDEX(cl_name,MATCH(D1468,cl_code,0))&amp;"","Client inconnu"),IF(A1468="BR",IFERROR(INDEX(fo_name,MATCH(D1468,fo_code,0))&amp;"","Fournisseur inconnu"),IF(A1468="BS",IF(ISNA(MATCH(D1468,p_services,0)),"Service inconnu",D1468&amp;""),""))))</f>
        <v/>
      </c>
      <c r="F1468" s="58" t="n"/>
      <c r="G1468" s="58" t="n"/>
      <c r="H1468" s="59" t="n"/>
      <c r="I1468" s="57" t="str">
        <f>IF(H1468="","",IFERROR(INDEX(art_des,MATCH(H1468,art_ref,0))&amp;"","Article inconnu"))</f>
        <v/>
      </c>
      <c r="J1468" s="60" t="str">
        <f>IF(H1468="","",IFERROR(INDEX(art_unit,MATCH(H1468,art_ref,0))&amp;"",""))</f>
        <v/>
      </c>
      <c r="K1468" s="59" t="n"/>
      <c r="L1468" s="59" t="n"/>
      <c r="M1468" s="61" t="str">
        <f>IF(OR(B1468="",NOT(ISNUMBER(K1468)),NOT(ISNUMBER(L1468))),"",IF(OR(K1468&lt;=0,L1468&lt;=0),"",ROUND(L1468-K1468,6)))</f>
        <v/>
      </c>
      <c r="N1468" s="58" t="n"/>
      <c r="O1468" s="62" t="n"/>
      <c r="P1468" s="63" t="str">
        <f>IF(OR(B1468="",NOT(ISNUMBER(L1468))),"",IF(L1468&lt;=0,"",IFERROR(ROUND(L1468*N(INDEX(art_w,MATCH(H1468,art_ref,0))),3),"")))</f>
        <v/>
      </c>
      <c r="Q1468" s="59" t="n"/>
      <c r="R1468" s="54" t="n"/>
      <c r="S1468" s="59" t="n"/>
      <c r="T1468" s="59" t="n"/>
      <c r="U1468" s="64" t="str">
        <f>IF(OR(B1468="",H1468=""),"",IFERROR(IF(A1468="BL",IF(N(INDEX(art_price,MATCH(H1468,art_ref,0)))=0,"",N(INDEX(art_price,MATCH(H1468,art_ref,0)))),IF(N(INDEX(art_cost,MATCH(H1468,art_ref,0)))=0,"",N(INDEX(art_cost,MATCH(H1468,art_ref,0))))),""))</f>
        <v/>
      </c>
      <c r="V1468" s="64" t="str">
        <f>IF(OR(U1468="",NOT(ISNUMBER(L1468))),"",IF(L1468&lt;=0,"",ROUND(L1468*U1468,2)))</f>
        <v/>
      </c>
      <c r="W1468" s="60" t="str">
        <f>IF(AND(B1468&lt;&gt;"",A1468&lt;&gt;"BS",F1468&lt;&gt;"",H1468&lt;&gt;"",ISNUMBER(K1468),ISNUMBER(L1468)),IF(AND(K1468&gt;0,L1468&gt;0,K1468-L1468&gt;0,COUNTIFS(A1469:A$2005,A1468,F1469:F$2005,F1468,H1469:H$2005,H1468,AA1469:AA$2005,"&gt;0")=0),ROUND(K1468-L1468,6),""),"")</f>
        <v/>
      </c>
      <c r="X1468" s="60" t="str">
        <f>IF(AND(A1468="",C1468="",D1468="",H1468="",L1468=""),"",IF(A1468="","Type manquant",IF(AND(A1468&lt;&gt;"BL",A1468&lt;&gt;"BR",A1468&lt;&gt;"BS"),"Type inconnu (BL, BR ou BS)",IF(AG1468=0,"Date manquante ou invalide",IF(D1468="",IF(A1468="BL","Client manquant",IF(A1468="BR","Fournisseur manquant","Service manquant")),IF(IF(A1468="BL",ISNA(MATCH(D1468,cl_code,0)),IF(A1468="BR",ISNA(MATCH(D1468,fo_code,0)),ISNA(MATCH(D1468,p_services,0)))),IF(A1468="BL","Client inconnu",IF(A1468="BR","Fournisseur inconnu","Service inconnu")),IF(H1468="","Article manquant",IF(ISNA(MATCH(H1468,art_ref,0)),"Article inconnu",IF(OR(NOT(ISNUMBER(L1468)),N(L1468)&lt;=0),"Quantité invalide",IF(AND(K1468&lt;&gt;"",OR(NOT(ISNUMBER(K1468)),N(K1468)&lt;=0)),"Qté commandée invalide",IF(AG1468&lt;SUMPRODUCT(MAX((A$6:A1467=A1468)*AG$6:AG1467)),"Date antérieure au bon précédent",IF(AND(A1468&lt;&gt;"BR",ISNUMBER(M1468),N(M1468)&gt;0),IF(A1468="BL","Livré plus que commandé","Sorti plus que demandé"),"OK"))))))))))))</f>
        <v/>
      </c>
      <c r="Y1468" s="57" t="str">
        <f>IF(AND(OR(A1468="BL",A1468="BR",A1468="BS"),AG1468&gt;0,D1468&lt;&gt;""),A1468&amp;"|"&amp;AG1468&amp;"|"&amp;D1468&amp;"|"&amp;F1468,"")</f>
        <v/>
      </c>
      <c r="Z1468" s="57" t="str">
        <f>IF(Y1468="","",IF(COUNTIF(Y$6:Y1467,Y1468)=0,1,0))</f>
        <v/>
      </c>
      <c r="AA1468" s="57" t="str">
        <f>IF(Y1468="","",IF(Z1468=1,COUNTIFS(A$6:A1468,A1468,Z$6:Z1468,1),INDEX(AA$6:AA1467,MATCH(Y1468,Y$6:Y1467,0))))</f>
        <v/>
      </c>
      <c r="AB1468" s="57" t="str">
        <f>IF(B1468="","",COUNTIF(B$6:B1468,B1468))</f>
        <v/>
      </c>
      <c r="AC1468" s="57" t="str">
        <f>IF(B1468="","",B1468&amp;"#"&amp;AB1468)</f>
        <v/>
      </c>
      <c r="AD1468" s="57" t="str">
        <f>IF(Z1468=1,A1468&amp;AA1468,"")</f>
        <v/>
      </c>
      <c r="AE1468" s="57" t="str">
        <f>IF(B1468="","",YEAR(C1468))</f>
        <v/>
      </c>
      <c r="AF1468" s="57" t="str">
        <f>IF(B1468="","",MONTH(C1468))</f>
        <v/>
      </c>
      <c r="AG1468" s="57">
        <f>IF(ISNUMBER(C1468),C1468,0)</f>
        <v>0.0</v>
      </c>
      <c r="AH1468" s="57" t="str">
        <f>IF(N(W1468)&gt;0,COUNTIF(W$6:W1468,"&gt;0"),"")</f>
        <v/>
      </c>
      <c r="AI1468" s="57" t="str">
        <f>IF(Z1468=1,COUNTIF(Z$6:Z1468,1),"")</f>
        <v/>
      </c>
    </row>
    <row r="1469">
      <c r="A1469" s="54" t="n"/>
      <c r="B1469" s="55" t="str">
        <f>IF(AA1469="","",A1469&amp;"-"&amp;RIGHT("000"&amp;AA1469,4))</f>
        <v/>
      </c>
      <c r="C1469" s="56" t="n"/>
      <c r="D1469" s="54" t="n"/>
      <c r="E1469" s="57" t="str">
        <f>IF(D1469="","",IF(A1469="BL",IFERROR(INDEX(cl_name,MATCH(D1469,cl_code,0))&amp;"","Client inconnu"),IF(A1469="BR",IFERROR(INDEX(fo_name,MATCH(D1469,fo_code,0))&amp;"","Fournisseur inconnu"),IF(A1469="BS",IF(ISNA(MATCH(D1469,p_services,0)),"Service inconnu",D1469&amp;""),""))))</f>
        <v/>
      </c>
      <c r="F1469" s="58" t="n"/>
      <c r="G1469" s="58" t="n"/>
      <c r="H1469" s="59" t="n"/>
      <c r="I1469" s="57" t="str">
        <f>IF(H1469="","",IFERROR(INDEX(art_des,MATCH(H1469,art_ref,0))&amp;"","Article inconnu"))</f>
        <v/>
      </c>
      <c r="J1469" s="60" t="str">
        <f>IF(H1469="","",IFERROR(INDEX(art_unit,MATCH(H1469,art_ref,0))&amp;"",""))</f>
        <v/>
      </c>
      <c r="K1469" s="59" t="n"/>
      <c r="L1469" s="59" t="n"/>
      <c r="M1469" s="61" t="str">
        <f>IF(OR(B1469="",NOT(ISNUMBER(K1469)),NOT(ISNUMBER(L1469))),"",IF(OR(K1469&lt;=0,L1469&lt;=0),"",ROUND(L1469-K1469,6)))</f>
        <v/>
      </c>
      <c r="N1469" s="58" t="n"/>
      <c r="O1469" s="62" t="n"/>
      <c r="P1469" s="63" t="str">
        <f>IF(OR(B1469="",NOT(ISNUMBER(L1469))),"",IF(L1469&lt;=0,"",IFERROR(ROUND(L1469*N(INDEX(art_w,MATCH(H1469,art_ref,0))),3),"")))</f>
        <v/>
      </c>
      <c r="Q1469" s="59" t="n"/>
      <c r="R1469" s="54" t="n"/>
      <c r="S1469" s="59" t="n"/>
      <c r="T1469" s="59" t="n"/>
      <c r="U1469" s="64" t="str">
        <f>IF(OR(B1469="",H1469=""),"",IFERROR(IF(A1469="BL",IF(N(INDEX(art_price,MATCH(H1469,art_ref,0)))=0,"",N(INDEX(art_price,MATCH(H1469,art_ref,0)))),IF(N(INDEX(art_cost,MATCH(H1469,art_ref,0)))=0,"",N(INDEX(art_cost,MATCH(H1469,art_ref,0))))),""))</f>
        <v/>
      </c>
      <c r="V1469" s="64" t="str">
        <f>IF(OR(U1469="",NOT(ISNUMBER(L1469))),"",IF(L1469&lt;=0,"",ROUND(L1469*U1469,2)))</f>
        <v/>
      </c>
      <c r="W1469" s="60" t="str">
        <f>IF(AND(B1469&lt;&gt;"",A1469&lt;&gt;"BS",F1469&lt;&gt;"",H1469&lt;&gt;"",ISNUMBER(K1469),ISNUMBER(L1469)),IF(AND(K1469&gt;0,L1469&gt;0,K1469-L1469&gt;0,COUNTIFS(A1470:A$2005,A1469,F1470:F$2005,F1469,H1470:H$2005,H1469,AA1470:AA$2005,"&gt;0")=0),ROUND(K1469-L1469,6),""),"")</f>
        <v/>
      </c>
      <c r="X1469" s="60" t="str">
        <f>IF(AND(A1469="",C1469="",D1469="",H1469="",L1469=""),"",IF(A1469="","Type manquant",IF(AND(A1469&lt;&gt;"BL",A1469&lt;&gt;"BR",A1469&lt;&gt;"BS"),"Type inconnu (BL, BR ou BS)",IF(AG1469=0,"Date manquante ou invalide",IF(D1469="",IF(A1469="BL","Client manquant",IF(A1469="BR","Fournisseur manquant","Service manquant")),IF(IF(A1469="BL",ISNA(MATCH(D1469,cl_code,0)),IF(A1469="BR",ISNA(MATCH(D1469,fo_code,0)),ISNA(MATCH(D1469,p_services,0)))),IF(A1469="BL","Client inconnu",IF(A1469="BR","Fournisseur inconnu","Service inconnu")),IF(H1469="","Article manquant",IF(ISNA(MATCH(H1469,art_ref,0)),"Article inconnu",IF(OR(NOT(ISNUMBER(L1469)),N(L1469)&lt;=0),"Quantité invalide",IF(AND(K1469&lt;&gt;"",OR(NOT(ISNUMBER(K1469)),N(K1469)&lt;=0)),"Qté commandée invalide",IF(AG1469&lt;SUMPRODUCT(MAX((A$6:A1468=A1469)*AG$6:AG1468)),"Date antérieure au bon précédent",IF(AND(A1469&lt;&gt;"BR",ISNUMBER(M1469),N(M1469)&gt;0),IF(A1469="BL","Livré plus que commandé","Sorti plus que demandé"),"OK"))))))))))))</f>
        <v/>
      </c>
      <c r="Y1469" s="57" t="str">
        <f>IF(AND(OR(A1469="BL",A1469="BR",A1469="BS"),AG1469&gt;0,D1469&lt;&gt;""),A1469&amp;"|"&amp;AG1469&amp;"|"&amp;D1469&amp;"|"&amp;F1469,"")</f>
        <v/>
      </c>
      <c r="Z1469" s="57" t="str">
        <f>IF(Y1469="","",IF(COUNTIF(Y$6:Y1468,Y1469)=0,1,0))</f>
        <v/>
      </c>
      <c r="AA1469" s="57" t="str">
        <f>IF(Y1469="","",IF(Z1469=1,COUNTIFS(A$6:A1469,A1469,Z$6:Z1469,1),INDEX(AA$6:AA1468,MATCH(Y1469,Y$6:Y1468,0))))</f>
        <v/>
      </c>
      <c r="AB1469" s="57" t="str">
        <f>IF(B1469="","",COUNTIF(B$6:B1469,B1469))</f>
        <v/>
      </c>
      <c r="AC1469" s="57" t="str">
        <f>IF(B1469="","",B1469&amp;"#"&amp;AB1469)</f>
        <v/>
      </c>
      <c r="AD1469" s="57" t="str">
        <f>IF(Z1469=1,A1469&amp;AA1469,"")</f>
        <v/>
      </c>
      <c r="AE1469" s="57" t="str">
        <f>IF(B1469="","",YEAR(C1469))</f>
        <v/>
      </c>
      <c r="AF1469" s="57" t="str">
        <f>IF(B1469="","",MONTH(C1469))</f>
        <v/>
      </c>
      <c r="AG1469" s="57">
        <f>IF(ISNUMBER(C1469),C1469,0)</f>
        <v>0.0</v>
      </c>
      <c r="AH1469" s="57" t="str">
        <f>IF(N(W1469)&gt;0,COUNTIF(W$6:W1469,"&gt;0"),"")</f>
        <v/>
      </c>
      <c r="AI1469" s="57" t="str">
        <f>IF(Z1469=1,COUNTIF(Z$6:Z1469,1),"")</f>
        <v/>
      </c>
    </row>
    <row r="1470">
      <c r="A1470" s="54" t="n"/>
      <c r="B1470" s="55" t="str">
        <f>IF(AA1470="","",A1470&amp;"-"&amp;RIGHT("000"&amp;AA1470,4))</f>
        <v/>
      </c>
      <c r="C1470" s="56" t="n"/>
      <c r="D1470" s="54" t="n"/>
      <c r="E1470" s="57" t="str">
        <f>IF(D1470="","",IF(A1470="BL",IFERROR(INDEX(cl_name,MATCH(D1470,cl_code,0))&amp;"","Client inconnu"),IF(A1470="BR",IFERROR(INDEX(fo_name,MATCH(D1470,fo_code,0))&amp;"","Fournisseur inconnu"),IF(A1470="BS",IF(ISNA(MATCH(D1470,p_services,0)),"Service inconnu",D1470&amp;""),""))))</f>
        <v/>
      </c>
      <c r="F1470" s="58" t="n"/>
      <c r="G1470" s="58" t="n"/>
      <c r="H1470" s="59" t="n"/>
      <c r="I1470" s="57" t="str">
        <f>IF(H1470="","",IFERROR(INDEX(art_des,MATCH(H1470,art_ref,0))&amp;"","Article inconnu"))</f>
        <v/>
      </c>
      <c r="J1470" s="60" t="str">
        <f>IF(H1470="","",IFERROR(INDEX(art_unit,MATCH(H1470,art_ref,0))&amp;"",""))</f>
        <v/>
      </c>
      <c r="K1470" s="59" t="n"/>
      <c r="L1470" s="59" t="n"/>
      <c r="M1470" s="61" t="str">
        <f>IF(OR(B1470="",NOT(ISNUMBER(K1470)),NOT(ISNUMBER(L1470))),"",IF(OR(K1470&lt;=0,L1470&lt;=0),"",ROUND(L1470-K1470,6)))</f>
        <v/>
      </c>
      <c r="N1470" s="58" t="n"/>
      <c r="O1470" s="62" t="n"/>
      <c r="P1470" s="63" t="str">
        <f>IF(OR(B1470="",NOT(ISNUMBER(L1470))),"",IF(L1470&lt;=0,"",IFERROR(ROUND(L1470*N(INDEX(art_w,MATCH(H1470,art_ref,0))),3),"")))</f>
        <v/>
      </c>
      <c r="Q1470" s="59" t="n"/>
      <c r="R1470" s="54" t="n"/>
      <c r="S1470" s="59" t="n"/>
      <c r="T1470" s="59" t="n"/>
      <c r="U1470" s="64" t="str">
        <f>IF(OR(B1470="",H1470=""),"",IFERROR(IF(A1470="BL",IF(N(INDEX(art_price,MATCH(H1470,art_ref,0)))=0,"",N(INDEX(art_price,MATCH(H1470,art_ref,0)))),IF(N(INDEX(art_cost,MATCH(H1470,art_ref,0)))=0,"",N(INDEX(art_cost,MATCH(H1470,art_ref,0))))),""))</f>
        <v/>
      </c>
      <c r="V1470" s="64" t="str">
        <f>IF(OR(U1470="",NOT(ISNUMBER(L1470))),"",IF(L1470&lt;=0,"",ROUND(L1470*U1470,2)))</f>
        <v/>
      </c>
      <c r="W1470" s="60" t="str">
        <f>IF(AND(B1470&lt;&gt;"",A1470&lt;&gt;"BS",F1470&lt;&gt;"",H1470&lt;&gt;"",ISNUMBER(K1470),ISNUMBER(L1470)),IF(AND(K1470&gt;0,L1470&gt;0,K1470-L1470&gt;0,COUNTIFS(A1471:A$2005,A1470,F1471:F$2005,F1470,H1471:H$2005,H1470,AA1471:AA$2005,"&gt;0")=0),ROUND(K1470-L1470,6),""),"")</f>
        <v/>
      </c>
      <c r="X1470" s="60" t="str">
        <f>IF(AND(A1470="",C1470="",D1470="",H1470="",L1470=""),"",IF(A1470="","Type manquant",IF(AND(A1470&lt;&gt;"BL",A1470&lt;&gt;"BR",A1470&lt;&gt;"BS"),"Type inconnu (BL, BR ou BS)",IF(AG1470=0,"Date manquante ou invalide",IF(D1470="",IF(A1470="BL","Client manquant",IF(A1470="BR","Fournisseur manquant","Service manquant")),IF(IF(A1470="BL",ISNA(MATCH(D1470,cl_code,0)),IF(A1470="BR",ISNA(MATCH(D1470,fo_code,0)),ISNA(MATCH(D1470,p_services,0)))),IF(A1470="BL","Client inconnu",IF(A1470="BR","Fournisseur inconnu","Service inconnu")),IF(H1470="","Article manquant",IF(ISNA(MATCH(H1470,art_ref,0)),"Article inconnu",IF(OR(NOT(ISNUMBER(L1470)),N(L1470)&lt;=0),"Quantité invalide",IF(AND(K1470&lt;&gt;"",OR(NOT(ISNUMBER(K1470)),N(K1470)&lt;=0)),"Qté commandée invalide",IF(AG1470&lt;SUMPRODUCT(MAX((A$6:A1469=A1470)*AG$6:AG1469)),"Date antérieure au bon précédent",IF(AND(A1470&lt;&gt;"BR",ISNUMBER(M1470),N(M1470)&gt;0),IF(A1470="BL","Livré plus que commandé","Sorti plus que demandé"),"OK"))))))))))))</f>
        <v/>
      </c>
      <c r="Y1470" s="57" t="str">
        <f>IF(AND(OR(A1470="BL",A1470="BR",A1470="BS"),AG1470&gt;0,D1470&lt;&gt;""),A1470&amp;"|"&amp;AG1470&amp;"|"&amp;D1470&amp;"|"&amp;F1470,"")</f>
        <v/>
      </c>
      <c r="Z1470" s="57" t="str">
        <f>IF(Y1470="","",IF(COUNTIF(Y$6:Y1469,Y1470)=0,1,0))</f>
        <v/>
      </c>
      <c r="AA1470" s="57" t="str">
        <f>IF(Y1470="","",IF(Z1470=1,COUNTIFS(A$6:A1470,A1470,Z$6:Z1470,1),INDEX(AA$6:AA1469,MATCH(Y1470,Y$6:Y1469,0))))</f>
        <v/>
      </c>
      <c r="AB1470" s="57" t="str">
        <f>IF(B1470="","",COUNTIF(B$6:B1470,B1470))</f>
        <v/>
      </c>
      <c r="AC1470" s="57" t="str">
        <f>IF(B1470="","",B1470&amp;"#"&amp;AB1470)</f>
        <v/>
      </c>
      <c r="AD1470" s="57" t="str">
        <f>IF(Z1470=1,A1470&amp;AA1470,"")</f>
        <v/>
      </c>
      <c r="AE1470" s="57" t="str">
        <f>IF(B1470="","",YEAR(C1470))</f>
        <v/>
      </c>
      <c r="AF1470" s="57" t="str">
        <f>IF(B1470="","",MONTH(C1470))</f>
        <v/>
      </c>
      <c r="AG1470" s="57">
        <f>IF(ISNUMBER(C1470),C1470,0)</f>
        <v>0.0</v>
      </c>
      <c r="AH1470" s="57" t="str">
        <f>IF(N(W1470)&gt;0,COUNTIF(W$6:W1470,"&gt;0"),"")</f>
        <v/>
      </c>
      <c r="AI1470" s="57" t="str">
        <f>IF(Z1470=1,COUNTIF(Z$6:Z1470,1),"")</f>
        <v/>
      </c>
    </row>
    <row r="1471">
      <c r="A1471" s="54" t="n"/>
      <c r="B1471" s="55" t="str">
        <f>IF(AA1471="","",A1471&amp;"-"&amp;RIGHT("000"&amp;AA1471,4))</f>
        <v/>
      </c>
      <c r="C1471" s="56" t="n"/>
      <c r="D1471" s="54" t="n"/>
      <c r="E1471" s="57" t="str">
        <f>IF(D1471="","",IF(A1471="BL",IFERROR(INDEX(cl_name,MATCH(D1471,cl_code,0))&amp;"","Client inconnu"),IF(A1471="BR",IFERROR(INDEX(fo_name,MATCH(D1471,fo_code,0))&amp;"","Fournisseur inconnu"),IF(A1471="BS",IF(ISNA(MATCH(D1471,p_services,0)),"Service inconnu",D1471&amp;""),""))))</f>
        <v/>
      </c>
      <c r="F1471" s="58" t="n"/>
      <c r="G1471" s="58" t="n"/>
      <c r="H1471" s="59" t="n"/>
      <c r="I1471" s="57" t="str">
        <f>IF(H1471="","",IFERROR(INDEX(art_des,MATCH(H1471,art_ref,0))&amp;"","Article inconnu"))</f>
        <v/>
      </c>
      <c r="J1471" s="60" t="str">
        <f>IF(H1471="","",IFERROR(INDEX(art_unit,MATCH(H1471,art_ref,0))&amp;"",""))</f>
        <v/>
      </c>
      <c r="K1471" s="59" t="n"/>
      <c r="L1471" s="59" t="n"/>
      <c r="M1471" s="61" t="str">
        <f>IF(OR(B1471="",NOT(ISNUMBER(K1471)),NOT(ISNUMBER(L1471))),"",IF(OR(K1471&lt;=0,L1471&lt;=0),"",ROUND(L1471-K1471,6)))</f>
        <v/>
      </c>
      <c r="N1471" s="58" t="n"/>
      <c r="O1471" s="62" t="n"/>
      <c r="P1471" s="63" t="str">
        <f>IF(OR(B1471="",NOT(ISNUMBER(L1471))),"",IF(L1471&lt;=0,"",IFERROR(ROUND(L1471*N(INDEX(art_w,MATCH(H1471,art_ref,0))),3),"")))</f>
        <v/>
      </c>
      <c r="Q1471" s="59" t="n"/>
      <c r="R1471" s="54" t="n"/>
      <c r="S1471" s="59" t="n"/>
      <c r="T1471" s="59" t="n"/>
      <c r="U1471" s="64" t="str">
        <f>IF(OR(B1471="",H1471=""),"",IFERROR(IF(A1471="BL",IF(N(INDEX(art_price,MATCH(H1471,art_ref,0)))=0,"",N(INDEX(art_price,MATCH(H1471,art_ref,0)))),IF(N(INDEX(art_cost,MATCH(H1471,art_ref,0)))=0,"",N(INDEX(art_cost,MATCH(H1471,art_ref,0))))),""))</f>
        <v/>
      </c>
      <c r="V1471" s="64" t="str">
        <f>IF(OR(U1471="",NOT(ISNUMBER(L1471))),"",IF(L1471&lt;=0,"",ROUND(L1471*U1471,2)))</f>
        <v/>
      </c>
      <c r="W1471" s="60" t="str">
        <f>IF(AND(B1471&lt;&gt;"",A1471&lt;&gt;"BS",F1471&lt;&gt;"",H1471&lt;&gt;"",ISNUMBER(K1471),ISNUMBER(L1471)),IF(AND(K1471&gt;0,L1471&gt;0,K1471-L1471&gt;0,COUNTIFS(A1472:A$2005,A1471,F1472:F$2005,F1471,H1472:H$2005,H1471,AA1472:AA$2005,"&gt;0")=0),ROUND(K1471-L1471,6),""),"")</f>
        <v/>
      </c>
      <c r="X1471" s="60" t="str">
        <f>IF(AND(A1471="",C1471="",D1471="",H1471="",L1471=""),"",IF(A1471="","Type manquant",IF(AND(A1471&lt;&gt;"BL",A1471&lt;&gt;"BR",A1471&lt;&gt;"BS"),"Type inconnu (BL, BR ou BS)",IF(AG1471=0,"Date manquante ou invalide",IF(D1471="",IF(A1471="BL","Client manquant",IF(A1471="BR","Fournisseur manquant","Service manquant")),IF(IF(A1471="BL",ISNA(MATCH(D1471,cl_code,0)),IF(A1471="BR",ISNA(MATCH(D1471,fo_code,0)),ISNA(MATCH(D1471,p_services,0)))),IF(A1471="BL","Client inconnu",IF(A1471="BR","Fournisseur inconnu","Service inconnu")),IF(H1471="","Article manquant",IF(ISNA(MATCH(H1471,art_ref,0)),"Article inconnu",IF(OR(NOT(ISNUMBER(L1471)),N(L1471)&lt;=0),"Quantité invalide",IF(AND(K1471&lt;&gt;"",OR(NOT(ISNUMBER(K1471)),N(K1471)&lt;=0)),"Qté commandée invalide",IF(AG1471&lt;SUMPRODUCT(MAX((A$6:A1470=A1471)*AG$6:AG1470)),"Date antérieure au bon précédent",IF(AND(A1471&lt;&gt;"BR",ISNUMBER(M1471),N(M1471)&gt;0),IF(A1471="BL","Livré plus que commandé","Sorti plus que demandé"),"OK"))))))))))))</f>
        <v/>
      </c>
      <c r="Y1471" s="57" t="str">
        <f>IF(AND(OR(A1471="BL",A1471="BR",A1471="BS"),AG1471&gt;0,D1471&lt;&gt;""),A1471&amp;"|"&amp;AG1471&amp;"|"&amp;D1471&amp;"|"&amp;F1471,"")</f>
        <v/>
      </c>
      <c r="Z1471" s="57" t="str">
        <f>IF(Y1471="","",IF(COUNTIF(Y$6:Y1470,Y1471)=0,1,0))</f>
        <v/>
      </c>
      <c r="AA1471" s="57" t="str">
        <f>IF(Y1471="","",IF(Z1471=1,COUNTIFS(A$6:A1471,A1471,Z$6:Z1471,1),INDEX(AA$6:AA1470,MATCH(Y1471,Y$6:Y1470,0))))</f>
        <v/>
      </c>
      <c r="AB1471" s="57" t="str">
        <f>IF(B1471="","",COUNTIF(B$6:B1471,B1471))</f>
        <v/>
      </c>
      <c r="AC1471" s="57" t="str">
        <f>IF(B1471="","",B1471&amp;"#"&amp;AB1471)</f>
        <v/>
      </c>
      <c r="AD1471" s="57" t="str">
        <f>IF(Z1471=1,A1471&amp;AA1471,"")</f>
        <v/>
      </c>
      <c r="AE1471" s="57" t="str">
        <f>IF(B1471="","",YEAR(C1471))</f>
        <v/>
      </c>
      <c r="AF1471" s="57" t="str">
        <f>IF(B1471="","",MONTH(C1471))</f>
        <v/>
      </c>
      <c r="AG1471" s="57">
        <f>IF(ISNUMBER(C1471),C1471,0)</f>
        <v>0.0</v>
      </c>
      <c r="AH1471" s="57" t="str">
        <f>IF(N(W1471)&gt;0,COUNTIF(W$6:W1471,"&gt;0"),"")</f>
        <v/>
      </c>
      <c r="AI1471" s="57" t="str">
        <f>IF(Z1471=1,COUNTIF(Z$6:Z1471,1),"")</f>
        <v/>
      </c>
    </row>
    <row r="1472">
      <c r="A1472" s="54" t="n"/>
      <c r="B1472" s="55" t="str">
        <f>IF(AA1472="","",A1472&amp;"-"&amp;RIGHT("000"&amp;AA1472,4))</f>
        <v/>
      </c>
      <c r="C1472" s="56" t="n"/>
      <c r="D1472" s="54" t="n"/>
      <c r="E1472" s="57" t="str">
        <f>IF(D1472="","",IF(A1472="BL",IFERROR(INDEX(cl_name,MATCH(D1472,cl_code,0))&amp;"","Client inconnu"),IF(A1472="BR",IFERROR(INDEX(fo_name,MATCH(D1472,fo_code,0))&amp;"","Fournisseur inconnu"),IF(A1472="BS",IF(ISNA(MATCH(D1472,p_services,0)),"Service inconnu",D1472&amp;""),""))))</f>
        <v/>
      </c>
      <c r="F1472" s="58" t="n"/>
      <c r="G1472" s="58" t="n"/>
      <c r="H1472" s="59" t="n"/>
      <c r="I1472" s="57" t="str">
        <f>IF(H1472="","",IFERROR(INDEX(art_des,MATCH(H1472,art_ref,0))&amp;"","Article inconnu"))</f>
        <v/>
      </c>
      <c r="J1472" s="60" t="str">
        <f>IF(H1472="","",IFERROR(INDEX(art_unit,MATCH(H1472,art_ref,0))&amp;"",""))</f>
        <v/>
      </c>
      <c r="K1472" s="59" t="n"/>
      <c r="L1472" s="59" t="n"/>
      <c r="M1472" s="61" t="str">
        <f>IF(OR(B1472="",NOT(ISNUMBER(K1472)),NOT(ISNUMBER(L1472))),"",IF(OR(K1472&lt;=0,L1472&lt;=0),"",ROUND(L1472-K1472,6)))</f>
        <v/>
      </c>
      <c r="N1472" s="58" t="n"/>
      <c r="O1472" s="62" t="n"/>
      <c r="P1472" s="63" t="str">
        <f>IF(OR(B1472="",NOT(ISNUMBER(L1472))),"",IF(L1472&lt;=0,"",IFERROR(ROUND(L1472*N(INDEX(art_w,MATCH(H1472,art_ref,0))),3),"")))</f>
        <v/>
      </c>
      <c r="Q1472" s="59" t="n"/>
      <c r="R1472" s="54" t="n"/>
      <c r="S1472" s="59" t="n"/>
      <c r="T1472" s="59" t="n"/>
      <c r="U1472" s="64" t="str">
        <f>IF(OR(B1472="",H1472=""),"",IFERROR(IF(A1472="BL",IF(N(INDEX(art_price,MATCH(H1472,art_ref,0)))=0,"",N(INDEX(art_price,MATCH(H1472,art_ref,0)))),IF(N(INDEX(art_cost,MATCH(H1472,art_ref,0)))=0,"",N(INDEX(art_cost,MATCH(H1472,art_ref,0))))),""))</f>
        <v/>
      </c>
      <c r="V1472" s="64" t="str">
        <f>IF(OR(U1472="",NOT(ISNUMBER(L1472))),"",IF(L1472&lt;=0,"",ROUND(L1472*U1472,2)))</f>
        <v/>
      </c>
      <c r="W1472" s="60" t="str">
        <f>IF(AND(B1472&lt;&gt;"",A1472&lt;&gt;"BS",F1472&lt;&gt;"",H1472&lt;&gt;"",ISNUMBER(K1472),ISNUMBER(L1472)),IF(AND(K1472&gt;0,L1472&gt;0,K1472-L1472&gt;0,COUNTIFS(A1473:A$2005,A1472,F1473:F$2005,F1472,H1473:H$2005,H1472,AA1473:AA$2005,"&gt;0")=0),ROUND(K1472-L1472,6),""),"")</f>
        <v/>
      </c>
      <c r="X1472" s="60" t="str">
        <f>IF(AND(A1472="",C1472="",D1472="",H1472="",L1472=""),"",IF(A1472="","Type manquant",IF(AND(A1472&lt;&gt;"BL",A1472&lt;&gt;"BR",A1472&lt;&gt;"BS"),"Type inconnu (BL, BR ou BS)",IF(AG1472=0,"Date manquante ou invalide",IF(D1472="",IF(A1472="BL","Client manquant",IF(A1472="BR","Fournisseur manquant","Service manquant")),IF(IF(A1472="BL",ISNA(MATCH(D1472,cl_code,0)),IF(A1472="BR",ISNA(MATCH(D1472,fo_code,0)),ISNA(MATCH(D1472,p_services,0)))),IF(A1472="BL","Client inconnu",IF(A1472="BR","Fournisseur inconnu","Service inconnu")),IF(H1472="","Article manquant",IF(ISNA(MATCH(H1472,art_ref,0)),"Article inconnu",IF(OR(NOT(ISNUMBER(L1472)),N(L1472)&lt;=0),"Quantité invalide",IF(AND(K1472&lt;&gt;"",OR(NOT(ISNUMBER(K1472)),N(K1472)&lt;=0)),"Qté commandée invalide",IF(AG1472&lt;SUMPRODUCT(MAX((A$6:A1471=A1472)*AG$6:AG1471)),"Date antérieure au bon précédent",IF(AND(A1472&lt;&gt;"BR",ISNUMBER(M1472),N(M1472)&gt;0),IF(A1472="BL","Livré plus que commandé","Sorti plus que demandé"),"OK"))))))))))))</f>
        <v/>
      </c>
      <c r="Y1472" s="57" t="str">
        <f>IF(AND(OR(A1472="BL",A1472="BR",A1472="BS"),AG1472&gt;0,D1472&lt;&gt;""),A1472&amp;"|"&amp;AG1472&amp;"|"&amp;D1472&amp;"|"&amp;F1472,"")</f>
        <v/>
      </c>
      <c r="Z1472" s="57" t="str">
        <f>IF(Y1472="","",IF(COUNTIF(Y$6:Y1471,Y1472)=0,1,0))</f>
        <v/>
      </c>
      <c r="AA1472" s="57" t="str">
        <f>IF(Y1472="","",IF(Z1472=1,COUNTIFS(A$6:A1472,A1472,Z$6:Z1472,1),INDEX(AA$6:AA1471,MATCH(Y1472,Y$6:Y1471,0))))</f>
        <v/>
      </c>
      <c r="AB1472" s="57" t="str">
        <f>IF(B1472="","",COUNTIF(B$6:B1472,B1472))</f>
        <v/>
      </c>
      <c r="AC1472" s="57" t="str">
        <f>IF(B1472="","",B1472&amp;"#"&amp;AB1472)</f>
        <v/>
      </c>
      <c r="AD1472" s="57" t="str">
        <f>IF(Z1472=1,A1472&amp;AA1472,"")</f>
        <v/>
      </c>
      <c r="AE1472" s="57" t="str">
        <f>IF(B1472="","",YEAR(C1472))</f>
        <v/>
      </c>
      <c r="AF1472" s="57" t="str">
        <f>IF(B1472="","",MONTH(C1472))</f>
        <v/>
      </c>
      <c r="AG1472" s="57">
        <f>IF(ISNUMBER(C1472),C1472,0)</f>
        <v>0.0</v>
      </c>
      <c r="AH1472" s="57" t="str">
        <f>IF(N(W1472)&gt;0,COUNTIF(W$6:W1472,"&gt;0"),"")</f>
        <v/>
      </c>
      <c r="AI1472" s="57" t="str">
        <f>IF(Z1472=1,COUNTIF(Z$6:Z1472,1),"")</f>
        <v/>
      </c>
    </row>
    <row r="1473">
      <c r="A1473" s="54" t="n"/>
      <c r="B1473" s="55" t="str">
        <f>IF(AA1473="","",A1473&amp;"-"&amp;RIGHT("000"&amp;AA1473,4))</f>
        <v/>
      </c>
      <c r="C1473" s="56" t="n"/>
      <c r="D1473" s="54" t="n"/>
      <c r="E1473" s="57" t="str">
        <f>IF(D1473="","",IF(A1473="BL",IFERROR(INDEX(cl_name,MATCH(D1473,cl_code,0))&amp;"","Client inconnu"),IF(A1473="BR",IFERROR(INDEX(fo_name,MATCH(D1473,fo_code,0))&amp;"","Fournisseur inconnu"),IF(A1473="BS",IF(ISNA(MATCH(D1473,p_services,0)),"Service inconnu",D1473&amp;""),""))))</f>
        <v/>
      </c>
      <c r="F1473" s="58" t="n"/>
      <c r="G1473" s="58" t="n"/>
      <c r="H1473" s="59" t="n"/>
      <c r="I1473" s="57" t="str">
        <f>IF(H1473="","",IFERROR(INDEX(art_des,MATCH(H1473,art_ref,0))&amp;"","Article inconnu"))</f>
        <v/>
      </c>
      <c r="J1473" s="60" t="str">
        <f>IF(H1473="","",IFERROR(INDEX(art_unit,MATCH(H1473,art_ref,0))&amp;"",""))</f>
        <v/>
      </c>
      <c r="K1473" s="59" t="n"/>
      <c r="L1473" s="59" t="n"/>
      <c r="M1473" s="61" t="str">
        <f>IF(OR(B1473="",NOT(ISNUMBER(K1473)),NOT(ISNUMBER(L1473))),"",IF(OR(K1473&lt;=0,L1473&lt;=0),"",ROUND(L1473-K1473,6)))</f>
        <v/>
      </c>
      <c r="N1473" s="58" t="n"/>
      <c r="O1473" s="62" t="n"/>
      <c r="P1473" s="63" t="str">
        <f>IF(OR(B1473="",NOT(ISNUMBER(L1473))),"",IF(L1473&lt;=0,"",IFERROR(ROUND(L1473*N(INDEX(art_w,MATCH(H1473,art_ref,0))),3),"")))</f>
        <v/>
      </c>
      <c r="Q1473" s="59" t="n"/>
      <c r="R1473" s="54" t="n"/>
      <c r="S1473" s="59" t="n"/>
      <c r="T1473" s="59" t="n"/>
      <c r="U1473" s="64" t="str">
        <f>IF(OR(B1473="",H1473=""),"",IFERROR(IF(A1473="BL",IF(N(INDEX(art_price,MATCH(H1473,art_ref,0)))=0,"",N(INDEX(art_price,MATCH(H1473,art_ref,0)))),IF(N(INDEX(art_cost,MATCH(H1473,art_ref,0)))=0,"",N(INDEX(art_cost,MATCH(H1473,art_ref,0))))),""))</f>
        <v/>
      </c>
      <c r="V1473" s="64" t="str">
        <f>IF(OR(U1473="",NOT(ISNUMBER(L1473))),"",IF(L1473&lt;=0,"",ROUND(L1473*U1473,2)))</f>
        <v/>
      </c>
      <c r="W1473" s="60" t="str">
        <f>IF(AND(B1473&lt;&gt;"",A1473&lt;&gt;"BS",F1473&lt;&gt;"",H1473&lt;&gt;"",ISNUMBER(K1473),ISNUMBER(L1473)),IF(AND(K1473&gt;0,L1473&gt;0,K1473-L1473&gt;0,COUNTIFS(A1474:A$2005,A1473,F1474:F$2005,F1473,H1474:H$2005,H1473,AA1474:AA$2005,"&gt;0")=0),ROUND(K1473-L1473,6),""),"")</f>
        <v/>
      </c>
      <c r="X1473" s="60" t="str">
        <f>IF(AND(A1473="",C1473="",D1473="",H1473="",L1473=""),"",IF(A1473="","Type manquant",IF(AND(A1473&lt;&gt;"BL",A1473&lt;&gt;"BR",A1473&lt;&gt;"BS"),"Type inconnu (BL, BR ou BS)",IF(AG1473=0,"Date manquante ou invalide",IF(D1473="",IF(A1473="BL","Client manquant",IF(A1473="BR","Fournisseur manquant","Service manquant")),IF(IF(A1473="BL",ISNA(MATCH(D1473,cl_code,0)),IF(A1473="BR",ISNA(MATCH(D1473,fo_code,0)),ISNA(MATCH(D1473,p_services,0)))),IF(A1473="BL","Client inconnu",IF(A1473="BR","Fournisseur inconnu","Service inconnu")),IF(H1473="","Article manquant",IF(ISNA(MATCH(H1473,art_ref,0)),"Article inconnu",IF(OR(NOT(ISNUMBER(L1473)),N(L1473)&lt;=0),"Quantité invalide",IF(AND(K1473&lt;&gt;"",OR(NOT(ISNUMBER(K1473)),N(K1473)&lt;=0)),"Qté commandée invalide",IF(AG1473&lt;SUMPRODUCT(MAX((A$6:A1472=A1473)*AG$6:AG1472)),"Date antérieure au bon précédent",IF(AND(A1473&lt;&gt;"BR",ISNUMBER(M1473),N(M1473)&gt;0),IF(A1473="BL","Livré plus que commandé","Sorti plus que demandé"),"OK"))))))))))))</f>
        <v/>
      </c>
      <c r="Y1473" s="57" t="str">
        <f>IF(AND(OR(A1473="BL",A1473="BR",A1473="BS"),AG1473&gt;0,D1473&lt;&gt;""),A1473&amp;"|"&amp;AG1473&amp;"|"&amp;D1473&amp;"|"&amp;F1473,"")</f>
        <v/>
      </c>
      <c r="Z1473" s="57" t="str">
        <f>IF(Y1473="","",IF(COUNTIF(Y$6:Y1472,Y1473)=0,1,0))</f>
        <v/>
      </c>
      <c r="AA1473" s="57" t="str">
        <f>IF(Y1473="","",IF(Z1473=1,COUNTIFS(A$6:A1473,A1473,Z$6:Z1473,1),INDEX(AA$6:AA1472,MATCH(Y1473,Y$6:Y1472,0))))</f>
        <v/>
      </c>
      <c r="AB1473" s="57" t="str">
        <f>IF(B1473="","",COUNTIF(B$6:B1473,B1473))</f>
        <v/>
      </c>
      <c r="AC1473" s="57" t="str">
        <f>IF(B1473="","",B1473&amp;"#"&amp;AB1473)</f>
        <v/>
      </c>
      <c r="AD1473" s="57" t="str">
        <f>IF(Z1473=1,A1473&amp;AA1473,"")</f>
        <v/>
      </c>
      <c r="AE1473" s="57" t="str">
        <f>IF(B1473="","",YEAR(C1473))</f>
        <v/>
      </c>
      <c r="AF1473" s="57" t="str">
        <f>IF(B1473="","",MONTH(C1473))</f>
        <v/>
      </c>
      <c r="AG1473" s="57">
        <f>IF(ISNUMBER(C1473),C1473,0)</f>
        <v>0.0</v>
      </c>
      <c r="AH1473" s="57" t="str">
        <f>IF(N(W1473)&gt;0,COUNTIF(W$6:W1473,"&gt;0"),"")</f>
        <v/>
      </c>
      <c r="AI1473" s="57" t="str">
        <f>IF(Z1473=1,COUNTIF(Z$6:Z1473,1),"")</f>
        <v/>
      </c>
    </row>
    <row r="1474">
      <c r="A1474" s="54" t="n"/>
      <c r="B1474" s="55" t="str">
        <f>IF(AA1474="","",A1474&amp;"-"&amp;RIGHT("000"&amp;AA1474,4))</f>
        <v/>
      </c>
      <c r="C1474" s="56" t="n"/>
      <c r="D1474" s="54" t="n"/>
      <c r="E1474" s="57" t="str">
        <f>IF(D1474="","",IF(A1474="BL",IFERROR(INDEX(cl_name,MATCH(D1474,cl_code,0))&amp;"","Client inconnu"),IF(A1474="BR",IFERROR(INDEX(fo_name,MATCH(D1474,fo_code,0))&amp;"","Fournisseur inconnu"),IF(A1474="BS",IF(ISNA(MATCH(D1474,p_services,0)),"Service inconnu",D1474&amp;""),""))))</f>
        <v/>
      </c>
      <c r="F1474" s="58" t="n"/>
      <c r="G1474" s="58" t="n"/>
      <c r="H1474" s="59" t="n"/>
      <c r="I1474" s="57" t="str">
        <f>IF(H1474="","",IFERROR(INDEX(art_des,MATCH(H1474,art_ref,0))&amp;"","Article inconnu"))</f>
        <v/>
      </c>
      <c r="J1474" s="60" t="str">
        <f>IF(H1474="","",IFERROR(INDEX(art_unit,MATCH(H1474,art_ref,0))&amp;"",""))</f>
        <v/>
      </c>
      <c r="K1474" s="59" t="n"/>
      <c r="L1474" s="59" t="n"/>
      <c r="M1474" s="61" t="str">
        <f>IF(OR(B1474="",NOT(ISNUMBER(K1474)),NOT(ISNUMBER(L1474))),"",IF(OR(K1474&lt;=0,L1474&lt;=0),"",ROUND(L1474-K1474,6)))</f>
        <v/>
      </c>
      <c r="N1474" s="58" t="n"/>
      <c r="O1474" s="62" t="n"/>
      <c r="P1474" s="63" t="str">
        <f>IF(OR(B1474="",NOT(ISNUMBER(L1474))),"",IF(L1474&lt;=0,"",IFERROR(ROUND(L1474*N(INDEX(art_w,MATCH(H1474,art_ref,0))),3),"")))</f>
        <v/>
      </c>
      <c r="Q1474" s="59" t="n"/>
      <c r="R1474" s="54" t="n"/>
      <c r="S1474" s="59" t="n"/>
      <c r="T1474" s="59" t="n"/>
      <c r="U1474" s="64" t="str">
        <f>IF(OR(B1474="",H1474=""),"",IFERROR(IF(A1474="BL",IF(N(INDEX(art_price,MATCH(H1474,art_ref,0)))=0,"",N(INDEX(art_price,MATCH(H1474,art_ref,0)))),IF(N(INDEX(art_cost,MATCH(H1474,art_ref,0)))=0,"",N(INDEX(art_cost,MATCH(H1474,art_ref,0))))),""))</f>
        <v/>
      </c>
      <c r="V1474" s="64" t="str">
        <f>IF(OR(U1474="",NOT(ISNUMBER(L1474))),"",IF(L1474&lt;=0,"",ROUND(L1474*U1474,2)))</f>
        <v/>
      </c>
      <c r="W1474" s="60" t="str">
        <f>IF(AND(B1474&lt;&gt;"",A1474&lt;&gt;"BS",F1474&lt;&gt;"",H1474&lt;&gt;"",ISNUMBER(K1474),ISNUMBER(L1474)),IF(AND(K1474&gt;0,L1474&gt;0,K1474-L1474&gt;0,COUNTIFS(A1475:A$2005,A1474,F1475:F$2005,F1474,H1475:H$2005,H1474,AA1475:AA$2005,"&gt;0")=0),ROUND(K1474-L1474,6),""),"")</f>
        <v/>
      </c>
      <c r="X1474" s="60" t="str">
        <f>IF(AND(A1474="",C1474="",D1474="",H1474="",L1474=""),"",IF(A1474="","Type manquant",IF(AND(A1474&lt;&gt;"BL",A1474&lt;&gt;"BR",A1474&lt;&gt;"BS"),"Type inconnu (BL, BR ou BS)",IF(AG1474=0,"Date manquante ou invalide",IF(D1474="",IF(A1474="BL","Client manquant",IF(A1474="BR","Fournisseur manquant","Service manquant")),IF(IF(A1474="BL",ISNA(MATCH(D1474,cl_code,0)),IF(A1474="BR",ISNA(MATCH(D1474,fo_code,0)),ISNA(MATCH(D1474,p_services,0)))),IF(A1474="BL","Client inconnu",IF(A1474="BR","Fournisseur inconnu","Service inconnu")),IF(H1474="","Article manquant",IF(ISNA(MATCH(H1474,art_ref,0)),"Article inconnu",IF(OR(NOT(ISNUMBER(L1474)),N(L1474)&lt;=0),"Quantité invalide",IF(AND(K1474&lt;&gt;"",OR(NOT(ISNUMBER(K1474)),N(K1474)&lt;=0)),"Qté commandée invalide",IF(AG1474&lt;SUMPRODUCT(MAX((A$6:A1473=A1474)*AG$6:AG1473)),"Date antérieure au bon précédent",IF(AND(A1474&lt;&gt;"BR",ISNUMBER(M1474),N(M1474)&gt;0),IF(A1474="BL","Livré plus que commandé","Sorti plus que demandé"),"OK"))))))))))))</f>
        <v/>
      </c>
      <c r="Y1474" s="57" t="str">
        <f>IF(AND(OR(A1474="BL",A1474="BR",A1474="BS"),AG1474&gt;0,D1474&lt;&gt;""),A1474&amp;"|"&amp;AG1474&amp;"|"&amp;D1474&amp;"|"&amp;F1474,"")</f>
        <v/>
      </c>
      <c r="Z1474" s="57" t="str">
        <f>IF(Y1474="","",IF(COUNTIF(Y$6:Y1473,Y1474)=0,1,0))</f>
        <v/>
      </c>
      <c r="AA1474" s="57" t="str">
        <f>IF(Y1474="","",IF(Z1474=1,COUNTIFS(A$6:A1474,A1474,Z$6:Z1474,1),INDEX(AA$6:AA1473,MATCH(Y1474,Y$6:Y1473,0))))</f>
        <v/>
      </c>
      <c r="AB1474" s="57" t="str">
        <f>IF(B1474="","",COUNTIF(B$6:B1474,B1474))</f>
        <v/>
      </c>
      <c r="AC1474" s="57" t="str">
        <f>IF(B1474="","",B1474&amp;"#"&amp;AB1474)</f>
        <v/>
      </c>
      <c r="AD1474" s="57" t="str">
        <f>IF(Z1474=1,A1474&amp;AA1474,"")</f>
        <v/>
      </c>
      <c r="AE1474" s="57" t="str">
        <f>IF(B1474="","",YEAR(C1474))</f>
        <v/>
      </c>
      <c r="AF1474" s="57" t="str">
        <f>IF(B1474="","",MONTH(C1474))</f>
        <v/>
      </c>
      <c r="AG1474" s="57">
        <f>IF(ISNUMBER(C1474),C1474,0)</f>
        <v>0.0</v>
      </c>
      <c r="AH1474" s="57" t="str">
        <f>IF(N(W1474)&gt;0,COUNTIF(W$6:W1474,"&gt;0"),"")</f>
        <v/>
      </c>
      <c r="AI1474" s="57" t="str">
        <f>IF(Z1474=1,COUNTIF(Z$6:Z1474,1),"")</f>
        <v/>
      </c>
    </row>
    <row r="1475">
      <c r="A1475" s="54" t="n"/>
      <c r="B1475" s="55" t="str">
        <f>IF(AA1475="","",A1475&amp;"-"&amp;RIGHT("000"&amp;AA1475,4))</f>
        <v/>
      </c>
      <c r="C1475" s="56" t="n"/>
      <c r="D1475" s="54" t="n"/>
      <c r="E1475" s="57" t="str">
        <f>IF(D1475="","",IF(A1475="BL",IFERROR(INDEX(cl_name,MATCH(D1475,cl_code,0))&amp;"","Client inconnu"),IF(A1475="BR",IFERROR(INDEX(fo_name,MATCH(D1475,fo_code,0))&amp;"","Fournisseur inconnu"),IF(A1475="BS",IF(ISNA(MATCH(D1475,p_services,0)),"Service inconnu",D1475&amp;""),""))))</f>
        <v/>
      </c>
      <c r="F1475" s="58" t="n"/>
      <c r="G1475" s="58" t="n"/>
      <c r="H1475" s="59" t="n"/>
      <c r="I1475" s="57" t="str">
        <f>IF(H1475="","",IFERROR(INDEX(art_des,MATCH(H1475,art_ref,0))&amp;"","Article inconnu"))</f>
        <v/>
      </c>
      <c r="J1475" s="60" t="str">
        <f>IF(H1475="","",IFERROR(INDEX(art_unit,MATCH(H1475,art_ref,0))&amp;"",""))</f>
        <v/>
      </c>
      <c r="K1475" s="59" t="n"/>
      <c r="L1475" s="59" t="n"/>
      <c r="M1475" s="61" t="str">
        <f>IF(OR(B1475="",NOT(ISNUMBER(K1475)),NOT(ISNUMBER(L1475))),"",IF(OR(K1475&lt;=0,L1475&lt;=0),"",ROUND(L1475-K1475,6)))</f>
        <v/>
      </c>
      <c r="N1475" s="58" t="n"/>
      <c r="O1475" s="62" t="n"/>
      <c r="P1475" s="63" t="str">
        <f>IF(OR(B1475="",NOT(ISNUMBER(L1475))),"",IF(L1475&lt;=0,"",IFERROR(ROUND(L1475*N(INDEX(art_w,MATCH(H1475,art_ref,0))),3),"")))</f>
        <v/>
      </c>
      <c r="Q1475" s="59" t="n"/>
      <c r="R1475" s="54" t="n"/>
      <c r="S1475" s="59" t="n"/>
      <c r="T1475" s="59" t="n"/>
      <c r="U1475" s="64" t="str">
        <f>IF(OR(B1475="",H1475=""),"",IFERROR(IF(A1475="BL",IF(N(INDEX(art_price,MATCH(H1475,art_ref,0)))=0,"",N(INDEX(art_price,MATCH(H1475,art_ref,0)))),IF(N(INDEX(art_cost,MATCH(H1475,art_ref,0)))=0,"",N(INDEX(art_cost,MATCH(H1475,art_ref,0))))),""))</f>
        <v/>
      </c>
      <c r="V1475" s="64" t="str">
        <f>IF(OR(U1475="",NOT(ISNUMBER(L1475))),"",IF(L1475&lt;=0,"",ROUND(L1475*U1475,2)))</f>
        <v/>
      </c>
      <c r="W1475" s="60" t="str">
        <f>IF(AND(B1475&lt;&gt;"",A1475&lt;&gt;"BS",F1475&lt;&gt;"",H1475&lt;&gt;"",ISNUMBER(K1475),ISNUMBER(L1475)),IF(AND(K1475&gt;0,L1475&gt;0,K1475-L1475&gt;0,COUNTIFS(A1476:A$2005,A1475,F1476:F$2005,F1475,H1476:H$2005,H1475,AA1476:AA$2005,"&gt;0")=0),ROUND(K1475-L1475,6),""),"")</f>
        <v/>
      </c>
      <c r="X1475" s="60" t="str">
        <f>IF(AND(A1475="",C1475="",D1475="",H1475="",L1475=""),"",IF(A1475="","Type manquant",IF(AND(A1475&lt;&gt;"BL",A1475&lt;&gt;"BR",A1475&lt;&gt;"BS"),"Type inconnu (BL, BR ou BS)",IF(AG1475=0,"Date manquante ou invalide",IF(D1475="",IF(A1475="BL","Client manquant",IF(A1475="BR","Fournisseur manquant","Service manquant")),IF(IF(A1475="BL",ISNA(MATCH(D1475,cl_code,0)),IF(A1475="BR",ISNA(MATCH(D1475,fo_code,0)),ISNA(MATCH(D1475,p_services,0)))),IF(A1475="BL","Client inconnu",IF(A1475="BR","Fournisseur inconnu","Service inconnu")),IF(H1475="","Article manquant",IF(ISNA(MATCH(H1475,art_ref,0)),"Article inconnu",IF(OR(NOT(ISNUMBER(L1475)),N(L1475)&lt;=0),"Quantité invalide",IF(AND(K1475&lt;&gt;"",OR(NOT(ISNUMBER(K1475)),N(K1475)&lt;=0)),"Qté commandée invalide",IF(AG1475&lt;SUMPRODUCT(MAX((A$6:A1474=A1475)*AG$6:AG1474)),"Date antérieure au bon précédent",IF(AND(A1475&lt;&gt;"BR",ISNUMBER(M1475),N(M1475)&gt;0),IF(A1475="BL","Livré plus que commandé","Sorti plus que demandé"),"OK"))))))))))))</f>
        <v/>
      </c>
      <c r="Y1475" s="57" t="str">
        <f>IF(AND(OR(A1475="BL",A1475="BR",A1475="BS"),AG1475&gt;0,D1475&lt;&gt;""),A1475&amp;"|"&amp;AG1475&amp;"|"&amp;D1475&amp;"|"&amp;F1475,"")</f>
        <v/>
      </c>
      <c r="Z1475" s="57" t="str">
        <f>IF(Y1475="","",IF(COUNTIF(Y$6:Y1474,Y1475)=0,1,0))</f>
        <v/>
      </c>
      <c r="AA1475" s="57" t="str">
        <f>IF(Y1475="","",IF(Z1475=1,COUNTIFS(A$6:A1475,A1475,Z$6:Z1475,1),INDEX(AA$6:AA1474,MATCH(Y1475,Y$6:Y1474,0))))</f>
        <v/>
      </c>
      <c r="AB1475" s="57" t="str">
        <f>IF(B1475="","",COUNTIF(B$6:B1475,B1475))</f>
        <v/>
      </c>
      <c r="AC1475" s="57" t="str">
        <f>IF(B1475="","",B1475&amp;"#"&amp;AB1475)</f>
        <v/>
      </c>
      <c r="AD1475" s="57" t="str">
        <f>IF(Z1475=1,A1475&amp;AA1475,"")</f>
        <v/>
      </c>
      <c r="AE1475" s="57" t="str">
        <f>IF(B1475="","",YEAR(C1475))</f>
        <v/>
      </c>
      <c r="AF1475" s="57" t="str">
        <f>IF(B1475="","",MONTH(C1475))</f>
        <v/>
      </c>
      <c r="AG1475" s="57">
        <f>IF(ISNUMBER(C1475),C1475,0)</f>
        <v>0.0</v>
      </c>
      <c r="AH1475" s="57" t="str">
        <f>IF(N(W1475)&gt;0,COUNTIF(W$6:W1475,"&gt;0"),"")</f>
        <v/>
      </c>
      <c r="AI1475" s="57" t="str">
        <f>IF(Z1475=1,COUNTIF(Z$6:Z1475,1),"")</f>
        <v/>
      </c>
    </row>
    <row r="1476">
      <c r="A1476" s="54" t="n"/>
      <c r="B1476" s="55" t="str">
        <f>IF(AA1476="","",A1476&amp;"-"&amp;RIGHT("000"&amp;AA1476,4))</f>
        <v/>
      </c>
      <c r="C1476" s="56" t="n"/>
      <c r="D1476" s="54" t="n"/>
      <c r="E1476" s="57" t="str">
        <f>IF(D1476="","",IF(A1476="BL",IFERROR(INDEX(cl_name,MATCH(D1476,cl_code,0))&amp;"","Client inconnu"),IF(A1476="BR",IFERROR(INDEX(fo_name,MATCH(D1476,fo_code,0))&amp;"","Fournisseur inconnu"),IF(A1476="BS",IF(ISNA(MATCH(D1476,p_services,0)),"Service inconnu",D1476&amp;""),""))))</f>
        <v/>
      </c>
      <c r="F1476" s="58" t="n"/>
      <c r="G1476" s="58" t="n"/>
      <c r="H1476" s="59" t="n"/>
      <c r="I1476" s="57" t="str">
        <f>IF(H1476="","",IFERROR(INDEX(art_des,MATCH(H1476,art_ref,0))&amp;"","Article inconnu"))</f>
        <v/>
      </c>
      <c r="J1476" s="60" t="str">
        <f>IF(H1476="","",IFERROR(INDEX(art_unit,MATCH(H1476,art_ref,0))&amp;"",""))</f>
        <v/>
      </c>
      <c r="K1476" s="59" t="n"/>
      <c r="L1476" s="59" t="n"/>
      <c r="M1476" s="61" t="str">
        <f>IF(OR(B1476="",NOT(ISNUMBER(K1476)),NOT(ISNUMBER(L1476))),"",IF(OR(K1476&lt;=0,L1476&lt;=0),"",ROUND(L1476-K1476,6)))</f>
        <v/>
      </c>
      <c r="N1476" s="58" t="n"/>
      <c r="O1476" s="62" t="n"/>
      <c r="P1476" s="63" t="str">
        <f>IF(OR(B1476="",NOT(ISNUMBER(L1476))),"",IF(L1476&lt;=0,"",IFERROR(ROUND(L1476*N(INDEX(art_w,MATCH(H1476,art_ref,0))),3),"")))</f>
        <v/>
      </c>
      <c r="Q1476" s="59" t="n"/>
      <c r="R1476" s="54" t="n"/>
      <c r="S1476" s="59" t="n"/>
      <c r="T1476" s="59" t="n"/>
      <c r="U1476" s="64" t="str">
        <f>IF(OR(B1476="",H1476=""),"",IFERROR(IF(A1476="BL",IF(N(INDEX(art_price,MATCH(H1476,art_ref,0)))=0,"",N(INDEX(art_price,MATCH(H1476,art_ref,0)))),IF(N(INDEX(art_cost,MATCH(H1476,art_ref,0)))=0,"",N(INDEX(art_cost,MATCH(H1476,art_ref,0))))),""))</f>
        <v/>
      </c>
      <c r="V1476" s="64" t="str">
        <f>IF(OR(U1476="",NOT(ISNUMBER(L1476))),"",IF(L1476&lt;=0,"",ROUND(L1476*U1476,2)))</f>
        <v/>
      </c>
      <c r="W1476" s="60" t="str">
        <f>IF(AND(B1476&lt;&gt;"",A1476&lt;&gt;"BS",F1476&lt;&gt;"",H1476&lt;&gt;"",ISNUMBER(K1476),ISNUMBER(L1476)),IF(AND(K1476&gt;0,L1476&gt;0,K1476-L1476&gt;0,COUNTIFS(A1477:A$2005,A1476,F1477:F$2005,F1476,H1477:H$2005,H1476,AA1477:AA$2005,"&gt;0")=0),ROUND(K1476-L1476,6),""),"")</f>
        <v/>
      </c>
      <c r="X1476" s="60" t="str">
        <f>IF(AND(A1476="",C1476="",D1476="",H1476="",L1476=""),"",IF(A1476="","Type manquant",IF(AND(A1476&lt;&gt;"BL",A1476&lt;&gt;"BR",A1476&lt;&gt;"BS"),"Type inconnu (BL, BR ou BS)",IF(AG1476=0,"Date manquante ou invalide",IF(D1476="",IF(A1476="BL","Client manquant",IF(A1476="BR","Fournisseur manquant","Service manquant")),IF(IF(A1476="BL",ISNA(MATCH(D1476,cl_code,0)),IF(A1476="BR",ISNA(MATCH(D1476,fo_code,0)),ISNA(MATCH(D1476,p_services,0)))),IF(A1476="BL","Client inconnu",IF(A1476="BR","Fournisseur inconnu","Service inconnu")),IF(H1476="","Article manquant",IF(ISNA(MATCH(H1476,art_ref,0)),"Article inconnu",IF(OR(NOT(ISNUMBER(L1476)),N(L1476)&lt;=0),"Quantité invalide",IF(AND(K1476&lt;&gt;"",OR(NOT(ISNUMBER(K1476)),N(K1476)&lt;=0)),"Qté commandée invalide",IF(AG1476&lt;SUMPRODUCT(MAX((A$6:A1475=A1476)*AG$6:AG1475)),"Date antérieure au bon précédent",IF(AND(A1476&lt;&gt;"BR",ISNUMBER(M1476),N(M1476)&gt;0),IF(A1476="BL","Livré plus que commandé","Sorti plus que demandé"),"OK"))))))))))))</f>
        <v/>
      </c>
      <c r="Y1476" s="57" t="str">
        <f>IF(AND(OR(A1476="BL",A1476="BR",A1476="BS"),AG1476&gt;0,D1476&lt;&gt;""),A1476&amp;"|"&amp;AG1476&amp;"|"&amp;D1476&amp;"|"&amp;F1476,"")</f>
        <v/>
      </c>
      <c r="Z1476" s="57" t="str">
        <f>IF(Y1476="","",IF(COUNTIF(Y$6:Y1475,Y1476)=0,1,0))</f>
        <v/>
      </c>
      <c r="AA1476" s="57" t="str">
        <f>IF(Y1476="","",IF(Z1476=1,COUNTIFS(A$6:A1476,A1476,Z$6:Z1476,1),INDEX(AA$6:AA1475,MATCH(Y1476,Y$6:Y1475,0))))</f>
        <v/>
      </c>
      <c r="AB1476" s="57" t="str">
        <f>IF(B1476="","",COUNTIF(B$6:B1476,B1476))</f>
        <v/>
      </c>
      <c r="AC1476" s="57" t="str">
        <f>IF(B1476="","",B1476&amp;"#"&amp;AB1476)</f>
        <v/>
      </c>
      <c r="AD1476" s="57" t="str">
        <f>IF(Z1476=1,A1476&amp;AA1476,"")</f>
        <v/>
      </c>
      <c r="AE1476" s="57" t="str">
        <f>IF(B1476="","",YEAR(C1476))</f>
        <v/>
      </c>
      <c r="AF1476" s="57" t="str">
        <f>IF(B1476="","",MONTH(C1476))</f>
        <v/>
      </c>
      <c r="AG1476" s="57">
        <f>IF(ISNUMBER(C1476),C1476,0)</f>
        <v>0.0</v>
      </c>
      <c r="AH1476" s="57" t="str">
        <f>IF(N(W1476)&gt;0,COUNTIF(W$6:W1476,"&gt;0"),"")</f>
        <v/>
      </c>
      <c r="AI1476" s="57" t="str">
        <f>IF(Z1476=1,COUNTIF(Z$6:Z1476,1),"")</f>
        <v/>
      </c>
    </row>
    <row r="1477">
      <c r="A1477" s="54" t="n"/>
      <c r="B1477" s="55" t="str">
        <f>IF(AA1477="","",A1477&amp;"-"&amp;RIGHT("000"&amp;AA1477,4))</f>
        <v/>
      </c>
      <c r="C1477" s="56" t="n"/>
      <c r="D1477" s="54" t="n"/>
      <c r="E1477" s="57" t="str">
        <f>IF(D1477="","",IF(A1477="BL",IFERROR(INDEX(cl_name,MATCH(D1477,cl_code,0))&amp;"","Client inconnu"),IF(A1477="BR",IFERROR(INDEX(fo_name,MATCH(D1477,fo_code,0))&amp;"","Fournisseur inconnu"),IF(A1477="BS",IF(ISNA(MATCH(D1477,p_services,0)),"Service inconnu",D1477&amp;""),""))))</f>
        <v/>
      </c>
      <c r="F1477" s="58" t="n"/>
      <c r="G1477" s="58" t="n"/>
      <c r="H1477" s="59" t="n"/>
      <c r="I1477" s="57" t="str">
        <f>IF(H1477="","",IFERROR(INDEX(art_des,MATCH(H1477,art_ref,0))&amp;"","Article inconnu"))</f>
        <v/>
      </c>
      <c r="J1477" s="60" t="str">
        <f>IF(H1477="","",IFERROR(INDEX(art_unit,MATCH(H1477,art_ref,0))&amp;"",""))</f>
        <v/>
      </c>
      <c r="K1477" s="59" t="n"/>
      <c r="L1477" s="59" t="n"/>
      <c r="M1477" s="61" t="str">
        <f>IF(OR(B1477="",NOT(ISNUMBER(K1477)),NOT(ISNUMBER(L1477))),"",IF(OR(K1477&lt;=0,L1477&lt;=0),"",ROUND(L1477-K1477,6)))</f>
        <v/>
      </c>
      <c r="N1477" s="58" t="n"/>
      <c r="O1477" s="62" t="n"/>
      <c r="P1477" s="63" t="str">
        <f>IF(OR(B1477="",NOT(ISNUMBER(L1477))),"",IF(L1477&lt;=0,"",IFERROR(ROUND(L1477*N(INDEX(art_w,MATCH(H1477,art_ref,0))),3),"")))</f>
        <v/>
      </c>
      <c r="Q1477" s="59" t="n"/>
      <c r="R1477" s="54" t="n"/>
      <c r="S1477" s="59" t="n"/>
      <c r="T1477" s="59" t="n"/>
      <c r="U1477" s="64" t="str">
        <f>IF(OR(B1477="",H1477=""),"",IFERROR(IF(A1477="BL",IF(N(INDEX(art_price,MATCH(H1477,art_ref,0)))=0,"",N(INDEX(art_price,MATCH(H1477,art_ref,0)))),IF(N(INDEX(art_cost,MATCH(H1477,art_ref,0)))=0,"",N(INDEX(art_cost,MATCH(H1477,art_ref,0))))),""))</f>
        <v/>
      </c>
      <c r="V1477" s="64" t="str">
        <f>IF(OR(U1477="",NOT(ISNUMBER(L1477))),"",IF(L1477&lt;=0,"",ROUND(L1477*U1477,2)))</f>
        <v/>
      </c>
      <c r="W1477" s="60" t="str">
        <f>IF(AND(B1477&lt;&gt;"",A1477&lt;&gt;"BS",F1477&lt;&gt;"",H1477&lt;&gt;"",ISNUMBER(K1477),ISNUMBER(L1477)),IF(AND(K1477&gt;0,L1477&gt;0,K1477-L1477&gt;0,COUNTIFS(A1478:A$2005,A1477,F1478:F$2005,F1477,H1478:H$2005,H1477,AA1478:AA$2005,"&gt;0")=0),ROUND(K1477-L1477,6),""),"")</f>
        <v/>
      </c>
      <c r="X1477" s="60" t="str">
        <f>IF(AND(A1477="",C1477="",D1477="",H1477="",L1477=""),"",IF(A1477="","Type manquant",IF(AND(A1477&lt;&gt;"BL",A1477&lt;&gt;"BR",A1477&lt;&gt;"BS"),"Type inconnu (BL, BR ou BS)",IF(AG1477=0,"Date manquante ou invalide",IF(D1477="",IF(A1477="BL","Client manquant",IF(A1477="BR","Fournisseur manquant","Service manquant")),IF(IF(A1477="BL",ISNA(MATCH(D1477,cl_code,0)),IF(A1477="BR",ISNA(MATCH(D1477,fo_code,0)),ISNA(MATCH(D1477,p_services,0)))),IF(A1477="BL","Client inconnu",IF(A1477="BR","Fournisseur inconnu","Service inconnu")),IF(H1477="","Article manquant",IF(ISNA(MATCH(H1477,art_ref,0)),"Article inconnu",IF(OR(NOT(ISNUMBER(L1477)),N(L1477)&lt;=0),"Quantité invalide",IF(AND(K1477&lt;&gt;"",OR(NOT(ISNUMBER(K1477)),N(K1477)&lt;=0)),"Qté commandée invalide",IF(AG1477&lt;SUMPRODUCT(MAX((A$6:A1476=A1477)*AG$6:AG1476)),"Date antérieure au bon précédent",IF(AND(A1477&lt;&gt;"BR",ISNUMBER(M1477),N(M1477)&gt;0),IF(A1477="BL","Livré plus que commandé","Sorti plus que demandé"),"OK"))))))))))))</f>
        <v/>
      </c>
      <c r="Y1477" s="57" t="str">
        <f>IF(AND(OR(A1477="BL",A1477="BR",A1477="BS"),AG1477&gt;0,D1477&lt;&gt;""),A1477&amp;"|"&amp;AG1477&amp;"|"&amp;D1477&amp;"|"&amp;F1477,"")</f>
        <v/>
      </c>
      <c r="Z1477" s="57" t="str">
        <f>IF(Y1477="","",IF(COUNTIF(Y$6:Y1476,Y1477)=0,1,0))</f>
        <v/>
      </c>
      <c r="AA1477" s="57" t="str">
        <f>IF(Y1477="","",IF(Z1477=1,COUNTIFS(A$6:A1477,A1477,Z$6:Z1477,1),INDEX(AA$6:AA1476,MATCH(Y1477,Y$6:Y1476,0))))</f>
        <v/>
      </c>
      <c r="AB1477" s="57" t="str">
        <f>IF(B1477="","",COUNTIF(B$6:B1477,B1477))</f>
        <v/>
      </c>
      <c r="AC1477" s="57" t="str">
        <f>IF(B1477="","",B1477&amp;"#"&amp;AB1477)</f>
        <v/>
      </c>
      <c r="AD1477" s="57" t="str">
        <f>IF(Z1477=1,A1477&amp;AA1477,"")</f>
        <v/>
      </c>
      <c r="AE1477" s="57" t="str">
        <f>IF(B1477="","",YEAR(C1477))</f>
        <v/>
      </c>
      <c r="AF1477" s="57" t="str">
        <f>IF(B1477="","",MONTH(C1477))</f>
        <v/>
      </c>
      <c r="AG1477" s="57">
        <f>IF(ISNUMBER(C1477),C1477,0)</f>
        <v>0.0</v>
      </c>
      <c r="AH1477" s="57" t="str">
        <f>IF(N(W1477)&gt;0,COUNTIF(W$6:W1477,"&gt;0"),"")</f>
        <v/>
      </c>
      <c r="AI1477" s="57" t="str">
        <f>IF(Z1477=1,COUNTIF(Z$6:Z1477,1),"")</f>
        <v/>
      </c>
    </row>
    <row r="1478">
      <c r="A1478" s="54" t="n"/>
      <c r="B1478" s="55" t="str">
        <f>IF(AA1478="","",A1478&amp;"-"&amp;RIGHT("000"&amp;AA1478,4))</f>
        <v/>
      </c>
      <c r="C1478" s="56" t="n"/>
      <c r="D1478" s="54" t="n"/>
      <c r="E1478" s="57" t="str">
        <f>IF(D1478="","",IF(A1478="BL",IFERROR(INDEX(cl_name,MATCH(D1478,cl_code,0))&amp;"","Client inconnu"),IF(A1478="BR",IFERROR(INDEX(fo_name,MATCH(D1478,fo_code,0))&amp;"","Fournisseur inconnu"),IF(A1478="BS",IF(ISNA(MATCH(D1478,p_services,0)),"Service inconnu",D1478&amp;""),""))))</f>
        <v/>
      </c>
      <c r="F1478" s="58" t="n"/>
      <c r="G1478" s="58" t="n"/>
      <c r="H1478" s="59" t="n"/>
      <c r="I1478" s="57" t="str">
        <f>IF(H1478="","",IFERROR(INDEX(art_des,MATCH(H1478,art_ref,0))&amp;"","Article inconnu"))</f>
        <v/>
      </c>
      <c r="J1478" s="60" t="str">
        <f>IF(H1478="","",IFERROR(INDEX(art_unit,MATCH(H1478,art_ref,0))&amp;"",""))</f>
        <v/>
      </c>
      <c r="K1478" s="59" t="n"/>
      <c r="L1478" s="59" t="n"/>
      <c r="M1478" s="61" t="str">
        <f>IF(OR(B1478="",NOT(ISNUMBER(K1478)),NOT(ISNUMBER(L1478))),"",IF(OR(K1478&lt;=0,L1478&lt;=0),"",ROUND(L1478-K1478,6)))</f>
        <v/>
      </c>
      <c r="N1478" s="58" t="n"/>
      <c r="O1478" s="62" t="n"/>
      <c r="P1478" s="63" t="str">
        <f>IF(OR(B1478="",NOT(ISNUMBER(L1478))),"",IF(L1478&lt;=0,"",IFERROR(ROUND(L1478*N(INDEX(art_w,MATCH(H1478,art_ref,0))),3),"")))</f>
        <v/>
      </c>
      <c r="Q1478" s="59" t="n"/>
      <c r="R1478" s="54" t="n"/>
      <c r="S1478" s="59" t="n"/>
      <c r="T1478" s="59" t="n"/>
      <c r="U1478" s="64" t="str">
        <f>IF(OR(B1478="",H1478=""),"",IFERROR(IF(A1478="BL",IF(N(INDEX(art_price,MATCH(H1478,art_ref,0)))=0,"",N(INDEX(art_price,MATCH(H1478,art_ref,0)))),IF(N(INDEX(art_cost,MATCH(H1478,art_ref,0)))=0,"",N(INDEX(art_cost,MATCH(H1478,art_ref,0))))),""))</f>
        <v/>
      </c>
      <c r="V1478" s="64" t="str">
        <f>IF(OR(U1478="",NOT(ISNUMBER(L1478))),"",IF(L1478&lt;=0,"",ROUND(L1478*U1478,2)))</f>
        <v/>
      </c>
      <c r="W1478" s="60" t="str">
        <f>IF(AND(B1478&lt;&gt;"",A1478&lt;&gt;"BS",F1478&lt;&gt;"",H1478&lt;&gt;"",ISNUMBER(K1478),ISNUMBER(L1478)),IF(AND(K1478&gt;0,L1478&gt;0,K1478-L1478&gt;0,COUNTIFS(A1479:A$2005,A1478,F1479:F$2005,F1478,H1479:H$2005,H1478,AA1479:AA$2005,"&gt;0")=0),ROUND(K1478-L1478,6),""),"")</f>
        <v/>
      </c>
      <c r="X1478" s="60" t="str">
        <f>IF(AND(A1478="",C1478="",D1478="",H1478="",L1478=""),"",IF(A1478="","Type manquant",IF(AND(A1478&lt;&gt;"BL",A1478&lt;&gt;"BR",A1478&lt;&gt;"BS"),"Type inconnu (BL, BR ou BS)",IF(AG1478=0,"Date manquante ou invalide",IF(D1478="",IF(A1478="BL","Client manquant",IF(A1478="BR","Fournisseur manquant","Service manquant")),IF(IF(A1478="BL",ISNA(MATCH(D1478,cl_code,0)),IF(A1478="BR",ISNA(MATCH(D1478,fo_code,0)),ISNA(MATCH(D1478,p_services,0)))),IF(A1478="BL","Client inconnu",IF(A1478="BR","Fournisseur inconnu","Service inconnu")),IF(H1478="","Article manquant",IF(ISNA(MATCH(H1478,art_ref,0)),"Article inconnu",IF(OR(NOT(ISNUMBER(L1478)),N(L1478)&lt;=0),"Quantité invalide",IF(AND(K1478&lt;&gt;"",OR(NOT(ISNUMBER(K1478)),N(K1478)&lt;=0)),"Qté commandée invalide",IF(AG1478&lt;SUMPRODUCT(MAX((A$6:A1477=A1478)*AG$6:AG1477)),"Date antérieure au bon précédent",IF(AND(A1478&lt;&gt;"BR",ISNUMBER(M1478),N(M1478)&gt;0),IF(A1478="BL","Livré plus que commandé","Sorti plus que demandé"),"OK"))))))))))))</f>
        <v/>
      </c>
      <c r="Y1478" s="57" t="str">
        <f>IF(AND(OR(A1478="BL",A1478="BR",A1478="BS"),AG1478&gt;0,D1478&lt;&gt;""),A1478&amp;"|"&amp;AG1478&amp;"|"&amp;D1478&amp;"|"&amp;F1478,"")</f>
        <v/>
      </c>
      <c r="Z1478" s="57" t="str">
        <f>IF(Y1478="","",IF(COUNTIF(Y$6:Y1477,Y1478)=0,1,0))</f>
        <v/>
      </c>
      <c r="AA1478" s="57" t="str">
        <f>IF(Y1478="","",IF(Z1478=1,COUNTIFS(A$6:A1478,A1478,Z$6:Z1478,1),INDEX(AA$6:AA1477,MATCH(Y1478,Y$6:Y1477,0))))</f>
        <v/>
      </c>
      <c r="AB1478" s="57" t="str">
        <f>IF(B1478="","",COUNTIF(B$6:B1478,B1478))</f>
        <v/>
      </c>
      <c r="AC1478" s="57" t="str">
        <f>IF(B1478="","",B1478&amp;"#"&amp;AB1478)</f>
        <v/>
      </c>
      <c r="AD1478" s="57" t="str">
        <f>IF(Z1478=1,A1478&amp;AA1478,"")</f>
        <v/>
      </c>
      <c r="AE1478" s="57" t="str">
        <f>IF(B1478="","",YEAR(C1478))</f>
        <v/>
      </c>
      <c r="AF1478" s="57" t="str">
        <f>IF(B1478="","",MONTH(C1478))</f>
        <v/>
      </c>
      <c r="AG1478" s="57">
        <f>IF(ISNUMBER(C1478),C1478,0)</f>
        <v>0.0</v>
      </c>
      <c r="AH1478" s="57" t="str">
        <f>IF(N(W1478)&gt;0,COUNTIF(W$6:W1478,"&gt;0"),"")</f>
        <v/>
      </c>
      <c r="AI1478" s="57" t="str">
        <f>IF(Z1478=1,COUNTIF(Z$6:Z1478,1),"")</f>
        <v/>
      </c>
    </row>
    <row r="1479">
      <c r="A1479" s="54" t="n"/>
      <c r="B1479" s="55" t="str">
        <f>IF(AA1479="","",A1479&amp;"-"&amp;RIGHT("000"&amp;AA1479,4))</f>
        <v/>
      </c>
      <c r="C1479" s="56" t="n"/>
      <c r="D1479" s="54" t="n"/>
      <c r="E1479" s="57" t="str">
        <f>IF(D1479="","",IF(A1479="BL",IFERROR(INDEX(cl_name,MATCH(D1479,cl_code,0))&amp;"","Client inconnu"),IF(A1479="BR",IFERROR(INDEX(fo_name,MATCH(D1479,fo_code,0))&amp;"","Fournisseur inconnu"),IF(A1479="BS",IF(ISNA(MATCH(D1479,p_services,0)),"Service inconnu",D1479&amp;""),""))))</f>
        <v/>
      </c>
      <c r="F1479" s="58" t="n"/>
      <c r="G1479" s="58" t="n"/>
      <c r="H1479" s="59" t="n"/>
      <c r="I1479" s="57" t="str">
        <f>IF(H1479="","",IFERROR(INDEX(art_des,MATCH(H1479,art_ref,0))&amp;"","Article inconnu"))</f>
        <v/>
      </c>
      <c r="J1479" s="60" t="str">
        <f>IF(H1479="","",IFERROR(INDEX(art_unit,MATCH(H1479,art_ref,0))&amp;"",""))</f>
        <v/>
      </c>
      <c r="K1479" s="59" t="n"/>
      <c r="L1479" s="59" t="n"/>
      <c r="M1479" s="61" t="str">
        <f>IF(OR(B1479="",NOT(ISNUMBER(K1479)),NOT(ISNUMBER(L1479))),"",IF(OR(K1479&lt;=0,L1479&lt;=0),"",ROUND(L1479-K1479,6)))</f>
        <v/>
      </c>
      <c r="N1479" s="58" t="n"/>
      <c r="O1479" s="62" t="n"/>
      <c r="P1479" s="63" t="str">
        <f>IF(OR(B1479="",NOT(ISNUMBER(L1479))),"",IF(L1479&lt;=0,"",IFERROR(ROUND(L1479*N(INDEX(art_w,MATCH(H1479,art_ref,0))),3),"")))</f>
        <v/>
      </c>
      <c r="Q1479" s="59" t="n"/>
      <c r="R1479" s="54" t="n"/>
      <c r="S1479" s="59" t="n"/>
      <c r="T1479" s="59" t="n"/>
      <c r="U1479" s="64" t="str">
        <f>IF(OR(B1479="",H1479=""),"",IFERROR(IF(A1479="BL",IF(N(INDEX(art_price,MATCH(H1479,art_ref,0)))=0,"",N(INDEX(art_price,MATCH(H1479,art_ref,0)))),IF(N(INDEX(art_cost,MATCH(H1479,art_ref,0)))=0,"",N(INDEX(art_cost,MATCH(H1479,art_ref,0))))),""))</f>
        <v/>
      </c>
      <c r="V1479" s="64" t="str">
        <f>IF(OR(U1479="",NOT(ISNUMBER(L1479))),"",IF(L1479&lt;=0,"",ROUND(L1479*U1479,2)))</f>
        <v/>
      </c>
      <c r="W1479" s="60" t="str">
        <f>IF(AND(B1479&lt;&gt;"",A1479&lt;&gt;"BS",F1479&lt;&gt;"",H1479&lt;&gt;"",ISNUMBER(K1479),ISNUMBER(L1479)),IF(AND(K1479&gt;0,L1479&gt;0,K1479-L1479&gt;0,COUNTIFS(A1480:A$2005,A1479,F1480:F$2005,F1479,H1480:H$2005,H1479,AA1480:AA$2005,"&gt;0")=0),ROUND(K1479-L1479,6),""),"")</f>
        <v/>
      </c>
      <c r="X1479" s="60" t="str">
        <f>IF(AND(A1479="",C1479="",D1479="",H1479="",L1479=""),"",IF(A1479="","Type manquant",IF(AND(A1479&lt;&gt;"BL",A1479&lt;&gt;"BR",A1479&lt;&gt;"BS"),"Type inconnu (BL, BR ou BS)",IF(AG1479=0,"Date manquante ou invalide",IF(D1479="",IF(A1479="BL","Client manquant",IF(A1479="BR","Fournisseur manquant","Service manquant")),IF(IF(A1479="BL",ISNA(MATCH(D1479,cl_code,0)),IF(A1479="BR",ISNA(MATCH(D1479,fo_code,0)),ISNA(MATCH(D1479,p_services,0)))),IF(A1479="BL","Client inconnu",IF(A1479="BR","Fournisseur inconnu","Service inconnu")),IF(H1479="","Article manquant",IF(ISNA(MATCH(H1479,art_ref,0)),"Article inconnu",IF(OR(NOT(ISNUMBER(L1479)),N(L1479)&lt;=0),"Quantité invalide",IF(AND(K1479&lt;&gt;"",OR(NOT(ISNUMBER(K1479)),N(K1479)&lt;=0)),"Qté commandée invalide",IF(AG1479&lt;SUMPRODUCT(MAX((A$6:A1478=A1479)*AG$6:AG1478)),"Date antérieure au bon précédent",IF(AND(A1479&lt;&gt;"BR",ISNUMBER(M1479),N(M1479)&gt;0),IF(A1479="BL","Livré plus que commandé","Sorti plus que demandé"),"OK"))))))))))))</f>
        <v/>
      </c>
      <c r="Y1479" s="57" t="str">
        <f>IF(AND(OR(A1479="BL",A1479="BR",A1479="BS"),AG1479&gt;0,D1479&lt;&gt;""),A1479&amp;"|"&amp;AG1479&amp;"|"&amp;D1479&amp;"|"&amp;F1479,"")</f>
        <v/>
      </c>
      <c r="Z1479" s="57" t="str">
        <f>IF(Y1479="","",IF(COUNTIF(Y$6:Y1478,Y1479)=0,1,0))</f>
        <v/>
      </c>
      <c r="AA1479" s="57" t="str">
        <f>IF(Y1479="","",IF(Z1479=1,COUNTIFS(A$6:A1479,A1479,Z$6:Z1479,1),INDEX(AA$6:AA1478,MATCH(Y1479,Y$6:Y1478,0))))</f>
        <v/>
      </c>
      <c r="AB1479" s="57" t="str">
        <f>IF(B1479="","",COUNTIF(B$6:B1479,B1479))</f>
        <v/>
      </c>
      <c r="AC1479" s="57" t="str">
        <f>IF(B1479="","",B1479&amp;"#"&amp;AB1479)</f>
        <v/>
      </c>
      <c r="AD1479" s="57" t="str">
        <f>IF(Z1479=1,A1479&amp;AA1479,"")</f>
        <v/>
      </c>
      <c r="AE1479" s="57" t="str">
        <f>IF(B1479="","",YEAR(C1479))</f>
        <v/>
      </c>
      <c r="AF1479" s="57" t="str">
        <f>IF(B1479="","",MONTH(C1479))</f>
        <v/>
      </c>
      <c r="AG1479" s="57">
        <f>IF(ISNUMBER(C1479),C1479,0)</f>
        <v>0.0</v>
      </c>
      <c r="AH1479" s="57" t="str">
        <f>IF(N(W1479)&gt;0,COUNTIF(W$6:W1479,"&gt;0"),"")</f>
        <v/>
      </c>
      <c r="AI1479" s="57" t="str">
        <f>IF(Z1479=1,COUNTIF(Z$6:Z1479,1),"")</f>
        <v/>
      </c>
    </row>
    <row r="1480">
      <c r="A1480" s="54" t="n"/>
      <c r="B1480" s="55" t="str">
        <f>IF(AA1480="","",A1480&amp;"-"&amp;RIGHT("000"&amp;AA1480,4))</f>
        <v/>
      </c>
      <c r="C1480" s="56" t="n"/>
      <c r="D1480" s="54" t="n"/>
      <c r="E1480" s="57" t="str">
        <f>IF(D1480="","",IF(A1480="BL",IFERROR(INDEX(cl_name,MATCH(D1480,cl_code,0))&amp;"","Client inconnu"),IF(A1480="BR",IFERROR(INDEX(fo_name,MATCH(D1480,fo_code,0))&amp;"","Fournisseur inconnu"),IF(A1480="BS",IF(ISNA(MATCH(D1480,p_services,0)),"Service inconnu",D1480&amp;""),""))))</f>
        <v/>
      </c>
      <c r="F1480" s="58" t="n"/>
      <c r="G1480" s="58" t="n"/>
      <c r="H1480" s="59" t="n"/>
      <c r="I1480" s="57" t="str">
        <f>IF(H1480="","",IFERROR(INDEX(art_des,MATCH(H1480,art_ref,0))&amp;"","Article inconnu"))</f>
        <v/>
      </c>
      <c r="J1480" s="60" t="str">
        <f>IF(H1480="","",IFERROR(INDEX(art_unit,MATCH(H1480,art_ref,0))&amp;"",""))</f>
        <v/>
      </c>
      <c r="K1480" s="59" t="n"/>
      <c r="L1480" s="59" t="n"/>
      <c r="M1480" s="61" t="str">
        <f>IF(OR(B1480="",NOT(ISNUMBER(K1480)),NOT(ISNUMBER(L1480))),"",IF(OR(K1480&lt;=0,L1480&lt;=0),"",ROUND(L1480-K1480,6)))</f>
        <v/>
      </c>
      <c r="N1480" s="58" t="n"/>
      <c r="O1480" s="62" t="n"/>
      <c r="P1480" s="63" t="str">
        <f>IF(OR(B1480="",NOT(ISNUMBER(L1480))),"",IF(L1480&lt;=0,"",IFERROR(ROUND(L1480*N(INDEX(art_w,MATCH(H1480,art_ref,0))),3),"")))</f>
        <v/>
      </c>
      <c r="Q1480" s="59" t="n"/>
      <c r="R1480" s="54" t="n"/>
      <c r="S1480" s="59" t="n"/>
      <c r="T1480" s="59" t="n"/>
      <c r="U1480" s="64" t="str">
        <f>IF(OR(B1480="",H1480=""),"",IFERROR(IF(A1480="BL",IF(N(INDEX(art_price,MATCH(H1480,art_ref,0)))=0,"",N(INDEX(art_price,MATCH(H1480,art_ref,0)))),IF(N(INDEX(art_cost,MATCH(H1480,art_ref,0)))=0,"",N(INDEX(art_cost,MATCH(H1480,art_ref,0))))),""))</f>
        <v/>
      </c>
      <c r="V1480" s="64" t="str">
        <f>IF(OR(U1480="",NOT(ISNUMBER(L1480))),"",IF(L1480&lt;=0,"",ROUND(L1480*U1480,2)))</f>
        <v/>
      </c>
      <c r="W1480" s="60" t="str">
        <f>IF(AND(B1480&lt;&gt;"",A1480&lt;&gt;"BS",F1480&lt;&gt;"",H1480&lt;&gt;"",ISNUMBER(K1480),ISNUMBER(L1480)),IF(AND(K1480&gt;0,L1480&gt;0,K1480-L1480&gt;0,COUNTIFS(A1481:A$2005,A1480,F1481:F$2005,F1480,H1481:H$2005,H1480,AA1481:AA$2005,"&gt;0")=0),ROUND(K1480-L1480,6),""),"")</f>
        <v/>
      </c>
      <c r="X1480" s="60" t="str">
        <f>IF(AND(A1480="",C1480="",D1480="",H1480="",L1480=""),"",IF(A1480="","Type manquant",IF(AND(A1480&lt;&gt;"BL",A1480&lt;&gt;"BR",A1480&lt;&gt;"BS"),"Type inconnu (BL, BR ou BS)",IF(AG1480=0,"Date manquante ou invalide",IF(D1480="",IF(A1480="BL","Client manquant",IF(A1480="BR","Fournisseur manquant","Service manquant")),IF(IF(A1480="BL",ISNA(MATCH(D1480,cl_code,0)),IF(A1480="BR",ISNA(MATCH(D1480,fo_code,0)),ISNA(MATCH(D1480,p_services,0)))),IF(A1480="BL","Client inconnu",IF(A1480="BR","Fournisseur inconnu","Service inconnu")),IF(H1480="","Article manquant",IF(ISNA(MATCH(H1480,art_ref,0)),"Article inconnu",IF(OR(NOT(ISNUMBER(L1480)),N(L1480)&lt;=0),"Quantité invalide",IF(AND(K1480&lt;&gt;"",OR(NOT(ISNUMBER(K1480)),N(K1480)&lt;=0)),"Qté commandée invalide",IF(AG1480&lt;SUMPRODUCT(MAX((A$6:A1479=A1480)*AG$6:AG1479)),"Date antérieure au bon précédent",IF(AND(A1480&lt;&gt;"BR",ISNUMBER(M1480),N(M1480)&gt;0),IF(A1480="BL","Livré plus que commandé","Sorti plus que demandé"),"OK"))))))))))))</f>
        <v/>
      </c>
      <c r="Y1480" s="57" t="str">
        <f>IF(AND(OR(A1480="BL",A1480="BR",A1480="BS"),AG1480&gt;0,D1480&lt;&gt;""),A1480&amp;"|"&amp;AG1480&amp;"|"&amp;D1480&amp;"|"&amp;F1480,"")</f>
        <v/>
      </c>
      <c r="Z1480" s="57" t="str">
        <f>IF(Y1480="","",IF(COUNTIF(Y$6:Y1479,Y1480)=0,1,0))</f>
        <v/>
      </c>
      <c r="AA1480" s="57" t="str">
        <f>IF(Y1480="","",IF(Z1480=1,COUNTIFS(A$6:A1480,A1480,Z$6:Z1480,1),INDEX(AA$6:AA1479,MATCH(Y1480,Y$6:Y1479,0))))</f>
        <v/>
      </c>
      <c r="AB1480" s="57" t="str">
        <f>IF(B1480="","",COUNTIF(B$6:B1480,B1480))</f>
        <v/>
      </c>
      <c r="AC1480" s="57" t="str">
        <f>IF(B1480="","",B1480&amp;"#"&amp;AB1480)</f>
        <v/>
      </c>
      <c r="AD1480" s="57" t="str">
        <f>IF(Z1480=1,A1480&amp;AA1480,"")</f>
        <v/>
      </c>
      <c r="AE1480" s="57" t="str">
        <f>IF(B1480="","",YEAR(C1480))</f>
        <v/>
      </c>
      <c r="AF1480" s="57" t="str">
        <f>IF(B1480="","",MONTH(C1480))</f>
        <v/>
      </c>
      <c r="AG1480" s="57">
        <f>IF(ISNUMBER(C1480),C1480,0)</f>
        <v>0.0</v>
      </c>
      <c r="AH1480" s="57" t="str">
        <f>IF(N(W1480)&gt;0,COUNTIF(W$6:W1480,"&gt;0"),"")</f>
        <v/>
      </c>
      <c r="AI1480" s="57" t="str">
        <f>IF(Z1480=1,COUNTIF(Z$6:Z1480,1),"")</f>
        <v/>
      </c>
    </row>
    <row r="1481">
      <c r="A1481" s="54" t="n"/>
      <c r="B1481" s="55" t="str">
        <f>IF(AA1481="","",A1481&amp;"-"&amp;RIGHT("000"&amp;AA1481,4))</f>
        <v/>
      </c>
      <c r="C1481" s="56" t="n"/>
      <c r="D1481" s="54" t="n"/>
      <c r="E1481" s="57" t="str">
        <f>IF(D1481="","",IF(A1481="BL",IFERROR(INDEX(cl_name,MATCH(D1481,cl_code,0))&amp;"","Client inconnu"),IF(A1481="BR",IFERROR(INDEX(fo_name,MATCH(D1481,fo_code,0))&amp;"","Fournisseur inconnu"),IF(A1481="BS",IF(ISNA(MATCH(D1481,p_services,0)),"Service inconnu",D1481&amp;""),""))))</f>
        <v/>
      </c>
      <c r="F1481" s="58" t="n"/>
      <c r="G1481" s="58" t="n"/>
      <c r="H1481" s="59" t="n"/>
      <c r="I1481" s="57" t="str">
        <f>IF(H1481="","",IFERROR(INDEX(art_des,MATCH(H1481,art_ref,0))&amp;"","Article inconnu"))</f>
        <v/>
      </c>
      <c r="J1481" s="60" t="str">
        <f>IF(H1481="","",IFERROR(INDEX(art_unit,MATCH(H1481,art_ref,0))&amp;"",""))</f>
        <v/>
      </c>
      <c r="K1481" s="59" t="n"/>
      <c r="L1481" s="59" t="n"/>
      <c r="M1481" s="61" t="str">
        <f>IF(OR(B1481="",NOT(ISNUMBER(K1481)),NOT(ISNUMBER(L1481))),"",IF(OR(K1481&lt;=0,L1481&lt;=0),"",ROUND(L1481-K1481,6)))</f>
        <v/>
      </c>
      <c r="N1481" s="58" t="n"/>
      <c r="O1481" s="62" t="n"/>
      <c r="P1481" s="63" t="str">
        <f>IF(OR(B1481="",NOT(ISNUMBER(L1481))),"",IF(L1481&lt;=0,"",IFERROR(ROUND(L1481*N(INDEX(art_w,MATCH(H1481,art_ref,0))),3),"")))</f>
        <v/>
      </c>
      <c r="Q1481" s="59" t="n"/>
      <c r="R1481" s="54" t="n"/>
      <c r="S1481" s="59" t="n"/>
      <c r="T1481" s="59" t="n"/>
      <c r="U1481" s="64" t="str">
        <f>IF(OR(B1481="",H1481=""),"",IFERROR(IF(A1481="BL",IF(N(INDEX(art_price,MATCH(H1481,art_ref,0)))=0,"",N(INDEX(art_price,MATCH(H1481,art_ref,0)))),IF(N(INDEX(art_cost,MATCH(H1481,art_ref,0)))=0,"",N(INDEX(art_cost,MATCH(H1481,art_ref,0))))),""))</f>
        <v/>
      </c>
      <c r="V1481" s="64" t="str">
        <f>IF(OR(U1481="",NOT(ISNUMBER(L1481))),"",IF(L1481&lt;=0,"",ROUND(L1481*U1481,2)))</f>
        <v/>
      </c>
      <c r="W1481" s="60" t="str">
        <f>IF(AND(B1481&lt;&gt;"",A1481&lt;&gt;"BS",F1481&lt;&gt;"",H1481&lt;&gt;"",ISNUMBER(K1481),ISNUMBER(L1481)),IF(AND(K1481&gt;0,L1481&gt;0,K1481-L1481&gt;0,COUNTIFS(A1482:A$2005,A1481,F1482:F$2005,F1481,H1482:H$2005,H1481,AA1482:AA$2005,"&gt;0")=0),ROUND(K1481-L1481,6),""),"")</f>
        <v/>
      </c>
      <c r="X1481" s="60" t="str">
        <f>IF(AND(A1481="",C1481="",D1481="",H1481="",L1481=""),"",IF(A1481="","Type manquant",IF(AND(A1481&lt;&gt;"BL",A1481&lt;&gt;"BR",A1481&lt;&gt;"BS"),"Type inconnu (BL, BR ou BS)",IF(AG1481=0,"Date manquante ou invalide",IF(D1481="",IF(A1481="BL","Client manquant",IF(A1481="BR","Fournisseur manquant","Service manquant")),IF(IF(A1481="BL",ISNA(MATCH(D1481,cl_code,0)),IF(A1481="BR",ISNA(MATCH(D1481,fo_code,0)),ISNA(MATCH(D1481,p_services,0)))),IF(A1481="BL","Client inconnu",IF(A1481="BR","Fournisseur inconnu","Service inconnu")),IF(H1481="","Article manquant",IF(ISNA(MATCH(H1481,art_ref,0)),"Article inconnu",IF(OR(NOT(ISNUMBER(L1481)),N(L1481)&lt;=0),"Quantité invalide",IF(AND(K1481&lt;&gt;"",OR(NOT(ISNUMBER(K1481)),N(K1481)&lt;=0)),"Qté commandée invalide",IF(AG1481&lt;SUMPRODUCT(MAX((A$6:A1480=A1481)*AG$6:AG1480)),"Date antérieure au bon précédent",IF(AND(A1481&lt;&gt;"BR",ISNUMBER(M1481),N(M1481)&gt;0),IF(A1481="BL","Livré plus que commandé","Sorti plus que demandé"),"OK"))))))))))))</f>
        <v/>
      </c>
      <c r="Y1481" s="57" t="str">
        <f>IF(AND(OR(A1481="BL",A1481="BR",A1481="BS"),AG1481&gt;0,D1481&lt;&gt;""),A1481&amp;"|"&amp;AG1481&amp;"|"&amp;D1481&amp;"|"&amp;F1481,"")</f>
        <v/>
      </c>
      <c r="Z1481" s="57" t="str">
        <f>IF(Y1481="","",IF(COUNTIF(Y$6:Y1480,Y1481)=0,1,0))</f>
        <v/>
      </c>
      <c r="AA1481" s="57" t="str">
        <f>IF(Y1481="","",IF(Z1481=1,COUNTIFS(A$6:A1481,A1481,Z$6:Z1481,1),INDEX(AA$6:AA1480,MATCH(Y1481,Y$6:Y1480,0))))</f>
        <v/>
      </c>
      <c r="AB1481" s="57" t="str">
        <f>IF(B1481="","",COUNTIF(B$6:B1481,B1481))</f>
        <v/>
      </c>
      <c r="AC1481" s="57" t="str">
        <f>IF(B1481="","",B1481&amp;"#"&amp;AB1481)</f>
        <v/>
      </c>
      <c r="AD1481" s="57" t="str">
        <f>IF(Z1481=1,A1481&amp;AA1481,"")</f>
        <v/>
      </c>
      <c r="AE1481" s="57" t="str">
        <f>IF(B1481="","",YEAR(C1481))</f>
        <v/>
      </c>
      <c r="AF1481" s="57" t="str">
        <f>IF(B1481="","",MONTH(C1481))</f>
        <v/>
      </c>
      <c r="AG1481" s="57">
        <f>IF(ISNUMBER(C1481),C1481,0)</f>
        <v>0.0</v>
      </c>
      <c r="AH1481" s="57" t="str">
        <f>IF(N(W1481)&gt;0,COUNTIF(W$6:W1481,"&gt;0"),"")</f>
        <v/>
      </c>
      <c r="AI1481" s="57" t="str">
        <f>IF(Z1481=1,COUNTIF(Z$6:Z1481,1),"")</f>
        <v/>
      </c>
    </row>
    <row r="1482">
      <c r="A1482" s="54" t="n"/>
      <c r="B1482" s="55" t="str">
        <f>IF(AA1482="","",A1482&amp;"-"&amp;RIGHT("000"&amp;AA1482,4))</f>
        <v/>
      </c>
      <c r="C1482" s="56" t="n"/>
      <c r="D1482" s="54" t="n"/>
      <c r="E1482" s="57" t="str">
        <f>IF(D1482="","",IF(A1482="BL",IFERROR(INDEX(cl_name,MATCH(D1482,cl_code,0))&amp;"","Client inconnu"),IF(A1482="BR",IFERROR(INDEX(fo_name,MATCH(D1482,fo_code,0))&amp;"","Fournisseur inconnu"),IF(A1482="BS",IF(ISNA(MATCH(D1482,p_services,0)),"Service inconnu",D1482&amp;""),""))))</f>
        <v/>
      </c>
      <c r="F1482" s="58" t="n"/>
      <c r="G1482" s="58" t="n"/>
      <c r="H1482" s="59" t="n"/>
      <c r="I1482" s="57" t="str">
        <f>IF(H1482="","",IFERROR(INDEX(art_des,MATCH(H1482,art_ref,0))&amp;"","Article inconnu"))</f>
        <v/>
      </c>
      <c r="J1482" s="60" t="str">
        <f>IF(H1482="","",IFERROR(INDEX(art_unit,MATCH(H1482,art_ref,0))&amp;"",""))</f>
        <v/>
      </c>
      <c r="K1482" s="59" t="n"/>
      <c r="L1482" s="59" t="n"/>
      <c r="M1482" s="61" t="str">
        <f>IF(OR(B1482="",NOT(ISNUMBER(K1482)),NOT(ISNUMBER(L1482))),"",IF(OR(K1482&lt;=0,L1482&lt;=0),"",ROUND(L1482-K1482,6)))</f>
        <v/>
      </c>
      <c r="N1482" s="58" t="n"/>
      <c r="O1482" s="62" t="n"/>
      <c r="P1482" s="63" t="str">
        <f>IF(OR(B1482="",NOT(ISNUMBER(L1482))),"",IF(L1482&lt;=0,"",IFERROR(ROUND(L1482*N(INDEX(art_w,MATCH(H1482,art_ref,0))),3),"")))</f>
        <v/>
      </c>
      <c r="Q1482" s="59" t="n"/>
      <c r="R1482" s="54" t="n"/>
      <c r="S1482" s="59" t="n"/>
      <c r="T1482" s="59" t="n"/>
      <c r="U1482" s="64" t="str">
        <f>IF(OR(B1482="",H1482=""),"",IFERROR(IF(A1482="BL",IF(N(INDEX(art_price,MATCH(H1482,art_ref,0)))=0,"",N(INDEX(art_price,MATCH(H1482,art_ref,0)))),IF(N(INDEX(art_cost,MATCH(H1482,art_ref,0)))=0,"",N(INDEX(art_cost,MATCH(H1482,art_ref,0))))),""))</f>
        <v/>
      </c>
      <c r="V1482" s="64" t="str">
        <f>IF(OR(U1482="",NOT(ISNUMBER(L1482))),"",IF(L1482&lt;=0,"",ROUND(L1482*U1482,2)))</f>
        <v/>
      </c>
      <c r="W1482" s="60" t="str">
        <f>IF(AND(B1482&lt;&gt;"",A1482&lt;&gt;"BS",F1482&lt;&gt;"",H1482&lt;&gt;"",ISNUMBER(K1482),ISNUMBER(L1482)),IF(AND(K1482&gt;0,L1482&gt;0,K1482-L1482&gt;0,COUNTIFS(A1483:A$2005,A1482,F1483:F$2005,F1482,H1483:H$2005,H1482,AA1483:AA$2005,"&gt;0")=0),ROUND(K1482-L1482,6),""),"")</f>
        <v/>
      </c>
      <c r="X1482" s="60" t="str">
        <f>IF(AND(A1482="",C1482="",D1482="",H1482="",L1482=""),"",IF(A1482="","Type manquant",IF(AND(A1482&lt;&gt;"BL",A1482&lt;&gt;"BR",A1482&lt;&gt;"BS"),"Type inconnu (BL, BR ou BS)",IF(AG1482=0,"Date manquante ou invalide",IF(D1482="",IF(A1482="BL","Client manquant",IF(A1482="BR","Fournisseur manquant","Service manquant")),IF(IF(A1482="BL",ISNA(MATCH(D1482,cl_code,0)),IF(A1482="BR",ISNA(MATCH(D1482,fo_code,0)),ISNA(MATCH(D1482,p_services,0)))),IF(A1482="BL","Client inconnu",IF(A1482="BR","Fournisseur inconnu","Service inconnu")),IF(H1482="","Article manquant",IF(ISNA(MATCH(H1482,art_ref,0)),"Article inconnu",IF(OR(NOT(ISNUMBER(L1482)),N(L1482)&lt;=0),"Quantité invalide",IF(AND(K1482&lt;&gt;"",OR(NOT(ISNUMBER(K1482)),N(K1482)&lt;=0)),"Qté commandée invalide",IF(AG1482&lt;SUMPRODUCT(MAX((A$6:A1481=A1482)*AG$6:AG1481)),"Date antérieure au bon précédent",IF(AND(A1482&lt;&gt;"BR",ISNUMBER(M1482),N(M1482)&gt;0),IF(A1482="BL","Livré plus que commandé","Sorti plus que demandé"),"OK"))))))))))))</f>
        <v/>
      </c>
      <c r="Y1482" s="57" t="str">
        <f>IF(AND(OR(A1482="BL",A1482="BR",A1482="BS"),AG1482&gt;0,D1482&lt;&gt;""),A1482&amp;"|"&amp;AG1482&amp;"|"&amp;D1482&amp;"|"&amp;F1482,"")</f>
        <v/>
      </c>
      <c r="Z1482" s="57" t="str">
        <f>IF(Y1482="","",IF(COUNTIF(Y$6:Y1481,Y1482)=0,1,0))</f>
        <v/>
      </c>
      <c r="AA1482" s="57" t="str">
        <f>IF(Y1482="","",IF(Z1482=1,COUNTIFS(A$6:A1482,A1482,Z$6:Z1482,1),INDEX(AA$6:AA1481,MATCH(Y1482,Y$6:Y1481,0))))</f>
        <v/>
      </c>
      <c r="AB1482" s="57" t="str">
        <f>IF(B1482="","",COUNTIF(B$6:B1482,B1482))</f>
        <v/>
      </c>
      <c r="AC1482" s="57" t="str">
        <f>IF(B1482="","",B1482&amp;"#"&amp;AB1482)</f>
        <v/>
      </c>
      <c r="AD1482" s="57" t="str">
        <f>IF(Z1482=1,A1482&amp;AA1482,"")</f>
        <v/>
      </c>
      <c r="AE1482" s="57" t="str">
        <f>IF(B1482="","",YEAR(C1482))</f>
        <v/>
      </c>
      <c r="AF1482" s="57" t="str">
        <f>IF(B1482="","",MONTH(C1482))</f>
        <v/>
      </c>
      <c r="AG1482" s="57">
        <f>IF(ISNUMBER(C1482),C1482,0)</f>
        <v>0.0</v>
      </c>
      <c r="AH1482" s="57" t="str">
        <f>IF(N(W1482)&gt;0,COUNTIF(W$6:W1482,"&gt;0"),"")</f>
        <v/>
      </c>
      <c r="AI1482" s="57" t="str">
        <f>IF(Z1482=1,COUNTIF(Z$6:Z1482,1),"")</f>
        <v/>
      </c>
    </row>
    <row r="1483">
      <c r="A1483" s="54" t="n"/>
      <c r="B1483" s="55" t="str">
        <f>IF(AA1483="","",A1483&amp;"-"&amp;RIGHT("000"&amp;AA1483,4))</f>
        <v/>
      </c>
      <c r="C1483" s="56" t="n"/>
      <c r="D1483" s="54" t="n"/>
      <c r="E1483" s="57" t="str">
        <f>IF(D1483="","",IF(A1483="BL",IFERROR(INDEX(cl_name,MATCH(D1483,cl_code,0))&amp;"","Client inconnu"),IF(A1483="BR",IFERROR(INDEX(fo_name,MATCH(D1483,fo_code,0))&amp;"","Fournisseur inconnu"),IF(A1483="BS",IF(ISNA(MATCH(D1483,p_services,0)),"Service inconnu",D1483&amp;""),""))))</f>
        <v/>
      </c>
      <c r="F1483" s="58" t="n"/>
      <c r="G1483" s="58" t="n"/>
      <c r="H1483" s="59" t="n"/>
      <c r="I1483" s="57" t="str">
        <f>IF(H1483="","",IFERROR(INDEX(art_des,MATCH(H1483,art_ref,0))&amp;"","Article inconnu"))</f>
        <v/>
      </c>
      <c r="J1483" s="60" t="str">
        <f>IF(H1483="","",IFERROR(INDEX(art_unit,MATCH(H1483,art_ref,0))&amp;"",""))</f>
        <v/>
      </c>
      <c r="K1483" s="59" t="n"/>
      <c r="L1483" s="59" t="n"/>
      <c r="M1483" s="61" t="str">
        <f>IF(OR(B1483="",NOT(ISNUMBER(K1483)),NOT(ISNUMBER(L1483))),"",IF(OR(K1483&lt;=0,L1483&lt;=0),"",ROUND(L1483-K1483,6)))</f>
        <v/>
      </c>
      <c r="N1483" s="58" t="n"/>
      <c r="O1483" s="62" t="n"/>
      <c r="P1483" s="63" t="str">
        <f>IF(OR(B1483="",NOT(ISNUMBER(L1483))),"",IF(L1483&lt;=0,"",IFERROR(ROUND(L1483*N(INDEX(art_w,MATCH(H1483,art_ref,0))),3),"")))</f>
        <v/>
      </c>
      <c r="Q1483" s="59" t="n"/>
      <c r="R1483" s="54" t="n"/>
      <c r="S1483" s="59" t="n"/>
      <c r="T1483" s="59" t="n"/>
      <c r="U1483" s="64" t="str">
        <f>IF(OR(B1483="",H1483=""),"",IFERROR(IF(A1483="BL",IF(N(INDEX(art_price,MATCH(H1483,art_ref,0)))=0,"",N(INDEX(art_price,MATCH(H1483,art_ref,0)))),IF(N(INDEX(art_cost,MATCH(H1483,art_ref,0)))=0,"",N(INDEX(art_cost,MATCH(H1483,art_ref,0))))),""))</f>
        <v/>
      </c>
      <c r="V1483" s="64" t="str">
        <f>IF(OR(U1483="",NOT(ISNUMBER(L1483))),"",IF(L1483&lt;=0,"",ROUND(L1483*U1483,2)))</f>
        <v/>
      </c>
      <c r="W1483" s="60" t="str">
        <f>IF(AND(B1483&lt;&gt;"",A1483&lt;&gt;"BS",F1483&lt;&gt;"",H1483&lt;&gt;"",ISNUMBER(K1483),ISNUMBER(L1483)),IF(AND(K1483&gt;0,L1483&gt;0,K1483-L1483&gt;0,COUNTIFS(A1484:A$2005,A1483,F1484:F$2005,F1483,H1484:H$2005,H1483,AA1484:AA$2005,"&gt;0")=0),ROUND(K1483-L1483,6),""),"")</f>
        <v/>
      </c>
      <c r="X1483" s="60" t="str">
        <f>IF(AND(A1483="",C1483="",D1483="",H1483="",L1483=""),"",IF(A1483="","Type manquant",IF(AND(A1483&lt;&gt;"BL",A1483&lt;&gt;"BR",A1483&lt;&gt;"BS"),"Type inconnu (BL, BR ou BS)",IF(AG1483=0,"Date manquante ou invalide",IF(D1483="",IF(A1483="BL","Client manquant",IF(A1483="BR","Fournisseur manquant","Service manquant")),IF(IF(A1483="BL",ISNA(MATCH(D1483,cl_code,0)),IF(A1483="BR",ISNA(MATCH(D1483,fo_code,0)),ISNA(MATCH(D1483,p_services,0)))),IF(A1483="BL","Client inconnu",IF(A1483="BR","Fournisseur inconnu","Service inconnu")),IF(H1483="","Article manquant",IF(ISNA(MATCH(H1483,art_ref,0)),"Article inconnu",IF(OR(NOT(ISNUMBER(L1483)),N(L1483)&lt;=0),"Quantité invalide",IF(AND(K1483&lt;&gt;"",OR(NOT(ISNUMBER(K1483)),N(K1483)&lt;=0)),"Qté commandée invalide",IF(AG1483&lt;SUMPRODUCT(MAX((A$6:A1482=A1483)*AG$6:AG1482)),"Date antérieure au bon précédent",IF(AND(A1483&lt;&gt;"BR",ISNUMBER(M1483),N(M1483)&gt;0),IF(A1483="BL","Livré plus que commandé","Sorti plus que demandé"),"OK"))))))))))))</f>
        <v/>
      </c>
      <c r="Y1483" s="57" t="str">
        <f>IF(AND(OR(A1483="BL",A1483="BR",A1483="BS"),AG1483&gt;0,D1483&lt;&gt;""),A1483&amp;"|"&amp;AG1483&amp;"|"&amp;D1483&amp;"|"&amp;F1483,"")</f>
        <v/>
      </c>
      <c r="Z1483" s="57" t="str">
        <f>IF(Y1483="","",IF(COUNTIF(Y$6:Y1482,Y1483)=0,1,0))</f>
        <v/>
      </c>
      <c r="AA1483" s="57" t="str">
        <f>IF(Y1483="","",IF(Z1483=1,COUNTIFS(A$6:A1483,A1483,Z$6:Z1483,1),INDEX(AA$6:AA1482,MATCH(Y1483,Y$6:Y1482,0))))</f>
        <v/>
      </c>
      <c r="AB1483" s="57" t="str">
        <f>IF(B1483="","",COUNTIF(B$6:B1483,B1483))</f>
        <v/>
      </c>
      <c r="AC1483" s="57" t="str">
        <f>IF(B1483="","",B1483&amp;"#"&amp;AB1483)</f>
        <v/>
      </c>
      <c r="AD1483" s="57" t="str">
        <f>IF(Z1483=1,A1483&amp;AA1483,"")</f>
        <v/>
      </c>
      <c r="AE1483" s="57" t="str">
        <f>IF(B1483="","",YEAR(C1483))</f>
        <v/>
      </c>
      <c r="AF1483" s="57" t="str">
        <f>IF(B1483="","",MONTH(C1483))</f>
        <v/>
      </c>
      <c r="AG1483" s="57">
        <f>IF(ISNUMBER(C1483),C1483,0)</f>
        <v>0.0</v>
      </c>
      <c r="AH1483" s="57" t="str">
        <f>IF(N(W1483)&gt;0,COUNTIF(W$6:W1483,"&gt;0"),"")</f>
        <v/>
      </c>
      <c r="AI1483" s="57" t="str">
        <f>IF(Z1483=1,COUNTIF(Z$6:Z1483,1),"")</f>
        <v/>
      </c>
    </row>
    <row r="1484">
      <c r="A1484" s="54" t="n"/>
      <c r="B1484" s="55" t="str">
        <f>IF(AA1484="","",A1484&amp;"-"&amp;RIGHT("000"&amp;AA1484,4))</f>
        <v/>
      </c>
      <c r="C1484" s="56" t="n"/>
      <c r="D1484" s="54" t="n"/>
      <c r="E1484" s="57" t="str">
        <f>IF(D1484="","",IF(A1484="BL",IFERROR(INDEX(cl_name,MATCH(D1484,cl_code,0))&amp;"","Client inconnu"),IF(A1484="BR",IFERROR(INDEX(fo_name,MATCH(D1484,fo_code,0))&amp;"","Fournisseur inconnu"),IF(A1484="BS",IF(ISNA(MATCH(D1484,p_services,0)),"Service inconnu",D1484&amp;""),""))))</f>
        <v/>
      </c>
      <c r="F1484" s="58" t="n"/>
      <c r="G1484" s="58" t="n"/>
      <c r="H1484" s="59" t="n"/>
      <c r="I1484" s="57" t="str">
        <f>IF(H1484="","",IFERROR(INDEX(art_des,MATCH(H1484,art_ref,0))&amp;"","Article inconnu"))</f>
        <v/>
      </c>
      <c r="J1484" s="60" t="str">
        <f>IF(H1484="","",IFERROR(INDEX(art_unit,MATCH(H1484,art_ref,0))&amp;"",""))</f>
        <v/>
      </c>
      <c r="K1484" s="59" t="n"/>
      <c r="L1484" s="59" t="n"/>
      <c r="M1484" s="61" t="str">
        <f>IF(OR(B1484="",NOT(ISNUMBER(K1484)),NOT(ISNUMBER(L1484))),"",IF(OR(K1484&lt;=0,L1484&lt;=0),"",ROUND(L1484-K1484,6)))</f>
        <v/>
      </c>
      <c r="N1484" s="58" t="n"/>
      <c r="O1484" s="62" t="n"/>
      <c r="P1484" s="63" t="str">
        <f>IF(OR(B1484="",NOT(ISNUMBER(L1484))),"",IF(L1484&lt;=0,"",IFERROR(ROUND(L1484*N(INDEX(art_w,MATCH(H1484,art_ref,0))),3),"")))</f>
        <v/>
      </c>
      <c r="Q1484" s="59" t="n"/>
      <c r="R1484" s="54" t="n"/>
      <c r="S1484" s="59" t="n"/>
      <c r="T1484" s="59" t="n"/>
      <c r="U1484" s="64" t="str">
        <f>IF(OR(B1484="",H1484=""),"",IFERROR(IF(A1484="BL",IF(N(INDEX(art_price,MATCH(H1484,art_ref,0)))=0,"",N(INDEX(art_price,MATCH(H1484,art_ref,0)))),IF(N(INDEX(art_cost,MATCH(H1484,art_ref,0)))=0,"",N(INDEX(art_cost,MATCH(H1484,art_ref,0))))),""))</f>
        <v/>
      </c>
      <c r="V1484" s="64" t="str">
        <f>IF(OR(U1484="",NOT(ISNUMBER(L1484))),"",IF(L1484&lt;=0,"",ROUND(L1484*U1484,2)))</f>
        <v/>
      </c>
      <c r="W1484" s="60" t="str">
        <f>IF(AND(B1484&lt;&gt;"",A1484&lt;&gt;"BS",F1484&lt;&gt;"",H1484&lt;&gt;"",ISNUMBER(K1484),ISNUMBER(L1484)),IF(AND(K1484&gt;0,L1484&gt;0,K1484-L1484&gt;0,COUNTIFS(A1485:A$2005,A1484,F1485:F$2005,F1484,H1485:H$2005,H1484,AA1485:AA$2005,"&gt;0")=0),ROUND(K1484-L1484,6),""),"")</f>
        <v/>
      </c>
      <c r="X1484" s="60" t="str">
        <f>IF(AND(A1484="",C1484="",D1484="",H1484="",L1484=""),"",IF(A1484="","Type manquant",IF(AND(A1484&lt;&gt;"BL",A1484&lt;&gt;"BR",A1484&lt;&gt;"BS"),"Type inconnu (BL, BR ou BS)",IF(AG1484=0,"Date manquante ou invalide",IF(D1484="",IF(A1484="BL","Client manquant",IF(A1484="BR","Fournisseur manquant","Service manquant")),IF(IF(A1484="BL",ISNA(MATCH(D1484,cl_code,0)),IF(A1484="BR",ISNA(MATCH(D1484,fo_code,0)),ISNA(MATCH(D1484,p_services,0)))),IF(A1484="BL","Client inconnu",IF(A1484="BR","Fournisseur inconnu","Service inconnu")),IF(H1484="","Article manquant",IF(ISNA(MATCH(H1484,art_ref,0)),"Article inconnu",IF(OR(NOT(ISNUMBER(L1484)),N(L1484)&lt;=0),"Quantité invalide",IF(AND(K1484&lt;&gt;"",OR(NOT(ISNUMBER(K1484)),N(K1484)&lt;=0)),"Qté commandée invalide",IF(AG1484&lt;SUMPRODUCT(MAX((A$6:A1483=A1484)*AG$6:AG1483)),"Date antérieure au bon précédent",IF(AND(A1484&lt;&gt;"BR",ISNUMBER(M1484),N(M1484)&gt;0),IF(A1484="BL","Livré plus que commandé","Sorti plus que demandé"),"OK"))))))))))))</f>
        <v/>
      </c>
      <c r="Y1484" s="57" t="str">
        <f>IF(AND(OR(A1484="BL",A1484="BR",A1484="BS"),AG1484&gt;0,D1484&lt;&gt;""),A1484&amp;"|"&amp;AG1484&amp;"|"&amp;D1484&amp;"|"&amp;F1484,"")</f>
        <v/>
      </c>
      <c r="Z1484" s="57" t="str">
        <f>IF(Y1484="","",IF(COUNTIF(Y$6:Y1483,Y1484)=0,1,0))</f>
        <v/>
      </c>
      <c r="AA1484" s="57" t="str">
        <f>IF(Y1484="","",IF(Z1484=1,COUNTIFS(A$6:A1484,A1484,Z$6:Z1484,1),INDEX(AA$6:AA1483,MATCH(Y1484,Y$6:Y1483,0))))</f>
        <v/>
      </c>
      <c r="AB1484" s="57" t="str">
        <f>IF(B1484="","",COUNTIF(B$6:B1484,B1484))</f>
        <v/>
      </c>
      <c r="AC1484" s="57" t="str">
        <f>IF(B1484="","",B1484&amp;"#"&amp;AB1484)</f>
        <v/>
      </c>
      <c r="AD1484" s="57" t="str">
        <f>IF(Z1484=1,A1484&amp;AA1484,"")</f>
        <v/>
      </c>
      <c r="AE1484" s="57" t="str">
        <f>IF(B1484="","",YEAR(C1484))</f>
        <v/>
      </c>
      <c r="AF1484" s="57" t="str">
        <f>IF(B1484="","",MONTH(C1484))</f>
        <v/>
      </c>
      <c r="AG1484" s="57">
        <f>IF(ISNUMBER(C1484),C1484,0)</f>
        <v>0.0</v>
      </c>
      <c r="AH1484" s="57" t="str">
        <f>IF(N(W1484)&gt;0,COUNTIF(W$6:W1484,"&gt;0"),"")</f>
        <v/>
      </c>
      <c r="AI1484" s="57" t="str">
        <f>IF(Z1484=1,COUNTIF(Z$6:Z1484,1),"")</f>
        <v/>
      </c>
    </row>
    <row r="1485">
      <c r="A1485" s="54" t="n"/>
      <c r="B1485" s="55" t="str">
        <f>IF(AA1485="","",A1485&amp;"-"&amp;RIGHT("000"&amp;AA1485,4))</f>
        <v/>
      </c>
      <c r="C1485" s="56" t="n"/>
      <c r="D1485" s="54" t="n"/>
      <c r="E1485" s="57" t="str">
        <f>IF(D1485="","",IF(A1485="BL",IFERROR(INDEX(cl_name,MATCH(D1485,cl_code,0))&amp;"","Client inconnu"),IF(A1485="BR",IFERROR(INDEX(fo_name,MATCH(D1485,fo_code,0))&amp;"","Fournisseur inconnu"),IF(A1485="BS",IF(ISNA(MATCH(D1485,p_services,0)),"Service inconnu",D1485&amp;""),""))))</f>
        <v/>
      </c>
      <c r="F1485" s="58" t="n"/>
      <c r="G1485" s="58" t="n"/>
      <c r="H1485" s="59" t="n"/>
      <c r="I1485" s="57" t="str">
        <f>IF(H1485="","",IFERROR(INDEX(art_des,MATCH(H1485,art_ref,0))&amp;"","Article inconnu"))</f>
        <v/>
      </c>
      <c r="J1485" s="60" t="str">
        <f>IF(H1485="","",IFERROR(INDEX(art_unit,MATCH(H1485,art_ref,0))&amp;"",""))</f>
        <v/>
      </c>
      <c r="K1485" s="59" t="n"/>
      <c r="L1485" s="59" t="n"/>
      <c r="M1485" s="61" t="str">
        <f>IF(OR(B1485="",NOT(ISNUMBER(K1485)),NOT(ISNUMBER(L1485))),"",IF(OR(K1485&lt;=0,L1485&lt;=0),"",ROUND(L1485-K1485,6)))</f>
        <v/>
      </c>
      <c r="N1485" s="58" t="n"/>
      <c r="O1485" s="62" t="n"/>
      <c r="P1485" s="63" t="str">
        <f>IF(OR(B1485="",NOT(ISNUMBER(L1485))),"",IF(L1485&lt;=0,"",IFERROR(ROUND(L1485*N(INDEX(art_w,MATCH(H1485,art_ref,0))),3),"")))</f>
        <v/>
      </c>
      <c r="Q1485" s="59" t="n"/>
      <c r="R1485" s="54" t="n"/>
      <c r="S1485" s="59" t="n"/>
      <c r="T1485" s="59" t="n"/>
      <c r="U1485" s="64" t="str">
        <f>IF(OR(B1485="",H1485=""),"",IFERROR(IF(A1485="BL",IF(N(INDEX(art_price,MATCH(H1485,art_ref,0)))=0,"",N(INDEX(art_price,MATCH(H1485,art_ref,0)))),IF(N(INDEX(art_cost,MATCH(H1485,art_ref,0)))=0,"",N(INDEX(art_cost,MATCH(H1485,art_ref,0))))),""))</f>
        <v/>
      </c>
      <c r="V1485" s="64" t="str">
        <f>IF(OR(U1485="",NOT(ISNUMBER(L1485))),"",IF(L1485&lt;=0,"",ROUND(L1485*U1485,2)))</f>
        <v/>
      </c>
      <c r="W1485" s="60" t="str">
        <f>IF(AND(B1485&lt;&gt;"",A1485&lt;&gt;"BS",F1485&lt;&gt;"",H1485&lt;&gt;"",ISNUMBER(K1485),ISNUMBER(L1485)),IF(AND(K1485&gt;0,L1485&gt;0,K1485-L1485&gt;0,COUNTIFS(A1486:A$2005,A1485,F1486:F$2005,F1485,H1486:H$2005,H1485,AA1486:AA$2005,"&gt;0")=0),ROUND(K1485-L1485,6),""),"")</f>
        <v/>
      </c>
      <c r="X1485" s="60" t="str">
        <f>IF(AND(A1485="",C1485="",D1485="",H1485="",L1485=""),"",IF(A1485="","Type manquant",IF(AND(A1485&lt;&gt;"BL",A1485&lt;&gt;"BR",A1485&lt;&gt;"BS"),"Type inconnu (BL, BR ou BS)",IF(AG1485=0,"Date manquante ou invalide",IF(D1485="",IF(A1485="BL","Client manquant",IF(A1485="BR","Fournisseur manquant","Service manquant")),IF(IF(A1485="BL",ISNA(MATCH(D1485,cl_code,0)),IF(A1485="BR",ISNA(MATCH(D1485,fo_code,0)),ISNA(MATCH(D1485,p_services,0)))),IF(A1485="BL","Client inconnu",IF(A1485="BR","Fournisseur inconnu","Service inconnu")),IF(H1485="","Article manquant",IF(ISNA(MATCH(H1485,art_ref,0)),"Article inconnu",IF(OR(NOT(ISNUMBER(L1485)),N(L1485)&lt;=0),"Quantité invalide",IF(AND(K1485&lt;&gt;"",OR(NOT(ISNUMBER(K1485)),N(K1485)&lt;=0)),"Qté commandée invalide",IF(AG1485&lt;SUMPRODUCT(MAX((A$6:A1484=A1485)*AG$6:AG1484)),"Date antérieure au bon précédent",IF(AND(A1485&lt;&gt;"BR",ISNUMBER(M1485),N(M1485)&gt;0),IF(A1485="BL","Livré plus que commandé","Sorti plus que demandé"),"OK"))))))))))))</f>
        <v/>
      </c>
      <c r="Y1485" s="57" t="str">
        <f>IF(AND(OR(A1485="BL",A1485="BR",A1485="BS"),AG1485&gt;0,D1485&lt;&gt;""),A1485&amp;"|"&amp;AG1485&amp;"|"&amp;D1485&amp;"|"&amp;F1485,"")</f>
        <v/>
      </c>
      <c r="Z1485" s="57" t="str">
        <f>IF(Y1485="","",IF(COUNTIF(Y$6:Y1484,Y1485)=0,1,0))</f>
        <v/>
      </c>
      <c r="AA1485" s="57" t="str">
        <f>IF(Y1485="","",IF(Z1485=1,COUNTIFS(A$6:A1485,A1485,Z$6:Z1485,1),INDEX(AA$6:AA1484,MATCH(Y1485,Y$6:Y1484,0))))</f>
        <v/>
      </c>
      <c r="AB1485" s="57" t="str">
        <f>IF(B1485="","",COUNTIF(B$6:B1485,B1485))</f>
        <v/>
      </c>
      <c r="AC1485" s="57" t="str">
        <f>IF(B1485="","",B1485&amp;"#"&amp;AB1485)</f>
        <v/>
      </c>
      <c r="AD1485" s="57" t="str">
        <f>IF(Z1485=1,A1485&amp;AA1485,"")</f>
        <v/>
      </c>
      <c r="AE1485" s="57" t="str">
        <f>IF(B1485="","",YEAR(C1485))</f>
        <v/>
      </c>
      <c r="AF1485" s="57" t="str">
        <f>IF(B1485="","",MONTH(C1485))</f>
        <v/>
      </c>
      <c r="AG1485" s="57">
        <f>IF(ISNUMBER(C1485),C1485,0)</f>
        <v>0.0</v>
      </c>
      <c r="AH1485" s="57" t="str">
        <f>IF(N(W1485)&gt;0,COUNTIF(W$6:W1485,"&gt;0"),"")</f>
        <v/>
      </c>
      <c r="AI1485" s="57" t="str">
        <f>IF(Z1485=1,COUNTIF(Z$6:Z1485,1),"")</f>
        <v/>
      </c>
    </row>
    <row r="1486">
      <c r="A1486" s="54" t="n"/>
      <c r="B1486" s="55" t="str">
        <f>IF(AA1486="","",A1486&amp;"-"&amp;RIGHT("000"&amp;AA1486,4))</f>
        <v/>
      </c>
      <c r="C1486" s="56" t="n"/>
      <c r="D1486" s="54" t="n"/>
      <c r="E1486" s="57" t="str">
        <f>IF(D1486="","",IF(A1486="BL",IFERROR(INDEX(cl_name,MATCH(D1486,cl_code,0))&amp;"","Client inconnu"),IF(A1486="BR",IFERROR(INDEX(fo_name,MATCH(D1486,fo_code,0))&amp;"","Fournisseur inconnu"),IF(A1486="BS",IF(ISNA(MATCH(D1486,p_services,0)),"Service inconnu",D1486&amp;""),""))))</f>
        <v/>
      </c>
      <c r="F1486" s="58" t="n"/>
      <c r="G1486" s="58" t="n"/>
      <c r="H1486" s="59" t="n"/>
      <c r="I1486" s="57" t="str">
        <f>IF(H1486="","",IFERROR(INDEX(art_des,MATCH(H1486,art_ref,0))&amp;"","Article inconnu"))</f>
        <v/>
      </c>
      <c r="J1486" s="60" t="str">
        <f>IF(H1486="","",IFERROR(INDEX(art_unit,MATCH(H1486,art_ref,0))&amp;"",""))</f>
        <v/>
      </c>
      <c r="K1486" s="59" t="n"/>
      <c r="L1486" s="59" t="n"/>
      <c r="M1486" s="61" t="str">
        <f>IF(OR(B1486="",NOT(ISNUMBER(K1486)),NOT(ISNUMBER(L1486))),"",IF(OR(K1486&lt;=0,L1486&lt;=0),"",ROUND(L1486-K1486,6)))</f>
        <v/>
      </c>
      <c r="N1486" s="58" t="n"/>
      <c r="O1486" s="62" t="n"/>
      <c r="P1486" s="63" t="str">
        <f>IF(OR(B1486="",NOT(ISNUMBER(L1486))),"",IF(L1486&lt;=0,"",IFERROR(ROUND(L1486*N(INDEX(art_w,MATCH(H1486,art_ref,0))),3),"")))</f>
        <v/>
      </c>
      <c r="Q1486" s="59" t="n"/>
      <c r="R1486" s="54" t="n"/>
      <c r="S1486" s="59" t="n"/>
      <c r="T1486" s="59" t="n"/>
      <c r="U1486" s="64" t="str">
        <f>IF(OR(B1486="",H1486=""),"",IFERROR(IF(A1486="BL",IF(N(INDEX(art_price,MATCH(H1486,art_ref,0)))=0,"",N(INDEX(art_price,MATCH(H1486,art_ref,0)))),IF(N(INDEX(art_cost,MATCH(H1486,art_ref,0)))=0,"",N(INDEX(art_cost,MATCH(H1486,art_ref,0))))),""))</f>
        <v/>
      </c>
      <c r="V1486" s="64" t="str">
        <f>IF(OR(U1486="",NOT(ISNUMBER(L1486))),"",IF(L1486&lt;=0,"",ROUND(L1486*U1486,2)))</f>
        <v/>
      </c>
      <c r="W1486" s="60" t="str">
        <f>IF(AND(B1486&lt;&gt;"",A1486&lt;&gt;"BS",F1486&lt;&gt;"",H1486&lt;&gt;"",ISNUMBER(K1486),ISNUMBER(L1486)),IF(AND(K1486&gt;0,L1486&gt;0,K1486-L1486&gt;0,COUNTIFS(A1487:A$2005,A1486,F1487:F$2005,F1486,H1487:H$2005,H1486,AA1487:AA$2005,"&gt;0")=0),ROUND(K1486-L1486,6),""),"")</f>
        <v/>
      </c>
      <c r="X1486" s="60" t="str">
        <f>IF(AND(A1486="",C1486="",D1486="",H1486="",L1486=""),"",IF(A1486="","Type manquant",IF(AND(A1486&lt;&gt;"BL",A1486&lt;&gt;"BR",A1486&lt;&gt;"BS"),"Type inconnu (BL, BR ou BS)",IF(AG1486=0,"Date manquante ou invalide",IF(D1486="",IF(A1486="BL","Client manquant",IF(A1486="BR","Fournisseur manquant","Service manquant")),IF(IF(A1486="BL",ISNA(MATCH(D1486,cl_code,0)),IF(A1486="BR",ISNA(MATCH(D1486,fo_code,0)),ISNA(MATCH(D1486,p_services,0)))),IF(A1486="BL","Client inconnu",IF(A1486="BR","Fournisseur inconnu","Service inconnu")),IF(H1486="","Article manquant",IF(ISNA(MATCH(H1486,art_ref,0)),"Article inconnu",IF(OR(NOT(ISNUMBER(L1486)),N(L1486)&lt;=0),"Quantité invalide",IF(AND(K1486&lt;&gt;"",OR(NOT(ISNUMBER(K1486)),N(K1486)&lt;=0)),"Qté commandée invalide",IF(AG1486&lt;SUMPRODUCT(MAX((A$6:A1485=A1486)*AG$6:AG1485)),"Date antérieure au bon précédent",IF(AND(A1486&lt;&gt;"BR",ISNUMBER(M1486),N(M1486)&gt;0),IF(A1486="BL","Livré plus que commandé","Sorti plus que demandé"),"OK"))))))))))))</f>
        <v/>
      </c>
      <c r="Y1486" s="57" t="str">
        <f>IF(AND(OR(A1486="BL",A1486="BR",A1486="BS"),AG1486&gt;0,D1486&lt;&gt;""),A1486&amp;"|"&amp;AG1486&amp;"|"&amp;D1486&amp;"|"&amp;F1486,"")</f>
        <v/>
      </c>
      <c r="Z1486" s="57" t="str">
        <f>IF(Y1486="","",IF(COUNTIF(Y$6:Y1485,Y1486)=0,1,0))</f>
        <v/>
      </c>
      <c r="AA1486" s="57" t="str">
        <f>IF(Y1486="","",IF(Z1486=1,COUNTIFS(A$6:A1486,A1486,Z$6:Z1486,1),INDEX(AA$6:AA1485,MATCH(Y1486,Y$6:Y1485,0))))</f>
        <v/>
      </c>
      <c r="AB1486" s="57" t="str">
        <f>IF(B1486="","",COUNTIF(B$6:B1486,B1486))</f>
        <v/>
      </c>
      <c r="AC1486" s="57" t="str">
        <f>IF(B1486="","",B1486&amp;"#"&amp;AB1486)</f>
        <v/>
      </c>
      <c r="AD1486" s="57" t="str">
        <f>IF(Z1486=1,A1486&amp;AA1486,"")</f>
        <v/>
      </c>
      <c r="AE1486" s="57" t="str">
        <f>IF(B1486="","",YEAR(C1486))</f>
        <v/>
      </c>
      <c r="AF1486" s="57" t="str">
        <f>IF(B1486="","",MONTH(C1486))</f>
        <v/>
      </c>
      <c r="AG1486" s="57">
        <f>IF(ISNUMBER(C1486),C1486,0)</f>
        <v>0.0</v>
      </c>
      <c r="AH1486" s="57" t="str">
        <f>IF(N(W1486)&gt;0,COUNTIF(W$6:W1486,"&gt;0"),"")</f>
        <v/>
      </c>
      <c r="AI1486" s="57" t="str">
        <f>IF(Z1486=1,COUNTIF(Z$6:Z1486,1),"")</f>
        <v/>
      </c>
    </row>
    <row r="1487">
      <c r="A1487" s="54" t="n"/>
      <c r="B1487" s="55" t="str">
        <f>IF(AA1487="","",A1487&amp;"-"&amp;RIGHT("000"&amp;AA1487,4))</f>
        <v/>
      </c>
      <c r="C1487" s="56" t="n"/>
      <c r="D1487" s="54" t="n"/>
      <c r="E1487" s="57" t="str">
        <f>IF(D1487="","",IF(A1487="BL",IFERROR(INDEX(cl_name,MATCH(D1487,cl_code,0))&amp;"","Client inconnu"),IF(A1487="BR",IFERROR(INDEX(fo_name,MATCH(D1487,fo_code,0))&amp;"","Fournisseur inconnu"),IF(A1487="BS",IF(ISNA(MATCH(D1487,p_services,0)),"Service inconnu",D1487&amp;""),""))))</f>
        <v/>
      </c>
      <c r="F1487" s="58" t="n"/>
      <c r="G1487" s="58" t="n"/>
      <c r="H1487" s="59" t="n"/>
      <c r="I1487" s="57" t="str">
        <f>IF(H1487="","",IFERROR(INDEX(art_des,MATCH(H1487,art_ref,0))&amp;"","Article inconnu"))</f>
        <v/>
      </c>
      <c r="J1487" s="60" t="str">
        <f>IF(H1487="","",IFERROR(INDEX(art_unit,MATCH(H1487,art_ref,0))&amp;"",""))</f>
        <v/>
      </c>
      <c r="K1487" s="59" t="n"/>
      <c r="L1487" s="59" t="n"/>
      <c r="M1487" s="61" t="str">
        <f>IF(OR(B1487="",NOT(ISNUMBER(K1487)),NOT(ISNUMBER(L1487))),"",IF(OR(K1487&lt;=0,L1487&lt;=0),"",ROUND(L1487-K1487,6)))</f>
        <v/>
      </c>
      <c r="N1487" s="58" t="n"/>
      <c r="O1487" s="62" t="n"/>
      <c r="P1487" s="63" t="str">
        <f>IF(OR(B1487="",NOT(ISNUMBER(L1487))),"",IF(L1487&lt;=0,"",IFERROR(ROUND(L1487*N(INDEX(art_w,MATCH(H1487,art_ref,0))),3),"")))</f>
        <v/>
      </c>
      <c r="Q1487" s="59" t="n"/>
      <c r="R1487" s="54" t="n"/>
      <c r="S1487" s="59" t="n"/>
      <c r="T1487" s="59" t="n"/>
      <c r="U1487" s="64" t="str">
        <f>IF(OR(B1487="",H1487=""),"",IFERROR(IF(A1487="BL",IF(N(INDEX(art_price,MATCH(H1487,art_ref,0)))=0,"",N(INDEX(art_price,MATCH(H1487,art_ref,0)))),IF(N(INDEX(art_cost,MATCH(H1487,art_ref,0)))=0,"",N(INDEX(art_cost,MATCH(H1487,art_ref,0))))),""))</f>
        <v/>
      </c>
      <c r="V1487" s="64" t="str">
        <f>IF(OR(U1487="",NOT(ISNUMBER(L1487))),"",IF(L1487&lt;=0,"",ROUND(L1487*U1487,2)))</f>
        <v/>
      </c>
      <c r="W1487" s="60" t="str">
        <f>IF(AND(B1487&lt;&gt;"",A1487&lt;&gt;"BS",F1487&lt;&gt;"",H1487&lt;&gt;"",ISNUMBER(K1487),ISNUMBER(L1487)),IF(AND(K1487&gt;0,L1487&gt;0,K1487-L1487&gt;0,COUNTIFS(A1488:A$2005,A1487,F1488:F$2005,F1487,H1488:H$2005,H1487,AA1488:AA$2005,"&gt;0")=0),ROUND(K1487-L1487,6),""),"")</f>
        <v/>
      </c>
      <c r="X1487" s="60" t="str">
        <f>IF(AND(A1487="",C1487="",D1487="",H1487="",L1487=""),"",IF(A1487="","Type manquant",IF(AND(A1487&lt;&gt;"BL",A1487&lt;&gt;"BR",A1487&lt;&gt;"BS"),"Type inconnu (BL, BR ou BS)",IF(AG1487=0,"Date manquante ou invalide",IF(D1487="",IF(A1487="BL","Client manquant",IF(A1487="BR","Fournisseur manquant","Service manquant")),IF(IF(A1487="BL",ISNA(MATCH(D1487,cl_code,0)),IF(A1487="BR",ISNA(MATCH(D1487,fo_code,0)),ISNA(MATCH(D1487,p_services,0)))),IF(A1487="BL","Client inconnu",IF(A1487="BR","Fournisseur inconnu","Service inconnu")),IF(H1487="","Article manquant",IF(ISNA(MATCH(H1487,art_ref,0)),"Article inconnu",IF(OR(NOT(ISNUMBER(L1487)),N(L1487)&lt;=0),"Quantité invalide",IF(AND(K1487&lt;&gt;"",OR(NOT(ISNUMBER(K1487)),N(K1487)&lt;=0)),"Qté commandée invalide",IF(AG1487&lt;SUMPRODUCT(MAX((A$6:A1486=A1487)*AG$6:AG1486)),"Date antérieure au bon précédent",IF(AND(A1487&lt;&gt;"BR",ISNUMBER(M1487),N(M1487)&gt;0),IF(A1487="BL","Livré plus que commandé","Sorti plus que demandé"),"OK"))))))))))))</f>
        <v/>
      </c>
      <c r="Y1487" s="57" t="str">
        <f>IF(AND(OR(A1487="BL",A1487="BR",A1487="BS"),AG1487&gt;0,D1487&lt;&gt;""),A1487&amp;"|"&amp;AG1487&amp;"|"&amp;D1487&amp;"|"&amp;F1487,"")</f>
        <v/>
      </c>
      <c r="Z1487" s="57" t="str">
        <f>IF(Y1487="","",IF(COUNTIF(Y$6:Y1486,Y1487)=0,1,0))</f>
        <v/>
      </c>
      <c r="AA1487" s="57" t="str">
        <f>IF(Y1487="","",IF(Z1487=1,COUNTIFS(A$6:A1487,A1487,Z$6:Z1487,1),INDEX(AA$6:AA1486,MATCH(Y1487,Y$6:Y1486,0))))</f>
        <v/>
      </c>
      <c r="AB1487" s="57" t="str">
        <f>IF(B1487="","",COUNTIF(B$6:B1487,B1487))</f>
        <v/>
      </c>
      <c r="AC1487" s="57" t="str">
        <f>IF(B1487="","",B1487&amp;"#"&amp;AB1487)</f>
        <v/>
      </c>
      <c r="AD1487" s="57" t="str">
        <f>IF(Z1487=1,A1487&amp;AA1487,"")</f>
        <v/>
      </c>
      <c r="AE1487" s="57" t="str">
        <f>IF(B1487="","",YEAR(C1487))</f>
        <v/>
      </c>
      <c r="AF1487" s="57" t="str">
        <f>IF(B1487="","",MONTH(C1487))</f>
        <v/>
      </c>
      <c r="AG1487" s="57">
        <f>IF(ISNUMBER(C1487),C1487,0)</f>
        <v>0.0</v>
      </c>
      <c r="AH1487" s="57" t="str">
        <f>IF(N(W1487)&gt;0,COUNTIF(W$6:W1487,"&gt;0"),"")</f>
        <v/>
      </c>
      <c r="AI1487" s="57" t="str">
        <f>IF(Z1487=1,COUNTIF(Z$6:Z1487,1),"")</f>
        <v/>
      </c>
    </row>
    <row r="1488">
      <c r="A1488" s="54" t="n"/>
      <c r="B1488" s="55" t="str">
        <f>IF(AA1488="","",A1488&amp;"-"&amp;RIGHT("000"&amp;AA1488,4))</f>
        <v/>
      </c>
      <c r="C1488" s="56" t="n"/>
      <c r="D1488" s="54" t="n"/>
      <c r="E1488" s="57" t="str">
        <f>IF(D1488="","",IF(A1488="BL",IFERROR(INDEX(cl_name,MATCH(D1488,cl_code,0))&amp;"","Client inconnu"),IF(A1488="BR",IFERROR(INDEX(fo_name,MATCH(D1488,fo_code,0))&amp;"","Fournisseur inconnu"),IF(A1488="BS",IF(ISNA(MATCH(D1488,p_services,0)),"Service inconnu",D1488&amp;""),""))))</f>
        <v/>
      </c>
      <c r="F1488" s="58" t="n"/>
      <c r="G1488" s="58" t="n"/>
      <c r="H1488" s="59" t="n"/>
      <c r="I1488" s="57" t="str">
        <f>IF(H1488="","",IFERROR(INDEX(art_des,MATCH(H1488,art_ref,0))&amp;"","Article inconnu"))</f>
        <v/>
      </c>
      <c r="J1488" s="60" t="str">
        <f>IF(H1488="","",IFERROR(INDEX(art_unit,MATCH(H1488,art_ref,0))&amp;"",""))</f>
        <v/>
      </c>
      <c r="K1488" s="59" t="n"/>
      <c r="L1488" s="59" t="n"/>
      <c r="M1488" s="61" t="str">
        <f>IF(OR(B1488="",NOT(ISNUMBER(K1488)),NOT(ISNUMBER(L1488))),"",IF(OR(K1488&lt;=0,L1488&lt;=0),"",ROUND(L1488-K1488,6)))</f>
        <v/>
      </c>
      <c r="N1488" s="58" t="n"/>
      <c r="O1488" s="62" t="n"/>
      <c r="P1488" s="63" t="str">
        <f>IF(OR(B1488="",NOT(ISNUMBER(L1488))),"",IF(L1488&lt;=0,"",IFERROR(ROUND(L1488*N(INDEX(art_w,MATCH(H1488,art_ref,0))),3),"")))</f>
        <v/>
      </c>
      <c r="Q1488" s="59" t="n"/>
      <c r="R1488" s="54" t="n"/>
      <c r="S1488" s="59" t="n"/>
      <c r="T1488" s="59" t="n"/>
      <c r="U1488" s="64" t="str">
        <f>IF(OR(B1488="",H1488=""),"",IFERROR(IF(A1488="BL",IF(N(INDEX(art_price,MATCH(H1488,art_ref,0)))=0,"",N(INDEX(art_price,MATCH(H1488,art_ref,0)))),IF(N(INDEX(art_cost,MATCH(H1488,art_ref,0)))=0,"",N(INDEX(art_cost,MATCH(H1488,art_ref,0))))),""))</f>
        <v/>
      </c>
      <c r="V1488" s="64" t="str">
        <f>IF(OR(U1488="",NOT(ISNUMBER(L1488))),"",IF(L1488&lt;=0,"",ROUND(L1488*U1488,2)))</f>
        <v/>
      </c>
      <c r="W1488" s="60" t="str">
        <f>IF(AND(B1488&lt;&gt;"",A1488&lt;&gt;"BS",F1488&lt;&gt;"",H1488&lt;&gt;"",ISNUMBER(K1488),ISNUMBER(L1488)),IF(AND(K1488&gt;0,L1488&gt;0,K1488-L1488&gt;0,COUNTIFS(A1489:A$2005,A1488,F1489:F$2005,F1488,H1489:H$2005,H1488,AA1489:AA$2005,"&gt;0")=0),ROUND(K1488-L1488,6),""),"")</f>
        <v/>
      </c>
      <c r="X1488" s="60" t="str">
        <f>IF(AND(A1488="",C1488="",D1488="",H1488="",L1488=""),"",IF(A1488="","Type manquant",IF(AND(A1488&lt;&gt;"BL",A1488&lt;&gt;"BR",A1488&lt;&gt;"BS"),"Type inconnu (BL, BR ou BS)",IF(AG1488=0,"Date manquante ou invalide",IF(D1488="",IF(A1488="BL","Client manquant",IF(A1488="BR","Fournisseur manquant","Service manquant")),IF(IF(A1488="BL",ISNA(MATCH(D1488,cl_code,0)),IF(A1488="BR",ISNA(MATCH(D1488,fo_code,0)),ISNA(MATCH(D1488,p_services,0)))),IF(A1488="BL","Client inconnu",IF(A1488="BR","Fournisseur inconnu","Service inconnu")),IF(H1488="","Article manquant",IF(ISNA(MATCH(H1488,art_ref,0)),"Article inconnu",IF(OR(NOT(ISNUMBER(L1488)),N(L1488)&lt;=0),"Quantité invalide",IF(AND(K1488&lt;&gt;"",OR(NOT(ISNUMBER(K1488)),N(K1488)&lt;=0)),"Qté commandée invalide",IF(AG1488&lt;SUMPRODUCT(MAX((A$6:A1487=A1488)*AG$6:AG1487)),"Date antérieure au bon précédent",IF(AND(A1488&lt;&gt;"BR",ISNUMBER(M1488),N(M1488)&gt;0),IF(A1488="BL","Livré plus que commandé","Sorti plus que demandé"),"OK"))))))))))))</f>
        <v/>
      </c>
      <c r="Y1488" s="57" t="str">
        <f>IF(AND(OR(A1488="BL",A1488="BR",A1488="BS"),AG1488&gt;0,D1488&lt;&gt;""),A1488&amp;"|"&amp;AG1488&amp;"|"&amp;D1488&amp;"|"&amp;F1488,"")</f>
        <v/>
      </c>
      <c r="Z1488" s="57" t="str">
        <f>IF(Y1488="","",IF(COUNTIF(Y$6:Y1487,Y1488)=0,1,0))</f>
        <v/>
      </c>
      <c r="AA1488" s="57" t="str">
        <f>IF(Y1488="","",IF(Z1488=1,COUNTIFS(A$6:A1488,A1488,Z$6:Z1488,1),INDEX(AA$6:AA1487,MATCH(Y1488,Y$6:Y1487,0))))</f>
        <v/>
      </c>
      <c r="AB1488" s="57" t="str">
        <f>IF(B1488="","",COUNTIF(B$6:B1488,B1488))</f>
        <v/>
      </c>
      <c r="AC1488" s="57" t="str">
        <f>IF(B1488="","",B1488&amp;"#"&amp;AB1488)</f>
        <v/>
      </c>
      <c r="AD1488" s="57" t="str">
        <f>IF(Z1488=1,A1488&amp;AA1488,"")</f>
        <v/>
      </c>
      <c r="AE1488" s="57" t="str">
        <f>IF(B1488="","",YEAR(C1488))</f>
        <v/>
      </c>
      <c r="AF1488" s="57" t="str">
        <f>IF(B1488="","",MONTH(C1488))</f>
        <v/>
      </c>
      <c r="AG1488" s="57">
        <f>IF(ISNUMBER(C1488),C1488,0)</f>
        <v>0.0</v>
      </c>
      <c r="AH1488" s="57" t="str">
        <f>IF(N(W1488)&gt;0,COUNTIF(W$6:W1488,"&gt;0"),"")</f>
        <v/>
      </c>
      <c r="AI1488" s="57" t="str">
        <f>IF(Z1488=1,COUNTIF(Z$6:Z1488,1),"")</f>
        <v/>
      </c>
    </row>
    <row r="1489">
      <c r="A1489" s="54" t="n"/>
      <c r="B1489" s="55" t="str">
        <f>IF(AA1489="","",A1489&amp;"-"&amp;RIGHT("000"&amp;AA1489,4))</f>
        <v/>
      </c>
      <c r="C1489" s="56" t="n"/>
      <c r="D1489" s="54" t="n"/>
      <c r="E1489" s="57" t="str">
        <f>IF(D1489="","",IF(A1489="BL",IFERROR(INDEX(cl_name,MATCH(D1489,cl_code,0))&amp;"","Client inconnu"),IF(A1489="BR",IFERROR(INDEX(fo_name,MATCH(D1489,fo_code,0))&amp;"","Fournisseur inconnu"),IF(A1489="BS",IF(ISNA(MATCH(D1489,p_services,0)),"Service inconnu",D1489&amp;""),""))))</f>
        <v/>
      </c>
      <c r="F1489" s="58" t="n"/>
      <c r="G1489" s="58" t="n"/>
      <c r="H1489" s="59" t="n"/>
      <c r="I1489" s="57" t="str">
        <f>IF(H1489="","",IFERROR(INDEX(art_des,MATCH(H1489,art_ref,0))&amp;"","Article inconnu"))</f>
        <v/>
      </c>
      <c r="J1489" s="60" t="str">
        <f>IF(H1489="","",IFERROR(INDEX(art_unit,MATCH(H1489,art_ref,0))&amp;"",""))</f>
        <v/>
      </c>
      <c r="K1489" s="59" t="n"/>
      <c r="L1489" s="59" t="n"/>
      <c r="M1489" s="61" t="str">
        <f>IF(OR(B1489="",NOT(ISNUMBER(K1489)),NOT(ISNUMBER(L1489))),"",IF(OR(K1489&lt;=0,L1489&lt;=0),"",ROUND(L1489-K1489,6)))</f>
        <v/>
      </c>
      <c r="N1489" s="58" t="n"/>
      <c r="O1489" s="62" t="n"/>
      <c r="P1489" s="63" t="str">
        <f>IF(OR(B1489="",NOT(ISNUMBER(L1489))),"",IF(L1489&lt;=0,"",IFERROR(ROUND(L1489*N(INDEX(art_w,MATCH(H1489,art_ref,0))),3),"")))</f>
        <v/>
      </c>
      <c r="Q1489" s="59" t="n"/>
      <c r="R1489" s="54" t="n"/>
      <c r="S1489" s="59" t="n"/>
      <c r="T1489" s="59" t="n"/>
      <c r="U1489" s="64" t="str">
        <f>IF(OR(B1489="",H1489=""),"",IFERROR(IF(A1489="BL",IF(N(INDEX(art_price,MATCH(H1489,art_ref,0)))=0,"",N(INDEX(art_price,MATCH(H1489,art_ref,0)))),IF(N(INDEX(art_cost,MATCH(H1489,art_ref,0)))=0,"",N(INDEX(art_cost,MATCH(H1489,art_ref,0))))),""))</f>
        <v/>
      </c>
      <c r="V1489" s="64" t="str">
        <f>IF(OR(U1489="",NOT(ISNUMBER(L1489))),"",IF(L1489&lt;=0,"",ROUND(L1489*U1489,2)))</f>
        <v/>
      </c>
      <c r="W1489" s="60" t="str">
        <f>IF(AND(B1489&lt;&gt;"",A1489&lt;&gt;"BS",F1489&lt;&gt;"",H1489&lt;&gt;"",ISNUMBER(K1489),ISNUMBER(L1489)),IF(AND(K1489&gt;0,L1489&gt;0,K1489-L1489&gt;0,COUNTIFS(A1490:A$2005,A1489,F1490:F$2005,F1489,H1490:H$2005,H1489,AA1490:AA$2005,"&gt;0")=0),ROUND(K1489-L1489,6),""),"")</f>
        <v/>
      </c>
      <c r="X1489" s="60" t="str">
        <f>IF(AND(A1489="",C1489="",D1489="",H1489="",L1489=""),"",IF(A1489="","Type manquant",IF(AND(A1489&lt;&gt;"BL",A1489&lt;&gt;"BR",A1489&lt;&gt;"BS"),"Type inconnu (BL, BR ou BS)",IF(AG1489=0,"Date manquante ou invalide",IF(D1489="",IF(A1489="BL","Client manquant",IF(A1489="BR","Fournisseur manquant","Service manquant")),IF(IF(A1489="BL",ISNA(MATCH(D1489,cl_code,0)),IF(A1489="BR",ISNA(MATCH(D1489,fo_code,0)),ISNA(MATCH(D1489,p_services,0)))),IF(A1489="BL","Client inconnu",IF(A1489="BR","Fournisseur inconnu","Service inconnu")),IF(H1489="","Article manquant",IF(ISNA(MATCH(H1489,art_ref,0)),"Article inconnu",IF(OR(NOT(ISNUMBER(L1489)),N(L1489)&lt;=0),"Quantité invalide",IF(AND(K1489&lt;&gt;"",OR(NOT(ISNUMBER(K1489)),N(K1489)&lt;=0)),"Qté commandée invalide",IF(AG1489&lt;SUMPRODUCT(MAX((A$6:A1488=A1489)*AG$6:AG1488)),"Date antérieure au bon précédent",IF(AND(A1489&lt;&gt;"BR",ISNUMBER(M1489),N(M1489)&gt;0),IF(A1489="BL","Livré plus que commandé","Sorti plus que demandé"),"OK"))))))))))))</f>
        <v/>
      </c>
      <c r="Y1489" s="57" t="str">
        <f>IF(AND(OR(A1489="BL",A1489="BR",A1489="BS"),AG1489&gt;0,D1489&lt;&gt;""),A1489&amp;"|"&amp;AG1489&amp;"|"&amp;D1489&amp;"|"&amp;F1489,"")</f>
        <v/>
      </c>
      <c r="Z1489" s="57" t="str">
        <f>IF(Y1489="","",IF(COUNTIF(Y$6:Y1488,Y1489)=0,1,0))</f>
        <v/>
      </c>
      <c r="AA1489" s="57" t="str">
        <f>IF(Y1489="","",IF(Z1489=1,COUNTIFS(A$6:A1489,A1489,Z$6:Z1489,1),INDEX(AA$6:AA1488,MATCH(Y1489,Y$6:Y1488,0))))</f>
        <v/>
      </c>
      <c r="AB1489" s="57" t="str">
        <f>IF(B1489="","",COUNTIF(B$6:B1489,B1489))</f>
        <v/>
      </c>
      <c r="AC1489" s="57" t="str">
        <f>IF(B1489="","",B1489&amp;"#"&amp;AB1489)</f>
        <v/>
      </c>
      <c r="AD1489" s="57" t="str">
        <f>IF(Z1489=1,A1489&amp;AA1489,"")</f>
        <v/>
      </c>
      <c r="AE1489" s="57" t="str">
        <f>IF(B1489="","",YEAR(C1489))</f>
        <v/>
      </c>
      <c r="AF1489" s="57" t="str">
        <f>IF(B1489="","",MONTH(C1489))</f>
        <v/>
      </c>
      <c r="AG1489" s="57">
        <f>IF(ISNUMBER(C1489),C1489,0)</f>
        <v>0.0</v>
      </c>
      <c r="AH1489" s="57" t="str">
        <f>IF(N(W1489)&gt;0,COUNTIF(W$6:W1489,"&gt;0"),"")</f>
        <v/>
      </c>
      <c r="AI1489" s="57" t="str">
        <f>IF(Z1489=1,COUNTIF(Z$6:Z1489,1),"")</f>
        <v/>
      </c>
    </row>
    <row r="1490">
      <c r="A1490" s="54" t="n"/>
      <c r="B1490" s="55" t="str">
        <f>IF(AA1490="","",A1490&amp;"-"&amp;RIGHT("000"&amp;AA1490,4))</f>
        <v/>
      </c>
      <c r="C1490" s="56" t="n"/>
      <c r="D1490" s="54" t="n"/>
      <c r="E1490" s="57" t="str">
        <f>IF(D1490="","",IF(A1490="BL",IFERROR(INDEX(cl_name,MATCH(D1490,cl_code,0))&amp;"","Client inconnu"),IF(A1490="BR",IFERROR(INDEX(fo_name,MATCH(D1490,fo_code,0))&amp;"","Fournisseur inconnu"),IF(A1490="BS",IF(ISNA(MATCH(D1490,p_services,0)),"Service inconnu",D1490&amp;""),""))))</f>
        <v/>
      </c>
      <c r="F1490" s="58" t="n"/>
      <c r="G1490" s="58" t="n"/>
      <c r="H1490" s="59" t="n"/>
      <c r="I1490" s="57" t="str">
        <f>IF(H1490="","",IFERROR(INDEX(art_des,MATCH(H1490,art_ref,0))&amp;"","Article inconnu"))</f>
        <v/>
      </c>
      <c r="J1490" s="60" t="str">
        <f>IF(H1490="","",IFERROR(INDEX(art_unit,MATCH(H1490,art_ref,0))&amp;"",""))</f>
        <v/>
      </c>
      <c r="K1490" s="59" t="n"/>
      <c r="L1490" s="59" t="n"/>
      <c r="M1490" s="61" t="str">
        <f>IF(OR(B1490="",NOT(ISNUMBER(K1490)),NOT(ISNUMBER(L1490))),"",IF(OR(K1490&lt;=0,L1490&lt;=0),"",ROUND(L1490-K1490,6)))</f>
        <v/>
      </c>
      <c r="N1490" s="58" t="n"/>
      <c r="O1490" s="62" t="n"/>
      <c r="P1490" s="63" t="str">
        <f>IF(OR(B1490="",NOT(ISNUMBER(L1490))),"",IF(L1490&lt;=0,"",IFERROR(ROUND(L1490*N(INDEX(art_w,MATCH(H1490,art_ref,0))),3),"")))</f>
        <v/>
      </c>
      <c r="Q1490" s="59" t="n"/>
      <c r="R1490" s="54" t="n"/>
      <c r="S1490" s="59" t="n"/>
      <c r="T1490" s="59" t="n"/>
      <c r="U1490" s="64" t="str">
        <f>IF(OR(B1490="",H1490=""),"",IFERROR(IF(A1490="BL",IF(N(INDEX(art_price,MATCH(H1490,art_ref,0)))=0,"",N(INDEX(art_price,MATCH(H1490,art_ref,0)))),IF(N(INDEX(art_cost,MATCH(H1490,art_ref,0)))=0,"",N(INDEX(art_cost,MATCH(H1490,art_ref,0))))),""))</f>
        <v/>
      </c>
      <c r="V1490" s="64" t="str">
        <f>IF(OR(U1490="",NOT(ISNUMBER(L1490))),"",IF(L1490&lt;=0,"",ROUND(L1490*U1490,2)))</f>
        <v/>
      </c>
      <c r="W1490" s="60" t="str">
        <f>IF(AND(B1490&lt;&gt;"",A1490&lt;&gt;"BS",F1490&lt;&gt;"",H1490&lt;&gt;"",ISNUMBER(K1490),ISNUMBER(L1490)),IF(AND(K1490&gt;0,L1490&gt;0,K1490-L1490&gt;0,COUNTIFS(A1491:A$2005,A1490,F1491:F$2005,F1490,H1491:H$2005,H1490,AA1491:AA$2005,"&gt;0")=0),ROUND(K1490-L1490,6),""),"")</f>
        <v/>
      </c>
      <c r="X1490" s="60" t="str">
        <f>IF(AND(A1490="",C1490="",D1490="",H1490="",L1490=""),"",IF(A1490="","Type manquant",IF(AND(A1490&lt;&gt;"BL",A1490&lt;&gt;"BR",A1490&lt;&gt;"BS"),"Type inconnu (BL, BR ou BS)",IF(AG1490=0,"Date manquante ou invalide",IF(D1490="",IF(A1490="BL","Client manquant",IF(A1490="BR","Fournisseur manquant","Service manquant")),IF(IF(A1490="BL",ISNA(MATCH(D1490,cl_code,0)),IF(A1490="BR",ISNA(MATCH(D1490,fo_code,0)),ISNA(MATCH(D1490,p_services,0)))),IF(A1490="BL","Client inconnu",IF(A1490="BR","Fournisseur inconnu","Service inconnu")),IF(H1490="","Article manquant",IF(ISNA(MATCH(H1490,art_ref,0)),"Article inconnu",IF(OR(NOT(ISNUMBER(L1490)),N(L1490)&lt;=0),"Quantité invalide",IF(AND(K1490&lt;&gt;"",OR(NOT(ISNUMBER(K1490)),N(K1490)&lt;=0)),"Qté commandée invalide",IF(AG1490&lt;SUMPRODUCT(MAX((A$6:A1489=A1490)*AG$6:AG1489)),"Date antérieure au bon précédent",IF(AND(A1490&lt;&gt;"BR",ISNUMBER(M1490),N(M1490)&gt;0),IF(A1490="BL","Livré plus que commandé","Sorti plus que demandé"),"OK"))))))))))))</f>
        <v/>
      </c>
      <c r="Y1490" s="57" t="str">
        <f>IF(AND(OR(A1490="BL",A1490="BR",A1490="BS"),AG1490&gt;0,D1490&lt;&gt;""),A1490&amp;"|"&amp;AG1490&amp;"|"&amp;D1490&amp;"|"&amp;F1490,"")</f>
        <v/>
      </c>
      <c r="Z1490" s="57" t="str">
        <f>IF(Y1490="","",IF(COUNTIF(Y$6:Y1489,Y1490)=0,1,0))</f>
        <v/>
      </c>
      <c r="AA1490" s="57" t="str">
        <f>IF(Y1490="","",IF(Z1490=1,COUNTIFS(A$6:A1490,A1490,Z$6:Z1490,1),INDEX(AA$6:AA1489,MATCH(Y1490,Y$6:Y1489,0))))</f>
        <v/>
      </c>
      <c r="AB1490" s="57" t="str">
        <f>IF(B1490="","",COUNTIF(B$6:B1490,B1490))</f>
        <v/>
      </c>
      <c r="AC1490" s="57" t="str">
        <f>IF(B1490="","",B1490&amp;"#"&amp;AB1490)</f>
        <v/>
      </c>
      <c r="AD1490" s="57" t="str">
        <f>IF(Z1490=1,A1490&amp;AA1490,"")</f>
        <v/>
      </c>
      <c r="AE1490" s="57" t="str">
        <f>IF(B1490="","",YEAR(C1490))</f>
        <v/>
      </c>
      <c r="AF1490" s="57" t="str">
        <f>IF(B1490="","",MONTH(C1490))</f>
        <v/>
      </c>
      <c r="AG1490" s="57">
        <f>IF(ISNUMBER(C1490),C1490,0)</f>
        <v>0.0</v>
      </c>
      <c r="AH1490" s="57" t="str">
        <f>IF(N(W1490)&gt;0,COUNTIF(W$6:W1490,"&gt;0"),"")</f>
        <v/>
      </c>
      <c r="AI1490" s="57" t="str">
        <f>IF(Z1490=1,COUNTIF(Z$6:Z1490,1),"")</f>
        <v/>
      </c>
    </row>
    <row r="1491">
      <c r="A1491" s="54" t="n"/>
      <c r="B1491" s="55" t="str">
        <f>IF(AA1491="","",A1491&amp;"-"&amp;RIGHT("000"&amp;AA1491,4))</f>
        <v/>
      </c>
      <c r="C1491" s="56" t="n"/>
      <c r="D1491" s="54" t="n"/>
      <c r="E1491" s="57" t="str">
        <f>IF(D1491="","",IF(A1491="BL",IFERROR(INDEX(cl_name,MATCH(D1491,cl_code,0))&amp;"","Client inconnu"),IF(A1491="BR",IFERROR(INDEX(fo_name,MATCH(D1491,fo_code,0))&amp;"","Fournisseur inconnu"),IF(A1491="BS",IF(ISNA(MATCH(D1491,p_services,0)),"Service inconnu",D1491&amp;""),""))))</f>
        <v/>
      </c>
      <c r="F1491" s="58" t="n"/>
      <c r="G1491" s="58" t="n"/>
      <c r="H1491" s="59" t="n"/>
      <c r="I1491" s="57" t="str">
        <f>IF(H1491="","",IFERROR(INDEX(art_des,MATCH(H1491,art_ref,0))&amp;"","Article inconnu"))</f>
        <v/>
      </c>
      <c r="J1491" s="60" t="str">
        <f>IF(H1491="","",IFERROR(INDEX(art_unit,MATCH(H1491,art_ref,0))&amp;"",""))</f>
        <v/>
      </c>
      <c r="K1491" s="59" t="n"/>
      <c r="L1491" s="59" t="n"/>
      <c r="M1491" s="61" t="str">
        <f>IF(OR(B1491="",NOT(ISNUMBER(K1491)),NOT(ISNUMBER(L1491))),"",IF(OR(K1491&lt;=0,L1491&lt;=0),"",ROUND(L1491-K1491,6)))</f>
        <v/>
      </c>
      <c r="N1491" s="58" t="n"/>
      <c r="O1491" s="62" t="n"/>
      <c r="P1491" s="63" t="str">
        <f>IF(OR(B1491="",NOT(ISNUMBER(L1491))),"",IF(L1491&lt;=0,"",IFERROR(ROUND(L1491*N(INDEX(art_w,MATCH(H1491,art_ref,0))),3),"")))</f>
        <v/>
      </c>
      <c r="Q1491" s="59" t="n"/>
      <c r="R1491" s="54" t="n"/>
      <c r="S1491" s="59" t="n"/>
      <c r="T1491" s="59" t="n"/>
      <c r="U1491" s="64" t="str">
        <f>IF(OR(B1491="",H1491=""),"",IFERROR(IF(A1491="BL",IF(N(INDEX(art_price,MATCH(H1491,art_ref,0)))=0,"",N(INDEX(art_price,MATCH(H1491,art_ref,0)))),IF(N(INDEX(art_cost,MATCH(H1491,art_ref,0)))=0,"",N(INDEX(art_cost,MATCH(H1491,art_ref,0))))),""))</f>
        <v/>
      </c>
      <c r="V1491" s="64" t="str">
        <f>IF(OR(U1491="",NOT(ISNUMBER(L1491))),"",IF(L1491&lt;=0,"",ROUND(L1491*U1491,2)))</f>
        <v/>
      </c>
      <c r="W1491" s="60" t="str">
        <f>IF(AND(B1491&lt;&gt;"",A1491&lt;&gt;"BS",F1491&lt;&gt;"",H1491&lt;&gt;"",ISNUMBER(K1491),ISNUMBER(L1491)),IF(AND(K1491&gt;0,L1491&gt;0,K1491-L1491&gt;0,COUNTIFS(A1492:A$2005,A1491,F1492:F$2005,F1491,H1492:H$2005,H1491,AA1492:AA$2005,"&gt;0")=0),ROUND(K1491-L1491,6),""),"")</f>
        <v/>
      </c>
      <c r="X1491" s="60" t="str">
        <f>IF(AND(A1491="",C1491="",D1491="",H1491="",L1491=""),"",IF(A1491="","Type manquant",IF(AND(A1491&lt;&gt;"BL",A1491&lt;&gt;"BR",A1491&lt;&gt;"BS"),"Type inconnu (BL, BR ou BS)",IF(AG1491=0,"Date manquante ou invalide",IF(D1491="",IF(A1491="BL","Client manquant",IF(A1491="BR","Fournisseur manquant","Service manquant")),IF(IF(A1491="BL",ISNA(MATCH(D1491,cl_code,0)),IF(A1491="BR",ISNA(MATCH(D1491,fo_code,0)),ISNA(MATCH(D1491,p_services,0)))),IF(A1491="BL","Client inconnu",IF(A1491="BR","Fournisseur inconnu","Service inconnu")),IF(H1491="","Article manquant",IF(ISNA(MATCH(H1491,art_ref,0)),"Article inconnu",IF(OR(NOT(ISNUMBER(L1491)),N(L1491)&lt;=0),"Quantité invalide",IF(AND(K1491&lt;&gt;"",OR(NOT(ISNUMBER(K1491)),N(K1491)&lt;=0)),"Qté commandée invalide",IF(AG1491&lt;SUMPRODUCT(MAX((A$6:A1490=A1491)*AG$6:AG1490)),"Date antérieure au bon précédent",IF(AND(A1491&lt;&gt;"BR",ISNUMBER(M1491),N(M1491)&gt;0),IF(A1491="BL","Livré plus que commandé","Sorti plus que demandé"),"OK"))))))))))))</f>
        <v/>
      </c>
      <c r="Y1491" s="57" t="str">
        <f>IF(AND(OR(A1491="BL",A1491="BR",A1491="BS"),AG1491&gt;0,D1491&lt;&gt;""),A1491&amp;"|"&amp;AG1491&amp;"|"&amp;D1491&amp;"|"&amp;F1491,"")</f>
        <v/>
      </c>
      <c r="Z1491" s="57" t="str">
        <f>IF(Y1491="","",IF(COUNTIF(Y$6:Y1490,Y1491)=0,1,0))</f>
        <v/>
      </c>
      <c r="AA1491" s="57" t="str">
        <f>IF(Y1491="","",IF(Z1491=1,COUNTIFS(A$6:A1491,A1491,Z$6:Z1491,1),INDEX(AA$6:AA1490,MATCH(Y1491,Y$6:Y1490,0))))</f>
        <v/>
      </c>
      <c r="AB1491" s="57" t="str">
        <f>IF(B1491="","",COUNTIF(B$6:B1491,B1491))</f>
        <v/>
      </c>
      <c r="AC1491" s="57" t="str">
        <f>IF(B1491="","",B1491&amp;"#"&amp;AB1491)</f>
        <v/>
      </c>
      <c r="AD1491" s="57" t="str">
        <f>IF(Z1491=1,A1491&amp;AA1491,"")</f>
        <v/>
      </c>
      <c r="AE1491" s="57" t="str">
        <f>IF(B1491="","",YEAR(C1491))</f>
        <v/>
      </c>
      <c r="AF1491" s="57" t="str">
        <f>IF(B1491="","",MONTH(C1491))</f>
        <v/>
      </c>
      <c r="AG1491" s="57">
        <f>IF(ISNUMBER(C1491),C1491,0)</f>
        <v>0.0</v>
      </c>
      <c r="AH1491" s="57" t="str">
        <f>IF(N(W1491)&gt;0,COUNTIF(W$6:W1491,"&gt;0"),"")</f>
        <v/>
      </c>
      <c r="AI1491" s="57" t="str">
        <f>IF(Z1491=1,COUNTIF(Z$6:Z1491,1),"")</f>
        <v/>
      </c>
    </row>
    <row r="1492">
      <c r="A1492" s="54" t="n"/>
      <c r="B1492" s="55" t="str">
        <f>IF(AA1492="","",A1492&amp;"-"&amp;RIGHT("000"&amp;AA1492,4))</f>
        <v/>
      </c>
      <c r="C1492" s="56" t="n"/>
      <c r="D1492" s="54" t="n"/>
      <c r="E1492" s="57" t="str">
        <f>IF(D1492="","",IF(A1492="BL",IFERROR(INDEX(cl_name,MATCH(D1492,cl_code,0))&amp;"","Client inconnu"),IF(A1492="BR",IFERROR(INDEX(fo_name,MATCH(D1492,fo_code,0))&amp;"","Fournisseur inconnu"),IF(A1492="BS",IF(ISNA(MATCH(D1492,p_services,0)),"Service inconnu",D1492&amp;""),""))))</f>
        <v/>
      </c>
      <c r="F1492" s="58" t="n"/>
      <c r="G1492" s="58" t="n"/>
      <c r="H1492" s="59" t="n"/>
      <c r="I1492" s="57" t="str">
        <f>IF(H1492="","",IFERROR(INDEX(art_des,MATCH(H1492,art_ref,0))&amp;"","Article inconnu"))</f>
        <v/>
      </c>
      <c r="J1492" s="60" t="str">
        <f>IF(H1492="","",IFERROR(INDEX(art_unit,MATCH(H1492,art_ref,0))&amp;"",""))</f>
        <v/>
      </c>
      <c r="K1492" s="59" t="n"/>
      <c r="L1492" s="59" t="n"/>
      <c r="M1492" s="61" t="str">
        <f>IF(OR(B1492="",NOT(ISNUMBER(K1492)),NOT(ISNUMBER(L1492))),"",IF(OR(K1492&lt;=0,L1492&lt;=0),"",ROUND(L1492-K1492,6)))</f>
        <v/>
      </c>
      <c r="N1492" s="58" t="n"/>
      <c r="O1492" s="62" t="n"/>
      <c r="P1492" s="63" t="str">
        <f>IF(OR(B1492="",NOT(ISNUMBER(L1492))),"",IF(L1492&lt;=0,"",IFERROR(ROUND(L1492*N(INDEX(art_w,MATCH(H1492,art_ref,0))),3),"")))</f>
        <v/>
      </c>
      <c r="Q1492" s="59" t="n"/>
      <c r="R1492" s="54" t="n"/>
      <c r="S1492" s="59" t="n"/>
      <c r="T1492" s="59" t="n"/>
      <c r="U1492" s="64" t="str">
        <f>IF(OR(B1492="",H1492=""),"",IFERROR(IF(A1492="BL",IF(N(INDEX(art_price,MATCH(H1492,art_ref,0)))=0,"",N(INDEX(art_price,MATCH(H1492,art_ref,0)))),IF(N(INDEX(art_cost,MATCH(H1492,art_ref,0)))=0,"",N(INDEX(art_cost,MATCH(H1492,art_ref,0))))),""))</f>
        <v/>
      </c>
      <c r="V1492" s="64" t="str">
        <f>IF(OR(U1492="",NOT(ISNUMBER(L1492))),"",IF(L1492&lt;=0,"",ROUND(L1492*U1492,2)))</f>
        <v/>
      </c>
      <c r="W1492" s="60" t="str">
        <f>IF(AND(B1492&lt;&gt;"",A1492&lt;&gt;"BS",F1492&lt;&gt;"",H1492&lt;&gt;"",ISNUMBER(K1492),ISNUMBER(L1492)),IF(AND(K1492&gt;0,L1492&gt;0,K1492-L1492&gt;0,COUNTIFS(A1493:A$2005,A1492,F1493:F$2005,F1492,H1493:H$2005,H1492,AA1493:AA$2005,"&gt;0")=0),ROUND(K1492-L1492,6),""),"")</f>
        <v/>
      </c>
      <c r="X1492" s="60" t="str">
        <f>IF(AND(A1492="",C1492="",D1492="",H1492="",L1492=""),"",IF(A1492="","Type manquant",IF(AND(A1492&lt;&gt;"BL",A1492&lt;&gt;"BR",A1492&lt;&gt;"BS"),"Type inconnu (BL, BR ou BS)",IF(AG1492=0,"Date manquante ou invalide",IF(D1492="",IF(A1492="BL","Client manquant",IF(A1492="BR","Fournisseur manquant","Service manquant")),IF(IF(A1492="BL",ISNA(MATCH(D1492,cl_code,0)),IF(A1492="BR",ISNA(MATCH(D1492,fo_code,0)),ISNA(MATCH(D1492,p_services,0)))),IF(A1492="BL","Client inconnu",IF(A1492="BR","Fournisseur inconnu","Service inconnu")),IF(H1492="","Article manquant",IF(ISNA(MATCH(H1492,art_ref,0)),"Article inconnu",IF(OR(NOT(ISNUMBER(L1492)),N(L1492)&lt;=0),"Quantité invalide",IF(AND(K1492&lt;&gt;"",OR(NOT(ISNUMBER(K1492)),N(K1492)&lt;=0)),"Qté commandée invalide",IF(AG1492&lt;SUMPRODUCT(MAX((A$6:A1491=A1492)*AG$6:AG1491)),"Date antérieure au bon précédent",IF(AND(A1492&lt;&gt;"BR",ISNUMBER(M1492),N(M1492)&gt;0),IF(A1492="BL","Livré plus que commandé","Sorti plus que demandé"),"OK"))))))))))))</f>
        <v/>
      </c>
      <c r="Y1492" s="57" t="str">
        <f>IF(AND(OR(A1492="BL",A1492="BR",A1492="BS"),AG1492&gt;0,D1492&lt;&gt;""),A1492&amp;"|"&amp;AG1492&amp;"|"&amp;D1492&amp;"|"&amp;F1492,"")</f>
        <v/>
      </c>
      <c r="Z1492" s="57" t="str">
        <f>IF(Y1492="","",IF(COUNTIF(Y$6:Y1491,Y1492)=0,1,0))</f>
        <v/>
      </c>
      <c r="AA1492" s="57" t="str">
        <f>IF(Y1492="","",IF(Z1492=1,COUNTIFS(A$6:A1492,A1492,Z$6:Z1492,1),INDEX(AA$6:AA1491,MATCH(Y1492,Y$6:Y1491,0))))</f>
        <v/>
      </c>
      <c r="AB1492" s="57" t="str">
        <f>IF(B1492="","",COUNTIF(B$6:B1492,B1492))</f>
        <v/>
      </c>
      <c r="AC1492" s="57" t="str">
        <f>IF(B1492="","",B1492&amp;"#"&amp;AB1492)</f>
        <v/>
      </c>
      <c r="AD1492" s="57" t="str">
        <f>IF(Z1492=1,A1492&amp;AA1492,"")</f>
        <v/>
      </c>
      <c r="AE1492" s="57" t="str">
        <f>IF(B1492="","",YEAR(C1492))</f>
        <v/>
      </c>
      <c r="AF1492" s="57" t="str">
        <f>IF(B1492="","",MONTH(C1492))</f>
        <v/>
      </c>
      <c r="AG1492" s="57">
        <f>IF(ISNUMBER(C1492),C1492,0)</f>
        <v>0.0</v>
      </c>
      <c r="AH1492" s="57" t="str">
        <f>IF(N(W1492)&gt;0,COUNTIF(W$6:W1492,"&gt;0"),"")</f>
        <v/>
      </c>
      <c r="AI1492" s="57" t="str">
        <f>IF(Z1492=1,COUNTIF(Z$6:Z1492,1),"")</f>
        <v/>
      </c>
    </row>
    <row r="1493">
      <c r="A1493" s="54" t="n"/>
      <c r="B1493" s="55" t="str">
        <f>IF(AA1493="","",A1493&amp;"-"&amp;RIGHT("000"&amp;AA1493,4))</f>
        <v/>
      </c>
      <c r="C1493" s="56" t="n"/>
      <c r="D1493" s="54" t="n"/>
      <c r="E1493" s="57" t="str">
        <f>IF(D1493="","",IF(A1493="BL",IFERROR(INDEX(cl_name,MATCH(D1493,cl_code,0))&amp;"","Client inconnu"),IF(A1493="BR",IFERROR(INDEX(fo_name,MATCH(D1493,fo_code,0))&amp;"","Fournisseur inconnu"),IF(A1493="BS",IF(ISNA(MATCH(D1493,p_services,0)),"Service inconnu",D1493&amp;""),""))))</f>
        <v/>
      </c>
      <c r="F1493" s="58" t="n"/>
      <c r="G1493" s="58" t="n"/>
      <c r="H1493" s="59" t="n"/>
      <c r="I1493" s="57" t="str">
        <f>IF(H1493="","",IFERROR(INDEX(art_des,MATCH(H1493,art_ref,0))&amp;"","Article inconnu"))</f>
        <v/>
      </c>
      <c r="J1493" s="60" t="str">
        <f>IF(H1493="","",IFERROR(INDEX(art_unit,MATCH(H1493,art_ref,0))&amp;"",""))</f>
        <v/>
      </c>
      <c r="K1493" s="59" t="n"/>
      <c r="L1493" s="59" t="n"/>
      <c r="M1493" s="61" t="str">
        <f>IF(OR(B1493="",NOT(ISNUMBER(K1493)),NOT(ISNUMBER(L1493))),"",IF(OR(K1493&lt;=0,L1493&lt;=0),"",ROUND(L1493-K1493,6)))</f>
        <v/>
      </c>
      <c r="N1493" s="58" t="n"/>
      <c r="O1493" s="62" t="n"/>
      <c r="P1493" s="63" t="str">
        <f>IF(OR(B1493="",NOT(ISNUMBER(L1493))),"",IF(L1493&lt;=0,"",IFERROR(ROUND(L1493*N(INDEX(art_w,MATCH(H1493,art_ref,0))),3),"")))</f>
        <v/>
      </c>
      <c r="Q1493" s="59" t="n"/>
      <c r="R1493" s="54" t="n"/>
      <c r="S1493" s="59" t="n"/>
      <c r="T1493" s="59" t="n"/>
      <c r="U1493" s="64" t="str">
        <f>IF(OR(B1493="",H1493=""),"",IFERROR(IF(A1493="BL",IF(N(INDEX(art_price,MATCH(H1493,art_ref,0)))=0,"",N(INDEX(art_price,MATCH(H1493,art_ref,0)))),IF(N(INDEX(art_cost,MATCH(H1493,art_ref,0)))=0,"",N(INDEX(art_cost,MATCH(H1493,art_ref,0))))),""))</f>
        <v/>
      </c>
      <c r="V1493" s="64" t="str">
        <f>IF(OR(U1493="",NOT(ISNUMBER(L1493))),"",IF(L1493&lt;=0,"",ROUND(L1493*U1493,2)))</f>
        <v/>
      </c>
      <c r="W1493" s="60" t="str">
        <f>IF(AND(B1493&lt;&gt;"",A1493&lt;&gt;"BS",F1493&lt;&gt;"",H1493&lt;&gt;"",ISNUMBER(K1493),ISNUMBER(L1493)),IF(AND(K1493&gt;0,L1493&gt;0,K1493-L1493&gt;0,COUNTIFS(A1494:A$2005,A1493,F1494:F$2005,F1493,H1494:H$2005,H1493,AA1494:AA$2005,"&gt;0")=0),ROUND(K1493-L1493,6),""),"")</f>
        <v/>
      </c>
      <c r="X1493" s="60" t="str">
        <f>IF(AND(A1493="",C1493="",D1493="",H1493="",L1493=""),"",IF(A1493="","Type manquant",IF(AND(A1493&lt;&gt;"BL",A1493&lt;&gt;"BR",A1493&lt;&gt;"BS"),"Type inconnu (BL, BR ou BS)",IF(AG1493=0,"Date manquante ou invalide",IF(D1493="",IF(A1493="BL","Client manquant",IF(A1493="BR","Fournisseur manquant","Service manquant")),IF(IF(A1493="BL",ISNA(MATCH(D1493,cl_code,0)),IF(A1493="BR",ISNA(MATCH(D1493,fo_code,0)),ISNA(MATCH(D1493,p_services,0)))),IF(A1493="BL","Client inconnu",IF(A1493="BR","Fournisseur inconnu","Service inconnu")),IF(H1493="","Article manquant",IF(ISNA(MATCH(H1493,art_ref,0)),"Article inconnu",IF(OR(NOT(ISNUMBER(L1493)),N(L1493)&lt;=0),"Quantité invalide",IF(AND(K1493&lt;&gt;"",OR(NOT(ISNUMBER(K1493)),N(K1493)&lt;=0)),"Qté commandée invalide",IF(AG1493&lt;SUMPRODUCT(MAX((A$6:A1492=A1493)*AG$6:AG1492)),"Date antérieure au bon précédent",IF(AND(A1493&lt;&gt;"BR",ISNUMBER(M1493),N(M1493)&gt;0),IF(A1493="BL","Livré plus que commandé","Sorti plus que demandé"),"OK"))))))))))))</f>
        <v/>
      </c>
      <c r="Y1493" s="57" t="str">
        <f>IF(AND(OR(A1493="BL",A1493="BR",A1493="BS"),AG1493&gt;0,D1493&lt;&gt;""),A1493&amp;"|"&amp;AG1493&amp;"|"&amp;D1493&amp;"|"&amp;F1493,"")</f>
        <v/>
      </c>
      <c r="Z1493" s="57" t="str">
        <f>IF(Y1493="","",IF(COUNTIF(Y$6:Y1492,Y1493)=0,1,0))</f>
        <v/>
      </c>
      <c r="AA1493" s="57" t="str">
        <f>IF(Y1493="","",IF(Z1493=1,COUNTIFS(A$6:A1493,A1493,Z$6:Z1493,1),INDEX(AA$6:AA1492,MATCH(Y1493,Y$6:Y1492,0))))</f>
        <v/>
      </c>
      <c r="AB1493" s="57" t="str">
        <f>IF(B1493="","",COUNTIF(B$6:B1493,B1493))</f>
        <v/>
      </c>
      <c r="AC1493" s="57" t="str">
        <f>IF(B1493="","",B1493&amp;"#"&amp;AB1493)</f>
        <v/>
      </c>
      <c r="AD1493" s="57" t="str">
        <f>IF(Z1493=1,A1493&amp;AA1493,"")</f>
        <v/>
      </c>
      <c r="AE1493" s="57" t="str">
        <f>IF(B1493="","",YEAR(C1493))</f>
        <v/>
      </c>
      <c r="AF1493" s="57" t="str">
        <f>IF(B1493="","",MONTH(C1493))</f>
        <v/>
      </c>
      <c r="AG1493" s="57">
        <f>IF(ISNUMBER(C1493),C1493,0)</f>
        <v>0.0</v>
      </c>
      <c r="AH1493" s="57" t="str">
        <f>IF(N(W1493)&gt;0,COUNTIF(W$6:W1493,"&gt;0"),"")</f>
        <v/>
      </c>
      <c r="AI1493" s="57" t="str">
        <f>IF(Z1493=1,COUNTIF(Z$6:Z1493,1),"")</f>
        <v/>
      </c>
    </row>
    <row r="1494">
      <c r="A1494" s="54" t="n"/>
      <c r="B1494" s="55" t="str">
        <f>IF(AA1494="","",A1494&amp;"-"&amp;RIGHT("000"&amp;AA1494,4))</f>
        <v/>
      </c>
      <c r="C1494" s="56" t="n"/>
      <c r="D1494" s="54" t="n"/>
      <c r="E1494" s="57" t="str">
        <f>IF(D1494="","",IF(A1494="BL",IFERROR(INDEX(cl_name,MATCH(D1494,cl_code,0))&amp;"","Client inconnu"),IF(A1494="BR",IFERROR(INDEX(fo_name,MATCH(D1494,fo_code,0))&amp;"","Fournisseur inconnu"),IF(A1494="BS",IF(ISNA(MATCH(D1494,p_services,0)),"Service inconnu",D1494&amp;""),""))))</f>
        <v/>
      </c>
      <c r="F1494" s="58" t="n"/>
      <c r="G1494" s="58" t="n"/>
      <c r="H1494" s="59" t="n"/>
      <c r="I1494" s="57" t="str">
        <f>IF(H1494="","",IFERROR(INDEX(art_des,MATCH(H1494,art_ref,0))&amp;"","Article inconnu"))</f>
        <v/>
      </c>
      <c r="J1494" s="60" t="str">
        <f>IF(H1494="","",IFERROR(INDEX(art_unit,MATCH(H1494,art_ref,0))&amp;"",""))</f>
        <v/>
      </c>
      <c r="K1494" s="59" t="n"/>
      <c r="L1494" s="59" t="n"/>
      <c r="M1494" s="61" t="str">
        <f>IF(OR(B1494="",NOT(ISNUMBER(K1494)),NOT(ISNUMBER(L1494))),"",IF(OR(K1494&lt;=0,L1494&lt;=0),"",ROUND(L1494-K1494,6)))</f>
        <v/>
      </c>
      <c r="N1494" s="58" t="n"/>
      <c r="O1494" s="62" t="n"/>
      <c r="P1494" s="63" t="str">
        <f>IF(OR(B1494="",NOT(ISNUMBER(L1494))),"",IF(L1494&lt;=0,"",IFERROR(ROUND(L1494*N(INDEX(art_w,MATCH(H1494,art_ref,0))),3),"")))</f>
        <v/>
      </c>
      <c r="Q1494" s="59" t="n"/>
      <c r="R1494" s="54" t="n"/>
      <c r="S1494" s="59" t="n"/>
      <c r="T1494" s="59" t="n"/>
      <c r="U1494" s="64" t="str">
        <f>IF(OR(B1494="",H1494=""),"",IFERROR(IF(A1494="BL",IF(N(INDEX(art_price,MATCH(H1494,art_ref,0)))=0,"",N(INDEX(art_price,MATCH(H1494,art_ref,0)))),IF(N(INDEX(art_cost,MATCH(H1494,art_ref,0)))=0,"",N(INDEX(art_cost,MATCH(H1494,art_ref,0))))),""))</f>
        <v/>
      </c>
      <c r="V1494" s="64" t="str">
        <f>IF(OR(U1494="",NOT(ISNUMBER(L1494))),"",IF(L1494&lt;=0,"",ROUND(L1494*U1494,2)))</f>
        <v/>
      </c>
      <c r="W1494" s="60" t="str">
        <f>IF(AND(B1494&lt;&gt;"",A1494&lt;&gt;"BS",F1494&lt;&gt;"",H1494&lt;&gt;"",ISNUMBER(K1494),ISNUMBER(L1494)),IF(AND(K1494&gt;0,L1494&gt;0,K1494-L1494&gt;0,COUNTIFS(A1495:A$2005,A1494,F1495:F$2005,F1494,H1495:H$2005,H1494,AA1495:AA$2005,"&gt;0")=0),ROUND(K1494-L1494,6),""),"")</f>
        <v/>
      </c>
      <c r="X1494" s="60" t="str">
        <f>IF(AND(A1494="",C1494="",D1494="",H1494="",L1494=""),"",IF(A1494="","Type manquant",IF(AND(A1494&lt;&gt;"BL",A1494&lt;&gt;"BR",A1494&lt;&gt;"BS"),"Type inconnu (BL, BR ou BS)",IF(AG1494=0,"Date manquante ou invalide",IF(D1494="",IF(A1494="BL","Client manquant",IF(A1494="BR","Fournisseur manquant","Service manquant")),IF(IF(A1494="BL",ISNA(MATCH(D1494,cl_code,0)),IF(A1494="BR",ISNA(MATCH(D1494,fo_code,0)),ISNA(MATCH(D1494,p_services,0)))),IF(A1494="BL","Client inconnu",IF(A1494="BR","Fournisseur inconnu","Service inconnu")),IF(H1494="","Article manquant",IF(ISNA(MATCH(H1494,art_ref,0)),"Article inconnu",IF(OR(NOT(ISNUMBER(L1494)),N(L1494)&lt;=0),"Quantité invalide",IF(AND(K1494&lt;&gt;"",OR(NOT(ISNUMBER(K1494)),N(K1494)&lt;=0)),"Qté commandée invalide",IF(AG1494&lt;SUMPRODUCT(MAX((A$6:A1493=A1494)*AG$6:AG1493)),"Date antérieure au bon précédent",IF(AND(A1494&lt;&gt;"BR",ISNUMBER(M1494),N(M1494)&gt;0),IF(A1494="BL","Livré plus que commandé","Sorti plus que demandé"),"OK"))))))))))))</f>
        <v/>
      </c>
      <c r="Y1494" s="57" t="str">
        <f>IF(AND(OR(A1494="BL",A1494="BR",A1494="BS"),AG1494&gt;0,D1494&lt;&gt;""),A1494&amp;"|"&amp;AG1494&amp;"|"&amp;D1494&amp;"|"&amp;F1494,"")</f>
        <v/>
      </c>
      <c r="Z1494" s="57" t="str">
        <f>IF(Y1494="","",IF(COUNTIF(Y$6:Y1493,Y1494)=0,1,0))</f>
        <v/>
      </c>
      <c r="AA1494" s="57" t="str">
        <f>IF(Y1494="","",IF(Z1494=1,COUNTIFS(A$6:A1494,A1494,Z$6:Z1494,1),INDEX(AA$6:AA1493,MATCH(Y1494,Y$6:Y1493,0))))</f>
        <v/>
      </c>
      <c r="AB1494" s="57" t="str">
        <f>IF(B1494="","",COUNTIF(B$6:B1494,B1494))</f>
        <v/>
      </c>
      <c r="AC1494" s="57" t="str">
        <f>IF(B1494="","",B1494&amp;"#"&amp;AB1494)</f>
        <v/>
      </c>
      <c r="AD1494" s="57" t="str">
        <f>IF(Z1494=1,A1494&amp;AA1494,"")</f>
        <v/>
      </c>
      <c r="AE1494" s="57" t="str">
        <f>IF(B1494="","",YEAR(C1494))</f>
        <v/>
      </c>
      <c r="AF1494" s="57" t="str">
        <f>IF(B1494="","",MONTH(C1494))</f>
        <v/>
      </c>
      <c r="AG1494" s="57">
        <f>IF(ISNUMBER(C1494),C1494,0)</f>
        <v>0.0</v>
      </c>
      <c r="AH1494" s="57" t="str">
        <f>IF(N(W1494)&gt;0,COUNTIF(W$6:W1494,"&gt;0"),"")</f>
        <v/>
      </c>
      <c r="AI1494" s="57" t="str">
        <f>IF(Z1494=1,COUNTIF(Z$6:Z1494,1),"")</f>
        <v/>
      </c>
    </row>
    <row r="1495">
      <c r="A1495" s="54" t="n"/>
      <c r="B1495" s="55" t="str">
        <f>IF(AA1495="","",A1495&amp;"-"&amp;RIGHT("000"&amp;AA1495,4))</f>
        <v/>
      </c>
      <c r="C1495" s="56" t="n"/>
      <c r="D1495" s="54" t="n"/>
      <c r="E1495" s="57" t="str">
        <f>IF(D1495="","",IF(A1495="BL",IFERROR(INDEX(cl_name,MATCH(D1495,cl_code,0))&amp;"","Client inconnu"),IF(A1495="BR",IFERROR(INDEX(fo_name,MATCH(D1495,fo_code,0))&amp;"","Fournisseur inconnu"),IF(A1495="BS",IF(ISNA(MATCH(D1495,p_services,0)),"Service inconnu",D1495&amp;""),""))))</f>
        <v/>
      </c>
      <c r="F1495" s="58" t="n"/>
      <c r="G1495" s="58" t="n"/>
      <c r="H1495" s="59" t="n"/>
      <c r="I1495" s="57" t="str">
        <f>IF(H1495="","",IFERROR(INDEX(art_des,MATCH(H1495,art_ref,0))&amp;"","Article inconnu"))</f>
        <v/>
      </c>
      <c r="J1495" s="60" t="str">
        <f>IF(H1495="","",IFERROR(INDEX(art_unit,MATCH(H1495,art_ref,0))&amp;"",""))</f>
        <v/>
      </c>
      <c r="K1495" s="59" t="n"/>
      <c r="L1495" s="59" t="n"/>
      <c r="M1495" s="61" t="str">
        <f>IF(OR(B1495="",NOT(ISNUMBER(K1495)),NOT(ISNUMBER(L1495))),"",IF(OR(K1495&lt;=0,L1495&lt;=0),"",ROUND(L1495-K1495,6)))</f>
        <v/>
      </c>
      <c r="N1495" s="58" t="n"/>
      <c r="O1495" s="62" t="n"/>
      <c r="P1495" s="63" t="str">
        <f>IF(OR(B1495="",NOT(ISNUMBER(L1495))),"",IF(L1495&lt;=0,"",IFERROR(ROUND(L1495*N(INDEX(art_w,MATCH(H1495,art_ref,0))),3),"")))</f>
        <v/>
      </c>
      <c r="Q1495" s="59" t="n"/>
      <c r="R1495" s="54" t="n"/>
      <c r="S1495" s="59" t="n"/>
      <c r="T1495" s="59" t="n"/>
      <c r="U1495" s="64" t="str">
        <f>IF(OR(B1495="",H1495=""),"",IFERROR(IF(A1495="BL",IF(N(INDEX(art_price,MATCH(H1495,art_ref,0)))=0,"",N(INDEX(art_price,MATCH(H1495,art_ref,0)))),IF(N(INDEX(art_cost,MATCH(H1495,art_ref,0)))=0,"",N(INDEX(art_cost,MATCH(H1495,art_ref,0))))),""))</f>
        <v/>
      </c>
      <c r="V1495" s="64" t="str">
        <f>IF(OR(U1495="",NOT(ISNUMBER(L1495))),"",IF(L1495&lt;=0,"",ROUND(L1495*U1495,2)))</f>
        <v/>
      </c>
      <c r="W1495" s="60" t="str">
        <f>IF(AND(B1495&lt;&gt;"",A1495&lt;&gt;"BS",F1495&lt;&gt;"",H1495&lt;&gt;"",ISNUMBER(K1495),ISNUMBER(L1495)),IF(AND(K1495&gt;0,L1495&gt;0,K1495-L1495&gt;0,COUNTIFS(A1496:A$2005,A1495,F1496:F$2005,F1495,H1496:H$2005,H1495,AA1496:AA$2005,"&gt;0")=0),ROUND(K1495-L1495,6),""),"")</f>
        <v/>
      </c>
      <c r="X1495" s="60" t="str">
        <f>IF(AND(A1495="",C1495="",D1495="",H1495="",L1495=""),"",IF(A1495="","Type manquant",IF(AND(A1495&lt;&gt;"BL",A1495&lt;&gt;"BR",A1495&lt;&gt;"BS"),"Type inconnu (BL, BR ou BS)",IF(AG1495=0,"Date manquante ou invalide",IF(D1495="",IF(A1495="BL","Client manquant",IF(A1495="BR","Fournisseur manquant","Service manquant")),IF(IF(A1495="BL",ISNA(MATCH(D1495,cl_code,0)),IF(A1495="BR",ISNA(MATCH(D1495,fo_code,0)),ISNA(MATCH(D1495,p_services,0)))),IF(A1495="BL","Client inconnu",IF(A1495="BR","Fournisseur inconnu","Service inconnu")),IF(H1495="","Article manquant",IF(ISNA(MATCH(H1495,art_ref,0)),"Article inconnu",IF(OR(NOT(ISNUMBER(L1495)),N(L1495)&lt;=0),"Quantité invalide",IF(AND(K1495&lt;&gt;"",OR(NOT(ISNUMBER(K1495)),N(K1495)&lt;=0)),"Qté commandée invalide",IF(AG1495&lt;SUMPRODUCT(MAX((A$6:A1494=A1495)*AG$6:AG1494)),"Date antérieure au bon précédent",IF(AND(A1495&lt;&gt;"BR",ISNUMBER(M1495),N(M1495)&gt;0),IF(A1495="BL","Livré plus que commandé","Sorti plus que demandé"),"OK"))))))))))))</f>
        <v/>
      </c>
      <c r="Y1495" s="57" t="str">
        <f>IF(AND(OR(A1495="BL",A1495="BR",A1495="BS"),AG1495&gt;0,D1495&lt;&gt;""),A1495&amp;"|"&amp;AG1495&amp;"|"&amp;D1495&amp;"|"&amp;F1495,"")</f>
        <v/>
      </c>
      <c r="Z1495" s="57" t="str">
        <f>IF(Y1495="","",IF(COUNTIF(Y$6:Y1494,Y1495)=0,1,0))</f>
        <v/>
      </c>
      <c r="AA1495" s="57" t="str">
        <f>IF(Y1495="","",IF(Z1495=1,COUNTIFS(A$6:A1495,A1495,Z$6:Z1495,1),INDEX(AA$6:AA1494,MATCH(Y1495,Y$6:Y1494,0))))</f>
        <v/>
      </c>
      <c r="AB1495" s="57" t="str">
        <f>IF(B1495="","",COUNTIF(B$6:B1495,B1495))</f>
        <v/>
      </c>
      <c r="AC1495" s="57" t="str">
        <f>IF(B1495="","",B1495&amp;"#"&amp;AB1495)</f>
        <v/>
      </c>
      <c r="AD1495" s="57" t="str">
        <f>IF(Z1495=1,A1495&amp;AA1495,"")</f>
        <v/>
      </c>
      <c r="AE1495" s="57" t="str">
        <f>IF(B1495="","",YEAR(C1495))</f>
        <v/>
      </c>
      <c r="AF1495" s="57" t="str">
        <f>IF(B1495="","",MONTH(C1495))</f>
        <v/>
      </c>
      <c r="AG1495" s="57">
        <f>IF(ISNUMBER(C1495),C1495,0)</f>
        <v>0.0</v>
      </c>
      <c r="AH1495" s="57" t="str">
        <f>IF(N(W1495)&gt;0,COUNTIF(W$6:W1495,"&gt;0"),"")</f>
        <v/>
      </c>
      <c r="AI1495" s="57" t="str">
        <f>IF(Z1495=1,COUNTIF(Z$6:Z1495,1),"")</f>
        <v/>
      </c>
    </row>
    <row r="1496">
      <c r="A1496" s="54" t="n"/>
      <c r="B1496" s="55" t="str">
        <f>IF(AA1496="","",A1496&amp;"-"&amp;RIGHT("000"&amp;AA1496,4))</f>
        <v/>
      </c>
      <c r="C1496" s="56" t="n"/>
      <c r="D1496" s="54" t="n"/>
      <c r="E1496" s="57" t="str">
        <f>IF(D1496="","",IF(A1496="BL",IFERROR(INDEX(cl_name,MATCH(D1496,cl_code,0))&amp;"","Client inconnu"),IF(A1496="BR",IFERROR(INDEX(fo_name,MATCH(D1496,fo_code,0))&amp;"","Fournisseur inconnu"),IF(A1496="BS",IF(ISNA(MATCH(D1496,p_services,0)),"Service inconnu",D1496&amp;""),""))))</f>
        <v/>
      </c>
      <c r="F1496" s="58" t="n"/>
      <c r="G1496" s="58" t="n"/>
      <c r="H1496" s="59" t="n"/>
      <c r="I1496" s="57" t="str">
        <f>IF(H1496="","",IFERROR(INDEX(art_des,MATCH(H1496,art_ref,0))&amp;"","Article inconnu"))</f>
        <v/>
      </c>
      <c r="J1496" s="60" t="str">
        <f>IF(H1496="","",IFERROR(INDEX(art_unit,MATCH(H1496,art_ref,0))&amp;"",""))</f>
        <v/>
      </c>
      <c r="K1496" s="59" t="n"/>
      <c r="L1496" s="59" t="n"/>
      <c r="M1496" s="61" t="str">
        <f>IF(OR(B1496="",NOT(ISNUMBER(K1496)),NOT(ISNUMBER(L1496))),"",IF(OR(K1496&lt;=0,L1496&lt;=0),"",ROUND(L1496-K1496,6)))</f>
        <v/>
      </c>
      <c r="N1496" s="58" t="n"/>
      <c r="O1496" s="62" t="n"/>
      <c r="P1496" s="63" t="str">
        <f>IF(OR(B1496="",NOT(ISNUMBER(L1496))),"",IF(L1496&lt;=0,"",IFERROR(ROUND(L1496*N(INDEX(art_w,MATCH(H1496,art_ref,0))),3),"")))</f>
        <v/>
      </c>
      <c r="Q1496" s="59" t="n"/>
      <c r="R1496" s="54" t="n"/>
      <c r="S1496" s="59" t="n"/>
      <c r="T1496" s="59" t="n"/>
      <c r="U1496" s="64" t="str">
        <f>IF(OR(B1496="",H1496=""),"",IFERROR(IF(A1496="BL",IF(N(INDEX(art_price,MATCH(H1496,art_ref,0)))=0,"",N(INDEX(art_price,MATCH(H1496,art_ref,0)))),IF(N(INDEX(art_cost,MATCH(H1496,art_ref,0)))=0,"",N(INDEX(art_cost,MATCH(H1496,art_ref,0))))),""))</f>
        <v/>
      </c>
      <c r="V1496" s="64" t="str">
        <f>IF(OR(U1496="",NOT(ISNUMBER(L1496))),"",IF(L1496&lt;=0,"",ROUND(L1496*U1496,2)))</f>
        <v/>
      </c>
      <c r="W1496" s="60" t="str">
        <f>IF(AND(B1496&lt;&gt;"",A1496&lt;&gt;"BS",F1496&lt;&gt;"",H1496&lt;&gt;"",ISNUMBER(K1496),ISNUMBER(L1496)),IF(AND(K1496&gt;0,L1496&gt;0,K1496-L1496&gt;0,COUNTIFS(A1497:A$2005,A1496,F1497:F$2005,F1496,H1497:H$2005,H1496,AA1497:AA$2005,"&gt;0")=0),ROUND(K1496-L1496,6),""),"")</f>
        <v/>
      </c>
      <c r="X1496" s="60" t="str">
        <f>IF(AND(A1496="",C1496="",D1496="",H1496="",L1496=""),"",IF(A1496="","Type manquant",IF(AND(A1496&lt;&gt;"BL",A1496&lt;&gt;"BR",A1496&lt;&gt;"BS"),"Type inconnu (BL, BR ou BS)",IF(AG1496=0,"Date manquante ou invalide",IF(D1496="",IF(A1496="BL","Client manquant",IF(A1496="BR","Fournisseur manquant","Service manquant")),IF(IF(A1496="BL",ISNA(MATCH(D1496,cl_code,0)),IF(A1496="BR",ISNA(MATCH(D1496,fo_code,0)),ISNA(MATCH(D1496,p_services,0)))),IF(A1496="BL","Client inconnu",IF(A1496="BR","Fournisseur inconnu","Service inconnu")),IF(H1496="","Article manquant",IF(ISNA(MATCH(H1496,art_ref,0)),"Article inconnu",IF(OR(NOT(ISNUMBER(L1496)),N(L1496)&lt;=0),"Quantité invalide",IF(AND(K1496&lt;&gt;"",OR(NOT(ISNUMBER(K1496)),N(K1496)&lt;=0)),"Qté commandée invalide",IF(AG1496&lt;SUMPRODUCT(MAX((A$6:A1495=A1496)*AG$6:AG1495)),"Date antérieure au bon précédent",IF(AND(A1496&lt;&gt;"BR",ISNUMBER(M1496),N(M1496)&gt;0),IF(A1496="BL","Livré plus que commandé","Sorti plus que demandé"),"OK"))))))))))))</f>
        <v/>
      </c>
      <c r="Y1496" s="57" t="str">
        <f>IF(AND(OR(A1496="BL",A1496="BR",A1496="BS"),AG1496&gt;0,D1496&lt;&gt;""),A1496&amp;"|"&amp;AG1496&amp;"|"&amp;D1496&amp;"|"&amp;F1496,"")</f>
        <v/>
      </c>
      <c r="Z1496" s="57" t="str">
        <f>IF(Y1496="","",IF(COUNTIF(Y$6:Y1495,Y1496)=0,1,0))</f>
        <v/>
      </c>
      <c r="AA1496" s="57" t="str">
        <f>IF(Y1496="","",IF(Z1496=1,COUNTIFS(A$6:A1496,A1496,Z$6:Z1496,1),INDEX(AA$6:AA1495,MATCH(Y1496,Y$6:Y1495,0))))</f>
        <v/>
      </c>
      <c r="AB1496" s="57" t="str">
        <f>IF(B1496="","",COUNTIF(B$6:B1496,B1496))</f>
        <v/>
      </c>
      <c r="AC1496" s="57" t="str">
        <f>IF(B1496="","",B1496&amp;"#"&amp;AB1496)</f>
        <v/>
      </c>
      <c r="AD1496" s="57" t="str">
        <f>IF(Z1496=1,A1496&amp;AA1496,"")</f>
        <v/>
      </c>
      <c r="AE1496" s="57" t="str">
        <f>IF(B1496="","",YEAR(C1496))</f>
        <v/>
      </c>
      <c r="AF1496" s="57" t="str">
        <f>IF(B1496="","",MONTH(C1496))</f>
        <v/>
      </c>
      <c r="AG1496" s="57">
        <f>IF(ISNUMBER(C1496),C1496,0)</f>
        <v>0.0</v>
      </c>
      <c r="AH1496" s="57" t="str">
        <f>IF(N(W1496)&gt;0,COUNTIF(W$6:W1496,"&gt;0"),"")</f>
        <v/>
      </c>
      <c r="AI1496" s="57" t="str">
        <f>IF(Z1496=1,COUNTIF(Z$6:Z1496,1),"")</f>
        <v/>
      </c>
    </row>
    <row r="1497">
      <c r="A1497" s="54" t="n"/>
      <c r="B1497" s="55" t="str">
        <f>IF(AA1497="","",A1497&amp;"-"&amp;RIGHT("000"&amp;AA1497,4))</f>
        <v/>
      </c>
      <c r="C1497" s="56" t="n"/>
      <c r="D1497" s="54" t="n"/>
      <c r="E1497" s="57" t="str">
        <f>IF(D1497="","",IF(A1497="BL",IFERROR(INDEX(cl_name,MATCH(D1497,cl_code,0))&amp;"","Client inconnu"),IF(A1497="BR",IFERROR(INDEX(fo_name,MATCH(D1497,fo_code,0))&amp;"","Fournisseur inconnu"),IF(A1497="BS",IF(ISNA(MATCH(D1497,p_services,0)),"Service inconnu",D1497&amp;""),""))))</f>
        <v/>
      </c>
      <c r="F1497" s="58" t="n"/>
      <c r="G1497" s="58" t="n"/>
      <c r="H1497" s="59" t="n"/>
      <c r="I1497" s="57" t="str">
        <f>IF(H1497="","",IFERROR(INDEX(art_des,MATCH(H1497,art_ref,0))&amp;"","Article inconnu"))</f>
        <v/>
      </c>
      <c r="J1497" s="60" t="str">
        <f>IF(H1497="","",IFERROR(INDEX(art_unit,MATCH(H1497,art_ref,0))&amp;"",""))</f>
        <v/>
      </c>
      <c r="K1497" s="59" t="n"/>
      <c r="L1497" s="59" t="n"/>
      <c r="M1497" s="61" t="str">
        <f>IF(OR(B1497="",NOT(ISNUMBER(K1497)),NOT(ISNUMBER(L1497))),"",IF(OR(K1497&lt;=0,L1497&lt;=0),"",ROUND(L1497-K1497,6)))</f>
        <v/>
      </c>
      <c r="N1497" s="58" t="n"/>
      <c r="O1497" s="62" t="n"/>
      <c r="P1497" s="63" t="str">
        <f>IF(OR(B1497="",NOT(ISNUMBER(L1497))),"",IF(L1497&lt;=0,"",IFERROR(ROUND(L1497*N(INDEX(art_w,MATCH(H1497,art_ref,0))),3),"")))</f>
        <v/>
      </c>
      <c r="Q1497" s="59" t="n"/>
      <c r="R1497" s="54" t="n"/>
      <c r="S1497" s="59" t="n"/>
      <c r="T1497" s="59" t="n"/>
      <c r="U1497" s="64" t="str">
        <f>IF(OR(B1497="",H1497=""),"",IFERROR(IF(A1497="BL",IF(N(INDEX(art_price,MATCH(H1497,art_ref,0)))=0,"",N(INDEX(art_price,MATCH(H1497,art_ref,0)))),IF(N(INDEX(art_cost,MATCH(H1497,art_ref,0)))=0,"",N(INDEX(art_cost,MATCH(H1497,art_ref,0))))),""))</f>
        <v/>
      </c>
      <c r="V1497" s="64" t="str">
        <f>IF(OR(U1497="",NOT(ISNUMBER(L1497))),"",IF(L1497&lt;=0,"",ROUND(L1497*U1497,2)))</f>
        <v/>
      </c>
      <c r="W1497" s="60" t="str">
        <f>IF(AND(B1497&lt;&gt;"",A1497&lt;&gt;"BS",F1497&lt;&gt;"",H1497&lt;&gt;"",ISNUMBER(K1497),ISNUMBER(L1497)),IF(AND(K1497&gt;0,L1497&gt;0,K1497-L1497&gt;0,COUNTIFS(A1498:A$2005,A1497,F1498:F$2005,F1497,H1498:H$2005,H1497,AA1498:AA$2005,"&gt;0")=0),ROUND(K1497-L1497,6),""),"")</f>
        <v/>
      </c>
      <c r="X1497" s="60" t="str">
        <f>IF(AND(A1497="",C1497="",D1497="",H1497="",L1497=""),"",IF(A1497="","Type manquant",IF(AND(A1497&lt;&gt;"BL",A1497&lt;&gt;"BR",A1497&lt;&gt;"BS"),"Type inconnu (BL, BR ou BS)",IF(AG1497=0,"Date manquante ou invalide",IF(D1497="",IF(A1497="BL","Client manquant",IF(A1497="BR","Fournisseur manquant","Service manquant")),IF(IF(A1497="BL",ISNA(MATCH(D1497,cl_code,0)),IF(A1497="BR",ISNA(MATCH(D1497,fo_code,0)),ISNA(MATCH(D1497,p_services,0)))),IF(A1497="BL","Client inconnu",IF(A1497="BR","Fournisseur inconnu","Service inconnu")),IF(H1497="","Article manquant",IF(ISNA(MATCH(H1497,art_ref,0)),"Article inconnu",IF(OR(NOT(ISNUMBER(L1497)),N(L1497)&lt;=0),"Quantité invalide",IF(AND(K1497&lt;&gt;"",OR(NOT(ISNUMBER(K1497)),N(K1497)&lt;=0)),"Qté commandée invalide",IF(AG1497&lt;SUMPRODUCT(MAX((A$6:A1496=A1497)*AG$6:AG1496)),"Date antérieure au bon précédent",IF(AND(A1497&lt;&gt;"BR",ISNUMBER(M1497),N(M1497)&gt;0),IF(A1497="BL","Livré plus que commandé","Sorti plus que demandé"),"OK"))))))))))))</f>
        <v/>
      </c>
      <c r="Y1497" s="57" t="str">
        <f>IF(AND(OR(A1497="BL",A1497="BR",A1497="BS"),AG1497&gt;0,D1497&lt;&gt;""),A1497&amp;"|"&amp;AG1497&amp;"|"&amp;D1497&amp;"|"&amp;F1497,"")</f>
        <v/>
      </c>
      <c r="Z1497" s="57" t="str">
        <f>IF(Y1497="","",IF(COUNTIF(Y$6:Y1496,Y1497)=0,1,0))</f>
        <v/>
      </c>
      <c r="AA1497" s="57" t="str">
        <f>IF(Y1497="","",IF(Z1497=1,COUNTIFS(A$6:A1497,A1497,Z$6:Z1497,1),INDEX(AA$6:AA1496,MATCH(Y1497,Y$6:Y1496,0))))</f>
        <v/>
      </c>
      <c r="AB1497" s="57" t="str">
        <f>IF(B1497="","",COUNTIF(B$6:B1497,B1497))</f>
        <v/>
      </c>
      <c r="AC1497" s="57" t="str">
        <f>IF(B1497="","",B1497&amp;"#"&amp;AB1497)</f>
        <v/>
      </c>
      <c r="AD1497" s="57" t="str">
        <f>IF(Z1497=1,A1497&amp;AA1497,"")</f>
        <v/>
      </c>
      <c r="AE1497" s="57" t="str">
        <f>IF(B1497="","",YEAR(C1497))</f>
        <v/>
      </c>
      <c r="AF1497" s="57" t="str">
        <f>IF(B1497="","",MONTH(C1497))</f>
        <v/>
      </c>
      <c r="AG1497" s="57">
        <f>IF(ISNUMBER(C1497),C1497,0)</f>
        <v>0.0</v>
      </c>
      <c r="AH1497" s="57" t="str">
        <f>IF(N(W1497)&gt;0,COUNTIF(W$6:W1497,"&gt;0"),"")</f>
        <v/>
      </c>
      <c r="AI1497" s="57" t="str">
        <f>IF(Z1497=1,COUNTIF(Z$6:Z1497,1),"")</f>
        <v/>
      </c>
    </row>
    <row r="1498">
      <c r="A1498" s="54" t="n"/>
      <c r="B1498" s="55" t="str">
        <f>IF(AA1498="","",A1498&amp;"-"&amp;RIGHT("000"&amp;AA1498,4))</f>
        <v/>
      </c>
      <c r="C1498" s="56" t="n"/>
      <c r="D1498" s="54" t="n"/>
      <c r="E1498" s="57" t="str">
        <f>IF(D1498="","",IF(A1498="BL",IFERROR(INDEX(cl_name,MATCH(D1498,cl_code,0))&amp;"","Client inconnu"),IF(A1498="BR",IFERROR(INDEX(fo_name,MATCH(D1498,fo_code,0))&amp;"","Fournisseur inconnu"),IF(A1498="BS",IF(ISNA(MATCH(D1498,p_services,0)),"Service inconnu",D1498&amp;""),""))))</f>
        <v/>
      </c>
      <c r="F1498" s="58" t="n"/>
      <c r="G1498" s="58" t="n"/>
      <c r="H1498" s="59" t="n"/>
      <c r="I1498" s="57" t="str">
        <f>IF(H1498="","",IFERROR(INDEX(art_des,MATCH(H1498,art_ref,0))&amp;"","Article inconnu"))</f>
        <v/>
      </c>
      <c r="J1498" s="60" t="str">
        <f>IF(H1498="","",IFERROR(INDEX(art_unit,MATCH(H1498,art_ref,0))&amp;"",""))</f>
        <v/>
      </c>
      <c r="K1498" s="59" t="n"/>
      <c r="L1498" s="59" t="n"/>
      <c r="M1498" s="61" t="str">
        <f>IF(OR(B1498="",NOT(ISNUMBER(K1498)),NOT(ISNUMBER(L1498))),"",IF(OR(K1498&lt;=0,L1498&lt;=0),"",ROUND(L1498-K1498,6)))</f>
        <v/>
      </c>
      <c r="N1498" s="58" t="n"/>
      <c r="O1498" s="62" t="n"/>
      <c r="P1498" s="63" t="str">
        <f>IF(OR(B1498="",NOT(ISNUMBER(L1498))),"",IF(L1498&lt;=0,"",IFERROR(ROUND(L1498*N(INDEX(art_w,MATCH(H1498,art_ref,0))),3),"")))</f>
        <v/>
      </c>
      <c r="Q1498" s="59" t="n"/>
      <c r="R1498" s="54" t="n"/>
      <c r="S1498" s="59" t="n"/>
      <c r="T1498" s="59" t="n"/>
      <c r="U1498" s="64" t="str">
        <f>IF(OR(B1498="",H1498=""),"",IFERROR(IF(A1498="BL",IF(N(INDEX(art_price,MATCH(H1498,art_ref,0)))=0,"",N(INDEX(art_price,MATCH(H1498,art_ref,0)))),IF(N(INDEX(art_cost,MATCH(H1498,art_ref,0)))=0,"",N(INDEX(art_cost,MATCH(H1498,art_ref,0))))),""))</f>
        <v/>
      </c>
      <c r="V1498" s="64" t="str">
        <f>IF(OR(U1498="",NOT(ISNUMBER(L1498))),"",IF(L1498&lt;=0,"",ROUND(L1498*U1498,2)))</f>
        <v/>
      </c>
      <c r="W1498" s="60" t="str">
        <f>IF(AND(B1498&lt;&gt;"",A1498&lt;&gt;"BS",F1498&lt;&gt;"",H1498&lt;&gt;"",ISNUMBER(K1498),ISNUMBER(L1498)),IF(AND(K1498&gt;0,L1498&gt;0,K1498-L1498&gt;0,COUNTIFS(A1499:A$2005,A1498,F1499:F$2005,F1498,H1499:H$2005,H1498,AA1499:AA$2005,"&gt;0")=0),ROUND(K1498-L1498,6),""),"")</f>
        <v/>
      </c>
      <c r="X1498" s="60" t="str">
        <f>IF(AND(A1498="",C1498="",D1498="",H1498="",L1498=""),"",IF(A1498="","Type manquant",IF(AND(A1498&lt;&gt;"BL",A1498&lt;&gt;"BR",A1498&lt;&gt;"BS"),"Type inconnu (BL, BR ou BS)",IF(AG1498=0,"Date manquante ou invalide",IF(D1498="",IF(A1498="BL","Client manquant",IF(A1498="BR","Fournisseur manquant","Service manquant")),IF(IF(A1498="BL",ISNA(MATCH(D1498,cl_code,0)),IF(A1498="BR",ISNA(MATCH(D1498,fo_code,0)),ISNA(MATCH(D1498,p_services,0)))),IF(A1498="BL","Client inconnu",IF(A1498="BR","Fournisseur inconnu","Service inconnu")),IF(H1498="","Article manquant",IF(ISNA(MATCH(H1498,art_ref,0)),"Article inconnu",IF(OR(NOT(ISNUMBER(L1498)),N(L1498)&lt;=0),"Quantité invalide",IF(AND(K1498&lt;&gt;"",OR(NOT(ISNUMBER(K1498)),N(K1498)&lt;=0)),"Qté commandée invalide",IF(AG1498&lt;SUMPRODUCT(MAX((A$6:A1497=A1498)*AG$6:AG1497)),"Date antérieure au bon précédent",IF(AND(A1498&lt;&gt;"BR",ISNUMBER(M1498),N(M1498)&gt;0),IF(A1498="BL","Livré plus que commandé","Sorti plus que demandé"),"OK"))))))))))))</f>
        <v/>
      </c>
      <c r="Y1498" s="57" t="str">
        <f>IF(AND(OR(A1498="BL",A1498="BR",A1498="BS"),AG1498&gt;0,D1498&lt;&gt;""),A1498&amp;"|"&amp;AG1498&amp;"|"&amp;D1498&amp;"|"&amp;F1498,"")</f>
        <v/>
      </c>
      <c r="Z1498" s="57" t="str">
        <f>IF(Y1498="","",IF(COUNTIF(Y$6:Y1497,Y1498)=0,1,0))</f>
        <v/>
      </c>
      <c r="AA1498" s="57" t="str">
        <f>IF(Y1498="","",IF(Z1498=1,COUNTIFS(A$6:A1498,A1498,Z$6:Z1498,1),INDEX(AA$6:AA1497,MATCH(Y1498,Y$6:Y1497,0))))</f>
        <v/>
      </c>
      <c r="AB1498" s="57" t="str">
        <f>IF(B1498="","",COUNTIF(B$6:B1498,B1498))</f>
        <v/>
      </c>
      <c r="AC1498" s="57" t="str">
        <f>IF(B1498="","",B1498&amp;"#"&amp;AB1498)</f>
        <v/>
      </c>
      <c r="AD1498" s="57" t="str">
        <f>IF(Z1498=1,A1498&amp;AA1498,"")</f>
        <v/>
      </c>
      <c r="AE1498" s="57" t="str">
        <f>IF(B1498="","",YEAR(C1498))</f>
        <v/>
      </c>
      <c r="AF1498" s="57" t="str">
        <f>IF(B1498="","",MONTH(C1498))</f>
        <v/>
      </c>
      <c r="AG1498" s="57">
        <f>IF(ISNUMBER(C1498),C1498,0)</f>
        <v>0.0</v>
      </c>
      <c r="AH1498" s="57" t="str">
        <f>IF(N(W1498)&gt;0,COUNTIF(W$6:W1498,"&gt;0"),"")</f>
        <v/>
      </c>
      <c r="AI1498" s="57" t="str">
        <f>IF(Z1498=1,COUNTIF(Z$6:Z1498,1),"")</f>
        <v/>
      </c>
    </row>
    <row r="1499">
      <c r="A1499" s="54" t="n"/>
      <c r="B1499" s="55" t="str">
        <f>IF(AA1499="","",A1499&amp;"-"&amp;RIGHT("000"&amp;AA1499,4))</f>
        <v/>
      </c>
      <c r="C1499" s="56" t="n"/>
      <c r="D1499" s="54" t="n"/>
      <c r="E1499" s="57" t="str">
        <f>IF(D1499="","",IF(A1499="BL",IFERROR(INDEX(cl_name,MATCH(D1499,cl_code,0))&amp;"","Client inconnu"),IF(A1499="BR",IFERROR(INDEX(fo_name,MATCH(D1499,fo_code,0))&amp;"","Fournisseur inconnu"),IF(A1499="BS",IF(ISNA(MATCH(D1499,p_services,0)),"Service inconnu",D1499&amp;""),""))))</f>
        <v/>
      </c>
      <c r="F1499" s="58" t="n"/>
      <c r="G1499" s="58" t="n"/>
      <c r="H1499" s="59" t="n"/>
      <c r="I1499" s="57" t="str">
        <f>IF(H1499="","",IFERROR(INDEX(art_des,MATCH(H1499,art_ref,0))&amp;"","Article inconnu"))</f>
        <v/>
      </c>
      <c r="J1499" s="60" t="str">
        <f>IF(H1499="","",IFERROR(INDEX(art_unit,MATCH(H1499,art_ref,0))&amp;"",""))</f>
        <v/>
      </c>
      <c r="K1499" s="59" t="n"/>
      <c r="L1499" s="59" t="n"/>
      <c r="M1499" s="61" t="str">
        <f>IF(OR(B1499="",NOT(ISNUMBER(K1499)),NOT(ISNUMBER(L1499))),"",IF(OR(K1499&lt;=0,L1499&lt;=0),"",ROUND(L1499-K1499,6)))</f>
        <v/>
      </c>
      <c r="N1499" s="58" t="n"/>
      <c r="O1499" s="62" t="n"/>
      <c r="P1499" s="63" t="str">
        <f>IF(OR(B1499="",NOT(ISNUMBER(L1499))),"",IF(L1499&lt;=0,"",IFERROR(ROUND(L1499*N(INDEX(art_w,MATCH(H1499,art_ref,0))),3),"")))</f>
        <v/>
      </c>
      <c r="Q1499" s="59" t="n"/>
      <c r="R1499" s="54" t="n"/>
      <c r="S1499" s="59" t="n"/>
      <c r="T1499" s="59" t="n"/>
      <c r="U1499" s="64" t="str">
        <f>IF(OR(B1499="",H1499=""),"",IFERROR(IF(A1499="BL",IF(N(INDEX(art_price,MATCH(H1499,art_ref,0)))=0,"",N(INDEX(art_price,MATCH(H1499,art_ref,0)))),IF(N(INDEX(art_cost,MATCH(H1499,art_ref,0)))=0,"",N(INDEX(art_cost,MATCH(H1499,art_ref,0))))),""))</f>
        <v/>
      </c>
      <c r="V1499" s="64" t="str">
        <f>IF(OR(U1499="",NOT(ISNUMBER(L1499))),"",IF(L1499&lt;=0,"",ROUND(L1499*U1499,2)))</f>
        <v/>
      </c>
      <c r="W1499" s="60" t="str">
        <f>IF(AND(B1499&lt;&gt;"",A1499&lt;&gt;"BS",F1499&lt;&gt;"",H1499&lt;&gt;"",ISNUMBER(K1499),ISNUMBER(L1499)),IF(AND(K1499&gt;0,L1499&gt;0,K1499-L1499&gt;0,COUNTIFS(A1500:A$2005,A1499,F1500:F$2005,F1499,H1500:H$2005,H1499,AA1500:AA$2005,"&gt;0")=0),ROUND(K1499-L1499,6),""),"")</f>
        <v/>
      </c>
      <c r="X1499" s="60" t="str">
        <f>IF(AND(A1499="",C1499="",D1499="",H1499="",L1499=""),"",IF(A1499="","Type manquant",IF(AND(A1499&lt;&gt;"BL",A1499&lt;&gt;"BR",A1499&lt;&gt;"BS"),"Type inconnu (BL, BR ou BS)",IF(AG1499=0,"Date manquante ou invalide",IF(D1499="",IF(A1499="BL","Client manquant",IF(A1499="BR","Fournisseur manquant","Service manquant")),IF(IF(A1499="BL",ISNA(MATCH(D1499,cl_code,0)),IF(A1499="BR",ISNA(MATCH(D1499,fo_code,0)),ISNA(MATCH(D1499,p_services,0)))),IF(A1499="BL","Client inconnu",IF(A1499="BR","Fournisseur inconnu","Service inconnu")),IF(H1499="","Article manquant",IF(ISNA(MATCH(H1499,art_ref,0)),"Article inconnu",IF(OR(NOT(ISNUMBER(L1499)),N(L1499)&lt;=0),"Quantité invalide",IF(AND(K1499&lt;&gt;"",OR(NOT(ISNUMBER(K1499)),N(K1499)&lt;=0)),"Qté commandée invalide",IF(AG1499&lt;SUMPRODUCT(MAX((A$6:A1498=A1499)*AG$6:AG1498)),"Date antérieure au bon précédent",IF(AND(A1499&lt;&gt;"BR",ISNUMBER(M1499),N(M1499)&gt;0),IF(A1499="BL","Livré plus que commandé","Sorti plus que demandé"),"OK"))))))))))))</f>
        <v/>
      </c>
      <c r="Y1499" s="57" t="str">
        <f>IF(AND(OR(A1499="BL",A1499="BR",A1499="BS"),AG1499&gt;0,D1499&lt;&gt;""),A1499&amp;"|"&amp;AG1499&amp;"|"&amp;D1499&amp;"|"&amp;F1499,"")</f>
        <v/>
      </c>
      <c r="Z1499" s="57" t="str">
        <f>IF(Y1499="","",IF(COUNTIF(Y$6:Y1498,Y1499)=0,1,0))</f>
        <v/>
      </c>
      <c r="AA1499" s="57" t="str">
        <f>IF(Y1499="","",IF(Z1499=1,COUNTIFS(A$6:A1499,A1499,Z$6:Z1499,1),INDEX(AA$6:AA1498,MATCH(Y1499,Y$6:Y1498,0))))</f>
        <v/>
      </c>
      <c r="AB1499" s="57" t="str">
        <f>IF(B1499="","",COUNTIF(B$6:B1499,B1499))</f>
        <v/>
      </c>
      <c r="AC1499" s="57" t="str">
        <f>IF(B1499="","",B1499&amp;"#"&amp;AB1499)</f>
        <v/>
      </c>
      <c r="AD1499" s="57" t="str">
        <f>IF(Z1499=1,A1499&amp;AA1499,"")</f>
        <v/>
      </c>
      <c r="AE1499" s="57" t="str">
        <f>IF(B1499="","",YEAR(C1499))</f>
        <v/>
      </c>
      <c r="AF1499" s="57" t="str">
        <f>IF(B1499="","",MONTH(C1499))</f>
        <v/>
      </c>
      <c r="AG1499" s="57">
        <f>IF(ISNUMBER(C1499),C1499,0)</f>
        <v>0.0</v>
      </c>
      <c r="AH1499" s="57" t="str">
        <f>IF(N(W1499)&gt;0,COUNTIF(W$6:W1499,"&gt;0"),"")</f>
        <v/>
      </c>
      <c r="AI1499" s="57" t="str">
        <f>IF(Z1499=1,COUNTIF(Z$6:Z1499,1),"")</f>
        <v/>
      </c>
    </row>
    <row r="1500">
      <c r="A1500" s="54" t="n"/>
      <c r="B1500" s="55" t="str">
        <f>IF(AA1500="","",A1500&amp;"-"&amp;RIGHT("000"&amp;AA1500,4))</f>
        <v/>
      </c>
      <c r="C1500" s="56" t="n"/>
      <c r="D1500" s="54" t="n"/>
      <c r="E1500" s="57" t="str">
        <f>IF(D1500="","",IF(A1500="BL",IFERROR(INDEX(cl_name,MATCH(D1500,cl_code,0))&amp;"","Client inconnu"),IF(A1500="BR",IFERROR(INDEX(fo_name,MATCH(D1500,fo_code,0))&amp;"","Fournisseur inconnu"),IF(A1500="BS",IF(ISNA(MATCH(D1500,p_services,0)),"Service inconnu",D1500&amp;""),""))))</f>
        <v/>
      </c>
      <c r="F1500" s="58" t="n"/>
      <c r="G1500" s="58" t="n"/>
      <c r="H1500" s="59" t="n"/>
      <c r="I1500" s="57" t="str">
        <f>IF(H1500="","",IFERROR(INDEX(art_des,MATCH(H1500,art_ref,0))&amp;"","Article inconnu"))</f>
        <v/>
      </c>
      <c r="J1500" s="60" t="str">
        <f>IF(H1500="","",IFERROR(INDEX(art_unit,MATCH(H1500,art_ref,0))&amp;"",""))</f>
        <v/>
      </c>
      <c r="K1500" s="59" t="n"/>
      <c r="L1500" s="59" t="n"/>
      <c r="M1500" s="61" t="str">
        <f>IF(OR(B1500="",NOT(ISNUMBER(K1500)),NOT(ISNUMBER(L1500))),"",IF(OR(K1500&lt;=0,L1500&lt;=0),"",ROUND(L1500-K1500,6)))</f>
        <v/>
      </c>
      <c r="N1500" s="58" t="n"/>
      <c r="O1500" s="62" t="n"/>
      <c r="P1500" s="63" t="str">
        <f>IF(OR(B1500="",NOT(ISNUMBER(L1500))),"",IF(L1500&lt;=0,"",IFERROR(ROUND(L1500*N(INDEX(art_w,MATCH(H1500,art_ref,0))),3),"")))</f>
        <v/>
      </c>
      <c r="Q1500" s="59" t="n"/>
      <c r="R1500" s="54" t="n"/>
      <c r="S1500" s="59" t="n"/>
      <c r="T1500" s="59" t="n"/>
      <c r="U1500" s="64" t="str">
        <f>IF(OR(B1500="",H1500=""),"",IFERROR(IF(A1500="BL",IF(N(INDEX(art_price,MATCH(H1500,art_ref,0)))=0,"",N(INDEX(art_price,MATCH(H1500,art_ref,0)))),IF(N(INDEX(art_cost,MATCH(H1500,art_ref,0)))=0,"",N(INDEX(art_cost,MATCH(H1500,art_ref,0))))),""))</f>
        <v/>
      </c>
      <c r="V1500" s="64" t="str">
        <f>IF(OR(U1500="",NOT(ISNUMBER(L1500))),"",IF(L1500&lt;=0,"",ROUND(L1500*U1500,2)))</f>
        <v/>
      </c>
      <c r="W1500" s="60" t="str">
        <f>IF(AND(B1500&lt;&gt;"",A1500&lt;&gt;"BS",F1500&lt;&gt;"",H1500&lt;&gt;"",ISNUMBER(K1500),ISNUMBER(L1500)),IF(AND(K1500&gt;0,L1500&gt;0,K1500-L1500&gt;0,COUNTIFS(A1501:A$2005,A1500,F1501:F$2005,F1500,H1501:H$2005,H1500,AA1501:AA$2005,"&gt;0")=0),ROUND(K1500-L1500,6),""),"")</f>
        <v/>
      </c>
      <c r="X1500" s="60" t="str">
        <f>IF(AND(A1500="",C1500="",D1500="",H1500="",L1500=""),"",IF(A1500="","Type manquant",IF(AND(A1500&lt;&gt;"BL",A1500&lt;&gt;"BR",A1500&lt;&gt;"BS"),"Type inconnu (BL, BR ou BS)",IF(AG1500=0,"Date manquante ou invalide",IF(D1500="",IF(A1500="BL","Client manquant",IF(A1500="BR","Fournisseur manquant","Service manquant")),IF(IF(A1500="BL",ISNA(MATCH(D1500,cl_code,0)),IF(A1500="BR",ISNA(MATCH(D1500,fo_code,0)),ISNA(MATCH(D1500,p_services,0)))),IF(A1500="BL","Client inconnu",IF(A1500="BR","Fournisseur inconnu","Service inconnu")),IF(H1500="","Article manquant",IF(ISNA(MATCH(H1500,art_ref,0)),"Article inconnu",IF(OR(NOT(ISNUMBER(L1500)),N(L1500)&lt;=0),"Quantité invalide",IF(AND(K1500&lt;&gt;"",OR(NOT(ISNUMBER(K1500)),N(K1500)&lt;=0)),"Qté commandée invalide",IF(AG1500&lt;SUMPRODUCT(MAX((A$6:A1499=A1500)*AG$6:AG1499)),"Date antérieure au bon précédent",IF(AND(A1500&lt;&gt;"BR",ISNUMBER(M1500),N(M1500)&gt;0),IF(A1500="BL","Livré plus que commandé","Sorti plus que demandé"),"OK"))))))))))))</f>
        <v/>
      </c>
      <c r="Y1500" s="57" t="str">
        <f>IF(AND(OR(A1500="BL",A1500="BR",A1500="BS"),AG1500&gt;0,D1500&lt;&gt;""),A1500&amp;"|"&amp;AG1500&amp;"|"&amp;D1500&amp;"|"&amp;F1500,"")</f>
        <v/>
      </c>
      <c r="Z1500" s="57" t="str">
        <f>IF(Y1500="","",IF(COUNTIF(Y$6:Y1499,Y1500)=0,1,0))</f>
        <v/>
      </c>
      <c r="AA1500" s="57" t="str">
        <f>IF(Y1500="","",IF(Z1500=1,COUNTIFS(A$6:A1500,A1500,Z$6:Z1500,1),INDEX(AA$6:AA1499,MATCH(Y1500,Y$6:Y1499,0))))</f>
        <v/>
      </c>
      <c r="AB1500" s="57" t="str">
        <f>IF(B1500="","",COUNTIF(B$6:B1500,B1500))</f>
        <v/>
      </c>
      <c r="AC1500" s="57" t="str">
        <f>IF(B1500="","",B1500&amp;"#"&amp;AB1500)</f>
        <v/>
      </c>
      <c r="AD1500" s="57" t="str">
        <f>IF(Z1500=1,A1500&amp;AA1500,"")</f>
        <v/>
      </c>
      <c r="AE1500" s="57" t="str">
        <f>IF(B1500="","",YEAR(C1500))</f>
        <v/>
      </c>
      <c r="AF1500" s="57" t="str">
        <f>IF(B1500="","",MONTH(C1500))</f>
        <v/>
      </c>
      <c r="AG1500" s="57">
        <f>IF(ISNUMBER(C1500),C1500,0)</f>
        <v>0.0</v>
      </c>
      <c r="AH1500" s="57" t="str">
        <f>IF(N(W1500)&gt;0,COUNTIF(W$6:W1500,"&gt;0"),"")</f>
        <v/>
      </c>
      <c r="AI1500" s="57" t="str">
        <f>IF(Z1500=1,COUNTIF(Z$6:Z1500,1),"")</f>
        <v/>
      </c>
    </row>
    <row r="1501">
      <c r="A1501" s="54" t="n"/>
      <c r="B1501" s="55" t="str">
        <f>IF(AA1501="","",A1501&amp;"-"&amp;RIGHT("000"&amp;AA1501,4))</f>
        <v/>
      </c>
      <c r="C1501" s="56" t="n"/>
      <c r="D1501" s="54" t="n"/>
      <c r="E1501" s="57" t="str">
        <f>IF(D1501="","",IF(A1501="BL",IFERROR(INDEX(cl_name,MATCH(D1501,cl_code,0))&amp;"","Client inconnu"),IF(A1501="BR",IFERROR(INDEX(fo_name,MATCH(D1501,fo_code,0))&amp;"","Fournisseur inconnu"),IF(A1501="BS",IF(ISNA(MATCH(D1501,p_services,0)),"Service inconnu",D1501&amp;""),""))))</f>
        <v/>
      </c>
      <c r="F1501" s="58" t="n"/>
      <c r="G1501" s="58" t="n"/>
      <c r="H1501" s="59" t="n"/>
      <c r="I1501" s="57" t="str">
        <f>IF(H1501="","",IFERROR(INDEX(art_des,MATCH(H1501,art_ref,0))&amp;"","Article inconnu"))</f>
        <v/>
      </c>
      <c r="J1501" s="60" t="str">
        <f>IF(H1501="","",IFERROR(INDEX(art_unit,MATCH(H1501,art_ref,0))&amp;"",""))</f>
        <v/>
      </c>
      <c r="K1501" s="59" t="n"/>
      <c r="L1501" s="59" t="n"/>
      <c r="M1501" s="61" t="str">
        <f>IF(OR(B1501="",NOT(ISNUMBER(K1501)),NOT(ISNUMBER(L1501))),"",IF(OR(K1501&lt;=0,L1501&lt;=0),"",ROUND(L1501-K1501,6)))</f>
        <v/>
      </c>
      <c r="N1501" s="58" t="n"/>
      <c r="O1501" s="62" t="n"/>
      <c r="P1501" s="63" t="str">
        <f>IF(OR(B1501="",NOT(ISNUMBER(L1501))),"",IF(L1501&lt;=0,"",IFERROR(ROUND(L1501*N(INDEX(art_w,MATCH(H1501,art_ref,0))),3),"")))</f>
        <v/>
      </c>
      <c r="Q1501" s="59" t="n"/>
      <c r="R1501" s="54" t="n"/>
      <c r="S1501" s="59" t="n"/>
      <c r="T1501" s="59" t="n"/>
      <c r="U1501" s="64" t="str">
        <f>IF(OR(B1501="",H1501=""),"",IFERROR(IF(A1501="BL",IF(N(INDEX(art_price,MATCH(H1501,art_ref,0)))=0,"",N(INDEX(art_price,MATCH(H1501,art_ref,0)))),IF(N(INDEX(art_cost,MATCH(H1501,art_ref,0)))=0,"",N(INDEX(art_cost,MATCH(H1501,art_ref,0))))),""))</f>
        <v/>
      </c>
      <c r="V1501" s="64" t="str">
        <f>IF(OR(U1501="",NOT(ISNUMBER(L1501))),"",IF(L1501&lt;=0,"",ROUND(L1501*U1501,2)))</f>
        <v/>
      </c>
      <c r="W1501" s="60" t="str">
        <f>IF(AND(B1501&lt;&gt;"",A1501&lt;&gt;"BS",F1501&lt;&gt;"",H1501&lt;&gt;"",ISNUMBER(K1501),ISNUMBER(L1501)),IF(AND(K1501&gt;0,L1501&gt;0,K1501-L1501&gt;0,COUNTIFS(A1502:A$2005,A1501,F1502:F$2005,F1501,H1502:H$2005,H1501,AA1502:AA$2005,"&gt;0")=0),ROUND(K1501-L1501,6),""),"")</f>
        <v/>
      </c>
      <c r="X1501" s="60" t="str">
        <f>IF(AND(A1501="",C1501="",D1501="",H1501="",L1501=""),"",IF(A1501="","Type manquant",IF(AND(A1501&lt;&gt;"BL",A1501&lt;&gt;"BR",A1501&lt;&gt;"BS"),"Type inconnu (BL, BR ou BS)",IF(AG1501=0,"Date manquante ou invalide",IF(D1501="",IF(A1501="BL","Client manquant",IF(A1501="BR","Fournisseur manquant","Service manquant")),IF(IF(A1501="BL",ISNA(MATCH(D1501,cl_code,0)),IF(A1501="BR",ISNA(MATCH(D1501,fo_code,0)),ISNA(MATCH(D1501,p_services,0)))),IF(A1501="BL","Client inconnu",IF(A1501="BR","Fournisseur inconnu","Service inconnu")),IF(H1501="","Article manquant",IF(ISNA(MATCH(H1501,art_ref,0)),"Article inconnu",IF(OR(NOT(ISNUMBER(L1501)),N(L1501)&lt;=0),"Quantité invalide",IF(AND(K1501&lt;&gt;"",OR(NOT(ISNUMBER(K1501)),N(K1501)&lt;=0)),"Qté commandée invalide",IF(AG1501&lt;SUMPRODUCT(MAX((A$6:A1500=A1501)*AG$6:AG1500)),"Date antérieure au bon précédent",IF(AND(A1501&lt;&gt;"BR",ISNUMBER(M1501),N(M1501)&gt;0),IF(A1501="BL","Livré plus que commandé","Sorti plus que demandé"),"OK"))))))))))))</f>
        <v/>
      </c>
      <c r="Y1501" s="57" t="str">
        <f>IF(AND(OR(A1501="BL",A1501="BR",A1501="BS"),AG1501&gt;0,D1501&lt;&gt;""),A1501&amp;"|"&amp;AG1501&amp;"|"&amp;D1501&amp;"|"&amp;F1501,"")</f>
        <v/>
      </c>
      <c r="Z1501" s="57" t="str">
        <f>IF(Y1501="","",IF(COUNTIF(Y$6:Y1500,Y1501)=0,1,0))</f>
        <v/>
      </c>
      <c r="AA1501" s="57" t="str">
        <f>IF(Y1501="","",IF(Z1501=1,COUNTIFS(A$6:A1501,A1501,Z$6:Z1501,1),INDEX(AA$6:AA1500,MATCH(Y1501,Y$6:Y1500,0))))</f>
        <v/>
      </c>
      <c r="AB1501" s="57" t="str">
        <f>IF(B1501="","",COUNTIF(B$6:B1501,B1501))</f>
        <v/>
      </c>
      <c r="AC1501" s="57" t="str">
        <f>IF(B1501="","",B1501&amp;"#"&amp;AB1501)</f>
        <v/>
      </c>
      <c r="AD1501" s="57" t="str">
        <f>IF(Z1501=1,A1501&amp;AA1501,"")</f>
        <v/>
      </c>
      <c r="AE1501" s="57" t="str">
        <f>IF(B1501="","",YEAR(C1501))</f>
        <v/>
      </c>
      <c r="AF1501" s="57" t="str">
        <f>IF(B1501="","",MONTH(C1501))</f>
        <v/>
      </c>
      <c r="AG1501" s="57">
        <f>IF(ISNUMBER(C1501),C1501,0)</f>
        <v>0.0</v>
      </c>
      <c r="AH1501" s="57" t="str">
        <f>IF(N(W1501)&gt;0,COUNTIF(W$6:W1501,"&gt;0"),"")</f>
        <v/>
      </c>
      <c r="AI1501" s="57" t="str">
        <f>IF(Z1501=1,COUNTIF(Z$6:Z1501,1),"")</f>
        <v/>
      </c>
    </row>
    <row r="1502">
      <c r="A1502" s="54" t="n"/>
      <c r="B1502" s="55" t="str">
        <f>IF(AA1502="","",A1502&amp;"-"&amp;RIGHT("000"&amp;AA1502,4))</f>
        <v/>
      </c>
      <c r="C1502" s="56" t="n"/>
      <c r="D1502" s="54" t="n"/>
      <c r="E1502" s="57" t="str">
        <f>IF(D1502="","",IF(A1502="BL",IFERROR(INDEX(cl_name,MATCH(D1502,cl_code,0))&amp;"","Client inconnu"),IF(A1502="BR",IFERROR(INDEX(fo_name,MATCH(D1502,fo_code,0))&amp;"","Fournisseur inconnu"),IF(A1502="BS",IF(ISNA(MATCH(D1502,p_services,0)),"Service inconnu",D1502&amp;""),""))))</f>
        <v/>
      </c>
      <c r="F1502" s="58" t="n"/>
      <c r="G1502" s="58" t="n"/>
      <c r="H1502" s="59" t="n"/>
      <c r="I1502" s="57" t="str">
        <f>IF(H1502="","",IFERROR(INDEX(art_des,MATCH(H1502,art_ref,0))&amp;"","Article inconnu"))</f>
        <v/>
      </c>
      <c r="J1502" s="60" t="str">
        <f>IF(H1502="","",IFERROR(INDEX(art_unit,MATCH(H1502,art_ref,0))&amp;"",""))</f>
        <v/>
      </c>
      <c r="K1502" s="59" t="n"/>
      <c r="L1502" s="59" t="n"/>
      <c r="M1502" s="61" t="str">
        <f>IF(OR(B1502="",NOT(ISNUMBER(K1502)),NOT(ISNUMBER(L1502))),"",IF(OR(K1502&lt;=0,L1502&lt;=0),"",ROUND(L1502-K1502,6)))</f>
        <v/>
      </c>
      <c r="N1502" s="58" t="n"/>
      <c r="O1502" s="62" t="n"/>
      <c r="P1502" s="63" t="str">
        <f>IF(OR(B1502="",NOT(ISNUMBER(L1502))),"",IF(L1502&lt;=0,"",IFERROR(ROUND(L1502*N(INDEX(art_w,MATCH(H1502,art_ref,0))),3),"")))</f>
        <v/>
      </c>
      <c r="Q1502" s="59" t="n"/>
      <c r="R1502" s="54" t="n"/>
      <c r="S1502" s="59" t="n"/>
      <c r="T1502" s="59" t="n"/>
      <c r="U1502" s="64" t="str">
        <f>IF(OR(B1502="",H1502=""),"",IFERROR(IF(A1502="BL",IF(N(INDEX(art_price,MATCH(H1502,art_ref,0)))=0,"",N(INDEX(art_price,MATCH(H1502,art_ref,0)))),IF(N(INDEX(art_cost,MATCH(H1502,art_ref,0)))=0,"",N(INDEX(art_cost,MATCH(H1502,art_ref,0))))),""))</f>
        <v/>
      </c>
      <c r="V1502" s="64" t="str">
        <f>IF(OR(U1502="",NOT(ISNUMBER(L1502))),"",IF(L1502&lt;=0,"",ROUND(L1502*U1502,2)))</f>
        <v/>
      </c>
      <c r="W1502" s="60" t="str">
        <f>IF(AND(B1502&lt;&gt;"",A1502&lt;&gt;"BS",F1502&lt;&gt;"",H1502&lt;&gt;"",ISNUMBER(K1502),ISNUMBER(L1502)),IF(AND(K1502&gt;0,L1502&gt;0,K1502-L1502&gt;0,COUNTIFS(A1503:A$2005,A1502,F1503:F$2005,F1502,H1503:H$2005,H1502,AA1503:AA$2005,"&gt;0")=0),ROUND(K1502-L1502,6),""),"")</f>
        <v/>
      </c>
      <c r="X1502" s="60" t="str">
        <f>IF(AND(A1502="",C1502="",D1502="",H1502="",L1502=""),"",IF(A1502="","Type manquant",IF(AND(A1502&lt;&gt;"BL",A1502&lt;&gt;"BR",A1502&lt;&gt;"BS"),"Type inconnu (BL, BR ou BS)",IF(AG1502=0,"Date manquante ou invalide",IF(D1502="",IF(A1502="BL","Client manquant",IF(A1502="BR","Fournisseur manquant","Service manquant")),IF(IF(A1502="BL",ISNA(MATCH(D1502,cl_code,0)),IF(A1502="BR",ISNA(MATCH(D1502,fo_code,0)),ISNA(MATCH(D1502,p_services,0)))),IF(A1502="BL","Client inconnu",IF(A1502="BR","Fournisseur inconnu","Service inconnu")),IF(H1502="","Article manquant",IF(ISNA(MATCH(H1502,art_ref,0)),"Article inconnu",IF(OR(NOT(ISNUMBER(L1502)),N(L1502)&lt;=0),"Quantité invalide",IF(AND(K1502&lt;&gt;"",OR(NOT(ISNUMBER(K1502)),N(K1502)&lt;=0)),"Qté commandée invalide",IF(AG1502&lt;SUMPRODUCT(MAX((A$6:A1501=A1502)*AG$6:AG1501)),"Date antérieure au bon précédent",IF(AND(A1502&lt;&gt;"BR",ISNUMBER(M1502),N(M1502)&gt;0),IF(A1502="BL","Livré plus que commandé","Sorti plus que demandé"),"OK"))))))))))))</f>
        <v/>
      </c>
      <c r="Y1502" s="57" t="str">
        <f>IF(AND(OR(A1502="BL",A1502="BR",A1502="BS"),AG1502&gt;0,D1502&lt;&gt;""),A1502&amp;"|"&amp;AG1502&amp;"|"&amp;D1502&amp;"|"&amp;F1502,"")</f>
        <v/>
      </c>
      <c r="Z1502" s="57" t="str">
        <f>IF(Y1502="","",IF(COUNTIF(Y$6:Y1501,Y1502)=0,1,0))</f>
        <v/>
      </c>
      <c r="AA1502" s="57" t="str">
        <f>IF(Y1502="","",IF(Z1502=1,COUNTIFS(A$6:A1502,A1502,Z$6:Z1502,1),INDEX(AA$6:AA1501,MATCH(Y1502,Y$6:Y1501,0))))</f>
        <v/>
      </c>
      <c r="AB1502" s="57" t="str">
        <f>IF(B1502="","",COUNTIF(B$6:B1502,B1502))</f>
        <v/>
      </c>
      <c r="AC1502" s="57" t="str">
        <f>IF(B1502="","",B1502&amp;"#"&amp;AB1502)</f>
        <v/>
      </c>
      <c r="AD1502" s="57" t="str">
        <f>IF(Z1502=1,A1502&amp;AA1502,"")</f>
        <v/>
      </c>
      <c r="AE1502" s="57" t="str">
        <f>IF(B1502="","",YEAR(C1502))</f>
        <v/>
      </c>
      <c r="AF1502" s="57" t="str">
        <f>IF(B1502="","",MONTH(C1502))</f>
        <v/>
      </c>
      <c r="AG1502" s="57">
        <f>IF(ISNUMBER(C1502),C1502,0)</f>
        <v>0.0</v>
      </c>
      <c r="AH1502" s="57" t="str">
        <f>IF(N(W1502)&gt;0,COUNTIF(W$6:W1502,"&gt;0"),"")</f>
        <v/>
      </c>
      <c r="AI1502" s="57" t="str">
        <f>IF(Z1502=1,COUNTIF(Z$6:Z1502,1),"")</f>
        <v/>
      </c>
    </row>
    <row r="1503">
      <c r="A1503" s="54" t="n"/>
      <c r="B1503" s="55" t="str">
        <f>IF(AA1503="","",A1503&amp;"-"&amp;RIGHT("000"&amp;AA1503,4))</f>
        <v/>
      </c>
      <c r="C1503" s="56" t="n"/>
      <c r="D1503" s="54" t="n"/>
      <c r="E1503" s="57" t="str">
        <f>IF(D1503="","",IF(A1503="BL",IFERROR(INDEX(cl_name,MATCH(D1503,cl_code,0))&amp;"","Client inconnu"),IF(A1503="BR",IFERROR(INDEX(fo_name,MATCH(D1503,fo_code,0))&amp;"","Fournisseur inconnu"),IF(A1503="BS",IF(ISNA(MATCH(D1503,p_services,0)),"Service inconnu",D1503&amp;""),""))))</f>
        <v/>
      </c>
      <c r="F1503" s="58" t="n"/>
      <c r="G1503" s="58" t="n"/>
      <c r="H1503" s="59" t="n"/>
      <c r="I1503" s="57" t="str">
        <f>IF(H1503="","",IFERROR(INDEX(art_des,MATCH(H1503,art_ref,0))&amp;"","Article inconnu"))</f>
        <v/>
      </c>
      <c r="J1503" s="60" t="str">
        <f>IF(H1503="","",IFERROR(INDEX(art_unit,MATCH(H1503,art_ref,0))&amp;"",""))</f>
        <v/>
      </c>
      <c r="K1503" s="59" t="n"/>
      <c r="L1503" s="59" t="n"/>
      <c r="M1503" s="61" t="str">
        <f>IF(OR(B1503="",NOT(ISNUMBER(K1503)),NOT(ISNUMBER(L1503))),"",IF(OR(K1503&lt;=0,L1503&lt;=0),"",ROUND(L1503-K1503,6)))</f>
        <v/>
      </c>
      <c r="N1503" s="58" t="n"/>
      <c r="O1503" s="62" t="n"/>
      <c r="P1503" s="63" t="str">
        <f>IF(OR(B1503="",NOT(ISNUMBER(L1503))),"",IF(L1503&lt;=0,"",IFERROR(ROUND(L1503*N(INDEX(art_w,MATCH(H1503,art_ref,0))),3),"")))</f>
        <v/>
      </c>
      <c r="Q1503" s="59" t="n"/>
      <c r="R1503" s="54" t="n"/>
      <c r="S1503" s="59" t="n"/>
      <c r="T1503" s="59" t="n"/>
      <c r="U1503" s="64" t="str">
        <f>IF(OR(B1503="",H1503=""),"",IFERROR(IF(A1503="BL",IF(N(INDEX(art_price,MATCH(H1503,art_ref,0)))=0,"",N(INDEX(art_price,MATCH(H1503,art_ref,0)))),IF(N(INDEX(art_cost,MATCH(H1503,art_ref,0)))=0,"",N(INDEX(art_cost,MATCH(H1503,art_ref,0))))),""))</f>
        <v/>
      </c>
      <c r="V1503" s="64" t="str">
        <f>IF(OR(U1503="",NOT(ISNUMBER(L1503))),"",IF(L1503&lt;=0,"",ROUND(L1503*U1503,2)))</f>
        <v/>
      </c>
      <c r="W1503" s="60" t="str">
        <f>IF(AND(B1503&lt;&gt;"",A1503&lt;&gt;"BS",F1503&lt;&gt;"",H1503&lt;&gt;"",ISNUMBER(K1503),ISNUMBER(L1503)),IF(AND(K1503&gt;0,L1503&gt;0,K1503-L1503&gt;0,COUNTIFS(A1504:A$2005,A1503,F1504:F$2005,F1503,H1504:H$2005,H1503,AA1504:AA$2005,"&gt;0")=0),ROUND(K1503-L1503,6),""),"")</f>
        <v/>
      </c>
      <c r="X1503" s="60" t="str">
        <f>IF(AND(A1503="",C1503="",D1503="",H1503="",L1503=""),"",IF(A1503="","Type manquant",IF(AND(A1503&lt;&gt;"BL",A1503&lt;&gt;"BR",A1503&lt;&gt;"BS"),"Type inconnu (BL, BR ou BS)",IF(AG1503=0,"Date manquante ou invalide",IF(D1503="",IF(A1503="BL","Client manquant",IF(A1503="BR","Fournisseur manquant","Service manquant")),IF(IF(A1503="BL",ISNA(MATCH(D1503,cl_code,0)),IF(A1503="BR",ISNA(MATCH(D1503,fo_code,0)),ISNA(MATCH(D1503,p_services,0)))),IF(A1503="BL","Client inconnu",IF(A1503="BR","Fournisseur inconnu","Service inconnu")),IF(H1503="","Article manquant",IF(ISNA(MATCH(H1503,art_ref,0)),"Article inconnu",IF(OR(NOT(ISNUMBER(L1503)),N(L1503)&lt;=0),"Quantité invalide",IF(AND(K1503&lt;&gt;"",OR(NOT(ISNUMBER(K1503)),N(K1503)&lt;=0)),"Qté commandée invalide",IF(AG1503&lt;SUMPRODUCT(MAX((A$6:A1502=A1503)*AG$6:AG1502)),"Date antérieure au bon précédent",IF(AND(A1503&lt;&gt;"BR",ISNUMBER(M1503),N(M1503)&gt;0),IF(A1503="BL","Livré plus que commandé","Sorti plus que demandé"),"OK"))))))))))))</f>
        <v/>
      </c>
      <c r="Y1503" s="57" t="str">
        <f>IF(AND(OR(A1503="BL",A1503="BR",A1503="BS"),AG1503&gt;0,D1503&lt;&gt;""),A1503&amp;"|"&amp;AG1503&amp;"|"&amp;D1503&amp;"|"&amp;F1503,"")</f>
        <v/>
      </c>
      <c r="Z1503" s="57" t="str">
        <f>IF(Y1503="","",IF(COUNTIF(Y$6:Y1502,Y1503)=0,1,0))</f>
        <v/>
      </c>
      <c r="AA1503" s="57" t="str">
        <f>IF(Y1503="","",IF(Z1503=1,COUNTIFS(A$6:A1503,A1503,Z$6:Z1503,1),INDEX(AA$6:AA1502,MATCH(Y1503,Y$6:Y1502,0))))</f>
        <v/>
      </c>
      <c r="AB1503" s="57" t="str">
        <f>IF(B1503="","",COUNTIF(B$6:B1503,B1503))</f>
        <v/>
      </c>
      <c r="AC1503" s="57" t="str">
        <f>IF(B1503="","",B1503&amp;"#"&amp;AB1503)</f>
        <v/>
      </c>
      <c r="AD1503" s="57" t="str">
        <f>IF(Z1503=1,A1503&amp;AA1503,"")</f>
        <v/>
      </c>
      <c r="AE1503" s="57" t="str">
        <f>IF(B1503="","",YEAR(C1503))</f>
        <v/>
      </c>
      <c r="AF1503" s="57" t="str">
        <f>IF(B1503="","",MONTH(C1503))</f>
        <v/>
      </c>
      <c r="AG1503" s="57">
        <f>IF(ISNUMBER(C1503),C1503,0)</f>
        <v>0.0</v>
      </c>
      <c r="AH1503" s="57" t="str">
        <f>IF(N(W1503)&gt;0,COUNTIF(W$6:W1503,"&gt;0"),"")</f>
        <v/>
      </c>
      <c r="AI1503" s="57" t="str">
        <f>IF(Z1503=1,COUNTIF(Z$6:Z1503,1),"")</f>
        <v/>
      </c>
    </row>
    <row r="1504">
      <c r="A1504" s="54" t="n"/>
      <c r="B1504" s="55" t="str">
        <f>IF(AA1504="","",A1504&amp;"-"&amp;RIGHT("000"&amp;AA1504,4))</f>
        <v/>
      </c>
      <c r="C1504" s="56" t="n"/>
      <c r="D1504" s="54" t="n"/>
      <c r="E1504" s="57" t="str">
        <f>IF(D1504="","",IF(A1504="BL",IFERROR(INDEX(cl_name,MATCH(D1504,cl_code,0))&amp;"","Client inconnu"),IF(A1504="BR",IFERROR(INDEX(fo_name,MATCH(D1504,fo_code,0))&amp;"","Fournisseur inconnu"),IF(A1504="BS",IF(ISNA(MATCH(D1504,p_services,0)),"Service inconnu",D1504&amp;""),""))))</f>
        <v/>
      </c>
      <c r="F1504" s="58" t="n"/>
      <c r="G1504" s="58" t="n"/>
      <c r="H1504" s="59" t="n"/>
      <c r="I1504" s="57" t="str">
        <f>IF(H1504="","",IFERROR(INDEX(art_des,MATCH(H1504,art_ref,0))&amp;"","Article inconnu"))</f>
        <v/>
      </c>
      <c r="J1504" s="60" t="str">
        <f>IF(H1504="","",IFERROR(INDEX(art_unit,MATCH(H1504,art_ref,0))&amp;"",""))</f>
        <v/>
      </c>
      <c r="K1504" s="59" t="n"/>
      <c r="L1504" s="59" t="n"/>
      <c r="M1504" s="61" t="str">
        <f>IF(OR(B1504="",NOT(ISNUMBER(K1504)),NOT(ISNUMBER(L1504))),"",IF(OR(K1504&lt;=0,L1504&lt;=0),"",ROUND(L1504-K1504,6)))</f>
        <v/>
      </c>
      <c r="N1504" s="58" t="n"/>
      <c r="O1504" s="62" t="n"/>
      <c r="P1504" s="63" t="str">
        <f>IF(OR(B1504="",NOT(ISNUMBER(L1504))),"",IF(L1504&lt;=0,"",IFERROR(ROUND(L1504*N(INDEX(art_w,MATCH(H1504,art_ref,0))),3),"")))</f>
        <v/>
      </c>
      <c r="Q1504" s="59" t="n"/>
      <c r="R1504" s="54" t="n"/>
      <c r="S1504" s="59" t="n"/>
      <c r="T1504" s="59" t="n"/>
      <c r="U1504" s="64" t="str">
        <f>IF(OR(B1504="",H1504=""),"",IFERROR(IF(A1504="BL",IF(N(INDEX(art_price,MATCH(H1504,art_ref,0)))=0,"",N(INDEX(art_price,MATCH(H1504,art_ref,0)))),IF(N(INDEX(art_cost,MATCH(H1504,art_ref,0)))=0,"",N(INDEX(art_cost,MATCH(H1504,art_ref,0))))),""))</f>
        <v/>
      </c>
      <c r="V1504" s="64" t="str">
        <f>IF(OR(U1504="",NOT(ISNUMBER(L1504))),"",IF(L1504&lt;=0,"",ROUND(L1504*U1504,2)))</f>
        <v/>
      </c>
      <c r="W1504" s="60" t="str">
        <f>IF(AND(B1504&lt;&gt;"",A1504&lt;&gt;"BS",F1504&lt;&gt;"",H1504&lt;&gt;"",ISNUMBER(K1504),ISNUMBER(L1504)),IF(AND(K1504&gt;0,L1504&gt;0,K1504-L1504&gt;0,COUNTIFS(A1505:A$2005,A1504,F1505:F$2005,F1504,H1505:H$2005,H1504,AA1505:AA$2005,"&gt;0")=0),ROUND(K1504-L1504,6),""),"")</f>
        <v/>
      </c>
      <c r="X1504" s="60" t="str">
        <f>IF(AND(A1504="",C1504="",D1504="",H1504="",L1504=""),"",IF(A1504="","Type manquant",IF(AND(A1504&lt;&gt;"BL",A1504&lt;&gt;"BR",A1504&lt;&gt;"BS"),"Type inconnu (BL, BR ou BS)",IF(AG1504=0,"Date manquante ou invalide",IF(D1504="",IF(A1504="BL","Client manquant",IF(A1504="BR","Fournisseur manquant","Service manquant")),IF(IF(A1504="BL",ISNA(MATCH(D1504,cl_code,0)),IF(A1504="BR",ISNA(MATCH(D1504,fo_code,0)),ISNA(MATCH(D1504,p_services,0)))),IF(A1504="BL","Client inconnu",IF(A1504="BR","Fournisseur inconnu","Service inconnu")),IF(H1504="","Article manquant",IF(ISNA(MATCH(H1504,art_ref,0)),"Article inconnu",IF(OR(NOT(ISNUMBER(L1504)),N(L1504)&lt;=0),"Quantité invalide",IF(AND(K1504&lt;&gt;"",OR(NOT(ISNUMBER(K1504)),N(K1504)&lt;=0)),"Qté commandée invalide",IF(AG1504&lt;SUMPRODUCT(MAX((A$6:A1503=A1504)*AG$6:AG1503)),"Date antérieure au bon précédent",IF(AND(A1504&lt;&gt;"BR",ISNUMBER(M1504),N(M1504)&gt;0),IF(A1504="BL","Livré plus que commandé","Sorti plus que demandé"),"OK"))))))))))))</f>
        <v/>
      </c>
      <c r="Y1504" s="57" t="str">
        <f>IF(AND(OR(A1504="BL",A1504="BR",A1504="BS"),AG1504&gt;0,D1504&lt;&gt;""),A1504&amp;"|"&amp;AG1504&amp;"|"&amp;D1504&amp;"|"&amp;F1504,"")</f>
        <v/>
      </c>
      <c r="Z1504" s="57" t="str">
        <f>IF(Y1504="","",IF(COUNTIF(Y$6:Y1503,Y1504)=0,1,0))</f>
        <v/>
      </c>
      <c r="AA1504" s="57" t="str">
        <f>IF(Y1504="","",IF(Z1504=1,COUNTIFS(A$6:A1504,A1504,Z$6:Z1504,1),INDEX(AA$6:AA1503,MATCH(Y1504,Y$6:Y1503,0))))</f>
        <v/>
      </c>
      <c r="AB1504" s="57" t="str">
        <f>IF(B1504="","",COUNTIF(B$6:B1504,B1504))</f>
        <v/>
      </c>
      <c r="AC1504" s="57" t="str">
        <f>IF(B1504="","",B1504&amp;"#"&amp;AB1504)</f>
        <v/>
      </c>
      <c r="AD1504" s="57" t="str">
        <f>IF(Z1504=1,A1504&amp;AA1504,"")</f>
        <v/>
      </c>
      <c r="AE1504" s="57" t="str">
        <f>IF(B1504="","",YEAR(C1504))</f>
        <v/>
      </c>
      <c r="AF1504" s="57" t="str">
        <f>IF(B1504="","",MONTH(C1504))</f>
        <v/>
      </c>
      <c r="AG1504" s="57">
        <f>IF(ISNUMBER(C1504),C1504,0)</f>
        <v>0.0</v>
      </c>
      <c r="AH1504" s="57" t="str">
        <f>IF(N(W1504)&gt;0,COUNTIF(W$6:W1504,"&gt;0"),"")</f>
        <v/>
      </c>
      <c r="AI1504" s="57" t="str">
        <f>IF(Z1504=1,COUNTIF(Z$6:Z1504,1),"")</f>
        <v/>
      </c>
    </row>
    <row r="1505">
      <c r="A1505" s="54" t="n"/>
      <c r="B1505" s="55" t="str">
        <f>IF(AA1505="","",A1505&amp;"-"&amp;RIGHT("000"&amp;AA1505,4))</f>
        <v/>
      </c>
      <c r="C1505" s="56" t="n"/>
      <c r="D1505" s="54" t="n"/>
      <c r="E1505" s="57" t="str">
        <f>IF(D1505="","",IF(A1505="BL",IFERROR(INDEX(cl_name,MATCH(D1505,cl_code,0))&amp;"","Client inconnu"),IF(A1505="BR",IFERROR(INDEX(fo_name,MATCH(D1505,fo_code,0))&amp;"","Fournisseur inconnu"),IF(A1505="BS",IF(ISNA(MATCH(D1505,p_services,0)),"Service inconnu",D1505&amp;""),""))))</f>
        <v/>
      </c>
      <c r="F1505" s="58" t="n"/>
      <c r="G1505" s="58" t="n"/>
      <c r="H1505" s="59" t="n"/>
      <c r="I1505" s="57" t="str">
        <f>IF(H1505="","",IFERROR(INDEX(art_des,MATCH(H1505,art_ref,0))&amp;"","Article inconnu"))</f>
        <v/>
      </c>
      <c r="J1505" s="60" t="str">
        <f>IF(H1505="","",IFERROR(INDEX(art_unit,MATCH(H1505,art_ref,0))&amp;"",""))</f>
        <v/>
      </c>
      <c r="K1505" s="59" t="n"/>
      <c r="L1505" s="59" t="n"/>
      <c r="M1505" s="61" t="str">
        <f>IF(OR(B1505="",NOT(ISNUMBER(K1505)),NOT(ISNUMBER(L1505))),"",IF(OR(K1505&lt;=0,L1505&lt;=0),"",ROUND(L1505-K1505,6)))</f>
        <v/>
      </c>
      <c r="N1505" s="58" t="n"/>
      <c r="O1505" s="62" t="n"/>
      <c r="P1505" s="63" t="str">
        <f>IF(OR(B1505="",NOT(ISNUMBER(L1505))),"",IF(L1505&lt;=0,"",IFERROR(ROUND(L1505*N(INDEX(art_w,MATCH(H1505,art_ref,0))),3),"")))</f>
        <v/>
      </c>
      <c r="Q1505" s="59" t="n"/>
      <c r="R1505" s="54" t="n"/>
      <c r="S1505" s="59" t="n"/>
      <c r="T1505" s="59" t="n"/>
      <c r="U1505" s="64" t="str">
        <f>IF(OR(B1505="",H1505=""),"",IFERROR(IF(A1505="BL",IF(N(INDEX(art_price,MATCH(H1505,art_ref,0)))=0,"",N(INDEX(art_price,MATCH(H1505,art_ref,0)))),IF(N(INDEX(art_cost,MATCH(H1505,art_ref,0)))=0,"",N(INDEX(art_cost,MATCH(H1505,art_ref,0))))),""))</f>
        <v/>
      </c>
      <c r="V1505" s="64" t="str">
        <f>IF(OR(U1505="",NOT(ISNUMBER(L1505))),"",IF(L1505&lt;=0,"",ROUND(L1505*U1505,2)))</f>
        <v/>
      </c>
      <c r="W1505" s="60" t="str">
        <f>IF(AND(B1505&lt;&gt;"",A1505&lt;&gt;"BS",F1505&lt;&gt;"",H1505&lt;&gt;"",ISNUMBER(K1505),ISNUMBER(L1505)),IF(AND(K1505&gt;0,L1505&gt;0,K1505-L1505&gt;0,COUNTIFS(A1506:A$2005,A1505,F1506:F$2005,F1505,H1506:H$2005,H1505,AA1506:AA$2005,"&gt;0")=0),ROUND(K1505-L1505,6),""),"")</f>
        <v/>
      </c>
      <c r="X1505" s="60" t="str">
        <f>IF(AND(A1505="",C1505="",D1505="",H1505="",L1505=""),"",IF(A1505="","Type manquant",IF(AND(A1505&lt;&gt;"BL",A1505&lt;&gt;"BR",A1505&lt;&gt;"BS"),"Type inconnu (BL, BR ou BS)",IF(AG1505=0,"Date manquante ou invalide",IF(D1505="",IF(A1505="BL","Client manquant",IF(A1505="BR","Fournisseur manquant","Service manquant")),IF(IF(A1505="BL",ISNA(MATCH(D1505,cl_code,0)),IF(A1505="BR",ISNA(MATCH(D1505,fo_code,0)),ISNA(MATCH(D1505,p_services,0)))),IF(A1505="BL","Client inconnu",IF(A1505="BR","Fournisseur inconnu","Service inconnu")),IF(H1505="","Article manquant",IF(ISNA(MATCH(H1505,art_ref,0)),"Article inconnu",IF(OR(NOT(ISNUMBER(L1505)),N(L1505)&lt;=0),"Quantité invalide",IF(AND(K1505&lt;&gt;"",OR(NOT(ISNUMBER(K1505)),N(K1505)&lt;=0)),"Qté commandée invalide",IF(AG1505&lt;SUMPRODUCT(MAX((A$6:A1504=A1505)*AG$6:AG1504)),"Date antérieure au bon précédent",IF(AND(A1505&lt;&gt;"BR",ISNUMBER(M1505),N(M1505)&gt;0),IF(A1505="BL","Livré plus que commandé","Sorti plus que demandé"),"OK"))))))))))))</f>
        <v/>
      </c>
      <c r="Y1505" s="57" t="str">
        <f>IF(AND(OR(A1505="BL",A1505="BR",A1505="BS"),AG1505&gt;0,D1505&lt;&gt;""),A1505&amp;"|"&amp;AG1505&amp;"|"&amp;D1505&amp;"|"&amp;F1505,"")</f>
        <v/>
      </c>
      <c r="Z1505" s="57" t="str">
        <f>IF(Y1505="","",IF(COUNTIF(Y$6:Y1504,Y1505)=0,1,0))</f>
        <v/>
      </c>
      <c r="AA1505" s="57" t="str">
        <f>IF(Y1505="","",IF(Z1505=1,COUNTIFS(A$6:A1505,A1505,Z$6:Z1505,1),INDEX(AA$6:AA1504,MATCH(Y1505,Y$6:Y1504,0))))</f>
        <v/>
      </c>
      <c r="AB1505" s="57" t="str">
        <f>IF(B1505="","",COUNTIF(B$6:B1505,B1505))</f>
        <v/>
      </c>
      <c r="AC1505" s="57" t="str">
        <f>IF(B1505="","",B1505&amp;"#"&amp;AB1505)</f>
        <v/>
      </c>
      <c r="AD1505" s="57" t="str">
        <f>IF(Z1505=1,A1505&amp;AA1505,"")</f>
        <v/>
      </c>
      <c r="AE1505" s="57" t="str">
        <f>IF(B1505="","",YEAR(C1505))</f>
        <v/>
      </c>
      <c r="AF1505" s="57" t="str">
        <f>IF(B1505="","",MONTH(C1505))</f>
        <v/>
      </c>
      <c r="AG1505" s="57">
        <f>IF(ISNUMBER(C1505),C1505,0)</f>
        <v>0.0</v>
      </c>
      <c r="AH1505" s="57" t="str">
        <f>IF(N(W1505)&gt;0,COUNTIF(W$6:W1505,"&gt;0"),"")</f>
        <v/>
      </c>
      <c r="AI1505" s="57" t="str">
        <f>IF(Z1505=1,COUNTIF(Z$6:Z1505,1),"")</f>
        <v/>
      </c>
    </row>
    <row r="1506">
      <c r="A1506" s="54" t="n"/>
      <c r="B1506" s="55" t="str">
        <f>IF(AA1506="","",A1506&amp;"-"&amp;RIGHT("000"&amp;AA1506,4))</f>
        <v/>
      </c>
      <c r="C1506" s="56" t="n"/>
      <c r="D1506" s="54" t="n"/>
      <c r="E1506" s="57" t="str">
        <f>IF(D1506="","",IF(A1506="BL",IFERROR(INDEX(cl_name,MATCH(D1506,cl_code,0))&amp;"","Client inconnu"),IF(A1506="BR",IFERROR(INDEX(fo_name,MATCH(D1506,fo_code,0))&amp;"","Fournisseur inconnu"),IF(A1506="BS",IF(ISNA(MATCH(D1506,p_services,0)),"Service inconnu",D1506&amp;""),""))))</f>
        <v/>
      </c>
      <c r="F1506" s="58" t="n"/>
      <c r="G1506" s="58" t="n"/>
      <c r="H1506" s="59" t="n"/>
      <c r="I1506" s="57" t="str">
        <f>IF(H1506="","",IFERROR(INDEX(art_des,MATCH(H1506,art_ref,0))&amp;"","Article inconnu"))</f>
        <v/>
      </c>
      <c r="J1506" s="60" t="str">
        <f>IF(H1506="","",IFERROR(INDEX(art_unit,MATCH(H1506,art_ref,0))&amp;"",""))</f>
        <v/>
      </c>
      <c r="K1506" s="59" t="n"/>
      <c r="L1506" s="59" t="n"/>
      <c r="M1506" s="61" t="str">
        <f>IF(OR(B1506="",NOT(ISNUMBER(K1506)),NOT(ISNUMBER(L1506))),"",IF(OR(K1506&lt;=0,L1506&lt;=0),"",ROUND(L1506-K1506,6)))</f>
        <v/>
      </c>
      <c r="N1506" s="58" t="n"/>
      <c r="O1506" s="62" t="n"/>
      <c r="P1506" s="63" t="str">
        <f>IF(OR(B1506="",NOT(ISNUMBER(L1506))),"",IF(L1506&lt;=0,"",IFERROR(ROUND(L1506*N(INDEX(art_w,MATCH(H1506,art_ref,0))),3),"")))</f>
        <v/>
      </c>
      <c r="Q1506" s="59" t="n"/>
      <c r="R1506" s="54" t="n"/>
      <c r="S1506" s="59" t="n"/>
      <c r="T1506" s="59" t="n"/>
      <c r="U1506" s="64" t="str">
        <f>IF(OR(B1506="",H1506=""),"",IFERROR(IF(A1506="BL",IF(N(INDEX(art_price,MATCH(H1506,art_ref,0)))=0,"",N(INDEX(art_price,MATCH(H1506,art_ref,0)))),IF(N(INDEX(art_cost,MATCH(H1506,art_ref,0)))=0,"",N(INDEX(art_cost,MATCH(H1506,art_ref,0))))),""))</f>
        <v/>
      </c>
      <c r="V1506" s="64" t="str">
        <f>IF(OR(U1506="",NOT(ISNUMBER(L1506))),"",IF(L1506&lt;=0,"",ROUND(L1506*U1506,2)))</f>
        <v/>
      </c>
      <c r="W1506" s="60" t="str">
        <f>IF(AND(B1506&lt;&gt;"",A1506&lt;&gt;"BS",F1506&lt;&gt;"",H1506&lt;&gt;"",ISNUMBER(K1506),ISNUMBER(L1506)),IF(AND(K1506&gt;0,L1506&gt;0,K1506-L1506&gt;0,COUNTIFS(A1507:A$2005,A1506,F1507:F$2005,F1506,H1507:H$2005,H1506,AA1507:AA$2005,"&gt;0")=0),ROUND(K1506-L1506,6),""),"")</f>
        <v/>
      </c>
      <c r="X1506" s="60" t="str">
        <f>IF(AND(A1506="",C1506="",D1506="",H1506="",L1506=""),"",IF(A1506="","Type manquant",IF(AND(A1506&lt;&gt;"BL",A1506&lt;&gt;"BR",A1506&lt;&gt;"BS"),"Type inconnu (BL, BR ou BS)",IF(AG1506=0,"Date manquante ou invalide",IF(D1506="",IF(A1506="BL","Client manquant",IF(A1506="BR","Fournisseur manquant","Service manquant")),IF(IF(A1506="BL",ISNA(MATCH(D1506,cl_code,0)),IF(A1506="BR",ISNA(MATCH(D1506,fo_code,0)),ISNA(MATCH(D1506,p_services,0)))),IF(A1506="BL","Client inconnu",IF(A1506="BR","Fournisseur inconnu","Service inconnu")),IF(H1506="","Article manquant",IF(ISNA(MATCH(H1506,art_ref,0)),"Article inconnu",IF(OR(NOT(ISNUMBER(L1506)),N(L1506)&lt;=0),"Quantité invalide",IF(AND(K1506&lt;&gt;"",OR(NOT(ISNUMBER(K1506)),N(K1506)&lt;=0)),"Qté commandée invalide",IF(AG1506&lt;SUMPRODUCT(MAX((A$6:A1505=A1506)*AG$6:AG1505)),"Date antérieure au bon précédent",IF(AND(A1506&lt;&gt;"BR",ISNUMBER(M1506),N(M1506)&gt;0),IF(A1506="BL","Livré plus que commandé","Sorti plus que demandé"),"OK"))))))))))))</f>
        <v/>
      </c>
      <c r="Y1506" s="57" t="str">
        <f>IF(AND(OR(A1506="BL",A1506="BR",A1506="BS"),AG1506&gt;0,D1506&lt;&gt;""),A1506&amp;"|"&amp;AG1506&amp;"|"&amp;D1506&amp;"|"&amp;F1506,"")</f>
        <v/>
      </c>
      <c r="Z1506" s="57" t="str">
        <f>IF(Y1506="","",IF(COUNTIF(Y$6:Y1505,Y1506)=0,1,0))</f>
        <v/>
      </c>
      <c r="AA1506" s="57" t="str">
        <f>IF(Y1506="","",IF(Z1506=1,COUNTIFS(A$6:A1506,A1506,Z$6:Z1506,1),INDEX(AA$6:AA1505,MATCH(Y1506,Y$6:Y1505,0))))</f>
        <v/>
      </c>
      <c r="AB1506" s="57" t="str">
        <f>IF(B1506="","",COUNTIF(B$6:B1506,B1506))</f>
        <v/>
      </c>
      <c r="AC1506" s="57" t="str">
        <f>IF(B1506="","",B1506&amp;"#"&amp;AB1506)</f>
        <v/>
      </c>
      <c r="AD1506" s="57" t="str">
        <f>IF(Z1506=1,A1506&amp;AA1506,"")</f>
        <v/>
      </c>
      <c r="AE1506" s="57" t="str">
        <f>IF(B1506="","",YEAR(C1506))</f>
        <v/>
      </c>
      <c r="AF1506" s="57" t="str">
        <f>IF(B1506="","",MONTH(C1506))</f>
        <v/>
      </c>
      <c r="AG1506" s="57">
        <f>IF(ISNUMBER(C1506),C1506,0)</f>
        <v>0.0</v>
      </c>
      <c r="AH1506" s="57" t="str">
        <f>IF(N(W1506)&gt;0,COUNTIF(W$6:W1506,"&gt;0"),"")</f>
        <v/>
      </c>
      <c r="AI1506" s="57" t="str">
        <f>IF(Z1506=1,COUNTIF(Z$6:Z1506,1),"")</f>
        <v/>
      </c>
    </row>
    <row r="1507">
      <c r="A1507" s="54" t="n"/>
      <c r="B1507" s="55" t="str">
        <f>IF(AA1507="","",A1507&amp;"-"&amp;RIGHT("000"&amp;AA1507,4))</f>
        <v/>
      </c>
      <c r="C1507" s="56" t="n"/>
      <c r="D1507" s="54" t="n"/>
      <c r="E1507" s="57" t="str">
        <f>IF(D1507="","",IF(A1507="BL",IFERROR(INDEX(cl_name,MATCH(D1507,cl_code,0))&amp;"","Client inconnu"),IF(A1507="BR",IFERROR(INDEX(fo_name,MATCH(D1507,fo_code,0))&amp;"","Fournisseur inconnu"),IF(A1507="BS",IF(ISNA(MATCH(D1507,p_services,0)),"Service inconnu",D1507&amp;""),""))))</f>
        <v/>
      </c>
      <c r="F1507" s="58" t="n"/>
      <c r="G1507" s="58" t="n"/>
      <c r="H1507" s="59" t="n"/>
      <c r="I1507" s="57" t="str">
        <f>IF(H1507="","",IFERROR(INDEX(art_des,MATCH(H1507,art_ref,0))&amp;"","Article inconnu"))</f>
        <v/>
      </c>
      <c r="J1507" s="60" t="str">
        <f>IF(H1507="","",IFERROR(INDEX(art_unit,MATCH(H1507,art_ref,0))&amp;"",""))</f>
        <v/>
      </c>
      <c r="K1507" s="59" t="n"/>
      <c r="L1507" s="59" t="n"/>
      <c r="M1507" s="61" t="str">
        <f>IF(OR(B1507="",NOT(ISNUMBER(K1507)),NOT(ISNUMBER(L1507))),"",IF(OR(K1507&lt;=0,L1507&lt;=0),"",ROUND(L1507-K1507,6)))</f>
        <v/>
      </c>
      <c r="N1507" s="58" t="n"/>
      <c r="O1507" s="62" t="n"/>
      <c r="P1507" s="63" t="str">
        <f>IF(OR(B1507="",NOT(ISNUMBER(L1507))),"",IF(L1507&lt;=0,"",IFERROR(ROUND(L1507*N(INDEX(art_w,MATCH(H1507,art_ref,0))),3),"")))</f>
        <v/>
      </c>
      <c r="Q1507" s="59" t="n"/>
      <c r="R1507" s="54" t="n"/>
      <c r="S1507" s="59" t="n"/>
      <c r="T1507" s="59" t="n"/>
      <c r="U1507" s="64" t="str">
        <f>IF(OR(B1507="",H1507=""),"",IFERROR(IF(A1507="BL",IF(N(INDEX(art_price,MATCH(H1507,art_ref,0)))=0,"",N(INDEX(art_price,MATCH(H1507,art_ref,0)))),IF(N(INDEX(art_cost,MATCH(H1507,art_ref,0)))=0,"",N(INDEX(art_cost,MATCH(H1507,art_ref,0))))),""))</f>
        <v/>
      </c>
      <c r="V1507" s="64" t="str">
        <f>IF(OR(U1507="",NOT(ISNUMBER(L1507))),"",IF(L1507&lt;=0,"",ROUND(L1507*U1507,2)))</f>
        <v/>
      </c>
      <c r="W1507" s="60" t="str">
        <f>IF(AND(B1507&lt;&gt;"",A1507&lt;&gt;"BS",F1507&lt;&gt;"",H1507&lt;&gt;"",ISNUMBER(K1507),ISNUMBER(L1507)),IF(AND(K1507&gt;0,L1507&gt;0,K1507-L1507&gt;0,COUNTIFS(A1508:A$2005,A1507,F1508:F$2005,F1507,H1508:H$2005,H1507,AA1508:AA$2005,"&gt;0")=0),ROUND(K1507-L1507,6),""),"")</f>
        <v/>
      </c>
      <c r="X1507" s="60" t="str">
        <f>IF(AND(A1507="",C1507="",D1507="",H1507="",L1507=""),"",IF(A1507="","Type manquant",IF(AND(A1507&lt;&gt;"BL",A1507&lt;&gt;"BR",A1507&lt;&gt;"BS"),"Type inconnu (BL, BR ou BS)",IF(AG1507=0,"Date manquante ou invalide",IF(D1507="",IF(A1507="BL","Client manquant",IF(A1507="BR","Fournisseur manquant","Service manquant")),IF(IF(A1507="BL",ISNA(MATCH(D1507,cl_code,0)),IF(A1507="BR",ISNA(MATCH(D1507,fo_code,0)),ISNA(MATCH(D1507,p_services,0)))),IF(A1507="BL","Client inconnu",IF(A1507="BR","Fournisseur inconnu","Service inconnu")),IF(H1507="","Article manquant",IF(ISNA(MATCH(H1507,art_ref,0)),"Article inconnu",IF(OR(NOT(ISNUMBER(L1507)),N(L1507)&lt;=0),"Quantité invalide",IF(AND(K1507&lt;&gt;"",OR(NOT(ISNUMBER(K1507)),N(K1507)&lt;=0)),"Qté commandée invalide",IF(AG1507&lt;SUMPRODUCT(MAX((A$6:A1506=A1507)*AG$6:AG1506)),"Date antérieure au bon précédent",IF(AND(A1507&lt;&gt;"BR",ISNUMBER(M1507),N(M1507)&gt;0),IF(A1507="BL","Livré plus que commandé","Sorti plus que demandé"),"OK"))))))))))))</f>
        <v/>
      </c>
      <c r="Y1507" s="57" t="str">
        <f>IF(AND(OR(A1507="BL",A1507="BR",A1507="BS"),AG1507&gt;0,D1507&lt;&gt;""),A1507&amp;"|"&amp;AG1507&amp;"|"&amp;D1507&amp;"|"&amp;F1507,"")</f>
        <v/>
      </c>
      <c r="Z1507" s="57" t="str">
        <f>IF(Y1507="","",IF(COUNTIF(Y$6:Y1506,Y1507)=0,1,0))</f>
        <v/>
      </c>
      <c r="AA1507" s="57" t="str">
        <f>IF(Y1507="","",IF(Z1507=1,COUNTIFS(A$6:A1507,A1507,Z$6:Z1507,1),INDEX(AA$6:AA1506,MATCH(Y1507,Y$6:Y1506,0))))</f>
        <v/>
      </c>
      <c r="AB1507" s="57" t="str">
        <f>IF(B1507="","",COUNTIF(B$6:B1507,B1507))</f>
        <v/>
      </c>
      <c r="AC1507" s="57" t="str">
        <f>IF(B1507="","",B1507&amp;"#"&amp;AB1507)</f>
        <v/>
      </c>
      <c r="AD1507" s="57" t="str">
        <f>IF(Z1507=1,A1507&amp;AA1507,"")</f>
        <v/>
      </c>
      <c r="AE1507" s="57" t="str">
        <f>IF(B1507="","",YEAR(C1507))</f>
        <v/>
      </c>
      <c r="AF1507" s="57" t="str">
        <f>IF(B1507="","",MONTH(C1507))</f>
        <v/>
      </c>
      <c r="AG1507" s="57">
        <f>IF(ISNUMBER(C1507),C1507,0)</f>
        <v>0.0</v>
      </c>
      <c r="AH1507" s="57" t="str">
        <f>IF(N(W1507)&gt;0,COUNTIF(W$6:W1507,"&gt;0"),"")</f>
        <v/>
      </c>
      <c r="AI1507" s="57" t="str">
        <f>IF(Z1507=1,COUNTIF(Z$6:Z1507,1),"")</f>
        <v/>
      </c>
    </row>
    <row r="1508">
      <c r="A1508" s="54" t="n"/>
      <c r="B1508" s="55" t="str">
        <f>IF(AA1508="","",A1508&amp;"-"&amp;RIGHT("000"&amp;AA1508,4))</f>
        <v/>
      </c>
      <c r="C1508" s="56" t="n"/>
      <c r="D1508" s="54" t="n"/>
      <c r="E1508" s="57" t="str">
        <f>IF(D1508="","",IF(A1508="BL",IFERROR(INDEX(cl_name,MATCH(D1508,cl_code,0))&amp;"","Client inconnu"),IF(A1508="BR",IFERROR(INDEX(fo_name,MATCH(D1508,fo_code,0))&amp;"","Fournisseur inconnu"),IF(A1508="BS",IF(ISNA(MATCH(D1508,p_services,0)),"Service inconnu",D1508&amp;""),""))))</f>
        <v/>
      </c>
      <c r="F1508" s="58" t="n"/>
      <c r="G1508" s="58" t="n"/>
      <c r="H1508" s="59" t="n"/>
      <c r="I1508" s="57" t="str">
        <f>IF(H1508="","",IFERROR(INDEX(art_des,MATCH(H1508,art_ref,0))&amp;"","Article inconnu"))</f>
        <v/>
      </c>
      <c r="J1508" s="60" t="str">
        <f>IF(H1508="","",IFERROR(INDEX(art_unit,MATCH(H1508,art_ref,0))&amp;"",""))</f>
        <v/>
      </c>
      <c r="K1508" s="59" t="n"/>
      <c r="L1508" s="59" t="n"/>
      <c r="M1508" s="61" t="str">
        <f>IF(OR(B1508="",NOT(ISNUMBER(K1508)),NOT(ISNUMBER(L1508))),"",IF(OR(K1508&lt;=0,L1508&lt;=0),"",ROUND(L1508-K1508,6)))</f>
        <v/>
      </c>
      <c r="N1508" s="58" t="n"/>
      <c r="O1508" s="62" t="n"/>
      <c r="P1508" s="63" t="str">
        <f>IF(OR(B1508="",NOT(ISNUMBER(L1508))),"",IF(L1508&lt;=0,"",IFERROR(ROUND(L1508*N(INDEX(art_w,MATCH(H1508,art_ref,0))),3),"")))</f>
        <v/>
      </c>
      <c r="Q1508" s="59" t="n"/>
      <c r="R1508" s="54" t="n"/>
      <c r="S1508" s="59" t="n"/>
      <c r="T1508" s="59" t="n"/>
      <c r="U1508" s="64" t="str">
        <f>IF(OR(B1508="",H1508=""),"",IFERROR(IF(A1508="BL",IF(N(INDEX(art_price,MATCH(H1508,art_ref,0)))=0,"",N(INDEX(art_price,MATCH(H1508,art_ref,0)))),IF(N(INDEX(art_cost,MATCH(H1508,art_ref,0)))=0,"",N(INDEX(art_cost,MATCH(H1508,art_ref,0))))),""))</f>
        <v/>
      </c>
      <c r="V1508" s="64" t="str">
        <f>IF(OR(U1508="",NOT(ISNUMBER(L1508))),"",IF(L1508&lt;=0,"",ROUND(L1508*U1508,2)))</f>
        <v/>
      </c>
      <c r="W1508" s="60" t="str">
        <f>IF(AND(B1508&lt;&gt;"",A1508&lt;&gt;"BS",F1508&lt;&gt;"",H1508&lt;&gt;"",ISNUMBER(K1508),ISNUMBER(L1508)),IF(AND(K1508&gt;0,L1508&gt;0,K1508-L1508&gt;0,COUNTIFS(A1509:A$2005,A1508,F1509:F$2005,F1508,H1509:H$2005,H1508,AA1509:AA$2005,"&gt;0")=0),ROUND(K1508-L1508,6),""),"")</f>
        <v/>
      </c>
      <c r="X1508" s="60" t="str">
        <f>IF(AND(A1508="",C1508="",D1508="",H1508="",L1508=""),"",IF(A1508="","Type manquant",IF(AND(A1508&lt;&gt;"BL",A1508&lt;&gt;"BR",A1508&lt;&gt;"BS"),"Type inconnu (BL, BR ou BS)",IF(AG1508=0,"Date manquante ou invalide",IF(D1508="",IF(A1508="BL","Client manquant",IF(A1508="BR","Fournisseur manquant","Service manquant")),IF(IF(A1508="BL",ISNA(MATCH(D1508,cl_code,0)),IF(A1508="BR",ISNA(MATCH(D1508,fo_code,0)),ISNA(MATCH(D1508,p_services,0)))),IF(A1508="BL","Client inconnu",IF(A1508="BR","Fournisseur inconnu","Service inconnu")),IF(H1508="","Article manquant",IF(ISNA(MATCH(H1508,art_ref,0)),"Article inconnu",IF(OR(NOT(ISNUMBER(L1508)),N(L1508)&lt;=0),"Quantité invalide",IF(AND(K1508&lt;&gt;"",OR(NOT(ISNUMBER(K1508)),N(K1508)&lt;=0)),"Qté commandée invalide",IF(AG1508&lt;SUMPRODUCT(MAX((A$6:A1507=A1508)*AG$6:AG1507)),"Date antérieure au bon précédent",IF(AND(A1508&lt;&gt;"BR",ISNUMBER(M1508),N(M1508)&gt;0),IF(A1508="BL","Livré plus que commandé","Sorti plus que demandé"),"OK"))))))))))))</f>
        <v/>
      </c>
      <c r="Y1508" s="57" t="str">
        <f>IF(AND(OR(A1508="BL",A1508="BR",A1508="BS"),AG1508&gt;0,D1508&lt;&gt;""),A1508&amp;"|"&amp;AG1508&amp;"|"&amp;D1508&amp;"|"&amp;F1508,"")</f>
        <v/>
      </c>
      <c r="Z1508" s="57" t="str">
        <f>IF(Y1508="","",IF(COUNTIF(Y$6:Y1507,Y1508)=0,1,0))</f>
        <v/>
      </c>
      <c r="AA1508" s="57" t="str">
        <f>IF(Y1508="","",IF(Z1508=1,COUNTIFS(A$6:A1508,A1508,Z$6:Z1508,1),INDEX(AA$6:AA1507,MATCH(Y1508,Y$6:Y1507,0))))</f>
        <v/>
      </c>
      <c r="AB1508" s="57" t="str">
        <f>IF(B1508="","",COUNTIF(B$6:B1508,B1508))</f>
        <v/>
      </c>
      <c r="AC1508" s="57" t="str">
        <f>IF(B1508="","",B1508&amp;"#"&amp;AB1508)</f>
        <v/>
      </c>
      <c r="AD1508" s="57" t="str">
        <f>IF(Z1508=1,A1508&amp;AA1508,"")</f>
        <v/>
      </c>
      <c r="AE1508" s="57" t="str">
        <f>IF(B1508="","",YEAR(C1508))</f>
        <v/>
      </c>
      <c r="AF1508" s="57" t="str">
        <f>IF(B1508="","",MONTH(C1508))</f>
        <v/>
      </c>
      <c r="AG1508" s="57">
        <f>IF(ISNUMBER(C1508),C1508,0)</f>
        <v>0.0</v>
      </c>
      <c r="AH1508" s="57" t="str">
        <f>IF(N(W1508)&gt;0,COUNTIF(W$6:W1508,"&gt;0"),"")</f>
        <v/>
      </c>
      <c r="AI1508" s="57" t="str">
        <f>IF(Z1508=1,COUNTIF(Z$6:Z1508,1),"")</f>
        <v/>
      </c>
    </row>
    <row r="1509">
      <c r="A1509" s="54" t="n"/>
      <c r="B1509" s="55" t="str">
        <f>IF(AA1509="","",A1509&amp;"-"&amp;RIGHT("000"&amp;AA1509,4))</f>
        <v/>
      </c>
      <c r="C1509" s="56" t="n"/>
      <c r="D1509" s="54" t="n"/>
      <c r="E1509" s="57" t="str">
        <f>IF(D1509="","",IF(A1509="BL",IFERROR(INDEX(cl_name,MATCH(D1509,cl_code,0))&amp;"","Client inconnu"),IF(A1509="BR",IFERROR(INDEX(fo_name,MATCH(D1509,fo_code,0))&amp;"","Fournisseur inconnu"),IF(A1509="BS",IF(ISNA(MATCH(D1509,p_services,0)),"Service inconnu",D1509&amp;""),""))))</f>
        <v/>
      </c>
      <c r="F1509" s="58" t="n"/>
      <c r="G1509" s="58" t="n"/>
      <c r="H1509" s="59" t="n"/>
      <c r="I1509" s="57" t="str">
        <f>IF(H1509="","",IFERROR(INDEX(art_des,MATCH(H1509,art_ref,0))&amp;"","Article inconnu"))</f>
        <v/>
      </c>
      <c r="J1509" s="60" t="str">
        <f>IF(H1509="","",IFERROR(INDEX(art_unit,MATCH(H1509,art_ref,0))&amp;"",""))</f>
        <v/>
      </c>
      <c r="K1509" s="59" t="n"/>
      <c r="L1509" s="59" t="n"/>
      <c r="M1509" s="61" t="str">
        <f>IF(OR(B1509="",NOT(ISNUMBER(K1509)),NOT(ISNUMBER(L1509))),"",IF(OR(K1509&lt;=0,L1509&lt;=0),"",ROUND(L1509-K1509,6)))</f>
        <v/>
      </c>
      <c r="N1509" s="58" t="n"/>
      <c r="O1509" s="62" t="n"/>
      <c r="P1509" s="63" t="str">
        <f>IF(OR(B1509="",NOT(ISNUMBER(L1509))),"",IF(L1509&lt;=0,"",IFERROR(ROUND(L1509*N(INDEX(art_w,MATCH(H1509,art_ref,0))),3),"")))</f>
        <v/>
      </c>
      <c r="Q1509" s="59" t="n"/>
      <c r="R1509" s="54" t="n"/>
      <c r="S1509" s="59" t="n"/>
      <c r="T1509" s="59" t="n"/>
      <c r="U1509" s="64" t="str">
        <f>IF(OR(B1509="",H1509=""),"",IFERROR(IF(A1509="BL",IF(N(INDEX(art_price,MATCH(H1509,art_ref,0)))=0,"",N(INDEX(art_price,MATCH(H1509,art_ref,0)))),IF(N(INDEX(art_cost,MATCH(H1509,art_ref,0)))=0,"",N(INDEX(art_cost,MATCH(H1509,art_ref,0))))),""))</f>
        <v/>
      </c>
      <c r="V1509" s="64" t="str">
        <f>IF(OR(U1509="",NOT(ISNUMBER(L1509))),"",IF(L1509&lt;=0,"",ROUND(L1509*U1509,2)))</f>
        <v/>
      </c>
      <c r="W1509" s="60" t="str">
        <f>IF(AND(B1509&lt;&gt;"",A1509&lt;&gt;"BS",F1509&lt;&gt;"",H1509&lt;&gt;"",ISNUMBER(K1509),ISNUMBER(L1509)),IF(AND(K1509&gt;0,L1509&gt;0,K1509-L1509&gt;0,COUNTIFS(A1510:A$2005,A1509,F1510:F$2005,F1509,H1510:H$2005,H1509,AA1510:AA$2005,"&gt;0")=0),ROUND(K1509-L1509,6),""),"")</f>
        <v/>
      </c>
      <c r="X1509" s="60" t="str">
        <f>IF(AND(A1509="",C1509="",D1509="",H1509="",L1509=""),"",IF(A1509="","Type manquant",IF(AND(A1509&lt;&gt;"BL",A1509&lt;&gt;"BR",A1509&lt;&gt;"BS"),"Type inconnu (BL, BR ou BS)",IF(AG1509=0,"Date manquante ou invalide",IF(D1509="",IF(A1509="BL","Client manquant",IF(A1509="BR","Fournisseur manquant","Service manquant")),IF(IF(A1509="BL",ISNA(MATCH(D1509,cl_code,0)),IF(A1509="BR",ISNA(MATCH(D1509,fo_code,0)),ISNA(MATCH(D1509,p_services,0)))),IF(A1509="BL","Client inconnu",IF(A1509="BR","Fournisseur inconnu","Service inconnu")),IF(H1509="","Article manquant",IF(ISNA(MATCH(H1509,art_ref,0)),"Article inconnu",IF(OR(NOT(ISNUMBER(L1509)),N(L1509)&lt;=0),"Quantité invalide",IF(AND(K1509&lt;&gt;"",OR(NOT(ISNUMBER(K1509)),N(K1509)&lt;=0)),"Qté commandée invalide",IF(AG1509&lt;SUMPRODUCT(MAX((A$6:A1508=A1509)*AG$6:AG1508)),"Date antérieure au bon précédent",IF(AND(A1509&lt;&gt;"BR",ISNUMBER(M1509),N(M1509)&gt;0),IF(A1509="BL","Livré plus que commandé","Sorti plus que demandé"),"OK"))))))))))))</f>
        <v/>
      </c>
      <c r="Y1509" s="57" t="str">
        <f>IF(AND(OR(A1509="BL",A1509="BR",A1509="BS"),AG1509&gt;0,D1509&lt;&gt;""),A1509&amp;"|"&amp;AG1509&amp;"|"&amp;D1509&amp;"|"&amp;F1509,"")</f>
        <v/>
      </c>
      <c r="Z1509" s="57" t="str">
        <f>IF(Y1509="","",IF(COUNTIF(Y$6:Y1508,Y1509)=0,1,0))</f>
        <v/>
      </c>
      <c r="AA1509" s="57" t="str">
        <f>IF(Y1509="","",IF(Z1509=1,COUNTIFS(A$6:A1509,A1509,Z$6:Z1509,1),INDEX(AA$6:AA1508,MATCH(Y1509,Y$6:Y1508,0))))</f>
        <v/>
      </c>
      <c r="AB1509" s="57" t="str">
        <f>IF(B1509="","",COUNTIF(B$6:B1509,B1509))</f>
        <v/>
      </c>
      <c r="AC1509" s="57" t="str">
        <f>IF(B1509="","",B1509&amp;"#"&amp;AB1509)</f>
        <v/>
      </c>
      <c r="AD1509" s="57" t="str">
        <f>IF(Z1509=1,A1509&amp;AA1509,"")</f>
        <v/>
      </c>
      <c r="AE1509" s="57" t="str">
        <f>IF(B1509="","",YEAR(C1509))</f>
        <v/>
      </c>
      <c r="AF1509" s="57" t="str">
        <f>IF(B1509="","",MONTH(C1509))</f>
        <v/>
      </c>
      <c r="AG1509" s="57">
        <f>IF(ISNUMBER(C1509),C1509,0)</f>
        <v>0.0</v>
      </c>
      <c r="AH1509" s="57" t="str">
        <f>IF(N(W1509)&gt;0,COUNTIF(W$6:W1509,"&gt;0"),"")</f>
        <v/>
      </c>
      <c r="AI1509" s="57" t="str">
        <f>IF(Z1509=1,COUNTIF(Z$6:Z1509,1),"")</f>
        <v/>
      </c>
    </row>
    <row r="1510">
      <c r="A1510" s="54" t="n"/>
      <c r="B1510" s="55" t="str">
        <f>IF(AA1510="","",A1510&amp;"-"&amp;RIGHT("000"&amp;AA1510,4))</f>
        <v/>
      </c>
      <c r="C1510" s="56" t="n"/>
      <c r="D1510" s="54" t="n"/>
      <c r="E1510" s="57" t="str">
        <f>IF(D1510="","",IF(A1510="BL",IFERROR(INDEX(cl_name,MATCH(D1510,cl_code,0))&amp;"","Client inconnu"),IF(A1510="BR",IFERROR(INDEX(fo_name,MATCH(D1510,fo_code,0))&amp;"","Fournisseur inconnu"),IF(A1510="BS",IF(ISNA(MATCH(D1510,p_services,0)),"Service inconnu",D1510&amp;""),""))))</f>
        <v/>
      </c>
      <c r="F1510" s="58" t="n"/>
      <c r="G1510" s="58" t="n"/>
      <c r="H1510" s="59" t="n"/>
      <c r="I1510" s="57" t="str">
        <f>IF(H1510="","",IFERROR(INDEX(art_des,MATCH(H1510,art_ref,0))&amp;"","Article inconnu"))</f>
        <v/>
      </c>
      <c r="J1510" s="60" t="str">
        <f>IF(H1510="","",IFERROR(INDEX(art_unit,MATCH(H1510,art_ref,0))&amp;"",""))</f>
        <v/>
      </c>
      <c r="K1510" s="59" t="n"/>
      <c r="L1510" s="59" t="n"/>
      <c r="M1510" s="61" t="str">
        <f>IF(OR(B1510="",NOT(ISNUMBER(K1510)),NOT(ISNUMBER(L1510))),"",IF(OR(K1510&lt;=0,L1510&lt;=0),"",ROUND(L1510-K1510,6)))</f>
        <v/>
      </c>
      <c r="N1510" s="58" t="n"/>
      <c r="O1510" s="62" t="n"/>
      <c r="P1510" s="63" t="str">
        <f>IF(OR(B1510="",NOT(ISNUMBER(L1510))),"",IF(L1510&lt;=0,"",IFERROR(ROUND(L1510*N(INDEX(art_w,MATCH(H1510,art_ref,0))),3),"")))</f>
        <v/>
      </c>
      <c r="Q1510" s="59" t="n"/>
      <c r="R1510" s="54" t="n"/>
      <c r="S1510" s="59" t="n"/>
      <c r="T1510" s="59" t="n"/>
      <c r="U1510" s="64" t="str">
        <f>IF(OR(B1510="",H1510=""),"",IFERROR(IF(A1510="BL",IF(N(INDEX(art_price,MATCH(H1510,art_ref,0)))=0,"",N(INDEX(art_price,MATCH(H1510,art_ref,0)))),IF(N(INDEX(art_cost,MATCH(H1510,art_ref,0)))=0,"",N(INDEX(art_cost,MATCH(H1510,art_ref,0))))),""))</f>
        <v/>
      </c>
      <c r="V1510" s="64" t="str">
        <f>IF(OR(U1510="",NOT(ISNUMBER(L1510))),"",IF(L1510&lt;=0,"",ROUND(L1510*U1510,2)))</f>
        <v/>
      </c>
      <c r="W1510" s="60" t="str">
        <f>IF(AND(B1510&lt;&gt;"",A1510&lt;&gt;"BS",F1510&lt;&gt;"",H1510&lt;&gt;"",ISNUMBER(K1510),ISNUMBER(L1510)),IF(AND(K1510&gt;0,L1510&gt;0,K1510-L1510&gt;0,COUNTIFS(A1511:A$2005,A1510,F1511:F$2005,F1510,H1511:H$2005,H1510,AA1511:AA$2005,"&gt;0")=0),ROUND(K1510-L1510,6),""),"")</f>
        <v/>
      </c>
      <c r="X1510" s="60" t="str">
        <f>IF(AND(A1510="",C1510="",D1510="",H1510="",L1510=""),"",IF(A1510="","Type manquant",IF(AND(A1510&lt;&gt;"BL",A1510&lt;&gt;"BR",A1510&lt;&gt;"BS"),"Type inconnu (BL, BR ou BS)",IF(AG1510=0,"Date manquante ou invalide",IF(D1510="",IF(A1510="BL","Client manquant",IF(A1510="BR","Fournisseur manquant","Service manquant")),IF(IF(A1510="BL",ISNA(MATCH(D1510,cl_code,0)),IF(A1510="BR",ISNA(MATCH(D1510,fo_code,0)),ISNA(MATCH(D1510,p_services,0)))),IF(A1510="BL","Client inconnu",IF(A1510="BR","Fournisseur inconnu","Service inconnu")),IF(H1510="","Article manquant",IF(ISNA(MATCH(H1510,art_ref,0)),"Article inconnu",IF(OR(NOT(ISNUMBER(L1510)),N(L1510)&lt;=0),"Quantité invalide",IF(AND(K1510&lt;&gt;"",OR(NOT(ISNUMBER(K1510)),N(K1510)&lt;=0)),"Qté commandée invalide",IF(AG1510&lt;SUMPRODUCT(MAX((A$6:A1509=A1510)*AG$6:AG1509)),"Date antérieure au bon précédent",IF(AND(A1510&lt;&gt;"BR",ISNUMBER(M1510),N(M1510)&gt;0),IF(A1510="BL","Livré plus que commandé","Sorti plus que demandé"),"OK"))))))))))))</f>
        <v/>
      </c>
      <c r="Y1510" s="57" t="str">
        <f>IF(AND(OR(A1510="BL",A1510="BR",A1510="BS"),AG1510&gt;0,D1510&lt;&gt;""),A1510&amp;"|"&amp;AG1510&amp;"|"&amp;D1510&amp;"|"&amp;F1510,"")</f>
        <v/>
      </c>
      <c r="Z1510" s="57" t="str">
        <f>IF(Y1510="","",IF(COUNTIF(Y$6:Y1509,Y1510)=0,1,0))</f>
        <v/>
      </c>
      <c r="AA1510" s="57" t="str">
        <f>IF(Y1510="","",IF(Z1510=1,COUNTIFS(A$6:A1510,A1510,Z$6:Z1510,1),INDEX(AA$6:AA1509,MATCH(Y1510,Y$6:Y1509,0))))</f>
        <v/>
      </c>
      <c r="AB1510" s="57" t="str">
        <f>IF(B1510="","",COUNTIF(B$6:B1510,B1510))</f>
        <v/>
      </c>
      <c r="AC1510" s="57" t="str">
        <f>IF(B1510="","",B1510&amp;"#"&amp;AB1510)</f>
        <v/>
      </c>
      <c r="AD1510" s="57" t="str">
        <f>IF(Z1510=1,A1510&amp;AA1510,"")</f>
        <v/>
      </c>
      <c r="AE1510" s="57" t="str">
        <f>IF(B1510="","",YEAR(C1510))</f>
        <v/>
      </c>
      <c r="AF1510" s="57" t="str">
        <f>IF(B1510="","",MONTH(C1510))</f>
        <v/>
      </c>
      <c r="AG1510" s="57">
        <f>IF(ISNUMBER(C1510),C1510,0)</f>
        <v>0.0</v>
      </c>
      <c r="AH1510" s="57" t="str">
        <f>IF(N(W1510)&gt;0,COUNTIF(W$6:W1510,"&gt;0"),"")</f>
        <v/>
      </c>
      <c r="AI1510" s="57" t="str">
        <f>IF(Z1510=1,COUNTIF(Z$6:Z1510,1),"")</f>
        <v/>
      </c>
    </row>
    <row r="1511">
      <c r="A1511" s="54" t="n"/>
      <c r="B1511" s="55" t="str">
        <f>IF(AA1511="","",A1511&amp;"-"&amp;RIGHT("000"&amp;AA1511,4))</f>
        <v/>
      </c>
      <c r="C1511" s="56" t="n"/>
      <c r="D1511" s="54" t="n"/>
      <c r="E1511" s="57" t="str">
        <f>IF(D1511="","",IF(A1511="BL",IFERROR(INDEX(cl_name,MATCH(D1511,cl_code,0))&amp;"","Client inconnu"),IF(A1511="BR",IFERROR(INDEX(fo_name,MATCH(D1511,fo_code,0))&amp;"","Fournisseur inconnu"),IF(A1511="BS",IF(ISNA(MATCH(D1511,p_services,0)),"Service inconnu",D1511&amp;""),""))))</f>
        <v/>
      </c>
      <c r="F1511" s="58" t="n"/>
      <c r="G1511" s="58" t="n"/>
      <c r="H1511" s="59" t="n"/>
      <c r="I1511" s="57" t="str">
        <f>IF(H1511="","",IFERROR(INDEX(art_des,MATCH(H1511,art_ref,0))&amp;"","Article inconnu"))</f>
        <v/>
      </c>
      <c r="J1511" s="60" t="str">
        <f>IF(H1511="","",IFERROR(INDEX(art_unit,MATCH(H1511,art_ref,0))&amp;"",""))</f>
        <v/>
      </c>
      <c r="K1511" s="59" t="n"/>
      <c r="L1511" s="59" t="n"/>
      <c r="M1511" s="61" t="str">
        <f>IF(OR(B1511="",NOT(ISNUMBER(K1511)),NOT(ISNUMBER(L1511))),"",IF(OR(K1511&lt;=0,L1511&lt;=0),"",ROUND(L1511-K1511,6)))</f>
        <v/>
      </c>
      <c r="N1511" s="58" t="n"/>
      <c r="O1511" s="62" t="n"/>
      <c r="P1511" s="63" t="str">
        <f>IF(OR(B1511="",NOT(ISNUMBER(L1511))),"",IF(L1511&lt;=0,"",IFERROR(ROUND(L1511*N(INDEX(art_w,MATCH(H1511,art_ref,0))),3),"")))</f>
        <v/>
      </c>
      <c r="Q1511" s="59" t="n"/>
      <c r="R1511" s="54" t="n"/>
      <c r="S1511" s="59" t="n"/>
      <c r="T1511" s="59" t="n"/>
      <c r="U1511" s="64" t="str">
        <f>IF(OR(B1511="",H1511=""),"",IFERROR(IF(A1511="BL",IF(N(INDEX(art_price,MATCH(H1511,art_ref,0)))=0,"",N(INDEX(art_price,MATCH(H1511,art_ref,0)))),IF(N(INDEX(art_cost,MATCH(H1511,art_ref,0)))=0,"",N(INDEX(art_cost,MATCH(H1511,art_ref,0))))),""))</f>
        <v/>
      </c>
      <c r="V1511" s="64" t="str">
        <f>IF(OR(U1511="",NOT(ISNUMBER(L1511))),"",IF(L1511&lt;=0,"",ROUND(L1511*U1511,2)))</f>
        <v/>
      </c>
      <c r="W1511" s="60" t="str">
        <f>IF(AND(B1511&lt;&gt;"",A1511&lt;&gt;"BS",F1511&lt;&gt;"",H1511&lt;&gt;"",ISNUMBER(K1511),ISNUMBER(L1511)),IF(AND(K1511&gt;0,L1511&gt;0,K1511-L1511&gt;0,COUNTIFS(A1512:A$2005,A1511,F1512:F$2005,F1511,H1512:H$2005,H1511,AA1512:AA$2005,"&gt;0")=0),ROUND(K1511-L1511,6),""),"")</f>
        <v/>
      </c>
      <c r="X1511" s="60" t="str">
        <f>IF(AND(A1511="",C1511="",D1511="",H1511="",L1511=""),"",IF(A1511="","Type manquant",IF(AND(A1511&lt;&gt;"BL",A1511&lt;&gt;"BR",A1511&lt;&gt;"BS"),"Type inconnu (BL, BR ou BS)",IF(AG1511=0,"Date manquante ou invalide",IF(D1511="",IF(A1511="BL","Client manquant",IF(A1511="BR","Fournisseur manquant","Service manquant")),IF(IF(A1511="BL",ISNA(MATCH(D1511,cl_code,0)),IF(A1511="BR",ISNA(MATCH(D1511,fo_code,0)),ISNA(MATCH(D1511,p_services,0)))),IF(A1511="BL","Client inconnu",IF(A1511="BR","Fournisseur inconnu","Service inconnu")),IF(H1511="","Article manquant",IF(ISNA(MATCH(H1511,art_ref,0)),"Article inconnu",IF(OR(NOT(ISNUMBER(L1511)),N(L1511)&lt;=0),"Quantité invalide",IF(AND(K1511&lt;&gt;"",OR(NOT(ISNUMBER(K1511)),N(K1511)&lt;=0)),"Qté commandée invalide",IF(AG1511&lt;SUMPRODUCT(MAX((A$6:A1510=A1511)*AG$6:AG1510)),"Date antérieure au bon précédent",IF(AND(A1511&lt;&gt;"BR",ISNUMBER(M1511),N(M1511)&gt;0),IF(A1511="BL","Livré plus que commandé","Sorti plus que demandé"),"OK"))))))))))))</f>
        <v/>
      </c>
      <c r="Y1511" s="57" t="str">
        <f>IF(AND(OR(A1511="BL",A1511="BR",A1511="BS"),AG1511&gt;0,D1511&lt;&gt;""),A1511&amp;"|"&amp;AG1511&amp;"|"&amp;D1511&amp;"|"&amp;F1511,"")</f>
        <v/>
      </c>
      <c r="Z1511" s="57" t="str">
        <f>IF(Y1511="","",IF(COUNTIF(Y$6:Y1510,Y1511)=0,1,0))</f>
        <v/>
      </c>
      <c r="AA1511" s="57" t="str">
        <f>IF(Y1511="","",IF(Z1511=1,COUNTIFS(A$6:A1511,A1511,Z$6:Z1511,1),INDEX(AA$6:AA1510,MATCH(Y1511,Y$6:Y1510,0))))</f>
        <v/>
      </c>
      <c r="AB1511" s="57" t="str">
        <f>IF(B1511="","",COUNTIF(B$6:B1511,B1511))</f>
        <v/>
      </c>
      <c r="AC1511" s="57" t="str">
        <f>IF(B1511="","",B1511&amp;"#"&amp;AB1511)</f>
        <v/>
      </c>
      <c r="AD1511" s="57" t="str">
        <f>IF(Z1511=1,A1511&amp;AA1511,"")</f>
        <v/>
      </c>
      <c r="AE1511" s="57" t="str">
        <f>IF(B1511="","",YEAR(C1511))</f>
        <v/>
      </c>
      <c r="AF1511" s="57" t="str">
        <f>IF(B1511="","",MONTH(C1511))</f>
        <v/>
      </c>
      <c r="AG1511" s="57">
        <f>IF(ISNUMBER(C1511),C1511,0)</f>
        <v>0.0</v>
      </c>
      <c r="AH1511" s="57" t="str">
        <f>IF(N(W1511)&gt;0,COUNTIF(W$6:W1511,"&gt;0"),"")</f>
        <v/>
      </c>
      <c r="AI1511" s="57" t="str">
        <f>IF(Z1511=1,COUNTIF(Z$6:Z1511,1),"")</f>
        <v/>
      </c>
    </row>
    <row r="1512">
      <c r="A1512" s="54" t="n"/>
      <c r="B1512" s="55" t="str">
        <f>IF(AA1512="","",A1512&amp;"-"&amp;RIGHT("000"&amp;AA1512,4))</f>
        <v/>
      </c>
      <c r="C1512" s="56" t="n"/>
      <c r="D1512" s="54" t="n"/>
      <c r="E1512" s="57" t="str">
        <f>IF(D1512="","",IF(A1512="BL",IFERROR(INDEX(cl_name,MATCH(D1512,cl_code,0))&amp;"","Client inconnu"),IF(A1512="BR",IFERROR(INDEX(fo_name,MATCH(D1512,fo_code,0))&amp;"","Fournisseur inconnu"),IF(A1512="BS",IF(ISNA(MATCH(D1512,p_services,0)),"Service inconnu",D1512&amp;""),""))))</f>
        <v/>
      </c>
      <c r="F1512" s="58" t="n"/>
      <c r="G1512" s="58" t="n"/>
      <c r="H1512" s="59" t="n"/>
      <c r="I1512" s="57" t="str">
        <f>IF(H1512="","",IFERROR(INDEX(art_des,MATCH(H1512,art_ref,0))&amp;"","Article inconnu"))</f>
        <v/>
      </c>
      <c r="J1512" s="60" t="str">
        <f>IF(H1512="","",IFERROR(INDEX(art_unit,MATCH(H1512,art_ref,0))&amp;"",""))</f>
        <v/>
      </c>
      <c r="K1512" s="59" t="n"/>
      <c r="L1512" s="59" t="n"/>
      <c r="M1512" s="61" t="str">
        <f>IF(OR(B1512="",NOT(ISNUMBER(K1512)),NOT(ISNUMBER(L1512))),"",IF(OR(K1512&lt;=0,L1512&lt;=0),"",ROUND(L1512-K1512,6)))</f>
        <v/>
      </c>
      <c r="N1512" s="58" t="n"/>
      <c r="O1512" s="62" t="n"/>
      <c r="P1512" s="63" t="str">
        <f>IF(OR(B1512="",NOT(ISNUMBER(L1512))),"",IF(L1512&lt;=0,"",IFERROR(ROUND(L1512*N(INDEX(art_w,MATCH(H1512,art_ref,0))),3),"")))</f>
        <v/>
      </c>
      <c r="Q1512" s="59" t="n"/>
      <c r="R1512" s="54" t="n"/>
      <c r="S1512" s="59" t="n"/>
      <c r="T1512" s="59" t="n"/>
      <c r="U1512" s="64" t="str">
        <f>IF(OR(B1512="",H1512=""),"",IFERROR(IF(A1512="BL",IF(N(INDEX(art_price,MATCH(H1512,art_ref,0)))=0,"",N(INDEX(art_price,MATCH(H1512,art_ref,0)))),IF(N(INDEX(art_cost,MATCH(H1512,art_ref,0)))=0,"",N(INDEX(art_cost,MATCH(H1512,art_ref,0))))),""))</f>
        <v/>
      </c>
      <c r="V1512" s="64" t="str">
        <f>IF(OR(U1512="",NOT(ISNUMBER(L1512))),"",IF(L1512&lt;=0,"",ROUND(L1512*U1512,2)))</f>
        <v/>
      </c>
      <c r="W1512" s="60" t="str">
        <f>IF(AND(B1512&lt;&gt;"",A1512&lt;&gt;"BS",F1512&lt;&gt;"",H1512&lt;&gt;"",ISNUMBER(K1512),ISNUMBER(L1512)),IF(AND(K1512&gt;0,L1512&gt;0,K1512-L1512&gt;0,COUNTIFS(A1513:A$2005,A1512,F1513:F$2005,F1512,H1513:H$2005,H1512,AA1513:AA$2005,"&gt;0")=0),ROUND(K1512-L1512,6),""),"")</f>
        <v/>
      </c>
      <c r="X1512" s="60" t="str">
        <f>IF(AND(A1512="",C1512="",D1512="",H1512="",L1512=""),"",IF(A1512="","Type manquant",IF(AND(A1512&lt;&gt;"BL",A1512&lt;&gt;"BR",A1512&lt;&gt;"BS"),"Type inconnu (BL, BR ou BS)",IF(AG1512=0,"Date manquante ou invalide",IF(D1512="",IF(A1512="BL","Client manquant",IF(A1512="BR","Fournisseur manquant","Service manquant")),IF(IF(A1512="BL",ISNA(MATCH(D1512,cl_code,0)),IF(A1512="BR",ISNA(MATCH(D1512,fo_code,0)),ISNA(MATCH(D1512,p_services,0)))),IF(A1512="BL","Client inconnu",IF(A1512="BR","Fournisseur inconnu","Service inconnu")),IF(H1512="","Article manquant",IF(ISNA(MATCH(H1512,art_ref,0)),"Article inconnu",IF(OR(NOT(ISNUMBER(L1512)),N(L1512)&lt;=0),"Quantité invalide",IF(AND(K1512&lt;&gt;"",OR(NOT(ISNUMBER(K1512)),N(K1512)&lt;=0)),"Qté commandée invalide",IF(AG1512&lt;SUMPRODUCT(MAX((A$6:A1511=A1512)*AG$6:AG1511)),"Date antérieure au bon précédent",IF(AND(A1512&lt;&gt;"BR",ISNUMBER(M1512),N(M1512)&gt;0),IF(A1512="BL","Livré plus que commandé","Sorti plus que demandé"),"OK"))))))))))))</f>
        <v/>
      </c>
      <c r="Y1512" s="57" t="str">
        <f>IF(AND(OR(A1512="BL",A1512="BR",A1512="BS"),AG1512&gt;0,D1512&lt;&gt;""),A1512&amp;"|"&amp;AG1512&amp;"|"&amp;D1512&amp;"|"&amp;F1512,"")</f>
        <v/>
      </c>
      <c r="Z1512" s="57" t="str">
        <f>IF(Y1512="","",IF(COUNTIF(Y$6:Y1511,Y1512)=0,1,0))</f>
        <v/>
      </c>
      <c r="AA1512" s="57" t="str">
        <f>IF(Y1512="","",IF(Z1512=1,COUNTIFS(A$6:A1512,A1512,Z$6:Z1512,1),INDEX(AA$6:AA1511,MATCH(Y1512,Y$6:Y1511,0))))</f>
        <v/>
      </c>
      <c r="AB1512" s="57" t="str">
        <f>IF(B1512="","",COUNTIF(B$6:B1512,B1512))</f>
        <v/>
      </c>
      <c r="AC1512" s="57" t="str">
        <f>IF(B1512="","",B1512&amp;"#"&amp;AB1512)</f>
        <v/>
      </c>
      <c r="AD1512" s="57" t="str">
        <f>IF(Z1512=1,A1512&amp;AA1512,"")</f>
        <v/>
      </c>
      <c r="AE1512" s="57" t="str">
        <f>IF(B1512="","",YEAR(C1512))</f>
        <v/>
      </c>
      <c r="AF1512" s="57" t="str">
        <f>IF(B1512="","",MONTH(C1512))</f>
        <v/>
      </c>
      <c r="AG1512" s="57">
        <f>IF(ISNUMBER(C1512),C1512,0)</f>
        <v>0.0</v>
      </c>
      <c r="AH1512" s="57" t="str">
        <f>IF(N(W1512)&gt;0,COUNTIF(W$6:W1512,"&gt;0"),"")</f>
        <v/>
      </c>
      <c r="AI1512" s="57" t="str">
        <f>IF(Z1512=1,COUNTIF(Z$6:Z1512,1),"")</f>
        <v/>
      </c>
    </row>
    <row r="1513">
      <c r="A1513" s="54" t="n"/>
      <c r="B1513" s="55" t="str">
        <f>IF(AA1513="","",A1513&amp;"-"&amp;RIGHT("000"&amp;AA1513,4))</f>
        <v/>
      </c>
      <c r="C1513" s="56" t="n"/>
      <c r="D1513" s="54" t="n"/>
      <c r="E1513" s="57" t="str">
        <f>IF(D1513="","",IF(A1513="BL",IFERROR(INDEX(cl_name,MATCH(D1513,cl_code,0))&amp;"","Client inconnu"),IF(A1513="BR",IFERROR(INDEX(fo_name,MATCH(D1513,fo_code,0))&amp;"","Fournisseur inconnu"),IF(A1513="BS",IF(ISNA(MATCH(D1513,p_services,0)),"Service inconnu",D1513&amp;""),""))))</f>
        <v/>
      </c>
      <c r="F1513" s="58" t="n"/>
      <c r="G1513" s="58" t="n"/>
      <c r="H1513" s="59" t="n"/>
      <c r="I1513" s="57" t="str">
        <f>IF(H1513="","",IFERROR(INDEX(art_des,MATCH(H1513,art_ref,0))&amp;"","Article inconnu"))</f>
        <v/>
      </c>
      <c r="J1513" s="60" t="str">
        <f>IF(H1513="","",IFERROR(INDEX(art_unit,MATCH(H1513,art_ref,0))&amp;"",""))</f>
        <v/>
      </c>
      <c r="K1513" s="59" t="n"/>
      <c r="L1513" s="59" t="n"/>
      <c r="M1513" s="61" t="str">
        <f>IF(OR(B1513="",NOT(ISNUMBER(K1513)),NOT(ISNUMBER(L1513))),"",IF(OR(K1513&lt;=0,L1513&lt;=0),"",ROUND(L1513-K1513,6)))</f>
        <v/>
      </c>
      <c r="N1513" s="58" t="n"/>
      <c r="O1513" s="62" t="n"/>
      <c r="P1513" s="63" t="str">
        <f>IF(OR(B1513="",NOT(ISNUMBER(L1513))),"",IF(L1513&lt;=0,"",IFERROR(ROUND(L1513*N(INDEX(art_w,MATCH(H1513,art_ref,0))),3),"")))</f>
        <v/>
      </c>
      <c r="Q1513" s="59" t="n"/>
      <c r="R1513" s="54" t="n"/>
      <c r="S1513" s="59" t="n"/>
      <c r="T1513" s="59" t="n"/>
      <c r="U1513" s="64" t="str">
        <f>IF(OR(B1513="",H1513=""),"",IFERROR(IF(A1513="BL",IF(N(INDEX(art_price,MATCH(H1513,art_ref,0)))=0,"",N(INDEX(art_price,MATCH(H1513,art_ref,0)))),IF(N(INDEX(art_cost,MATCH(H1513,art_ref,0)))=0,"",N(INDEX(art_cost,MATCH(H1513,art_ref,0))))),""))</f>
        <v/>
      </c>
      <c r="V1513" s="64" t="str">
        <f>IF(OR(U1513="",NOT(ISNUMBER(L1513))),"",IF(L1513&lt;=0,"",ROUND(L1513*U1513,2)))</f>
        <v/>
      </c>
      <c r="W1513" s="60" t="str">
        <f>IF(AND(B1513&lt;&gt;"",A1513&lt;&gt;"BS",F1513&lt;&gt;"",H1513&lt;&gt;"",ISNUMBER(K1513),ISNUMBER(L1513)),IF(AND(K1513&gt;0,L1513&gt;0,K1513-L1513&gt;0,COUNTIFS(A1514:A$2005,A1513,F1514:F$2005,F1513,H1514:H$2005,H1513,AA1514:AA$2005,"&gt;0")=0),ROUND(K1513-L1513,6),""),"")</f>
        <v/>
      </c>
      <c r="X1513" s="60" t="str">
        <f>IF(AND(A1513="",C1513="",D1513="",H1513="",L1513=""),"",IF(A1513="","Type manquant",IF(AND(A1513&lt;&gt;"BL",A1513&lt;&gt;"BR",A1513&lt;&gt;"BS"),"Type inconnu (BL, BR ou BS)",IF(AG1513=0,"Date manquante ou invalide",IF(D1513="",IF(A1513="BL","Client manquant",IF(A1513="BR","Fournisseur manquant","Service manquant")),IF(IF(A1513="BL",ISNA(MATCH(D1513,cl_code,0)),IF(A1513="BR",ISNA(MATCH(D1513,fo_code,0)),ISNA(MATCH(D1513,p_services,0)))),IF(A1513="BL","Client inconnu",IF(A1513="BR","Fournisseur inconnu","Service inconnu")),IF(H1513="","Article manquant",IF(ISNA(MATCH(H1513,art_ref,0)),"Article inconnu",IF(OR(NOT(ISNUMBER(L1513)),N(L1513)&lt;=0),"Quantité invalide",IF(AND(K1513&lt;&gt;"",OR(NOT(ISNUMBER(K1513)),N(K1513)&lt;=0)),"Qté commandée invalide",IF(AG1513&lt;SUMPRODUCT(MAX((A$6:A1512=A1513)*AG$6:AG1512)),"Date antérieure au bon précédent",IF(AND(A1513&lt;&gt;"BR",ISNUMBER(M1513),N(M1513)&gt;0),IF(A1513="BL","Livré plus que commandé","Sorti plus que demandé"),"OK"))))))))))))</f>
        <v/>
      </c>
      <c r="Y1513" s="57" t="str">
        <f>IF(AND(OR(A1513="BL",A1513="BR",A1513="BS"),AG1513&gt;0,D1513&lt;&gt;""),A1513&amp;"|"&amp;AG1513&amp;"|"&amp;D1513&amp;"|"&amp;F1513,"")</f>
        <v/>
      </c>
      <c r="Z1513" s="57" t="str">
        <f>IF(Y1513="","",IF(COUNTIF(Y$6:Y1512,Y1513)=0,1,0))</f>
        <v/>
      </c>
      <c r="AA1513" s="57" t="str">
        <f>IF(Y1513="","",IF(Z1513=1,COUNTIFS(A$6:A1513,A1513,Z$6:Z1513,1),INDEX(AA$6:AA1512,MATCH(Y1513,Y$6:Y1512,0))))</f>
        <v/>
      </c>
      <c r="AB1513" s="57" t="str">
        <f>IF(B1513="","",COUNTIF(B$6:B1513,B1513))</f>
        <v/>
      </c>
      <c r="AC1513" s="57" t="str">
        <f>IF(B1513="","",B1513&amp;"#"&amp;AB1513)</f>
        <v/>
      </c>
      <c r="AD1513" s="57" t="str">
        <f>IF(Z1513=1,A1513&amp;AA1513,"")</f>
        <v/>
      </c>
      <c r="AE1513" s="57" t="str">
        <f>IF(B1513="","",YEAR(C1513))</f>
        <v/>
      </c>
      <c r="AF1513" s="57" t="str">
        <f>IF(B1513="","",MONTH(C1513))</f>
        <v/>
      </c>
      <c r="AG1513" s="57">
        <f>IF(ISNUMBER(C1513),C1513,0)</f>
        <v>0.0</v>
      </c>
      <c r="AH1513" s="57" t="str">
        <f>IF(N(W1513)&gt;0,COUNTIF(W$6:W1513,"&gt;0"),"")</f>
        <v/>
      </c>
      <c r="AI1513" s="57" t="str">
        <f>IF(Z1513=1,COUNTIF(Z$6:Z1513,1),"")</f>
        <v/>
      </c>
    </row>
    <row r="1514">
      <c r="A1514" s="54" t="n"/>
      <c r="B1514" s="55" t="str">
        <f>IF(AA1514="","",A1514&amp;"-"&amp;RIGHT("000"&amp;AA1514,4))</f>
        <v/>
      </c>
      <c r="C1514" s="56" t="n"/>
      <c r="D1514" s="54" t="n"/>
      <c r="E1514" s="57" t="str">
        <f>IF(D1514="","",IF(A1514="BL",IFERROR(INDEX(cl_name,MATCH(D1514,cl_code,0))&amp;"","Client inconnu"),IF(A1514="BR",IFERROR(INDEX(fo_name,MATCH(D1514,fo_code,0))&amp;"","Fournisseur inconnu"),IF(A1514="BS",IF(ISNA(MATCH(D1514,p_services,0)),"Service inconnu",D1514&amp;""),""))))</f>
        <v/>
      </c>
      <c r="F1514" s="58" t="n"/>
      <c r="G1514" s="58" t="n"/>
      <c r="H1514" s="59" t="n"/>
      <c r="I1514" s="57" t="str">
        <f>IF(H1514="","",IFERROR(INDEX(art_des,MATCH(H1514,art_ref,0))&amp;"","Article inconnu"))</f>
        <v/>
      </c>
      <c r="J1514" s="60" t="str">
        <f>IF(H1514="","",IFERROR(INDEX(art_unit,MATCH(H1514,art_ref,0))&amp;"",""))</f>
        <v/>
      </c>
      <c r="K1514" s="59" t="n"/>
      <c r="L1514" s="59" t="n"/>
      <c r="M1514" s="61" t="str">
        <f>IF(OR(B1514="",NOT(ISNUMBER(K1514)),NOT(ISNUMBER(L1514))),"",IF(OR(K1514&lt;=0,L1514&lt;=0),"",ROUND(L1514-K1514,6)))</f>
        <v/>
      </c>
      <c r="N1514" s="58" t="n"/>
      <c r="O1514" s="62" t="n"/>
      <c r="P1514" s="63" t="str">
        <f>IF(OR(B1514="",NOT(ISNUMBER(L1514))),"",IF(L1514&lt;=0,"",IFERROR(ROUND(L1514*N(INDEX(art_w,MATCH(H1514,art_ref,0))),3),"")))</f>
        <v/>
      </c>
      <c r="Q1514" s="59" t="n"/>
      <c r="R1514" s="54" t="n"/>
      <c r="S1514" s="59" t="n"/>
      <c r="T1514" s="59" t="n"/>
      <c r="U1514" s="64" t="str">
        <f>IF(OR(B1514="",H1514=""),"",IFERROR(IF(A1514="BL",IF(N(INDEX(art_price,MATCH(H1514,art_ref,0)))=0,"",N(INDEX(art_price,MATCH(H1514,art_ref,0)))),IF(N(INDEX(art_cost,MATCH(H1514,art_ref,0)))=0,"",N(INDEX(art_cost,MATCH(H1514,art_ref,0))))),""))</f>
        <v/>
      </c>
      <c r="V1514" s="64" t="str">
        <f>IF(OR(U1514="",NOT(ISNUMBER(L1514))),"",IF(L1514&lt;=0,"",ROUND(L1514*U1514,2)))</f>
        <v/>
      </c>
      <c r="W1514" s="60" t="str">
        <f>IF(AND(B1514&lt;&gt;"",A1514&lt;&gt;"BS",F1514&lt;&gt;"",H1514&lt;&gt;"",ISNUMBER(K1514),ISNUMBER(L1514)),IF(AND(K1514&gt;0,L1514&gt;0,K1514-L1514&gt;0,COUNTIFS(A1515:A$2005,A1514,F1515:F$2005,F1514,H1515:H$2005,H1514,AA1515:AA$2005,"&gt;0")=0),ROUND(K1514-L1514,6),""),"")</f>
        <v/>
      </c>
      <c r="X1514" s="60" t="str">
        <f>IF(AND(A1514="",C1514="",D1514="",H1514="",L1514=""),"",IF(A1514="","Type manquant",IF(AND(A1514&lt;&gt;"BL",A1514&lt;&gt;"BR",A1514&lt;&gt;"BS"),"Type inconnu (BL, BR ou BS)",IF(AG1514=0,"Date manquante ou invalide",IF(D1514="",IF(A1514="BL","Client manquant",IF(A1514="BR","Fournisseur manquant","Service manquant")),IF(IF(A1514="BL",ISNA(MATCH(D1514,cl_code,0)),IF(A1514="BR",ISNA(MATCH(D1514,fo_code,0)),ISNA(MATCH(D1514,p_services,0)))),IF(A1514="BL","Client inconnu",IF(A1514="BR","Fournisseur inconnu","Service inconnu")),IF(H1514="","Article manquant",IF(ISNA(MATCH(H1514,art_ref,0)),"Article inconnu",IF(OR(NOT(ISNUMBER(L1514)),N(L1514)&lt;=0),"Quantité invalide",IF(AND(K1514&lt;&gt;"",OR(NOT(ISNUMBER(K1514)),N(K1514)&lt;=0)),"Qté commandée invalide",IF(AG1514&lt;SUMPRODUCT(MAX((A$6:A1513=A1514)*AG$6:AG1513)),"Date antérieure au bon précédent",IF(AND(A1514&lt;&gt;"BR",ISNUMBER(M1514),N(M1514)&gt;0),IF(A1514="BL","Livré plus que commandé","Sorti plus que demandé"),"OK"))))))))))))</f>
        <v/>
      </c>
      <c r="Y1514" s="57" t="str">
        <f>IF(AND(OR(A1514="BL",A1514="BR",A1514="BS"),AG1514&gt;0,D1514&lt;&gt;""),A1514&amp;"|"&amp;AG1514&amp;"|"&amp;D1514&amp;"|"&amp;F1514,"")</f>
        <v/>
      </c>
      <c r="Z1514" s="57" t="str">
        <f>IF(Y1514="","",IF(COUNTIF(Y$6:Y1513,Y1514)=0,1,0))</f>
        <v/>
      </c>
      <c r="AA1514" s="57" t="str">
        <f>IF(Y1514="","",IF(Z1514=1,COUNTIFS(A$6:A1514,A1514,Z$6:Z1514,1),INDEX(AA$6:AA1513,MATCH(Y1514,Y$6:Y1513,0))))</f>
        <v/>
      </c>
      <c r="AB1514" s="57" t="str">
        <f>IF(B1514="","",COUNTIF(B$6:B1514,B1514))</f>
        <v/>
      </c>
      <c r="AC1514" s="57" t="str">
        <f>IF(B1514="","",B1514&amp;"#"&amp;AB1514)</f>
        <v/>
      </c>
      <c r="AD1514" s="57" t="str">
        <f>IF(Z1514=1,A1514&amp;AA1514,"")</f>
        <v/>
      </c>
      <c r="AE1514" s="57" t="str">
        <f>IF(B1514="","",YEAR(C1514))</f>
        <v/>
      </c>
      <c r="AF1514" s="57" t="str">
        <f>IF(B1514="","",MONTH(C1514))</f>
        <v/>
      </c>
      <c r="AG1514" s="57">
        <f>IF(ISNUMBER(C1514),C1514,0)</f>
        <v>0.0</v>
      </c>
      <c r="AH1514" s="57" t="str">
        <f>IF(N(W1514)&gt;0,COUNTIF(W$6:W1514,"&gt;0"),"")</f>
        <v/>
      </c>
      <c r="AI1514" s="57" t="str">
        <f>IF(Z1514=1,COUNTIF(Z$6:Z1514,1),"")</f>
        <v/>
      </c>
    </row>
    <row r="1515">
      <c r="A1515" s="54" t="n"/>
      <c r="B1515" s="55" t="str">
        <f>IF(AA1515="","",A1515&amp;"-"&amp;RIGHT("000"&amp;AA1515,4))</f>
        <v/>
      </c>
      <c r="C1515" s="56" t="n"/>
      <c r="D1515" s="54" t="n"/>
      <c r="E1515" s="57" t="str">
        <f>IF(D1515="","",IF(A1515="BL",IFERROR(INDEX(cl_name,MATCH(D1515,cl_code,0))&amp;"","Client inconnu"),IF(A1515="BR",IFERROR(INDEX(fo_name,MATCH(D1515,fo_code,0))&amp;"","Fournisseur inconnu"),IF(A1515="BS",IF(ISNA(MATCH(D1515,p_services,0)),"Service inconnu",D1515&amp;""),""))))</f>
        <v/>
      </c>
      <c r="F1515" s="58" t="n"/>
      <c r="G1515" s="58" t="n"/>
      <c r="H1515" s="59" t="n"/>
      <c r="I1515" s="57" t="str">
        <f>IF(H1515="","",IFERROR(INDEX(art_des,MATCH(H1515,art_ref,0))&amp;"","Article inconnu"))</f>
        <v/>
      </c>
      <c r="J1515" s="60" t="str">
        <f>IF(H1515="","",IFERROR(INDEX(art_unit,MATCH(H1515,art_ref,0))&amp;"",""))</f>
        <v/>
      </c>
      <c r="K1515" s="59" t="n"/>
      <c r="L1515" s="59" t="n"/>
      <c r="M1515" s="61" t="str">
        <f>IF(OR(B1515="",NOT(ISNUMBER(K1515)),NOT(ISNUMBER(L1515))),"",IF(OR(K1515&lt;=0,L1515&lt;=0),"",ROUND(L1515-K1515,6)))</f>
        <v/>
      </c>
      <c r="N1515" s="58" t="n"/>
      <c r="O1515" s="62" t="n"/>
      <c r="P1515" s="63" t="str">
        <f>IF(OR(B1515="",NOT(ISNUMBER(L1515))),"",IF(L1515&lt;=0,"",IFERROR(ROUND(L1515*N(INDEX(art_w,MATCH(H1515,art_ref,0))),3),"")))</f>
        <v/>
      </c>
      <c r="Q1515" s="59" t="n"/>
      <c r="R1515" s="54" t="n"/>
      <c r="S1515" s="59" t="n"/>
      <c r="T1515" s="59" t="n"/>
      <c r="U1515" s="64" t="str">
        <f>IF(OR(B1515="",H1515=""),"",IFERROR(IF(A1515="BL",IF(N(INDEX(art_price,MATCH(H1515,art_ref,0)))=0,"",N(INDEX(art_price,MATCH(H1515,art_ref,0)))),IF(N(INDEX(art_cost,MATCH(H1515,art_ref,0)))=0,"",N(INDEX(art_cost,MATCH(H1515,art_ref,0))))),""))</f>
        <v/>
      </c>
      <c r="V1515" s="64" t="str">
        <f>IF(OR(U1515="",NOT(ISNUMBER(L1515))),"",IF(L1515&lt;=0,"",ROUND(L1515*U1515,2)))</f>
        <v/>
      </c>
      <c r="W1515" s="60" t="str">
        <f>IF(AND(B1515&lt;&gt;"",A1515&lt;&gt;"BS",F1515&lt;&gt;"",H1515&lt;&gt;"",ISNUMBER(K1515),ISNUMBER(L1515)),IF(AND(K1515&gt;0,L1515&gt;0,K1515-L1515&gt;0,COUNTIFS(A1516:A$2005,A1515,F1516:F$2005,F1515,H1516:H$2005,H1515,AA1516:AA$2005,"&gt;0")=0),ROUND(K1515-L1515,6),""),"")</f>
        <v/>
      </c>
      <c r="X1515" s="60" t="str">
        <f>IF(AND(A1515="",C1515="",D1515="",H1515="",L1515=""),"",IF(A1515="","Type manquant",IF(AND(A1515&lt;&gt;"BL",A1515&lt;&gt;"BR",A1515&lt;&gt;"BS"),"Type inconnu (BL, BR ou BS)",IF(AG1515=0,"Date manquante ou invalide",IF(D1515="",IF(A1515="BL","Client manquant",IF(A1515="BR","Fournisseur manquant","Service manquant")),IF(IF(A1515="BL",ISNA(MATCH(D1515,cl_code,0)),IF(A1515="BR",ISNA(MATCH(D1515,fo_code,0)),ISNA(MATCH(D1515,p_services,0)))),IF(A1515="BL","Client inconnu",IF(A1515="BR","Fournisseur inconnu","Service inconnu")),IF(H1515="","Article manquant",IF(ISNA(MATCH(H1515,art_ref,0)),"Article inconnu",IF(OR(NOT(ISNUMBER(L1515)),N(L1515)&lt;=0),"Quantité invalide",IF(AND(K1515&lt;&gt;"",OR(NOT(ISNUMBER(K1515)),N(K1515)&lt;=0)),"Qté commandée invalide",IF(AG1515&lt;SUMPRODUCT(MAX((A$6:A1514=A1515)*AG$6:AG1514)),"Date antérieure au bon précédent",IF(AND(A1515&lt;&gt;"BR",ISNUMBER(M1515),N(M1515)&gt;0),IF(A1515="BL","Livré plus que commandé","Sorti plus que demandé"),"OK"))))))))))))</f>
        <v/>
      </c>
      <c r="Y1515" s="57" t="str">
        <f>IF(AND(OR(A1515="BL",A1515="BR",A1515="BS"),AG1515&gt;0,D1515&lt;&gt;""),A1515&amp;"|"&amp;AG1515&amp;"|"&amp;D1515&amp;"|"&amp;F1515,"")</f>
        <v/>
      </c>
      <c r="Z1515" s="57" t="str">
        <f>IF(Y1515="","",IF(COUNTIF(Y$6:Y1514,Y1515)=0,1,0))</f>
        <v/>
      </c>
      <c r="AA1515" s="57" t="str">
        <f>IF(Y1515="","",IF(Z1515=1,COUNTIFS(A$6:A1515,A1515,Z$6:Z1515,1),INDEX(AA$6:AA1514,MATCH(Y1515,Y$6:Y1514,0))))</f>
        <v/>
      </c>
      <c r="AB1515" s="57" t="str">
        <f>IF(B1515="","",COUNTIF(B$6:B1515,B1515))</f>
        <v/>
      </c>
      <c r="AC1515" s="57" t="str">
        <f>IF(B1515="","",B1515&amp;"#"&amp;AB1515)</f>
        <v/>
      </c>
      <c r="AD1515" s="57" t="str">
        <f>IF(Z1515=1,A1515&amp;AA1515,"")</f>
        <v/>
      </c>
      <c r="AE1515" s="57" t="str">
        <f>IF(B1515="","",YEAR(C1515))</f>
        <v/>
      </c>
      <c r="AF1515" s="57" t="str">
        <f>IF(B1515="","",MONTH(C1515))</f>
        <v/>
      </c>
      <c r="AG1515" s="57">
        <f>IF(ISNUMBER(C1515),C1515,0)</f>
        <v>0.0</v>
      </c>
      <c r="AH1515" s="57" t="str">
        <f>IF(N(W1515)&gt;0,COUNTIF(W$6:W1515,"&gt;0"),"")</f>
        <v/>
      </c>
      <c r="AI1515" s="57" t="str">
        <f>IF(Z1515=1,COUNTIF(Z$6:Z1515,1),"")</f>
        <v/>
      </c>
    </row>
    <row r="1516">
      <c r="A1516" s="54" t="n"/>
      <c r="B1516" s="55" t="str">
        <f>IF(AA1516="","",A1516&amp;"-"&amp;RIGHT("000"&amp;AA1516,4))</f>
        <v/>
      </c>
      <c r="C1516" s="56" t="n"/>
      <c r="D1516" s="54" t="n"/>
      <c r="E1516" s="57" t="str">
        <f>IF(D1516="","",IF(A1516="BL",IFERROR(INDEX(cl_name,MATCH(D1516,cl_code,0))&amp;"","Client inconnu"),IF(A1516="BR",IFERROR(INDEX(fo_name,MATCH(D1516,fo_code,0))&amp;"","Fournisseur inconnu"),IF(A1516="BS",IF(ISNA(MATCH(D1516,p_services,0)),"Service inconnu",D1516&amp;""),""))))</f>
        <v/>
      </c>
      <c r="F1516" s="58" t="n"/>
      <c r="G1516" s="58" t="n"/>
      <c r="H1516" s="59" t="n"/>
      <c r="I1516" s="57" t="str">
        <f>IF(H1516="","",IFERROR(INDEX(art_des,MATCH(H1516,art_ref,0))&amp;"","Article inconnu"))</f>
        <v/>
      </c>
      <c r="J1516" s="60" t="str">
        <f>IF(H1516="","",IFERROR(INDEX(art_unit,MATCH(H1516,art_ref,0))&amp;"",""))</f>
        <v/>
      </c>
      <c r="K1516" s="59" t="n"/>
      <c r="L1516" s="59" t="n"/>
      <c r="M1516" s="61" t="str">
        <f>IF(OR(B1516="",NOT(ISNUMBER(K1516)),NOT(ISNUMBER(L1516))),"",IF(OR(K1516&lt;=0,L1516&lt;=0),"",ROUND(L1516-K1516,6)))</f>
        <v/>
      </c>
      <c r="N1516" s="58" t="n"/>
      <c r="O1516" s="62" t="n"/>
      <c r="P1516" s="63" t="str">
        <f>IF(OR(B1516="",NOT(ISNUMBER(L1516))),"",IF(L1516&lt;=0,"",IFERROR(ROUND(L1516*N(INDEX(art_w,MATCH(H1516,art_ref,0))),3),"")))</f>
        <v/>
      </c>
      <c r="Q1516" s="59" t="n"/>
      <c r="R1516" s="54" t="n"/>
      <c r="S1516" s="59" t="n"/>
      <c r="T1516" s="59" t="n"/>
      <c r="U1516" s="64" t="str">
        <f>IF(OR(B1516="",H1516=""),"",IFERROR(IF(A1516="BL",IF(N(INDEX(art_price,MATCH(H1516,art_ref,0)))=0,"",N(INDEX(art_price,MATCH(H1516,art_ref,0)))),IF(N(INDEX(art_cost,MATCH(H1516,art_ref,0)))=0,"",N(INDEX(art_cost,MATCH(H1516,art_ref,0))))),""))</f>
        <v/>
      </c>
      <c r="V1516" s="64" t="str">
        <f>IF(OR(U1516="",NOT(ISNUMBER(L1516))),"",IF(L1516&lt;=0,"",ROUND(L1516*U1516,2)))</f>
        <v/>
      </c>
      <c r="W1516" s="60" t="str">
        <f>IF(AND(B1516&lt;&gt;"",A1516&lt;&gt;"BS",F1516&lt;&gt;"",H1516&lt;&gt;"",ISNUMBER(K1516),ISNUMBER(L1516)),IF(AND(K1516&gt;0,L1516&gt;0,K1516-L1516&gt;0,COUNTIFS(A1517:A$2005,A1516,F1517:F$2005,F1516,H1517:H$2005,H1516,AA1517:AA$2005,"&gt;0")=0),ROUND(K1516-L1516,6),""),"")</f>
        <v/>
      </c>
      <c r="X1516" s="60" t="str">
        <f>IF(AND(A1516="",C1516="",D1516="",H1516="",L1516=""),"",IF(A1516="","Type manquant",IF(AND(A1516&lt;&gt;"BL",A1516&lt;&gt;"BR",A1516&lt;&gt;"BS"),"Type inconnu (BL, BR ou BS)",IF(AG1516=0,"Date manquante ou invalide",IF(D1516="",IF(A1516="BL","Client manquant",IF(A1516="BR","Fournisseur manquant","Service manquant")),IF(IF(A1516="BL",ISNA(MATCH(D1516,cl_code,0)),IF(A1516="BR",ISNA(MATCH(D1516,fo_code,0)),ISNA(MATCH(D1516,p_services,0)))),IF(A1516="BL","Client inconnu",IF(A1516="BR","Fournisseur inconnu","Service inconnu")),IF(H1516="","Article manquant",IF(ISNA(MATCH(H1516,art_ref,0)),"Article inconnu",IF(OR(NOT(ISNUMBER(L1516)),N(L1516)&lt;=0),"Quantité invalide",IF(AND(K1516&lt;&gt;"",OR(NOT(ISNUMBER(K1516)),N(K1516)&lt;=0)),"Qté commandée invalide",IF(AG1516&lt;SUMPRODUCT(MAX((A$6:A1515=A1516)*AG$6:AG1515)),"Date antérieure au bon précédent",IF(AND(A1516&lt;&gt;"BR",ISNUMBER(M1516),N(M1516)&gt;0),IF(A1516="BL","Livré plus que commandé","Sorti plus que demandé"),"OK"))))))))))))</f>
        <v/>
      </c>
      <c r="Y1516" s="57" t="str">
        <f>IF(AND(OR(A1516="BL",A1516="BR",A1516="BS"),AG1516&gt;0,D1516&lt;&gt;""),A1516&amp;"|"&amp;AG1516&amp;"|"&amp;D1516&amp;"|"&amp;F1516,"")</f>
        <v/>
      </c>
      <c r="Z1516" s="57" t="str">
        <f>IF(Y1516="","",IF(COUNTIF(Y$6:Y1515,Y1516)=0,1,0))</f>
        <v/>
      </c>
      <c r="AA1516" s="57" t="str">
        <f>IF(Y1516="","",IF(Z1516=1,COUNTIFS(A$6:A1516,A1516,Z$6:Z1516,1),INDEX(AA$6:AA1515,MATCH(Y1516,Y$6:Y1515,0))))</f>
        <v/>
      </c>
      <c r="AB1516" s="57" t="str">
        <f>IF(B1516="","",COUNTIF(B$6:B1516,B1516))</f>
        <v/>
      </c>
      <c r="AC1516" s="57" t="str">
        <f>IF(B1516="","",B1516&amp;"#"&amp;AB1516)</f>
        <v/>
      </c>
      <c r="AD1516" s="57" t="str">
        <f>IF(Z1516=1,A1516&amp;AA1516,"")</f>
        <v/>
      </c>
      <c r="AE1516" s="57" t="str">
        <f>IF(B1516="","",YEAR(C1516))</f>
        <v/>
      </c>
      <c r="AF1516" s="57" t="str">
        <f>IF(B1516="","",MONTH(C1516))</f>
        <v/>
      </c>
      <c r="AG1516" s="57">
        <f>IF(ISNUMBER(C1516),C1516,0)</f>
        <v>0.0</v>
      </c>
      <c r="AH1516" s="57" t="str">
        <f>IF(N(W1516)&gt;0,COUNTIF(W$6:W1516,"&gt;0"),"")</f>
        <v/>
      </c>
      <c r="AI1516" s="57" t="str">
        <f>IF(Z1516=1,COUNTIF(Z$6:Z1516,1),"")</f>
        <v/>
      </c>
    </row>
    <row r="1517">
      <c r="A1517" s="54" t="n"/>
      <c r="B1517" s="55" t="str">
        <f>IF(AA1517="","",A1517&amp;"-"&amp;RIGHT("000"&amp;AA1517,4))</f>
        <v/>
      </c>
      <c r="C1517" s="56" t="n"/>
      <c r="D1517" s="54" t="n"/>
      <c r="E1517" s="57" t="str">
        <f>IF(D1517="","",IF(A1517="BL",IFERROR(INDEX(cl_name,MATCH(D1517,cl_code,0))&amp;"","Client inconnu"),IF(A1517="BR",IFERROR(INDEX(fo_name,MATCH(D1517,fo_code,0))&amp;"","Fournisseur inconnu"),IF(A1517="BS",IF(ISNA(MATCH(D1517,p_services,0)),"Service inconnu",D1517&amp;""),""))))</f>
        <v/>
      </c>
      <c r="F1517" s="58" t="n"/>
      <c r="G1517" s="58" t="n"/>
      <c r="H1517" s="59" t="n"/>
      <c r="I1517" s="57" t="str">
        <f>IF(H1517="","",IFERROR(INDEX(art_des,MATCH(H1517,art_ref,0))&amp;"","Article inconnu"))</f>
        <v/>
      </c>
      <c r="J1517" s="60" t="str">
        <f>IF(H1517="","",IFERROR(INDEX(art_unit,MATCH(H1517,art_ref,0))&amp;"",""))</f>
        <v/>
      </c>
      <c r="K1517" s="59" t="n"/>
      <c r="L1517" s="59" t="n"/>
      <c r="M1517" s="61" t="str">
        <f>IF(OR(B1517="",NOT(ISNUMBER(K1517)),NOT(ISNUMBER(L1517))),"",IF(OR(K1517&lt;=0,L1517&lt;=0),"",ROUND(L1517-K1517,6)))</f>
        <v/>
      </c>
      <c r="N1517" s="58" t="n"/>
      <c r="O1517" s="62" t="n"/>
      <c r="P1517" s="63" t="str">
        <f>IF(OR(B1517="",NOT(ISNUMBER(L1517))),"",IF(L1517&lt;=0,"",IFERROR(ROUND(L1517*N(INDEX(art_w,MATCH(H1517,art_ref,0))),3),"")))</f>
        <v/>
      </c>
      <c r="Q1517" s="59" t="n"/>
      <c r="R1517" s="54" t="n"/>
      <c r="S1517" s="59" t="n"/>
      <c r="T1517" s="59" t="n"/>
      <c r="U1517" s="64" t="str">
        <f>IF(OR(B1517="",H1517=""),"",IFERROR(IF(A1517="BL",IF(N(INDEX(art_price,MATCH(H1517,art_ref,0)))=0,"",N(INDEX(art_price,MATCH(H1517,art_ref,0)))),IF(N(INDEX(art_cost,MATCH(H1517,art_ref,0)))=0,"",N(INDEX(art_cost,MATCH(H1517,art_ref,0))))),""))</f>
        <v/>
      </c>
      <c r="V1517" s="64" t="str">
        <f>IF(OR(U1517="",NOT(ISNUMBER(L1517))),"",IF(L1517&lt;=0,"",ROUND(L1517*U1517,2)))</f>
        <v/>
      </c>
      <c r="W1517" s="60" t="str">
        <f>IF(AND(B1517&lt;&gt;"",A1517&lt;&gt;"BS",F1517&lt;&gt;"",H1517&lt;&gt;"",ISNUMBER(K1517),ISNUMBER(L1517)),IF(AND(K1517&gt;0,L1517&gt;0,K1517-L1517&gt;0,COUNTIFS(A1518:A$2005,A1517,F1518:F$2005,F1517,H1518:H$2005,H1517,AA1518:AA$2005,"&gt;0")=0),ROUND(K1517-L1517,6),""),"")</f>
        <v/>
      </c>
      <c r="X1517" s="60" t="str">
        <f>IF(AND(A1517="",C1517="",D1517="",H1517="",L1517=""),"",IF(A1517="","Type manquant",IF(AND(A1517&lt;&gt;"BL",A1517&lt;&gt;"BR",A1517&lt;&gt;"BS"),"Type inconnu (BL, BR ou BS)",IF(AG1517=0,"Date manquante ou invalide",IF(D1517="",IF(A1517="BL","Client manquant",IF(A1517="BR","Fournisseur manquant","Service manquant")),IF(IF(A1517="BL",ISNA(MATCH(D1517,cl_code,0)),IF(A1517="BR",ISNA(MATCH(D1517,fo_code,0)),ISNA(MATCH(D1517,p_services,0)))),IF(A1517="BL","Client inconnu",IF(A1517="BR","Fournisseur inconnu","Service inconnu")),IF(H1517="","Article manquant",IF(ISNA(MATCH(H1517,art_ref,0)),"Article inconnu",IF(OR(NOT(ISNUMBER(L1517)),N(L1517)&lt;=0),"Quantité invalide",IF(AND(K1517&lt;&gt;"",OR(NOT(ISNUMBER(K1517)),N(K1517)&lt;=0)),"Qté commandée invalide",IF(AG1517&lt;SUMPRODUCT(MAX((A$6:A1516=A1517)*AG$6:AG1516)),"Date antérieure au bon précédent",IF(AND(A1517&lt;&gt;"BR",ISNUMBER(M1517),N(M1517)&gt;0),IF(A1517="BL","Livré plus que commandé","Sorti plus que demandé"),"OK"))))))))))))</f>
        <v/>
      </c>
      <c r="Y1517" s="57" t="str">
        <f>IF(AND(OR(A1517="BL",A1517="BR",A1517="BS"),AG1517&gt;0,D1517&lt;&gt;""),A1517&amp;"|"&amp;AG1517&amp;"|"&amp;D1517&amp;"|"&amp;F1517,"")</f>
        <v/>
      </c>
      <c r="Z1517" s="57" t="str">
        <f>IF(Y1517="","",IF(COUNTIF(Y$6:Y1516,Y1517)=0,1,0))</f>
        <v/>
      </c>
      <c r="AA1517" s="57" t="str">
        <f>IF(Y1517="","",IF(Z1517=1,COUNTIFS(A$6:A1517,A1517,Z$6:Z1517,1),INDEX(AA$6:AA1516,MATCH(Y1517,Y$6:Y1516,0))))</f>
        <v/>
      </c>
      <c r="AB1517" s="57" t="str">
        <f>IF(B1517="","",COUNTIF(B$6:B1517,B1517))</f>
        <v/>
      </c>
      <c r="AC1517" s="57" t="str">
        <f>IF(B1517="","",B1517&amp;"#"&amp;AB1517)</f>
        <v/>
      </c>
      <c r="AD1517" s="57" t="str">
        <f>IF(Z1517=1,A1517&amp;AA1517,"")</f>
        <v/>
      </c>
      <c r="AE1517" s="57" t="str">
        <f>IF(B1517="","",YEAR(C1517))</f>
        <v/>
      </c>
      <c r="AF1517" s="57" t="str">
        <f>IF(B1517="","",MONTH(C1517))</f>
        <v/>
      </c>
      <c r="AG1517" s="57">
        <f>IF(ISNUMBER(C1517),C1517,0)</f>
        <v>0.0</v>
      </c>
      <c r="AH1517" s="57" t="str">
        <f>IF(N(W1517)&gt;0,COUNTIF(W$6:W1517,"&gt;0"),"")</f>
        <v/>
      </c>
      <c r="AI1517" s="57" t="str">
        <f>IF(Z1517=1,COUNTIF(Z$6:Z1517,1),"")</f>
        <v/>
      </c>
    </row>
    <row r="1518">
      <c r="A1518" s="54" t="n"/>
      <c r="B1518" s="55" t="str">
        <f>IF(AA1518="","",A1518&amp;"-"&amp;RIGHT("000"&amp;AA1518,4))</f>
        <v/>
      </c>
      <c r="C1518" s="56" t="n"/>
      <c r="D1518" s="54" t="n"/>
      <c r="E1518" s="57" t="str">
        <f>IF(D1518="","",IF(A1518="BL",IFERROR(INDEX(cl_name,MATCH(D1518,cl_code,0))&amp;"","Client inconnu"),IF(A1518="BR",IFERROR(INDEX(fo_name,MATCH(D1518,fo_code,0))&amp;"","Fournisseur inconnu"),IF(A1518="BS",IF(ISNA(MATCH(D1518,p_services,0)),"Service inconnu",D1518&amp;""),""))))</f>
        <v/>
      </c>
      <c r="F1518" s="58" t="n"/>
      <c r="G1518" s="58" t="n"/>
      <c r="H1518" s="59" t="n"/>
      <c r="I1518" s="57" t="str">
        <f>IF(H1518="","",IFERROR(INDEX(art_des,MATCH(H1518,art_ref,0))&amp;"","Article inconnu"))</f>
        <v/>
      </c>
      <c r="J1518" s="60" t="str">
        <f>IF(H1518="","",IFERROR(INDEX(art_unit,MATCH(H1518,art_ref,0))&amp;"",""))</f>
        <v/>
      </c>
      <c r="K1518" s="59" t="n"/>
      <c r="L1518" s="59" t="n"/>
      <c r="M1518" s="61" t="str">
        <f>IF(OR(B1518="",NOT(ISNUMBER(K1518)),NOT(ISNUMBER(L1518))),"",IF(OR(K1518&lt;=0,L1518&lt;=0),"",ROUND(L1518-K1518,6)))</f>
        <v/>
      </c>
      <c r="N1518" s="58" t="n"/>
      <c r="O1518" s="62" t="n"/>
      <c r="P1518" s="63" t="str">
        <f>IF(OR(B1518="",NOT(ISNUMBER(L1518))),"",IF(L1518&lt;=0,"",IFERROR(ROUND(L1518*N(INDEX(art_w,MATCH(H1518,art_ref,0))),3),"")))</f>
        <v/>
      </c>
      <c r="Q1518" s="59" t="n"/>
      <c r="R1518" s="54" t="n"/>
      <c r="S1518" s="59" t="n"/>
      <c r="T1518" s="59" t="n"/>
      <c r="U1518" s="64" t="str">
        <f>IF(OR(B1518="",H1518=""),"",IFERROR(IF(A1518="BL",IF(N(INDEX(art_price,MATCH(H1518,art_ref,0)))=0,"",N(INDEX(art_price,MATCH(H1518,art_ref,0)))),IF(N(INDEX(art_cost,MATCH(H1518,art_ref,0)))=0,"",N(INDEX(art_cost,MATCH(H1518,art_ref,0))))),""))</f>
        <v/>
      </c>
      <c r="V1518" s="64" t="str">
        <f>IF(OR(U1518="",NOT(ISNUMBER(L1518))),"",IF(L1518&lt;=0,"",ROUND(L1518*U1518,2)))</f>
        <v/>
      </c>
      <c r="W1518" s="60" t="str">
        <f>IF(AND(B1518&lt;&gt;"",A1518&lt;&gt;"BS",F1518&lt;&gt;"",H1518&lt;&gt;"",ISNUMBER(K1518),ISNUMBER(L1518)),IF(AND(K1518&gt;0,L1518&gt;0,K1518-L1518&gt;0,COUNTIFS(A1519:A$2005,A1518,F1519:F$2005,F1518,H1519:H$2005,H1518,AA1519:AA$2005,"&gt;0")=0),ROUND(K1518-L1518,6),""),"")</f>
        <v/>
      </c>
      <c r="X1518" s="60" t="str">
        <f>IF(AND(A1518="",C1518="",D1518="",H1518="",L1518=""),"",IF(A1518="","Type manquant",IF(AND(A1518&lt;&gt;"BL",A1518&lt;&gt;"BR",A1518&lt;&gt;"BS"),"Type inconnu (BL, BR ou BS)",IF(AG1518=0,"Date manquante ou invalide",IF(D1518="",IF(A1518="BL","Client manquant",IF(A1518="BR","Fournisseur manquant","Service manquant")),IF(IF(A1518="BL",ISNA(MATCH(D1518,cl_code,0)),IF(A1518="BR",ISNA(MATCH(D1518,fo_code,0)),ISNA(MATCH(D1518,p_services,0)))),IF(A1518="BL","Client inconnu",IF(A1518="BR","Fournisseur inconnu","Service inconnu")),IF(H1518="","Article manquant",IF(ISNA(MATCH(H1518,art_ref,0)),"Article inconnu",IF(OR(NOT(ISNUMBER(L1518)),N(L1518)&lt;=0),"Quantité invalide",IF(AND(K1518&lt;&gt;"",OR(NOT(ISNUMBER(K1518)),N(K1518)&lt;=0)),"Qté commandée invalide",IF(AG1518&lt;SUMPRODUCT(MAX((A$6:A1517=A1518)*AG$6:AG1517)),"Date antérieure au bon précédent",IF(AND(A1518&lt;&gt;"BR",ISNUMBER(M1518),N(M1518)&gt;0),IF(A1518="BL","Livré plus que commandé","Sorti plus que demandé"),"OK"))))))))))))</f>
        <v/>
      </c>
      <c r="Y1518" s="57" t="str">
        <f>IF(AND(OR(A1518="BL",A1518="BR",A1518="BS"),AG1518&gt;0,D1518&lt;&gt;""),A1518&amp;"|"&amp;AG1518&amp;"|"&amp;D1518&amp;"|"&amp;F1518,"")</f>
        <v/>
      </c>
      <c r="Z1518" s="57" t="str">
        <f>IF(Y1518="","",IF(COUNTIF(Y$6:Y1517,Y1518)=0,1,0))</f>
        <v/>
      </c>
      <c r="AA1518" s="57" t="str">
        <f>IF(Y1518="","",IF(Z1518=1,COUNTIFS(A$6:A1518,A1518,Z$6:Z1518,1),INDEX(AA$6:AA1517,MATCH(Y1518,Y$6:Y1517,0))))</f>
        <v/>
      </c>
      <c r="AB1518" s="57" t="str">
        <f>IF(B1518="","",COUNTIF(B$6:B1518,B1518))</f>
        <v/>
      </c>
      <c r="AC1518" s="57" t="str">
        <f>IF(B1518="","",B1518&amp;"#"&amp;AB1518)</f>
        <v/>
      </c>
      <c r="AD1518" s="57" t="str">
        <f>IF(Z1518=1,A1518&amp;AA1518,"")</f>
        <v/>
      </c>
      <c r="AE1518" s="57" t="str">
        <f>IF(B1518="","",YEAR(C1518))</f>
        <v/>
      </c>
      <c r="AF1518" s="57" t="str">
        <f>IF(B1518="","",MONTH(C1518))</f>
        <v/>
      </c>
      <c r="AG1518" s="57">
        <f>IF(ISNUMBER(C1518),C1518,0)</f>
        <v>0.0</v>
      </c>
      <c r="AH1518" s="57" t="str">
        <f>IF(N(W1518)&gt;0,COUNTIF(W$6:W1518,"&gt;0"),"")</f>
        <v/>
      </c>
      <c r="AI1518" s="57" t="str">
        <f>IF(Z1518=1,COUNTIF(Z$6:Z1518,1),"")</f>
        <v/>
      </c>
    </row>
    <row r="1519">
      <c r="A1519" s="54" t="n"/>
      <c r="B1519" s="55" t="str">
        <f>IF(AA1519="","",A1519&amp;"-"&amp;RIGHT("000"&amp;AA1519,4))</f>
        <v/>
      </c>
      <c r="C1519" s="56" t="n"/>
      <c r="D1519" s="54" t="n"/>
      <c r="E1519" s="57" t="str">
        <f>IF(D1519="","",IF(A1519="BL",IFERROR(INDEX(cl_name,MATCH(D1519,cl_code,0))&amp;"","Client inconnu"),IF(A1519="BR",IFERROR(INDEX(fo_name,MATCH(D1519,fo_code,0))&amp;"","Fournisseur inconnu"),IF(A1519="BS",IF(ISNA(MATCH(D1519,p_services,0)),"Service inconnu",D1519&amp;""),""))))</f>
        <v/>
      </c>
      <c r="F1519" s="58" t="n"/>
      <c r="G1519" s="58" t="n"/>
      <c r="H1519" s="59" t="n"/>
      <c r="I1519" s="57" t="str">
        <f>IF(H1519="","",IFERROR(INDEX(art_des,MATCH(H1519,art_ref,0))&amp;"","Article inconnu"))</f>
        <v/>
      </c>
      <c r="J1519" s="60" t="str">
        <f>IF(H1519="","",IFERROR(INDEX(art_unit,MATCH(H1519,art_ref,0))&amp;"",""))</f>
        <v/>
      </c>
      <c r="K1519" s="59" t="n"/>
      <c r="L1519" s="59" t="n"/>
      <c r="M1519" s="61" t="str">
        <f>IF(OR(B1519="",NOT(ISNUMBER(K1519)),NOT(ISNUMBER(L1519))),"",IF(OR(K1519&lt;=0,L1519&lt;=0),"",ROUND(L1519-K1519,6)))</f>
        <v/>
      </c>
      <c r="N1519" s="58" t="n"/>
      <c r="O1519" s="62" t="n"/>
      <c r="P1519" s="63" t="str">
        <f>IF(OR(B1519="",NOT(ISNUMBER(L1519))),"",IF(L1519&lt;=0,"",IFERROR(ROUND(L1519*N(INDEX(art_w,MATCH(H1519,art_ref,0))),3),"")))</f>
        <v/>
      </c>
      <c r="Q1519" s="59" t="n"/>
      <c r="R1519" s="54" t="n"/>
      <c r="S1519" s="59" t="n"/>
      <c r="T1519" s="59" t="n"/>
      <c r="U1519" s="64" t="str">
        <f>IF(OR(B1519="",H1519=""),"",IFERROR(IF(A1519="BL",IF(N(INDEX(art_price,MATCH(H1519,art_ref,0)))=0,"",N(INDEX(art_price,MATCH(H1519,art_ref,0)))),IF(N(INDEX(art_cost,MATCH(H1519,art_ref,0)))=0,"",N(INDEX(art_cost,MATCH(H1519,art_ref,0))))),""))</f>
        <v/>
      </c>
      <c r="V1519" s="64" t="str">
        <f>IF(OR(U1519="",NOT(ISNUMBER(L1519))),"",IF(L1519&lt;=0,"",ROUND(L1519*U1519,2)))</f>
        <v/>
      </c>
      <c r="W1519" s="60" t="str">
        <f>IF(AND(B1519&lt;&gt;"",A1519&lt;&gt;"BS",F1519&lt;&gt;"",H1519&lt;&gt;"",ISNUMBER(K1519),ISNUMBER(L1519)),IF(AND(K1519&gt;0,L1519&gt;0,K1519-L1519&gt;0,COUNTIFS(A1520:A$2005,A1519,F1520:F$2005,F1519,H1520:H$2005,H1519,AA1520:AA$2005,"&gt;0")=0),ROUND(K1519-L1519,6),""),"")</f>
        <v/>
      </c>
      <c r="X1519" s="60" t="str">
        <f>IF(AND(A1519="",C1519="",D1519="",H1519="",L1519=""),"",IF(A1519="","Type manquant",IF(AND(A1519&lt;&gt;"BL",A1519&lt;&gt;"BR",A1519&lt;&gt;"BS"),"Type inconnu (BL, BR ou BS)",IF(AG1519=0,"Date manquante ou invalide",IF(D1519="",IF(A1519="BL","Client manquant",IF(A1519="BR","Fournisseur manquant","Service manquant")),IF(IF(A1519="BL",ISNA(MATCH(D1519,cl_code,0)),IF(A1519="BR",ISNA(MATCH(D1519,fo_code,0)),ISNA(MATCH(D1519,p_services,0)))),IF(A1519="BL","Client inconnu",IF(A1519="BR","Fournisseur inconnu","Service inconnu")),IF(H1519="","Article manquant",IF(ISNA(MATCH(H1519,art_ref,0)),"Article inconnu",IF(OR(NOT(ISNUMBER(L1519)),N(L1519)&lt;=0),"Quantité invalide",IF(AND(K1519&lt;&gt;"",OR(NOT(ISNUMBER(K1519)),N(K1519)&lt;=0)),"Qté commandée invalide",IF(AG1519&lt;SUMPRODUCT(MAX((A$6:A1518=A1519)*AG$6:AG1518)),"Date antérieure au bon précédent",IF(AND(A1519&lt;&gt;"BR",ISNUMBER(M1519),N(M1519)&gt;0),IF(A1519="BL","Livré plus que commandé","Sorti plus que demandé"),"OK"))))))))))))</f>
        <v/>
      </c>
      <c r="Y1519" s="57" t="str">
        <f>IF(AND(OR(A1519="BL",A1519="BR",A1519="BS"),AG1519&gt;0,D1519&lt;&gt;""),A1519&amp;"|"&amp;AG1519&amp;"|"&amp;D1519&amp;"|"&amp;F1519,"")</f>
        <v/>
      </c>
      <c r="Z1519" s="57" t="str">
        <f>IF(Y1519="","",IF(COUNTIF(Y$6:Y1518,Y1519)=0,1,0))</f>
        <v/>
      </c>
      <c r="AA1519" s="57" t="str">
        <f>IF(Y1519="","",IF(Z1519=1,COUNTIFS(A$6:A1519,A1519,Z$6:Z1519,1),INDEX(AA$6:AA1518,MATCH(Y1519,Y$6:Y1518,0))))</f>
        <v/>
      </c>
      <c r="AB1519" s="57" t="str">
        <f>IF(B1519="","",COUNTIF(B$6:B1519,B1519))</f>
        <v/>
      </c>
      <c r="AC1519" s="57" t="str">
        <f>IF(B1519="","",B1519&amp;"#"&amp;AB1519)</f>
        <v/>
      </c>
      <c r="AD1519" s="57" t="str">
        <f>IF(Z1519=1,A1519&amp;AA1519,"")</f>
        <v/>
      </c>
      <c r="AE1519" s="57" t="str">
        <f>IF(B1519="","",YEAR(C1519))</f>
        <v/>
      </c>
      <c r="AF1519" s="57" t="str">
        <f>IF(B1519="","",MONTH(C1519))</f>
        <v/>
      </c>
      <c r="AG1519" s="57">
        <f>IF(ISNUMBER(C1519),C1519,0)</f>
        <v>0.0</v>
      </c>
      <c r="AH1519" s="57" t="str">
        <f>IF(N(W1519)&gt;0,COUNTIF(W$6:W1519,"&gt;0"),"")</f>
        <v/>
      </c>
      <c r="AI1519" s="57" t="str">
        <f>IF(Z1519=1,COUNTIF(Z$6:Z1519,1),"")</f>
        <v/>
      </c>
    </row>
    <row r="1520">
      <c r="A1520" s="54" t="n"/>
      <c r="B1520" s="55" t="str">
        <f>IF(AA1520="","",A1520&amp;"-"&amp;RIGHT("000"&amp;AA1520,4))</f>
        <v/>
      </c>
      <c r="C1520" s="56" t="n"/>
      <c r="D1520" s="54" t="n"/>
      <c r="E1520" s="57" t="str">
        <f>IF(D1520="","",IF(A1520="BL",IFERROR(INDEX(cl_name,MATCH(D1520,cl_code,0))&amp;"","Client inconnu"),IF(A1520="BR",IFERROR(INDEX(fo_name,MATCH(D1520,fo_code,0))&amp;"","Fournisseur inconnu"),IF(A1520="BS",IF(ISNA(MATCH(D1520,p_services,0)),"Service inconnu",D1520&amp;""),""))))</f>
        <v/>
      </c>
      <c r="F1520" s="58" t="n"/>
      <c r="G1520" s="58" t="n"/>
      <c r="H1520" s="59" t="n"/>
      <c r="I1520" s="57" t="str">
        <f>IF(H1520="","",IFERROR(INDEX(art_des,MATCH(H1520,art_ref,0))&amp;"","Article inconnu"))</f>
        <v/>
      </c>
      <c r="J1520" s="60" t="str">
        <f>IF(H1520="","",IFERROR(INDEX(art_unit,MATCH(H1520,art_ref,0))&amp;"",""))</f>
        <v/>
      </c>
      <c r="K1520" s="59" t="n"/>
      <c r="L1520" s="59" t="n"/>
      <c r="M1520" s="61" t="str">
        <f>IF(OR(B1520="",NOT(ISNUMBER(K1520)),NOT(ISNUMBER(L1520))),"",IF(OR(K1520&lt;=0,L1520&lt;=0),"",ROUND(L1520-K1520,6)))</f>
        <v/>
      </c>
      <c r="N1520" s="58" t="n"/>
      <c r="O1520" s="62" t="n"/>
      <c r="P1520" s="63" t="str">
        <f>IF(OR(B1520="",NOT(ISNUMBER(L1520))),"",IF(L1520&lt;=0,"",IFERROR(ROUND(L1520*N(INDEX(art_w,MATCH(H1520,art_ref,0))),3),"")))</f>
        <v/>
      </c>
      <c r="Q1520" s="59" t="n"/>
      <c r="R1520" s="54" t="n"/>
      <c r="S1520" s="59" t="n"/>
      <c r="T1520" s="59" t="n"/>
      <c r="U1520" s="64" t="str">
        <f>IF(OR(B1520="",H1520=""),"",IFERROR(IF(A1520="BL",IF(N(INDEX(art_price,MATCH(H1520,art_ref,0)))=0,"",N(INDEX(art_price,MATCH(H1520,art_ref,0)))),IF(N(INDEX(art_cost,MATCH(H1520,art_ref,0)))=0,"",N(INDEX(art_cost,MATCH(H1520,art_ref,0))))),""))</f>
        <v/>
      </c>
      <c r="V1520" s="64" t="str">
        <f>IF(OR(U1520="",NOT(ISNUMBER(L1520))),"",IF(L1520&lt;=0,"",ROUND(L1520*U1520,2)))</f>
        <v/>
      </c>
      <c r="W1520" s="60" t="str">
        <f>IF(AND(B1520&lt;&gt;"",A1520&lt;&gt;"BS",F1520&lt;&gt;"",H1520&lt;&gt;"",ISNUMBER(K1520),ISNUMBER(L1520)),IF(AND(K1520&gt;0,L1520&gt;0,K1520-L1520&gt;0,COUNTIFS(A1521:A$2005,A1520,F1521:F$2005,F1520,H1521:H$2005,H1520,AA1521:AA$2005,"&gt;0")=0),ROUND(K1520-L1520,6),""),"")</f>
        <v/>
      </c>
      <c r="X1520" s="60" t="str">
        <f>IF(AND(A1520="",C1520="",D1520="",H1520="",L1520=""),"",IF(A1520="","Type manquant",IF(AND(A1520&lt;&gt;"BL",A1520&lt;&gt;"BR",A1520&lt;&gt;"BS"),"Type inconnu (BL, BR ou BS)",IF(AG1520=0,"Date manquante ou invalide",IF(D1520="",IF(A1520="BL","Client manquant",IF(A1520="BR","Fournisseur manquant","Service manquant")),IF(IF(A1520="BL",ISNA(MATCH(D1520,cl_code,0)),IF(A1520="BR",ISNA(MATCH(D1520,fo_code,0)),ISNA(MATCH(D1520,p_services,0)))),IF(A1520="BL","Client inconnu",IF(A1520="BR","Fournisseur inconnu","Service inconnu")),IF(H1520="","Article manquant",IF(ISNA(MATCH(H1520,art_ref,0)),"Article inconnu",IF(OR(NOT(ISNUMBER(L1520)),N(L1520)&lt;=0),"Quantité invalide",IF(AND(K1520&lt;&gt;"",OR(NOT(ISNUMBER(K1520)),N(K1520)&lt;=0)),"Qté commandée invalide",IF(AG1520&lt;SUMPRODUCT(MAX((A$6:A1519=A1520)*AG$6:AG1519)),"Date antérieure au bon précédent",IF(AND(A1520&lt;&gt;"BR",ISNUMBER(M1520),N(M1520)&gt;0),IF(A1520="BL","Livré plus que commandé","Sorti plus que demandé"),"OK"))))))))))))</f>
        <v/>
      </c>
      <c r="Y1520" s="57" t="str">
        <f>IF(AND(OR(A1520="BL",A1520="BR",A1520="BS"),AG1520&gt;0,D1520&lt;&gt;""),A1520&amp;"|"&amp;AG1520&amp;"|"&amp;D1520&amp;"|"&amp;F1520,"")</f>
        <v/>
      </c>
      <c r="Z1520" s="57" t="str">
        <f>IF(Y1520="","",IF(COUNTIF(Y$6:Y1519,Y1520)=0,1,0))</f>
        <v/>
      </c>
      <c r="AA1520" s="57" t="str">
        <f>IF(Y1520="","",IF(Z1520=1,COUNTIFS(A$6:A1520,A1520,Z$6:Z1520,1),INDEX(AA$6:AA1519,MATCH(Y1520,Y$6:Y1519,0))))</f>
        <v/>
      </c>
      <c r="AB1520" s="57" t="str">
        <f>IF(B1520="","",COUNTIF(B$6:B1520,B1520))</f>
        <v/>
      </c>
      <c r="AC1520" s="57" t="str">
        <f>IF(B1520="","",B1520&amp;"#"&amp;AB1520)</f>
        <v/>
      </c>
      <c r="AD1520" s="57" t="str">
        <f>IF(Z1520=1,A1520&amp;AA1520,"")</f>
        <v/>
      </c>
      <c r="AE1520" s="57" t="str">
        <f>IF(B1520="","",YEAR(C1520))</f>
        <v/>
      </c>
      <c r="AF1520" s="57" t="str">
        <f>IF(B1520="","",MONTH(C1520))</f>
        <v/>
      </c>
      <c r="AG1520" s="57">
        <f>IF(ISNUMBER(C1520),C1520,0)</f>
        <v>0.0</v>
      </c>
      <c r="AH1520" s="57" t="str">
        <f>IF(N(W1520)&gt;0,COUNTIF(W$6:W1520,"&gt;0"),"")</f>
        <v/>
      </c>
      <c r="AI1520" s="57" t="str">
        <f>IF(Z1520=1,COUNTIF(Z$6:Z1520,1),"")</f>
        <v/>
      </c>
    </row>
    <row r="1521">
      <c r="A1521" s="54" t="n"/>
      <c r="B1521" s="55" t="str">
        <f>IF(AA1521="","",A1521&amp;"-"&amp;RIGHT("000"&amp;AA1521,4))</f>
        <v/>
      </c>
      <c r="C1521" s="56" t="n"/>
      <c r="D1521" s="54" t="n"/>
      <c r="E1521" s="57" t="str">
        <f>IF(D1521="","",IF(A1521="BL",IFERROR(INDEX(cl_name,MATCH(D1521,cl_code,0))&amp;"","Client inconnu"),IF(A1521="BR",IFERROR(INDEX(fo_name,MATCH(D1521,fo_code,0))&amp;"","Fournisseur inconnu"),IF(A1521="BS",IF(ISNA(MATCH(D1521,p_services,0)),"Service inconnu",D1521&amp;""),""))))</f>
        <v/>
      </c>
      <c r="F1521" s="58" t="n"/>
      <c r="G1521" s="58" t="n"/>
      <c r="H1521" s="59" t="n"/>
      <c r="I1521" s="57" t="str">
        <f>IF(H1521="","",IFERROR(INDEX(art_des,MATCH(H1521,art_ref,0))&amp;"","Article inconnu"))</f>
        <v/>
      </c>
      <c r="J1521" s="60" t="str">
        <f>IF(H1521="","",IFERROR(INDEX(art_unit,MATCH(H1521,art_ref,0))&amp;"",""))</f>
        <v/>
      </c>
      <c r="K1521" s="59" t="n"/>
      <c r="L1521" s="59" t="n"/>
      <c r="M1521" s="61" t="str">
        <f>IF(OR(B1521="",NOT(ISNUMBER(K1521)),NOT(ISNUMBER(L1521))),"",IF(OR(K1521&lt;=0,L1521&lt;=0),"",ROUND(L1521-K1521,6)))</f>
        <v/>
      </c>
      <c r="N1521" s="58" t="n"/>
      <c r="O1521" s="62" t="n"/>
      <c r="P1521" s="63" t="str">
        <f>IF(OR(B1521="",NOT(ISNUMBER(L1521))),"",IF(L1521&lt;=0,"",IFERROR(ROUND(L1521*N(INDEX(art_w,MATCH(H1521,art_ref,0))),3),"")))</f>
        <v/>
      </c>
      <c r="Q1521" s="59" t="n"/>
      <c r="R1521" s="54" t="n"/>
      <c r="S1521" s="59" t="n"/>
      <c r="T1521" s="59" t="n"/>
      <c r="U1521" s="64" t="str">
        <f>IF(OR(B1521="",H1521=""),"",IFERROR(IF(A1521="BL",IF(N(INDEX(art_price,MATCH(H1521,art_ref,0)))=0,"",N(INDEX(art_price,MATCH(H1521,art_ref,0)))),IF(N(INDEX(art_cost,MATCH(H1521,art_ref,0)))=0,"",N(INDEX(art_cost,MATCH(H1521,art_ref,0))))),""))</f>
        <v/>
      </c>
      <c r="V1521" s="64" t="str">
        <f>IF(OR(U1521="",NOT(ISNUMBER(L1521))),"",IF(L1521&lt;=0,"",ROUND(L1521*U1521,2)))</f>
        <v/>
      </c>
      <c r="W1521" s="60" t="str">
        <f>IF(AND(B1521&lt;&gt;"",A1521&lt;&gt;"BS",F1521&lt;&gt;"",H1521&lt;&gt;"",ISNUMBER(K1521),ISNUMBER(L1521)),IF(AND(K1521&gt;0,L1521&gt;0,K1521-L1521&gt;0,COUNTIFS(A1522:A$2005,A1521,F1522:F$2005,F1521,H1522:H$2005,H1521,AA1522:AA$2005,"&gt;0")=0),ROUND(K1521-L1521,6),""),"")</f>
        <v/>
      </c>
      <c r="X1521" s="60" t="str">
        <f>IF(AND(A1521="",C1521="",D1521="",H1521="",L1521=""),"",IF(A1521="","Type manquant",IF(AND(A1521&lt;&gt;"BL",A1521&lt;&gt;"BR",A1521&lt;&gt;"BS"),"Type inconnu (BL, BR ou BS)",IF(AG1521=0,"Date manquante ou invalide",IF(D1521="",IF(A1521="BL","Client manquant",IF(A1521="BR","Fournisseur manquant","Service manquant")),IF(IF(A1521="BL",ISNA(MATCH(D1521,cl_code,0)),IF(A1521="BR",ISNA(MATCH(D1521,fo_code,0)),ISNA(MATCH(D1521,p_services,0)))),IF(A1521="BL","Client inconnu",IF(A1521="BR","Fournisseur inconnu","Service inconnu")),IF(H1521="","Article manquant",IF(ISNA(MATCH(H1521,art_ref,0)),"Article inconnu",IF(OR(NOT(ISNUMBER(L1521)),N(L1521)&lt;=0),"Quantité invalide",IF(AND(K1521&lt;&gt;"",OR(NOT(ISNUMBER(K1521)),N(K1521)&lt;=0)),"Qté commandée invalide",IF(AG1521&lt;SUMPRODUCT(MAX((A$6:A1520=A1521)*AG$6:AG1520)),"Date antérieure au bon précédent",IF(AND(A1521&lt;&gt;"BR",ISNUMBER(M1521),N(M1521)&gt;0),IF(A1521="BL","Livré plus que commandé","Sorti plus que demandé"),"OK"))))))))))))</f>
        <v/>
      </c>
      <c r="Y1521" s="57" t="str">
        <f>IF(AND(OR(A1521="BL",A1521="BR",A1521="BS"),AG1521&gt;0,D1521&lt;&gt;""),A1521&amp;"|"&amp;AG1521&amp;"|"&amp;D1521&amp;"|"&amp;F1521,"")</f>
        <v/>
      </c>
      <c r="Z1521" s="57" t="str">
        <f>IF(Y1521="","",IF(COUNTIF(Y$6:Y1520,Y1521)=0,1,0))</f>
        <v/>
      </c>
      <c r="AA1521" s="57" t="str">
        <f>IF(Y1521="","",IF(Z1521=1,COUNTIFS(A$6:A1521,A1521,Z$6:Z1521,1),INDEX(AA$6:AA1520,MATCH(Y1521,Y$6:Y1520,0))))</f>
        <v/>
      </c>
      <c r="AB1521" s="57" t="str">
        <f>IF(B1521="","",COUNTIF(B$6:B1521,B1521))</f>
        <v/>
      </c>
      <c r="AC1521" s="57" t="str">
        <f>IF(B1521="","",B1521&amp;"#"&amp;AB1521)</f>
        <v/>
      </c>
      <c r="AD1521" s="57" t="str">
        <f>IF(Z1521=1,A1521&amp;AA1521,"")</f>
        <v/>
      </c>
      <c r="AE1521" s="57" t="str">
        <f>IF(B1521="","",YEAR(C1521))</f>
        <v/>
      </c>
      <c r="AF1521" s="57" t="str">
        <f>IF(B1521="","",MONTH(C1521))</f>
        <v/>
      </c>
      <c r="AG1521" s="57">
        <f>IF(ISNUMBER(C1521),C1521,0)</f>
        <v>0.0</v>
      </c>
      <c r="AH1521" s="57" t="str">
        <f>IF(N(W1521)&gt;0,COUNTIF(W$6:W1521,"&gt;0"),"")</f>
        <v/>
      </c>
      <c r="AI1521" s="57" t="str">
        <f>IF(Z1521=1,COUNTIF(Z$6:Z1521,1),"")</f>
        <v/>
      </c>
    </row>
    <row r="1522">
      <c r="A1522" s="54" t="n"/>
      <c r="B1522" s="55" t="str">
        <f>IF(AA1522="","",A1522&amp;"-"&amp;RIGHT("000"&amp;AA1522,4))</f>
        <v/>
      </c>
      <c r="C1522" s="56" t="n"/>
      <c r="D1522" s="54" t="n"/>
      <c r="E1522" s="57" t="str">
        <f>IF(D1522="","",IF(A1522="BL",IFERROR(INDEX(cl_name,MATCH(D1522,cl_code,0))&amp;"","Client inconnu"),IF(A1522="BR",IFERROR(INDEX(fo_name,MATCH(D1522,fo_code,0))&amp;"","Fournisseur inconnu"),IF(A1522="BS",IF(ISNA(MATCH(D1522,p_services,0)),"Service inconnu",D1522&amp;""),""))))</f>
        <v/>
      </c>
      <c r="F1522" s="58" t="n"/>
      <c r="G1522" s="58" t="n"/>
      <c r="H1522" s="59" t="n"/>
      <c r="I1522" s="57" t="str">
        <f>IF(H1522="","",IFERROR(INDEX(art_des,MATCH(H1522,art_ref,0))&amp;"","Article inconnu"))</f>
        <v/>
      </c>
      <c r="J1522" s="60" t="str">
        <f>IF(H1522="","",IFERROR(INDEX(art_unit,MATCH(H1522,art_ref,0))&amp;"",""))</f>
        <v/>
      </c>
      <c r="K1522" s="59" t="n"/>
      <c r="L1522" s="59" t="n"/>
      <c r="M1522" s="61" t="str">
        <f>IF(OR(B1522="",NOT(ISNUMBER(K1522)),NOT(ISNUMBER(L1522))),"",IF(OR(K1522&lt;=0,L1522&lt;=0),"",ROUND(L1522-K1522,6)))</f>
        <v/>
      </c>
      <c r="N1522" s="58" t="n"/>
      <c r="O1522" s="62" t="n"/>
      <c r="P1522" s="63" t="str">
        <f>IF(OR(B1522="",NOT(ISNUMBER(L1522))),"",IF(L1522&lt;=0,"",IFERROR(ROUND(L1522*N(INDEX(art_w,MATCH(H1522,art_ref,0))),3),"")))</f>
        <v/>
      </c>
      <c r="Q1522" s="59" t="n"/>
      <c r="R1522" s="54" t="n"/>
      <c r="S1522" s="59" t="n"/>
      <c r="T1522" s="59" t="n"/>
      <c r="U1522" s="64" t="str">
        <f>IF(OR(B1522="",H1522=""),"",IFERROR(IF(A1522="BL",IF(N(INDEX(art_price,MATCH(H1522,art_ref,0)))=0,"",N(INDEX(art_price,MATCH(H1522,art_ref,0)))),IF(N(INDEX(art_cost,MATCH(H1522,art_ref,0)))=0,"",N(INDEX(art_cost,MATCH(H1522,art_ref,0))))),""))</f>
        <v/>
      </c>
      <c r="V1522" s="64" t="str">
        <f>IF(OR(U1522="",NOT(ISNUMBER(L1522))),"",IF(L1522&lt;=0,"",ROUND(L1522*U1522,2)))</f>
        <v/>
      </c>
      <c r="W1522" s="60" t="str">
        <f>IF(AND(B1522&lt;&gt;"",A1522&lt;&gt;"BS",F1522&lt;&gt;"",H1522&lt;&gt;"",ISNUMBER(K1522),ISNUMBER(L1522)),IF(AND(K1522&gt;0,L1522&gt;0,K1522-L1522&gt;0,COUNTIFS(A1523:A$2005,A1522,F1523:F$2005,F1522,H1523:H$2005,H1522,AA1523:AA$2005,"&gt;0")=0),ROUND(K1522-L1522,6),""),"")</f>
        <v/>
      </c>
      <c r="X1522" s="60" t="str">
        <f>IF(AND(A1522="",C1522="",D1522="",H1522="",L1522=""),"",IF(A1522="","Type manquant",IF(AND(A1522&lt;&gt;"BL",A1522&lt;&gt;"BR",A1522&lt;&gt;"BS"),"Type inconnu (BL, BR ou BS)",IF(AG1522=0,"Date manquante ou invalide",IF(D1522="",IF(A1522="BL","Client manquant",IF(A1522="BR","Fournisseur manquant","Service manquant")),IF(IF(A1522="BL",ISNA(MATCH(D1522,cl_code,0)),IF(A1522="BR",ISNA(MATCH(D1522,fo_code,0)),ISNA(MATCH(D1522,p_services,0)))),IF(A1522="BL","Client inconnu",IF(A1522="BR","Fournisseur inconnu","Service inconnu")),IF(H1522="","Article manquant",IF(ISNA(MATCH(H1522,art_ref,0)),"Article inconnu",IF(OR(NOT(ISNUMBER(L1522)),N(L1522)&lt;=0),"Quantité invalide",IF(AND(K1522&lt;&gt;"",OR(NOT(ISNUMBER(K1522)),N(K1522)&lt;=0)),"Qté commandée invalide",IF(AG1522&lt;SUMPRODUCT(MAX((A$6:A1521=A1522)*AG$6:AG1521)),"Date antérieure au bon précédent",IF(AND(A1522&lt;&gt;"BR",ISNUMBER(M1522),N(M1522)&gt;0),IF(A1522="BL","Livré plus que commandé","Sorti plus que demandé"),"OK"))))))))))))</f>
        <v/>
      </c>
      <c r="Y1522" s="57" t="str">
        <f>IF(AND(OR(A1522="BL",A1522="BR",A1522="BS"),AG1522&gt;0,D1522&lt;&gt;""),A1522&amp;"|"&amp;AG1522&amp;"|"&amp;D1522&amp;"|"&amp;F1522,"")</f>
        <v/>
      </c>
      <c r="Z1522" s="57" t="str">
        <f>IF(Y1522="","",IF(COUNTIF(Y$6:Y1521,Y1522)=0,1,0))</f>
        <v/>
      </c>
      <c r="AA1522" s="57" t="str">
        <f>IF(Y1522="","",IF(Z1522=1,COUNTIFS(A$6:A1522,A1522,Z$6:Z1522,1),INDEX(AA$6:AA1521,MATCH(Y1522,Y$6:Y1521,0))))</f>
        <v/>
      </c>
      <c r="AB1522" s="57" t="str">
        <f>IF(B1522="","",COUNTIF(B$6:B1522,B1522))</f>
        <v/>
      </c>
      <c r="AC1522" s="57" t="str">
        <f>IF(B1522="","",B1522&amp;"#"&amp;AB1522)</f>
        <v/>
      </c>
      <c r="AD1522" s="57" t="str">
        <f>IF(Z1522=1,A1522&amp;AA1522,"")</f>
        <v/>
      </c>
      <c r="AE1522" s="57" t="str">
        <f>IF(B1522="","",YEAR(C1522))</f>
        <v/>
      </c>
      <c r="AF1522" s="57" t="str">
        <f>IF(B1522="","",MONTH(C1522))</f>
        <v/>
      </c>
      <c r="AG1522" s="57">
        <f>IF(ISNUMBER(C1522),C1522,0)</f>
        <v>0.0</v>
      </c>
      <c r="AH1522" s="57" t="str">
        <f>IF(N(W1522)&gt;0,COUNTIF(W$6:W1522,"&gt;0"),"")</f>
        <v/>
      </c>
      <c r="AI1522" s="57" t="str">
        <f>IF(Z1522=1,COUNTIF(Z$6:Z1522,1),"")</f>
        <v/>
      </c>
    </row>
    <row r="1523">
      <c r="A1523" s="54" t="n"/>
      <c r="B1523" s="55" t="str">
        <f>IF(AA1523="","",A1523&amp;"-"&amp;RIGHT("000"&amp;AA1523,4))</f>
        <v/>
      </c>
      <c r="C1523" s="56" t="n"/>
      <c r="D1523" s="54" t="n"/>
      <c r="E1523" s="57" t="str">
        <f>IF(D1523="","",IF(A1523="BL",IFERROR(INDEX(cl_name,MATCH(D1523,cl_code,0))&amp;"","Client inconnu"),IF(A1523="BR",IFERROR(INDEX(fo_name,MATCH(D1523,fo_code,0))&amp;"","Fournisseur inconnu"),IF(A1523="BS",IF(ISNA(MATCH(D1523,p_services,0)),"Service inconnu",D1523&amp;""),""))))</f>
        <v/>
      </c>
      <c r="F1523" s="58" t="n"/>
      <c r="G1523" s="58" t="n"/>
      <c r="H1523" s="59" t="n"/>
      <c r="I1523" s="57" t="str">
        <f>IF(H1523="","",IFERROR(INDEX(art_des,MATCH(H1523,art_ref,0))&amp;"","Article inconnu"))</f>
        <v/>
      </c>
      <c r="J1523" s="60" t="str">
        <f>IF(H1523="","",IFERROR(INDEX(art_unit,MATCH(H1523,art_ref,0))&amp;"",""))</f>
        <v/>
      </c>
      <c r="K1523" s="59" t="n"/>
      <c r="L1523" s="59" t="n"/>
      <c r="M1523" s="61" t="str">
        <f>IF(OR(B1523="",NOT(ISNUMBER(K1523)),NOT(ISNUMBER(L1523))),"",IF(OR(K1523&lt;=0,L1523&lt;=0),"",ROUND(L1523-K1523,6)))</f>
        <v/>
      </c>
      <c r="N1523" s="58" t="n"/>
      <c r="O1523" s="62" t="n"/>
      <c r="P1523" s="63" t="str">
        <f>IF(OR(B1523="",NOT(ISNUMBER(L1523))),"",IF(L1523&lt;=0,"",IFERROR(ROUND(L1523*N(INDEX(art_w,MATCH(H1523,art_ref,0))),3),"")))</f>
        <v/>
      </c>
      <c r="Q1523" s="59" t="n"/>
      <c r="R1523" s="54" t="n"/>
      <c r="S1523" s="59" t="n"/>
      <c r="T1523" s="59" t="n"/>
      <c r="U1523" s="64" t="str">
        <f>IF(OR(B1523="",H1523=""),"",IFERROR(IF(A1523="BL",IF(N(INDEX(art_price,MATCH(H1523,art_ref,0)))=0,"",N(INDEX(art_price,MATCH(H1523,art_ref,0)))),IF(N(INDEX(art_cost,MATCH(H1523,art_ref,0)))=0,"",N(INDEX(art_cost,MATCH(H1523,art_ref,0))))),""))</f>
        <v/>
      </c>
      <c r="V1523" s="64" t="str">
        <f>IF(OR(U1523="",NOT(ISNUMBER(L1523))),"",IF(L1523&lt;=0,"",ROUND(L1523*U1523,2)))</f>
        <v/>
      </c>
      <c r="W1523" s="60" t="str">
        <f>IF(AND(B1523&lt;&gt;"",A1523&lt;&gt;"BS",F1523&lt;&gt;"",H1523&lt;&gt;"",ISNUMBER(K1523),ISNUMBER(L1523)),IF(AND(K1523&gt;0,L1523&gt;0,K1523-L1523&gt;0,COUNTIFS(A1524:A$2005,A1523,F1524:F$2005,F1523,H1524:H$2005,H1523,AA1524:AA$2005,"&gt;0")=0),ROUND(K1523-L1523,6),""),"")</f>
        <v/>
      </c>
      <c r="X1523" s="60" t="str">
        <f>IF(AND(A1523="",C1523="",D1523="",H1523="",L1523=""),"",IF(A1523="","Type manquant",IF(AND(A1523&lt;&gt;"BL",A1523&lt;&gt;"BR",A1523&lt;&gt;"BS"),"Type inconnu (BL, BR ou BS)",IF(AG1523=0,"Date manquante ou invalide",IF(D1523="",IF(A1523="BL","Client manquant",IF(A1523="BR","Fournisseur manquant","Service manquant")),IF(IF(A1523="BL",ISNA(MATCH(D1523,cl_code,0)),IF(A1523="BR",ISNA(MATCH(D1523,fo_code,0)),ISNA(MATCH(D1523,p_services,0)))),IF(A1523="BL","Client inconnu",IF(A1523="BR","Fournisseur inconnu","Service inconnu")),IF(H1523="","Article manquant",IF(ISNA(MATCH(H1523,art_ref,0)),"Article inconnu",IF(OR(NOT(ISNUMBER(L1523)),N(L1523)&lt;=0),"Quantité invalide",IF(AND(K1523&lt;&gt;"",OR(NOT(ISNUMBER(K1523)),N(K1523)&lt;=0)),"Qté commandée invalide",IF(AG1523&lt;SUMPRODUCT(MAX((A$6:A1522=A1523)*AG$6:AG1522)),"Date antérieure au bon précédent",IF(AND(A1523&lt;&gt;"BR",ISNUMBER(M1523),N(M1523)&gt;0),IF(A1523="BL","Livré plus que commandé","Sorti plus que demandé"),"OK"))))))))))))</f>
        <v/>
      </c>
      <c r="Y1523" s="57" t="str">
        <f>IF(AND(OR(A1523="BL",A1523="BR",A1523="BS"),AG1523&gt;0,D1523&lt;&gt;""),A1523&amp;"|"&amp;AG1523&amp;"|"&amp;D1523&amp;"|"&amp;F1523,"")</f>
        <v/>
      </c>
      <c r="Z1523" s="57" t="str">
        <f>IF(Y1523="","",IF(COUNTIF(Y$6:Y1522,Y1523)=0,1,0))</f>
        <v/>
      </c>
      <c r="AA1523" s="57" t="str">
        <f>IF(Y1523="","",IF(Z1523=1,COUNTIFS(A$6:A1523,A1523,Z$6:Z1523,1),INDEX(AA$6:AA1522,MATCH(Y1523,Y$6:Y1522,0))))</f>
        <v/>
      </c>
      <c r="AB1523" s="57" t="str">
        <f>IF(B1523="","",COUNTIF(B$6:B1523,B1523))</f>
        <v/>
      </c>
      <c r="AC1523" s="57" t="str">
        <f>IF(B1523="","",B1523&amp;"#"&amp;AB1523)</f>
        <v/>
      </c>
      <c r="AD1523" s="57" t="str">
        <f>IF(Z1523=1,A1523&amp;AA1523,"")</f>
        <v/>
      </c>
      <c r="AE1523" s="57" t="str">
        <f>IF(B1523="","",YEAR(C1523))</f>
        <v/>
      </c>
      <c r="AF1523" s="57" t="str">
        <f>IF(B1523="","",MONTH(C1523))</f>
        <v/>
      </c>
      <c r="AG1523" s="57">
        <f>IF(ISNUMBER(C1523),C1523,0)</f>
        <v>0.0</v>
      </c>
      <c r="AH1523" s="57" t="str">
        <f>IF(N(W1523)&gt;0,COUNTIF(W$6:W1523,"&gt;0"),"")</f>
        <v/>
      </c>
      <c r="AI1523" s="57" t="str">
        <f>IF(Z1523=1,COUNTIF(Z$6:Z1523,1),"")</f>
        <v/>
      </c>
    </row>
    <row r="1524">
      <c r="A1524" s="54" t="n"/>
      <c r="B1524" s="55" t="str">
        <f>IF(AA1524="","",A1524&amp;"-"&amp;RIGHT("000"&amp;AA1524,4))</f>
        <v/>
      </c>
      <c r="C1524" s="56" t="n"/>
      <c r="D1524" s="54" t="n"/>
      <c r="E1524" s="57" t="str">
        <f>IF(D1524="","",IF(A1524="BL",IFERROR(INDEX(cl_name,MATCH(D1524,cl_code,0))&amp;"","Client inconnu"),IF(A1524="BR",IFERROR(INDEX(fo_name,MATCH(D1524,fo_code,0))&amp;"","Fournisseur inconnu"),IF(A1524="BS",IF(ISNA(MATCH(D1524,p_services,0)),"Service inconnu",D1524&amp;""),""))))</f>
        <v/>
      </c>
      <c r="F1524" s="58" t="n"/>
      <c r="G1524" s="58" t="n"/>
      <c r="H1524" s="59" t="n"/>
      <c r="I1524" s="57" t="str">
        <f>IF(H1524="","",IFERROR(INDEX(art_des,MATCH(H1524,art_ref,0))&amp;"","Article inconnu"))</f>
        <v/>
      </c>
      <c r="J1524" s="60" t="str">
        <f>IF(H1524="","",IFERROR(INDEX(art_unit,MATCH(H1524,art_ref,0))&amp;"",""))</f>
        <v/>
      </c>
      <c r="K1524" s="59" t="n"/>
      <c r="L1524" s="59" t="n"/>
      <c r="M1524" s="61" t="str">
        <f>IF(OR(B1524="",NOT(ISNUMBER(K1524)),NOT(ISNUMBER(L1524))),"",IF(OR(K1524&lt;=0,L1524&lt;=0),"",ROUND(L1524-K1524,6)))</f>
        <v/>
      </c>
      <c r="N1524" s="58" t="n"/>
      <c r="O1524" s="62" t="n"/>
      <c r="P1524" s="63" t="str">
        <f>IF(OR(B1524="",NOT(ISNUMBER(L1524))),"",IF(L1524&lt;=0,"",IFERROR(ROUND(L1524*N(INDEX(art_w,MATCH(H1524,art_ref,0))),3),"")))</f>
        <v/>
      </c>
      <c r="Q1524" s="59" t="n"/>
      <c r="R1524" s="54" t="n"/>
      <c r="S1524" s="59" t="n"/>
      <c r="T1524" s="59" t="n"/>
      <c r="U1524" s="64" t="str">
        <f>IF(OR(B1524="",H1524=""),"",IFERROR(IF(A1524="BL",IF(N(INDEX(art_price,MATCH(H1524,art_ref,0)))=0,"",N(INDEX(art_price,MATCH(H1524,art_ref,0)))),IF(N(INDEX(art_cost,MATCH(H1524,art_ref,0)))=0,"",N(INDEX(art_cost,MATCH(H1524,art_ref,0))))),""))</f>
        <v/>
      </c>
      <c r="V1524" s="64" t="str">
        <f>IF(OR(U1524="",NOT(ISNUMBER(L1524))),"",IF(L1524&lt;=0,"",ROUND(L1524*U1524,2)))</f>
        <v/>
      </c>
      <c r="W1524" s="60" t="str">
        <f>IF(AND(B1524&lt;&gt;"",A1524&lt;&gt;"BS",F1524&lt;&gt;"",H1524&lt;&gt;"",ISNUMBER(K1524),ISNUMBER(L1524)),IF(AND(K1524&gt;0,L1524&gt;0,K1524-L1524&gt;0,COUNTIFS(A1525:A$2005,A1524,F1525:F$2005,F1524,H1525:H$2005,H1524,AA1525:AA$2005,"&gt;0")=0),ROUND(K1524-L1524,6),""),"")</f>
        <v/>
      </c>
      <c r="X1524" s="60" t="str">
        <f>IF(AND(A1524="",C1524="",D1524="",H1524="",L1524=""),"",IF(A1524="","Type manquant",IF(AND(A1524&lt;&gt;"BL",A1524&lt;&gt;"BR",A1524&lt;&gt;"BS"),"Type inconnu (BL, BR ou BS)",IF(AG1524=0,"Date manquante ou invalide",IF(D1524="",IF(A1524="BL","Client manquant",IF(A1524="BR","Fournisseur manquant","Service manquant")),IF(IF(A1524="BL",ISNA(MATCH(D1524,cl_code,0)),IF(A1524="BR",ISNA(MATCH(D1524,fo_code,0)),ISNA(MATCH(D1524,p_services,0)))),IF(A1524="BL","Client inconnu",IF(A1524="BR","Fournisseur inconnu","Service inconnu")),IF(H1524="","Article manquant",IF(ISNA(MATCH(H1524,art_ref,0)),"Article inconnu",IF(OR(NOT(ISNUMBER(L1524)),N(L1524)&lt;=0),"Quantité invalide",IF(AND(K1524&lt;&gt;"",OR(NOT(ISNUMBER(K1524)),N(K1524)&lt;=0)),"Qté commandée invalide",IF(AG1524&lt;SUMPRODUCT(MAX((A$6:A1523=A1524)*AG$6:AG1523)),"Date antérieure au bon précédent",IF(AND(A1524&lt;&gt;"BR",ISNUMBER(M1524),N(M1524)&gt;0),IF(A1524="BL","Livré plus que commandé","Sorti plus que demandé"),"OK"))))))))))))</f>
        <v/>
      </c>
      <c r="Y1524" s="57" t="str">
        <f>IF(AND(OR(A1524="BL",A1524="BR",A1524="BS"),AG1524&gt;0,D1524&lt;&gt;""),A1524&amp;"|"&amp;AG1524&amp;"|"&amp;D1524&amp;"|"&amp;F1524,"")</f>
        <v/>
      </c>
      <c r="Z1524" s="57" t="str">
        <f>IF(Y1524="","",IF(COUNTIF(Y$6:Y1523,Y1524)=0,1,0))</f>
        <v/>
      </c>
      <c r="AA1524" s="57" t="str">
        <f>IF(Y1524="","",IF(Z1524=1,COUNTIFS(A$6:A1524,A1524,Z$6:Z1524,1),INDEX(AA$6:AA1523,MATCH(Y1524,Y$6:Y1523,0))))</f>
        <v/>
      </c>
      <c r="AB1524" s="57" t="str">
        <f>IF(B1524="","",COUNTIF(B$6:B1524,B1524))</f>
        <v/>
      </c>
      <c r="AC1524" s="57" t="str">
        <f>IF(B1524="","",B1524&amp;"#"&amp;AB1524)</f>
        <v/>
      </c>
      <c r="AD1524" s="57" t="str">
        <f>IF(Z1524=1,A1524&amp;AA1524,"")</f>
        <v/>
      </c>
      <c r="AE1524" s="57" t="str">
        <f>IF(B1524="","",YEAR(C1524))</f>
        <v/>
      </c>
      <c r="AF1524" s="57" t="str">
        <f>IF(B1524="","",MONTH(C1524))</f>
        <v/>
      </c>
      <c r="AG1524" s="57">
        <f>IF(ISNUMBER(C1524),C1524,0)</f>
        <v>0.0</v>
      </c>
      <c r="AH1524" s="57" t="str">
        <f>IF(N(W1524)&gt;0,COUNTIF(W$6:W1524,"&gt;0"),"")</f>
        <v/>
      </c>
      <c r="AI1524" s="57" t="str">
        <f>IF(Z1524=1,COUNTIF(Z$6:Z1524,1),"")</f>
        <v/>
      </c>
    </row>
    <row r="1525">
      <c r="A1525" s="54" t="n"/>
      <c r="B1525" s="55" t="str">
        <f>IF(AA1525="","",A1525&amp;"-"&amp;RIGHT("000"&amp;AA1525,4))</f>
        <v/>
      </c>
      <c r="C1525" s="56" t="n"/>
      <c r="D1525" s="54" t="n"/>
      <c r="E1525" s="57" t="str">
        <f>IF(D1525="","",IF(A1525="BL",IFERROR(INDEX(cl_name,MATCH(D1525,cl_code,0))&amp;"","Client inconnu"),IF(A1525="BR",IFERROR(INDEX(fo_name,MATCH(D1525,fo_code,0))&amp;"","Fournisseur inconnu"),IF(A1525="BS",IF(ISNA(MATCH(D1525,p_services,0)),"Service inconnu",D1525&amp;""),""))))</f>
        <v/>
      </c>
      <c r="F1525" s="58" t="n"/>
      <c r="G1525" s="58" t="n"/>
      <c r="H1525" s="59" t="n"/>
      <c r="I1525" s="57" t="str">
        <f>IF(H1525="","",IFERROR(INDEX(art_des,MATCH(H1525,art_ref,0))&amp;"","Article inconnu"))</f>
        <v/>
      </c>
      <c r="J1525" s="60" t="str">
        <f>IF(H1525="","",IFERROR(INDEX(art_unit,MATCH(H1525,art_ref,0))&amp;"",""))</f>
        <v/>
      </c>
      <c r="K1525" s="59" t="n"/>
      <c r="L1525" s="59" t="n"/>
      <c r="M1525" s="61" t="str">
        <f>IF(OR(B1525="",NOT(ISNUMBER(K1525)),NOT(ISNUMBER(L1525))),"",IF(OR(K1525&lt;=0,L1525&lt;=0),"",ROUND(L1525-K1525,6)))</f>
        <v/>
      </c>
      <c r="N1525" s="58" t="n"/>
      <c r="O1525" s="62" t="n"/>
      <c r="P1525" s="63" t="str">
        <f>IF(OR(B1525="",NOT(ISNUMBER(L1525))),"",IF(L1525&lt;=0,"",IFERROR(ROUND(L1525*N(INDEX(art_w,MATCH(H1525,art_ref,0))),3),"")))</f>
        <v/>
      </c>
      <c r="Q1525" s="59" t="n"/>
      <c r="R1525" s="54" t="n"/>
      <c r="S1525" s="59" t="n"/>
      <c r="T1525" s="59" t="n"/>
      <c r="U1525" s="64" t="str">
        <f>IF(OR(B1525="",H1525=""),"",IFERROR(IF(A1525="BL",IF(N(INDEX(art_price,MATCH(H1525,art_ref,0)))=0,"",N(INDEX(art_price,MATCH(H1525,art_ref,0)))),IF(N(INDEX(art_cost,MATCH(H1525,art_ref,0)))=0,"",N(INDEX(art_cost,MATCH(H1525,art_ref,0))))),""))</f>
        <v/>
      </c>
      <c r="V1525" s="64" t="str">
        <f>IF(OR(U1525="",NOT(ISNUMBER(L1525))),"",IF(L1525&lt;=0,"",ROUND(L1525*U1525,2)))</f>
        <v/>
      </c>
      <c r="W1525" s="60" t="str">
        <f>IF(AND(B1525&lt;&gt;"",A1525&lt;&gt;"BS",F1525&lt;&gt;"",H1525&lt;&gt;"",ISNUMBER(K1525),ISNUMBER(L1525)),IF(AND(K1525&gt;0,L1525&gt;0,K1525-L1525&gt;0,COUNTIFS(A1526:A$2005,A1525,F1526:F$2005,F1525,H1526:H$2005,H1525,AA1526:AA$2005,"&gt;0")=0),ROUND(K1525-L1525,6),""),"")</f>
        <v/>
      </c>
      <c r="X1525" s="60" t="str">
        <f>IF(AND(A1525="",C1525="",D1525="",H1525="",L1525=""),"",IF(A1525="","Type manquant",IF(AND(A1525&lt;&gt;"BL",A1525&lt;&gt;"BR",A1525&lt;&gt;"BS"),"Type inconnu (BL, BR ou BS)",IF(AG1525=0,"Date manquante ou invalide",IF(D1525="",IF(A1525="BL","Client manquant",IF(A1525="BR","Fournisseur manquant","Service manquant")),IF(IF(A1525="BL",ISNA(MATCH(D1525,cl_code,0)),IF(A1525="BR",ISNA(MATCH(D1525,fo_code,0)),ISNA(MATCH(D1525,p_services,0)))),IF(A1525="BL","Client inconnu",IF(A1525="BR","Fournisseur inconnu","Service inconnu")),IF(H1525="","Article manquant",IF(ISNA(MATCH(H1525,art_ref,0)),"Article inconnu",IF(OR(NOT(ISNUMBER(L1525)),N(L1525)&lt;=0),"Quantité invalide",IF(AND(K1525&lt;&gt;"",OR(NOT(ISNUMBER(K1525)),N(K1525)&lt;=0)),"Qté commandée invalide",IF(AG1525&lt;SUMPRODUCT(MAX((A$6:A1524=A1525)*AG$6:AG1524)),"Date antérieure au bon précédent",IF(AND(A1525&lt;&gt;"BR",ISNUMBER(M1525),N(M1525)&gt;0),IF(A1525="BL","Livré plus que commandé","Sorti plus que demandé"),"OK"))))))))))))</f>
        <v/>
      </c>
      <c r="Y1525" s="57" t="str">
        <f>IF(AND(OR(A1525="BL",A1525="BR",A1525="BS"),AG1525&gt;0,D1525&lt;&gt;""),A1525&amp;"|"&amp;AG1525&amp;"|"&amp;D1525&amp;"|"&amp;F1525,"")</f>
        <v/>
      </c>
      <c r="Z1525" s="57" t="str">
        <f>IF(Y1525="","",IF(COUNTIF(Y$6:Y1524,Y1525)=0,1,0))</f>
        <v/>
      </c>
      <c r="AA1525" s="57" t="str">
        <f>IF(Y1525="","",IF(Z1525=1,COUNTIFS(A$6:A1525,A1525,Z$6:Z1525,1),INDEX(AA$6:AA1524,MATCH(Y1525,Y$6:Y1524,0))))</f>
        <v/>
      </c>
      <c r="AB1525" s="57" t="str">
        <f>IF(B1525="","",COUNTIF(B$6:B1525,B1525))</f>
        <v/>
      </c>
      <c r="AC1525" s="57" t="str">
        <f>IF(B1525="","",B1525&amp;"#"&amp;AB1525)</f>
        <v/>
      </c>
      <c r="AD1525" s="57" t="str">
        <f>IF(Z1525=1,A1525&amp;AA1525,"")</f>
        <v/>
      </c>
      <c r="AE1525" s="57" t="str">
        <f>IF(B1525="","",YEAR(C1525))</f>
        <v/>
      </c>
      <c r="AF1525" s="57" t="str">
        <f>IF(B1525="","",MONTH(C1525))</f>
        <v/>
      </c>
      <c r="AG1525" s="57">
        <f>IF(ISNUMBER(C1525),C1525,0)</f>
        <v>0.0</v>
      </c>
      <c r="AH1525" s="57" t="str">
        <f>IF(N(W1525)&gt;0,COUNTIF(W$6:W1525,"&gt;0"),"")</f>
        <v/>
      </c>
      <c r="AI1525" s="57" t="str">
        <f>IF(Z1525=1,COUNTIF(Z$6:Z1525,1),"")</f>
        <v/>
      </c>
    </row>
    <row r="1526">
      <c r="A1526" s="54" t="n"/>
      <c r="B1526" s="55" t="str">
        <f>IF(AA1526="","",A1526&amp;"-"&amp;RIGHT("000"&amp;AA1526,4))</f>
        <v/>
      </c>
      <c r="C1526" s="56" t="n"/>
      <c r="D1526" s="54" t="n"/>
      <c r="E1526" s="57" t="str">
        <f>IF(D1526="","",IF(A1526="BL",IFERROR(INDEX(cl_name,MATCH(D1526,cl_code,0))&amp;"","Client inconnu"),IF(A1526="BR",IFERROR(INDEX(fo_name,MATCH(D1526,fo_code,0))&amp;"","Fournisseur inconnu"),IF(A1526="BS",IF(ISNA(MATCH(D1526,p_services,0)),"Service inconnu",D1526&amp;""),""))))</f>
        <v/>
      </c>
      <c r="F1526" s="58" t="n"/>
      <c r="G1526" s="58" t="n"/>
      <c r="H1526" s="59" t="n"/>
      <c r="I1526" s="57" t="str">
        <f>IF(H1526="","",IFERROR(INDEX(art_des,MATCH(H1526,art_ref,0))&amp;"","Article inconnu"))</f>
        <v/>
      </c>
      <c r="J1526" s="60" t="str">
        <f>IF(H1526="","",IFERROR(INDEX(art_unit,MATCH(H1526,art_ref,0))&amp;"",""))</f>
        <v/>
      </c>
      <c r="K1526" s="59" t="n"/>
      <c r="L1526" s="59" t="n"/>
      <c r="M1526" s="61" t="str">
        <f>IF(OR(B1526="",NOT(ISNUMBER(K1526)),NOT(ISNUMBER(L1526))),"",IF(OR(K1526&lt;=0,L1526&lt;=0),"",ROUND(L1526-K1526,6)))</f>
        <v/>
      </c>
      <c r="N1526" s="58" t="n"/>
      <c r="O1526" s="62" t="n"/>
      <c r="P1526" s="63" t="str">
        <f>IF(OR(B1526="",NOT(ISNUMBER(L1526))),"",IF(L1526&lt;=0,"",IFERROR(ROUND(L1526*N(INDEX(art_w,MATCH(H1526,art_ref,0))),3),"")))</f>
        <v/>
      </c>
      <c r="Q1526" s="59" t="n"/>
      <c r="R1526" s="54" t="n"/>
      <c r="S1526" s="59" t="n"/>
      <c r="T1526" s="59" t="n"/>
      <c r="U1526" s="64" t="str">
        <f>IF(OR(B1526="",H1526=""),"",IFERROR(IF(A1526="BL",IF(N(INDEX(art_price,MATCH(H1526,art_ref,0)))=0,"",N(INDEX(art_price,MATCH(H1526,art_ref,0)))),IF(N(INDEX(art_cost,MATCH(H1526,art_ref,0)))=0,"",N(INDEX(art_cost,MATCH(H1526,art_ref,0))))),""))</f>
        <v/>
      </c>
      <c r="V1526" s="64" t="str">
        <f>IF(OR(U1526="",NOT(ISNUMBER(L1526))),"",IF(L1526&lt;=0,"",ROUND(L1526*U1526,2)))</f>
        <v/>
      </c>
      <c r="W1526" s="60" t="str">
        <f>IF(AND(B1526&lt;&gt;"",A1526&lt;&gt;"BS",F1526&lt;&gt;"",H1526&lt;&gt;"",ISNUMBER(K1526),ISNUMBER(L1526)),IF(AND(K1526&gt;0,L1526&gt;0,K1526-L1526&gt;0,COUNTIFS(A1527:A$2005,A1526,F1527:F$2005,F1526,H1527:H$2005,H1526,AA1527:AA$2005,"&gt;0")=0),ROUND(K1526-L1526,6),""),"")</f>
        <v/>
      </c>
      <c r="X1526" s="60" t="str">
        <f>IF(AND(A1526="",C1526="",D1526="",H1526="",L1526=""),"",IF(A1526="","Type manquant",IF(AND(A1526&lt;&gt;"BL",A1526&lt;&gt;"BR",A1526&lt;&gt;"BS"),"Type inconnu (BL, BR ou BS)",IF(AG1526=0,"Date manquante ou invalide",IF(D1526="",IF(A1526="BL","Client manquant",IF(A1526="BR","Fournisseur manquant","Service manquant")),IF(IF(A1526="BL",ISNA(MATCH(D1526,cl_code,0)),IF(A1526="BR",ISNA(MATCH(D1526,fo_code,0)),ISNA(MATCH(D1526,p_services,0)))),IF(A1526="BL","Client inconnu",IF(A1526="BR","Fournisseur inconnu","Service inconnu")),IF(H1526="","Article manquant",IF(ISNA(MATCH(H1526,art_ref,0)),"Article inconnu",IF(OR(NOT(ISNUMBER(L1526)),N(L1526)&lt;=0),"Quantité invalide",IF(AND(K1526&lt;&gt;"",OR(NOT(ISNUMBER(K1526)),N(K1526)&lt;=0)),"Qté commandée invalide",IF(AG1526&lt;SUMPRODUCT(MAX((A$6:A1525=A1526)*AG$6:AG1525)),"Date antérieure au bon précédent",IF(AND(A1526&lt;&gt;"BR",ISNUMBER(M1526),N(M1526)&gt;0),IF(A1526="BL","Livré plus que commandé","Sorti plus que demandé"),"OK"))))))))))))</f>
        <v/>
      </c>
      <c r="Y1526" s="57" t="str">
        <f>IF(AND(OR(A1526="BL",A1526="BR",A1526="BS"),AG1526&gt;0,D1526&lt;&gt;""),A1526&amp;"|"&amp;AG1526&amp;"|"&amp;D1526&amp;"|"&amp;F1526,"")</f>
        <v/>
      </c>
      <c r="Z1526" s="57" t="str">
        <f>IF(Y1526="","",IF(COUNTIF(Y$6:Y1525,Y1526)=0,1,0))</f>
        <v/>
      </c>
      <c r="AA1526" s="57" t="str">
        <f>IF(Y1526="","",IF(Z1526=1,COUNTIFS(A$6:A1526,A1526,Z$6:Z1526,1),INDEX(AA$6:AA1525,MATCH(Y1526,Y$6:Y1525,0))))</f>
        <v/>
      </c>
      <c r="AB1526" s="57" t="str">
        <f>IF(B1526="","",COUNTIF(B$6:B1526,B1526))</f>
        <v/>
      </c>
      <c r="AC1526" s="57" t="str">
        <f>IF(B1526="","",B1526&amp;"#"&amp;AB1526)</f>
        <v/>
      </c>
      <c r="AD1526" s="57" t="str">
        <f>IF(Z1526=1,A1526&amp;AA1526,"")</f>
        <v/>
      </c>
      <c r="AE1526" s="57" t="str">
        <f>IF(B1526="","",YEAR(C1526))</f>
        <v/>
      </c>
      <c r="AF1526" s="57" t="str">
        <f>IF(B1526="","",MONTH(C1526))</f>
        <v/>
      </c>
      <c r="AG1526" s="57">
        <f>IF(ISNUMBER(C1526),C1526,0)</f>
        <v>0.0</v>
      </c>
      <c r="AH1526" s="57" t="str">
        <f>IF(N(W1526)&gt;0,COUNTIF(W$6:W1526,"&gt;0"),"")</f>
        <v/>
      </c>
      <c r="AI1526" s="57" t="str">
        <f>IF(Z1526=1,COUNTIF(Z$6:Z1526,1),"")</f>
        <v/>
      </c>
    </row>
    <row r="1527">
      <c r="A1527" s="54" t="n"/>
      <c r="B1527" s="55" t="str">
        <f>IF(AA1527="","",A1527&amp;"-"&amp;RIGHT("000"&amp;AA1527,4))</f>
        <v/>
      </c>
      <c r="C1527" s="56" t="n"/>
      <c r="D1527" s="54" t="n"/>
      <c r="E1527" s="57" t="str">
        <f>IF(D1527="","",IF(A1527="BL",IFERROR(INDEX(cl_name,MATCH(D1527,cl_code,0))&amp;"","Client inconnu"),IF(A1527="BR",IFERROR(INDEX(fo_name,MATCH(D1527,fo_code,0))&amp;"","Fournisseur inconnu"),IF(A1527="BS",IF(ISNA(MATCH(D1527,p_services,0)),"Service inconnu",D1527&amp;""),""))))</f>
        <v/>
      </c>
      <c r="F1527" s="58" t="n"/>
      <c r="G1527" s="58" t="n"/>
      <c r="H1527" s="59" t="n"/>
      <c r="I1527" s="57" t="str">
        <f>IF(H1527="","",IFERROR(INDEX(art_des,MATCH(H1527,art_ref,0))&amp;"","Article inconnu"))</f>
        <v/>
      </c>
      <c r="J1527" s="60" t="str">
        <f>IF(H1527="","",IFERROR(INDEX(art_unit,MATCH(H1527,art_ref,0))&amp;"",""))</f>
        <v/>
      </c>
      <c r="K1527" s="59" t="n"/>
      <c r="L1527" s="59" t="n"/>
      <c r="M1527" s="61" t="str">
        <f>IF(OR(B1527="",NOT(ISNUMBER(K1527)),NOT(ISNUMBER(L1527))),"",IF(OR(K1527&lt;=0,L1527&lt;=0),"",ROUND(L1527-K1527,6)))</f>
        <v/>
      </c>
      <c r="N1527" s="58" t="n"/>
      <c r="O1527" s="62" t="n"/>
      <c r="P1527" s="63" t="str">
        <f>IF(OR(B1527="",NOT(ISNUMBER(L1527))),"",IF(L1527&lt;=0,"",IFERROR(ROUND(L1527*N(INDEX(art_w,MATCH(H1527,art_ref,0))),3),"")))</f>
        <v/>
      </c>
      <c r="Q1527" s="59" t="n"/>
      <c r="R1527" s="54" t="n"/>
      <c r="S1527" s="59" t="n"/>
      <c r="T1527" s="59" t="n"/>
      <c r="U1527" s="64" t="str">
        <f>IF(OR(B1527="",H1527=""),"",IFERROR(IF(A1527="BL",IF(N(INDEX(art_price,MATCH(H1527,art_ref,0)))=0,"",N(INDEX(art_price,MATCH(H1527,art_ref,0)))),IF(N(INDEX(art_cost,MATCH(H1527,art_ref,0)))=0,"",N(INDEX(art_cost,MATCH(H1527,art_ref,0))))),""))</f>
        <v/>
      </c>
      <c r="V1527" s="64" t="str">
        <f>IF(OR(U1527="",NOT(ISNUMBER(L1527))),"",IF(L1527&lt;=0,"",ROUND(L1527*U1527,2)))</f>
        <v/>
      </c>
      <c r="W1527" s="60" t="str">
        <f>IF(AND(B1527&lt;&gt;"",A1527&lt;&gt;"BS",F1527&lt;&gt;"",H1527&lt;&gt;"",ISNUMBER(K1527),ISNUMBER(L1527)),IF(AND(K1527&gt;0,L1527&gt;0,K1527-L1527&gt;0,COUNTIFS(A1528:A$2005,A1527,F1528:F$2005,F1527,H1528:H$2005,H1527,AA1528:AA$2005,"&gt;0")=0),ROUND(K1527-L1527,6),""),"")</f>
        <v/>
      </c>
      <c r="X1527" s="60" t="str">
        <f>IF(AND(A1527="",C1527="",D1527="",H1527="",L1527=""),"",IF(A1527="","Type manquant",IF(AND(A1527&lt;&gt;"BL",A1527&lt;&gt;"BR",A1527&lt;&gt;"BS"),"Type inconnu (BL, BR ou BS)",IF(AG1527=0,"Date manquante ou invalide",IF(D1527="",IF(A1527="BL","Client manquant",IF(A1527="BR","Fournisseur manquant","Service manquant")),IF(IF(A1527="BL",ISNA(MATCH(D1527,cl_code,0)),IF(A1527="BR",ISNA(MATCH(D1527,fo_code,0)),ISNA(MATCH(D1527,p_services,0)))),IF(A1527="BL","Client inconnu",IF(A1527="BR","Fournisseur inconnu","Service inconnu")),IF(H1527="","Article manquant",IF(ISNA(MATCH(H1527,art_ref,0)),"Article inconnu",IF(OR(NOT(ISNUMBER(L1527)),N(L1527)&lt;=0),"Quantité invalide",IF(AND(K1527&lt;&gt;"",OR(NOT(ISNUMBER(K1527)),N(K1527)&lt;=0)),"Qté commandée invalide",IF(AG1527&lt;SUMPRODUCT(MAX((A$6:A1526=A1527)*AG$6:AG1526)),"Date antérieure au bon précédent",IF(AND(A1527&lt;&gt;"BR",ISNUMBER(M1527),N(M1527)&gt;0),IF(A1527="BL","Livré plus que commandé","Sorti plus que demandé"),"OK"))))))))))))</f>
        <v/>
      </c>
      <c r="Y1527" s="57" t="str">
        <f>IF(AND(OR(A1527="BL",A1527="BR",A1527="BS"),AG1527&gt;0,D1527&lt;&gt;""),A1527&amp;"|"&amp;AG1527&amp;"|"&amp;D1527&amp;"|"&amp;F1527,"")</f>
        <v/>
      </c>
      <c r="Z1527" s="57" t="str">
        <f>IF(Y1527="","",IF(COUNTIF(Y$6:Y1526,Y1527)=0,1,0))</f>
        <v/>
      </c>
      <c r="AA1527" s="57" t="str">
        <f>IF(Y1527="","",IF(Z1527=1,COUNTIFS(A$6:A1527,A1527,Z$6:Z1527,1),INDEX(AA$6:AA1526,MATCH(Y1527,Y$6:Y1526,0))))</f>
        <v/>
      </c>
      <c r="AB1527" s="57" t="str">
        <f>IF(B1527="","",COUNTIF(B$6:B1527,B1527))</f>
        <v/>
      </c>
      <c r="AC1527" s="57" t="str">
        <f>IF(B1527="","",B1527&amp;"#"&amp;AB1527)</f>
        <v/>
      </c>
      <c r="AD1527" s="57" t="str">
        <f>IF(Z1527=1,A1527&amp;AA1527,"")</f>
        <v/>
      </c>
      <c r="AE1527" s="57" t="str">
        <f>IF(B1527="","",YEAR(C1527))</f>
        <v/>
      </c>
      <c r="AF1527" s="57" t="str">
        <f>IF(B1527="","",MONTH(C1527))</f>
        <v/>
      </c>
      <c r="AG1527" s="57">
        <f>IF(ISNUMBER(C1527),C1527,0)</f>
        <v>0.0</v>
      </c>
      <c r="AH1527" s="57" t="str">
        <f>IF(N(W1527)&gt;0,COUNTIF(W$6:W1527,"&gt;0"),"")</f>
        <v/>
      </c>
      <c r="AI1527" s="57" t="str">
        <f>IF(Z1527=1,COUNTIF(Z$6:Z1527,1),"")</f>
        <v/>
      </c>
    </row>
    <row r="1528">
      <c r="A1528" s="54" t="n"/>
      <c r="B1528" s="55" t="str">
        <f>IF(AA1528="","",A1528&amp;"-"&amp;RIGHT("000"&amp;AA1528,4))</f>
        <v/>
      </c>
      <c r="C1528" s="56" t="n"/>
      <c r="D1528" s="54" t="n"/>
      <c r="E1528" s="57" t="str">
        <f>IF(D1528="","",IF(A1528="BL",IFERROR(INDEX(cl_name,MATCH(D1528,cl_code,0))&amp;"","Client inconnu"),IF(A1528="BR",IFERROR(INDEX(fo_name,MATCH(D1528,fo_code,0))&amp;"","Fournisseur inconnu"),IF(A1528="BS",IF(ISNA(MATCH(D1528,p_services,0)),"Service inconnu",D1528&amp;""),""))))</f>
        <v/>
      </c>
      <c r="F1528" s="58" t="n"/>
      <c r="G1528" s="58" t="n"/>
      <c r="H1528" s="59" t="n"/>
      <c r="I1528" s="57" t="str">
        <f>IF(H1528="","",IFERROR(INDEX(art_des,MATCH(H1528,art_ref,0))&amp;"","Article inconnu"))</f>
        <v/>
      </c>
      <c r="J1528" s="60" t="str">
        <f>IF(H1528="","",IFERROR(INDEX(art_unit,MATCH(H1528,art_ref,0))&amp;"",""))</f>
        <v/>
      </c>
      <c r="K1528" s="59" t="n"/>
      <c r="L1528" s="59" t="n"/>
      <c r="M1528" s="61" t="str">
        <f>IF(OR(B1528="",NOT(ISNUMBER(K1528)),NOT(ISNUMBER(L1528))),"",IF(OR(K1528&lt;=0,L1528&lt;=0),"",ROUND(L1528-K1528,6)))</f>
        <v/>
      </c>
      <c r="N1528" s="58" t="n"/>
      <c r="O1528" s="62" t="n"/>
      <c r="P1528" s="63" t="str">
        <f>IF(OR(B1528="",NOT(ISNUMBER(L1528))),"",IF(L1528&lt;=0,"",IFERROR(ROUND(L1528*N(INDEX(art_w,MATCH(H1528,art_ref,0))),3),"")))</f>
        <v/>
      </c>
      <c r="Q1528" s="59" t="n"/>
      <c r="R1528" s="54" t="n"/>
      <c r="S1528" s="59" t="n"/>
      <c r="T1528" s="59" t="n"/>
      <c r="U1528" s="64" t="str">
        <f>IF(OR(B1528="",H1528=""),"",IFERROR(IF(A1528="BL",IF(N(INDEX(art_price,MATCH(H1528,art_ref,0)))=0,"",N(INDEX(art_price,MATCH(H1528,art_ref,0)))),IF(N(INDEX(art_cost,MATCH(H1528,art_ref,0)))=0,"",N(INDEX(art_cost,MATCH(H1528,art_ref,0))))),""))</f>
        <v/>
      </c>
      <c r="V1528" s="64" t="str">
        <f>IF(OR(U1528="",NOT(ISNUMBER(L1528))),"",IF(L1528&lt;=0,"",ROUND(L1528*U1528,2)))</f>
        <v/>
      </c>
      <c r="W1528" s="60" t="str">
        <f>IF(AND(B1528&lt;&gt;"",A1528&lt;&gt;"BS",F1528&lt;&gt;"",H1528&lt;&gt;"",ISNUMBER(K1528),ISNUMBER(L1528)),IF(AND(K1528&gt;0,L1528&gt;0,K1528-L1528&gt;0,COUNTIFS(A1529:A$2005,A1528,F1529:F$2005,F1528,H1529:H$2005,H1528,AA1529:AA$2005,"&gt;0")=0),ROUND(K1528-L1528,6),""),"")</f>
        <v/>
      </c>
      <c r="X1528" s="60" t="str">
        <f>IF(AND(A1528="",C1528="",D1528="",H1528="",L1528=""),"",IF(A1528="","Type manquant",IF(AND(A1528&lt;&gt;"BL",A1528&lt;&gt;"BR",A1528&lt;&gt;"BS"),"Type inconnu (BL, BR ou BS)",IF(AG1528=0,"Date manquante ou invalide",IF(D1528="",IF(A1528="BL","Client manquant",IF(A1528="BR","Fournisseur manquant","Service manquant")),IF(IF(A1528="BL",ISNA(MATCH(D1528,cl_code,0)),IF(A1528="BR",ISNA(MATCH(D1528,fo_code,0)),ISNA(MATCH(D1528,p_services,0)))),IF(A1528="BL","Client inconnu",IF(A1528="BR","Fournisseur inconnu","Service inconnu")),IF(H1528="","Article manquant",IF(ISNA(MATCH(H1528,art_ref,0)),"Article inconnu",IF(OR(NOT(ISNUMBER(L1528)),N(L1528)&lt;=0),"Quantité invalide",IF(AND(K1528&lt;&gt;"",OR(NOT(ISNUMBER(K1528)),N(K1528)&lt;=0)),"Qté commandée invalide",IF(AG1528&lt;SUMPRODUCT(MAX((A$6:A1527=A1528)*AG$6:AG1527)),"Date antérieure au bon précédent",IF(AND(A1528&lt;&gt;"BR",ISNUMBER(M1528),N(M1528)&gt;0),IF(A1528="BL","Livré plus que commandé","Sorti plus que demandé"),"OK"))))))))))))</f>
        <v/>
      </c>
      <c r="Y1528" s="57" t="str">
        <f>IF(AND(OR(A1528="BL",A1528="BR",A1528="BS"),AG1528&gt;0,D1528&lt;&gt;""),A1528&amp;"|"&amp;AG1528&amp;"|"&amp;D1528&amp;"|"&amp;F1528,"")</f>
        <v/>
      </c>
      <c r="Z1528" s="57" t="str">
        <f>IF(Y1528="","",IF(COUNTIF(Y$6:Y1527,Y1528)=0,1,0))</f>
        <v/>
      </c>
      <c r="AA1528" s="57" t="str">
        <f>IF(Y1528="","",IF(Z1528=1,COUNTIFS(A$6:A1528,A1528,Z$6:Z1528,1),INDEX(AA$6:AA1527,MATCH(Y1528,Y$6:Y1527,0))))</f>
        <v/>
      </c>
      <c r="AB1528" s="57" t="str">
        <f>IF(B1528="","",COUNTIF(B$6:B1528,B1528))</f>
        <v/>
      </c>
      <c r="AC1528" s="57" t="str">
        <f>IF(B1528="","",B1528&amp;"#"&amp;AB1528)</f>
        <v/>
      </c>
      <c r="AD1528" s="57" t="str">
        <f>IF(Z1528=1,A1528&amp;AA1528,"")</f>
        <v/>
      </c>
      <c r="AE1528" s="57" t="str">
        <f>IF(B1528="","",YEAR(C1528))</f>
        <v/>
      </c>
      <c r="AF1528" s="57" t="str">
        <f>IF(B1528="","",MONTH(C1528))</f>
        <v/>
      </c>
      <c r="AG1528" s="57">
        <f>IF(ISNUMBER(C1528),C1528,0)</f>
        <v>0.0</v>
      </c>
      <c r="AH1528" s="57" t="str">
        <f>IF(N(W1528)&gt;0,COUNTIF(W$6:W1528,"&gt;0"),"")</f>
        <v/>
      </c>
      <c r="AI1528" s="57" t="str">
        <f>IF(Z1528=1,COUNTIF(Z$6:Z1528,1),"")</f>
        <v/>
      </c>
    </row>
    <row r="1529">
      <c r="A1529" s="54" t="n"/>
      <c r="B1529" s="55" t="str">
        <f>IF(AA1529="","",A1529&amp;"-"&amp;RIGHT("000"&amp;AA1529,4))</f>
        <v/>
      </c>
      <c r="C1529" s="56" t="n"/>
      <c r="D1529" s="54" t="n"/>
      <c r="E1529" s="57" t="str">
        <f>IF(D1529="","",IF(A1529="BL",IFERROR(INDEX(cl_name,MATCH(D1529,cl_code,0))&amp;"","Client inconnu"),IF(A1529="BR",IFERROR(INDEX(fo_name,MATCH(D1529,fo_code,0))&amp;"","Fournisseur inconnu"),IF(A1529="BS",IF(ISNA(MATCH(D1529,p_services,0)),"Service inconnu",D1529&amp;""),""))))</f>
        <v/>
      </c>
      <c r="F1529" s="58" t="n"/>
      <c r="G1529" s="58" t="n"/>
      <c r="H1529" s="59" t="n"/>
      <c r="I1529" s="57" t="str">
        <f>IF(H1529="","",IFERROR(INDEX(art_des,MATCH(H1529,art_ref,0))&amp;"","Article inconnu"))</f>
        <v/>
      </c>
      <c r="J1529" s="60" t="str">
        <f>IF(H1529="","",IFERROR(INDEX(art_unit,MATCH(H1529,art_ref,0))&amp;"",""))</f>
        <v/>
      </c>
      <c r="K1529" s="59" t="n"/>
      <c r="L1529" s="59" t="n"/>
      <c r="M1529" s="61" t="str">
        <f>IF(OR(B1529="",NOT(ISNUMBER(K1529)),NOT(ISNUMBER(L1529))),"",IF(OR(K1529&lt;=0,L1529&lt;=0),"",ROUND(L1529-K1529,6)))</f>
        <v/>
      </c>
      <c r="N1529" s="58" t="n"/>
      <c r="O1529" s="62" t="n"/>
      <c r="P1529" s="63" t="str">
        <f>IF(OR(B1529="",NOT(ISNUMBER(L1529))),"",IF(L1529&lt;=0,"",IFERROR(ROUND(L1529*N(INDEX(art_w,MATCH(H1529,art_ref,0))),3),"")))</f>
        <v/>
      </c>
      <c r="Q1529" s="59" t="n"/>
      <c r="R1529" s="54" t="n"/>
      <c r="S1529" s="59" t="n"/>
      <c r="T1529" s="59" t="n"/>
      <c r="U1529" s="64" t="str">
        <f>IF(OR(B1529="",H1529=""),"",IFERROR(IF(A1529="BL",IF(N(INDEX(art_price,MATCH(H1529,art_ref,0)))=0,"",N(INDEX(art_price,MATCH(H1529,art_ref,0)))),IF(N(INDEX(art_cost,MATCH(H1529,art_ref,0)))=0,"",N(INDEX(art_cost,MATCH(H1529,art_ref,0))))),""))</f>
        <v/>
      </c>
      <c r="V1529" s="64" t="str">
        <f>IF(OR(U1529="",NOT(ISNUMBER(L1529))),"",IF(L1529&lt;=0,"",ROUND(L1529*U1529,2)))</f>
        <v/>
      </c>
      <c r="W1529" s="60" t="str">
        <f>IF(AND(B1529&lt;&gt;"",A1529&lt;&gt;"BS",F1529&lt;&gt;"",H1529&lt;&gt;"",ISNUMBER(K1529),ISNUMBER(L1529)),IF(AND(K1529&gt;0,L1529&gt;0,K1529-L1529&gt;0,COUNTIFS(A1530:A$2005,A1529,F1530:F$2005,F1529,H1530:H$2005,H1529,AA1530:AA$2005,"&gt;0")=0),ROUND(K1529-L1529,6),""),"")</f>
        <v/>
      </c>
      <c r="X1529" s="60" t="str">
        <f>IF(AND(A1529="",C1529="",D1529="",H1529="",L1529=""),"",IF(A1529="","Type manquant",IF(AND(A1529&lt;&gt;"BL",A1529&lt;&gt;"BR",A1529&lt;&gt;"BS"),"Type inconnu (BL, BR ou BS)",IF(AG1529=0,"Date manquante ou invalide",IF(D1529="",IF(A1529="BL","Client manquant",IF(A1529="BR","Fournisseur manquant","Service manquant")),IF(IF(A1529="BL",ISNA(MATCH(D1529,cl_code,0)),IF(A1529="BR",ISNA(MATCH(D1529,fo_code,0)),ISNA(MATCH(D1529,p_services,0)))),IF(A1529="BL","Client inconnu",IF(A1529="BR","Fournisseur inconnu","Service inconnu")),IF(H1529="","Article manquant",IF(ISNA(MATCH(H1529,art_ref,0)),"Article inconnu",IF(OR(NOT(ISNUMBER(L1529)),N(L1529)&lt;=0),"Quantité invalide",IF(AND(K1529&lt;&gt;"",OR(NOT(ISNUMBER(K1529)),N(K1529)&lt;=0)),"Qté commandée invalide",IF(AG1529&lt;SUMPRODUCT(MAX((A$6:A1528=A1529)*AG$6:AG1528)),"Date antérieure au bon précédent",IF(AND(A1529&lt;&gt;"BR",ISNUMBER(M1529),N(M1529)&gt;0),IF(A1529="BL","Livré plus que commandé","Sorti plus que demandé"),"OK"))))))))))))</f>
        <v/>
      </c>
      <c r="Y1529" s="57" t="str">
        <f>IF(AND(OR(A1529="BL",A1529="BR",A1529="BS"),AG1529&gt;0,D1529&lt;&gt;""),A1529&amp;"|"&amp;AG1529&amp;"|"&amp;D1529&amp;"|"&amp;F1529,"")</f>
        <v/>
      </c>
      <c r="Z1529" s="57" t="str">
        <f>IF(Y1529="","",IF(COUNTIF(Y$6:Y1528,Y1529)=0,1,0))</f>
        <v/>
      </c>
      <c r="AA1529" s="57" t="str">
        <f>IF(Y1529="","",IF(Z1529=1,COUNTIFS(A$6:A1529,A1529,Z$6:Z1529,1),INDEX(AA$6:AA1528,MATCH(Y1529,Y$6:Y1528,0))))</f>
        <v/>
      </c>
      <c r="AB1529" s="57" t="str">
        <f>IF(B1529="","",COUNTIF(B$6:B1529,B1529))</f>
        <v/>
      </c>
      <c r="AC1529" s="57" t="str">
        <f>IF(B1529="","",B1529&amp;"#"&amp;AB1529)</f>
        <v/>
      </c>
      <c r="AD1529" s="57" t="str">
        <f>IF(Z1529=1,A1529&amp;AA1529,"")</f>
        <v/>
      </c>
      <c r="AE1529" s="57" t="str">
        <f>IF(B1529="","",YEAR(C1529))</f>
        <v/>
      </c>
      <c r="AF1529" s="57" t="str">
        <f>IF(B1529="","",MONTH(C1529))</f>
        <v/>
      </c>
      <c r="AG1529" s="57">
        <f>IF(ISNUMBER(C1529),C1529,0)</f>
        <v>0.0</v>
      </c>
      <c r="AH1529" s="57" t="str">
        <f>IF(N(W1529)&gt;0,COUNTIF(W$6:W1529,"&gt;0"),"")</f>
        <v/>
      </c>
      <c r="AI1529" s="57" t="str">
        <f>IF(Z1529=1,COUNTIF(Z$6:Z1529,1),"")</f>
        <v/>
      </c>
    </row>
    <row r="1530">
      <c r="A1530" s="54" t="n"/>
      <c r="B1530" s="55" t="str">
        <f>IF(AA1530="","",A1530&amp;"-"&amp;RIGHT("000"&amp;AA1530,4))</f>
        <v/>
      </c>
      <c r="C1530" s="56" t="n"/>
      <c r="D1530" s="54" t="n"/>
      <c r="E1530" s="57" t="str">
        <f>IF(D1530="","",IF(A1530="BL",IFERROR(INDEX(cl_name,MATCH(D1530,cl_code,0))&amp;"","Client inconnu"),IF(A1530="BR",IFERROR(INDEX(fo_name,MATCH(D1530,fo_code,0))&amp;"","Fournisseur inconnu"),IF(A1530="BS",IF(ISNA(MATCH(D1530,p_services,0)),"Service inconnu",D1530&amp;""),""))))</f>
        <v/>
      </c>
      <c r="F1530" s="58" t="n"/>
      <c r="G1530" s="58" t="n"/>
      <c r="H1530" s="59" t="n"/>
      <c r="I1530" s="57" t="str">
        <f>IF(H1530="","",IFERROR(INDEX(art_des,MATCH(H1530,art_ref,0))&amp;"","Article inconnu"))</f>
        <v/>
      </c>
      <c r="J1530" s="60" t="str">
        <f>IF(H1530="","",IFERROR(INDEX(art_unit,MATCH(H1530,art_ref,0))&amp;"",""))</f>
        <v/>
      </c>
      <c r="K1530" s="59" t="n"/>
      <c r="L1530" s="59" t="n"/>
      <c r="M1530" s="61" t="str">
        <f>IF(OR(B1530="",NOT(ISNUMBER(K1530)),NOT(ISNUMBER(L1530))),"",IF(OR(K1530&lt;=0,L1530&lt;=0),"",ROUND(L1530-K1530,6)))</f>
        <v/>
      </c>
      <c r="N1530" s="58" t="n"/>
      <c r="O1530" s="62" t="n"/>
      <c r="P1530" s="63" t="str">
        <f>IF(OR(B1530="",NOT(ISNUMBER(L1530))),"",IF(L1530&lt;=0,"",IFERROR(ROUND(L1530*N(INDEX(art_w,MATCH(H1530,art_ref,0))),3),"")))</f>
        <v/>
      </c>
      <c r="Q1530" s="59" t="n"/>
      <c r="R1530" s="54" t="n"/>
      <c r="S1530" s="59" t="n"/>
      <c r="T1530" s="59" t="n"/>
      <c r="U1530" s="64" t="str">
        <f>IF(OR(B1530="",H1530=""),"",IFERROR(IF(A1530="BL",IF(N(INDEX(art_price,MATCH(H1530,art_ref,0)))=0,"",N(INDEX(art_price,MATCH(H1530,art_ref,0)))),IF(N(INDEX(art_cost,MATCH(H1530,art_ref,0)))=0,"",N(INDEX(art_cost,MATCH(H1530,art_ref,0))))),""))</f>
        <v/>
      </c>
      <c r="V1530" s="64" t="str">
        <f>IF(OR(U1530="",NOT(ISNUMBER(L1530))),"",IF(L1530&lt;=0,"",ROUND(L1530*U1530,2)))</f>
        <v/>
      </c>
      <c r="W1530" s="60" t="str">
        <f>IF(AND(B1530&lt;&gt;"",A1530&lt;&gt;"BS",F1530&lt;&gt;"",H1530&lt;&gt;"",ISNUMBER(K1530),ISNUMBER(L1530)),IF(AND(K1530&gt;0,L1530&gt;0,K1530-L1530&gt;0,COUNTIFS(A1531:A$2005,A1530,F1531:F$2005,F1530,H1531:H$2005,H1530,AA1531:AA$2005,"&gt;0")=0),ROUND(K1530-L1530,6),""),"")</f>
        <v/>
      </c>
      <c r="X1530" s="60" t="str">
        <f>IF(AND(A1530="",C1530="",D1530="",H1530="",L1530=""),"",IF(A1530="","Type manquant",IF(AND(A1530&lt;&gt;"BL",A1530&lt;&gt;"BR",A1530&lt;&gt;"BS"),"Type inconnu (BL, BR ou BS)",IF(AG1530=0,"Date manquante ou invalide",IF(D1530="",IF(A1530="BL","Client manquant",IF(A1530="BR","Fournisseur manquant","Service manquant")),IF(IF(A1530="BL",ISNA(MATCH(D1530,cl_code,0)),IF(A1530="BR",ISNA(MATCH(D1530,fo_code,0)),ISNA(MATCH(D1530,p_services,0)))),IF(A1530="BL","Client inconnu",IF(A1530="BR","Fournisseur inconnu","Service inconnu")),IF(H1530="","Article manquant",IF(ISNA(MATCH(H1530,art_ref,0)),"Article inconnu",IF(OR(NOT(ISNUMBER(L1530)),N(L1530)&lt;=0),"Quantité invalide",IF(AND(K1530&lt;&gt;"",OR(NOT(ISNUMBER(K1530)),N(K1530)&lt;=0)),"Qté commandée invalide",IF(AG1530&lt;SUMPRODUCT(MAX((A$6:A1529=A1530)*AG$6:AG1529)),"Date antérieure au bon précédent",IF(AND(A1530&lt;&gt;"BR",ISNUMBER(M1530),N(M1530)&gt;0),IF(A1530="BL","Livré plus que commandé","Sorti plus que demandé"),"OK"))))))))))))</f>
        <v/>
      </c>
      <c r="Y1530" s="57" t="str">
        <f>IF(AND(OR(A1530="BL",A1530="BR",A1530="BS"),AG1530&gt;0,D1530&lt;&gt;""),A1530&amp;"|"&amp;AG1530&amp;"|"&amp;D1530&amp;"|"&amp;F1530,"")</f>
        <v/>
      </c>
      <c r="Z1530" s="57" t="str">
        <f>IF(Y1530="","",IF(COUNTIF(Y$6:Y1529,Y1530)=0,1,0))</f>
        <v/>
      </c>
      <c r="AA1530" s="57" t="str">
        <f>IF(Y1530="","",IF(Z1530=1,COUNTIFS(A$6:A1530,A1530,Z$6:Z1530,1),INDEX(AA$6:AA1529,MATCH(Y1530,Y$6:Y1529,0))))</f>
        <v/>
      </c>
      <c r="AB1530" s="57" t="str">
        <f>IF(B1530="","",COUNTIF(B$6:B1530,B1530))</f>
        <v/>
      </c>
      <c r="AC1530" s="57" t="str">
        <f>IF(B1530="","",B1530&amp;"#"&amp;AB1530)</f>
        <v/>
      </c>
      <c r="AD1530" s="57" t="str">
        <f>IF(Z1530=1,A1530&amp;AA1530,"")</f>
        <v/>
      </c>
      <c r="AE1530" s="57" t="str">
        <f>IF(B1530="","",YEAR(C1530))</f>
        <v/>
      </c>
      <c r="AF1530" s="57" t="str">
        <f>IF(B1530="","",MONTH(C1530))</f>
        <v/>
      </c>
      <c r="AG1530" s="57">
        <f>IF(ISNUMBER(C1530),C1530,0)</f>
        <v>0.0</v>
      </c>
      <c r="AH1530" s="57" t="str">
        <f>IF(N(W1530)&gt;0,COUNTIF(W$6:W1530,"&gt;0"),"")</f>
        <v/>
      </c>
      <c r="AI1530" s="57" t="str">
        <f>IF(Z1530=1,COUNTIF(Z$6:Z1530,1),"")</f>
        <v/>
      </c>
    </row>
    <row r="1531">
      <c r="A1531" s="54" t="n"/>
      <c r="B1531" s="55" t="str">
        <f>IF(AA1531="","",A1531&amp;"-"&amp;RIGHT("000"&amp;AA1531,4))</f>
        <v/>
      </c>
      <c r="C1531" s="56" t="n"/>
      <c r="D1531" s="54" t="n"/>
      <c r="E1531" s="57" t="str">
        <f>IF(D1531="","",IF(A1531="BL",IFERROR(INDEX(cl_name,MATCH(D1531,cl_code,0))&amp;"","Client inconnu"),IF(A1531="BR",IFERROR(INDEX(fo_name,MATCH(D1531,fo_code,0))&amp;"","Fournisseur inconnu"),IF(A1531="BS",IF(ISNA(MATCH(D1531,p_services,0)),"Service inconnu",D1531&amp;""),""))))</f>
        <v/>
      </c>
      <c r="F1531" s="58" t="n"/>
      <c r="G1531" s="58" t="n"/>
      <c r="H1531" s="59" t="n"/>
      <c r="I1531" s="57" t="str">
        <f>IF(H1531="","",IFERROR(INDEX(art_des,MATCH(H1531,art_ref,0))&amp;"","Article inconnu"))</f>
        <v/>
      </c>
      <c r="J1531" s="60" t="str">
        <f>IF(H1531="","",IFERROR(INDEX(art_unit,MATCH(H1531,art_ref,0))&amp;"",""))</f>
        <v/>
      </c>
      <c r="K1531" s="59" t="n"/>
      <c r="L1531" s="59" t="n"/>
      <c r="M1531" s="61" t="str">
        <f>IF(OR(B1531="",NOT(ISNUMBER(K1531)),NOT(ISNUMBER(L1531))),"",IF(OR(K1531&lt;=0,L1531&lt;=0),"",ROUND(L1531-K1531,6)))</f>
        <v/>
      </c>
      <c r="N1531" s="58" t="n"/>
      <c r="O1531" s="62" t="n"/>
      <c r="P1531" s="63" t="str">
        <f>IF(OR(B1531="",NOT(ISNUMBER(L1531))),"",IF(L1531&lt;=0,"",IFERROR(ROUND(L1531*N(INDEX(art_w,MATCH(H1531,art_ref,0))),3),"")))</f>
        <v/>
      </c>
      <c r="Q1531" s="59" t="n"/>
      <c r="R1531" s="54" t="n"/>
      <c r="S1531" s="59" t="n"/>
      <c r="T1531" s="59" t="n"/>
      <c r="U1531" s="64" t="str">
        <f>IF(OR(B1531="",H1531=""),"",IFERROR(IF(A1531="BL",IF(N(INDEX(art_price,MATCH(H1531,art_ref,0)))=0,"",N(INDEX(art_price,MATCH(H1531,art_ref,0)))),IF(N(INDEX(art_cost,MATCH(H1531,art_ref,0)))=0,"",N(INDEX(art_cost,MATCH(H1531,art_ref,0))))),""))</f>
        <v/>
      </c>
      <c r="V1531" s="64" t="str">
        <f>IF(OR(U1531="",NOT(ISNUMBER(L1531))),"",IF(L1531&lt;=0,"",ROUND(L1531*U1531,2)))</f>
        <v/>
      </c>
      <c r="W1531" s="60" t="str">
        <f>IF(AND(B1531&lt;&gt;"",A1531&lt;&gt;"BS",F1531&lt;&gt;"",H1531&lt;&gt;"",ISNUMBER(K1531),ISNUMBER(L1531)),IF(AND(K1531&gt;0,L1531&gt;0,K1531-L1531&gt;0,COUNTIFS(A1532:A$2005,A1531,F1532:F$2005,F1531,H1532:H$2005,H1531,AA1532:AA$2005,"&gt;0")=0),ROUND(K1531-L1531,6),""),"")</f>
        <v/>
      </c>
      <c r="X1531" s="60" t="str">
        <f>IF(AND(A1531="",C1531="",D1531="",H1531="",L1531=""),"",IF(A1531="","Type manquant",IF(AND(A1531&lt;&gt;"BL",A1531&lt;&gt;"BR",A1531&lt;&gt;"BS"),"Type inconnu (BL, BR ou BS)",IF(AG1531=0,"Date manquante ou invalide",IF(D1531="",IF(A1531="BL","Client manquant",IF(A1531="BR","Fournisseur manquant","Service manquant")),IF(IF(A1531="BL",ISNA(MATCH(D1531,cl_code,0)),IF(A1531="BR",ISNA(MATCH(D1531,fo_code,0)),ISNA(MATCH(D1531,p_services,0)))),IF(A1531="BL","Client inconnu",IF(A1531="BR","Fournisseur inconnu","Service inconnu")),IF(H1531="","Article manquant",IF(ISNA(MATCH(H1531,art_ref,0)),"Article inconnu",IF(OR(NOT(ISNUMBER(L1531)),N(L1531)&lt;=0),"Quantité invalide",IF(AND(K1531&lt;&gt;"",OR(NOT(ISNUMBER(K1531)),N(K1531)&lt;=0)),"Qté commandée invalide",IF(AG1531&lt;SUMPRODUCT(MAX((A$6:A1530=A1531)*AG$6:AG1530)),"Date antérieure au bon précédent",IF(AND(A1531&lt;&gt;"BR",ISNUMBER(M1531),N(M1531)&gt;0),IF(A1531="BL","Livré plus que commandé","Sorti plus que demandé"),"OK"))))))))))))</f>
        <v/>
      </c>
      <c r="Y1531" s="57" t="str">
        <f>IF(AND(OR(A1531="BL",A1531="BR",A1531="BS"),AG1531&gt;0,D1531&lt;&gt;""),A1531&amp;"|"&amp;AG1531&amp;"|"&amp;D1531&amp;"|"&amp;F1531,"")</f>
        <v/>
      </c>
      <c r="Z1531" s="57" t="str">
        <f>IF(Y1531="","",IF(COUNTIF(Y$6:Y1530,Y1531)=0,1,0))</f>
        <v/>
      </c>
      <c r="AA1531" s="57" t="str">
        <f>IF(Y1531="","",IF(Z1531=1,COUNTIFS(A$6:A1531,A1531,Z$6:Z1531,1),INDEX(AA$6:AA1530,MATCH(Y1531,Y$6:Y1530,0))))</f>
        <v/>
      </c>
      <c r="AB1531" s="57" t="str">
        <f>IF(B1531="","",COUNTIF(B$6:B1531,B1531))</f>
        <v/>
      </c>
      <c r="AC1531" s="57" t="str">
        <f>IF(B1531="","",B1531&amp;"#"&amp;AB1531)</f>
        <v/>
      </c>
      <c r="AD1531" s="57" t="str">
        <f>IF(Z1531=1,A1531&amp;AA1531,"")</f>
        <v/>
      </c>
      <c r="AE1531" s="57" t="str">
        <f>IF(B1531="","",YEAR(C1531))</f>
        <v/>
      </c>
      <c r="AF1531" s="57" t="str">
        <f>IF(B1531="","",MONTH(C1531))</f>
        <v/>
      </c>
      <c r="AG1531" s="57">
        <f>IF(ISNUMBER(C1531),C1531,0)</f>
        <v>0.0</v>
      </c>
      <c r="AH1531" s="57" t="str">
        <f>IF(N(W1531)&gt;0,COUNTIF(W$6:W1531,"&gt;0"),"")</f>
        <v/>
      </c>
      <c r="AI1531" s="57" t="str">
        <f>IF(Z1531=1,COUNTIF(Z$6:Z1531,1),"")</f>
        <v/>
      </c>
    </row>
    <row r="1532">
      <c r="A1532" s="54" t="n"/>
      <c r="B1532" s="55" t="str">
        <f>IF(AA1532="","",A1532&amp;"-"&amp;RIGHT("000"&amp;AA1532,4))</f>
        <v/>
      </c>
      <c r="C1532" s="56" t="n"/>
      <c r="D1532" s="54" t="n"/>
      <c r="E1532" s="57" t="str">
        <f>IF(D1532="","",IF(A1532="BL",IFERROR(INDEX(cl_name,MATCH(D1532,cl_code,0))&amp;"","Client inconnu"),IF(A1532="BR",IFERROR(INDEX(fo_name,MATCH(D1532,fo_code,0))&amp;"","Fournisseur inconnu"),IF(A1532="BS",IF(ISNA(MATCH(D1532,p_services,0)),"Service inconnu",D1532&amp;""),""))))</f>
        <v/>
      </c>
      <c r="F1532" s="58" t="n"/>
      <c r="G1532" s="58" t="n"/>
      <c r="H1532" s="59" t="n"/>
      <c r="I1532" s="57" t="str">
        <f>IF(H1532="","",IFERROR(INDEX(art_des,MATCH(H1532,art_ref,0))&amp;"","Article inconnu"))</f>
        <v/>
      </c>
      <c r="J1532" s="60" t="str">
        <f>IF(H1532="","",IFERROR(INDEX(art_unit,MATCH(H1532,art_ref,0))&amp;"",""))</f>
        <v/>
      </c>
      <c r="K1532" s="59" t="n"/>
      <c r="L1532" s="59" t="n"/>
      <c r="M1532" s="61" t="str">
        <f>IF(OR(B1532="",NOT(ISNUMBER(K1532)),NOT(ISNUMBER(L1532))),"",IF(OR(K1532&lt;=0,L1532&lt;=0),"",ROUND(L1532-K1532,6)))</f>
        <v/>
      </c>
      <c r="N1532" s="58" t="n"/>
      <c r="O1532" s="62" t="n"/>
      <c r="P1532" s="63" t="str">
        <f>IF(OR(B1532="",NOT(ISNUMBER(L1532))),"",IF(L1532&lt;=0,"",IFERROR(ROUND(L1532*N(INDEX(art_w,MATCH(H1532,art_ref,0))),3),"")))</f>
        <v/>
      </c>
      <c r="Q1532" s="59" t="n"/>
      <c r="R1532" s="54" t="n"/>
      <c r="S1532" s="59" t="n"/>
      <c r="T1532" s="59" t="n"/>
      <c r="U1532" s="64" t="str">
        <f>IF(OR(B1532="",H1532=""),"",IFERROR(IF(A1532="BL",IF(N(INDEX(art_price,MATCH(H1532,art_ref,0)))=0,"",N(INDEX(art_price,MATCH(H1532,art_ref,0)))),IF(N(INDEX(art_cost,MATCH(H1532,art_ref,0)))=0,"",N(INDEX(art_cost,MATCH(H1532,art_ref,0))))),""))</f>
        <v/>
      </c>
      <c r="V1532" s="64" t="str">
        <f>IF(OR(U1532="",NOT(ISNUMBER(L1532))),"",IF(L1532&lt;=0,"",ROUND(L1532*U1532,2)))</f>
        <v/>
      </c>
      <c r="W1532" s="60" t="str">
        <f>IF(AND(B1532&lt;&gt;"",A1532&lt;&gt;"BS",F1532&lt;&gt;"",H1532&lt;&gt;"",ISNUMBER(K1532),ISNUMBER(L1532)),IF(AND(K1532&gt;0,L1532&gt;0,K1532-L1532&gt;0,COUNTIFS(A1533:A$2005,A1532,F1533:F$2005,F1532,H1533:H$2005,H1532,AA1533:AA$2005,"&gt;0")=0),ROUND(K1532-L1532,6),""),"")</f>
        <v/>
      </c>
      <c r="X1532" s="60" t="str">
        <f>IF(AND(A1532="",C1532="",D1532="",H1532="",L1532=""),"",IF(A1532="","Type manquant",IF(AND(A1532&lt;&gt;"BL",A1532&lt;&gt;"BR",A1532&lt;&gt;"BS"),"Type inconnu (BL, BR ou BS)",IF(AG1532=0,"Date manquante ou invalide",IF(D1532="",IF(A1532="BL","Client manquant",IF(A1532="BR","Fournisseur manquant","Service manquant")),IF(IF(A1532="BL",ISNA(MATCH(D1532,cl_code,0)),IF(A1532="BR",ISNA(MATCH(D1532,fo_code,0)),ISNA(MATCH(D1532,p_services,0)))),IF(A1532="BL","Client inconnu",IF(A1532="BR","Fournisseur inconnu","Service inconnu")),IF(H1532="","Article manquant",IF(ISNA(MATCH(H1532,art_ref,0)),"Article inconnu",IF(OR(NOT(ISNUMBER(L1532)),N(L1532)&lt;=0),"Quantité invalide",IF(AND(K1532&lt;&gt;"",OR(NOT(ISNUMBER(K1532)),N(K1532)&lt;=0)),"Qté commandée invalide",IF(AG1532&lt;SUMPRODUCT(MAX((A$6:A1531=A1532)*AG$6:AG1531)),"Date antérieure au bon précédent",IF(AND(A1532&lt;&gt;"BR",ISNUMBER(M1532),N(M1532)&gt;0),IF(A1532="BL","Livré plus que commandé","Sorti plus que demandé"),"OK"))))))))))))</f>
        <v/>
      </c>
      <c r="Y1532" s="57" t="str">
        <f>IF(AND(OR(A1532="BL",A1532="BR",A1532="BS"),AG1532&gt;0,D1532&lt;&gt;""),A1532&amp;"|"&amp;AG1532&amp;"|"&amp;D1532&amp;"|"&amp;F1532,"")</f>
        <v/>
      </c>
      <c r="Z1532" s="57" t="str">
        <f>IF(Y1532="","",IF(COUNTIF(Y$6:Y1531,Y1532)=0,1,0))</f>
        <v/>
      </c>
      <c r="AA1532" s="57" t="str">
        <f>IF(Y1532="","",IF(Z1532=1,COUNTIFS(A$6:A1532,A1532,Z$6:Z1532,1),INDEX(AA$6:AA1531,MATCH(Y1532,Y$6:Y1531,0))))</f>
        <v/>
      </c>
      <c r="AB1532" s="57" t="str">
        <f>IF(B1532="","",COUNTIF(B$6:B1532,B1532))</f>
        <v/>
      </c>
      <c r="AC1532" s="57" t="str">
        <f>IF(B1532="","",B1532&amp;"#"&amp;AB1532)</f>
        <v/>
      </c>
      <c r="AD1532" s="57" t="str">
        <f>IF(Z1532=1,A1532&amp;AA1532,"")</f>
        <v/>
      </c>
      <c r="AE1532" s="57" t="str">
        <f>IF(B1532="","",YEAR(C1532))</f>
        <v/>
      </c>
      <c r="AF1532" s="57" t="str">
        <f>IF(B1532="","",MONTH(C1532))</f>
        <v/>
      </c>
      <c r="AG1532" s="57">
        <f>IF(ISNUMBER(C1532),C1532,0)</f>
        <v>0.0</v>
      </c>
      <c r="AH1532" s="57" t="str">
        <f>IF(N(W1532)&gt;0,COUNTIF(W$6:W1532,"&gt;0"),"")</f>
        <v/>
      </c>
      <c r="AI1532" s="57" t="str">
        <f>IF(Z1532=1,COUNTIF(Z$6:Z1532,1),"")</f>
        <v/>
      </c>
    </row>
    <row r="1533">
      <c r="A1533" s="54" t="n"/>
      <c r="B1533" s="55" t="str">
        <f>IF(AA1533="","",A1533&amp;"-"&amp;RIGHT("000"&amp;AA1533,4))</f>
        <v/>
      </c>
      <c r="C1533" s="56" t="n"/>
      <c r="D1533" s="54" t="n"/>
      <c r="E1533" s="57" t="str">
        <f>IF(D1533="","",IF(A1533="BL",IFERROR(INDEX(cl_name,MATCH(D1533,cl_code,0))&amp;"","Client inconnu"),IF(A1533="BR",IFERROR(INDEX(fo_name,MATCH(D1533,fo_code,0))&amp;"","Fournisseur inconnu"),IF(A1533="BS",IF(ISNA(MATCH(D1533,p_services,0)),"Service inconnu",D1533&amp;""),""))))</f>
        <v/>
      </c>
      <c r="F1533" s="58" t="n"/>
      <c r="G1533" s="58" t="n"/>
      <c r="H1533" s="59" t="n"/>
      <c r="I1533" s="57" t="str">
        <f>IF(H1533="","",IFERROR(INDEX(art_des,MATCH(H1533,art_ref,0))&amp;"","Article inconnu"))</f>
        <v/>
      </c>
      <c r="J1533" s="60" t="str">
        <f>IF(H1533="","",IFERROR(INDEX(art_unit,MATCH(H1533,art_ref,0))&amp;"",""))</f>
        <v/>
      </c>
      <c r="K1533" s="59" t="n"/>
      <c r="L1533" s="59" t="n"/>
      <c r="M1533" s="61" t="str">
        <f>IF(OR(B1533="",NOT(ISNUMBER(K1533)),NOT(ISNUMBER(L1533))),"",IF(OR(K1533&lt;=0,L1533&lt;=0),"",ROUND(L1533-K1533,6)))</f>
        <v/>
      </c>
      <c r="N1533" s="58" t="n"/>
      <c r="O1533" s="62" t="n"/>
      <c r="P1533" s="63" t="str">
        <f>IF(OR(B1533="",NOT(ISNUMBER(L1533))),"",IF(L1533&lt;=0,"",IFERROR(ROUND(L1533*N(INDEX(art_w,MATCH(H1533,art_ref,0))),3),"")))</f>
        <v/>
      </c>
      <c r="Q1533" s="59" t="n"/>
      <c r="R1533" s="54" t="n"/>
      <c r="S1533" s="59" t="n"/>
      <c r="T1533" s="59" t="n"/>
      <c r="U1533" s="64" t="str">
        <f>IF(OR(B1533="",H1533=""),"",IFERROR(IF(A1533="BL",IF(N(INDEX(art_price,MATCH(H1533,art_ref,0)))=0,"",N(INDEX(art_price,MATCH(H1533,art_ref,0)))),IF(N(INDEX(art_cost,MATCH(H1533,art_ref,0)))=0,"",N(INDEX(art_cost,MATCH(H1533,art_ref,0))))),""))</f>
        <v/>
      </c>
      <c r="V1533" s="64" t="str">
        <f>IF(OR(U1533="",NOT(ISNUMBER(L1533))),"",IF(L1533&lt;=0,"",ROUND(L1533*U1533,2)))</f>
        <v/>
      </c>
      <c r="W1533" s="60" t="str">
        <f>IF(AND(B1533&lt;&gt;"",A1533&lt;&gt;"BS",F1533&lt;&gt;"",H1533&lt;&gt;"",ISNUMBER(K1533),ISNUMBER(L1533)),IF(AND(K1533&gt;0,L1533&gt;0,K1533-L1533&gt;0,COUNTIFS(A1534:A$2005,A1533,F1534:F$2005,F1533,H1534:H$2005,H1533,AA1534:AA$2005,"&gt;0")=0),ROUND(K1533-L1533,6),""),"")</f>
        <v/>
      </c>
      <c r="X1533" s="60" t="str">
        <f>IF(AND(A1533="",C1533="",D1533="",H1533="",L1533=""),"",IF(A1533="","Type manquant",IF(AND(A1533&lt;&gt;"BL",A1533&lt;&gt;"BR",A1533&lt;&gt;"BS"),"Type inconnu (BL, BR ou BS)",IF(AG1533=0,"Date manquante ou invalide",IF(D1533="",IF(A1533="BL","Client manquant",IF(A1533="BR","Fournisseur manquant","Service manquant")),IF(IF(A1533="BL",ISNA(MATCH(D1533,cl_code,0)),IF(A1533="BR",ISNA(MATCH(D1533,fo_code,0)),ISNA(MATCH(D1533,p_services,0)))),IF(A1533="BL","Client inconnu",IF(A1533="BR","Fournisseur inconnu","Service inconnu")),IF(H1533="","Article manquant",IF(ISNA(MATCH(H1533,art_ref,0)),"Article inconnu",IF(OR(NOT(ISNUMBER(L1533)),N(L1533)&lt;=0),"Quantité invalide",IF(AND(K1533&lt;&gt;"",OR(NOT(ISNUMBER(K1533)),N(K1533)&lt;=0)),"Qté commandée invalide",IF(AG1533&lt;SUMPRODUCT(MAX((A$6:A1532=A1533)*AG$6:AG1532)),"Date antérieure au bon précédent",IF(AND(A1533&lt;&gt;"BR",ISNUMBER(M1533),N(M1533)&gt;0),IF(A1533="BL","Livré plus que commandé","Sorti plus que demandé"),"OK"))))))))))))</f>
        <v/>
      </c>
      <c r="Y1533" s="57" t="str">
        <f>IF(AND(OR(A1533="BL",A1533="BR",A1533="BS"),AG1533&gt;0,D1533&lt;&gt;""),A1533&amp;"|"&amp;AG1533&amp;"|"&amp;D1533&amp;"|"&amp;F1533,"")</f>
        <v/>
      </c>
      <c r="Z1533" s="57" t="str">
        <f>IF(Y1533="","",IF(COUNTIF(Y$6:Y1532,Y1533)=0,1,0))</f>
        <v/>
      </c>
      <c r="AA1533" s="57" t="str">
        <f>IF(Y1533="","",IF(Z1533=1,COUNTIFS(A$6:A1533,A1533,Z$6:Z1533,1),INDEX(AA$6:AA1532,MATCH(Y1533,Y$6:Y1532,0))))</f>
        <v/>
      </c>
      <c r="AB1533" s="57" t="str">
        <f>IF(B1533="","",COUNTIF(B$6:B1533,B1533))</f>
        <v/>
      </c>
      <c r="AC1533" s="57" t="str">
        <f>IF(B1533="","",B1533&amp;"#"&amp;AB1533)</f>
        <v/>
      </c>
      <c r="AD1533" s="57" t="str">
        <f>IF(Z1533=1,A1533&amp;AA1533,"")</f>
        <v/>
      </c>
      <c r="AE1533" s="57" t="str">
        <f>IF(B1533="","",YEAR(C1533))</f>
        <v/>
      </c>
      <c r="AF1533" s="57" t="str">
        <f>IF(B1533="","",MONTH(C1533))</f>
        <v/>
      </c>
      <c r="AG1533" s="57">
        <f>IF(ISNUMBER(C1533),C1533,0)</f>
        <v>0.0</v>
      </c>
      <c r="AH1533" s="57" t="str">
        <f>IF(N(W1533)&gt;0,COUNTIF(W$6:W1533,"&gt;0"),"")</f>
        <v/>
      </c>
      <c r="AI1533" s="57" t="str">
        <f>IF(Z1533=1,COUNTIF(Z$6:Z1533,1),"")</f>
        <v/>
      </c>
    </row>
    <row r="1534">
      <c r="A1534" s="54" t="n"/>
      <c r="B1534" s="55" t="str">
        <f>IF(AA1534="","",A1534&amp;"-"&amp;RIGHT("000"&amp;AA1534,4))</f>
        <v/>
      </c>
      <c r="C1534" s="56" t="n"/>
      <c r="D1534" s="54" t="n"/>
      <c r="E1534" s="57" t="str">
        <f>IF(D1534="","",IF(A1534="BL",IFERROR(INDEX(cl_name,MATCH(D1534,cl_code,0))&amp;"","Client inconnu"),IF(A1534="BR",IFERROR(INDEX(fo_name,MATCH(D1534,fo_code,0))&amp;"","Fournisseur inconnu"),IF(A1534="BS",IF(ISNA(MATCH(D1534,p_services,0)),"Service inconnu",D1534&amp;""),""))))</f>
        <v/>
      </c>
      <c r="F1534" s="58" t="n"/>
      <c r="G1534" s="58" t="n"/>
      <c r="H1534" s="59" t="n"/>
      <c r="I1534" s="57" t="str">
        <f>IF(H1534="","",IFERROR(INDEX(art_des,MATCH(H1534,art_ref,0))&amp;"","Article inconnu"))</f>
        <v/>
      </c>
      <c r="J1534" s="60" t="str">
        <f>IF(H1534="","",IFERROR(INDEX(art_unit,MATCH(H1534,art_ref,0))&amp;"",""))</f>
        <v/>
      </c>
      <c r="K1534" s="59" t="n"/>
      <c r="L1534" s="59" t="n"/>
      <c r="M1534" s="61" t="str">
        <f>IF(OR(B1534="",NOT(ISNUMBER(K1534)),NOT(ISNUMBER(L1534))),"",IF(OR(K1534&lt;=0,L1534&lt;=0),"",ROUND(L1534-K1534,6)))</f>
        <v/>
      </c>
      <c r="N1534" s="58" t="n"/>
      <c r="O1534" s="62" t="n"/>
      <c r="P1534" s="63" t="str">
        <f>IF(OR(B1534="",NOT(ISNUMBER(L1534))),"",IF(L1534&lt;=0,"",IFERROR(ROUND(L1534*N(INDEX(art_w,MATCH(H1534,art_ref,0))),3),"")))</f>
        <v/>
      </c>
      <c r="Q1534" s="59" t="n"/>
      <c r="R1534" s="54" t="n"/>
      <c r="S1534" s="59" t="n"/>
      <c r="T1534" s="59" t="n"/>
      <c r="U1534" s="64" t="str">
        <f>IF(OR(B1534="",H1534=""),"",IFERROR(IF(A1534="BL",IF(N(INDEX(art_price,MATCH(H1534,art_ref,0)))=0,"",N(INDEX(art_price,MATCH(H1534,art_ref,0)))),IF(N(INDEX(art_cost,MATCH(H1534,art_ref,0)))=0,"",N(INDEX(art_cost,MATCH(H1534,art_ref,0))))),""))</f>
        <v/>
      </c>
      <c r="V1534" s="64" t="str">
        <f>IF(OR(U1534="",NOT(ISNUMBER(L1534))),"",IF(L1534&lt;=0,"",ROUND(L1534*U1534,2)))</f>
        <v/>
      </c>
      <c r="W1534" s="60" t="str">
        <f>IF(AND(B1534&lt;&gt;"",A1534&lt;&gt;"BS",F1534&lt;&gt;"",H1534&lt;&gt;"",ISNUMBER(K1534),ISNUMBER(L1534)),IF(AND(K1534&gt;0,L1534&gt;0,K1534-L1534&gt;0,COUNTIFS(A1535:A$2005,A1534,F1535:F$2005,F1534,H1535:H$2005,H1534,AA1535:AA$2005,"&gt;0")=0),ROUND(K1534-L1534,6),""),"")</f>
        <v/>
      </c>
      <c r="X1534" s="60" t="str">
        <f>IF(AND(A1534="",C1534="",D1534="",H1534="",L1534=""),"",IF(A1534="","Type manquant",IF(AND(A1534&lt;&gt;"BL",A1534&lt;&gt;"BR",A1534&lt;&gt;"BS"),"Type inconnu (BL, BR ou BS)",IF(AG1534=0,"Date manquante ou invalide",IF(D1534="",IF(A1534="BL","Client manquant",IF(A1534="BR","Fournisseur manquant","Service manquant")),IF(IF(A1534="BL",ISNA(MATCH(D1534,cl_code,0)),IF(A1534="BR",ISNA(MATCH(D1534,fo_code,0)),ISNA(MATCH(D1534,p_services,0)))),IF(A1534="BL","Client inconnu",IF(A1534="BR","Fournisseur inconnu","Service inconnu")),IF(H1534="","Article manquant",IF(ISNA(MATCH(H1534,art_ref,0)),"Article inconnu",IF(OR(NOT(ISNUMBER(L1534)),N(L1534)&lt;=0),"Quantité invalide",IF(AND(K1534&lt;&gt;"",OR(NOT(ISNUMBER(K1534)),N(K1534)&lt;=0)),"Qté commandée invalide",IF(AG1534&lt;SUMPRODUCT(MAX((A$6:A1533=A1534)*AG$6:AG1533)),"Date antérieure au bon précédent",IF(AND(A1534&lt;&gt;"BR",ISNUMBER(M1534),N(M1534)&gt;0),IF(A1534="BL","Livré plus que commandé","Sorti plus que demandé"),"OK"))))))))))))</f>
        <v/>
      </c>
      <c r="Y1534" s="57" t="str">
        <f>IF(AND(OR(A1534="BL",A1534="BR",A1534="BS"),AG1534&gt;0,D1534&lt;&gt;""),A1534&amp;"|"&amp;AG1534&amp;"|"&amp;D1534&amp;"|"&amp;F1534,"")</f>
        <v/>
      </c>
      <c r="Z1534" s="57" t="str">
        <f>IF(Y1534="","",IF(COUNTIF(Y$6:Y1533,Y1534)=0,1,0))</f>
        <v/>
      </c>
      <c r="AA1534" s="57" t="str">
        <f>IF(Y1534="","",IF(Z1534=1,COUNTIFS(A$6:A1534,A1534,Z$6:Z1534,1),INDEX(AA$6:AA1533,MATCH(Y1534,Y$6:Y1533,0))))</f>
        <v/>
      </c>
      <c r="AB1534" s="57" t="str">
        <f>IF(B1534="","",COUNTIF(B$6:B1534,B1534))</f>
        <v/>
      </c>
      <c r="AC1534" s="57" t="str">
        <f>IF(B1534="","",B1534&amp;"#"&amp;AB1534)</f>
        <v/>
      </c>
      <c r="AD1534" s="57" t="str">
        <f>IF(Z1534=1,A1534&amp;AA1534,"")</f>
        <v/>
      </c>
      <c r="AE1534" s="57" t="str">
        <f>IF(B1534="","",YEAR(C1534))</f>
        <v/>
      </c>
      <c r="AF1534" s="57" t="str">
        <f>IF(B1534="","",MONTH(C1534))</f>
        <v/>
      </c>
      <c r="AG1534" s="57">
        <f>IF(ISNUMBER(C1534),C1534,0)</f>
        <v>0.0</v>
      </c>
      <c r="AH1534" s="57" t="str">
        <f>IF(N(W1534)&gt;0,COUNTIF(W$6:W1534,"&gt;0"),"")</f>
        <v/>
      </c>
      <c r="AI1534" s="57" t="str">
        <f>IF(Z1534=1,COUNTIF(Z$6:Z1534,1),"")</f>
        <v/>
      </c>
    </row>
    <row r="1535">
      <c r="A1535" s="54" t="n"/>
      <c r="B1535" s="55" t="str">
        <f>IF(AA1535="","",A1535&amp;"-"&amp;RIGHT("000"&amp;AA1535,4))</f>
        <v/>
      </c>
      <c r="C1535" s="56" t="n"/>
      <c r="D1535" s="54" t="n"/>
      <c r="E1535" s="57" t="str">
        <f>IF(D1535="","",IF(A1535="BL",IFERROR(INDEX(cl_name,MATCH(D1535,cl_code,0))&amp;"","Client inconnu"),IF(A1535="BR",IFERROR(INDEX(fo_name,MATCH(D1535,fo_code,0))&amp;"","Fournisseur inconnu"),IF(A1535="BS",IF(ISNA(MATCH(D1535,p_services,0)),"Service inconnu",D1535&amp;""),""))))</f>
        <v/>
      </c>
      <c r="F1535" s="58" t="n"/>
      <c r="G1535" s="58" t="n"/>
      <c r="H1535" s="59" t="n"/>
      <c r="I1535" s="57" t="str">
        <f>IF(H1535="","",IFERROR(INDEX(art_des,MATCH(H1535,art_ref,0))&amp;"","Article inconnu"))</f>
        <v/>
      </c>
      <c r="J1535" s="60" t="str">
        <f>IF(H1535="","",IFERROR(INDEX(art_unit,MATCH(H1535,art_ref,0))&amp;"",""))</f>
        <v/>
      </c>
      <c r="K1535" s="59" t="n"/>
      <c r="L1535" s="59" t="n"/>
      <c r="M1535" s="61" t="str">
        <f>IF(OR(B1535="",NOT(ISNUMBER(K1535)),NOT(ISNUMBER(L1535))),"",IF(OR(K1535&lt;=0,L1535&lt;=0),"",ROUND(L1535-K1535,6)))</f>
        <v/>
      </c>
      <c r="N1535" s="58" t="n"/>
      <c r="O1535" s="62" t="n"/>
      <c r="P1535" s="63" t="str">
        <f>IF(OR(B1535="",NOT(ISNUMBER(L1535))),"",IF(L1535&lt;=0,"",IFERROR(ROUND(L1535*N(INDEX(art_w,MATCH(H1535,art_ref,0))),3),"")))</f>
        <v/>
      </c>
      <c r="Q1535" s="59" t="n"/>
      <c r="R1535" s="54" t="n"/>
      <c r="S1535" s="59" t="n"/>
      <c r="T1535" s="59" t="n"/>
      <c r="U1535" s="64" t="str">
        <f>IF(OR(B1535="",H1535=""),"",IFERROR(IF(A1535="BL",IF(N(INDEX(art_price,MATCH(H1535,art_ref,0)))=0,"",N(INDEX(art_price,MATCH(H1535,art_ref,0)))),IF(N(INDEX(art_cost,MATCH(H1535,art_ref,0)))=0,"",N(INDEX(art_cost,MATCH(H1535,art_ref,0))))),""))</f>
        <v/>
      </c>
      <c r="V1535" s="64" t="str">
        <f>IF(OR(U1535="",NOT(ISNUMBER(L1535))),"",IF(L1535&lt;=0,"",ROUND(L1535*U1535,2)))</f>
        <v/>
      </c>
      <c r="W1535" s="60" t="str">
        <f>IF(AND(B1535&lt;&gt;"",A1535&lt;&gt;"BS",F1535&lt;&gt;"",H1535&lt;&gt;"",ISNUMBER(K1535),ISNUMBER(L1535)),IF(AND(K1535&gt;0,L1535&gt;0,K1535-L1535&gt;0,COUNTIFS(A1536:A$2005,A1535,F1536:F$2005,F1535,H1536:H$2005,H1535,AA1536:AA$2005,"&gt;0")=0),ROUND(K1535-L1535,6),""),"")</f>
        <v/>
      </c>
      <c r="X1535" s="60" t="str">
        <f>IF(AND(A1535="",C1535="",D1535="",H1535="",L1535=""),"",IF(A1535="","Type manquant",IF(AND(A1535&lt;&gt;"BL",A1535&lt;&gt;"BR",A1535&lt;&gt;"BS"),"Type inconnu (BL, BR ou BS)",IF(AG1535=0,"Date manquante ou invalide",IF(D1535="",IF(A1535="BL","Client manquant",IF(A1535="BR","Fournisseur manquant","Service manquant")),IF(IF(A1535="BL",ISNA(MATCH(D1535,cl_code,0)),IF(A1535="BR",ISNA(MATCH(D1535,fo_code,0)),ISNA(MATCH(D1535,p_services,0)))),IF(A1535="BL","Client inconnu",IF(A1535="BR","Fournisseur inconnu","Service inconnu")),IF(H1535="","Article manquant",IF(ISNA(MATCH(H1535,art_ref,0)),"Article inconnu",IF(OR(NOT(ISNUMBER(L1535)),N(L1535)&lt;=0),"Quantité invalide",IF(AND(K1535&lt;&gt;"",OR(NOT(ISNUMBER(K1535)),N(K1535)&lt;=0)),"Qté commandée invalide",IF(AG1535&lt;SUMPRODUCT(MAX((A$6:A1534=A1535)*AG$6:AG1534)),"Date antérieure au bon précédent",IF(AND(A1535&lt;&gt;"BR",ISNUMBER(M1535),N(M1535)&gt;0),IF(A1535="BL","Livré plus que commandé","Sorti plus que demandé"),"OK"))))))))))))</f>
        <v/>
      </c>
      <c r="Y1535" s="57" t="str">
        <f>IF(AND(OR(A1535="BL",A1535="BR",A1535="BS"),AG1535&gt;0,D1535&lt;&gt;""),A1535&amp;"|"&amp;AG1535&amp;"|"&amp;D1535&amp;"|"&amp;F1535,"")</f>
        <v/>
      </c>
      <c r="Z1535" s="57" t="str">
        <f>IF(Y1535="","",IF(COUNTIF(Y$6:Y1534,Y1535)=0,1,0))</f>
        <v/>
      </c>
      <c r="AA1535" s="57" t="str">
        <f>IF(Y1535="","",IF(Z1535=1,COUNTIFS(A$6:A1535,A1535,Z$6:Z1535,1),INDEX(AA$6:AA1534,MATCH(Y1535,Y$6:Y1534,0))))</f>
        <v/>
      </c>
      <c r="AB1535" s="57" t="str">
        <f>IF(B1535="","",COUNTIF(B$6:B1535,B1535))</f>
        <v/>
      </c>
      <c r="AC1535" s="57" t="str">
        <f>IF(B1535="","",B1535&amp;"#"&amp;AB1535)</f>
        <v/>
      </c>
      <c r="AD1535" s="57" t="str">
        <f>IF(Z1535=1,A1535&amp;AA1535,"")</f>
        <v/>
      </c>
      <c r="AE1535" s="57" t="str">
        <f>IF(B1535="","",YEAR(C1535))</f>
        <v/>
      </c>
      <c r="AF1535" s="57" t="str">
        <f>IF(B1535="","",MONTH(C1535))</f>
        <v/>
      </c>
      <c r="AG1535" s="57">
        <f>IF(ISNUMBER(C1535),C1535,0)</f>
        <v>0.0</v>
      </c>
      <c r="AH1535" s="57" t="str">
        <f>IF(N(W1535)&gt;0,COUNTIF(W$6:W1535,"&gt;0"),"")</f>
        <v/>
      </c>
      <c r="AI1535" s="57" t="str">
        <f>IF(Z1535=1,COUNTIF(Z$6:Z1535,1),"")</f>
        <v/>
      </c>
    </row>
    <row r="1536">
      <c r="A1536" s="54" t="n"/>
      <c r="B1536" s="55" t="str">
        <f>IF(AA1536="","",A1536&amp;"-"&amp;RIGHT("000"&amp;AA1536,4))</f>
        <v/>
      </c>
      <c r="C1536" s="56" t="n"/>
      <c r="D1536" s="54" t="n"/>
      <c r="E1536" s="57" t="str">
        <f>IF(D1536="","",IF(A1536="BL",IFERROR(INDEX(cl_name,MATCH(D1536,cl_code,0))&amp;"","Client inconnu"),IF(A1536="BR",IFERROR(INDEX(fo_name,MATCH(D1536,fo_code,0))&amp;"","Fournisseur inconnu"),IF(A1536="BS",IF(ISNA(MATCH(D1536,p_services,0)),"Service inconnu",D1536&amp;""),""))))</f>
        <v/>
      </c>
      <c r="F1536" s="58" t="n"/>
      <c r="G1536" s="58" t="n"/>
      <c r="H1536" s="59" t="n"/>
      <c r="I1536" s="57" t="str">
        <f>IF(H1536="","",IFERROR(INDEX(art_des,MATCH(H1536,art_ref,0))&amp;"","Article inconnu"))</f>
        <v/>
      </c>
      <c r="J1536" s="60" t="str">
        <f>IF(H1536="","",IFERROR(INDEX(art_unit,MATCH(H1536,art_ref,0))&amp;"",""))</f>
        <v/>
      </c>
      <c r="K1536" s="59" t="n"/>
      <c r="L1536" s="59" t="n"/>
      <c r="M1536" s="61" t="str">
        <f>IF(OR(B1536="",NOT(ISNUMBER(K1536)),NOT(ISNUMBER(L1536))),"",IF(OR(K1536&lt;=0,L1536&lt;=0),"",ROUND(L1536-K1536,6)))</f>
        <v/>
      </c>
      <c r="N1536" s="58" t="n"/>
      <c r="O1536" s="62" t="n"/>
      <c r="P1536" s="63" t="str">
        <f>IF(OR(B1536="",NOT(ISNUMBER(L1536))),"",IF(L1536&lt;=0,"",IFERROR(ROUND(L1536*N(INDEX(art_w,MATCH(H1536,art_ref,0))),3),"")))</f>
        <v/>
      </c>
      <c r="Q1536" s="59" t="n"/>
      <c r="R1536" s="54" t="n"/>
      <c r="S1536" s="59" t="n"/>
      <c r="T1536" s="59" t="n"/>
      <c r="U1536" s="64" t="str">
        <f>IF(OR(B1536="",H1536=""),"",IFERROR(IF(A1536="BL",IF(N(INDEX(art_price,MATCH(H1536,art_ref,0)))=0,"",N(INDEX(art_price,MATCH(H1536,art_ref,0)))),IF(N(INDEX(art_cost,MATCH(H1536,art_ref,0)))=0,"",N(INDEX(art_cost,MATCH(H1536,art_ref,0))))),""))</f>
        <v/>
      </c>
      <c r="V1536" s="64" t="str">
        <f>IF(OR(U1536="",NOT(ISNUMBER(L1536))),"",IF(L1536&lt;=0,"",ROUND(L1536*U1536,2)))</f>
        <v/>
      </c>
      <c r="W1536" s="60" t="str">
        <f>IF(AND(B1536&lt;&gt;"",A1536&lt;&gt;"BS",F1536&lt;&gt;"",H1536&lt;&gt;"",ISNUMBER(K1536),ISNUMBER(L1536)),IF(AND(K1536&gt;0,L1536&gt;0,K1536-L1536&gt;0,COUNTIFS(A1537:A$2005,A1536,F1537:F$2005,F1536,H1537:H$2005,H1536,AA1537:AA$2005,"&gt;0")=0),ROUND(K1536-L1536,6),""),"")</f>
        <v/>
      </c>
      <c r="X1536" s="60" t="str">
        <f>IF(AND(A1536="",C1536="",D1536="",H1536="",L1536=""),"",IF(A1536="","Type manquant",IF(AND(A1536&lt;&gt;"BL",A1536&lt;&gt;"BR",A1536&lt;&gt;"BS"),"Type inconnu (BL, BR ou BS)",IF(AG1536=0,"Date manquante ou invalide",IF(D1536="",IF(A1536="BL","Client manquant",IF(A1536="BR","Fournisseur manquant","Service manquant")),IF(IF(A1536="BL",ISNA(MATCH(D1536,cl_code,0)),IF(A1536="BR",ISNA(MATCH(D1536,fo_code,0)),ISNA(MATCH(D1536,p_services,0)))),IF(A1536="BL","Client inconnu",IF(A1536="BR","Fournisseur inconnu","Service inconnu")),IF(H1536="","Article manquant",IF(ISNA(MATCH(H1536,art_ref,0)),"Article inconnu",IF(OR(NOT(ISNUMBER(L1536)),N(L1536)&lt;=0),"Quantité invalide",IF(AND(K1536&lt;&gt;"",OR(NOT(ISNUMBER(K1536)),N(K1536)&lt;=0)),"Qté commandée invalide",IF(AG1536&lt;SUMPRODUCT(MAX((A$6:A1535=A1536)*AG$6:AG1535)),"Date antérieure au bon précédent",IF(AND(A1536&lt;&gt;"BR",ISNUMBER(M1536),N(M1536)&gt;0),IF(A1536="BL","Livré plus que commandé","Sorti plus que demandé"),"OK"))))))))))))</f>
        <v/>
      </c>
      <c r="Y1536" s="57" t="str">
        <f>IF(AND(OR(A1536="BL",A1536="BR",A1536="BS"),AG1536&gt;0,D1536&lt;&gt;""),A1536&amp;"|"&amp;AG1536&amp;"|"&amp;D1536&amp;"|"&amp;F1536,"")</f>
        <v/>
      </c>
      <c r="Z1536" s="57" t="str">
        <f>IF(Y1536="","",IF(COUNTIF(Y$6:Y1535,Y1536)=0,1,0))</f>
        <v/>
      </c>
      <c r="AA1536" s="57" t="str">
        <f>IF(Y1536="","",IF(Z1536=1,COUNTIFS(A$6:A1536,A1536,Z$6:Z1536,1),INDEX(AA$6:AA1535,MATCH(Y1536,Y$6:Y1535,0))))</f>
        <v/>
      </c>
      <c r="AB1536" s="57" t="str">
        <f>IF(B1536="","",COUNTIF(B$6:B1536,B1536))</f>
        <v/>
      </c>
      <c r="AC1536" s="57" t="str">
        <f>IF(B1536="","",B1536&amp;"#"&amp;AB1536)</f>
        <v/>
      </c>
      <c r="AD1536" s="57" t="str">
        <f>IF(Z1536=1,A1536&amp;AA1536,"")</f>
        <v/>
      </c>
      <c r="AE1536" s="57" t="str">
        <f>IF(B1536="","",YEAR(C1536))</f>
        <v/>
      </c>
      <c r="AF1536" s="57" t="str">
        <f>IF(B1536="","",MONTH(C1536))</f>
        <v/>
      </c>
      <c r="AG1536" s="57">
        <f>IF(ISNUMBER(C1536),C1536,0)</f>
        <v>0.0</v>
      </c>
      <c r="AH1536" s="57" t="str">
        <f>IF(N(W1536)&gt;0,COUNTIF(W$6:W1536,"&gt;0"),"")</f>
        <v/>
      </c>
      <c r="AI1536" s="57" t="str">
        <f>IF(Z1536=1,COUNTIF(Z$6:Z1536,1),"")</f>
        <v/>
      </c>
    </row>
    <row r="1537">
      <c r="A1537" s="54" t="n"/>
      <c r="B1537" s="55" t="str">
        <f>IF(AA1537="","",A1537&amp;"-"&amp;RIGHT("000"&amp;AA1537,4))</f>
        <v/>
      </c>
      <c r="C1537" s="56" t="n"/>
      <c r="D1537" s="54" t="n"/>
      <c r="E1537" s="57" t="str">
        <f>IF(D1537="","",IF(A1537="BL",IFERROR(INDEX(cl_name,MATCH(D1537,cl_code,0))&amp;"","Client inconnu"),IF(A1537="BR",IFERROR(INDEX(fo_name,MATCH(D1537,fo_code,0))&amp;"","Fournisseur inconnu"),IF(A1537="BS",IF(ISNA(MATCH(D1537,p_services,0)),"Service inconnu",D1537&amp;""),""))))</f>
        <v/>
      </c>
      <c r="F1537" s="58" t="n"/>
      <c r="G1537" s="58" t="n"/>
      <c r="H1537" s="59" t="n"/>
      <c r="I1537" s="57" t="str">
        <f>IF(H1537="","",IFERROR(INDEX(art_des,MATCH(H1537,art_ref,0))&amp;"","Article inconnu"))</f>
        <v/>
      </c>
      <c r="J1537" s="60" t="str">
        <f>IF(H1537="","",IFERROR(INDEX(art_unit,MATCH(H1537,art_ref,0))&amp;"",""))</f>
        <v/>
      </c>
      <c r="K1537" s="59" t="n"/>
      <c r="L1537" s="59" t="n"/>
      <c r="M1537" s="61" t="str">
        <f>IF(OR(B1537="",NOT(ISNUMBER(K1537)),NOT(ISNUMBER(L1537))),"",IF(OR(K1537&lt;=0,L1537&lt;=0),"",ROUND(L1537-K1537,6)))</f>
        <v/>
      </c>
      <c r="N1537" s="58" t="n"/>
      <c r="O1537" s="62" t="n"/>
      <c r="P1537" s="63" t="str">
        <f>IF(OR(B1537="",NOT(ISNUMBER(L1537))),"",IF(L1537&lt;=0,"",IFERROR(ROUND(L1537*N(INDEX(art_w,MATCH(H1537,art_ref,0))),3),"")))</f>
        <v/>
      </c>
      <c r="Q1537" s="59" t="n"/>
      <c r="R1537" s="54" t="n"/>
      <c r="S1537" s="59" t="n"/>
      <c r="T1537" s="59" t="n"/>
      <c r="U1537" s="64" t="str">
        <f>IF(OR(B1537="",H1537=""),"",IFERROR(IF(A1537="BL",IF(N(INDEX(art_price,MATCH(H1537,art_ref,0)))=0,"",N(INDEX(art_price,MATCH(H1537,art_ref,0)))),IF(N(INDEX(art_cost,MATCH(H1537,art_ref,0)))=0,"",N(INDEX(art_cost,MATCH(H1537,art_ref,0))))),""))</f>
        <v/>
      </c>
      <c r="V1537" s="64" t="str">
        <f>IF(OR(U1537="",NOT(ISNUMBER(L1537))),"",IF(L1537&lt;=0,"",ROUND(L1537*U1537,2)))</f>
        <v/>
      </c>
      <c r="W1537" s="60" t="str">
        <f>IF(AND(B1537&lt;&gt;"",A1537&lt;&gt;"BS",F1537&lt;&gt;"",H1537&lt;&gt;"",ISNUMBER(K1537),ISNUMBER(L1537)),IF(AND(K1537&gt;0,L1537&gt;0,K1537-L1537&gt;0,COUNTIFS(A1538:A$2005,A1537,F1538:F$2005,F1537,H1538:H$2005,H1537,AA1538:AA$2005,"&gt;0")=0),ROUND(K1537-L1537,6),""),"")</f>
        <v/>
      </c>
      <c r="X1537" s="60" t="str">
        <f>IF(AND(A1537="",C1537="",D1537="",H1537="",L1537=""),"",IF(A1537="","Type manquant",IF(AND(A1537&lt;&gt;"BL",A1537&lt;&gt;"BR",A1537&lt;&gt;"BS"),"Type inconnu (BL, BR ou BS)",IF(AG1537=0,"Date manquante ou invalide",IF(D1537="",IF(A1537="BL","Client manquant",IF(A1537="BR","Fournisseur manquant","Service manquant")),IF(IF(A1537="BL",ISNA(MATCH(D1537,cl_code,0)),IF(A1537="BR",ISNA(MATCH(D1537,fo_code,0)),ISNA(MATCH(D1537,p_services,0)))),IF(A1537="BL","Client inconnu",IF(A1537="BR","Fournisseur inconnu","Service inconnu")),IF(H1537="","Article manquant",IF(ISNA(MATCH(H1537,art_ref,0)),"Article inconnu",IF(OR(NOT(ISNUMBER(L1537)),N(L1537)&lt;=0),"Quantité invalide",IF(AND(K1537&lt;&gt;"",OR(NOT(ISNUMBER(K1537)),N(K1537)&lt;=0)),"Qté commandée invalide",IF(AG1537&lt;SUMPRODUCT(MAX((A$6:A1536=A1537)*AG$6:AG1536)),"Date antérieure au bon précédent",IF(AND(A1537&lt;&gt;"BR",ISNUMBER(M1537),N(M1537)&gt;0),IF(A1537="BL","Livré plus que commandé","Sorti plus que demandé"),"OK"))))))))))))</f>
        <v/>
      </c>
      <c r="Y1537" s="57" t="str">
        <f>IF(AND(OR(A1537="BL",A1537="BR",A1537="BS"),AG1537&gt;0,D1537&lt;&gt;""),A1537&amp;"|"&amp;AG1537&amp;"|"&amp;D1537&amp;"|"&amp;F1537,"")</f>
        <v/>
      </c>
      <c r="Z1537" s="57" t="str">
        <f>IF(Y1537="","",IF(COUNTIF(Y$6:Y1536,Y1537)=0,1,0))</f>
        <v/>
      </c>
      <c r="AA1537" s="57" t="str">
        <f>IF(Y1537="","",IF(Z1537=1,COUNTIFS(A$6:A1537,A1537,Z$6:Z1537,1),INDEX(AA$6:AA1536,MATCH(Y1537,Y$6:Y1536,0))))</f>
        <v/>
      </c>
      <c r="AB1537" s="57" t="str">
        <f>IF(B1537="","",COUNTIF(B$6:B1537,B1537))</f>
        <v/>
      </c>
      <c r="AC1537" s="57" t="str">
        <f>IF(B1537="","",B1537&amp;"#"&amp;AB1537)</f>
        <v/>
      </c>
      <c r="AD1537" s="57" t="str">
        <f>IF(Z1537=1,A1537&amp;AA1537,"")</f>
        <v/>
      </c>
      <c r="AE1537" s="57" t="str">
        <f>IF(B1537="","",YEAR(C1537))</f>
        <v/>
      </c>
      <c r="AF1537" s="57" t="str">
        <f>IF(B1537="","",MONTH(C1537))</f>
        <v/>
      </c>
      <c r="AG1537" s="57">
        <f>IF(ISNUMBER(C1537),C1537,0)</f>
        <v>0.0</v>
      </c>
      <c r="AH1537" s="57" t="str">
        <f>IF(N(W1537)&gt;0,COUNTIF(W$6:W1537,"&gt;0"),"")</f>
        <v/>
      </c>
      <c r="AI1537" s="57" t="str">
        <f>IF(Z1537=1,COUNTIF(Z$6:Z1537,1),"")</f>
        <v/>
      </c>
    </row>
    <row r="1538">
      <c r="A1538" s="54" t="n"/>
      <c r="B1538" s="55" t="str">
        <f>IF(AA1538="","",A1538&amp;"-"&amp;RIGHT("000"&amp;AA1538,4))</f>
        <v/>
      </c>
      <c r="C1538" s="56" t="n"/>
      <c r="D1538" s="54" t="n"/>
      <c r="E1538" s="57" t="str">
        <f>IF(D1538="","",IF(A1538="BL",IFERROR(INDEX(cl_name,MATCH(D1538,cl_code,0))&amp;"","Client inconnu"),IF(A1538="BR",IFERROR(INDEX(fo_name,MATCH(D1538,fo_code,0))&amp;"","Fournisseur inconnu"),IF(A1538="BS",IF(ISNA(MATCH(D1538,p_services,0)),"Service inconnu",D1538&amp;""),""))))</f>
        <v/>
      </c>
      <c r="F1538" s="58" t="n"/>
      <c r="G1538" s="58" t="n"/>
      <c r="H1538" s="59" t="n"/>
      <c r="I1538" s="57" t="str">
        <f>IF(H1538="","",IFERROR(INDEX(art_des,MATCH(H1538,art_ref,0))&amp;"","Article inconnu"))</f>
        <v/>
      </c>
      <c r="J1538" s="60" t="str">
        <f>IF(H1538="","",IFERROR(INDEX(art_unit,MATCH(H1538,art_ref,0))&amp;"",""))</f>
        <v/>
      </c>
      <c r="K1538" s="59" t="n"/>
      <c r="L1538" s="59" t="n"/>
      <c r="M1538" s="61" t="str">
        <f>IF(OR(B1538="",NOT(ISNUMBER(K1538)),NOT(ISNUMBER(L1538))),"",IF(OR(K1538&lt;=0,L1538&lt;=0),"",ROUND(L1538-K1538,6)))</f>
        <v/>
      </c>
      <c r="N1538" s="58" t="n"/>
      <c r="O1538" s="62" t="n"/>
      <c r="P1538" s="63" t="str">
        <f>IF(OR(B1538="",NOT(ISNUMBER(L1538))),"",IF(L1538&lt;=0,"",IFERROR(ROUND(L1538*N(INDEX(art_w,MATCH(H1538,art_ref,0))),3),"")))</f>
        <v/>
      </c>
      <c r="Q1538" s="59" t="n"/>
      <c r="R1538" s="54" t="n"/>
      <c r="S1538" s="59" t="n"/>
      <c r="T1538" s="59" t="n"/>
      <c r="U1538" s="64" t="str">
        <f>IF(OR(B1538="",H1538=""),"",IFERROR(IF(A1538="BL",IF(N(INDEX(art_price,MATCH(H1538,art_ref,0)))=0,"",N(INDEX(art_price,MATCH(H1538,art_ref,0)))),IF(N(INDEX(art_cost,MATCH(H1538,art_ref,0)))=0,"",N(INDEX(art_cost,MATCH(H1538,art_ref,0))))),""))</f>
        <v/>
      </c>
      <c r="V1538" s="64" t="str">
        <f>IF(OR(U1538="",NOT(ISNUMBER(L1538))),"",IF(L1538&lt;=0,"",ROUND(L1538*U1538,2)))</f>
        <v/>
      </c>
      <c r="W1538" s="60" t="str">
        <f>IF(AND(B1538&lt;&gt;"",A1538&lt;&gt;"BS",F1538&lt;&gt;"",H1538&lt;&gt;"",ISNUMBER(K1538),ISNUMBER(L1538)),IF(AND(K1538&gt;0,L1538&gt;0,K1538-L1538&gt;0,COUNTIFS(A1539:A$2005,A1538,F1539:F$2005,F1538,H1539:H$2005,H1538,AA1539:AA$2005,"&gt;0")=0),ROUND(K1538-L1538,6),""),"")</f>
        <v/>
      </c>
      <c r="X1538" s="60" t="str">
        <f>IF(AND(A1538="",C1538="",D1538="",H1538="",L1538=""),"",IF(A1538="","Type manquant",IF(AND(A1538&lt;&gt;"BL",A1538&lt;&gt;"BR",A1538&lt;&gt;"BS"),"Type inconnu (BL, BR ou BS)",IF(AG1538=0,"Date manquante ou invalide",IF(D1538="",IF(A1538="BL","Client manquant",IF(A1538="BR","Fournisseur manquant","Service manquant")),IF(IF(A1538="BL",ISNA(MATCH(D1538,cl_code,0)),IF(A1538="BR",ISNA(MATCH(D1538,fo_code,0)),ISNA(MATCH(D1538,p_services,0)))),IF(A1538="BL","Client inconnu",IF(A1538="BR","Fournisseur inconnu","Service inconnu")),IF(H1538="","Article manquant",IF(ISNA(MATCH(H1538,art_ref,0)),"Article inconnu",IF(OR(NOT(ISNUMBER(L1538)),N(L1538)&lt;=0),"Quantité invalide",IF(AND(K1538&lt;&gt;"",OR(NOT(ISNUMBER(K1538)),N(K1538)&lt;=0)),"Qté commandée invalide",IF(AG1538&lt;SUMPRODUCT(MAX((A$6:A1537=A1538)*AG$6:AG1537)),"Date antérieure au bon précédent",IF(AND(A1538&lt;&gt;"BR",ISNUMBER(M1538),N(M1538)&gt;0),IF(A1538="BL","Livré plus que commandé","Sorti plus que demandé"),"OK"))))))))))))</f>
        <v/>
      </c>
      <c r="Y1538" s="57" t="str">
        <f>IF(AND(OR(A1538="BL",A1538="BR",A1538="BS"),AG1538&gt;0,D1538&lt;&gt;""),A1538&amp;"|"&amp;AG1538&amp;"|"&amp;D1538&amp;"|"&amp;F1538,"")</f>
        <v/>
      </c>
      <c r="Z1538" s="57" t="str">
        <f>IF(Y1538="","",IF(COUNTIF(Y$6:Y1537,Y1538)=0,1,0))</f>
        <v/>
      </c>
      <c r="AA1538" s="57" t="str">
        <f>IF(Y1538="","",IF(Z1538=1,COUNTIFS(A$6:A1538,A1538,Z$6:Z1538,1),INDEX(AA$6:AA1537,MATCH(Y1538,Y$6:Y1537,0))))</f>
        <v/>
      </c>
      <c r="AB1538" s="57" t="str">
        <f>IF(B1538="","",COUNTIF(B$6:B1538,B1538))</f>
        <v/>
      </c>
      <c r="AC1538" s="57" t="str">
        <f>IF(B1538="","",B1538&amp;"#"&amp;AB1538)</f>
        <v/>
      </c>
      <c r="AD1538" s="57" t="str">
        <f>IF(Z1538=1,A1538&amp;AA1538,"")</f>
        <v/>
      </c>
      <c r="AE1538" s="57" t="str">
        <f>IF(B1538="","",YEAR(C1538))</f>
        <v/>
      </c>
      <c r="AF1538" s="57" t="str">
        <f>IF(B1538="","",MONTH(C1538))</f>
        <v/>
      </c>
      <c r="AG1538" s="57">
        <f>IF(ISNUMBER(C1538),C1538,0)</f>
        <v>0.0</v>
      </c>
      <c r="AH1538" s="57" t="str">
        <f>IF(N(W1538)&gt;0,COUNTIF(W$6:W1538,"&gt;0"),"")</f>
        <v/>
      </c>
      <c r="AI1538" s="57" t="str">
        <f>IF(Z1538=1,COUNTIF(Z$6:Z1538,1),"")</f>
        <v/>
      </c>
    </row>
    <row r="1539">
      <c r="A1539" s="54" t="n"/>
      <c r="B1539" s="55" t="str">
        <f>IF(AA1539="","",A1539&amp;"-"&amp;RIGHT("000"&amp;AA1539,4))</f>
        <v/>
      </c>
      <c r="C1539" s="56" t="n"/>
      <c r="D1539" s="54" t="n"/>
      <c r="E1539" s="57" t="str">
        <f>IF(D1539="","",IF(A1539="BL",IFERROR(INDEX(cl_name,MATCH(D1539,cl_code,0))&amp;"","Client inconnu"),IF(A1539="BR",IFERROR(INDEX(fo_name,MATCH(D1539,fo_code,0))&amp;"","Fournisseur inconnu"),IF(A1539="BS",IF(ISNA(MATCH(D1539,p_services,0)),"Service inconnu",D1539&amp;""),""))))</f>
        <v/>
      </c>
      <c r="F1539" s="58" t="n"/>
      <c r="G1539" s="58" t="n"/>
      <c r="H1539" s="59" t="n"/>
      <c r="I1539" s="57" t="str">
        <f>IF(H1539="","",IFERROR(INDEX(art_des,MATCH(H1539,art_ref,0))&amp;"","Article inconnu"))</f>
        <v/>
      </c>
      <c r="J1539" s="60" t="str">
        <f>IF(H1539="","",IFERROR(INDEX(art_unit,MATCH(H1539,art_ref,0))&amp;"",""))</f>
        <v/>
      </c>
      <c r="K1539" s="59" t="n"/>
      <c r="L1539" s="59" t="n"/>
      <c r="M1539" s="61" t="str">
        <f>IF(OR(B1539="",NOT(ISNUMBER(K1539)),NOT(ISNUMBER(L1539))),"",IF(OR(K1539&lt;=0,L1539&lt;=0),"",ROUND(L1539-K1539,6)))</f>
        <v/>
      </c>
      <c r="N1539" s="58" t="n"/>
      <c r="O1539" s="62" t="n"/>
      <c r="P1539" s="63" t="str">
        <f>IF(OR(B1539="",NOT(ISNUMBER(L1539))),"",IF(L1539&lt;=0,"",IFERROR(ROUND(L1539*N(INDEX(art_w,MATCH(H1539,art_ref,0))),3),"")))</f>
        <v/>
      </c>
      <c r="Q1539" s="59" t="n"/>
      <c r="R1539" s="54" t="n"/>
      <c r="S1539" s="59" t="n"/>
      <c r="T1539" s="59" t="n"/>
      <c r="U1539" s="64" t="str">
        <f>IF(OR(B1539="",H1539=""),"",IFERROR(IF(A1539="BL",IF(N(INDEX(art_price,MATCH(H1539,art_ref,0)))=0,"",N(INDEX(art_price,MATCH(H1539,art_ref,0)))),IF(N(INDEX(art_cost,MATCH(H1539,art_ref,0)))=0,"",N(INDEX(art_cost,MATCH(H1539,art_ref,0))))),""))</f>
        <v/>
      </c>
      <c r="V1539" s="64" t="str">
        <f>IF(OR(U1539="",NOT(ISNUMBER(L1539))),"",IF(L1539&lt;=0,"",ROUND(L1539*U1539,2)))</f>
        <v/>
      </c>
      <c r="W1539" s="60" t="str">
        <f>IF(AND(B1539&lt;&gt;"",A1539&lt;&gt;"BS",F1539&lt;&gt;"",H1539&lt;&gt;"",ISNUMBER(K1539),ISNUMBER(L1539)),IF(AND(K1539&gt;0,L1539&gt;0,K1539-L1539&gt;0,COUNTIFS(A1540:A$2005,A1539,F1540:F$2005,F1539,H1540:H$2005,H1539,AA1540:AA$2005,"&gt;0")=0),ROUND(K1539-L1539,6),""),"")</f>
        <v/>
      </c>
      <c r="X1539" s="60" t="str">
        <f>IF(AND(A1539="",C1539="",D1539="",H1539="",L1539=""),"",IF(A1539="","Type manquant",IF(AND(A1539&lt;&gt;"BL",A1539&lt;&gt;"BR",A1539&lt;&gt;"BS"),"Type inconnu (BL, BR ou BS)",IF(AG1539=0,"Date manquante ou invalide",IF(D1539="",IF(A1539="BL","Client manquant",IF(A1539="BR","Fournisseur manquant","Service manquant")),IF(IF(A1539="BL",ISNA(MATCH(D1539,cl_code,0)),IF(A1539="BR",ISNA(MATCH(D1539,fo_code,0)),ISNA(MATCH(D1539,p_services,0)))),IF(A1539="BL","Client inconnu",IF(A1539="BR","Fournisseur inconnu","Service inconnu")),IF(H1539="","Article manquant",IF(ISNA(MATCH(H1539,art_ref,0)),"Article inconnu",IF(OR(NOT(ISNUMBER(L1539)),N(L1539)&lt;=0),"Quantité invalide",IF(AND(K1539&lt;&gt;"",OR(NOT(ISNUMBER(K1539)),N(K1539)&lt;=0)),"Qté commandée invalide",IF(AG1539&lt;SUMPRODUCT(MAX((A$6:A1538=A1539)*AG$6:AG1538)),"Date antérieure au bon précédent",IF(AND(A1539&lt;&gt;"BR",ISNUMBER(M1539),N(M1539)&gt;0),IF(A1539="BL","Livré plus que commandé","Sorti plus que demandé"),"OK"))))))))))))</f>
        <v/>
      </c>
      <c r="Y1539" s="57" t="str">
        <f>IF(AND(OR(A1539="BL",A1539="BR",A1539="BS"),AG1539&gt;0,D1539&lt;&gt;""),A1539&amp;"|"&amp;AG1539&amp;"|"&amp;D1539&amp;"|"&amp;F1539,"")</f>
        <v/>
      </c>
      <c r="Z1539" s="57" t="str">
        <f>IF(Y1539="","",IF(COUNTIF(Y$6:Y1538,Y1539)=0,1,0))</f>
        <v/>
      </c>
      <c r="AA1539" s="57" t="str">
        <f>IF(Y1539="","",IF(Z1539=1,COUNTIFS(A$6:A1539,A1539,Z$6:Z1539,1),INDEX(AA$6:AA1538,MATCH(Y1539,Y$6:Y1538,0))))</f>
        <v/>
      </c>
      <c r="AB1539" s="57" t="str">
        <f>IF(B1539="","",COUNTIF(B$6:B1539,B1539))</f>
        <v/>
      </c>
      <c r="AC1539" s="57" t="str">
        <f>IF(B1539="","",B1539&amp;"#"&amp;AB1539)</f>
        <v/>
      </c>
      <c r="AD1539" s="57" t="str">
        <f>IF(Z1539=1,A1539&amp;AA1539,"")</f>
        <v/>
      </c>
      <c r="AE1539" s="57" t="str">
        <f>IF(B1539="","",YEAR(C1539))</f>
        <v/>
      </c>
      <c r="AF1539" s="57" t="str">
        <f>IF(B1539="","",MONTH(C1539))</f>
        <v/>
      </c>
      <c r="AG1539" s="57">
        <f>IF(ISNUMBER(C1539),C1539,0)</f>
        <v>0.0</v>
      </c>
      <c r="AH1539" s="57" t="str">
        <f>IF(N(W1539)&gt;0,COUNTIF(W$6:W1539,"&gt;0"),"")</f>
        <v/>
      </c>
      <c r="AI1539" s="57" t="str">
        <f>IF(Z1539=1,COUNTIF(Z$6:Z1539,1),"")</f>
        <v/>
      </c>
    </row>
    <row r="1540">
      <c r="A1540" s="54" t="n"/>
      <c r="B1540" s="55" t="str">
        <f>IF(AA1540="","",A1540&amp;"-"&amp;RIGHT("000"&amp;AA1540,4))</f>
        <v/>
      </c>
      <c r="C1540" s="56" t="n"/>
      <c r="D1540" s="54" t="n"/>
      <c r="E1540" s="57" t="str">
        <f>IF(D1540="","",IF(A1540="BL",IFERROR(INDEX(cl_name,MATCH(D1540,cl_code,0))&amp;"","Client inconnu"),IF(A1540="BR",IFERROR(INDEX(fo_name,MATCH(D1540,fo_code,0))&amp;"","Fournisseur inconnu"),IF(A1540="BS",IF(ISNA(MATCH(D1540,p_services,0)),"Service inconnu",D1540&amp;""),""))))</f>
        <v/>
      </c>
      <c r="F1540" s="58" t="n"/>
      <c r="G1540" s="58" t="n"/>
      <c r="H1540" s="59" t="n"/>
      <c r="I1540" s="57" t="str">
        <f>IF(H1540="","",IFERROR(INDEX(art_des,MATCH(H1540,art_ref,0))&amp;"","Article inconnu"))</f>
        <v/>
      </c>
      <c r="J1540" s="60" t="str">
        <f>IF(H1540="","",IFERROR(INDEX(art_unit,MATCH(H1540,art_ref,0))&amp;"",""))</f>
        <v/>
      </c>
      <c r="K1540" s="59" t="n"/>
      <c r="L1540" s="59" t="n"/>
      <c r="M1540" s="61" t="str">
        <f>IF(OR(B1540="",NOT(ISNUMBER(K1540)),NOT(ISNUMBER(L1540))),"",IF(OR(K1540&lt;=0,L1540&lt;=0),"",ROUND(L1540-K1540,6)))</f>
        <v/>
      </c>
      <c r="N1540" s="58" t="n"/>
      <c r="O1540" s="62" t="n"/>
      <c r="P1540" s="63" t="str">
        <f>IF(OR(B1540="",NOT(ISNUMBER(L1540))),"",IF(L1540&lt;=0,"",IFERROR(ROUND(L1540*N(INDEX(art_w,MATCH(H1540,art_ref,0))),3),"")))</f>
        <v/>
      </c>
      <c r="Q1540" s="59" t="n"/>
      <c r="R1540" s="54" t="n"/>
      <c r="S1540" s="59" t="n"/>
      <c r="T1540" s="59" t="n"/>
      <c r="U1540" s="64" t="str">
        <f>IF(OR(B1540="",H1540=""),"",IFERROR(IF(A1540="BL",IF(N(INDEX(art_price,MATCH(H1540,art_ref,0)))=0,"",N(INDEX(art_price,MATCH(H1540,art_ref,0)))),IF(N(INDEX(art_cost,MATCH(H1540,art_ref,0)))=0,"",N(INDEX(art_cost,MATCH(H1540,art_ref,0))))),""))</f>
        <v/>
      </c>
      <c r="V1540" s="64" t="str">
        <f>IF(OR(U1540="",NOT(ISNUMBER(L1540))),"",IF(L1540&lt;=0,"",ROUND(L1540*U1540,2)))</f>
        <v/>
      </c>
      <c r="W1540" s="60" t="str">
        <f>IF(AND(B1540&lt;&gt;"",A1540&lt;&gt;"BS",F1540&lt;&gt;"",H1540&lt;&gt;"",ISNUMBER(K1540),ISNUMBER(L1540)),IF(AND(K1540&gt;0,L1540&gt;0,K1540-L1540&gt;0,COUNTIFS(A1541:A$2005,A1540,F1541:F$2005,F1540,H1541:H$2005,H1540,AA1541:AA$2005,"&gt;0")=0),ROUND(K1540-L1540,6),""),"")</f>
        <v/>
      </c>
      <c r="X1540" s="60" t="str">
        <f>IF(AND(A1540="",C1540="",D1540="",H1540="",L1540=""),"",IF(A1540="","Type manquant",IF(AND(A1540&lt;&gt;"BL",A1540&lt;&gt;"BR",A1540&lt;&gt;"BS"),"Type inconnu (BL, BR ou BS)",IF(AG1540=0,"Date manquante ou invalide",IF(D1540="",IF(A1540="BL","Client manquant",IF(A1540="BR","Fournisseur manquant","Service manquant")),IF(IF(A1540="BL",ISNA(MATCH(D1540,cl_code,0)),IF(A1540="BR",ISNA(MATCH(D1540,fo_code,0)),ISNA(MATCH(D1540,p_services,0)))),IF(A1540="BL","Client inconnu",IF(A1540="BR","Fournisseur inconnu","Service inconnu")),IF(H1540="","Article manquant",IF(ISNA(MATCH(H1540,art_ref,0)),"Article inconnu",IF(OR(NOT(ISNUMBER(L1540)),N(L1540)&lt;=0),"Quantité invalide",IF(AND(K1540&lt;&gt;"",OR(NOT(ISNUMBER(K1540)),N(K1540)&lt;=0)),"Qté commandée invalide",IF(AG1540&lt;SUMPRODUCT(MAX((A$6:A1539=A1540)*AG$6:AG1539)),"Date antérieure au bon précédent",IF(AND(A1540&lt;&gt;"BR",ISNUMBER(M1540),N(M1540)&gt;0),IF(A1540="BL","Livré plus que commandé","Sorti plus que demandé"),"OK"))))))))))))</f>
        <v/>
      </c>
      <c r="Y1540" s="57" t="str">
        <f>IF(AND(OR(A1540="BL",A1540="BR",A1540="BS"),AG1540&gt;0,D1540&lt;&gt;""),A1540&amp;"|"&amp;AG1540&amp;"|"&amp;D1540&amp;"|"&amp;F1540,"")</f>
        <v/>
      </c>
      <c r="Z1540" s="57" t="str">
        <f>IF(Y1540="","",IF(COUNTIF(Y$6:Y1539,Y1540)=0,1,0))</f>
        <v/>
      </c>
      <c r="AA1540" s="57" t="str">
        <f>IF(Y1540="","",IF(Z1540=1,COUNTIFS(A$6:A1540,A1540,Z$6:Z1540,1),INDEX(AA$6:AA1539,MATCH(Y1540,Y$6:Y1539,0))))</f>
        <v/>
      </c>
      <c r="AB1540" s="57" t="str">
        <f>IF(B1540="","",COUNTIF(B$6:B1540,B1540))</f>
        <v/>
      </c>
      <c r="AC1540" s="57" t="str">
        <f>IF(B1540="","",B1540&amp;"#"&amp;AB1540)</f>
        <v/>
      </c>
      <c r="AD1540" s="57" t="str">
        <f>IF(Z1540=1,A1540&amp;AA1540,"")</f>
        <v/>
      </c>
      <c r="AE1540" s="57" t="str">
        <f>IF(B1540="","",YEAR(C1540))</f>
        <v/>
      </c>
      <c r="AF1540" s="57" t="str">
        <f>IF(B1540="","",MONTH(C1540))</f>
        <v/>
      </c>
      <c r="AG1540" s="57">
        <f>IF(ISNUMBER(C1540),C1540,0)</f>
        <v>0.0</v>
      </c>
      <c r="AH1540" s="57" t="str">
        <f>IF(N(W1540)&gt;0,COUNTIF(W$6:W1540,"&gt;0"),"")</f>
        <v/>
      </c>
      <c r="AI1540" s="57" t="str">
        <f>IF(Z1540=1,COUNTIF(Z$6:Z1540,1),"")</f>
        <v/>
      </c>
    </row>
    <row r="1541">
      <c r="A1541" s="54" t="n"/>
      <c r="B1541" s="55" t="str">
        <f>IF(AA1541="","",A1541&amp;"-"&amp;RIGHT("000"&amp;AA1541,4))</f>
        <v/>
      </c>
      <c r="C1541" s="56" t="n"/>
      <c r="D1541" s="54" t="n"/>
      <c r="E1541" s="57" t="str">
        <f>IF(D1541="","",IF(A1541="BL",IFERROR(INDEX(cl_name,MATCH(D1541,cl_code,0))&amp;"","Client inconnu"),IF(A1541="BR",IFERROR(INDEX(fo_name,MATCH(D1541,fo_code,0))&amp;"","Fournisseur inconnu"),IF(A1541="BS",IF(ISNA(MATCH(D1541,p_services,0)),"Service inconnu",D1541&amp;""),""))))</f>
        <v/>
      </c>
      <c r="F1541" s="58" t="n"/>
      <c r="G1541" s="58" t="n"/>
      <c r="H1541" s="59" t="n"/>
      <c r="I1541" s="57" t="str">
        <f>IF(H1541="","",IFERROR(INDEX(art_des,MATCH(H1541,art_ref,0))&amp;"","Article inconnu"))</f>
        <v/>
      </c>
      <c r="J1541" s="60" t="str">
        <f>IF(H1541="","",IFERROR(INDEX(art_unit,MATCH(H1541,art_ref,0))&amp;"",""))</f>
        <v/>
      </c>
      <c r="K1541" s="59" t="n"/>
      <c r="L1541" s="59" t="n"/>
      <c r="M1541" s="61" t="str">
        <f>IF(OR(B1541="",NOT(ISNUMBER(K1541)),NOT(ISNUMBER(L1541))),"",IF(OR(K1541&lt;=0,L1541&lt;=0),"",ROUND(L1541-K1541,6)))</f>
        <v/>
      </c>
      <c r="N1541" s="58" t="n"/>
      <c r="O1541" s="62" t="n"/>
      <c r="P1541" s="63" t="str">
        <f>IF(OR(B1541="",NOT(ISNUMBER(L1541))),"",IF(L1541&lt;=0,"",IFERROR(ROUND(L1541*N(INDEX(art_w,MATCH(H1541,art_ref,0))),3),"")))</f>
        <v/>
      </c>
      <c r="Q1541" s="59" t="n"/>
      <c r="R1541" s="54" t="n"/>
      <c r="S1541" s="59" t="n"/>
      <c r="T1541" s="59" t="n"/>
      <c r="U1541" s="64" t="str">
        <f>IF(OR(B1541="",H1541=""),"",IFERROR(IF(A1541="BL",IF(N(INDEX(art_price,MATCH(H1541,art_ref,0)))=0,"",N(INDEX(art_price,MATCH(H1541,art_ref,0)))),IF(N(INDEX(art_cost,MATCH(H1541,art_ref,0)))=0,"",N(INDEX(art_cost,MATCH(H1541,art_ref,0))))),""))</f>
        <v/>
      </c>
      <c r="V1541" s="64" t="str">
        <f>IF(OR(U1541="",NOT(ISNUMBER(L1541))),"",IF(L1541&lt;=0,"",ROUND(L1541*U1541,2)))</f>
        <v/>
      </c>
      <c r="W1541" s="60" t="str">
        <f>IF(AND(B1541&lt;&gt;"",A1541&lt;&gt;"BS",F1541&lt;&gt;"",H1541&lt;&gt;"",ISNUMBER(K1541),ISNUMBER(L1541)),IF(AND(K1541&gt;0,L1541&gt;0,K1541-L1541&gt;0,COUNTIFS(A1542:A$2005,A1541,F1542:F$2005,F1541,H1542:H$2005,H1541,AA1542:AA$2005,"&gt;0")=0),ROUND(K1541-L1541,6),""),"")</f>
        <v/>
      </c>
      <c r="X1541" s="60" t="str">
        <f>IF(AND(A1541="",C1541="",D1541="",H1541="",L1541=""),"",IF(A1541="","Type manquant",IF(AND(A1541&lt;&gt;"BL",A1541&lt;&gt;"BR",A1541&lt;&gt;"BS"),"Type inconnu (BL, BR ou BS)",IF(AG1541=0,"Date manquante ou invalide",IF(D1541="",IF(A1541="BL","Client manquant",IF(A1541="BR","Fournisseur manquant","Service manquant")),IF(IF(A1541="BL",ISNA(MATCH(D1541,cl_code,0)),IF(A1541="BR",ISNA(MATCH(D1541,fo_code,0)),ISNA(MATCH(D1541,p_services,0)))),IF(A1541="BL","Client inconnu",IF(A1541="BR","Fournisseur inconnu","Service inconnu")),IF(H1541="","Article manquant",IF(ISNA(MATCH(H1541,art_ref,0)),"Article inconnu",IF(OR(NOT(ISNUMBER(L1541)),N(L1541)&lt;=0),"Quantité invalide",IF(AND(K1541&lt;&gt;"",OR(NOT(ISNUMBER(K1541)),N(K1541)&lt;=0)),"Qté commandée invalide",IF(AG1541&lt;SUMPRODUCT(MAX((A$6:A1540=A1541)*AG$6:AG1540)),"Date antérieure au bon précédent",IF(AND(A1541&lt;&gt;"BR",ISNUMBER(M1541),N(M1541)&gt;0),IF(A1541="BL","Livré plus que commandé","Sorti plus que demandé"),"OK"))))))))))))</f>
        <v/>
      </c>
      <c r="Y1541" s="57" t="str">
        <f>IF(AND(OR(A1541="BL",A1541="BR",A1541="BS"),AG1541&gt;0,D1541&lt;&gt;""),A1541&amp;"|"&amp;AG1541&amp;"|"&amp;D1541&amp;"|"&amp;F1541,"")</f>
        <v/>
      </c>
      <c r="Z1541" s="57" t="str">
        <f>IF(Y1541="","",IF(COUNTIF(Y$6:Y1540,Y1541)=0,1,0))</f>
        <v/>
      </c>
      <c r="AA1541" s="57" t="str">
        <f>IF(Y1541="","",IF(Z1541=1,COUNTIFS(A$6:A1541,A1541,Z$6:Z1541,1),INDEX(AA$6:AA1540,MATCH(Y1541,Y$6:Y1540,0))))</f>
        <v/>
      </c>
      <c r="AB1541" s="57" t="str">
        <f>IF(B1541="","",COUNTIF(B$6:B1541,B1541))</f>
        <v/>
      </c>
      <c r="AC1541" s="57" t="str">
        <f>IF(B1541="","",B1541&amp;"#"&amp;AB1541)</f>
        <v/>
      </c>
      <c r="AD1541" s="57" t="str">
        <f>IF(Z1541=1,A1541&amp;AA1541,"")</f>
        <v/>
      </c>
      <c r="AE1541" s="57" t="str">
        <f>IF(B1541="","",YEAR(C1541))</f>
        <v/>
      </c>
      <c r="AF1541" s="57" t="str">
        <f>IF(B1541="","",MONTH(C1541))</f>
        <v/>
      </c>
      <c r="AG1541" s="57">
        <f>IF(ISNUMBER(C1541),C1541,0)</f>
        <v>0.0</v>
      </c>
      <c r="AH1541" s="57" t="str">
        <f>IF(N(W1541)&gt;0,COUNTIF(W$6:W1541,"&gt;0"),"")</f>
        <v/>
      </c>
      <c r="AI1541" s="57" t="str">
        <f>IF(Z1541=1,COUNTIF(Z$6:Z1541,1),"")</f>
        <v/>
      </c>
    </row>
    <row r="1542">
      <c r="A1542" s="54" t="n"/>
      <c r="B1542" s="55" t="str">
        <f>IF(AA1542="","",A1542&amp;"-"&amp;RIGHT("000"&amp;AA1542,4))</f>
        <v/>
      </c>
      <c r="C1542" s="56" t="n"/>
      <c r="D1542" s="54" t="n"/>
      <c r="E1542" s="57" t="str">
        <f>IF(D1542="","",IF(A1542="BL",IFERROR(INDEX(cl_name,MATCH(D1542,cl_code,0))&amp;"","Client inconnu"),IF(A1542="BR",IFERROR(INDEX(fo_name,MATCH(D1542,fo_code,0))&amp;"","Fournisseur inconnu"),IF(A1542="BS",IF(ISNA(MATCH(D1542,p_services,0)),"Service inconnu",D1542&amp;""),""))))</f>
        <v/>
      </c>
      <c r="F1542" s="58" t="n"/>
      <c r="G1542" s="58" t="n"/>
      <c r="H1542" s="59" t="n"/>
      <c r="I1542" s="57" t="str">
        <f>IF(H1542="","",IFERROR(INDEX(art_des,MATCH(H1542,art_ref,0))&amp;"","Article inconnu"))</f>
        <v/>
      </c>
      <c r="J1542" s="60" t="str">
        <f>IF(H1542="","",IFERROR(INDEX(art_unit,MATCH(H1542,art_ref,0))&amp;"",""))</f>
        <v/>
      </c>
      <c r="K1542" s="59" t="n"/>
      <c r="L1542" s="59" t="n"/>
      <c r="M1542" s="61" t="str">
        <f>IF(OR(B1542="",NOT(ISNUMBER(K1542)),NOT(ISNUMBER(L1542))),"",IF(OR(K1542&lt;=0,L1542&lt;=0),"",ROUND(L1542-K1542,6)))</f>
        <v/>
      </c>
      <c r="N1542" s="58" t="n"/>
      <c r="O1542" s="62" t="n"/>
      <c r="P1542" s="63" t="str">
        <f>IF(OR(B1542="",NOT(ISNUMBER(L1542))),"",IF(L1542&lt;=0,"",IFERROR(ROUND(L1542*N(INDEX(art_w,MATCH(H1542,art_ref,0))),3),"")))</f>
        <v/>
      </c>
      <c r="Q1542" s="59" t="n"/>
      <c r="R1542" s="54" t="n"/>
      <c r="S1542" s="59" t="n"/>
      <c r="T1542" s="59" t="n"/>
      <c r="U1542" s="64" t="str">
        <f>IF(OR(B1542="",H1542=""),"",IFERROR(IF(A1542="BL",IF(N(INDEX(art_price,MATCH(H1542,art_ref,0)))=0,"",N(INDEX(art_price,MATCH(H1542,art_ref,0)))),IF(N(INDEX(art_cost,MATCH(H1542,art_ref,0)))=0,"",N(INDEX(art_cost,MATCH(H1542,art_ref,0))))),""))</f>
        <v/>
      </c>
      <c r="V1542" s="64" t="str">
        <f>IF(OR(U1542="",NOT(ISNUMBER(L1542))),"",IF(L1542&lt;=0,"",ROUND(L1542*U1542,2)))</f>
        <v/>
      </c>
      <c r="W1542" s="60" t="str">
        <f>IF(AND(B1542&lt;&gt;"",A1542&lt;&gt;"BS",F1542&lt;&gt;"",H1542&lt;&gt;"",ISNUMBER(K1542),ISNUMBER(L1542)),IF(AND(K1542&gt;0,L1542&gt;0,K1542-L1542&gt;0,COUNTIFS(A1543:A$2005,A1542,F1543:F$2005,F1542,H1543:H$2005,H1542,AA1543:AA$2005,"&gt;0")=0),ROUND(K1542-L1542,6),""),"")</f>
        <v/>
      </c>
      <c r="X1542" s="60" t="str">
        <f>IF(AND(A1542="",C1542="",D1542="",H1542="",L1542=""),"",IF(A1542="","Type manquant",IF(AND(A1542&lt;&gt;"BL",A1542&lt;&gt;"BR",A1542&lt;&gt;"BS"),"Type inconnu (BL, BR ou BS)",IF(AG1542=0,"Date manquante ou invalide",IF(D1542="",IF(A1542="BL","Client manquant",IF(A1542="BR","Fournisseur manquant","Service manquant")),IF(IF(A1542="BL",ISNA(MATCH(D1542,cl_code,0)),IF(A1542="BR",ISNA(MATCH(D1542,fo_code,0)),ISNA(MATCH(D1542,p_services,0)))),IF(A1542="BL","Client inconnu",IF(A1542="BR","Fournisseur inconnu","Service inconnu")),IF(H1542="","Article manquant",IF(ISNA(MATCH(H1542,art_ref,0)),"Article inconnu",IF(OR(NOT(ISNUMBER(L1542)),N(L1542)&lt;=0),"Quantité invalide",IF(AND(K1542&lt;&gt;"",OR(NOT(ISNUMBER(K1542)),N(K1542)&lt;=0)),"Qté commandée invalide",IF(AG1542&lt;SUMPRODUCT(MAX((A$6:A1541=A1542)*AG$6:AG1541)),"Date antérieure au bon précédent",IF(AND(A1542&lt;&gt;"BR",ISNUMBER(M1542),N(M1542)&gt;0),IF(A1542="BL","Livré plus que commandé","Sorti plus que demandé"),"OK"))))))))))))</f>
        <v/>
      </c>
      <c r="Y1542" s="57" t="str">
        <f>IF(AND(OR(A1542="BL",A1542="BR",A1542="BS"),AG1542&gt;0,D1542&lt;&gt;""),A1542&amp;"|"&amp;AG1542&amp;"|"&amp;D1542&amp;"|"&amp;F1542,"")</f>
        <v/>
      </c>
      <c r="Z1542" s="57" t="str">
        <f>IF(Y1542="","",IF(COUNTIF(Y$6:Y1541,Y1542)=0,1,0))</f>
        <v/>
      </c>
      <c r="AA1542" s="57" t="str">
        <f>IF(Y1542="","",IF(Z1542=1,COUNTIFS(A$6:A1542,A1542,Z$6:Z1542,1),INDEX(AA$6:AA1541,MATCH(Y1542,Y$6:Y1541,0))))</f>
        <v/>
      </c>
      <c r="AB1542" s="57" t="str">
        <f>IF(B1542="","",COUNTIF(B$6:B1542,B1542))</f>
        <v/>
      </c>
      <c r="AC1542" s="57" t="str">
        <f>IF(B1542="","",B1542&amp;"#"&amp;AB1542)</f>
        <v/>
      </c>
      <c r="AD1542" s="57" t="str">
        <f>IF(Z1542=1,A1542&amp;AA1542,"")</f>
        <v/>
      </c>
      <c r="AE1542" s="57" t="str">
        <f>IF(B1542="","",YEAR(C1542))</f>
        <v/>
      </c>
      <c r="AF1542" s="57" t="str">
        <f>IF(B1542="","",MONTH(C1542))</f>
        <v/>
      </c>
      <c r="AG1542" s="57">
        <f>IF(ISNUMBER(C1542),C1542,0)</f>
        <v>0.0</v>
      </c>
      <c r="AH1542" s="57" t="str">
        <f>IF(N(W1542)&gt;0,COUNTIF(W$6:W1542,"&gt;0"),"")</f>
        <v/>
      </c>
      <c r="AI1542" s="57" t="str">
        <f>IF(Z1542=1,COUNTIF(Z$6:Z1542,1),"")</f>
        <v/>
      </c>
    </row>
    <row r="1543">
      <c r="A1543" s="54" t="n"/>
      <c r="B1543" s="55" t="str">
        <f>IF(AA1543="","",A1543&amp;"-"&amp;RIGHT("000"&amp;AA1543,4))</f>
        <v/>
      </c>
      <c r="C1543" s="56" t="n"/>
      <c r="D1543" s="54" t="n"/>
      <c r="E1543" s="57" t="str">
        <f>IF(D1543="","",IF(A1543="BL",IFERROR(INDEX(cl_name,MATCH(D1543,cl_code,0))&amp;"","Client inconnu"),IF(A1543="BR",IFERROR(INDEX(fo_name,MATCH(D1543,fo_code,0))&amp;"","Fournisseur inconnu"),IF(A1543="BS",IF(ISNA(MATCH(D1543,p_services,0)),"Service inconnu",D1543&amp;""),""))))</f>
        <v/>
      </c>
      <c r="F1543" s="58" t="n"/>
      <c r="G1543" s="58" t="n"/>
      <c r="H1543" s="59" t="n"/>
      <c r="I1543" s="57" t="str">
        <f>IF(H1543="","",IFERROR(INDEX(art_des,MATCH(H1543,art_ref,0))&amp;"","Article inconnu"))</f>
        <v/>
      </c>
      <c r="J1543" s="60" t="str">
        <f>IF(H1543="","",IFERROR(INDEX(art_unit,MATCH(H1543,art_ref,0))&amp;"",""))</f>
        <v/>
      </c>
      <c r="K1543" s="59" t="n"/>
      <c r="L1543" s="59" t="n"/>
      <c r="M1543" s="61" t="str">
        <f>IF(OR(B1543="",NOT(ISNUMBER(K1543)),NOT(ISNUMBER(L1543))),"",IF(OR(K1543&lt;=0,L1543&lt;=0),"",ROUND(L1543-K1543,6)))</f>
        <v/>
      </c>
      <c r="N1543" s="58" t="n"/>
      <c r="O1543" s="62" t="n"/>
      <c r="P1543" s="63" t="str">
        <f>IF(OR(B1543="",NOT(ISNUMBER(L1543))),"",IF(L1543&lt;=0,"",IFERROR(ROUND(L1543*N(INDEX(art_w,MATCH(H1543,art_ref,0))),3),"")))</f>
        <v/>
      </c>
      <c r="Q1543" s="59" t="n"/>
      <c r="R1543" s="54" t="n"/>
      <c r="S1543" s="59" t="n"/>
      <c r="T1543" s="59" t="n"/>
      <c r="U1543" s="64" t="str">
        <f>IF(OR(B1543="",H1543=""),"",IFERROR(IF(A1543="BL",IF(N(INDEX(art_price,MATCH(H1543,art_ref,0)))=0,"",N(INDEX(art_price,MATCH(H1543,art_ref,0)))),IF(N(INDEX(art_cost,MATCH(H1543,art_ref,0)))=0,"",N(INDEX(art_cost,MATCH(H1543,art_ref,0))))),""))</f>
        <v/>
      </c>
      <c r="V1543" s="64" t="str">
        <f>IF(OR(U1543="",NOT(ISNUMBER(L1543))),"",IF(L1543&lt;=0,"",ROUND(L1543*U1543,2)))</f>
        <v/>
      </c>
      <c r="W1543" s="60" t="str">
        <f>IF(AND(B1543&lt;&gt;"",A1543&lt;&gt;"BS",F1543&lt;&gt;"",H1543&lt;&gt;"",ISNUMBER(K1543),ISNUMBER(L1543)),IF(AND(K1543&gt;0,L1543&gt;0,K1543-L1543&gt;0,COUNTIFS(A1544:A$2005,A1543,F1544:F$2005,F1543,H1544:H$2005,H1543,AA1544:AA$2005,"&gt;0")=0),ROUND(K1543-L1543,6),""),"")</f>
        <v/>
      </c>
      <c r="X1543" s="60" t="str">
        <f>IF(AND(A1543="",C1543="",D1543="",H1543="",L1543=""),"",IF(A1543="","Type manquant",IF(AND(A1543&lt;&gt;"BL",A1543&lt;&gt;"BR",A1543&lt;&gt;"BS"),"Type inconnu (BL, BR ou BS)",IF(AG1543=0,"Date manquante ou invalide",IF(D1543="",IF(A1543="BL","Client manquant",IF(A1543="BR","Fournisseur manquant","Service manquant")),IF(IF(A1543="BL",ISNA(MATCH(D1543,cl_code,0)),IF(A1543="BR",ISNA(MATCH(D1543,fo_code,0)),ISNA(MATCH(D1543,p_services,0)))),IF(A1543="BL","Client inconnu",IF(A1543="BR","Fournisseur inconnu","Service inconnu")),IF(H1543="","Article manquant",IF(ISNA(MATCH(H1543,art_ref,0)),"Article inconnu",IF(OR(NOT(ISNUMBER(L1543)),N(L1543)&lt;=0),"Quantité invalide",IF(AND(K1543&lt;&gt;"",OR(NOT(ISNUMBER(K1543)),N(K1543)&lt;=0)),"Qté commandée invalide",IF(AG1543&lt;SUMPRODUCT(MAX((A$6:A1542=A1543)*AG$6:AG1542)),"Date antérieure au bon précédent",IF(AND(A1543&lt;&gt;"BR",ISNUMBER(M1543),N(M1543)&gt;0),IF(A1543="BL","Livré plus que commandé","Sorti plus que demandé"),"OK"))))))))))))</f>
        <v/>
      </c>
      <c r="Y1543" s="57" t="str">
        <f>IF(AND(OR(A1543="BL",A1543="BR",A1543="BS"),AG1543&gt;0,D1543&lt;&gt;""),A1543&amp;"|"&amp;AG1543&amp;"|"&amp;D1543&amp;"|"&amp;F1543,"")</f>
        <v/>
      </c>
      <c r="Z1543" s="57" t="str">
        <f>IF(Y1543="","",IF(COUNTIF(Y$6:Y1542,Y1543)=0,1,0))</f>
        <v/>
      </c>
      <c r="AA1543" s="57" t="str">
        <f>IF(Y1543="","",IF(Z1543=1,COUNTIFS(A$6:A1543,A1543,Z$6:Z1543,1),INDEX(AA$6:AA1542,MATCH(Y1543,Y$6:Y1542,0))))</f>
        <v/>
      </c>
      <c r="AB1543" s="57" t="str">
        <f>IF(B1543="","",COUNTIF(B$6:B1543,B1543))</f>
        <v/>
      </c>
      <c r="AC1543" s="57" t="str">
        <f>IF(B1543="","",B1543&amp;"#"&amp;AB1543)</f>
        <v/>
      </c>
      <c r="AD1543" s="57" t="str">
        <f>IF(Z1543=1,A1543&amp;AA1543,"")</f>
        <v/>
      </c>
      <c r="AE1543" s="57" t="str">
        <f>IF(B1543="","",YEAR(C1543))</f>
        <v/>
      </c>
      <c r="AF1543" s="57" t="str">
        <f>IF(B1543="","",MONTH(C1543))</f>
        <v/>
      </c>
      <c r="AG1543" s="57">
        <f>IF(ISNUMBER(C1543),C1543,0)</f>
        <v>0.0</v>
      </c>
      <c r="AH1543" s="57" t="str">
        <f>IF(N(W1543)&gt;0,COUNTIF(W$6:W1543,"&gt;0"),"")</f>
        <v/>
      </c>
      <c r="AI1543" s="57" t="str">
        <f>IF(Z1543=1,COUNTIF(Z$6:Z1543,1),"")</f>
        <v/>
      </c>
    </row>
    <row r="1544">
      <c r="A1544" s="54" t="n"/>
      <c r="B1544" s="55" t="str">
        <f>IF(AA1544="","",A1544&amp;"-"&amp;RIGHT("000"&amp;AA1544,4))</f>
        <v/>
      </c>
      <c r="C1544" s="56" t="n"/>
      <c r="D1544" s="54" t="n"/>
      <c r="E1544" s="57" t="str">
        <f>IF(D1544="","",IF(A1544="BL",IFERROR(INDEX(cl_name,MATCH(D1544,cl_code,0))&amp;"","Client inconnu"),IF(A1544="BR",IFERROR(INDEX(fo_name,MATCH(D1544,fo_code,0))&amp;"","Fournisseur inconnu"),IF(A1544="BS",IF(ISNA(MATCH(D1544,p_services,0)),"Service inconnu",D1544&amp;""),""))))</f>
        <v/>
      </c>
      <c r="F1544" s="58" t="n"/>
      <c r="G1544" s="58" t="n"/>
      <c r="H1544" s="59" t="n"/>
      <c r="I1544" s="57" t="str">
        <f>IF(H1544="","",IFERROR(INDEX(art_des,MATCH(H1544,art_ref,0))&amp;"","Article inconnu"))</f>
        <v/>
      </c>
      <c r="J1544" s="60" t="str">
        <f>IF(H1544="","",IFERROR(INDEX(art_unit,MATCH(H1544,art_ref,0))&amp;"",""))</f>
        <v/>
      </c>
      <c r="K1544" s="59" t="n"/>
      <c r="L1544" s="59" t="n"/>
      <c r="M1544" s="61" t="str">
        <f>IF(OR(B1544="",NOT(ISNUMBER(K1544)),NOT(ISNUMBER(L1544))),"",IF(OR(K1544&lt;=0,L1544&lt;=0),"",ROUND(L1544-K1544,6)))</f>
        <v/>
      </c>
      <c r="N1544" s="58" t="n"/>
      <c r="O1544" s="62" t="n"/>
      <c r="P1544" s="63" t="str">
        <f>IF(OR(B1544="",NOT(ISNUMBER(L1544))),"",IF(L1544&lt;=0,"",IFERROR(ROUND(L1544*N(INDEX(art_w,MATCH(H1544,art_ref,0))),3),"")))</f>
        <v/>
      </c>
      <c r="Q1544" s="59" t="n"/>
      <c r="R1544" s="54" t="n"/>
      <c r="S1544" s="59" t="n"/>
      <c r="T1544" s="59" t="n"/>
      <c r="U1544" s="64" t="str">
        <f>IF(OR(B1544="",H1544=""),"",IFERROR(IF(A1544="BL",IF(N(INDEX(art_price,MATCH(H1544,art_ref,0)))=0,"",N(INDEX(art_price,MATCH(H1544,art_ref,0)))),IF(N(INDEX(art_cost,MATCH(H1544,art_ref,0)))=0,"",N(INDEX(art_cost,MATCH(H1544,art_ref,0))))),""))</f>
        <v/>
      </c>
      <c r="V1544" s="64" t="str">
        <f>IF(OR(U1544="",NOT(ISNUMBER(L1544))),"",IF(L1544&lt;=0,"",ROUND(L1544*U1544,2)))</f>
        <v/>
      </c>
      <c r="W1544" s="60" t="str">
        <f>IF(AND(B1544&lt;&gt;"",A1544&lt;&gt;"BS",F1544&lt;&gt;"",H1544&lt;&gt;"",ISNUMBER(K1544),ISNUMBER(L1544)),IF(AND(K1544&gt;0,L1544&gt;0,K1544-L1544&gt;0,COUNTIFS(A1545:A$2005,A1544,F1545:F$2005,F1544,H1545:H$2005,H1544,AA1545:AA$2005,"&gt;0")=0),ROUND(K1544-L1544,6),""),"")</f>
        <v/>
      </c>
      <c r="X1544" s="60" t="str">
        <f>IF(AND(A1544="",C1544="",D1544="",H1544="",L1544=""),"",IF(A1544="","Type manquant",IF(AND(A1544&lt;&gt;"BL",A1544&lt;&gt;"BR",A1544&lt;&gt;"BS"),"Type inconnu (BL, BR ou BS)",IF(AG1544=0,"Date manquante ou invalide",IF(D1544="",IF(A1544="BL","Client manquant",IF(A1544="BR","Fournisseur manquant","Service manquant")),IF(IF(A1544="BL",ISNA(MATCH(D1544,cl_code,0)),IF(A1544="BR",ISNA(MATCH(D1544,fo_code,0)),ISNA(MATCH(D1544,p_services,0)))),IF(A1544="BL","Client inconnu",IF(A1544="BR","Fournisseur inconnu","Service inconnu")),IF(H1544="","Article manquant",IF(ISNA(MATCH(H1544,art_ref,0)),"Article inconnu",IF(OR(NOT(ISNUMBER(L1544)),N(L1544)&lt;=0),"Quantité invalide",IF(AND(K1544&lt;&gt;"",OR(NOT(ISNUMBER(K1544)),N(K1544)&lt;=0)),"Qté commandée invalide",IF(AG1544&lt;SUMPRODUCT(MAX((A$6:A1543=A1544)*AG$6:AG1543)),"Date antérieure au bon précédent",IF(AND(A1544&lt;&gt;"BR",ISNUMBER(M1544),N(M1544)&gt;0),IF(A1544="BL","Livré plus que commandé","Sorti plus que demandé"),"OK"))))))))))))</f>
        <v/>
      </c>
      <c r="Y1544" s="57" t="str">
        <f>IF(AND(OR(A1544="BL",A1544="BR",A1544="BS"),AG1544&gt;0,D1544&lt;&gt;""),A1544&amp;"|"&amp;AG1544&amp;"|"&amp;D1544&amp;"|"&amp;F1544,"")</f>
        <v/>
      </c>
      <c r="Z1544" s="57" t="str">
        <f>IF(Y1544="","",IF(COUNTIF(Y$6:Y1543,Y1544)=0,1,0))</f>
        <v/>
      </c>
      <c r="AA1544" s="57" t="str">
        <f>IF(Y1544="","",IF(Z1544=1,COUNTIFS(A$6:A1544,A1544,Z$6:Z1544,1),INDEX(AA$6:AA1543,MATCH(Y1544,Y$6:Y1543,0))))</f>
        <v/>
      </c>
      <c r="AB1544" s="57" t="str">
        <f>IF(B1544="","",COUNTIF(B$6:B1544,B1544))</f>
        <v/>
      </c>
      <c r="AC1544" s="57" t="str">
        <f>IF(B1544="","",B1544&amp;"#"&amp;AB1544)</f>
        <v/>
      </c>
      <c r="AD1544" s="57" t="str">
        <f>IF(Z1544=1,A1544&amp;AA1544,"")</f>
        <v/>
      </c>
      <c r="AE1544" s="57" t="str">
        <f>IF(B1544="","",YEAR(C1544))</f>
        <v/>
      </c>
      <c r="AF1544" s="57" t="str">
        <f>IF(B1544="","",MONTH(C1544))</f>
        <v/>
      </c>
      <c r="AG1544" s="57">
        <f>IF(ISNUMBER(C1544),C1544,0)</f>
        <v>0.0</v>
      </c>
      <c r="AH1544" s="57" t="str">
        <f>IF(N(W1544)&gt;0,COUNTIF(W$6:W1544,"&gt;0"),"")</f>
        <v/>
      </c>
      <c r="AI1544" s="57" t="str">
        <f>IF(Z1544=1,COUNTIF(Z$6:Z1544,1),"")</f>
        <v/>
      </c>
    </row>
    <row r="1545">
      <c r="A1545" s="54" t="n"/>
      <c r="B1545" s="55" t="str">
        <f>IF(AA1545="","",A1545&amp;"-"&amp;RIGHT("000"&amp;AA1545,4))</f>
        <v/>
      </c>
      <c r="C1545" s="56" t="n"/>
      <c r="D1545" s="54" t="n"/>
      <c r="E1545" s="57" t="str">
        <f>IF(D1545="","",IF(A1545="BL",IFERROR(INDEX(cl_name,MATCH(D1545,cl_code,0))&amp;"","Client inconnu"),IF(A1545="BR",IFERROR(INDEX(fo_name,MATCH(D1545,fo_code,0))&amp;"","Fournisseur inconnu"),IF(A1545="BS",IF(ISNA(MATCH(D1545,p_services,0)),"Service inconnu",D1545&amp;""),""))))</f>
        <v/>
      </c>
      <c r="F1545" s="58" t="n"/>
      <c r="G1545" s="58" t="n"/>
      <c r="H1545" s="59" t="n"/>
      <c r="I1545" s="57" t="str">
        <f>IF(H1545="","",IFERROR(INDEX(art_des,MATCH(H1545,art_ref,0))&amp;"","Article inconnu"))</f>
        <v/>
      </c>
      <c r="J1545" s="60" t="str">
        <f>IF(H1545="","",IFERROR(INDEX(art_unit,MATCH(H1545,art_ref,0))&amp;"",""))</f>
        <v/>
      </c>
      <c r="K1545" s="59" t="n"/>
      <c r="L1545" s="59" t="n"/>
      <c r="M1545" s="61" t="str">
        <f>IF(OR(B1545="",NOT(ISNUMBER(K1545)),NOT(ISNUMBER(L1545))),"",IF(OR(K1545&lt;=0,L1545&lt;=0),"",ROUND(L1545-K1545,6)))</f>
        <v/>
      </c>
      <c r="N1545" s="58" t="n"/>
      <c r="O1545" s="62" t="n"/>
      <c r="P1545" s="63" t="str">
        <f>IF(OR(B1545="",NOT(ISNUMBER(L1545))),"",IF(L1545&lt;=0,"",IFERROR(ROUND(L1545*N(INDEX(art_w,MATCH(H1545,art_ref,0))),3),"")))</f>
        <v/>
      </c>
      <c r="Q1545" s="59" t="n"/>
      <c r="R1545" s="54" t="n"/>
      <c r="S1545" s="59" t="n"/>
      <c r="T1545" s="59" t="n"/>
      <c r="U1545" s="64" t="str">
        <f>IF(OR(B1545="",H1545=""),"",IFERROR(IF(A1545="BL",IF(N(INDEX(art_price,MATCH(H1545,art_ref,0)))=0,"",N(INDEX(art_price,MATCH(H1545,art_ref,0)))),IF(N(INDEX(art_cost,MATCH(H1545,art_ref,0)))=0,"",N(INDEX(art_cost,MATCH(H1545,art_ref,0))))),""))</f>
        <v/>
      </c>
      <c r="V1545" s="64" t="str">
        <f>IF(OR(U1545="",NOT(ISNUMBER(L1545))),"",IF(L1545&lt;=0,"",ROUND(L1545*U1545,2)))</f>
        <v/>
      </c>
      <c r="W1545" s="60" t="str">
        <f>IF(AND(B1545&lt;&gt;"",A1545&lt;&gt;"BS",F1545&lt;&gt;"",H1545&lt;&gt;"",ISNUMBER(K1545),ISNUMBER(L1545)),IF(AND(K1545&gt;0,L1545&gt;0,K1545-L1545&gt;0,COUNTIFS(A1546:A$2005,A1545,F1546:F$2005,F1545,H1546:H$2005,H1545,AA1546:AA$2005,"&gt;0")=0),ROUND(K1545-L1545,6),""),"")</f>
        <v/>
      </c>
      <c r="X1545" s="60" t="str">
        <f>IF(AND(A1545="",C1545="",D1545="",H1545="",L1545=""),"",IF(A1545="","Type manquant",IF(AND(A1545&lt;&gt;"BL",A1545&lt;&gt;"BR",A1545&lt;&gt;"BS"),"Type inconnu (BL, BR ou BS)",IF(AG1545=0,"Date manquante ou invalide",IF(D1545="",IF(A1545="BL","Client manquant",IF(A1545="BR","Fournisseur manquant","Service manquant")),IF(IF(A1545="BL",ISNA(MATCH(D1545,cl_code,0)),IF(A1545="BR",ISNA(MATCH(D1545,fo_code,0)),ISNA(MATCH(D1545,p_services,0)))),IF(A1545="BL","Client inconnu",IF(A1545="BR","Fournisseur inconnu","Service inconnu")),IF(H1545="","Article manquant",IF(ISNA(MATCH(H1545,art_ref,0)),"Article inconnu",IF(OR(NOT(ISNUMBER(L1545)),N(L1545)&lt;=0),"Quantité invalide",IF(AND(K1545&lt;&gt;"",OR(NOT(ISNUMBER(K1545)),N(K1545)&lt;=0)),"Qté commandée invalide",IF(AG1545&lt;SUMPRODUCT(MAX((A$6:A1544=A1545)*AG$6:AG1544)),"Date antérieure au bon précédent",IF(AND(A1545&lt;&gt;"BR",ISNUMBER(M1545),N(M1545)&gt;0),IF(A1545="BL","Livré plus que commandé","Sorti plus que demandé"),"OK"))))))))))))</f>
        <v/>
      </c>
      <c r="Y1545" s="57" t="str">
        <f>IF(AND(OR(A1545="BL",A1545="BR",A1545="BS"),AG1545&gt;0,D1545&lt;&gt;""),A1545&amp;"|"&amp;AG1545&amp;"|"&amp;D1545&amp;"|"&amp;F1545,"")</f>
        <v/>
      </c>
      <c r="Z1545" s="57" t="str">
        <f>IF(Y1545="","",IF(COUNTIF(Y$6:Y1544,Y1545)=0,1,0))</f>
        <v/>
      </c>
      <c r="AA1545" s="57" t="str">
        <f>IF(Y1545="","",IF(Z1545=1,COUNTIFS(A$6:A1545,A1545,Z$6:Z1545,1),INDEX(AA$6:AA1544,MATCH(Y1545,Y$6:Y1544,0))))</f>
        <v/>
      </c>
      <c r="AB1545" s="57" t="str">
        <f>IF(B1545="","",COUNTIF(B$6:B1545,B1545))</f>
        <v/>
      </c>
      <c r="AC1545" s="57" t="str">
        <f>IF(B1545="","",B1545&amp;"#"&amp;AB1545)</f>
        <v/>
      </c>
      <c r="AD1545" s="57" t="str">
        <f>IF(Z1545=1,A1545&amp;AA1545,"")</f>
        <v/>
      </c>
      <c r="AE1545" s="57" t="str">
        <f>IF(B1545="","",YEAR(C1545))</f>
        <v/>
      </c>
      <c r="AF1545" s="57" t="str">
        <f>IF(B1545="","",MONTH(C1545))</f>
        <v/>
      </c>
      <c r="AG1545" s="57">
        <f>IF(ISNUMBER(C1545),C1545,0)</f>
        <v>0.0</v>
      </c>
      <c r="AH1545" s="57" t="str">
        <f>IF(N(W1545)&gt;0,COUNTIF(W$6:W1545,"&gt;0"),"")</f>
        <v/>
      </c>
      <c r="AI1545" s="57" t="str">
        <f>IF(Z1545=1,COUNTIF(Z$6:Z1545,1),"")</f>
        <v/>
      </c>
    </row>
    <row r="1546">
      <c r="A1546" s="54" t="n"/>
      <c r="B1546" s="55" t="str">
        <f>IF(AA1546="","",A1546&amp;"-"&amp;RIGHT("000"&amp;AA1546,4))</f>
        <v/>
      </c>
      <c r="C1546" s="56" t="n"/>
      <c r="D1546" s="54" t="n"/>
      <c r="E1546" s="57" t="str">
        <f>IF(D1546="","",IF(A1546="BL",IFERROR(INDEX(cl_name,MATCH(D1546,cl_code,0))&amp;"","Client inconnu"),IF(A1546="BR",IFERROR(INDEX(fo_name,MATCH(D1546,fo_code,0))&amp;"","Fournisseur inconnu"),IF(A1546="BS",IF(ISNA(MATCH(D1546,p_services,0)),"Service inconnu",D1546&amp;""),""))))</f>
        <v/>
      </c>
      <c r="F1546" s="58" t="n"/>
      <c r="G1546" s="58" t="n"/>
      <c r="H1546" s="59" t="n"/>
      <c r="I1546" s="57" t="str">
        <f>IF(H1546="","",IFERROR(INDEX(art_des,MATCH(H1546,art_ref,0))&amp;"","Article inconnu"))</f>
        <v/>
      </c>
      <c r="J1546" s="60" t="str">
        <f>IF(H1546="","",IFERROR(INDEX(art_unit,MATCH(H1546,art_ref,0))&amp;"",""))</f>
        <v/>
      </c>
      <c r="K1546" s="59" t="n"/>
      <c r="L1546" s="59" t="n"/>
      <c r="M1546" s="61" t="str">
        <f>IF(OR(B1546="",NOT(ISNUMBER(K1546)),NOT(ISNUMBER(L1546))),"",IF(OR(K1546&lt;=0,L1546&lt;=0),"",ROUND(L1546-K1546,6)))</f>
        <v/>
      </c>
      <c r="N1546" s="58" t="n"/>
      <c r="O1546" s="62" t="n"/>
      <c r="P1546" s="63" t="str">
        <f>IF(OR(B1546="",NOT(ISNUMBER(L1546))),"",IF(L1546&lt;=0,"",IFERROR(ROUND(L1546*N(INDEX(art_w,MATCH(H1546,art_ref,0))),3),"")))</f>
        <v/>
      </c>
      <c r="Q1546" s="59" t="n"/>
      <c r="R1546" s="54" t="n"/>
      <c r="S1546" s="59" t="n"/>
      <c r="T1546" s="59" t="n"/>
      <c r="U1546" s="64" t="str">
        <f>IF(OR(B1546="",H1546=""),"",IFERROR(IF(A1546="BL",IF(N(INDEX(art_price,MATCH(H1546,art_ref,0)))=0,"",N(INDEX(art_price,MATCH(H1546,art_ref,0)))),IF(N(INDEX(art_cost,MATCH(H1546,art_ref,0)))=0,"",N(INDEX(art_cost,MATCH(H1546,art_ref,0))))),""))</f>
        <v/>
      </c>
      <c r="V1546" s="64" t="str">
        <f>IF(OR(U1546="",NOT(ISNUMBER(L1546))),"",IF(L1546&lt;=0,"",ROUND(L1546*U1546,2)))</f>
        <v/>
      </c>
      <c r="W1546" s="60" t="str">
        <f>IF(AND(B1546&lt;&gt;"",A1546&lt;&gt;"BS",F1546&lt;&gt;"",H1546&lt;&gt;"",ISNUMBER(K1546),ISNUMBER(L1546)),IF(AND(K1546&gt;0,L1546&gt;0,K1546-L1546&gt;0,COUNTIFS(A1547:A$2005,A1546,F1547:F$2005,F1546,H1547:H$2005,H1546,AA1547:AA$2005,"&gt;0")=0),ROUND(K1546-L1546,6),""),"")</f>
        <v/>
      </c>
      <c r="X1546" s="60" t="str">
        <f>IF(AND(A1546="",C1546="",D1546="",H1546="",L1546=""),"",IF(A1546="","Type manquant",IF(AND(A1546&lt;&gt;"BL",A1546&lt;&gt;"BR",A1546&lt;&gt;"BS"),"Type inconnu (BL, BR ou BS)",IF(AG1546=0,"Date manquante ou invalide",IF(D1546="",IF(A1546="BL","Client manquant",IF(A1546="BR","Fournisseur manquant","Service manquant")),IF(IF(A1546="BL",ISNA(MATCH(D1546,cl_code,0)),IF(A1546="BR",ISNA(MATCH(D1546,fo_code,0)),ISNA(MATCH(D1546,p_services,0)))),IF(A1546="BL","Client inconnu",IF(A1546="BR","Fournisseur inconnu","Service inconnu")),IF(H1546="","Article manquant",IF(ISNA(MATCH(H1546,art_ref,0)),"Article inconnu",IF(OR(NOT(ISNUMBER(L1546)),N(L1546)&lt;=0),"Quantité invalide",IF(AND(K1546&lt;&gt;"",OR(NOT(ISNUMBER(K1546)),N(K1546)&lt;=0)),"Qté commandée invalide",IF(AG1546&lt;SUMPRODUCT(MAX((A$6:A1545=A1546)*AG$6:AG1545)),"Date antérieure au bon précédent",IF(AND(A1546&lt;&gt;"BR",ISNUMBER(M1546),N(M1546)&gt;0),IF(A1546="BL","Livré plus que commandé","Sorti plus que demandé"),"OK"))))))))))))</f>
        <v/>
      </c>
      <c r="Y1546" s="57" t="str">
        <f>IF(AND(OR(A1546="BL",A1546="BR",A1546="BS"),AG1546&gt;0,D1546&lt;&gt;""),A1546&amp;"|"&amp;AG1546&amp;"|"&amp;D1546&amp;"|"&amp;F1546,"")</f>
        <v/>
      </c>
      <c r="Z1546" s="57" t="str">
        <f>IF(Y1546="","",IF(COUNTIF(Y$6:Y1545,Y1546)=0,1,0))</f>
        <v/>
      </c>
      <c r="AA1546" s="57" t="str">
        <f>IF(Y1546="","",IF(Z1546=1,COUNTIFS(A$6:A1546,A1546,Z$6:Z1546,1),INDEX(AA$6:AA1545,MATCH(Y1546,Y$6:Y1545,0))))</f>
        <v/>
      </c>
      <c r="AB1546" s="57" t="str">
        <f>IF(B1546="","",COUNTIF(B$6:B1546,B1546))</f>
        <v/>
      </c>
      <c r="AC1546" s="57" t="str">
        <f>IF(B1546="","",B1546&amp;"#"&amp;AB1546)</f>
        <v/>
      </c>
      <c r="AD1546" s="57" t="str">
        <f>IF(Z1546=1,A1546&amp;AA1546,"")</f>
        <v/>
      </c>
      <c r="AE1546" s="57" t="str">
        <f>IF(B1546="","",YEAR(C1546))</f>
        <v/>
      </c>
      <c r="AF1546" s="57" t="str">
        <f>IF(B1546="","",MONTH(C1546))</f>
        <v/>
      </c>
      <c r="AG1546" s="57">
        <f>IF(ISNUMBER(C1546),C1546,0)</f>
        <v>0.0</v>
      </c>
      <c r="AH1546" s="57" t="str">
        <f>IF(N(W1546)&gt;0,COUNTIF(W$6:W1546,"&gt;0"),"")</f>
        <v/>
      </c>
      <c r="AI1546" s="57" t="str">
        <f>IF(Z1546=1,COUNTIF(Z$6:Z1546,1),"")</f>
        <v/>
      </c>
    </row>
    <row r="1547">
      <c r="A1547" s="54" t="n"/>
      <c r="B1547" s="55" t="str">
        <f>IF(AA1547="","",A1547&amp;"-"&amp;RIGHT("000"&amp;AA1547,4))</f>
        <v/>
      </c>
      <c r="C1547" s="56" t="n"/>
      <c r="D1547" s="54" t="n"/>
      <c r="E1547" s="57" t="str">
        <f>IF(D1547="","",IF(A1547="BL",IFERROR(INDEX(cl_name,MATCH(D1547,cl_code,0))&amp;"","Client inconnu"),IF(A1547="BR",IFERROR(INDEX(fo_name,MATCH(D1547,fo_code,0))&amp;"","Fournisseur inconnu"),IF(A1547="BS",IF(ISNA(MATCH(D1547,p_services,0)),"Service inconnu",D1547&amp;""),""))))</f>
        <v/>
      </c>
      <c r="F1547" s="58" t="n"/>
      <c r="G1547" s="58" t="n"/>
      <c r="H1547" s="59" t="n"/>
      <c r="I1547" s="57" t="str">
        <f>IF(H1547="","",IFERROR(INDEX(art_des,MATCH(H1547,art_ref,0))&amp;"","Article inconnu"))</f>
        <v/>
      </c>
      <c r="J1547" s="60" t="str">
        <f>IF(H1547="","",IFERROR(INDEX(art_unit,MATCH(H1547,art_ref,0))&amp;"",""))</f>
        <v/>
      </c>
      <c r="K1547" s="59" t="n"/>
      <c r="L1547" s="59" t="n"/>
      <c r="M1547" s="61" t="str">
        <f>IF(OR(B1547="",NOT(ISNUMBER(K1547)),NOT(ISNUMBER(L1547))),"",IF(OR(K1547&lt;=0,L1547&lt;=0),"",ROUND(L1547-K1547,6)))</f>
        <v/>
      </c>
      <c r="N1547" s="58" t="n"/>
      <c r="O1547" s="62" t="n"/>
      <c r="P1547" s="63" t="str">
        <f>IF(OR(B1547="",NOT(ISNUMBER(L1547))),"",IF(L1547&lt;=0,"",IFERROR(ROUND(L1547*N(INDEX(art_w,MATCH(H1547,art_ref,0))),3),"")))</f>
        <v/>
      </c>
      <c r="Q1547" s="59" t="n"/>
      <c r="R1547" s="54" t="n"/>
      <c r="S1547" s="59" t="n"/>
      <c r="T1547" s="59" t="n"/>
      <c r="U1547" s="64" t="str">
        <f>IF(OR(B1547="",H1547=""),"",IFERROR(IF(A1547="BL",IF(N(INDEX(art_price,MATCH(H1547,art_ref,0)))=0,"",N(INDEX(art_price,MATCH(H1547,art_ref,0)))),IF(N(INDEX(art_cost,MATCH(H1547,art_ref,0)))=0,"",N(INDEX(art_cost,MATCH(H1547,art_ref,0))))),""))</f>
        <v/>
      </c>
      <c r="V1547" s="64" t="str">
        <f>IF(OR(U1547="",NOT(ISNUMBER(L1547))),"",IF(L1547&lt;=0,"",ROUND(L1547*U1547,2)))</f>
        <v/>
      </c>
      <c r="W1547" s="60" t="str">
        <f>IF(AND(B1547&lt;&gt;"",A1547&lt;&gt;"BS",F1547&lt;&gt;"",H1547&lt;&gt;"",ISNUMBER(K1547),ISNUMBER(L1547)),IF(AND(K1547&gt;0,L1547&gt;0,K1547-L1547&gt;0,COUNTIFS(A1548:A$2005,A1547,F1548:F$2005,F1547,H1548:H$2005,H1547,AA1548:AA$2005,"&gt;0")=0),ROUND(K1547-L1547,6),""),"")</f>
        <v/>
      </c>
      <c r="X1547" s="60" t="str">
        <f>IF(AND(A1547="",C1547="",D1547="",H1547="",L1547=""),"",IF(A1547="","Type manquant",IF(AND(A1547&lt;&gt;"BL",A1547&lt;&gt;"BR",A1547&lt;&gt;"BS"),"Type inconnu (BL, BR ou BS)",IF(AG1547=0,"Date manquante ou invalide",IF(D1547="",IF(A1547="BL","Client manquant",IF(A1547="BR","Fournisseur manquant","Service manquant")),IF(IF(A1547="BL",ISNA(MATCH(D1547,cl_code,0)),IF(A1547="BR",ISNA(MATCH(D1547,fo_code,0)),ISNA(MATCH(D1547,p_services,0)))),IF(A1547="BL","Client inconnu",IF(A1547="BR","Fournisseur inconnu","Service inconnu")),IF(H1547="","Article manquant",IF(ISNA(MATCH(H1547,art_ref,0)),"Article inconnu",IF(OR(NOT(ISNUMBER(L1547)),N(L1547)&lt;=0),"Quantité invalide",IF(AND(K1547&lt;&gt;"",OR(NOT(ISNUMBER(K1547)),N(K1547)&lt;=0)),"Qté commandée invalide",IF(AG1547&lt;SUMPRODUCT(MAX((A$6:A1546=A1547)*AG$6:AG1546)),"Date antérieure au bon précédent",IF(AND(A1547&lt;&gt;"BR",ISNUMBER(M1547),N(M1547)&gt;0),IF(A1547="BL","Livré plus que commandé","Sorti plus que demandé"),"OK"))))))))))))</f>
        <v/>
      </c>
      <c r="Y1547" s="57" t="str">
        <f>IF(AND(OR(A1547="BL",A1547="BR",A1547="BS"),AG1547&gt;0,D1547&lt;&gt;""),A1547&amp;"|"&amp;AG1547&amp;"|"&amp;D1547&amp;"|"&amp;F1547,"")</f>
        <v/>
      </c>
      <c r="Z1547" s="57" t="str">
        <f>IF(Y1547="","",IF(COUNTIF(Y$6:Y1546,Y1547)=0,1,0))</f>
        <v/>
      </c>
      <c r="AA1547" s="57" t="str">
        <f>IF(Y1547="","",IF(Z1547=1,COUNTIFS(A$6:A1547,A1547,Z$6:Z1547,1),INDEX(AA$6:AA1546,MATCH(Y1547,Y$6:Y1546,0))))</f>
        <v/>
      </c>
      <c r="AB1547" s="57" t="str">
        <f>IF(B1547="","",COUNTIF(B$6:B1547,B1547))</f>
        <v/>
      </c>
      <c r="AC1547" s="57" t="str">
        <f>IF(B1547="","",B1547&amp;"#"&amp;AB1547)</f>
        <v/>
      </c>
      <c r="AD1547" s="57" t="str">
        <f>IF(Z1547=1,A1547&amp;AA1547,"")</f>
        <v/>
      </c>
      <c r="AE1547" s="57" t="str">
        <f>IF(B1547="","",YEAR(C1547))</f>
        <v/>
      </c>
      <c r="AF1547" s="57" t="str">
        <f>IF(B1547="","",MONTH(C1547))</f>
        <v/>
      </c>
      <c r="AG1547" s="57">
        <f>IF(ISNUMBER(C1547),C1547,0)</f>
        <v>0.0</v>
      </c>
      <c r="AH1547" s="57" t="str">
        <f>IF(N(W1547)&gt;0,COUNTIF(W$6:W1547,"&gt;0"),"")</f>
        <v/>
      </c>
      <c r="AI1547" s="57" t="str">
        <f>IF(Z1547=1,COUNTIF(Z$6:Z1547,1),"")</f>
        <v/>
      </c>
    </row>
    <row r="1548">
      <c r="A1548" s="54" t="n"/>
      <c r="B1548" s="55" t="str">
        <f>IF(AA1548="","",A1548&amp;"-"&amp;RIGHT("000"&amp;AA1548,4))</f>
        <v/>
      </c>
      <c r="C1548" s="56" t="n"/>
      <c r="D1548" s="54" t="n"/>
      <c r="E1548" s="57" t="str">
        <f>IF(D1548="","",IF(A1548="BL",IFERROR(INDEX(cl_name,MATCH(D1548,cl_code,0))&amp;"","Client inconnu"),IF(A1548="BR",IFERROR(INDEX(fo_name,MATCH(D1548,fo_code,0))&amp;"","Fournisseur inconnu"),IF(A1548="BS",IF(ISNA(MATCH(D1548,p_services,0)),"Service inconnu",D1548&amp;""),""))))</f>
        <v/>
      </c>
      <c r="F1548" s="58" t="n"/>
      <c r="G1548" s="58" t="n"/>
      <c r="H1548" s="59" t="n"/>
      <c r="I1548" s="57" t="str">
        <f>IF(H1548="","",IFERROR(INDEX(art_des,MATCH(H1548,art_ref,0))&amp;"","Article inconnu"))</f>
        <v/>
      </c>
      <c r="J1548" s="60" t="str">
        <f>IF(H1548="","",IFERROR(INDEX(art_unit,MATCH(H1548,art_ref,0))&amp;"",""))</f>
        <v/>
      </c>
      <c r="K1548" s="59" t="n"/>
      <c r="L1548" s="59" t="n"/>
      <c r="M1548" s="61" t="str">
        <f>IF(OR(B1548="",NOT(ISNUMBER(K1548)),NOT(ISNUMBER(L1548))),"",IF(OR(K1548&lt;=0,L1548&lt;=0),"",ROUND(L1548-K1548,6)))</f>
        <v/>
      </c>
      <c r="N1548" s="58" t="n"/>
      <c r="O1548" s="62" t="n"/>
      <c r="P1548" s="63" t="str">
        <f>IF(OR(B1548="",NOT(ISNUMBER(L1548))),"",IF(L1548&lt;=0,"",IFERROR(ROUND(L1548*N(INDEX(art_w,MATCH(H1548,art_ref,0))),3),"")))</f>
        <v/>
      </c>
      <c r="Q1548" s="59" t="n"/>
      <c r="R1548" s="54" t="n"/>
      <c r="S1548" s="59" t="n"/>
      <c r="T1548" s="59" t="n"/>
      <c r="U1548" s="64" t="str">
        <f>IF(OR(B1548="",H1548=""),"",IFERROR(IF(A1548="BL",IF(N(INDEX(art_price,MATCH(H1548,art_ref,0)))=0,"",N(INDEX(art_price,MATCH(H1548,art_ref,0)))),IF(N(INDEX(art_cost,MATCH(H1548,art_ref,0)))=0,"",N(INDEX(art_cost,MATCH(H1548,art_ref,0))))),""))</f>
        <v/>
      </c>
      <c r="V1548" s="64" t="str">
        <f>IF(OR(U1548="",NOT(ISNUMBER(L1548))),"",IF(L1548&lt;=0,"",ROUND(L1548*U1548,2)))</f>
        <v/>
      </c>
      <c r="W1548" s="60" t="str">
        <f>IF(AND(B1548&lt;&gt;"",A1548&lt;&gt;"BS",F1548&lt;&gt;"",H1548&lt;&gt;"",ISNUMBER(K1548),ISNUMBER(L1548)),IF(AND(K1548&gt;0,L1548&gt;0,K1548-L1548&gt;0,COUNTIFS(A1549:A$2005,A1548,F1549:F$2005,F1548,H1549:H$2005,H1548,AA1549:AA$2005,"&gt;0")=0),ROUND(K1548-L1548,6),""),"")</f>
        <v/>
      </c>
      <c r="X1548" s="60" t="str">
        <f>IF(AND(A1548="",C1548="",D1548="",H1548="",L1548=""),"",IF(A1548="","Type manquant",IF(AND(A1548&lt;&gt;"BL",A1548&lt;&gt;"BR",A1548&lt;&gt;"BS"),"Type inconnu (BL, BR ou BS)",IF(AG1548=0,"Date manquante ou invalide",IF(D1548="",IF(A1548="BL","Client manquant",IF(A1548="BR","Fournisseur manquant","Service manquant")),IF(IF(A1548="BL",ISNA(MATCH(D1548,cl_code,0)),IF(A1548="BR",ISNA(MATCH(D1548,fo_code,0)),ISNA(MATCH(D1548,p_services,0)))),IF(A1548="BL","Client inconnu",IF(A1548="BR","Fournisseur inconnu","Service inconnu")),IF(H1548="","Article manquant",IF(ISNA(MATCH(H1548,art_ref,0)),"Article inconnu",IF(OR(NOT(ISNUMBER(L1548)),N(L1548)&lt;=0),"Quantité invalide",IF(AND(K1548&lt;&gt;"",OR(NOT(ISNUMBER(K1548)),N(K1548)&lt;=0)),"Qté commandée invalide",IF(AG1548&lt;SUMPRODUCT(MAX((A$6:A1547=A1548)*AG$6:AG1547)),"Date antérieure au bon précédent",IF(AND(A1548&lt;&gt;"BR",ISNUMBER(M1548),N(M1548)&gt;0),IF(A1548="BL","Livré plus que commandé","Sorti plus que demandé"),"OK"))))))))))))</f>
        <v/>
      </c>
      <c r="Y1548" s="57" t="str">
        <f>IF(AND(OR(A1548="BL",A1548="BR",A1548="BS"),AG1548&gt;0,D1548&lt;&gt;""),A1548&amp;"|"&amp;AG1548&amp;"|"&amp;D1548&amp;"|"&amp;F1548,"")</f>
        <v/>
      </c>
      <c r="Z1548" s="57" t="str">
        <f>IF(Y1548="","",IF(COUNTIF(Y$6:Y1547,Y1548)=0,1,0))</f>
        <v/>
      </c>
      <c r="AA1548" s="57" t="str">
        <f>IF(Y1548="","",IF(Z1548=1,COUNTIFS(A$6:A1548,A1548,Z$6:Z1548,1),INDEX(AA$6:AA1547,MATCH(Y1548,Y$6:Y1547,0))))</f>
        <v/>
      </c>
      <c r="AB1548" s="57" t="str">
        <f>IF(B1548="","",COUNTIF(B$6:B1548,B1548))</f>
        <v/>
      </c>
      <c r="AC1548" s="57" t="str">
        <f>IF(B1548="","",B1548&amp;"#"&amp;AB1548)</f>
        <v/>
      </c>
      <c r="AD1548" s="57" t="str">
        <f>IF(Z1548=1,A1548&amp;AA1548,"")</f>
        <v/>
      </c>
      <c r="AE1548" s="57" t="str">
        <f>IF(B1548="","",YEAR(C1548))</f>
        <v/>
      </c>
      <c r="AF1548" s="57" t="str">
        <f>IF(B1548="","",MONTH(C1548))</f>
        <v/>
      </c>
      <c r="AG1548" s="57">
        <f>IF(ISNUMBER(C1548),C1548,0)</f>
        <v>0.0</v>
      </c>
      <c r="AH1548" s="57" t="str">
        <f>IF(N(W1548)&gt;0,COUNTIF(W$6:W1548,"&gt;0"),"")</f>
        <v/>
      </c>
      <c r="AI1548" s="57" t="str">
        <f>IF(Z1548=1,COUNTIF(Z$6:Z1548,1),"")</f>
        <v/>
      </c>
    </row>
    <row r="1549">
      <c r="A1549" s="54" t="n"/>
      <c r="B1549" s="55" t="str">
        <f>IF(AA1549="","",A1549&amp;"-"&amp;RIGHT("000"&amp;AA1549,4))</f>
        <v/>
      </c>
      <c r="C1549" s="56" t="n"/>
      <c r="D1549" s="54" t="n"/>
      <c r="E1549" s="57" t="str">
        <f>IF(D1549="","",IF(A1549="BL",IFERROR(INDEX(cl_name,MATCH(D1549,cl_code,0))&amp;"","Client inconnu"),IF(A1549="BR",IFERROR(INDEX(fo_name,MATCH(D1549,fo_code,0))&amp;"","Fournisseur inconnu"),IF(A1549="BS",IF(ISNA(MATCH(D1549,p_services,0)),"Service inconnu",D1549&amp;""),""))))</f>
        <v/>
      </c>
      <c r="F1549" s="58" t="n"/>
      <c r="G1549" s="58" t="n"/>
      <c r="H1549" s="59" t="n"/>
      <c r="I1549" s="57" t="str">
        <f>IF(H1549="","",IFERROR(INDEX(art_des,MATCH(H1549,art_ref,0))&amp;"","Article inconnu"))</f>
        <v/>
      </c>
      <c r="J1549" s="60" t="str">
        <f>IF(H1549="","",IFERROR(INDEX(art_unit,MATCH(H1549,art_ref,0))&amp;"",""))</f>
        <v/>
      </c>
      <c r="K1549" s="59" t="n"/>
      <c r="L1549" s="59" t="n"/>
      <c r="M1549" s="61" t="str">
        <f>IF(OR(B1549="",NOT(ISNUMBER(K1549)),NOT(ISNUMBER(L1549))),"",IF(OR(K1549&lt;=0,L1549&lt;=0),"",ROUND(L1549-K1549,6)))</f>
        <v/>
      </c>
      <c r="N1549" s="58" t="n"/>
      <c r="O1549" s="62" t="n"/>
      <c r="P1549" s="63" t="str">
        <f>IF(OR(B1549="",NOT(ISNUMBER(L1549))),"",IF(L1549&lt;=0,"",IFERROR(ROUND(L1549*N(INDEX(art_w,MATCH(H1549,art_ref,0))),3),"")))</f>
        <v/>
      </c>
      <c r="Q1549" s="59" t="n"/>
      <c r="R1549" s="54" t="n"/>
      <c r="S1549" s="59" t="n"/>
      <c r="T1549" s="59" t="n"/>
      <c r="U1549" s="64" t="str">
        <f>IF(OR(B1549="",H1549=""),"",IFERROR(IF(A1549="BL",IF(N(INDEX(art_price,MATCH(H1549,art_ref,0)))=0,"",N(INDEX(art_price,MATCH(H1549,art_ref,0)))),IF(N(INDEX(art_cost,MATCH(H1549,art_ref,0)))=0,"",N(INDEX(art_cost,MATCH(H1549,art_ref,0))))),""))</f>
        <v/>
      </c>
      <c r="V1549" s="64" t="str">
        <f>IF(OR(U1549="",NOT(ISNUMBER(L1549))),"",IF(L1549&lt;=0,"",ROUND(L1549*U1549,2)))</f>
        <v/>
      </c>
      <c r="W1549" s="60" t="str">
        <f>IF(AND(B1549&lt;&gt;"",A1549&lt;&gt;"BS",F1549&lt;&gt;"",H1549&lt;&gt;"",ISNUMBER(K1549),ISNUMBER(L1549)),IF(AND(K1549&gt;0,L1549&gt;0,K1549-L1549&gt;0,COUNTIFS(A1550:A$2005,A1549,F1550:F$2005,F1549,H1550:H$2005,H1549,AA1550:AA$2005,"&gt;0")=0),ROUND(K1549-L1549,6),""),"")</f>
        <v/>
      </c>
      <c r="X1549" s="60" t="str">
        <f>IF(AND(A1549="",C1549="",D1549="",H1549="",L1549=""),"",IF(A1549="","Type manquant",IF(AND(A1549&lt;&gt;"BL",A1549&lt;&gt;"BR",A1549&lt;&gt;"BS"),"Type inconnu (BL, BR ou BS)",IF(AG1549=0,"Date manquante ou invalide",IF(D1549="",IF(A1549="BL","Client manquant",IF(A1549="BR","Fournisseur manquant","Service manquant")),IF(IF(A1549="BL",ISNA(MATCH(D1549,cl_code,0)),IF(A1549="BR",ISNA(MATCH(D1549,fo_code,0)),ISNA(MATCH(D1549,p_services,0)))),IF(A1549="BL","Client inconnu",IF(A1549="BR","Fournisseur inconnu","Service inconnu")),IF(H1549="","Article manquant",IF(ISNA(MATCH(H1549,art_ref,0)),"Article inconnu",IF(OR(NOT(ISNUMBER(L1549)),N(L1549)&lt;=0),"Quantité invalide",IF(AND(K1549&lt;&gt;"",OR(NOT(ISNUMBER(K1549)),N(K1549)&lt;=0)),"Qté commandée invalide",IF(AG1549&lt;SUMPRODUCT(MAX((A$6:A1548=A1549)*AG$6:AG1548)),"Date antérieure au bon précédent",IF(AND(A1549&lt;&gt;"BR",ISNUMBER(M1549),N(M1549)&gt;0),IF(A1549="BL","Livré plus que commandé","Sorti plus que demandé"),"OK"))))))))))))</f>
        <v/>
      </c>
      <c r="Y1549" s="57" t="str">
        <f>IF(AND(OR(A1549="BL",A1549="BR",A1549="BS"),AG1549&gt;0,D1549&lt;&gt;""),A1549&amp;"|"&amp;AG1549&amp;"|"&amp;D1549&amp;"|"&amp;F1549,"")</f>
        <v/>
      </c>
      <c r="Z1549" s="57" t="str">
        <f>IF(Y1549="","",IF(COUNTIF(Y$6:Y1548,Y1549)=0,1,0))</f>
        <v/>
      </c>
      <c r="AA1549" s="57" t="str">
        <f>IF(Y1549="","",IF(Z1549=1,COUNTIFS(A$6:A1549,A1549,Z$6:Z1549,1),INDEX(AA$6:AA1548,MATCH(Y1549,Y$6:Y1548,0))))</f>
        <v/>
      </c>
      <c r="AB1549" s="57" t="str">
        <f>IF(B1549="","",COUNTIF(B$6:B1549,B1549))</f>
        <v/>
      </c>
      <c r="AC1549" s="57" t="str">
        <f>IF(B1549="","",B1549&amp;"#"&amp;AB1549)</f>
        <v/>
      </c>
      <c r="AD1549" s="57" t="str">
        <f>IF(Z1549=1,A1549&amp;AA1549,"")</f>
        <v/>
      </c>
      <c r="AE1549" s="57" t="str">
        <f>IF(B1549="","",YEAR(C1549))</f>
        <v/>
      </c>
      <c r="AF1549" s="57" t="str">
        <f>IF(B1549="","",MONTH(C1549))</f>
        <v/>
      </c>
      <c r="AG1549" s="57">
        <f>IF(ISNUMBER(C1549),C1549,0)</f>
        <v>0.0</v>
      </c>
      <c r="AH1549" s="57" t="str">
        <f>IF(N(W1549)&gt;0,COUNTIF(W$6:W1549,"&gt;0"),"")</f>
        <v/>
      </c>
      <c r="AI1549" s="57" t="str">
        <f>IF(Z1549=1,COUNTIF(Z$6:Z1549,1),"")</f>
        <v/>
      </c>
    </row>
    <row r="1550">
      <c r="A1550" s="54" t="n"/>
      <c r="B1550" s="55" t="str">
        <f>IF(AA1550="","",A1550&amp;"-"&amp;RIGHT("000"&amp;AA1550,4))</f>
        <v/>
      </c>
      <c r="C1550" s="56" t="n"/>
      <c r="D1550" s="54" t="n"/>
      <c r="E1550" s="57" t="str">
        <f>IF(D1550="","",IF(A1550="BL",IFERROR(INDEX(cl_name,MATCH(D1550,cl_code,0))&amp;"","Client inconnu"),IF(A1550="BR",IFERROR(INDEX(fo_name,MATCH(D1550,fo_code,0))&amp;"","Fournisseur inconnu"),IF(A1550="BS",IF(ISNA(MATCH(D1550,p_services,0)),"Service inconnu",D1550&amp;""),""))))</f>
        <v/>
      </c>
      <c r="F1550" s="58" t="n"/>
      <c r="G1550" s="58" t="n"/>
      <c r="H1550" s="59" t="n"/>
      <c r="I1550" s="57" t="str">
        <f>IF(H1550="","",IFERROR(INDEX(art_des,MATCH(H1550,art_ref,0))&amp;"","Article inconnu"))</f>
        <v/>
      </c>
      <c r="J1550" s="60" t="str">
        <f>IF(H1550="","",IFERROR(INDEX(art_unit,MATCH(H1550,art_ref,0))&amp;"",""))</f>
        <v/>
      </c>
      <c r="K1550" s="59" t="n"/>
      <c r="L1550" s="59" t="n"/>
      <c r="M1550" s="61" t="str">
        <f>IF(OR(B1550="",NOT(ISNUMBER(K1550)),NOT(ISNUMBER(L1550))),"",IF(OR(K1550&lt;=0,L1550&lt;=0),"",ROUND(L1550-K1550,6)))</f>
        <v/>
      </c>
      <c r="N1550" s="58" t="n"/>
      <c r="O1550" s="62" t="n"/>
      <c r="P1550" s="63" t="str">
        <f>IF(OR(B1550="",NOT(ISNUMBER(L1550))),"",IF(L1550&lt;=0,"",IFERROR(ROUND(L1550*N(INDEX(art_w,MATCH(H1550,art_ref,0))),3),"")))</f>
        <v/>
      </c>
      <c r="Q1550" s="59" t="n"/>
      <c r="R1550" s="54" t="n"/>
      <c r="S1550" s="59" t="n"/>
      <c r="T1550" s="59" t="n"/>
      <c r="U1550" s="64" t="str">
        <f>IF(OR(B1550="",H1550=""),"",IFERROR(IF(A1550="BL",IF(N(INDEX(art_price,MATCH(H1550,art_ref,0)))=0,"",N(INDEX(art_price,MATCH(H1550,art_ref,0)))),IF(N(INDEX(art_cost,MATCH(H1550,art_ref,0)))=0,"",N(INDEX(art_cost,MATCH(H1550,art_ref,0))))),""))</f>
        <v/>
      </c>
      <c r="V1550" s="64" t="str">
        <f>IF(OR(U1550="",NOT(ISNUMBER(L1550))),"",IF(L1550&lt;=0,"",ROUND(L1550*U1550,2)))</f>
        <v/>
      </c>
      <c r="W1550" s="60" t="str">
        <f>IF(AND(B1550&lt;&gt;"",A1550&lt;&gt;"BS",F1550&lt;&gt;"",H1550&lt;&gt;"",ISNUMBER(K1550),ISNUMBER(L1550)),IF(AND(K1550&gt;0,L1550&gt;0,K1550-L1550&gt;0,COUNTIFS(A1551:A$2005,A1550,F1551:F$2005,F1550,H1551:H$2005,H1550,AA1551:AA$2005,"&gt;0")=0),ROUND(K1550-L1550,6),""),"")</f>
        <v/>
      </c>
      <c r="X1550" s="60" t="str">
        <f>IF(AND(A1550="",C1550="",D1550="",H1550="",L1550=""),"",IF(A1550="","Type manquant",IF(AND(A1550&lt;&gt;"BL",A1550&lt;&gt;"BR",A1550&lt;&gt;"BS"),"Type inconnu (BL, BR ou BS)",IF(AG1550=0,"Date manquante ou invalide",IF(D1550="",IF(A1550="BL","Client manquant",IF(A1550="BR","Fournisseur manquant","Service manquant")),IF(IF(A1550="BL",ISNA(MATCH(D1550,cl_code,0)),IF(A1550="BR",ISNA(MATCH(D1550,fo_code,0)),ISNA(MATCH(D1550,p_services,0)))),IF(A1550="BL","Client inconnu",IF(A1550="BR","Fournisseur inconnu","Service inconnu")),IF(H1550="","Article manquant",IF(ISNA(MATCH(H1550,art_ref,0)),"Article inconnu",IF(OR(NOT(ISNUMBER(L1550)),N(L1550)&lt;=0),"Quantité invalide",IF(AND(K1550&lt;&gt;"",OR(NOT(ISNUMBER(K1550)),N(K1550)&lt;=0)),"Qté commandée invalide",IF(AG1550&lt;SUMPRODUCT(MAX((A$6:A1549=A1550)*AG$6:AG1549)),"Date antérieure au bon précédent",IF(AND(A1550&lt;&gt;"BR",ISNUMBER(M1550),N(M1550)&gt;0),IF(A1550="BL","Livré plus que commandé","Sorti plus que demandé"),"OK"))))))))))))</f>
        <v/>
      </c>
      <c r="Y1550" s="57" t="str">
        <f>IF(AND(OR(A1550="BL",A1550="BR",A1550="BS"),AG1550&gt;0,D1550&lt;&gt;""),A1550&amp;"|"&amp;AG1550&amp;"|"&amp;D1550&amp;"|"&amp;F1550,"")</f>
        <v/>
      </c>
      <c r="Z1550" s="57" t="str">
        <f>IF(Y1550="","",IF(COUNTIF(Y$6:Y1549,Y1550)=0,1,0))</f>
        <v/>
      </c>
      <c r="AA1550" s="57" t="str">
        <f>IF(Y1550="","",IF(Z1550=1,COUNTIFS(A$6:A1550,A1550,Z$6:Z1550,1),INDEX(AA$6:AA1549,MATCH(Y1550,Y$6:Y1549,0))))</f>
        <v/>
      </c>
      <c r="AB1550" s="57" t="str">
        <f>IF(B1550="","",COUNTIF(B$6:B1550,B1550))</f>
        <v/>
      </c>
      <c r="AC1550" s="57" t="str">
        <f>IF(B1550="","",B1550&amp;"#"&amp;AB1550)</f>
        <v/>
      </c>
      <c r="AD1550" s="57" t="str">
        <f>IF(Z1550=1,A1550&amp;AA1550,"")</f>
        <v/>
      </c>
      <c r="AE1550" s="57" t="str">
        <f>IF(B1550="","",YEAR(C1550))</f>
        <v/>
      </c>
      <c r="AF1550" s="57" t="str">
        <f>IF(B1550="","",MONTH(C1550))</f>
        <v/>
      </c>
      <c r="AG1550" s="57">
        <f>IF(ISNUMBER(C1550),C1550,0)</f>
        <v>0.0</v>
      </c>
      <c r="AH1550" s="57" t="str">
        <f>IF(N(W1550)&gt;0,COUNTIF(W$6:W1550,"&gt;0"),"")</f>
        <v/>
      </c>
      <c r="AI1550" s="57" t="str">
        <f>IF(Z1550=1,COUNTIF(Z$6:Z1550,1),"")</f>
        <v/>
      </c>
    </row>
    <row r="1551">
      <c r="A1551" s="54" t="n"/>
      <c r="B1551" s="55" t="str">
        <f>IF(AA1551="","",A1551&amp;"-"&amp;RIGHT("000"&amp;AA1551,4))</f>
        <v/>
      </c>
      <c r="C1551" s="56" t="n"/>
      <c r="D1551" s="54" t="n"/>
      <c r="E1551" s="57" t="str">
        <f>IF(D1551="","",IF(A1551="BL",IFERROR(INDEX(cl_name,MATCH(D1551,cl_code,0))&amp;"","Client inconnu"),IF(A1551="BR",IFERROR(INDEX(fo_name,MATCH(D1551,fo_code,0))&amp;"","Fournisseur inconnu"),IF(A1551="BS",IF(ISNA(MATCH(D1551,p_services,0)),"Service inconnu",D1551&amp;""),""))))</f>
        <v/>
      </c>
      <c r="F1551" s="58" t="n"/>
      <c r="G1551" s="58" t="n"/>
      <c r="H1551" s="59" t="n"/>
      <c r="I1551" s="57" t="str">
        <f>IF(H1551="","",IFERROR(INDEX(art_des,MATCH(H1551,art_ref,0))&amp;"","Article inconnu"))</f>
        <v/>
      </c>
      <c r="J1551" s="60" t="str">
        <f>IF(H1551="","",IFERROR(INDEX(art_unit,MATCH(H1551,art_ref,0))&amp;"",""))</f>
        <v/>
      </c>
      <c r="K1551" s="59" t="n"/>
      <c r="L1551" s="59" t="n"/>
      <c r="M1551" s="61" t="str">
        <f>IF(OR(B1551="",NOT(ISNUMBER(K1551)),NOT(ISNUMBER(L1551))),"",IF(OR(K1551&lt;=0,L1551&lt;=0),"",ROUND(L1551-K1551,6)))</f>
        <v/>
      </c>
      <c r="N1551" s="58" t="n"/>
      <c r="O1551" s="62" t="n"/>
      <c r="P1551" s="63" t="str">
        <f>IF(OR(B1551="",NOT(ISNUMBER(L1551))),"",IF(L1551&lt;=0,"",IFERROR(ROUND(L1551*N(INDEX(art_w,MATCH(H1551,art_ref,0))),3),"")))</f>
        <v/>
      </c>
      <c r="Q1551" s="59" t="n"/>
      <c r="R1551" s="54" t="n"/>
      <c r="S1551" s="59" t="n"/>
      <c r="T1551" s="59" t="n"/>
      <c r="U1551" s="64" t="str">
        <f>IF(OR(B1551="",H1551=""),"",IFERROR(IF(A1551="BL",IF(N(INDEX(art_price,MATCH(H1551,art_ref,0)))=0,"",N(INDEX(art_price,MATCH(H1551,art_ref,0)))),IF(N(INDEX(art_cost,MATCH(H1551,art_ref,0)))=0,"",N(INDEX(art_cost,MATCH(H1551,art_ref,0))))),""))</f>
        <v/>
      </c>
      <c r="V1551" s="64" t="str">
        <f>IF(OR(U1551="",NOT(ISNUMBER(L1551))),"",IF(L1551&lt;=0,"",ROUND(L1551*U1551,2)))</f>
        <v/>
      </c>
      <c r="W1551" s="60" t="str">
        <f>IF(AND(B1551&lt;&gt;"",A1551&lt;&gt;"BS",F1551&lt;&gt;"",H1551&lt;&gt;"",ISNUMBER(K1551),ISNUMBER(L1551)),IF(AND(K1551&gt;0,L1551&gt;0,K1551-L1551&gt;0,COUNTIFS(A1552:A$2005,A1551,F1552:F$2005,F1551,H1552:H$2005,H1551,AA1552:AA$2005,"&gt;0")=0),ROUND(K1551-L1551,6),""),"")</f>
        <v/>
      </c>
      <c r="X1551" s="60" t="str">
        <f>IF(AND(A1551="",C1551="",D1551="",H1551="",L1551=""),"",IF(A1551="","Type manquant",IF(AND(A1551&lt;&gt;"BL",A1551&lt;&gt;"BR",A1551&lt;&gt;"BS"),"Type inconnu (BL, BR ou BS)",IF(AG1551=0,"Date manquante ou invalide",IF(D1551="",IF(A1551="BL","Client manquant",IF(A1551="BR","Fournisseur manquant","Service manquant")),IF(IF(A1551="BL",ISNA(MATCH(D1551,cl_code,0)),IF(A1551="BR",ISNA(MATCH(D1551,fo_code,0)),ISNA(MATCH(D1551,p_services,0)))),IF(A1551="BL","Client inconnu",IF(A1551="BR","Fournisseur inconnu","Service inconnu")),IF(H1551="","Article manquant",IF(ISNA(MATCH(H1551,art_ref,0)),"Article inconnu",IF(OR(NOT(ISNUMBER(L1551)),N(L1551)&lt;=0),"Quantité invalide",IF(AND(K1551&lt;&gt;"",OR(NOT(ISNUMBER(K1551)),N(K1551)&lt;=0)),"Qté commandée invalide",IF(AG1551&lt;SUMPRODUCT(MAX((A$6:A1550=A1551)*AG$6:AG1550)),"Date antérieure au bon précédent",IF(AND(A1551&lt;&gt;"BR",ISNUMBER(M1551),N(M1551)&gt;0),IF(A1551="BL","Livré plus que commandé","Sorti plus que demandé"),"OK"))))))))))))</f>
        <v/>
      </c>
      <c r="Y1551" s="57" t="str">
        <f>IF(AND(OR(A1551="BL",A1551="BR",A1551="BS"),AG1551&gt;0,D1551&lt;&gt;""),A1551&amp;"|"&amp;AG1551&amp;"|"&amp;D1551&amp;"|"&amp;F1551,"")</f>
        <v/>
      </c>
      <c r="Z1551" s="57" t="str">
        <f>IF(Y1551="","",IF(COUNTIF(Y$6:Y1550,Y1551)=0,1,0))</f>
        <v/>
      </c>
      <c r="AA1551" s="57" t="str">
        <f>IF(Y1551="","",IF(Z1551=1,COUNTIFS(A$6:A1551,A1551,Z$6:Z1551,1),INDEX(AA$6:AA1550,MATCH(Y1551,Y$6:Y1550,0))))</f>
        <v/>
      </c>
      <c r="AB1551" s="57" t="str">
        <f>IF(B1551="","",COUNTIF(B$6:B1551,B1551))</f>
        <v/>
      </c>
      <c r="AC1551" s="57" t="str">
        <f>IF(B1551="","",B1551&amp;"#"&amp;AB1551)</f>
        <v/>
      </c>
      <c r="AD1551" s="57" t="str">
        <f>IF(Z1551=1,A1551&amp;AA1551,"")</f>
        <v/>
      </c>
      <c r="AE1551" s="57" t="str">
        <f>IF(B1551="","",YEAR(C1551))</f>
        <v/>
      </c>
      <c r="AF1551" s="57" t="str">
        <f>IF(B1551="","",MONTH(C1551))</f>
        <v/>
      </c>
      <c r="AG1551" s="57">
        <f>IF(ISNUMBER(C1551),C1551,0)</f>
        <v>0.0</v>
      </c>
      <c r="AH1551" s="57" t="str">
        <f>IF(N(W1551)&gt;0,COUNTIF(W$6:W1551,"&gt;0"),"")</f>
        <v/>
      </c>
      <c r="AI1551" s="57" t="str">
        <f>IF(Z1551=1,COUNTIF(Z$6:Z1551,1),"")</f>
        <v/>
      </c>
    </row>
    <row r="1552">
      <c r="A1552" s="54" t="n"/>
      <c r="B1552" s="55" t="str">
        <f>IF(AA1552="","",A1552&amp;"-"&amp;RIGHT("000"&amp;AA1552,4))</f>
        <v/>
      </c>
      <c r="C1552" s="56" t="n"/>
      <c r="D1552" s="54" t="n"/>
      <c r="E1552" s="57" t="str">
        <f>IF(D1552="","",IF(A1552="BL",IFERROR(INDEX(cl_name,MATCH(D1552,cl_code,0))&amp;"","Client inconnu"),IF(A1552="BR",IFERROR(INDEX(fo_name,MATCH(D1552,fo_code,0))&amp;"","Fournisseur inconnu"),IF(A1552="BS",IF(ISNA(MATCH(D1552,p_services,0)),"Service inconnu",D1552&amp;""),""))))</f>
        <v/>
      </c>
      <c r="F1552" s="58" t="n"/>
      <c r="G1552" s="58" t="n"/>
      <c r="H1552" s="59" t="n"/>
      <c r="I1552" s="57" t="str">
        <f>IF(H1552="","",IFERROR(INDEX(art_des,MATCH(H1552,art_ref,0))&amp;"","Article inconnu"))</f>
        <v/>
      </c>
      <c r="J1552" s="60" t="str">
        <f>IF(H1552="","",IFERROR(INDEX(art_unit,MATCH(H1552,art_ref,0))&amp;"",""))</f>
        <v/>
      </c>
      <c r="K1552" s="59" t="n"/>
      <c r="L1552" s="59" t="n"/>
      <c r="M1552" s="61" t="str">
        <f>IF(OR(B1552="",NOT(ISNUMBER(K1552)),NOT(ISNUMBER(L1552))),"",IF(OR(K1552&lt;=0,L1552&lt;=0),"",ROUND(L1552-K1552,6)))</f>
        <v/>
      </c>
      <c r="N1552" s="58" t="n"/>
      <c r="O1552" s="62" t="n"/>
      <c r="P1552" s="63" t="str">
        <f>IF(OR(B1552="",NOT(ISNUMBER(L1552))),"",IF(L1552&lt;=0,"",IFERROR(ROUND(L1552*N(INDEX(art_w,MATCH(H1552,art_ref,0))),3),"")))</f>
        <v/>
      </c>
      <c r="Q1552" s="59" t="n"/>
      <c r="R1552" s="54" t="n"/>
      <c r="S1552" s="59" t="n"/>
      <c r="T1552" s="59" t="n"/>
      <c r="U1552" s="64" t="str">
        <f>IF(OR(B1552="",H1552=""),"",IFERROR(IF(A1552="BL",IF(N(INDEX(art_price,MATCH(H1552,art_ref,0)))=0,"",N(INDEX(art_price,MATCH(H1552,art_ref,0)))),IF(N(INDEX(art_cost,MATCH(H1552,art_ref,0)))=0,"",N(INDEX(art_cost,MATCH(H1552,art_ref,0))))),""))</f>
        <v/>
      </c>
      <c r="V1552" s="64" t="str">
        <f>IF(OR(U1552="",NOT(ISNUMBER(L1552))),"",IF(L1552&lt;=0,"",ROUND(L1552*U1552,2)))</f>
        <v/>
      </c>
      <c r="W1552" s="60" t="str">
        <f>IF(AND(B1552&lt;&gt;"",A1552&lt;&gt;"BS",F1552&lt;&gt;"",H1552&lt;&gt;"",ISNUMBER(K1552),ISNUMBER(L1552)),IF(AND(K1552&gt;0,L1552&gt;0,K1552-L1552&gt;0,COUNTIFS(A1553:A$2005,A1552,F1553:F$2005,F1552,H1553:H$2005,H1552,AA1553:AA$2005,"&gt;0")=0),ROUND(K1552-L1552,6),""),"")</f>
        <v/>
      </c>
      <c r="X1552" s="60" t="str">
        <f>IF(AND(A1552="",C1552="",D1552="",H1552="",L1552=""),"",IF(A1552="","Type manquant",IF(AND(A1552&lt;&gt;"BL",A1552&lt;&gt;"BR",A1552&lt;&gt;"BS"),"Type inconnu (BL, BR ou BS)",IF(AG1552=0,"Date manquante ou invalide",IF(D1552="",IF(A1552="BL","Client manquant",IF(A1552="BR","Fournisseur manquant","Service manquant")),IF(IF(A1552="BL",ISNA(MATCH(D1552,cl_code,0)),IF(A1552="BR",ISNA(MATCH(D1552,fo_code,0)),ISNA(MATCH(D1552,p_services,0)))),IF(A1552="BL","Client inconnu",IF(A1552="BR","Fournisseur inconnu","Service inconnu")),IF(H1552="","Article manquant",IF(ISNA(MATCH(H1552,art_ref,0)),"Article inconnu",IF(OR(NOT(ISNUMBER(L1552)),N(L1552)&lt;=0),"Quantité invalide",IF(AND(K1552&lt;&gt;"",OR(NOT(ISNUMBER(K1552)),N(K1552)&lt;=0)),"Qté commandée invalide",IF(AG1552&lt;SUMPRODUCT(MAX((A$6:A1551=A1552)*AG$6:AG1551)),"Date antérieure au bon précédent",IF(AND(A1552&lt;&gt;"BR",ISNUMBER(M1552),N(M1552)&gt;0),IF(A1552="BL","Livré plus que commandé","Sorti plus que demandé"),"OK"))))))))))))</f>
        <v/>
      </c>
      <c r="Y1552" s="57" t="str">
        <f>IF(AND(OR(A1552="BL",A1552="BR",A1552="BS"),AG1552&gt;0,D1552&lt;&gt;""),A1552&amp;"|"&amp;AG1552&amp;"|"&amp;D1552&amp;"|"&amp;F1552,"")</f>
        <v/>
      </c>
      <c r="Z1552" s="57" t="str">
        <f>IF(Y1552="","",IF(COUNTIF(Y$6:Y1551,Y1552)=0,1,0))</f>
        <v/>
      </c>
      <c r="AA1552" s="57" t="str">
        <f>IF(Y1552="","",IF(Z1552=1,COUNTIFS(A$6:A1552,A1552,Z$6:Z1552,1),INDEX(AA$6:AA1551,MATCH(Y1552,Y$6:Y1551,0))))</f>
        <v/>
      </c>
      <c r="AB1552" s="57" t="str">
        <f>IF(B1552="","",COUNTIF(B$6:B1552,B1552))</f>
        <v/>
      </c>
      <c r="AC1552" s="57" t="str">
        <f>IF(B1552="","",B1552&amp;"#"&amp;AB1552)</f>
        <v/>
      </c>
      <c r="AD1552" s="57" t="str">
        <f>IF(Z1552=1,A1552&amp;AA1552,"")</f>
        <v/>
      </c>
      <c r="AE1552" s="57" t="str">
        <f>IF(B1552="","",YEAR(C1552))</f>
        <v/>
      </c>
      <c r="AF1552" s="57" t="str">
        <f>IF(B1552="","",MONTH(C1552))</f>
        <v/>
      </c>
      <c r="AG1552" s="57">
        <f>IF(ISNUMBER(C1552),C1552,0)</f>
        <v>0.0</v>
      </c>
      <c r="AH1552" s="57" t="str">
        <f>IF(N(W1552)&gt;0,COUNTIF(W$6:W1552,"&gt;0"),"")</f>
        <v/>
      </c>
      <c r="AI1552" s="57" t="str">
        <f>IF(Z1552=1,COUNTIF(Z$6:Z1552,1),"")</f>
        <v/>
      </c>
    </row>
    <row r="1553">
      <c r="A1553" s="54" t="n"/>
      <c r="B1553" s="55" t="str">
        <f>IF(AA1553="","",A1553&amp;"-"&amp;RIGHT("000"&amp;AA1553,4))</f>
        <v/>
      </c>
      <c r="C1553" s="56" t="n"/>
      <c r="D1553" s="54" t="n"/>
      <c r="E1553" s="57" t="str">
        <f>IF(D1553="","",IF(A1553="BL",IFERROR(INDEX(cl_name,MATCH(D1553,cl_code,0))&amp;"","Client inconnu"),IF(A1553="BR",IFERROR(INDEX(fo_name,MATCH(D1553,fo_code,0))&amp;"","Fournisseur inconnu"),IF(A1553="BS",IF(ISNA(MATCH(D1553,p_services,0)),"Service inconnu",D1553&amp;""),""))))</f>
        <v/>
      </c>
      <c r="F1553" s="58" t="n"/>
      <c r="G1553" s="58" t="n"/>
      <c r="H1553" s="59" t="n"/>
      <c r="I1553" s="57" t="str">
        <f>IF(H1553="","",IFERROR(INDEX(art_des,MATCH(H1553,art_ref,0))&amp;"","Article inconnu"))</f>
        <v/>
      </c>
      <c r="J1553" s="60" t="str">
        <f>IF(H1553="","",IFERROR(INDEX(art_unit,MATCH(H1553,art_ref,0))&amp;"",""))</f>
        <v/>
      </c>
      <c r="K1553" s="59" t="n"/>
      <c r="L1553" s="59" t="n"/>
      <c r="M1553" s="61" t="str">
        <f>IF(OR(B1553="",NOT(ISNUMBER(K1553)),NOT(ISNUMBER(L1553))),"",IF(OR(K1553&lt;=0,L1553&lt;=0),"",ROUND(L1553-K1553,6)))</f>
        <v/>
      </c>
      <c r="N1553" s="58" t="n"/>
      <c r="O1553" s="62" t="n"/>
      <c r="P1553" s="63" t="str">
        <f>IF(OR(B1553="",NOT(ISNUMBER(L1553))),"",IF(L1553&lt;=0,"",IFERROR(ROUND(L1553*N(INDEX(art_w,MATCH(H1553,art_ref,0))),3),"")))</f>
        <v/>
      </c>
      <c r="Q1553" s="59" t="n"/>
      <c r="R1553" s="54" t="n"/>
      <c r="S1553" s="59" t="n"/>
      <c r="T1553" s="59" t="n"/>
      <c r="U1553" s="64" t="str">
        <f>IF(OR(B1553="",H1553=""),"",IFERROR(IF(A1553="BL",IF(N(INDEX(art_price,MATCH(H1553,art_ref,0)))=0,"",N(INDEX(art_price,MATCH(H1553,art_ref,0)))),IF(N(INDEX(art_cost,MATCH(H1553,art_ref,0)))=0,"",N(INDEX(art_cost,MATCH(H1553,art_ref,0))))),""))</f>
        <v/>
      </c>
      <c r="V1553" s="64" t="str">
        <f>IF(OR(U1553="",NOT(ISNUMBER(L1553))),"",IF(L1553&lt;=0,"",ROUND(L1553*U1553,2)))</f>
        <v/>
      </c>
      <c r="W1553" s="60" t="str">
        <f>IF(AND(B1553&lt;&gt;"",A1553&lt;&gt;"BS",F1553&lt;&gt;"",H1553&lt;&gt;"",ISNUMBER(K1553),ISNUMBER(L1553)),IF(AND(K1553&gt;0,L1553&gt;0,K1553-L1553&gt;0,COUNTIFS(A1554:A$2005,A1553,F1554:F$2005,F1553,H1554:H$2005,H1553,AA1554:AA$2005,"&gt;0")=0),ROUND(K1553-L1553,6),""),"")</f>
        <v/>
      </c>
      <c r="X1553" s="60" t="str">
        <f>IF(AND(A1553="",C1553="",D1553="",H1553="",L1553=""),"",IF(A1553="","Type manquant",IF(AND(A1553&lt;&gt;"BL",A1553&lt;&gt;"BR",A1553&lt;&gt;"BS"),"Type inconnu (BL, BR ou BS)",IF(AG1553=0,"Date manquante ou invalide",IF(D1553="",IF(A1553="BL","Client manquant",IF(A1553="BR","Fournisseur manquant","Service manquant")),IF(IF(A1553="BL",ISNA(MATCH(D1553,cl_code,0)),IF(A1553="BR",ISNA(MATCH(D1553,fo_code,0)),ISNA(MATCH(D1553,p_services,0)))),IF(A1553="BL","Client inconnu",IF(A1553="BR","Fournisseur inconnu","Service inconnu")),IF(H1553="","Article manquant",IF(ISNA(MATCH(H1553,art_ref,0)),"Article inconnu",IF(OR(NOT(ISNUMBER(L1553)),N(L1553)&lt;=0),"Quantité invalide",IF(AND(K1553&lt;&gt;"",OR(NOT(ISNUMBER(K1553)),N(K1553)&lt;=0)),"Qté commandée invalide",IF(AG1553&lt;SUMPRODUCT(MAX((A$6:A1552=A1553)*AG$6:AG1552)),"Date antérieure au bon précédent",IF(AND(A1553&lt;&gt;"BR",ISNUMBER(M1553),N(M1553)&gt;0),IF(A1553="BL","Livré plus que commandé","Sorti plus que demandé"),"OK"))))))))))))</f>
        <v/>
      </c>
      <c r="Y1553" s="57" t="str">
        <f>IF(AND(OR(A1553="BL",A1553="BR",A1553="BS"),AG1553&gt;0,D1553&lt;&gt;""),A1553&amp;"|"&amp;AG1553&amp;"|"&amp;D1553&amp;"|"&amp;F1553,"")</f>
        <v/>
      </c>
      <c r="Z1553" s="57" t="str">
        <f>IF(Y1553="","",IF(COUNTIF(Y$6:Y1552,Y1553)=0,1,0))</f>
        <v/>
      </c>
      <c r="AA1553" s="57" t="str">
        <f>IF(Y1553="","",IF(Z1553=1,COUNTIFS(A$6:A1553,A1553,Z$6:Z1553,1),INDEX(AA$6:AA1552,MATCH(Y1553,Y$6:Y1552,0))))</f>
        <v/>
      </c>
      <c r="AB1553" s="57" t="str">
        <f>IF(B1553="","",COUNTIF(B$6:B1553,B1553))</f>
        <v/>
      </c>
      <c r="AC1553" s="57" t="str">
        <f>IF(B1553="","",B1553&amp;"#"&amp;AB1553)</f>
        <v/>
      </c>
      <c r="AD1553" s="57" t="str">
        <f>IF(Z1553=1,A1553&amp;AA1553,"")</f>
        <v/>
      </c>
      <c r="AE1553" s="57" t="str">
        <f>IF(B1553="","",YEAR(C1553))</f>
        <v/>
      </c>
      <c r="AF1553" s="57" t="str">
        <f>IF(B1553="","",MONTH(C1553))</f>
        <v/>
      </c>
      <c r="AG1553" s="57">
        <f>IF(ISNUMBER(C1553),C1553,0)</f>
        <v>0.0</v>
      </c>
      <c r="AH1553" s="57" t="str">
        <f>IF(N(W1553)&gt;0,COUNTIF(W$6:W1553,"&gt;0"),"")</f>
        <v/>
      </c>
      <c r="AI1553" s="57" t="str">
        <f>IF(Z1553=1,COUNTIF(Z$6:Z1553,1),"")</f>
        <v/>
      </c>
    </row>
    <row r="1554">
      <c r="A1554" s="54" t="n"/>
      <c r="B1554" s="55" t="str">
        <f>IF(AA1554="","",A1554&amp;"-"&amp;RIGHT("000"&amp;AA1554,4))</f>
        <v/>
      </c>
      <c r="C1554" s="56" t="n"/>
      <c r="D1554" s="54" t="n"/>
      <c r="E1554" s="57" t="str">
        <f>IF(D1554="","",IF(A1554="BL",IFERROR(INDEX(cl_name,MATCH(D1554,cl_code,0))&amp;"","Client inconnu"),IF(A1554="BR",IFERROR(INDEX(fo_name,MATCH(D1554,fo_code,0))&amp;"","Fournisseur inconnu"),IF(A1554="BS",IF(ISNA(MATCH(D1554,p_services,0)),"Service inconnu",D1554&amp;""),""))))</f>
        <v/>
      </c>
      <c r="F1554" s="58" t="n"/>
      <c r="G1554" s="58" t="n"/>
      <c r="H1554" s="59" t="n"/>
      <c r="I1554" s="57" t="str">
        <f>IF(H1554="","",IFERROR(INDEX(art_des,MATCH(H1554,art_ref,0))&amp;"","Article inconnu"))</f>
        <v/>
      </c>
      <c r="J1554" s="60" t="str">
        <f>IF(H1554="","",IFERROR(INDEX(art_unit,MATCH(H1554,art_ref,0))&amp;"",""))</f>
        <v/>
      </c>
      <c r="K1554" s="59" t="n"/>
      <c r="L1554" s="59" t="n"/>
      <c r="M1554" s="61" t="str">
        <f>IF(OR(B1554="",NOT(ISNUMBER(K1554)),NOT(ISNUMBER(L1554))),"",IF(OR(K1554&lt;=0,L1554&lt;=0),"",ROUND(L1554-K1554,6)))</f>
        <v/>
      </c>
      <c r="N1554" s="58" t="n"/>
      <c r="O1554" s="62" t="n"/>
      <c r="P1554" s="63" t="str">
        <f>IF(OR(B1554="",NOT(ISNUMBER(L1554))),"",IF(L1554&lt;=0,"",IFERROR(ROUND(L1554*N(INDEX(art_w,MATCH(H1554,art_ref,0))),3),"")))</f>
        <v/>
      </c>
      <c r="Q1554" s="59" t="n"/>
      <c r="R1554" s="54" t="n"/>
      <c r="S1554" s="59" t="n"/>
      <c r="T1554" s="59" t="n"/>
      <c r="U1554" s="64" t="str">
        <f>IF(OR(B1554="",H1554=""),"",IFERROR(IF(A1554="BL",IF(N(INDEX(art_price,MATCH(H1554,art_ref,0)))=0,"",N(INDEX(art_price,MATCH(H1554,art_ref,0)))),IF(N(INDEX(art_cost,MATCH(H1554,art_ref,0)))=0,"",N(INDEX(art_cost,MATCH(H1554,art_ref,0))))),""))</f>
        <v/>
      </c>
      <c r="V1554" s="64" t="str">
        <f>IF(OR(U1554="",NOT(ISNUMBER(L1554))),"",IF(L1554&lt;=0,"",ROUND(L1554*U1554,2)))</f>
        <v/>
      </c>
      <c r="W1554" s="60" t="str">
        <f>IF(AND(B1554&lt;&gt;"",A1554&lt;&gt;"BS",F1554&lt;&gt;"",H1554&lt;&gt;"",ISNUMBER(K1554),ISNUMBER(L1554)),IF(AND(K1554&gt;0,L1554&gt;0,K1554-L1554&gt;0,COUNTIFS(A1555:A$2005,A1554,F1555:F$2005,F1554,H1555:H$2005,H1554,AA1555:AA$2005,"&gt;0")=0),ROUND(K1554-L1554,6),""),"")</f>
        <v/>
      </c>
      <c r="X1554" s="60" t="str">
        <f>IF(AND(A1554="",C1554="",D1554="",H1554="",L1554=""),"",IF(A1554="","Type manquant",IF(AND(A1554&lt;&gt;"BL",A1554&lt;&gt;"BR",A1554&lt;&gt;"BS"),"Type inconnu (BL, BR ou BS)",IF(AG1554=0,"Date manquante ou invalide",IF(D1554="",IF(A1554="BL","Client manquant",IF(A1554="BR","Fournisseur manquant","Service manquant")),IF(IF(A1554="BL",ISNA(MATCH(D1554,cl_code,0)),IF(A1554="BR",ISNA(MATCH(D1554,fo_code,0)),ISNA(MATCH(D1554,p_services,0)))),IF(A1554="BL","Client inconnu",IF(A1554="BR","Fournisseur inconnu","Service inconnu")),IF(H1554="","Article manquant",IF(ISNA(MATCH(H1554,art_ref,0)),"Article inconnu",IF(OR(NOT(ISNUMBER(L1554)),N(L1554)&lt;=0),"Quantité invalide",IF(AND(K1554&lt;&gt;"",OR(NOT(ISNUMBER(K1554)),N(K1554)&lt;=0)),"Qté commandée invalide",IF(AG1554&lt;SUMPRODUCT(MAX((A$6:A1553=A1554)*AG$6:AG1553)),"Date antérieure au bon précédent",IF(AND(A1554&lt;&gt;"BR",ISNUMBER(M1554),N(M1554)&gt;0),IF(A1554="BL","Livré plus que commandé","Sorti plus que demandé"),"OK"))))))))))))</f>
        <v/>
      </c>
      <c r="Y1554" s="57" t="str">
        <f>IF(AND(OR(A1554="BL",A1554="BR",A1554="BS"),AG1554&gt;0,D1554&lt;&gt;""),A1554&amp;"|"&amp;AG1554&amp;"|"&amp;D1554&amp;"|"&amp;F1554,"")</f>
        <v/>
      </c>
      <c r="Z1554" s="57" t="str">
        <f>IF(Y1554="","",IF(COUNTIF(Y$6:Y1553,Y1554)=0,1,0))</f>
        <v/>
      </c>
      <c r="AA1554" s="57" t="str">
        <f>IF(Y1554="","",IF(Z1554=1,COUNTIFS(A$6:A1554,A1554,Z$6:Z1554,1),INDEX(AA$6:AA1553,MATCH(Y1554,Y$6:Y1553,0))))</f>
        <v/>
      </c>
      <c r="AB1554" s="57" t="str">
        <f>IF(B1554="","",COUNTIF(B$6:B1554,B1554))</f>
        <v/>
      </c>
      <c r="AC1554" s="57" t="str">
        <f>IF(B1554="","",B1554&amp;"#"&amp;AB1554)</f>
        <v/>
      </c>
      <c r="AD1554" s="57" t="str">
        <f>IF(Z1554=1,A1554&amp;AA1554,"")</f>
        <v/>
      </c>
      <c r="AE1554" s="57" t="str">
        <f>IF(B1554="","",YEAR(C1554))</f>
        <v/>
      </c>
      <c r="AF1554" s="57" t="str">
        <f>IF(B1554="","",MONTH(C1554))</f>
        <v/>
      </c>
      <c r="AG1554" s="57">
        <f>IF(ISNUMBER(C1554),C1554,0)</f>
        <v>0.0</v>
      </c>
      <c r="AH1554" s="57" t="str">
        <f>IF(N(W1554)&gt;0,COUNTIF(W$6:W1554,"&gt;0"),"")</f>
        <v/>
      </c>
      <c r="AI1554" s="57" t="str">
        <f>IF(Z1554=1,COUNTIF(Z$6:Z1554,1),"")</f>
        <v/>
      </c>
    </row>
    <row r="1555">
      <c r="A1555" s="54" t="n"/>
      <c r="B1555" s="55" t="str">
        <f>IF(AA1555="","",A1555&amp;"-"&amp;RIGHT("000"&amp;AA1555,4))</f>
        <v/>
      </c>
      <c r="C1555" s="56" t="n"/>
      <c r="D1555" s="54" t="n"/>
      <c r="E1555" s="57" t="str">
        <f>IF(D1555="","",IF(A1555="BL",IFERROR(INDEX(cl_name,MATCH(D1555,cl_code,0))&amp;"","Client inconnu"),IF(A1555="BR",IFERROR(INDEX(fo_name,MATCH(D1555,fo_code,0))&amp;"","Fournisseur inconnu"),IF(A1555="BS",IF(ISNA(MATCH(D1555,p_services,0)),"Service inconnu",D1555&amp;""),""))))</f>
        <v/>
      </c>
      <c r="F1555" s="58" t="n"/>
      <c r="G1555" s="58" t="n"/>
      <c r="H1555" s="59" t="n"/>
      <c r="I1555" s="57" t="str">
        <f>IF(H1555="","",IFERROR(INDEX(art_des,MATCH(H1555,art_ref,0))&amp;"","Article inconnu"))</f>
        <v/>
      </c>
      <c r="J1555" s="60" t="str">
        <f>IF(H1555="","",IFERROR(INDEX(art_unit,MATCH(H1555,art_ref,0))&amp;"",""))</f>
        <v/>
      </c>
      <c r="K1555" s="59" t="n"/>
      <c r="L1555" s="59" t="n"/>
      <c r="M1555" s="61" t="str">
        <f>IF(OR(B1555="",NOT(ISNUMBER(K1555)),NOT(ISNUMBER(L1555))),"",IF(OR(K1555&lt;=0,L1555&lt;=0),"",ROUND(L1555-K1555,6)))</f>
        <v/>
      </c>
      <c r="N1555" s="58" t="n"/>
      <c r="O1555" s="62" t="n"/>
      <c r="P1555" s="63" t="str">
        <f>IF(OR(B1555="",NOT(ISNUMBER(L1555))),"",IF(L1555&lt;=0,"",IFERROR(ROUND(L1555*N(INDEX(art_w,MATCH(H1555,art_ref,0))),3),"")))</f>
        <v/>
      </c>
      <c r="Q1555" s="59" t="n"/>
      <c r="R1555" s="54" t="n"/>
      <c r="S1555" s="59" t="n"/>
      <c r="T1555" s="59" t="n"/>
      <c r="U1555" s="64" t="str">
        <f>IF(OR(B1555="",H1555=""),"",IFERROR(IF(A1555="BL",IF(N(INDEX(art_price,MATCH(H1555,art_ref,0)))=0,"",N(INDEX(art_price,MATCH(H1555,art_ref,0)))),IF(N(INDEX(art_cost,MATCH(H1555,art_ref,0)))=0,"",N(INDEX(art_cost,MATCH(H1555,art_ref,0))))),""))</f>
        <v/>
      </c>
      <c r="V1555" s="64" t="str">
        <f>IF(OR(U1555="",NOT(ISNUMBER(L1555))),"",IF(L1555&lt;=0,"",ROUND(L1555*U1555,2)))</f>
        <v/>
      </c>
      <c r="W1555" s="60" t="str">
        <f>IF(AND(B1555&lt;&gt;"",A1555&lt;&gt;"BS",F1555&lt;&gt;"",H1555&lt;&gt;"",ISNUMBER(K1555),ISNUMBER(L1555)),IF(AND(K1555&gt;0,L1555&gt;0,K1555-L1555&gt;0,COUNTIFS(A1556:A$2005,A1555,F1556:F$2005,F1555,H1556:H$2005,H1555,AA1556:AA$2005,"&gt;0")=0),ROUND(K1555-L1555,6),""),"")</f>
        <v/>
      </c>
      <c r="X1555" s="60" t="str">
        <f>IF(AND(A1555="",C1555="",D1555="",H1555="",L1555=""),"",IF(A1555="","Type manquant",IF(AND(A1555&lt;&gt;"BL",A1555&lt;&gt;"BR",A1555&lt;&gt;"BS"),"Type inconnu (BL, BR ou BS)",IF(AG1555=0,"Date manquante ou invalide",IF(D1555="",IF(A1555="BL","Client manquant",IF(A1555="BR","Fournisseur manquant","Service manquant")),IF(IF(A1555="BL",ISNA(MATCH(D1555,cl_code,0)),IF(A1555="BR",ISNA(MATCH(D1555,fo_code,0)),ISNA(MATCH(D1555,p_services,0)))),IF(A1555="BL","Client inconnu",IF(A1555="BR","Fournisseur inconnu","Service inconnu")),IF(H1555="","Article manquant",IF(ISNA(MATCH(H1555,art_ref,0)),"Article inconnu",IF(OR(NOT(ISNUMBER(L1555)),N(L1555)&lt;=0),"Quantité invalide",IF(AND(K1555&lt;&gt;"",OR(NOT(ISNUMBER(K1555)),N(K1555)&lt;=0)),"Qté commandée invalide",IF(AG1555&lt;SUMPRODUCT(MAX((A$6:A1554=A1555)*AG$6:AG1554)),"Date antérieure au bon précédent",IF(AND(A1555&lt;&gt;"BR",ISNUMBER(M1555),N(M1555)&gt;0),IF(A1555="BL","Livré plus que commandé","Sorti plus que demandé"),"OK"))))))))))))</f>
        <v/>
      </c>
      <c r="Y1555" s="57" t="str">
        <f>IF(AND(OR(A1555="BL",A1555="BR",A1555="BS"),AG1555&gt;0,D1555&lt;&gt;""),A1555&amp;"|"&amp;AG1555&amp;"|"&amp;D1555&amp;"|"&amp;F1555,"")</f>
        <v/>
      </c>
      <c r="Z1555" s="57" t="str">
        <f>IF(Y1555="","",IF(COUNTIF(Y$6:Y1554,Y1555)=0,1,0))</f>
        <v/>
      </c>
      <c r="AA1555" s="57" t="str">
        <f>IF(Y1555="","",IF(Z1555=1,COUNTIFS(A$6:A1555,A1555,Z$6:Z1555,1),INDEX(AA$6:AA1554,MATCH(Y1555,Y$6:Y1554,0))))</f>
        <v/>
      </c>
      <c r="AB1555" s="57" t="str">
        <f>IF(B1555="","",COUNTIF(B$6:B1555,B1555))</f>
        <v/>
      </c>
      <c r="AC1555" s="57" t="str">
        <f>IF(B1555="","",B1555&amp;"#"&amp;AB1555)</f>
        <v/>
      </c>
      <c r="AD1555" s="57" t="str">
        <f>IF(Z1555=1,A1555&amp;AA1555,"")</f>
        <v/>
      </c>
      <c r="AE1555" s="57" t="str">
        <f>IF(B1555="","",YEAR(C1555))</f>
        <v/>
      </c>
      <c r="AF1555" s="57" t="str">
        <f>IF(B1555="","",MONTH(C1555))</f>
        <v/>
      </c>
      <c r="AG1555" s="57">
        <f>IF(ISNUMBER(C1555),C1555,0)</f>
        <v>0.0</v>
      </c>
      <c r="AH1555" s="57" t="str">
        <f>IF(N(W1555)&gt;0,COUNTIF(W$6:W1555,"&gt;0"),"")</f>
        <v/>
      </c>
      <c r="AI1555" s="57" t="str">
        <f>IF(Z1555=1,COUNTIF(Z$6:Z1555,1),"")</f>
        <v/>
      </c>
    </row>
    <row r="1556">
      <c r="A1556" s="54" t="n"/>
      <c r="B1556" s="55" t="str">
        <f>IF(AA1556="","",A1556&amp;"-"&amp;RIGHT("000"&amp;AA1556,4))</f>
        <v/>
      </c>
      <c r="C1556" s="56" t="n"/>
      <c r="D1556" s="54" t="n"/>
      <c r="E1556" s="57" t="str">
        <f>IF(D1556="","",IF(A1556="BL",IFERROR(INDEX(cl_name,MATCH(D1556,cl_code,0))&amp;"","Client inconnu"),IF(A1556="BR",IFERROR(INDEX(fo_name,MATCH(D1556,fo_code,0))&amp;"","Fournisseur inconnu"),IF(A1556="BS",IF(ISNA(MATCH(D1556,p_services,0)),"Service inconnu",D1556&amp;""),""))))</f>
        <v/>
      </c>
      <c r="F1556" s="58" t="n"/>
      <c r="G1556" s="58" t="n"/>
      <c r="H1556" s="59" t="n"/>
      <c r="I1556" s="57" t="str">
        <f>IF(H1556="","",IFERROR(INDEX(art_des,MATCH(H1556,art_ref,0))&amp;"","Article inconnu"))</f>
        <v/>
      </c>
      <c r="J1556" s="60" t="str">
        <f>IF(H1556="","",IFERROR(INDEX(art_unit,MATCH(H1556,art_ref,0))&amp;"",""))</f>
        <v/>
      </c>
      <c r="K1556" s="59" t="n"/>
      <c r="L1556" s="59" t="n"/>
      <c r="M1556" s="61" t="str">
        <f>IF(OR(B1556="",NOT(ISNUMBER(K1556)),NOT(ISNUMBER(L1556))),"",IF(OR(K1556&lt;=0,L1556&lt;=0),"",ROUND(L1556-K1556,6)))</f>
        <v/>
      </c>
      <c r="N1556" s="58" t="n"/>
      <c r="O1556" s="62" t="n"/>
      <c r="P1556" s="63" t="str">
        <f>IF(OR(B1556="",NOT(ISNUMBER(L1556))),"",IF(L1556&lt;=0,"",IFERROR(ROUND(L1556*N(INDEX(art_w,MATCH(H1556,art_ref,0))),3),"")))</f>
        <v/>
      </c>
      <c r="Q1556" s="59" t="n"/>
      <c r="R1556" s="54" t="n"/>
      <c r="S1556" s="59" t="n"/>
      <c r="T1556" s="59" t="n"/>
      <c r="U1556" s="64" t="str">
        <f>IF(OR(B1556="",H1556=""),"",IFERROR(IF(A1556="BL",IF(N(INDEX(art_price,MATCH(H1556,art_ref,0)))=0,"",N(INDEX(art_price,MATCH(H1556,art_ref,0)))),IF(N(INDEX(art_cost,MATCH(H1556,art_ref,0)))=0,"",N(INDEX(art_cost,MATCH(H1556,art_ref,0))))),""))</f>
        <v/>
      </c>
      <c r="V1556" s="64" t="str">
        <f>IF(OR(U1556="",NOT(ISNUMBER(L1556))),"",IF(L1556&lt;=0,"",ROUND(L1556*U1556,2)))</f>
        <v/>
      </c>
      <c r="W1556" s="60" t="str">
        <f>IF(AND(B1556&lt;&gt;"",A1556&lt;&gt;"BS",F1556&lt;&gt;"",H1556&lt;&gt;"",ISNUMBER(K1556),ISNUMBER(L1556)),IF(AND(K1556&gt;0,L1556&gt;0,K1556-L1556&gt;0,COUNTIFS(A1557:A$2005,A1556,F1557:F$2005,F1556,H1557:H$2005,H1556,AA1557:AA$2005,"&gt;0")=0),ROUND(K1556-L1556,6),""),"")</f>
        <v/>
      </c>
      <c r="X1556" s="60" t="str">
        <f>IF(AND(A1556="",C1556="",D1556="",H1556="",L1556=""),"",IF(A1556="","Type manquant",IF(AND(A1556&lt;&gt;"BL",A1556&lt;&gt;"BR",A1556&lt;&gt;"BS"),"Type inconnu (BL, BR ou BS)",IF(AG1556=0,"Date manquante ou invalide",IF(D1556="",IF(A1556="BL","Client manquant",IF(A1556="BR","Fournisseur manquant","Service manquant")),IF(IF(A1556="BL",ISNA(MATCH(D1556,cl_code,0)),IF(A1556="BR",ISNA(MATCH(D1556,fo_code,0)),ISNA(MATCH(D1556,p_services,0)))),IF(A1556="BL","Client inconnu",IF(A1556="BR","Fournisseur inconnu","Service inconnu")),IF(H1556="","Article manquant",IF(ISNA(MATCH(H1556,art_ref,0)),"Article inconnu",IF(OR(NOT(ISNUMBER(L1556)),N(L1556)&lt;=0),"Quantité invalide",IF(AND(K1556&lt;&gt;"",OR(NOT(ISNUMBER(K1556)),N(K1556)&lt;=0)),"Qté commandée invalide",IF(AG1556&lt;SUMPRODUCT(MAX((A$6:A1555=A1556)*AG$6:AG1555)),"Date antérieure au bon précédent",IF(AND(A1556&lt;&gt;"BR",ISNUMBER(M1556),N(M1556)&gt;0),IF(A1556="BL","Livré plus que commandé","Sorti plus que demandé"),"OK"))))))))))))</f>
        <v/>
      </c>
      <c r="Y1556" s="57" t="str">
        <f>IF(AND(OR(A1556="BL",A1556="BR",A1556="BS"),AG1556&gt;0,D1556&lt;&gt;""),A1556&amp;"|"&amp;AG1556&amp;"|"&amp;D1556&amp;"|"&amp;F1556,"")</f>
        <v/>
      </c>
      <c r="Z1556" s="57" t="str">
        <f>IF(Y1556="","",IF(COUNTIF(Y$6:Y1555,Y1556)=0,1,0))</f>
        <v/>
      </c>
      <c r="AA1556" s="57" t="str">
        <f>IF(Y1556="","",IF(Z1556=1,COUNTIFS(A$6:A1556,A1556,Z$6:Z1556,1),INDEX(AA$6:AA1555,MATCH(Y1556,Y$6:Y1555,0))))</f>
        <v/>
      </c>
      <c r="AB1556" s="57" t="str">
        <f>IF(B1556="","",COUNTIF(B$6:B1556,B1556))</f>
        <v/>
      </c>
      <c r="AC1556" s="57" t="str">
        <f>IF(B1556="","",B1556&amp;"#"&amp;AB1556)</f>
        <v/>
      </c>
      <c r="AD1556" s="57" t="str">
        <f>IF(Z1556=1,A1556&amp;AA1556,"")</f>
        <v/>
      </c>
      <c r="AE1556" s="57" t="str">
        <f>IF(B1556="","",YEAR(C1556))</f>
        <v/>
      </c>
      <c r="AF1556" s="57" t="str">
        <f>IF(B1556="","",MONTH(C1556))</f>
        <v/>
      </c>
      <c r="AG1556" s="57">
        <f>IF(ISNUMBER(C1556),C1556,0)</f>
        <v>0.0</v>
      </c>
      <c r="AH1556" s="57" t="str">
        <f>IF(N(W1556)&gt;0,COUNTIF(W$6:W1556,"&gt;0"),"")</f>
        <v/>
      </c>
      <c r="AI1556" s="57" t="str">
        <f>IF(Z1556=1,COUNTIF(Z$6:Z1556,1),"")</f>
        <v/>
      </c>
    </row>
    <row r="1557">
      <c r="A1557" s="54" t="n"/>
      <c r="B1557" s="55" t="str">
        <f>IF(AA1557="","",A1557&amp;"-"&amp;RIGHT("000"&amp;AA1557,4))</f>
        <v/>
      </c>
      <c r="C1557" s="56" t="n"/>
      <c r="D1557" s="54" t="n"/>
      <c r="E1557" s="57" t="str">
        <f>IF(D1557="","",IF(A1557="BL",IFERROR(INDEX(cl_name,MATCH(D1557,cl_code,0))&amp;"","Client inconnu"),IF(A1557="BR",IFERROR(INDEX(fo_name,MATCH(D1557,fo_code,0))&amp;"","Fournisseur inconnu"),IF(A1557="BS",IF(ISNA(MATCH(D1557,p_services,0)),"Service inconnu",D1557&amp;""),""))))</f>
        <v/>
      </c>
      <c r="F1557" s="58" t="n"/>
      <c r="G1557" s="58" t="n"/>
      <c r="H1557" s="59" t="n"/>
      <c r="I1557" s="57" t="str">
        <f>IF(H1557="","",IFERROR(INDEX(art_des,MATCH(H1557,art_ref,0))&amp;"","Article inconnu"))</f>
        <v/>
      </c>
      <c r="J1557" s="60" t="str">
        <f>IF(H1557="","",IFERROR(INDEX(art_unit,MATCH(H1557,art_ref,0))&amp;"",""))</f>
        <v/>
      </c>
      <c r="K1557" s="59" t="n"/>
      <c r="L1557" s="59" t="n"/>
      <c r="M1557" s="61" t="str">
        <f>IF(OR(B1557="",NOT(ISNUMBER(K1557)),NOT(ISNUMBER(L1557))),"",IF(OR(K1557&lt;=0,L1557&lt;=0),"",ROUND(L1557-K1557,6)))</f>
        <v/>
      </c>
      <c r="N1557" s="58" t="n"/>
      <c r="O1557" s="62" t="n"/>
      <c r="P1557" s="63" t="str">
        <f>IF(OR(B1557="",NOT(ISNUMBER(L1557))),"",IF(L1557&lt;=0,"",IFERROR(ROUND(L1557*N(INDEX(art_w,MATCH(H1557,art_ref,0))),3),"")))</f>
        <v/>
      </c>
      <c r="Q1557" s="59" t="n"/>
      <c r="R1557" s="54" t="n"/>
      <c r="S1557" s="59" t="n"/>
      <c r="T1557" s="59" t="n"/>
      <c r="U1557" s="64" t="str">
        <f>IF(OR(B1557="",H1557=""),"",IFERROR(IF(A1557="BL",IF(N(INDEX(art_price,MATCH(H1557,art_ref,0)))=0,"",N(INDEX(art_price,MATCH(H1557,art_ref,0)))),IF(N(INDEX(art_cost,MATCH(H1557,art_ref,0)))=0,"",N(INDEX(art_cost,MATCH(H1557,art_ref,0))))),""))</f>
        <v/>
      </c>
      <c r="V1557" s="64" t="str">
        <f>IF(OR(U1557="",NOT(ISNUMBER(L1557))),"",IF(L1557&lt;=0,"",ROUND(L1557*U1557,2)))</f>
        <v/>
      </c>
      <c r="W1557" s="60" t="str">
        <f>IF(AND(B1557&lt;&gt;"",A1557&lt;&gt;"BS",F1557&lt;&gt;"",H1557&lt;&gt;"",ISNUMBER(K1557),ISNUMBER(L1557)),IF(AND(K1557&gt;0,L1557&gt;0,K1557-L1557&gt;0,COUNTIFS(A1558:A$2005,A1557,F1558:F$2005,F1557,H1558:H$2005,H1557,AA1558:AA$2005,"&gt;0")=0),ROUND(K1557-L1557,6),""),"")</f>
        <v/>
      </c>
      <c r="X1557" s="60" t="str">
        <f>IF(AND(A1557="",C1557="",D1557="",H1557="",L1557=""),"",IF(A1557="","Type manquant",IF(AND(A1557&lt;&gt;"BL",A1557&lt;&gt;"BR",A1557&lt;&gt;"BS"),"Type inconnu (BL, BR ou BS)",IF(AG1557=0,"Date manquante ou invalide",IF(D1557="",IF(A1557="BL","Client manquant",IF(A1557="BR","Fournisseur manquant","Service manquant")),IF(IF(A1557="BL",ISNA(MATCH(D1557,cl_code,0)),IF(A1557="BR",ISNA(MATCH(D1557,fo_code,0)),ISNA(MATCH(D1557,p_services,0)))),IF(A1557="BL","Client inconnu",IF(A1557="BR","Fournisseur inconnu","Service inconnu")),IF(H1557="","Article manquant",IF(ISNA(MATCH(H1557,art_ref,0)),"Article inconnu",IF(OR(NOT(ISNUMBER(L1557)),N(L1557)&lt;=0),"Quantité invalide",IF(AND(K1557&lt;&gt;"",OR(NOT(ISNUMBER(K1557)),N(K1557)&lt;=0)),"Qté commandée invalide",IF(AG1557&lt;SUMPRODUCT(MAX((A$6:A1556=A1557)*AG$6:AG1556)),"Date antérieure au bon précédent",IF(AND(A1557&lt;&gt;"BR",ISNUMBER(M1557),N(M1557)&gt;0),IF(A1557="BL","Livré plus que commandé","Sorti plus que demandé"),"OK"))))))))))))</f>
        <v/>
      </c>
      <c r="Y1557" s="57" t="str">
        <f>IF(AND(OR(A1557="BL",A1557="BR",A1557="BS"),AG1557&gt;0,D1557&lt;&gt;""),A1557&amp;"|"&amp;AG1557&amp;"|"&amp;D1557&amp;"|"&amp;F1557,"")</f>
        <v/>
      </c>
      <c r="Z1557" s="57" t="str">
        <f>IF(Y1557="","",IF(COUNTIF(Y$6:Y1556,Y1557)=0,1,0))</f>
        <v/>
      </c>
      <c r="AA1557" s="57" t="str">
        <f>IF(Y1557="","",IF(Z1557=1,COUNTIFS(A$6:A1557,A1557,Z$6:Z1557,1),INDEX(AA$6:AA1556,MATCH(Y1557,Y$6:Y1556,0))))</f>
        <v/>
      </c>
      <c r="AB1557" s="57" t="str">
        <f>IF(B1557="","",COUNTIF(B$6:B1557,B1557))</f>
        <v/>
      </c>
      <c r="AC1557" s="57" t="str">
        <f>IF(B1557="","",B1557&amp;"#"&amp;AB1557)</f>
        <v/>
      </c>
      <c r="AD1557" s="57" t="str">
        <f>IF(Z1557=1,A1557&amp;AA1557,"")</f>
        <v/>
      </c>
      <c r="AE1557" s="57" t="str">
        <f>IF(B1557="","",YEAR(C1557))</f>
        <v/>
      </c>
      <c r="AF1557" s="57" t="str">
        <f>IF(B1557="","",MONTH(C1557))</f>
        <v/>
      </c>
      <c r="AG1557" s="57">
        <f>IF(ISNUMBER(C1557),C1557,0)</f>
        <v>0.0</v>
      </c>
      <c r="AH1557" s="57" t="str">
        <f>IF(N(W1557)&gt;0,COUNTIF(W$6:W1557,"&gt;0"),"")</f>
        <v/>
      </c>
      <c r="AI1557" s="57" t="str">
        <f>IF(Z1557=1,COUNTIF(Z$6:Z1557,1),"")</f>
        <v/>
      </c>
    </row>
    <row r="1558">
      <c r="A1558" s="54" t="n"/>
      <c r="B1558" s="55" t="str">
        <f>IF(AA1558="","",A1558&amp;"-"&amp;RIGHT("000"&amp;AA1558,4))</f>
        <v/>
      </c>
      <c r="C1558" s="56" t="n"/>
      <c r="D1558" s="54" t="n"/>
      <c r="E1558" s="57" t="str">
        <f>IF(D1558="","",IF(A1558="BL",IFERROR(INDEX(cl_name,MATCH(D1558,cl_code,0))&amp;"","Client inconnu"),IF(A1558="BR",IFERROR(INDEX(fo_name,MATCH(D1558,fo_code,0))&amp;"","Fournisseur inconnu"),IF(A1558="BS",IF(ISNA(MATCH(D1558,p_services,0)),"Service inconnu",D1558&amp;""),""))))</f>
        <v/>
      </c>
      <c r="F1558" s="58" t="n"/>
      <c r="G1558" s="58" t="n"/>
      <c r="H1558" s="59" t="n"/>
      <c r="I1558" s="57" t="str">
        <f>IF(H1558="","",IFERROR(INDEX(art_des,MATCH(H1558,art_ref,0))&amp;"","Article inconnu"))</f>
        <v/>
      </c>
      <c r="J1558" s="60" t="str">
        <f>IF(H1558="","",IFERROR(INDEX(art_unit,MATCH(H1558,art_ref,0))&amp;"",""))</f>
        <v/>
      </c>
      <c r="K1558" s="59" t="n"/>
      <c r="L1558" s="59" t="n"/>
      <c r="M1558" s="61" t="str">
        <f>IF(OR(B1558="",NOT(ISNUMBER(K1558)),NOT(ISNUMBER(L1558))),"",IF(OR(K1558&lt;=0,L1558&lt;=0),"",ROUND(L1558-K1558,6)))</f>
        <v/>
      </c>
      <c r="N1558" s="58" t="n"/>
      <c r="O1558" s="62" t="n"/>
      <c r="P1558" s="63" t="str">
        <f>IF(OR(B1558="",NOT(ISNUMBER(L1558))),"",IF(L1558&lt;=0,"",IFERROR(ROUND(L1558*N(INDEX(art_w,MATCH(H1558,art_ref,0))),3),"")))</f>
        <v/>
      </c>
      <c r="Q1558" s="59" t="n"/>
      <c r="R1558" s="54" t="n"/>
      <c r="S1558" s="59" t="n"/>
      <c r="T1558" s="59" t="n"/>
      <c r="U1558" s="64" t="str">
        <f>IF(OR(B1558="",H1558=""),"",IFERROR(IF(A1558="BL",IF(N(INDEX(art_price,MATCH(H1558,art_ref,0)))=0,"",N(INDEX(art_price,MATCH(H1558,art_ref,0)))),IF(N(INDEX(art_cost,MATCH(H1558,art_ref,0)))=0,"",N(INDEX(art_cost,MATCH(H1558,art_ref,0))))),""))</f>
        <v/>
      </c>
      <c r="V1558" s="64" t="str">
        <f>IF(OR(U1558="",NOT(ISNUMBER(L1558))),"",IF(L1558&lt;=0,"",ROUND(L1558*U1558,2)))</f>
        <v/>
      </c>
      <c r="W1558" s="60" t="str">
        <f>IF(AND(B1558&lt;&gt;"",A1558&lt;&gt;"BS",F1558&lt;&gt;"",H1558&lt;&gt;"",ISNUMBER(K1558),ISNUMBER(L1558)),IF(AND(K1558&gt;0,L1558&gt;0,K1558-L1558&gt;0,COUNTIFS(A1559:A$2005,A1558,F1559:F$2005,F1558,H1559:H$2005,H1558,AA1559:AA$2005,"&gt;0")=0),ROUND(K1558-L1558,6),""),"")</f>
        <v/>
      </c>
      <c r="X1558" s="60" t="str">
        <f>IF(AND(A1558="",C1558="",D1558="",H1558="",L1558=""),"",IF(A1558="","Type manquant",IF(AND(A1558&lt;&gt;"BL",A1558&lt;&gt;"BR",A1558&lt;&gt;"BS"),"Type inconnu (BL, BR ou BS)",IF(AG1558=0,"Date manquante ou invalide",IF(D1558="",IF(A1558="BL","Client manquant",IF(A1558="BR","Fournisseur manquant","Service manquant")),IF(IF(A1558="BL",ISNA(MATCH(D1558,cl_code,0)),IF(A1558="BR",ISNA(MATCH(D1558,fo_code,0)),ISNA(MATCH(D1558,p_services,0)))),IF(A1558="BL","Client inconnu",IF(A1558="BR","Fournisseur inconnu","Service inconnu")),IF(H1558="","Article manquant",IF(ISNA(MATCH(H1558,art_ref,0)),"Article inconnu",IF(OR(NOT(ISNUMBER(L1558)),N(L1558)&lt;=0),"Quantité invalide",IF(AND(K1558&lt;&gt;"",OR(NOT(ISNUMBER(K1558)),N(K1558)&lt;=0)),"Qté commandée invalide",IF(AG1558&lt;SUMPRODUCT(MAX((A$6:A1557=A1558)*AG$6:AG1557)),"Date antérieure au bon précédent",IF(AND(A1558&lt;&gt;"BR",ISNUMBER(M1558),N(M1558)&gt;0),IF(A1558="BL","Livré plus que commandé","Sorti plus que demandé"),"OK"))))))))))))</f>
        <v/>
      </c>
      <c r="Y1558" s="57" t="str">
        <f>IF(AND(OR(A1558="BL",A1558="BR",A1558="BS"),AG1558&gt;0,D1558&lt;&gt;""),A1558&amp;"|"&amp;AG1558&amp;"|"&amp;D1558&amp;"|"&amp;F1558,"")</f>
        <v/>
      </c>
      <c r="Z1558" s="57" t="str">
        <f>IF(Y1558="","",IF(COUNTIF(Y$6:Y1557,Y1558)=0,1,0))</f>
        <v/>
      </c>
      <c r="AA1558" s="57" t="str">
        <f>IF(Y1558="","",IF(Z1558=1,COUNTIFS(A$6:A1558,A1558,Z$6:Z1558,1),INDEX(AA$6:AA1557,MATCH(Y1558,Y$6:Y1557,0))))</f>
        <v/>
      </c>
      <c r="AB1558" s="57" t="str">
        <f>IF(B1558="","",COUNTIF(B$6:B1558,B1558))</f>
        <v/>
      </c>
      <c r="AC1558" s="57" t="str">
        <f>IF(B1558="","",B1558&amp;"#"&amp;AB1558)</f>
        <v/>
      </c>
      <c r="AD1558" s="57" t="str">
        <f>IF(Z1558=1,A1558&amp;AA1558,"")</f>
        <v/>
      </c>
      <c r="AE1558" s="57" t="str">
        <f>IF(B1558="","",YEAR(C1558))</f>
        <v/>
      </c>
      <c r="AF1558" s="57" t="str">
        <f>IF(B1558="","",MONTH(C1558))</f>
        <v/>
      </c>
      <c r="AG1558" s="57">
        <f>IF(ISNUMBER(C1558),C1558,0)</f>
        <v>0.0</v>
      </c>
      <c r="AH1558" s="57" t="str">
        <f>IF(N(W1558)&gt;0,COUNTIF(W$6:W1558,"&gt;0"),"")</f>
        <v/>
      </c>
      <c r="AI1558" s="57" t="str">
        <f>IF(Z1558=1,COUNTIF(Z$6:Z1558,1),"")</f>
        <v/>
      </c>
    </row>
    <row r="1559">
      <c r="A1559" s="54" t="n"/>
      <c r="B1559" s="55" t="str">
        <f>IF(AA1559="","",A1559&amp;"-"&amp;RIGHT("000"&amp;AA1559,4))</f>
        <v/>
      </c>
      <c r="C1559" s="56" t="n"/>
      <c r="D1559" s="54" t="n"/>
      <c r="E1559" s="57" t="str">
        <f>IF(D1559="","",IF(A1559="BL",IFERROR(INDEX(cl_name,MATCH(D1559,cl_code,0))&amp;"","Client inconnu"),IF(A1559="BR",IFERROR(INDEX(fo_name,MATCH(D1559,fo_code,0))&amp;"","Fournisseur inconnu"),IF(A1559="BS",IF(ISNA(MATCH(D1559,p_services,0)),"Service inconnu",D1559&amp;""),""))))</f>
        <v/>
      </c>
      <c r="F1559" s="58" t="n"/>
      <c r="G1559" s="58" t="n"/>
      <c r="H1559" s="59" t="n"/>
      <c r="I1559" s="57" t="str">
        <f>IF(H1559="","",IFERROR(INDEX(art_des,MATCH(H1559,art_ref,0))&amp;"","Article inconnu"))</f>
        <v/>
      </c>
      <c r="J1559" s="60" t="str">
        <f>IF(H1559="","",IFERROR(INDEX(art_unit,MATCH(H1559,art_ref,0))&amp;"",""))</f>
        <v/>
      </c>
      <c r="K1559" s="59" t="n"/>
      <c r="L1559" s="59" t="n"/>
      <c r="M1559" s="61" t="str">
        <f>IF(OR(B1559="",NOT(ISNUMBER(K1559)),NOT(ISNUMBER(L1559))),"",IF(OR(K1559&lt;=0,L1559&lt;=0),"",ROUND(L1559-K1559,6)))</f>
        <v/>
      </c>
      <c r="N1559" s="58" t="n"/>
      <c r="O1559" s="62" t="n"/>
      <c r="P1559" s="63" t="str">
        <f>IF(OR(B1559="",NOT(ISNUMBER(L1559))),"",IF(L1559&lt;=0,"",IFERROR(ROUND(L1559*N(INDEX(art_w,MATCH(H1559,art_ref,0))),3),"")))</f>
        <v/>
      </c>
      <c r="Q1559" s="59" t="n"/>
      <c r="R1559" s="54" t="n"/>
      <c r="S1559" s="59" t="n"/>
      <c r="T1559" s="59" t="n"/>
      <c r="U1559" s="64" t="str">
        <f>IF(OR(B1559="",H1559=""),"",IFERROR(IF(A1559="BL",IF(N(INDEX(art_price,MATCH(H1559,art_ref,0)))=0,"",N(INDEX(art_price,MATCH(H1559,art_ref,0)))),IF(N(INDEX(art_cost,MATCH(H1559,art_ref,0)))=0,"",N(INDEX(art_cost,MATCH(H1559,art_ref,0))))),""))</f>
        <v/>
      </c>
      <c r="V1559" s="64" t="str">
        <f>IF(OR(U1559="",NOT(ISNUMBER(L1559))),"",IF(L1559&lt;=0,"",ROUND(L1559*U1559,2)))</f>
        <v/>
      </c>
      <c r="W1559" s="60" t="str">
        <f>IF(AND(B1559&lt;&gt;"",A1559&lt;&gt;"BS",F1559&lt;&gt;"",H1559&lt;&gt;"",ISNUMBER(K1559),ISNUMBER(L1559)),IF(AND(K1559&gt;0,L1559&gt;0,K1559-L1559&gt;0,COUNTIFS(A1560:A$2005,A1559,F1560:F$2005,F1559,H1560:H$2005,H1559,AA1560:AA$2005,"&gt;0")=0),ROUND(K1559-L1559,6),""),"")</f>
        <v/>
      </c>
      <c r="X1559" s="60" t="str">
        <f>IF(AND(A1559="",C1559="",D1559="",H1559="",L1559=""),"",IF(A1559="","Type manquant",IF(AND(A1559&lt;&gt;"BL",A1559&lt;&gt;"BR",A1559&lt;&gt;"BS"),"Type inconnu (BL, BR ou BS)",IF(AG1559=0,"Date manquante ou invalide",IF(D1559="",IF(A1559="BL","Client manquant",IF(A1559="BR","Fournisseur manquant","Service manquant")),IF(IF(A1559="BL",ISNA(MATCH(D1559,cl_code,0)),IF(A1559="BR",ISNA(MATCH(D1559,fo_code,0)),ISNA(MATCH(D1559,p_services,0)))),IF(A1559="BL","Client inconnu",IF(A1559="BR","Fournisseur inconnu","Service inconnu")),IF(H1559="","Article manquant",IF(ISNA(MATCH(H1559,art_ref,0)),"Article inconnu",IF(OR(NOT(ISNUMBER(L1559)),N(L1559)&lt;=0),"Quantité invalide",IF(AND(K1559&lt;&gt;"",OR(NOT(ISNUMBER(K1559)),N(K1559)&lt;=0)),"Qté commandée invalide",IF(AG1559&lt;SUMPRODUCT(MAX((A$6:A1558=A1559)*AG$6:AG1558)),"Date antérieure au bon précédent",IF(AND(A1559&lt;&gt;"BR",ISNUMBER(M1559),N(M1559)&gt;0),IF(A1559="BL","Livré plus que commandé","Sorti plus que demandé"),"OK"))))))))))))</f>
        <v/>
      </c>
      <c r="Y1559" s="57" t="str">
        <f>IF(AND(OR(A1559="BL",A1559="BR",A1559="BS"),AG1559&gt;0,D1559&lt;&gt;""),A1559&amp;"|"&amp;AG1559&amp;"|"&amp;D1559&amp;"|"&amp;F1559,"")</f>
        <v/>
      </c>
      <c r="Z1559" s="57" t="str">
        <f>IF(Y1559="","",IF(COUNTIF(Y$6:Y1558,Y1559)=0,1,0))</f>
        <v/>
      </c>
      <c r="AA1559" s="57" t="str">
        <f>IF(Y1559="","",IF(Z1559=1,COUNTIFS(A$6:A1559,A1559,Z$6:Z1559,1),INDEX(AA$6:AA1558,MATCH(Y1559,Y$6:Y1558,0))))</f>
        <v/>
      </c>
      <c r="AB1559" s="57" t="str">
        <f>IF(B1559="","",COUNTIF(B$6:B1559,B1559))</f>
        <v/>
      </c>
      <c r="AC1559" s="57" t="str">
        <f>IF(B1559="","",B1559&amp;"#"&amp;AB1559)</f>
        <v/>
      </c>
      <c r="AD1559" s="57" t="str">
        <f>IF(Z1559=1,A1559&amp;AA1559,"")</f>
        <v/>
      </c>
      <c r="AE1559" s="57" t="str">
        <f>IF(B1559="","",YEAR(C1559))</f>
        <v/>
      </c>
      <c r="AF1559" s="57" t="str">
        <f>IF(B1559="","",MONTH(C1559))</f>
        <v/>
      </c>
      <c r="AG1559" s="57">
        <f>IF(ISNUMBER(C1559),C1559,0)</f>
        <v>0.0</v>
      </c>
      <c r="AH1559" s="57" t="str">
        <f>IF(N(W1559)&gt;0,COUNTIF(W$6:W1559,"&gt;0"),"")</f>
        <v/>
      </c>
      <c r="AI1559" s="57" t="str">
        <f>IF(Z1559=1,COUNTIF(Z$6:Z1559,1),"")</f>
        <v/>
      </c>
    </row>
    <row r="1560">
      <c r="A1560" s="54" t="n"/>
      <c r="B1560" s="55" t="str">
        <f>IF(AA1560="","",A1560&amp;"-"&amp;RIGHT("000"&amp;AA1560,4))</f>
        <v/>
      </c>
      <c r="C1560" s="56" t="n"/>
      <c r="D1560" s="54" t="n"/>
      <c r="E1560" s="57" t="str">
        <f>IF(D1560="","",IF(A1560="BL",IFERROR(INDEX(cl_name,MATCH(D1560,cl_code,0))&amp;"","Client inconnu"),IF(A1560="BR",IFERROR(INDEX(fo_name,MATCH(D1560,fo_code,0))&amp;"","Fournisseur inconnu"),IF(A1560="BS",IF(ISNA(MATCH(D1560,p_services,0)),"Service inconnu",D1560&amp;""),""))))</f>
        <v/>
      </c>
      <c r="F1560" s="58" t="n"/>
      <c r="G1560" s="58" t="n"/>
      <c r="H1560" s="59" t="n"/>
      <c r="I1560" s="57" t="str">
        <f>IF(H1560="","",IFERROR(INDEX(art_des,MATCH(H1560,art_ref,0))&amp;"","Article inconnu"))</f>
        <v/>
      </c>
      <c r="J1560" s="60" t="str">
        <f>IF(H1560="","",IFERROR(INDEX(art_unit,MATCH(H1560,art_ref,0))&amp;"",""))</f>
        <v/>
      </c>
      <c r="K1560" s="59" t="n"/>
      <c r="L1560" s="59" t="n"/>
      <c r="M1560" s="61" t="str">
        <f>IF(OR(B1560="",NOT(ISNUMBER(K1560)),NOT(ISNUMBER(L1560))),"",IF(OR(K1560&lt;=0,L1560&lt;=0),"",ROUND(L1560-K1560,6)))</f>
        <v/>
      </c>
      <c r="N1560" s="58" t="n"/>
      <c r="O1560" s="62" t="n"/>
      <c r="P1560" s="63" t="str">
        <f>IF(OR(B1560="",NOT(ISNUMBER(L1560))),"",IF(L1560&lt;=0,"",IFERROR(ROUND(L1560*N(INDEX(art_w,MATCH(H1560,art_ref,0))),3),"")))</f>
        <v/>
      </c>
      <c r="Q1560" s="59" t="n"/>
      <c r="R1560" s="54" t="n"/>
      <c r="S1560" s="59" t="n"/>
      <c r="T1560" s="59" t="n"/>
      <c r="U1560" s="64" t="str">
        <f>IF(OR(B1560="",H1560=""),"",IFERROR(IF(A1560="BL",IF(N(INDEX(art_price,MATCH(H1560,art_ref,0)))=0,"",N(INDEX(art_price,MATCH(H1560,art_ref,0)))),IF(N(INDEX(art_cost,MATCH(H1560,art_ref,0)))=0,"",N(INDEX(art_cost,MATCH(H1560,art_ref,0))))),""))</f>
        <v/>
      </c>
      <c r="V1560" s="64" t="str">
        <f>IF(OR(U1560="",NOT(ISNUMBER(L1560))),"",IF(L1560&lt;=0,"",ROUND(L1560*U1560,2)))</f>
        <v/>
      </c>
      <c r="W1560" s="60" t="str">
        <f>IF(AND(B1560&lt;&gt;"",A1560&lt;&gt;"BS",F1560&lt;&gt;"",H1560&lt;&gt;"",ISNUMBER(K1560),ISNUMBER(L1560)),IF(AND(K1560&gt;0,L1560&gt;0,K1560-L1560&gt;0,COUNTIFS(A1561:A$2005,A1560,F1561:F$2005,F1560,H1561:H$2005,H1560,AA1561:AA$2005,"&gt;0")=0),ROUND(K1560-L1560,6),""),"")</f>
        <v/>
      </c>
      <c r="X1560" s="60" t="str">
        <f>IF(AND(A1560="",C1560="",D1560="",H1560="",L1560=""),"",IF(A1560="","Type manquant",IF(AND(A1560&lt;&gt;"BL",A1560&lt;&gt;"BR",A1560&lt;&gt;"BS"),"Type inconnu (BL, BR ou BS)",IF(AG1560=0,"Date manquante ou invalide",IF(D1560="",IF(A1560="BL","Client manquant",IF(A1560="BR","Fournisseur manquant","Service manquant")),IF(IF(A1560="BL",ISNA(MATCH(D1560,cl_code,0)),IF(A1560="BR",ISNA(MATCH(D1560,fo_code,0)),ISNA(MATCH(D1560,p_services,0)))),IF(A1560="BL","Client inconnu",IF(A1560="BR","Fournisseur inconnu","Service inconnu")),IF(H1560="","Article manquant",IF(ISNA(MATCH(H1560,art_ref,0)),"Article inconnu",IF(OR(NOT(ISNUMBER(L1560)),N(L1560)&lt;=0),"Quantité invalide",IF(AND(K1560&lt;&gt;"",OR(NOT(ISNUMBER(K1560)),N(K1560)&lt;=0)),"Qté commandée invalide",IF(AG1560&lt;SUMPRODUCT(MAX((A$6:A1559=A1560)*AG$6:AG1559)),"Date antérieure au bon précédent",IF(AND(A1560&lt;&gt;"BR",ISNUMBER(M1560),N(M1560)&gt;0),IF(A1560="BL","Livré plus que commandé","Sorti plus que demandé"),"OK"))))))))))))</f>
        <v/>
      </c>
      <c r="Y1560" s="57" t="str">
        <f>IF(AND(OR(A1560="BL",A1560="BR",A1560="BS"),AG1560&gt;0,D1560&lt;&gt;""),A1560&amp;"|"&amp;AG1560&amp;"|"&amp;D1560&amp;"|"&amp;F1560,"")</f>
        <v/>
      </c>
      <c r="Z1560" s="57" t="str">
        <f>IF(Y1560="","",IF(COUNTIF(Y$6:Y1559,Y1560)=0,1,0))</f>
        <v/>
      </c>
      <c r="AA1560" s="57" t="str">
        <f>IF(Y1560="","",IF(Z1560=1,COUNTIFS(A$6:A1560,A1560,Z$6:Z1560,1),INDEX(AA$6:AA1559,MATCH(Y1560,Y$6:Y1559,0))))</f>
        <v/>
      </c>
      <c r="AB1560" s="57" t="str">
        <f>IF(B1560="","",COUNTIF(B$6:B1560,B1560))</f>
        <v/>
      </c>
      <c r="AC1560" s="57" t="str">
        <f>IF(B1560="","",B1560&amp;"#"&amp;AB1560)</f>
        <v/>
      </c>
      <c r="AD1560" s="57" t="str">
        <f>IF(Z1560=1,A1560&amp;AA1560,"")</f>
        <v/>
      </c>
      <c r="AE1560" s="57" t="str">
        <f>IF(B1560="","",YEAR(C1560))</f>
        <v/>
      </c>
      <c r="AF1560" s="57" t="str">
        <f>IF(B1560="","",MONTH(C1560))</f>
        <v/>
      </c>
      <c r="AG1560" s="57">
        <f>IF(ISNUMBER(C1560),C1560,0)</f>
        <v>0.0</v>
      </c>
      <c r="AH1560" s="57" t="str">
        <f>IF(N(W1560)&gt;0,COUNTIF(W$6:W1560,"&gt;0"),"")</f>
        <v/>
      </c>
      <c r="AI1560" s="57" t="str">
        <f>IF(Z1560=1,COUNTIF(Z$6:Z1560,1),"")</f>
        <v/>
      </c>
    </row>
    <row r="1561">
      <c r="A1561" s="54" t="n"/>
      <c r="B1561" s="55" t="str">
        <f>IF(AA1561="","",A1561&amp;"-"&amp;RIGHT("000"&amp;AA1561,4))</f>
        <v/>
      </c>
      <c r="C1561" s="56" t="n"/>
      <c r="D1561" s="54" t="n"/>
      <c r="E1561" s="57" t="str">
        <f>IF(D1561="","",IF(A1561="BL",IFERROR(INDEX(cl_name,MATCH(D1561,cl_code,0))&amp;"","Client inconnu"),IF(A1561="BR",IFERROR(INDEX(fo_name,MATCH(D1561,fo_code,0))&amp;"","Fournisseur inconnu"),IF(A1561="BS",IF(ISNA(MATCH(D1561,p_services,0)),"Service inconnu",D1561&amp;""),""))))</f>
        <v/>
      </c>
      <c r="F1561" s="58" t="n"/>
      <c r="G1561" s="58" t="n"/>
      <c r="H1561" s="59" t="n"/>
      <c r="I1561" s="57" t="str">
        <f>IF(H1561="","",IFERROR(INDEX(art_des,MATCH(H1561,art_ref,0))&amp;"","Article inconnu"))</f>
        <v/>
      </c>
      <c r="J1561" s="60" t="str">
        <f>IF(H1561="","",IFERROR(INDEX(art_unit,MATCH(H1561,art_ref,0))&amp;"",""))</f>
        <v/>
      </c>
      <c r="K1561" s="59" t="n"/>
      <c r="L1561" s="59" t="n"/>
      <c r="M1561" s="61" t="str">
        <f>IF(OR(B1561="",NOT(ISNUMBER(K1561)),NOT(ISNUMBER(L1561))),"",IF(OR(K1561&lt;=0,L1561&lt;=0),"",ROUND(L1561-K1561,6)))</f>
        <v/>
      </c>
      <c r="N1561" s="58" t="n"/>
      <c r="O1561" s="62" t="n"/>
      <c r="P1561" s="63" t="str">
        <f>IF(OR(B1561="",NOT(ISNUMBER(L1561))),"",IF(L1561&lt;=0,"",IFERROR(ROUND(L1561*N(INDEX(art_w,MATCH(H1561,art_ref,0))),3),"")))</f>
        <v/>
      </c>
      <c r="Q1561" s="59" t="n"/>
      <c r="R1561" s="54" t="n"/>
      <c r="S1561" s="59" t="n"/>
      <c r="T1561" s="59" t="n"/>
      <c r="U1561" s="64" t="str">
        <f>IF(OR(B1561="",H1561=""),"",IFERROR(IF(A1561="BL",IF(N(INDEX(art_price,MATCH(H1561,art_ref,0)))=0,"",N(INDEX(art_price,MATCH(H1561,art_ref,0)))),IF(N(INDEX(art_cost,MATCH(H1561,art_ref,0)))=0,"",N(INDEX(art_cost,MATCH(H1561,art_ref,0))))),""))</f>
        <v/>
      </c>
      <c r="V1561" s="64" t="str">
        <f>IF(OR(U1561="",NOT(ISNUMBER(L1561))),"",IF(L1561&lt;=0,"",ROUND(L1561*U1561,2)))</f>
        <v/>
      </c>
      <c r="W1561" s="60" t="str">
        <f>IF(AND(B1561&lt;&gt;"",A1561&lt;&gt;"BS",F1561&lt;&gt;"",H1561&lt;&gt;"",ISNUMBER(K1561),ISNUMBER(L1561)),IF(AND(K1561&gt;0,L1561&gt;0,K1561-L1561&gt;0,COUNTIFS(A1562:A$2005,A1561,F1562:F$2005,F1561,H1562:H$2005,H1561,AA1562:AA$2005,"&gt;0")=0),ROUND(K1561-L1561,6),""),"")</f>
        <v/>
      </c>
      <c r="X1561" s="60" t="str">
        <f>IF(AND(A1561="",C1561="",D1561="",H1561="",L1561=""),"",IF(A1561="","Type manquant",IF(AND(A1561&lt;&gt;"BL",A1561&lt;&gt;"BR",A1561&lt;&gt;"BS"),"Type inconnu (BL, BR ou BS)",IF(AG1561=0,"Date manquante ou invalide",IF(D1561="",IF(A1561="BL","Client manquant",IF(A1561="BR","Fournisseur manquant","Service manquant")),IF(IF(A1561="BL",ISNA(MATCH(D1561,cl_code,0)),IF(A1561="BR",ISNA(MATCH(D1561,fo_code,0)),ISNA(MATCH(D1561,p_services,0)))),IF(A1561="BL","Client inconnu",IF(A1561="BR","Fournisseur inconnu","Service inconnu")),IF(H1561="","Article manquant",IF(ISNA(MATCH(H1561,art_ref,0)),"Article inconnu",IF(OR(NOT(ISNUMBER(L1561)),N(L1561)&lt;=0),"Quantité invalide",IF(AND(K1561&lt;&gt;"",OR(NOT(ISNUMBER(K1561)),N(K1561)&lt;=0)),"Qté commandée invalide",IF(AG1561&lt;SUMPRODUCT(MAX((A$6:A1560=A1561)*AG$6:AG1560)),"Date antérieure au bon précédent",IF(AND(A1561&lt;&gt;"BR",ISNUMBER(M1561),N(M1561)&gt;0),IF(A1561="BL","Livré plus que commandé","Sorti plus que demandé"),"OK"))))))))))))</f>
        <v/>
      </c>
      <c r="Y1561" s="57" t="str">
        <f>IF(AND(OR(A1561="BL",A1561="BR",A1561="BS"),AG1561&gt;0,D1561&lt;&gt;""),A1561&amp;"|"&amp;AG1561&amp;"|"&amp;D1561&amp;"|"&amp;F1561,"")</f>
        <v/>
      </c>
      <c r="Z1561" s="57" t="str">
        <f>IF(Y1561="","",IF(COUNTIF(Y$6:Y1560,Y1561)=0,1,0))</f>
        <v/>
      </c>
      <c r="AA1561" s="57" t="str">
        <f>IF(Y1561="","",IF(Z1561=1,COUNTIFS(A$6:A1561,A1561,Z$6:Z1561,1),INDEX(AA$6:AA1560,MATCH(Y1561,Y$6:Y1560,0))))</f>
        <v/>
      </c>
      <c r="AB1561" s="57" t="str">
        <f>IF(B1561="","",COUNTIF(B$6:B1561,B1561))</f>
        <v/>
      </c>
      <c r="AC1561" s="57" t="str">
        <f>IF(B1561="","",B1561&amp;"#"&amp;AB1561)</f>
        <v/>
      </c>
      <c r="AD1561" s="57" t="str">
        <f>IF(Z1561=1,A1561&amp;AA1561,"")</f>
        <v/>
      </c>
      <c r="AE1561" s="57" t="str">
        <f>IF(B1561="","",YEAR(C1561))</f>
        <v/>
      </c>
      <c r="AF1561" s="57" t="str">
        <f>IF(B1561="","",MONTH(C1561))</f>
        <v/>
      </c>
      <c r="AG1561" s="57">
        <f>IF(ISNUMBER(C1561),C1561,0)</f>
        <v>0.0</v>
      </c>
      <c r="AH1561" s="57" t="str">
        <f>IF(N(W1561)&gt;0,COUNTIF(W$6:W1561,"&gt;0"),"")</f>
        <v/>
      </c>
      <c r="AI1561" s="57" t="str">
        <f>IF(Z1561=1,COUNTIF(Z$6:Z1561,1),"")</f>
        <v/>
      </c>
    </row>
    <row r="1562">
      <c r="A1562" s="54" t="n"/>
      <c r="B1562" s="55" t="str">
        <f>IF(AA1562="","",A1562&amp;"-"&amp;RIGHT("000"&amp;AA1562,4))</f>
        <v/>
      </c>
      <c r="C1562" s="56" t="n"/>
      <c r="D1562" s="54" t="n"/>
      <c r="E1562" s="57" t="str">
        <f>IF(D1562="","",IF(A1562="BL",IFERROR(INDEX(cl_name,MATCH(D1562,cl_code,0))&amp;"","Client inconnu"),IF(A1562="BR",IFERROR(INDEX(fo_name,MATCH(D1562,fo_code,0))&amp;"","Fournisseur inconnu"),IF(A1562="BS",IF(ISNA(MATCH(D1562,p_services,0)),"Service inconnu",D1562&amp;""),""))))</f>
        <v/>
      </c>
      <c r="F1562" s="58" t="n"/>
      <c r="G1562" s="58" t="n"/>
      <c r="H1562" s="59" t="n"/>
      <c r="I1562" s="57" t="str">
        <f>IF(H1562="","",IFERROR(INDEX(art_des,MATCH(H1562,art_ref,0))&amp;"","Article inconnu"))</f>
        <v/>
      </c>
      <c r="J1562" s="60" t="str">
        <f>IF(H1562="","",IFERROR(INDEX(art_unit,MATCH(H1562,art_ref,0))&amp;"",""))</f>
        <v/>
      </c>
      <c r="K1562" s="59" t="n"/>
      <c r="L1562" s="59" t="n"/>
      <c r="M1562" s="61" t="str">
        <f>IF(OR(B1562="",NOT(ISNUMBER(K1562)),NOT(ISNUMBER(L1562))),"",IF(OR(K1562&lt;=0,L1562&lt;=0),"",ROUND(L1562-K1562,6)))</f>
        <v/>
      </c>
      <c r="N1562" s="58" t="n"/>
      <c r="O1562" s="62" t="n"/>
      <c r="P1562" s="63" t="str">
        <f>IF(OR(B1562="",NOT(ISNUMBER(L1562))),"",IF(L1562&lt;=0,"",IFERROR(ROUND(L1562*N(INDEX(art_w,MATCH(H1562,art_ref,0))),3),"")))</f>
        <v/>
      </c>
      <c r="Q1562" s="59" t="n"/>
      <c r="R1562" s="54" t="n"/>
      <c r="S1562" s="59" t="n"/>
      <c r="T1562" s="59" t="n"/>
      <c r="U1562" s="64" t="str">
        <f>IF(OR(B1562="",H1562=""),"",IFERROR(IF(A1562="BL",IF(N(INDEX(art_price,MATCH(H1562,art_ref,0)))=0,"",N(INDEX(art_price,MATCH(H1562,art_ref,0)))),IF(N(INDEX(art_cost,MATCH(H1562,art_ref,0)))=0,"",N(INDEX(art_cost,MATCH(H1562,art_ref,0))))),""))</f>
        <v/>
      </c>
      <c r="V1562" s="64" t="str">
        <f>IF(OR(U1562="",NOT(ISNUMBER(L1562))),"",IF(L1562&lt;=0,"",ROUND(L1562*U1562,2)))</f>
        <v/>
      </c>
      <c r="W1562" s="60" t="str">
        <f>IF(AND(B1562&lt;&gt;"",A1562&lt;&gt;"BS",F1562&lt;&gt;"",H1562&lt;&gt;"",ISNUMBER(K1562),ISNUMBER(L1562)),IF(AND(K1562&gt;0,L1562&gt;0,K1562-L1562&gt;0,COUNTIFS(A1563:A$2005,A1562,F1563:F$2005,F1562,H1563:H$2005,H1562,AA1563:AA$2005,"&gt;0")=0),ROUND(K1562-L1562,6),""),"")</f>
        <v/>
      </c>
      <c r="X1562" s="60" t="str">
        <f>IF(AND(A1562="",C1562="",D1562="",H1562="",L1562=""),"",IF(A1562="","Type manquant",IF(AND(A1562&lt;&gt;"BL",A1562&lt;&gt;"BR",A1562&lt;&gt;"BS"),"Type inconnu (BL, BR ou BS)",IF(AG1562=0,"Date manquante ou invalide",IF(D1562="",IF(A1562="BL","Client manquant",IF(A1562="BR","Fournisseur manquant","Service manquant")),IF(IF(A1562="BL",ISNA(MATCH(D1562,cl_code,0)),IF(A1562="BR",ISNA(MATCH(D1562,fo_code,0)),ISNA(MATCH(D1562,p_services,0)))),IF(A1562="BL","Client inconnu",IF(A1562="BR","Fournisseur inconnu","Service inconnu")),IF(H1562="","Article manquant",IF(ISNA(MATCH(H1562,art_ref,0)),"Article inconnu",IF(OR(NOT(ISNUMBER(L1562)),N(L1562)&lt;=0),"Quantité invalide",IF(AND(K1562&lt;&gt;"",OR(NOT(ISNUMBER(K1562)),N(K1562)&lt;=0)),"Qté commandée invalide",IF(AG1562&lt;SUMPRODUCT(MAX((A$6:A1561=A1562)*AG$6:AG1561)),"Date antérieure au bon précédent",IF(AND(A1562&lt;&gt;"BR",ISNUMBER(M1562),N(M1562)&gt;0),IF(A1562="BL","Livré plus que commandé","Sorti plus que demandé"),"OK"))))))))))))</f>
        <v/>
      </c>
      <c r="Y1562" s="57" t="str">
        <f>IF(AND(OR(A1562="BL",A1562="BR",A1562="BS"),AG1562&gt;0,D1562&lt;&gt;""),A1562&amp;"|"&amp;AG1562&amp;"|"&amp;D1562&amp;"|"&amp;F1562,"")</f>
        <v/>
      </c>
      <c r="Z1562" s="57" t="str">
        <f>IF(Y1562="","",IF(COUNTIF(Y$6:Y1561,Y1562)=0,1,0))</f>
        <v/>
      </c>
      <c r="AA1562" s="57" t="str">
        <f>IF(Y1562="","",IF(Z1562=1,COUNTIFS(A$6:A1562,A1562,Z$6:Z1562,1),INDEX(AA$6:AA1561,MATCH(Y1562,Y$6:Y1561,0))))</f>
        <v/>
      </c>
      <c r="AB1562" s="57" t="str">
        <f>IF(B1562="","",COUNTIF(B$6:B1562,B1562))</f>
        <v/>
      </c>
      <c r="AC1562" s="57" t="str">
        <f>IF(B1562="","",B1562&amp;"#"&amp;AB1562)</f>
        <v/>
      </c>
      <c r="AD1562" s="57" t="str">
        <f>IF(Z1562=1,A1562&amp;AA1562,"")</f>
        <v/>
      </c>
      <c r="AE1562" s="57" t="str">
        <f>IF(B1562="","",YEAR(C1562))</f>
        <v/>
      </c>
      <c r="AF1562" s="57" t="str">
        <f>IF(B1562="","",MONTH(C1562))</f>
        <v/>
      </c>
      <c r="AG1562" s="57">
        <f>IF(ISNUMBER(C1562),C1562,0)</f>
        <v>0.0</v>
      </c>
      <c r="AH1562" s="57" t="str">
        <f>IF(N(W1562)&gt;0,COUNTIF(W$6:W1562,"&gt;0"),"")</f>
        <v/>
      </c>
      <c r="AI1562" s="57" t="str">
        <f>IF(Z1562=1,COUNTIF(Z$6:Z1562,1),"")</f>
        <v/>
      </c>
    </row>
    <row r="1563">
      <c r="A1563" s="54" t="n"/>
      <c r="B1563" s="55" t="str">
        <f>IF(AA1563="","",A1563&amp;"-"&amp;RIGHT("000"&amp;AA1563,4))</f>
        <v/>
      </c>
      <c r="C1563" s="56" t="n"/>
      <c r="D1563" s="54" t="n"/>
      <c r="E1563" s="57" t="str">
        <f>IF(D1563="","",IF(A1563="BL",IFERROR(INDEX(cl_name,MATCH(D1563,cl_code,0))&amp;"","Client inconnu"),IF(A1563="BR",IFERROR(INDEX(fo_name,MATCH(D1563,fo_code,0))&amp;"","Fournisseur inconnu"),IF(A1563="BS",IF(ISNA(MATCH(D1563,p_services,0)),"Service inconnu",D1563&amp;""),""))))</f>
        <v/>
      </c>
      <c r="F1563" s="58" t="n"/>
      <c r="G1563" s="58" t="n"/>
      <c r="H1563" s="59" t="n"/>
      <c r="I1563" s="57" t="str">
        <f>IF(H1563="","",IFERROR(INDEX(art_des,MATCH(H1563,art_ref,0))&amp;"","Article inconnu"))</f>
        <v/>
      </c>
      <c r="J1563" s="60" t="str">
        <f>IF(H1563="","",IFERROR(INDEX(art_unit,MATCH(H1563,art_ref,0))&amp;"",""))</f>
        <v/>
      </c>
      <c r="K1563" s="59" t="n"/>
      <c r="L1563" s="59" t="n"/>
      <c r="M1563" s="61" t="str">
        <f>IF(OR(B1563="",NOT(ISNUMBER(K1563)),NOT(ISNUMBER(L1563))),"",IF(OR(K1563&lt;=0,L1563&lt;=0),"",ROUND(L1563-K1563,6)))</f>
        <v/>
      </c>
      <c r="N1563" s="58" t="n"/>
      <c r="O1563" s="62" t="n"/>
      <c r="P1563" s="63" t="str">
        <f>IF(OR(B1563="",NOT(ISNUMBER(L1563))),"",IF(L1563&lt;=0,"",IFERROR(ROUND(L1563*N(INDEX(art_w,MATCH(H1563,art_ref,0))),3),"")))</f>
        <v/>
      </c>
      <c r="Q1563" s="59" t="n"/>
      <c r="R1563" s="54" t="n"/>
      <c r="S1563" s="59" t="n"/>
      <c r="T1563" s="59" t="n"/>
      <c r="U1563" s="64" t="str">
        <f>IF(OR(B1563="",H1563=""),"",IFERROR(IF(A1563="BL",IF(N(INDEX(art_price,MATCH(H1563,art_ref,0)))=0,"",N(INDEX(art_price,MATCH(H1563,art_ref,0)))),IF(N(INDEX(art_cost,MATCH(H1563,art_ref,0)))=0,"",N(INDEX(art_cost,MATCH(H1563,art_ref,0))))),""))</f>
        <v/>
      </c>
      <c r="V1563" s="64" t="str">
        <f>IF(OR(U1563="",NOT(ISNUMBER(L1563))),"",IF(L1563&lt;=0,"",ROUND(L1563*U1563,2)))</f>
        <v/>
      </c>
      <c r="W1563" s="60" t="str">
        <f>IF(AND(B1563&lt;&gt;"",A1563&lt;&gt;"BS",F1563&lt;&gt;"",H1563&lt;&gt;"",ISNUMBER(K1563),ISNUMBER(L1563)),IF(AND(K1563&gt;0,L1563&gt;0,K1563-L1563&gt;0,COUNTIFS(A1564:A$2005,A1563,F1564:F$2005,F1563,H1564:H$2005,H1563,AA1564:AA$2005,"&gt;0")=0),ROUND(K1563-L1563,6),""),"")</f>
        <v/>
      </c>
      <c r="X1563" s="60" t="str">
        <f>IF(AND(A1563="",C1563="",D1563="",H1563="",L1563=""),"",IF(A1563="","Type manquant",IF(AND(A1563&lt;&gt;"BL",A1563&lt;&gt;"BR",A1563&lt;&gt;"BS"),"Type inconnu (BL, BR ou BS)",IF(AG1563=0,"Date manquante ou invalide",IF(D1563="",IF(A1563="BL","Client manquant",IF(A1563="BR","Fournisseur manquant","Service manquant")),IF(IF(A1563="BL",ISNA(MATCH(D1563,cl_code,0)),IF(A1563="BR",ISNA(MATCH(D1563,fo_code,0)),ISNA(MATCH(D1563,p_services,0)))),IF(A1563="BL","Client inconnu",IF(A1563="BR","Fournisseur inconnu","Service inconnu")),IF(H1563="","Article manquant",IF(ISNA(MATCH(H1563,art_ref,0)),"Article inconnu",IF(OR(NOT(ISNUMBER(L1563)),N(L1563)&lt;=0),"Quantité invalide",IF(AND(K1563&lt;&gt;"",OR(NOT(ISNUMBER(K1563)),N(K1563)&lt;=0)),"Qté commandée invalide",IF(AG1563&lt;SUMPRODUCT(MAX((A$6:A1562=A1563)*AG$6:AG1562)),"Date antérieure au bon précédent",IF(AND(A1563&lt;&gt;"BR",ISNUMBER(M1563),N(M1563)&gt;0),IF(A1563="BL","Livré plus que commandé","Sorti plus que demandé"),"OK"))))))))))))</f>
        <v/>
      </c>
      <c r="Y1563" s="57" t="str">
        <f>IF(AND(OR(A1563="BL",A1563="BR",A1563="BS"),AG1563&gt;0,D1563&lt;&gt;""),A1563&amp;"|"&amp;AG1563&amp;"|"&amp;D1563&amp;"|"&amp;F1563,"")</f>
        <v/>
      </c>
      <c r="Z1563" s="57" t="str">
        <f>IF(Y1563="","",IF(COUNTIF(Y$6:Y1562,Y1563)=0,1,0))</f>
        <v/>
      </c>
      <c r="AA1563" s="57" t="str">
        <f>IF(Y1563="","",IF(Z1563=1,COUNTIFS(A$6:A1563,A1563,Z$6:Z1563,1),INDEX(AA$6:AA1562,MATCH(Y1563,Y$6:Y1562,0))))</f>
        <v/>
      </c>
      <c r="AB1563" s="57" t="str">
        <f>IF(B1563="","",COUNTIF(B$6:B1563,B1563))</f>
        <v/>
      </c>
      <c r="AC1563" s="57" t="str">
        <f>IF(B1563="","",B1563&amp;"#"&amp;AB1563)</f>
        <v/>
      </c>
      <c r="AD1563" s="57" t="str">
        <f>IF(Z1563=1,A1563&amp;AA1563,"")</f>
        <v/>
      </c>
      <c r="AE1563" s="57" t="str">
        <f>IF(B1563="","",YEAR(C1563))</f>
        <v/>
      </c>
      <c r="AF1563" s="57" t="str">
        <f>IF(B1563="","",MONTH(C1563))</f>
        <v/>
      </c>
      <c r="AG1563" s="57">
        <f>IF(ISNUMBER(C1563),C1563,0)</f>
        <v>0.0</v>
      </c>
      <c r="AH1563" s="57" t="str">
        <f>IF(N(W1563)&gt;0,COUNTIF(W$6:W1563,"&gt;0"),"")</f>
        <v/>
      </c>
      <c r="AI1563" s="57" t="str">
        <f>IF(Z1563=1,COUNTIF(Z$6:Z1563,1),"")</f>
        <v/>
      </c>
    </row>
    <row r="1564">
      <c r="A1564" s="54" t="n"/>
      <c r="B1564" s="55" t="str">
        <f>IF(AA1564="","",A1564&amp;"-"&amp;RIGHT("000"&amp;AA1564,4))</f>
        <v/>
      </c>
      <c r="C1564" s="56" t="n"/>
      <c r="D1564" s="54" t="n"/>
      <c r="E1564" s="57" t="str">
        <f>IF(D1564="","",IF(A1564="BL",IFERROR(INDEX(cl_name,MATCH(D1564,cl_code,0))&amp;"","Client inconnu"),IF(A1564="BR",IFERROR(INDEX(fo_name,MATCH(D1564,fo_code,0))&amp;"","Fournisseur inconnu"),IF(A1564="BS",IF(ISNA(MATCH(D1564,p_services,0)),"Service inconnu",D1564&amp;""),""))))</f>
        <v/>
      </c>
      <c r="F1564" s="58" t="n"/>
      <c r="G1564" s="58" t="n"/>
      <c r="H1564" s="59" t="n"/>
      <c r="I1564" s="57" t="str">
        <f>IF(H1564="","",IFERROR(INDEX(art_des,MATCH(H1564,art_ref,0))&amp;"","Article inconnu"))</f>
        <v/>
      </c>
      <c r="J1564" s="60" t="str">
        <f>IF(H1564="","",IFERROR(INDEX(art_unit,MATCH(H1564,art_ref,0))&amp;"",""))</f>
        <v/>
      </c>
      <c r="K1564" s="59" t="n"/>
      <c r="L1564" s="59" t="n"/>
      <c r="M1564" s="61" t="str">
        <f>IF(OR(B1564="",NOT(ISNUMBER(K1564)),NOT(ISNUMBER(L1564))),"",IF(OR(K1564&lt;=0,L1564&lt;=0),"",ROUND(L1564-K1564,6)))</f>
        <v/>
      </c>
      <c r="N1564" s="58" t="n"/>
      <c r="O1564" s="62" t="n"/>
      <c r="P1564" s="63" t="str">
        <f>IF(OR(B1564="",NOT(ISNUMBER(L1564))),"",IF(L1564&lt;=0,"",IFERROR(ROUND(L1564*N(INDEX(art_w,MATCH(H1564,art_ref,0))),3),"")))</f>
        <v/>
      </c>
      <c r="Q1564" s="59" t="n"/>
      <c r="R1564" s="54" t="n"/>
      <c r="S1564" s="59" t="n"/>
      <c r="T1564" s="59" t="n"/>
      <c r="U1564" s="64" t="str">
        <f>IF(OR(B1564="",H1564=""),"",IFERROR(IF(A1564="BL",IF(N(INDEX(art_price,MATCH(H1564,art_ref,0)))=0,"",N(INDEX(art_price,MATCH(H1564,art_ref,0)))),IF(N(INDEX(art_cost,MATCH(H1564,art_ref,0)))=0,"",N(INDEX(art_cost,MATCH(H1564,art_ref,0))))),""))</f>
        <v/>
      </c>
      <c r="V1564" s="64" t="str">
        <f>IF(OR(U1564="",NOT(ISNUMBER(L1564))),"",IF(L1564&lt;=0,"",ROUND(L1564*U1564,2)))</f>
        <v/>
      </c>
      <c r="W1564" s="60" t="str">
        <f>IF(AND(B1564&lt;&gt;"",A1564&lt;&gt;"BS",F1564&lt;&gt;"",H1564&lt;&gt;"",ISNUMBER(K1564),ISNUMBER(L1564)),IF(AND(K1564&gt;0,L1564&gt;0,K1564-L1564&gt;0,COUNTIFS(A1565:A$2005,A1564,F1565:F$2005,F1564,H1565:H$2005,H1564,AA1565:AA$2005,"&gt;0")=0),ROUND(K1564-L1564,6),""),"")</f>
        <v/>
      </c>
      <c r="X1564" s="60" t="str">
        <f>IF(AND(A1564="",C1564="",D1564="",H1564="",L1564=""),"",IF(A1564="","Type manquant",IF(AND(A1564&lt;&gt;"BL",A1564&lt;&gt;"BR",A1564&lt;&gt;"BS"),"Type inconnu (BL, BR ou BS)",IF(AG1564=0,"Date manquante ou invalide",IF(D1564="",IF(A1564="BL","Client manquant",IF(A1564="BR","Fournisseur manquant","Service manquant")),IF(IF(A1564="BL",ISNA(MATCH(D1564,cl_code,0)),IF(A1564="BR",ISNA(MATCH(D1564,fo_code,0)),ISNA(MATCH(D1564,p_services,0)))),IF(A1564="BL","Client inconnu",IF(A1564="BR","Fournisseur inconnu","Service inconnu")),IF(H1564="","Article manquant",IF(ISNA(MATCH(H1564,art_ref,0)),"Article inconnu",IF(OR(NOT(ISNUMBER(L1564)),N(L1564)&lt;=0),"Quantité invalide",IF(AND(K1564&lt;&gt;"",OR(NOT(ISNUMBER(K1564)),N(K1564)&lt;=0)),"Qté commandée invalide",IF(AG1564&lt;SUMPRODUCT(MAX((A$6:A1563=A1564)*AG$6:AG1563)),"Date antérieure au bon précédent",IF(AND(A1564&lt;&gt;"BR",ISNUMBER(M1564),N(M1564)&gt;0),IF(A1564="BL","Livré plus que commandé","Sorti plus que demandé"),"OK"))))))))))))</f>
        <v/>
      </c>
      <c r="Y1564" s="57" t="str">
        <f>IF(AND(OR(A1564="BL",A1564="BR",A1564="BS"),AG1564&gt;0,D1564&lt;&gt;""),A1564&amp;"|"&amp;AG1564&amp;"|"&amp;D1564&amp;"|"&amp;F1564,"")</f>
        <v/>
      </c>
      <c r="Z1564" s="57" t="str">
        <f>IF(Y1564="","",IF(COUNTIF(Y$6:Y1563,Y1564)=0,1,0))</f>
        <v/>
      </c>
      <c r="AA1564" s="57" t="str">
        <f>IF(Y1564="","",IF(Z1564=1,COUNTIFS(A$6:A1564,A1564,Z$6:Z1564,1),INDEX(AA$6:AA1563,MATCH(Y1564,Y$6:Y1563,0))))</f>
        <v/>
      </c>
      <c r="AB1564" s="57" t="str">
        <f>IF(B1564="","",COUNTIF(B$6:B1564,B1564))</f>
        <v/>
      </c>
      <c r="AC1564" s="57" t="str">
        <f>IF(B1564="","",B1564&amp;"#"&amp;AB1564)</f>
        <v/>
      </c>
      <c r="AD1564" s="57" t="str">
        <f>IF(Z1564=1,A1564&amp;AA1564,"")</f>
        <v/>
      </c>
      <c r="AE1564" s="57" t="str">
        <f>IF(B1564="","",YEAR(C1564))</f>
        <v/>
      </c>
      <c r="AF1564" s="57" t="str">
        <f>IF(B1564="","",MONTH(C1564))</f>
        <v/>
      </c>
      <c r="AG1564" s="57">
        <f>IF(ISNUMBER(C1564),C1564,0)</f>
        <v>0.0</v>
      </c>
      <c r="AH1564" s="57" t="str">
        <f>IF(N(W1564)&gt;0,COUNTIF(W$6:W1564,"&gt;0"),"")</f>
        <v/>
      </c>
      <c r="AI1564" s="57" t="str">
        <f>IF(Z1564=1,COUNTIF(Z$6:Z1564,1),"")</f>
        <v/>
      </c>
    </row>
    <row r="1565">
      <c r="A1565" s="54" t="n"/>
      <c r="B1565" s="55" t="str">
        <f>IF(AA1565="","",A1565&amp;"-"&amp;RIGHT("000"&amp;AA1565,4))</f>
        <v/>
      </c>
      <c r="C1565" s="56" t="n"/>
      <c r="D1565" s="54" t="n"/>
      <c r="E1565" s="57" t="str">
        <f>IF(D1565="","",IF(A1565="BL",IFERROR(INDEX(cl_name,MATCH(D1565,cl_code,0))&amp;"","Client inconnu"),IF(A1565="BR",IFERROR(INDEX(fo_name,MATCH(D1565,fo_code,0))&amp;"","Fournisseur inconnu"),IF(A1565="BS",IF(ISNA(MATCH(D1565,p_services,0)),"Service inconnu",D1565&amp;""),""))))</f>
        <v/>
      </c>
      <c r="F1565" s="58" t="n"/>
      <c r="G1565" s="58" t="n"/>
      <c r="H1565" s="59" t="n"/>
      <c r="I1565" s="57" t="str">
        <f>IF(H1565="","",IFERROR(INDEX(art_des,MATCH(H1565,art_ref,0))&amp;"","Article inconnu"))</f>
        <v/>
      </c>
      <c r="J1565" s="60" t="str">
        <f>IF(H1565="","",IFERROR(INDEX(art_unit,MATCH(H1565,art_ref,0))&amp;"",""))</f>
        <v/>
      </c>
      <c r="K1565" s="59" t="n"/>
      <c r="L1565" s="59" t="n"/>
      <c r="M1565" s="61" t="str">
        <f>IF(OR(B1565="",NOT(ISNUMBER(K1565)),NOT(ISNUMBER(L1565))),"",IF(OR(K1565&lt;=0,L1565&lt;=0),"",ROUND(L1565-K1565,6)))</f>
        <v/>
      </c>
      <c r="N1565" s="58" t="n"/>
      <c r="O1565" s="62" t="n"/>
      <c r="P1565" s="63" t="str">
        <f>IF(OR(B1565="",NOT(ISNUMBER(L1565))),"",IF(L1565&lt;=0,"",IFERROR(ROUND(L1565*N(INDEX(art_w,MATCH(H1565,art_ref,0))),3),"")))</f>
        <v/>
      </c>
      <c r="Q1565" s="59" t="n"/>
      <c r="R1565" s="54" t="n"/>
      <c r="S1565" s="59" t="n"/>
      <c r="T1565" s="59" t="n"/>
      <c r="U1565" s="64" t="str">
        <f>IF(OR(B1565="",H1565=""),"",IFERROR(IF(A1565="BL",IF(N(INDEX(art_price,MATCH(H1565,art_ref,0)))=0,"",N(INDEX(art_price,MATCH(H1565,art_ref,0)))),IF(N(INDEX(art_cost,MATCH(H1565,art_ref,0)))=0,"",N(INDEX(art_cost,MATCH(H1565,art_ref,0))))),""))</f>
        <v/>
      </c>
      <c r="V1565" s="64" t="str">
        <f>IF(OR(U1565="",NOT(ISNUMBER(L1565))),"",IF(L1565&lt;=0,"",ROUND(L1565*U1565,2)))</f>
        <v/>
      </c>
      <c r="W1565" s="60" t="str">
        <f>IF(AND(B1565&lt;&gt;"",A1565&lt;&gt;"BS",F1565&lt;&gt;"",H1565&lt;&gt;"",ISNUMBER(K1565),ISNUMBER(L1565)),IF(AND(K1565&gt;0,L1565&gt;0,K1565-L1565&gt;0,COUNTIFS(A1566:A$2005,A1565,F1566:F$2005,F1565,H1566:H$2005,H1565,AA1566:AA$2005,"&gt;0")=0),ROUND(K1565-L1565,6),""),"")</f>
        <v/>
      </c>
      <c r="X1565" s="60" t="str">
        <f>IF(AND(A1565="",C1565="",D1565="",H1565="",L1565=""),"",IF(A1565="","Type manquant",IF(AND(A1565&lt;&gt;"BL",A1565&lt;&gt;"BR",A1565&lt;&gt;"BS"),"Type inconnu (BL, BR ou BS)",IF(AG1565=0,"Date manquante ou invalide",IF(D1565="",IF(A1565="BL","Client manquant",IF(A1565="BR","Fournisseur manquant","Service manquant")),IF(IF(A1565="BL",ISNA(MATCH(D1565,cl_code,0)),IF(A1565="BR",ISNA(MATCH(D1565,fo_code,0)),ISNA(MATCH(D1565,p_services,0)))),IF(A1565="BL","Client inconnu",IF(A1565="BR","Fournisseur inconnu","Service inconnu")),IF(H1565="","Article manquant",IF(ISNA(MATCH(H1565,art_ref,0)),"Article inconnu",IF(OR(NOT(ISNUMBER(L1565)),N(L1565)&lt;=0),"Quantité invalide",IF(AND(K1565&lt;&gt;"",OR(NOT(ISNUMBER(K1565)),N(K1565)&lt;=0)),"Qté commandée invalide",IF(AG1565&lt;SUMPRODUCT(MAX((A$6:A1564=A1565)*AG$6:AG1564)),"Date antérieure au bon précédent",IF(AND(A1565&lt;&gt;"BR",ISNUMBER(M1565),N(M1565)&gt;0),IF(A1565="BL","Livré plus que commandé","Sorti plus que demandé"),"OK"))))))))))))</f>
        <v/>
      </c>
      <c r="Y1565" s="57" t="str">
        <f>IF(AND(OR(A1565="BL",A1565="BR",A1565="BS"),AG1565&gt;0,D1565&lt;&gt;""),A1565&amp;"|"&amp;AG1565&amp;"|"&amp;D1565&amp;"|"&amp;F1565,"")</f>
        <v/>
      </c>
      <c r="Z1565" s="57" t="str">
        <f>IF(Y1565="","",IF(COUNTIF(Y$6:Y1564,Y1565)=0,1,0))</f>
        <v/>
      </c>
      <c r="AA1565" s="57" t="str">
        <f>IF(Y1565="","",IF(Z1565=1,COUNTIFS(A$6:A1565,A1565,Z$6:Z1565,1),INDEX(AA$6:AA1564,MATCH(Y1565,Y$6:Y1564,0))))</f>
        <v/>
      </c>
      <c r="AB1565" s="57" t="str">
        <f>IF(B1565="","",COUNTIF(B$6:B1565,B1565))</f>
        <v/>
      </c>
      <c r="AC1565" s="57" t="str">
        <f>IF(B1565="","",B1565&amp;"#"&amp;AB1565)</f>
        <v/>
      </c>
      <c r="AD1565" s="57" t="str">
        <f>IF(Z1565=1,A1565&amp;AA1565,"")</f>
        <v/>
      </c>
      <c r="AE1565" s="57" t="str">
        <f>IF(B1565="","",YEAR(C1565))</f>
        <v/>
      </c>
      <c r="AF1565" s="57" t="str">
        <f>IF(B1565="","",MONTH(C1565))</f>
        <v/>
      </c>
      <c r="AG1565" s="57">
        <f>IF(ISNUMBER(C1565),C1565,0)</f>
        <v>0.0</v>
      </c>
      <c r="AH1565" s="57" t="str">
        <f>IF(N(W1565)&gt;0,COUNTIF(W$6:W1565,"&gt;0"),"")</f>
        <v/>
      </c>
      <c r="AI1565" s="57" t="str">
        <f>IF(Z1565=1,COUNTIF(Z$6:Z1565,1),"")</f>
        <v/>
      </c>
    </row>
    <row r="1566">
      <c r="A1566" s="54" t="n"/>
      <c r="B1566" s="55" t="str">
        <f>IF(AA1566="","",A1566&amp;"-"&amp;RIGHT("000"&amp;AA1566,4))</f>
        <v/>
      </c>
      <c r="C1566" s="56" t="n"/>
      <c r="D1566" s="54" t="n"/>
      <c r="E1566" s="57" t="str">
        <f>IF(D1566="","",IF(A1566="BL",IFERROR(INDEX(cl_name,MATCH(D1566,cl_code,0))&amp;"","Client inconnu"),IF(A1566="BR",IFERROR(INDEX(fo_name,MATCH(D1566,fo_code,0))&amp;"","Fournisseur inconnu"),IF(A1566="BS",IF(ISNA(MATCH(D1566,p_services,0)),"Service inconnu",D1566&amp;""),""))))</f>
        <v/>
      </c>
      <c r="F1566" s="58" t="n"/>
      <c r="G1566" s="58" t="n"/>
      <c r="H1566" s="59" t="n"/>
      <c r="I1566" s="57" t="str">
        <f>IF(H1566="","",IFERROR(INDEX(art_des,MATCH(H1566,art_ref,0))&amp;"","Article inconnu"))</f>
        <v/>
      </c>
      <c r="J1566" s="60" t="str">
        <f>IF(H1566="","",IFERROR(INDEX(art_unit,MATCH(H1566,art_ref,0))&amp;"",""))</f>
        <v/>
      </c>
      <c r="K1566" s="59" t="n"/>
      <c r="L1566" s="59" t="n"/>
      <c r="M1566" s="61" t="str">
        <f>IF(OR(B1566="",NOT(ISNUMBER(K1566)),NOT(ISNUMBER(L1566))),"",IF(OR(K1566&lt;=0,L1566&lt;=0),"",ROUND(L1566-K1566,6)))</f>
        <v/>
      </c>
      <c r="N1566" s="58" t="n"/>
      <c r="O1566" s="62" t="n"/>
      <c r="P1566" s="63" t="str">
        <f>IF(OR(B1566="",NOT(ISNUMBER(L1566))),"",IF(L1566&lt;=0,"",IFERROR(ROUND(L1566*N(INDEX(art_w,MATCH(H1566,art_ref,0))),3),"")))</f>
        <v/>
      </c>
      <c r="Q1566" s="59" t="n"/>
      <c r="R1566" s="54" t="n"/>
      <c r="S1566" s="59" t="n"/>
      <c r="T1566" s="59" t="n"/>
      <c r="U1566" s="64" t="str">
        <f>IF(OR(B1566="",H1566=""),"",IFERROR(IF(A1566="BL",IF(N(INDEX(art_price,MATCH(H1566,art_ref,0)))=0,"",N(INDEX(art_price,MATCH(H1566,art_ref,0)))),IF(N(INDEX(art_cost,MATCH(H1566,art_ref,0)))=0,"",N(INDEX(art_cost,MATCH(H1566,art_ref,0))))),""))</f>
        <v/>
      </c>
      <c r="V1566" s="64" t="str">
        <f>IF(OR(U1566="",NOT(ISNUMBER(L1566))),"",IF(L1566&lt;=0,"",ROUND(L1566*U1566,2)))</f>
        <v/>
      </c>
      <c r="W1566" s="60" t="str">
        <f>IF(AND(B1566&lt;&gt;"",A1566&lt;&gt;"BS",F1566&lt;&gt;"",H1566&lt;&gt;"",ISNUMBER(K1566),ISNUMBER(L1566)),IF(AND(K1566&gt;0,L1566&gt;0,K1566-L1566&gt;0,COUNTIFS(A1567:A$2005,A1566,F1567:F$2005,F1566,H1567:H$2005,H1566,AA1567:AA$2005,"&gt;0")=0),ROUND(K1566-L1566,6),""),"")</f>
        <v/>
      </c>
      <c r="X1566" s="60" t="str">
        <f>IF(AND(A1566="",C1566="",D1566="",H1566="",L1566=""),"",IF(A1566="","Type manquant",IF(AND(A1566&lt;&gt;"BL",A1566&lt;&gt;"BR",A1566&lt;&gt;"BS"),"Type inconnu (BL, BR ou BS)",IF(AG1566=0,"Date manquante ou invalide",IF(D1566="",IF(A1566="BL","Client manquant",IF(A1566="BR","Fournisseur manquant","Service manquant")),IF(IF(A1566="BL",ISNA(MATCH(D1566,cl_code,0)),IF(A1566="BR",ISNA(MATCH(D1566,fo_code,0)),ISNA(MATCH(D1566,p_services,0)))),IF(A1566="BL","Client inconnu",IF(A1566="BR","Fournisseur inconnu","Service inconnu")),IF(H1566="","Article manquant",IF(ISNA(MATCH(H1566,art_ref,0)),"Article inconnu",IF(OR(NOT(ISNUMBER(L1566)),N(L1566)&lt;=0),"Quantité invalide",IF(AND(K1566&lt;&gt;"",OR(NOT(ISNUMBER(K1566)),N(K1566)&lt;=0)),"Qté commandée invalide",IF(AG1566&lt;SUMPRODUCT(MAX((A$6:A1565=A1566)*AG$6:AG1565)),"Date antérieure au bon précédent",IF(AND(A1566&lt;&gt;"BR",ISNUMBER(M1566),N(M1566)&gt;0),IF(A1566="BL","Livré plus que commandé","Sorti plus que demandé"),"OK"))))))))))))</f>
        <v/>
      </c>
      <c r="Y1566" s="57" t="str">
        <f>IF(AND(OR(A1566="BL",A1566="BR",A1566="BS"),AG1566&gt;0,D1566&lt;&gt;""),A1566&amp;"|"&amp;AG1566&amp;"|"&amp;D1566&amp;"|"&amp;F1566,"")</f>
        <v/>
      </c>
      <c r="Z1566" s="57" t="str">
        <f>IF(Y1566="","",IF(COUNTIF(Y$6:Y1565,Y1566)=0,1,0))</f>
        <v/>
      </c>
      <c r="AA1566" s="57" t="str">
        <f>IF(Y1566="","",IF(Z1566=1,COUNTIFS(A$6:A1566,A1566,Z$6:Z1566,1),INDEX(AA$6:AA1565,MATCH(Y1566,Y$6:Y1565,0))))</f>
        <v/>
      </c>
      <c r="AB1566" s="57" t="str">
        <f>IF(B1566="","",COUNTIF(B$6:B1566,B1566))</f>
        <v/>
      </c>
      <c r="AC1566" s="57" t="str">
        <f>IF(B1566="","",B1566&amp;"#"&amp;AB1566)</f>
        <v/>
      </c>
      <c r="AD1566" s="57" t="str">
        <f>IF(Z1566=1,A1566&amp;AA1566,"")</f>
        <v/>
      </c>
      <c r="AE1566" s="57" t="str">
        <f>IF(B1566="","",YEAR(C1566))</f>
        <v/>
      </c>
      <c r="AF1566" s="57" t="str">
        <f>IF(B1566="","",MONTH(C1566))</f>
        <v/>
      </c>
      <c r="AG1566" s="57">
        <f>IF(ISNUMBER(C1566),C1566,0)</f>
        <v>0.0</v>
      </c>
      <c r="AH1566" s="57" t="str">
        <f>IF(N(W1566)&gt;0,COUNTIF(W$6:W1566,"&gt;0"),"")</f>
        <v/>
      </c>
      <c r="AI1566" s="57" t="str">
        <f>IF(Z1566=1,COUNTIF(Z$6:Z1566,1),"")</f>
        <v/>
      </c>
    </row>
    <row r="1567">
      <c r="A1567" s="54" t="n"/>
      <c r="B1567" s="55" t="str">
        <f>IF(AA1567="","",A1567&amp;"-"&amp;RIGHT("000"&amp;AA1567,4))</f>
        <v/>
      </c>
      <c r="C1567" s="56" t="n"/>
      <c r="D1567" s="54" t="n"/>
      <c r="E1567" s="57" t="str">
        <f>IF(D1567="","",IF(A1567="BL",IFERROR(INDEX(cl_name,MATCH(D1567,cl_code,0))&amp;"","Client inconnu"),IF(A1567="BR",IFERROR(INDEX(fo_name,MATCH(D1567,fo_code,0))&amp;"","Fournisseur inconnu"),IF(A1567="BS",IF(ISNA(MATCH(D1567,p_services,0)),"Service inconnu",D1567&amp;""),""))))</f>
        <v/>
      </c>
      <c r="F1567" s="58" t="n"/>
      <c r="G1567" s="58" t="n"/>
      <c r="H1567" s="59" t="n"/>
      <c r="I1567" s="57" t="str">
        <f>IF(H1567="","",IFERROR(INDEX(art_des,MATCH(H1567,art_ref,0))&amp;"","Article inconnu"))</f>
        <v/>
      </c>
      <c r="J1567" s="60" t="str">
        <f>IF(H1567="","",IFERROR(INDEX(art_unit,MATCH(H1567,art_ref,0))&amp;"",""))</f>
        <v/>
      </c>
      <c r="K1567" s="59" t="n"/>
      <c r="L1567" s="59" t="n"/>
      <c r="M1567" s="61" t="str">
        <f>IF(OR(B1567="",NOT(ISNUMBER(K1567)),NOT(ISNUMBER(L1567))),"",IF(OR(K1567&lt;=0,L1567&lt;=0),"",ROUND(L1567-K1567,6)))</f>
        <v/>
      </c>
      <c r="N1567" s="58" t="n"/>
      <c r="O1567" s="62" t="n"/>
      <c r="P1567" s="63" t="str">
        <f>IF(OR(B1567="",NOT(ISNUMBER(L1567))),"",IF(L1567&lt;=0,"",IFERROR(ROUND(L1567*N(INDEX(art_w,MATCH(H1567,art_ref,0))),3),"")))</f>
        <v/>
      </c>
      <c r="Q1567" s="59" t="n"/>
      <c r="R1567" s="54" t="n"/>
      <c r="S1567" s="59" t="n"/>
      <c r="T1567" s="59" t="n"/>
      <c r="U1567" s="64" t="str">
        <f>IF(OR(B1567="",H1567=""),"",IFERROR(IF(A1567="BL",IF(N(INDEX(art_price,MATCH(H1567,art_ref,0)))=0,"",N(INDEX(art_price,MATCH(H1567,art_ref,0)))),IF(N(INDEX(art_cost,MATCH(H1567,art_ref,0)))=0,"",N(INDEX(art_cost,MATCH(H1567,art_ref,0))))),""))</f>
        <v/>
      </c>
      <c r="V1567" s="64" t="str">
        <f>IF(OR(U1567="",NOT(ISNUMBER(L1567))),"",IF(L1567&lt;=0,"",ROUND(L1567*U1567,2)))</f>
        <v/>
      </c>
      <c r="W1567" s="60" t="str">
        <f>IF(AND(B1567&lt;&gt;"",A1567&lt;&gt;"BS",F1567&lt;&gt;"",H1567&lt;&gt;"",ISNUMBER(K1567),ISNUMBER(L1567)),IF(AND(K1567&gt;0,L1567&gt;0,K1567-L1567&gt;0,COUNTIFS(A1568:A$2005,A1567,F1568:F$2005,F1567,H1568:H$2005,H1567,AA1568:AA$2005,"&gt;0")=0),ROUND(K1567-L1567,6),""),"")</f>
        <v/>
      </c>
      <c r="X1567" s="60" t="str">
        <f>IF(AND(A1567="",C1567="",D1567="",H1567="",L1567=""),"",IF(A1567="","Type manquant",IF(AND(A1567&lt;&gt;"BL",A1567&lt;&gt;"BR",A1567&lt;&gt;"BS"),"Type inconnu (BL, BR ou BS)",IF(AG1567=0,"Date manquante ou invalide",IF(D1567="",IF(A1567="BL","Client manquant",IF(A1567="BR","Fournisseur manquant","Service manquant")),IF(IF(A1567="BL",ISNA(MATCH(D1567,cl_code,0)),IF(A1567="BR",ISNA(MATCH(D1567,fo_code,0)),ISNA(MATCH(D1567,p_services,0)))),IF(A1567="BL","Client inconnu",IF(A1567="BR","Fournisseur inconnu","Service inconnu")),IF(H1567="","Article manquant",IF(ISNA(MATCH(H1567,art_ref,0)),"Article inconnu",IF(OR(NOT(ISNUMBER(L1567)),N(L1567)&lt;=0),"Quantité invalide",IF(AND(K1567&lt;&gt;"",OR(NOT(ISNUMBER(K1567)),N(K1567)&lt;=0)),"Qté commandée invalide",IF(AG1567&lt;SUMPRODUCT(MAX((A$6:A1566=A1567)*AG$6:AG1566)),"Date antérieure au bon précédent",IF(AND(A1567&lt;&gt;"BR",ISNUMBER(M1567),N(M1567)&gt;0),IF(A1567="BL","Livré plus que commandé","Sorti plus que demandé"),"OK"))))))))))))</f>
        <v/>
      </c>
      <c r="Y1567" s="57" t="str">
        <f>IF(AND(OR(A1567="BL",A1567="BR",A1567="BS"),AG1567&gt;0,D1567&lt;&gt;""),A1567&amp;"|"&amp;AG1567&amp;"|"&amp;D1567&amp;"|"&amp;F1567,"")</f>
        <v/>
      </c>
      <c r="Z1567" s="57" t="str">
        <f>IF(Y1567="","",IF(COUNTIF(Y$6:Y1566,Y1567)=0,1,0))</f>
        <v/>
      </c>
      <c r="AA1567" s="57" t="str">
        <f>IF(Y1567="","",IF(Z1567=1,COUNTIFS(A$6:A1567,A1567,Z$6:Z1567,1),INDEX(AA$6:AA1566,MATCH(Y1567,Y$6:Y1566,0))))</f>
        <v/>
      </c>
      <c r="AB1567" s="57" t="str">
        <f>IF(B1567="","",COUNTIF(B$6:B1567,B1567))</f>
        <v/>
      </c>
      <c r="AC1567" s="57" t="str">
        <f>IF(B1567="","",B1567&amp;"#"&amp;AB1567)</f>
        <v/>
      </c>
      <c r="AD1567" s="57" t="str">
        <f>IF(Z1567=1,A1567&amp;AA1567,"")</f>
        <v/>
      </c>
      <c r="AE1567" s="57" t="str">
        <f>IF(B1567="","",YEAR(C1567))</f>
        <v/>
      </c>
      <c r="AF1567" s="57" t="str">
        <f>IF(B1567="","",MONTH(C1567))</f>
        <v/>
      </c>
      <c r="AG1567" s="57">
        <f>IF(ISNUMBER(C1567),C1567,0)</f>
        <v>0.0</v>
      </c>
      <c r="AH1567" s="57" t="str">
        <f>IF(N(W1567)&gt;0,COUNTIF(W$6:W1567,"&gt;0"),"")</f>
        <v/>
      </c>
      <c r="AI1567" s="57" t="str">
        <f>IF(Z1567=1,COUNTIF(Z$6:Z1567,1),"")</f>
        <v/>
      </c>
    </row>
    <row r="1568">
      <c r="A1568" s="54" t="n"/>
      <c r="B1568" s="55" t="str">
        <f>IF(AA1568="","",A1568&amp;"-"&amp;RIGHT("000"&amp;AA1568,4))</f>
        <v/>
      </c>
      <c r="C1568" s="56" t="n"/>
      <c r="D1568" s="54" t="n"/>
      <c r="E1568" s="57" t="str">
        <f>IF(D1568="","",IF(A1568="BL",IFERROR(INDEX(cl_name,MATCH(D1568,cl_code,0))&amp;"","Client inconnu"),IF(A1568="BR",IFERROR(INDEX(fo_name,MATCH(D1568,fo_code,0))&amp;"","Fournisseur inconnu"),IF(A1568="BS",IF(ISNA(MATCH(D1568,p_services,0)),"Service inconnu",D1568&amp;""),""))))</f>
        <v/>
      </c>
      <c r="F1568" s="58" t="n"/>
      <c r="G1568" s="58" t="n"/>
      <c r="H1568" s="59" t="n"/>
      <c r="I1568" s="57" t="str">
        <f>IF(H1568="","",IFERROR(INDEX(art_des,MATCH(H1568,art_ref,0))&amp;"","Article inconnu"))</f>
        <v/>
      </c>
      <c r="J1568" s="60" t="str">
        <f>IF(H1568="","",IFERROR(INDEX(art_unit,MATCH(H1568,art_ref,0))&amp;"",""))</f>
        <v/>
      </c>
      <c r="K1568" s="59" t="n"/>
      <c r="L1568" s="59" t="n"/>
      <c r="M1568" s="61" t="str">
        <f>IF(OR(B1568="",NOT(ISNUMBER(K1568)),NOT(ISNUMBER(L1568))),"",IF(OR(K1568&lt;=0,L1568&lt;=0),"",ROUND(L1568-K1568,6)))</f>
        <v/>
      </c>
      <c r="N1568" s="58" t="n"/>
      <c r="O1568" s="62" t="n"/>
      <c r="P1568" s="63" t="str">
        <f>IF(OR(B1568="",NOT(ISNUMBER(L1568))),"",IF(L1568&lt;=0,"",IFERROR(ROUND(L1568*N(INDEX(art_w,MATCH(H1568,art_ref,0))),3),"")))</f>
        <v/>
      </c>
      <c r="Q1568" s="59" t="n"/>
      <c r="R1568" s="54" t="n"/>
      <c r="S1568" s="59" t="n"/>
      <c r="T1568" s="59" t="n"/>
      <c r="U1568" s="64" t="str">
        <f>IF(OR(B1568="",H1568=""),"",IFERROR(IF(A1568="BL",IF(N(INDEX(art_price,MATCH(H1568,art_ref,0)))=0,"",N(INDEX(art_price,MATCH(H1568,art_ref,0)))),IF(N(INDEX(art_cost,MATCH(H1568,art_ref,0)))=0,"",N(INDEX(art_cost,MATCH(H1568,art_ref,0))))),""))</f>
        <v/>
      </c>
      <c r="V1568" s="64" t="str">
        <f>IF(OR(U1568="",NOT(ISNUMBER(L1568))),"",IF(L1568&lt;=0,"",ROUND(L1568*U1568,2)))</f>
        <v/>
      </c>
      <c r="W1568" s="60" t="str">
        <f>IF(AND(B1568&lt;&gt;"",A1568&lt;&gt;"BS",F1568&lt;&gt;"",H1568&lt;&gt;"",ISNUMBER(K1568),ISNUMBER(L1568)),IF(AND(K1568&gt;0,L1568&gt;0,K1568-L1568&gt;0,COUNTIFS(A1569:A$2005,A1568,F1569:F$2005,F1568,H1569:H$2005,H1568,AA1569:AA$2005,"&gt;0")=0),ROUND(K1568-L1568,6),""),"")</f>
        <v/>
      </c>
      <c r="X1568" s="60" t="str">
        <f>IF(AND(A1568="",C1568="",D1568="",H1568="",L1568=""),"",IF(A1568="","Type manquant",IF(AND(A1568&lt;&gt;"BL",A1568&lt;&gt;"BR",A1568&lt;&gt;"BS"),"Type inconnu (BL, BR ou BS)",IF(AG1568=0,"Date manquante ou invalide",IF(D1568="",IF(A1568="BL","Client manquant",IF(A1568="BR","Fournisseur manquant","Service manquant")),IF(IF(A1568="BL",ISNA(MATCH(D1568,cl_code,0)),IF(A1568="BR",ISNA(MATCH(D1568,fo_code,0)),ISNA(MATCH(D1568,p_services,0)))),IF(A1568="BL","Client inconnu",IF(A1568="BR","Fournisseur inconnu","Service inconnu")),IF(H1568="","Article manquant",IF(ISNA(MATCH(H1568,art_ref,0)),"Article inconnu",IF(OR(NOT(ISNUMBER(L1568)),N(L1568)&lt;=0),"Quantité invalide",IF(AND(K1568&lt;&gt;"",OR(NOT(ISNUMBER(K1568)),N(K1568)&lt;=0)),"Qté commandée invalide",IF(AG1568&lt;SUMPRODUCT(MAX((A$6:A1567=A1568)*AG$6:AG1567)),"Date antérieure au bon précédent",IF(AND(A1568&lt;&gt;"BR",ISNUMBER(M1568),N(M1568)&gt;0),IF(A1568="BL","Livré plus que commandé","Sorti plus que demandé"),"OK"))))))))))))</f>
        <v/>
      </c>
      <c r="Y1568" s="57" t="str">
        <f>IF(AND(OR(A1568="BL",A1568="BR",A1568="BS"),AG1568&gt;0,D1568&lt;&gt;""),A1568&amp;"|"&amp;AG1568&amp;"|"&amp;D1568&amp;"|"&amp;F1568,"")</f>
        <v/>
      </c>
      <c r="Z1568" s="57" t="str">
        <f>IF(Y1568="","",IF(COUNTIF(Y$6:Y1567,Y1568)=0,1,0))</f>
        <v/>
      </c>
      <c r="AA1568" s="57" t="str">
        <f>IF(Y1568="","",IF(Z1568=1,COUNTIFS(A$6:A1568,A1568,Z$6:Z1568,1),INDEX(AA$6:AA1567,MATCH(Y1568,Y$6:Y1567,0))))</f>
        <v/>
      </c>
      <c r="AB1568" s="57" t="str">
        <f>IF(B1568="","",COUNTIF(B$6:B1568,B1568))</f>
        <v/>
      </c>
      <c r="AC1568" s="57" t="str">
        <f>IF(B1568="","",B1568&amp;"#"&amp;AB1568)</f>
        <v/>
      </c>
      <c r="AD1568" s="57" t="str">
        <f>IF(Z1568=1,A1568&amp;AA1568,"")</f>
        <v/>
      </c>
      <c r="AE1568" s="57" t="str">
        <f>IF(B1568="","",YEAR(C1568))</f>
        <v/>
      </c>
      <c r="AF1568" s="57" t="str">
        <f>IF(B1568="","",MONTH(C1568))</f>
        <v/>
      </c>
      <c r="AG1568" s="57">
        <f>IF(ISNUMBER(C1568),C1568,0)</f>
        <v>0.0</v>
      </c>
      <c r="AH1568" s="57" t="str">
        <f>IF(N(W1568)&gt;0,COUNTIF(W$6:W1568,"&gt;0"),"")</f>
        <v/>
      </c>
      <c r="AI1568" s="57" t="str">
        <f>IF(Z1568=1,COUNTIF(Z$6:Z1568,1),"")</f>
        <v/>
      </c>
    </row>
    <row r="1569">
      <c r="A1569" s="54" t="n"/>
      <c r="B1569" s="55" t="str">
        <f>IF(AA1569="","",A1569&amp;"-"&amp;RIGHT("000"&amp;AA1569,4))</f>
        <v/>
      </c>
      <c r="C1569" s="56" t="n"/>
      <c r="D1569" s="54" t="n"/>
      <c r="E1569" s="57" t="str">
        <f>IF(D1569="","",IF(A1569="BL",IFERROR(INDEX(cl_name,MATCH(D1569,cl_code,0))&amp;"","Client inconnu"),IF(A1569="BR",IFERROR(INDEX(fo_name,MATCH(D1569,fo_code,0))&amp;"","Fournisseur inconnu"),IF(A1569="BS",IF(ISNA(MATCH(D1569,p_services,0)),"Service inconnu",D1569&amp;""),""))))</f>
        <v/>
      </c>
      <c r="F1569" s="58" t="n"/>
      <c r="G1569" s="58" t="n"/>
      <c r="H1569" s="59" t="n"/>
      <c r="I1569" s="57" t="str">
        <f>IF(H1569="","",IFERROR(INDEX(art_des,MATCH(H1569,art_ref,0))&amp;"","Article inconnu"))</f>
        <v/>
      </c>
      <c r="J1569" s="60" t="str">
        <f>IF(H1569="","",IFERROR(INDEX(art_unit,MATCH(H1569,art_ref,0))&amp;"",""))</f>
        <v/>
      </c>
      <c r="K1569" s="59" t="n"/>
      <c r="L1569" s="59" t="n"/>
      <c r="M1569" s="61" t="str">
        <f>IF(OR(B1569="",NOT(ISNUMBER(K1569)),NOT(ISNUMBER(L1569))),"",IF(OR(K1569&lt;=0,L1569&lt;=0),"",ROUND(L1569-K1569,6)))</f>
        <v/>
      </c>
      <c r="N1569" s="58" t="n"/>
      <c r="O1569" s="62" t="n"/>
      <c r="P1569" s="63" t="str">
        <f>IF(OR(B1569="",NOT(ISNUMBER(L1569))),"",IF(L1569&lt;=0,"",IFERROR(ROUND(L1569*N(INDEX(art_w,MATCH(H1569,art_ref,0))),3),"")))</f>
        <v/>
      </c>
      <c r="Q1569" s="59" t="n"/>
      <c r="R1569" s="54" t="n"/>
      <c r="S1569" s="59" t="n"/>
      <c r="T1569" s="59" t="n"/>
      <c r="U1569" s="64" t="str">
        <f>IF(OR(B1569="",H1569=""),"",IFERROR(IF(A1569="BL",IF(N(INDEX(art_price,MATCH(H1569,art_ref,0)))=0,"",N(INDEX(art_price,MATCH(H1569,art_ref,0)))),IF(N(INDEX(art_cost,MATCH(H1569,art_ref,0)))=0,"",N(INDEX(art_cost,MATCH(H1569,art_ref,0))))),""))</f>
        <v/>
      </c>
      <c r="V1569" s="64" t="str">
        <f>IF(OR(U1569="",NOT(ISNUMBER(L1569))),"",IF(L1569&lt;=0,"",ROUND(L1569*U1569,2)))</f>
        <v/>
      </c>
      <c r="W1569" s="60" t="str">
        <f>IF(AND(B1569&lt;&gt;"",A1569&lt;&gt;"BS",F1569&lt;&gt;"",H1569&lt;&gt;"",ISNUMBER(K1569),ISNUMBER(L1569)),IF(AND(K1569&gt;0,L1569&gt;0,K1569-L1569&gt;0,COUNTIFS(A1570:A$2005,A1569,F1570:F$2005,F1569,H1570:H$2005,H1569,AA1570:AA$2005,"&gt;0")=0),ROUND(K1569-L1569,6),""),"")</f>
        <v/>
      </c>
      <c r="X1569" s="60" t="str">
        <f>IF(AND(A1569="",C1569="",D1569="",H1569="",L1569=""),"",IF(A1569="","Type manquant",IF(AND(A1569&lt;&gt;"BL",A1569&lt;&gt;"BR",A1569&lt;&gt;"BS"),"Type inconnu (BL, BR ou BS)",IF(AG1569=0,"Date manquante ou invalide",IF(D1569="",IF(A1569="BL","Client manquant",IF(A1569="BR","Fournisseur manquant","Service manquant")),IF(IF(A1569="BL",ISNA(MATCH(D1569,cl_code,0)),IF(A1569="BR",ISNA(MATCH(D1569,fo_code,0)),ISNA(MATCH(D1569,p_services,0)))),IF(A1569="BL","Client inconnu",IF(A1569="BR","Fournisseur inconnu","Service inconnu")),IF(H1569="","Article manquant",IF(ISNA(MATCH(H1569,art_ref,0)),"Article inconnu",IF(OR(NOT(ISNUMBER(L1569)),N(L1569)&lt;=0),"Quantité invalide",IF(AND(K1569&lt;&gt;"",OR(NOT(ISNUMBER(K1569)),N(K1569)&lt;=0)),"Qté commandée invalide",IF(AG1569&lt;SUMPRODUCT(MAX((A$6:A1568=A1569)*AG$6:AG1568)),"Date antérieure au bon précédent",IF(AND(A1569&lt;&gt;"BR",ISNUMBER(M1569),N(M1569)&gt;0),IF(A1569="BL","Livré plus que commandé","Sorti plus que demandé"),"OK"))))))))))))</f>
        <v/>
      </c>
      <c r="Y1569" s="57" t="str">
        <f>IF(AND(OR(A1569="BL",A1569="BR",A1569="BS"),AG1569&gt;0,D1569&lt;&gt;""),A1569&amp;"|"&amp;AG1569&amp;"|"&amp;D1569&amp;"|"&amp;F1569,"")</f>
        <v/>
      </c>
      <c r="Z1569" s="57" t="str">
        <f>IF(Y1569="","",IF(COUNTIF(Y$6:Y1568,Y1569)=0,1,0))</f>
        <v/>
      </c>
      <c r="AA1569" s="57" t="str">
        <f>IF(Y1569="","",IF(Z1569=1,COUNTIFS(A$6:A1569,A1569,Z$6:Z1569,1),INDEX(AA$6:AA1568,MATCH(Y1569,Y$6:Y1568,0))))</f>
        <v/>
      </c>
      <c r="AB1569" s="57" t="str">
        <f>IF(B1569="","",COUNTIF(B$6:B1569,B1569))</f>
        <v/>
      </c>
      <c r="AC1569" s="57" t="str">
        <f>IF(B1569="","",B1569&amp;"#"&amp;AB1569)</f>
        <v/>
      </c>
      <c r="AD1569" s="57" t="str">
        <f>IF(Z1569=1,A1569&amp;AA1569,"")</f>
        <v/>
      </c>
      <c r="AE1569" s="57" t="str">
        <f>IF(B1569="","",YEAR(C1569))</f>
        <v/>
      </c>
      <c r="AF1569" s="57" t="str">
        <f>IF(B1569="","",MONTH(C1569))</f>
        <v/>
      </c>
      <c r="AG1569" s="57">
        <f>IF(ISNUMBER(C1569),C1569,0)</f>
        <v>0.0</v>
      </c>
      <c r="AH1569" s="57" t="str">
        <f>IF(N(W1569)&gt;0,COUNTIF(W$6:W1569,"&gt;0"),"")</f>
        <v/>
      </c>
      <c r="AI1569" s="57" t="str">
        <f>IF(Z1569=1,COUNTIF(Z$6:Z1569,1),"")</f>
        <v/>
      </c>
    </row>
    <row r="1570">
      <c r="A1570" s="54" t="n"/>
      <c r="B1570" s="55" t="str">
        <f>IF(AA1570="","",A1570&amp;"-"&amp;RIGHT("000"&amp;AA1570,4))</f>
        <v/>
      </c>
      <c r="C1570" s="56" t="n"/>
      <c r="D1570" s="54" t="n"/>
      <c r="E1570" s="57" t="str">
        <f>IF(D1570="","",IF(A1570="BL",IFERROR(INDEX(cl_name,MATCH(D1570,cl_code,0))&amp;"","Client inconnu"),IF(A1570="BR",IFERROR(INDEX(fo_name,MATCH(D1570,fo_code,0))&amp;"","Fournisseur inconnu"),IF(A1570="BS",IF(ISNA(MATCH(D1570,p_services,0)),"Service inconnu",D1570&amp;""),""))))</f>
        <v/>
      </c>
      <c r="F1570" s="58" t="n"/>
      <c r="G1570" s="58" t="n"/>
      <c r="H1570" s="59" t="n"/>
      <c r="I1570" s="57" t="str">
        <f>IF(H1570="","",IFERROR(INDEX(art_des,MATCH(H1570,art_ref,0))&amp;"","Article inconnu"))</f>
        <v/>
      </c>
      <c r="J1570" s="60" t="str">
        <f>IF(H1570="","",IFERROR(INDEX(art_unit,MATCH(H1570,art_ref,0))&amp;"",""))</f>
        <v/>
      </c>
      <c r="K1570" s="59" t="n"/>
      <c r="L1570" s="59" t="n"/>
      <c r="M1570" s="61" t="str">
        <f>IF(OR(B1570="",NOT(ISNUMBER(K1570)),NOT(ISNUMBER(L1570))),"",IF(OR(K1570&lt;=0,L1570&lt;=0),"",ROUND(L1570-K1570,6)))</f>
        <v/>
      </c>
      <c r="N1570" s="58" t="n"/>
      <c r="O1570" s="62" t="n"/>
      <c r="P1570" s="63" t="str">
        <f>IF(OR(B1570="",NOT(ISNUMBER(L1570))),"",IF(L1570&lt;=0,"",IFERROR(ROUND(L1570*N(INDEX(art_w,MATCH(H1570,art_ref,0))),3),"")))</f>
        <v/>
      </c>
      <c r="Q1570" s="59" t="n"/>
      <c r="R1570" s="54" t="n"/>
      <c r="S1570" s="59" t="n"/>
      <c r="T1570" s="59" t="n"/>
      <c r="U1570" s="64" t="str">
        <f>IF(OR(B1570="",H1570=""),"",IFERROR(IF(A1570="BL",IF(N(INDEX(art_price,MATCH(H1570,art_ref,0)))=0,"",N(INDEX(art_price,MATCH(H1570,art_ref,0)))),IF(N(INDEX(art_cost,MATCH(H1570,art_ref,0)))=0,"",N(INDEX(art_cost,MATCH(H1570,art_ref,0))))),""))</f>
        <v/>
      </c>
      <c r="V1570" s="64" t="str">
        <f>IF(OR(U1570="",NOT(ISNUMBER(L1570))),"",IF(L1570&lt;=0,"",ROUND(L1570*U1570,2)))</f>
        <v/>
      </c>
      <c r="W1570" s="60" t="str">
        <f>IF(AND(B1570&lt;&gt;"",A1570&lt;&gt;"BS",F1570&lt;&gt;"",H1570&lt;&gt;"",ISNUMBER(K1570),ISNUMBER(L1570)),IF(AND(K1570&gt;0,L1570&gt;0,K1570-L1570&gt;0,COUNTIFS(A1571:A$2005,A1570,F1571:F$2005,F1570,H1571:H$2005,H1570,AA1571:AA$2005,"&gt;0")=0),ROUND(K1570-L1570,6),""),"")</f>
        <v/>
      </c>
      <c r="X1570" s="60" t="str">
        <f>IF(AND(A1570="",C1570="",D1570="",H1570="",L1570=""),"",IF(A1570="","Type manquant",IF(AND(A1570&lt;&gt;"BL",A1570&lt;&gt;"BR",A1570&lt;&gt;"BS"),"Type inconnu (BL, BR ou BS)",IF(AG1570=0,"Date manquante ou invalide",IF(D1570="",IF(A1570="BL","Client manquant",IF(A1570="BR","Fournisseur manquant","Service manquant")),IF(IF(A1570="BL",ISNA(MATCH(D1570,cl_code,0)),IF(A1570="BR",ISNA(MATCH(D1570,fo_code,0)),ISNA(MATCH(D1570,p_services,0)))),IF(A1570="BL","Client inconnu",IF(A1570="BR","Fournisseur inconnu","Service inconnu")),IF(H1570="","Article manquant",IF(ISNA(MATCH(H1570,art_ref,0)),"Article inconnu",IF(OR(NOT(ISNUMBER(L1570)),N(L1570)&lt;=0),"Quantité invalide",IF(AND(K1570&lt;&gt;"",OR(NOT(ISNUMBER(K1570)),N(K1570)&lt;=0)),"Qté commandée invalide",IF(AG1570&lt;SUMPRODUCT(MAX((A$6:A1569=A1570)*AG$6:AG1569)),"Date antérieure au bon précédent",IF(AND(A1570&lt;&gt;"BR",ISNUMBER(M1570),N(M1570)&gt;0),IF(A1570="BL","Livré plus que commandé","Sorti plus que demandé"),"OK"))))))))))))</f>
        <v/>
      </c>
      <c r="Y1570" s="57" t="str">
        <f>IF(AND(OR(A1570="BL",A1570="BR",A1570="BS"),AG1570&gt;0,D1570&lt;&gt;""),A1570&amp;"|"&amp;AG1570&amp;"|"&amp;D1570&amp;"|"&amp;F1570,"")</f>
        <v/>
      </c>
      <c r="Z1570" s="57" t="str">
        <f>IF(Y1570="","",IF(COUNTIF(Y$6:Y1569,Y1570)=0,1,0))</f>
        <v/>
      </c>
      <c r="AA1570" s="57" t="str">
        <f>IF(Y1570="","",IF(Z1570=1,COUNTIFS(A$6:A1570,A1570,Z$6:Z1570,1),INDEX(AA$6:AA1569,MATCH(Y1570,Y$6:Y1569,0))))</f>
        <v/>
      </c>
      <c r="AB1570" s="57" t="str">
        <f>IF(B1570="","",COUNTIF(B$6:B1570,B1570))</f>
        <v/>
      </c>
      <c r="AC1570" s="57" t="str">
        <f>IF(B1570="","",B1570&amp;"#"&amp;AB1570)</f>
        <v/>
      </c>
      <c r="AD1570" s="57" t="str">
        <f>IF(Z1570=1,A1570&amp;AA1570,"")</f>
        <v/>
      </c>
      <c r="AE1570" s="57" t="str">
        <f>IF(B1570="","",YEAR(C1570))</f>
        <v/>
      </c>
      <c r="AF1570" s="57" t="str">
        <f>IF(B1570="","",MONTH(C1570))</f>
        <v/>
      </c>
      <c r="AG1570" s="57">
        <f>IF(ISNUMBER(C1570),C1570,0)</f>
        <v>0.0</v>
      </c>
      <c r="AH1570" s="57" t="str">
        <f>IF(N(W1570)&gt;0,COUNTIF(W$6:W1570,"&gt;0"),"")</f>
        <v/>
      </c>
      <c r="AI1570" s="57" t="str">
        <f>IF(Z1570=1,COUNTIF(Z$6:Z1570,1),"")</f>
        <v/>
      </c>
    </row>
    <row r="1571">
      <c r="A1571" s="54" t="n"/>
      <c r="B1571" s="55" t="str">
        <f>IF(AA1571="","",A1571&amp;"-"&amp;RIGHT("000"&amp;AA1571,4))</f>
        <v/>
      </c>
      <c r="C1571" s="56" t="n"/>
      <c r="D1571" s="54" t="n"/>
      <c r="E1571" s="57" t="str">
        <f>IF(D1571="","",IF(A1571="BL",IFERROR(INDEX(cl_name,MATCH(D1571,cl_code,0))&amp;"","Client inconnu"),IF(A1571="BR",IFERROR(INDEX(fo_name,MATCH(D1571,fo_code,0))&amp;"","Fournisseur inconnu"),IF(A1571="BS",IF(ISNA(MATCH(D1571,p_services,0)),"Service inconnu",D1571&amp;""),""))))</f>
        <v/>
      </c>
      <c r="F1571" s="58" t="n"/>
      <c r="G1571" s="58" t="n"/>
      <c r="H1571" s="59" t="n"/>
      <c r="I1571" s="57" t="str">
        <f>IF(H1571="","",IFERROR(INDEX(art_des,MATCH(H1571,art_ref,0))&amp;"","Article inconnu"))</f>
        <v/>
      </c>
      <c r="J1571" s="60" t="str">
        <f>IF(H1571="","",IFERROR(INDEX(art_unit,MATCH(H1571,art_ref,0))&amp;"",""))</f>
        <v/>
      </c>
      <c r="K1571" s="59" t="n"/>
      <c r="L1571" s="59" t="n"/>
      <c r="M1571" s="61" t="str">
        <f>IF(OR(B1571="",NOT(ISNUMBER(K1571)),NOT(ISNUMBER(L1571))),"",IF(OR(K1571&lt;=0,L1571&lt;=0),"",ROUND(L1571-K1571,6)))</f>
        <v/>
      </c>
      <c r="N1571" s="58" t="n"/>
      <c r="O1571" s="62" t="n"/>
      <c r="P1571" s="63" t="str">
        <f>IF(OR(B1571="",NOT(ISNUMBER(L1571))),"",IF(L1571&lt;=0,"",IFERROR(ROUND(L1571*N(INDEX(art_w,MATCH(H1571,art_ref,0))),3),"")))</f>
        <v/>
      </c>
      <c r="Q1571" s="59" t="n"/>
      <c r="R1571" s="54" t="n"/>
      <c r="S1571" s="59" t="n"/>
      <c r="T1571" s="59" t="n"/>
      <c r="U1571" s="64" t="str">
        <f>IF(OR(B1571="",H1571=""),"",IFERROR(IF(A1571="BL",IF(N(INDEX(art_price,MATCH(H1571,art_ref,0)))=0,"",N(INDEX(art_price,MATCH(H1571,art_ref,0)))),IF(N(INDEX(art_cost,MATCH(H1571,art_ref,0)))=0,"",N(INDEX(art_cost,MATCH(H1571,art_ref,0))))),""))</f>
        <v/>
      </c>
      <c r="V1571" s="64" t="str">
        <f>IF(OR(U1571="",NOT(ISNUMBER(L1571))),"",IF(L1571&lt;=0,"",ROUND(L1571*U1571,2)))</f>
        <v/>
      </c>
      <c r="W1571" s="60" t="str">
        <f>IF(AND(B1571&lt;&gt;"",A1571&lt;&gt;"BS",F1571&lt;&gt;"",H1571&lt;&gt;"",ISNUMBER(K1571),ISNUMBER(L1571)),IF(AND(K1571&gt;0,L1571&gt;0,K1571-L1571&gt;0,COUNTIFS(A1572:A$2005,A1571,F1572:F$2005,F1571,H1572:H$2005,H1571,AA1572:AA$2005,"&gt;0")=0),ROUND(K1571-L1571,6),""),"")</f>
        <v/>
      </c>
      <c r="X1571" s="60" t="str">
        <f>IF(AND(A1571="",C1571="",D1571="",H1571="",L1571=""),"",IF(A1571="","Type manquant",IF(AND(A1571&lt;&gt;"BL",A1571&lt;&gt;"BR",A1571&lt;&gt;"BS"),"Type inconnu (BL, BR ou BS)",IF(AG1571=0,"Date manquante ou invalide",IF(D1571="",IF(A1571="BL","Client manquant",IF(A1571="BR","Fournisseur manquant","Service manquant")),IF(IF(A1571="BL",ISNA(MATCH(D1571,cl_code,0)),IF(A1571="BR",ISNA(MATCH(D1571,fo_code,0)),ISNA(MATCH(D1571,p_services,0)))),IF(A1571="BL","Client inconnu",IF(A1571="BR","Fournisseur inconnu","Service inconnu")),IF(H1571="","Article manquant",IF(ISNA(MATCH(H1571,art_ref,0)),"Article inconnu",IF(OR(NOT(ISNUMBER(L1571)),N(L1571)&lt;=0),"Quantité invalide",IF(AND(K1571&lt;&gt;"",OR(NOT(ISNUMBER(K1571)),N(K1571)&lt;=0)),"Qté commandée invalide",IF(AG1571&lt;SUMPRODUCT(MAX((A$6:A1570=A1571)*AG$6:AG1570)),"Date antérieure au bon précédent",IF(AND(A1571&lt;&gt;"BR",ISNUMBER(M1571),N(M1571)&gt;0),IF(A1571="BL","Livré plus que commandé","Sorti plus que demandé"),"OK"))))))))))))</f>
        <v/>
      </c>
      <c r="Y1571" s="57" t="str">
        <f>IF(AND(OR(A1571="BL",A1571="BR",A1571="BS"),AG1571&gt;0,D1571&lt;&gt;""),A1571&amp;"|"&amp;AG1571&amp;"|"&amp;D1571&amp;"|"&amp;F1571,"")</f>
        <v/>
      </c>
      <c r="Z1571" s="57" t="str">
        <f>IF(Y1571="","",IF(COUNTIF(Y$6:Y1570,Y1571)=0,1,0))</f>
        <v/>
      </c>
      <c r="AA1571" s="57" t="str">
        <f>IF(Y1571="","",IF(Z1571=1,COUNTIFS(A$6:A1571,A1571,Z$6:Z1571,1),INDEX(AA$6:AA1570,MATCH(Y1571,Y$6:Y1570,0))))</f>
        <v/>
      </c>
      <c r="AB1571" s="57" t="str">
        <f>IF(B1571="","",COUNTIF(B$6:B1571,B1571))</f>
        <v/>
      </c>
      <c r="AC1571" s="57" t="str">
        <f>IF(B1571="","",B1571&amp;"#"&amp;AB1571)</f>
        <v/>
      </c>
      <c r="AD1571" s="57" t="str">
        <f>IF(Z1571=1,A1571&amp;AA1571,"")</f>
        <v/>
      </c>
      <c r="AE1571" s="57" t="str">
        <f>IF(B1571="","",YEAR(C1571))</f>
        <v/>
      </c>
      <c r="AF1571" s="57" t="str">
        <f>IF(B1571="","",MONTH(C1571))</f>
        <v/>
      </c>
      <c r="AG1571" s="57">
        <f>IF(ISNUMBER(C1571),C1571,0)</f>
        <v>0.0</v>
      </c>
      <c r="AH1571" s="57" t="str">
        <f>IF(N(W1571)&gt;0,COUNTIF(W$6:W1571,"&gt;0"),"")</f>
        <v/>
      </c>
      <c r="AI1571" s="57" t="str">
        <f>IF(Z1571=1,COUNTIF(Z$6:Z1571,1),"")</f>
        <v/>
      </c>
    </row>
    <row r="1572">
      <c r="A1572" s="54" t="n"/>
      <c r="B1572" s="55" t="str">
        <f>IF(AA1572="","",A1572&amp;"-"&amp;RIGHT("000"&amp;AA1572,4))</f>
        <v/>
      </c>
      <c r="C1572" s="56" t="n"/>
      <c r="D1572" s="54" t="n"/>
      <c r="E1572" s="57" t="str">
        <f>IF(D1572="","",IF(A1572="BL",IFERROR(INDEX(cl_name,MATCH(D1572,cl_code,0))&amp;"","Client inconnu"),IF(A1572="BR",IFERROR(INDEX(fo_name,MATCH(D1572,fo_code,0))&amp;"","Fournisseur inconnu"),IF(A1572="BS",IF(ISNA(MATCH(D1572,p_services,0)),"Service inconnu",D1572&amp;""),""))))</f>
        <v/>
      </c>
      <c r="F1572" s="58" t="n"/>
      <c r="G1572" s="58" t="n"/>
      <c r="H1572" s="59" t="n"/>
      <c r="I1572" s="57" t="str">
        <f>IF(H1572="","",IFERROR(INDEX(art_des,MATCH(H1572,art_ref,0))&amp;"","Article inconnu"))</f>
        <v/>
      </c>
      <c r="J1572" s="60" t="str">
        <f>IF(H1572="","",IFERROR(INDEX(art_unit,MATCH(H1572,art_ref,0))&amp;"",""))</f>
        <v/>
      </c>
      <c r="K1572" s="59" t="n"/>
      <c r="L1572" s="59" t="n"/>
      <c r="M1572" s="61" t="str">
        <f>IF(OR(B1572="",NOT(ISNUMBER(K1572)),NOT(ISNUMBER(L1572))),"",IF(OR(K1572&lt;=0,L1572&lt;=0),"",ROUND(L1572-K1572,6)))</f>
        <v/>
      </c>
      <c r="N1572" s="58" t="n"/>
      <c r="O1572" s="62" t="n"/>
      <c r="P1572" s="63" t="str">
        <f>IF(OR(B1572="",NOT(ISNUMBER(L1572))),"",IF(L1572&lt;=0,"",IFERROR(ROUND(L1572*N(INDEX(art_w,MATCH(H1572,art_ref,0))),3),"")))</f>
        <v/>
      </c>
      <c r="Q1572" s="59" t="n"/>
      <c r="R1572" s="54" t="n"/>
      <c r="S1572" s="59" t="n"/>
      <c r="T1572" s="59" t="n"/>
      <c r="U1572" s="64" t="str">
        <f>IF(OR(B1572="",H1572=""),"",IFERROR(IF(A1572="BL",IF(N(INDEX(art_price,MATCH(H1572,art_ref,0)))=0,"",N(INDEX(art_price,MATCH(H1572,art_ref,0)))),IF(N(INDEX(art_cost,MATCH(H1572,art_ref,0)))=0,"",N(INDEX(art_cost,MATCH(H1572,art_ref,0))))),""))</f>
        <v/>
      </c>
      <c r="V1572" s="64" t="str">
        <f>IF(OR(U1572="",NOT(ISNUMBER(L1572))),"",IF(L1572&lt;=0,"",ROUND(L1572*U1572,2)))</f>
        <v/>
      </c>
      <c r="W1572" s="60" t="str">
        <f>IF(AND(B1572&lt;&gt;"",A1572&lt;&gt;"BS",F1572&lt;&gt;"",H1572&lt;&gt;"",ISNUMBER(K1572),ISNUMBER(L1572)),IF(AND(K1572&gt;0,L1572&gt;0,K1572-L1572&gt;0,COUNTIFS(A1573:A$2005,A1572,F1573:F$2005,F1572,H1573:H$2005,H1572,AA1573:AA$2005,"&gt;0")=0),ROUND(K1572-L1572,6),""),"")</f>
        <v/>
      </c>
      <c r="X1572" s="60" t="str">
        <f>IF(AND(A1572="",C1572="",D1572="",H1572="",L1572=""),"",IF(A1572="","Type manquant",IF(AND(A1572&lt;&gt;"BL",A1572&lt;&gt;"BR",A1572&lt;&gt;"BS"),"Type inconnu (BL, BR ou BS)",IF(AG1572=0,"Date manquante ou invalide",IF(D1572="",IF(A1572="BL","Client manquant",IF(A1572="BR","Fournisseur manquant","Service manquant")),IF(IF(A1572="BL",ISNA(MATCH(D1572,cl_code,0)),IF(A1572="BR",ISNA(MATCH(D1572,fo_code,0)),ISNA(MATCH(D1572,p_services,0)))),IF(A1572="BL","Client inconnu",IF(A1572="BR","Fournisseur inconnu","Service inconnu")),IF(H1572="","Article manquant",IF(ISNA(MATCH(H1572,art_ref,0)),"Article inconnu",IF(OR(NOT(ISNUMBER(L1572)),N(L1572)&lt;=0),"Quantité invalide",IF(AND(K1572&lt;&gt;"",OR(NOT(ISNUMBER(K1572)),N(K1572)&lt;=0)),"Qté commandée invalide",IF(AG1572&lt;SUMPRODUCT(MAX((A$6:A1571=A1572)*AG$6:AG1571)),"Date antérieure au bon précédent",IF(AND(A1572&lt;&gt;"BR",ISNUMBER(M1572),N(M1572)&gt;0),IF(A1572="BL","Livré plus que commandé","Sorti plus que demandé"),"OK"))))))))))))</f>
        <v/>
      </c>
      <c r="Y1572" s="57" t="str">
        <f>IF(AND(OR(A1572="BL",A1572="BR",A1572="BS"),AG1572&gt;0,D1572&lt;&gt;""),A1572&amp;"|"&amp;AG1572&amp;"|"&amp;D1572&amp;"|"&amp;F1572,"")</f>
        <v/>
      </c>
      <c r="Z1572" s="57" t="str">
        <f>IF(Y1572="","",IF(COUNTIF(Y$6:Y1571,Y1572)=0,1,0))</f>
        <v/>
      </c>
      <c r="AA1572" s="57" t="str">
        <f>IF(Y1572="","",IF(Z1572=1,COUNTIFS(A$6:A1572,A1572,Z$6:Z1572,1),INDEX(AA$6:AA1571,MATCH(Y1572,Y$6:Y1571,0))))</f>
        <v/>
      </c>
      <c r="AB1572" s="57" t="str">
        <f>IF(B1572="","",COUNTIF(B$6:B1572,B1572))</f>
        <v/>
      </c>
      <c r="AC1572" s="57" t="str">
        <f>IF(B1572="","",B1572&amp;"#"&amp;AB1572)</f>
        <v/>
      </c>
      <c r="AD1572" s="57" t="str">
        <f>IF(Z1572=1,A1572&amp;AA1572,"")</f>
        <v/>
      </c>
      <c r="AE1572" s="57" t="str">
        <f>IF(B1572="","",YEAR(C1572))</f>
        <v/>
      </c>
      <c r="AF1572" s="57" t="str">
        <f>IF(B1572="","",MONTH(C1572))</f>
        <v/>
      </c>
      <c r="AG1572" s="57">
        <f>IF(ISNUMBER(C1572),C1572,0)</f>
        <v>0.0</v>
      </c>
      <c r="AH1572" s="57" t="str">
        <f>IF(N(W1572)&gt;0,COUNTIF(W$6:W1572,"&gt;0"),"")</f>
        <v/>
      </c>
      <c r="AI1572" s="57" t="str">
        <f>IF(Z1572=1,COUNTIF(Z$6:Z1572,1),"")</f>
        <v/>
      </c>
    </row>
    <row r="1573">
      <c r="A1573" s="54" t="n"/>
      <c r="B1573" s="55" t="str">
        <f>IF(AA1573="","",A1573&amp;"-"&amp;RIGHT("000"&amp;AA1573,4))</f>
        <v/>
      </c>
      <c r="C1573" s="56" t="n"/>
      <c r="D1573" s="54" t="n"/>
      <c r="E1573" s="57" t="str">
        <f>IF(D1573="","",IF(A1573="BL",IFERROR(INDEX(cl_name,MATCH(D1573,cl_code,0))&amp;"","Client inconnu"),IF(A1573="BR",IFERROR(INDEX(fo_name,MATCH(D1573,fo_code,0))&amp;"","Fournisseur inconnu"),IF(A1573="BS",IF(ISNA(MATCH(D1573,p_services,0)),"Service inconnu",D1573&amp;""),""))))</f>
        <v/>
      </c>
      <c r="F1573" s="58" t="n"/>
      <c r="G1573" s="58" t="n"/>
      <c r="H1573" s="59" t="n"/>
      <c r="I1573" s="57" t="str">
        <f>IF(H1573="","",IFERROR(INDEX(art_des,MATCH(H1573,art_ref,0))&amp;"","Article inconnu"))</f>
        <v/>
      </c>
      <c r="J1573" s="60" t="str">
        <f>IF(H1573="","",IFERROR(INDEX(art_unit,MATCH(H1573,art_ref,0))&amp;"",""))</f>
        <v/>
      </c>
      <c r="K1573" s="59" t="n"/>
      <c r="L1573" s="59" t="n"/>
      <c r="M1573" s="61" t="str">
        <f>IF(OR(B1573="",NOT(ISNUMBER(K1573)),NOT(ISNUMBER(L1573))),"",IF(OR(K1573&lt;=0,L1573&lt;=0),"",ROUND(L1573-K1573,6)))</f>
        <v/>
      </c>
      <c r="N1573" s="58" t="n"/>
      <c r="O1573" s="62" t="n"/>
      <c r="P1573" s="63" t="str">
        <f>IF(OR(B1573="",NOT(ISNUMBER(L1573))),"",IF(L1573&lt;=0,"",IFERROR(ROUND(L1573*N(INDEX(art_w,MATCH(H1573,art_ref,0))),3),"")))</f>
        <v/>
      </c>
      <c r="Q1573" s="59" t="n"/>
      <c r="R1573" s="54" t="n"/>
      <c r="S1573" s="59" t="n"/>
      <c r="T1573" s="59" t="n"/>
      <c r="U1573" s="64" t="str">
        <f>IF(OR(B1573="",H1573=""),"",IFERROR(IF(A1573="BL",IF(N(INDEX(art_price,MATCH(H1573,art_ref,0)))=0,"",N(INDEX(art_price,MATCH(H1573,art_ref,0)))),IF(N(INDEX(art_cost,MATCH(H1573,art_ref,0)))=0,"",N(INDEX(art_cost,MATCH(H1573,art_ref,0))))),""))</f>
        <v/>
      </c>
      <c r="V1573" s="64" t="str">
        <f>IF(OR(U1573="",NOT(ISNUMBER(L1573))),"",IF(L1573&lt;=0,"",ROUND(L1573*U1573,2)))</f>
        <v/>
      </c>
      <c r="W1573" s="60" t="str">
        <f>IF(AND(B1573&lt;&gt;"",A1573&lt;&gt;"BS",F1573&lt;&gt;"",H1573&lt;&gt;"",ISNUMBER(K1573),ISNUMBER(L1573)),IF(AND(K1573&gt;0,L1573&gt;0,K1573-L1573&gt;0,COUNTIFS(A1574:A$2005,A1573,F1574:F$2005,F1573,H1574:H$2005,H1573,AA1574:AA$2005,"&gt;0")=0),ROUND(K1573-L1573,6),""),"")</f>
        <v/>
      </c>
      <c r="X1573" s="60" t="str">
        <f>IF(AND(A1573="",C1573="",D1573="",H1573="",L1573=""),"",IF(A1573="","Type manquant",IF(AND(A1573&lt;&gt;"BL",A1573&lt;&gt;"BR",A1573&lt;&gt;"BS"),"Type inconnu (BL, BR ou BS)",IF(AG1573=0,"Date manquante ou invalide",IF(D1573="",IF(A1573="BL","Client manquant",IF(A1573="BR","Fournisseur manquant","Service manquant")),IF(IF(A1573="BL",ISNA(MATCH(D1573,cl_code,0)),IF(A1573="BR",ISNA(MATCH(D1573,fo_code,0)),ISNA(MATCH(D1573,p_services,0)))),IF(A1573="BL","Client inconnu",IF(A1573="BR","Fournisseur inconnu","Service inconnu")),IF(H1573="","Article manquant",IF(ISNA(MATCH(H1573,art_ref,0)),"Article inconnu",IF(OR(NOT(ISNUMBER(L1573)),N(L1573)&lt;=0),"Quantité invalide",IF(AND(K1573&lt;&gt;"",OR(NOT(ISNUMBER(K1573)),N(K1573)&lt;=0)),"Qté commandée invalide",IF(AG1573&lt;SUMPRODUCT(MAX((A$6:A1572=A1573)*AG$6:AG1572)),"Date antérieure au bon précédent",IF(AND(A1573&lt;&gt;"BR",ISNUMBER(M1573),N(M1573)&gt;0),IF(A1573="BL","Livré plus que commandé","Sorti plus que demandé"),"OK"))))))))))))</f>
        <v/>
      </c>
      <c r="Y1573" s="57" t="str">
        <f>IF(AND(OR(A1573="BL",A1573="BR",A1573="BS"),AG1573&gt;0,D1573&lt;&gt;""),A1573&amp;"|"&amp;AG1573&amp;"|"&amp;D1573&amp;"|"&amp;F1573,"")</f>
        <v/>
      </c>
      <c r="Z1573" s="57" t="str">
        <f>IF(Y1573="","",IF(COUNTIF(Y$6:Y1572,Y1573)=0,1,0))</f>
        <v/>
      </c>
      <c r="AA1573" s="57" t="str">
        <f>IF(Y1573="","",IF(Z1573=1,COUNTIFS(A$6:A1573,A1573,Z$6:Z1573,1),INDEX(AA$6:AA1572,MATCH(Y1573,Y$6:Y1572,0))))</f>
        <v/>
      </c>
      <c r="AB1573" s="57" t="str">
        <f>IF(B1573="","",COUNTIF(B$6:B1573,B1573))</f>
        <v/>
      </c>
      <c r="AC1573" s="57" t="str">
        <f>IF(B1573="","",B1573&amp;"#"&amp;AB1573)</f>
        <v/>
      </c>
      <c r="AD1573" s="57" t="str">
        <f>IF(Z1573=1,A1573&amp;AA1573,"")</f>
        <v/>
      </c>
      <c r="AE1573" s="57" t="str">
        <f>IF(B1573="","",YEAR(C1573))</f>
        <v/>
      </c>
      <c r="AF1573" s="57" t="str">
        <f>IF(B1573="","",MONTH(C1573))</f>
        <v/>
      </c>
      <c r="AG1573" s="57">
        <f>IF(ISNUMBER(C1573),C1573,0)</f>
        <v>0.0</v>
      </c>
      <c r="AH1573" s="57" t="str">
        <f>IF(N(W1573)&gt;0,COUNTIF(W$6:W1573,"&gt;0"),"")</f>
        <v/>
      </c>
      <c r="AI1573" s="57" t="str">
        <f>IF(Z1573=1,COUNTIF(Z$6:Z1573,1),"")</f>
        <v/>
      </c>
    </row>
    <row r="1574">
      <c r="A1574" s="54" t="n"/>
      <c r="B1574" s="55" t="str">
        <f>IF(AA1574="","",A1574&amp;"-"&amp;RIGHT("000"&amp;AA1574,4))</f>
        <v/>
      </c>
      <c r="C1574" s="56" t="n"/>
      <c r="D1574" s="54" t="n"/>
      <c r="E1574" s="57" t="str">
        <f>IF(D1574="","",IF(A1574="BL",IFERROR(INDEX(cl_name,MATCH(D1574,cl_code,0))&amp;"","Client inconnu"),IF(A1574="BR",IFERROR(INDEX(fo_name,MATCH(D1574,fo_code,0))&amp;"","Fournisseur inconnu"),IF(A1574="BS",IF(ISNA(MATCH(D1574,p_services,0)),"Service inconnu",D1574&amp;""),""))))</f>
        <v/>
      </c>
      <c r="F1574" s="58" t="n"/>
      <c r="G1574" s="58" t="n"/>
      <c r="H1574" s="59" t="n"/>
      <c r="I1574" s="57" t="str">
        <f>IF(H1574="","",IFERROR(INDEX(art_des,MATCH(H1574,art_ref,0))&amp;"","Article inconnu"))</f>
        <v/>
      </c>
      <c r="J1574" s="60" t="str">
        <f>IF(H1574="","",IFERROR(INDEX(art_unit,MATCH(H1574,art_ref,0))&amp;"",""))</f>
        <v/>
      </c>
      <c r="K1574" s="59" t="n"/>
      <c r="L1574" s="59" t="n"/>
      <c r="M1574" s="61" t="str">
        <f>IF(OR(B1574="",NOT(ISNUMBER(K1574)),NOT(ISNUMBER(L1574))),"",IF(OR(K1574&lt;=0,L1574&lt;=0),"",ROUND(L1574-K1574,6)))</f>
        <v/>
      </c>
      <c r="N1574" s="58" t="n"/>
      <c r="O1574" s="62" t="n"/>
      <c r="P1574" s="63" t="str">
        <f>IF(OR(B1574="",NOT(ISNUMBER(L1574))),"",IF(L1574&lt;=0,"",IFERROR(ROUND(L1574*N(INDEX(art_w,MATCH(H1574,art_ref,0))),3),"")))</f>
        <v/>
      </c>
      <c r="Q1574" s="59" t="n"/>
      <c r="R1574" s="54" t="n"/>
      <c r="S1574" s="59" t="n"/>
      <c r="T1574" s="59" t="n"/>
      <c r="U1574" s="64" t="str">
        <f>IF(OR(B1574="",H1574=""),"",IFERROR(IF(A1574="BL",IF(N(INDEX(art_price,MATCH(H1574,art_ref,0)))=0,"",N(INDEX(art_price,MATCH(H1574,art_ref,0)))),IF(N(INDEX(art_cost,MATCH(H1574,art_ref,0)))=0,"",N(INDEX(art_cost,MATCH(H1574,art_ref,0))))),""))</f>
        <v/>
      </c>
      <c r="V1574" s="64" t="str">
        <f>IF(OR(U1574="",NOT(ISNUMBER(L1574))),"",IF(L1574&lt;=0,"",ROUND(L1574*U1574,2)))</f>
        <v/>
      </c>
      <c r="W1574" s="60" t="str">
        <f>IF(AND(B1574&lt;&gt;"",A1574&lt;&gt;"BS",F1574&lt;&gt;"",H1574&lt;&gt;"",ISNUMBER(K1574),ISNUMBER(L1574)),IF(AND(K1574&gt;0,L1574&gt;0,K1574-L1574&gt;0,COUNTIFS(A1575:A$2005,A1574,F1575:F$2005,F1574,H1575:H$2005,H1574,AA1575:AA$2005,"&gt;0")=0),ROUND(K1574-L1574,6),""),"")</f>
        <v/>
      </c>
      <c r="X1574" s="60" t="str">
        <f>IF(AND(A1574="",C1574="",D1574="",H1574="",L1574=""),"",IF(A1574="","Type manquant",IF(AND(A1574&lt;&gt;"BL",A1574&lt;&gt;"BR",A1574&lt;&gt;"BS"),"Type inconnu (BL, BR ou BS)",IF(AG1574=0,"Date manquante ou invalide",IF(D1574="",IF(A1574="BL","Client manquant",IF(A1574="BR","Fournisseur manquant","Service manquant")),IF(IF(A1574="BL",ISNA(MATCH(D1574,cl_code,0)),IF(A1574="BR",ISNA(MATCH(D1574,fo_code,0)),ISNA(MATCH(D1574,p_services,0)))),IF(A1574="BL","Client inconnu",IF(A1574="BR","Fournisseur inconnu","Service inconnu")),IF(H1574="","Article manquant",IF(ISNA(MATCH(H1574,art_ref,0)),"Article inconnu",IF(OR(NOT(ISNUMBER(L1574)),N(L1574)&lt;=0),"Quantité invalide",IF(AND(K1574&lt;&gt;"",OR(NOT(ISNUMBER(K1574)),N(K1574)&lt;=0)),"Qté commandée invalide",IF(AG1574&lt;SUMPRODUCT(MAX((A$6:A1573=A1574)*AG$6:AG1573)),"Date antérieure au bon précédent",IF(AND(A1574&lt;&gt;"BR",ISNUMBER(M1574),N(M1574)&gt;0),IF(A1574="BL","Livré plus que commandé","Sorti plus que demandé"),"OK"))))))))))))</f>
        <v/>
      </c>
      <c r="Y1574" s="57" t="str">
        <f>IF(AND(OR(A1574="BL",A1574="BR",A1574="BS"),AG1574&gt;0,D1574&lt;&gt;""),A1574&amp;"|"&amp;AG1574&amp;"|"&amp;D1574&amp;"|"&amp;F1574,"")</f>
        <v/>
      </c>
      <c r="Z1574" s="57" t="str">
        <f>IF(Y1574="","",IF(COUNTIF(Y$6:Y1573,Y1574)=0,1,0))</f>
        <v/>
      </c>
      <c r="AA1574" s="57" t="str">
        <f>IF(Y1574="","",IF(Z1574=1,COUNTIFS(A$6:A1574,A1574,Z$6:Z1574,1),INDEX(AA$6:AA1573,MATCH(Y1574,Y$6:Y1573,0))))</f>
        <v/>
      </c>
      <c r="AB1574" s="57" t="str">
        <f>IF(B1574="","",COUNTIF(B$6:B1574,B1574))</f>
        <v/>
      </c>
      <c r="AC1574" s="57" t="str">
        <f>IF(B1574="","",B1574&amp;"#"&amp;AB1574)</f>
        <v/>
      </c>
      <c r="AD1574" s="57" t="str">
        <f>IF(Z1574=1,A1574&amp;AA1574,"")</f>
        <v/>
      </c>
      <c r="AE1574" s="57" t="str">
        <f>IF(B1574="","",YEAR(C1574))</f>
        <v/>
      </c>
      <c r="AF1574" s="57" t="str">
        <f>IF(B1574="","",MONTH(C1574))</f>
        <v/>
      </c>
      <c r="AG1574" s="57">
        <f>IF(ISNUMBER(C1574),C1574,0)</f>
        <v>0.0</v>
      </c>
      <c r="AH1574" s="57" t="str">
        <f>IF(N(W1574)&gt;0,COUNTIF(W$6:W1574,"&gt;0"),"")</f>
        <v/>
      </c>
      <c r="AI1574" s="57" t="str">
        <f>IF(Z1574=1,COUNTIF(Z$6:Z1574,1),"")</f>
        <v/>
      </c>
    </row>
    <row r="1575">
      <c r="A1575" s="54" t="n"/>
      <c r="B1575" s="55" t="str">
        <f>IF(AA1575="","",A1575&amp;"-"&amp;RIGHT("000"&amp;AA1575,4))</f>
        <v/>
      </c>
      <c r="C1575" s="56" t="n"/>
      <c r="D1575" s="54" t="n"/>
      <c r="E1575" s="57" t="str">
        <f>IF(D1575="","",IF(A1575="BL",IFERROR(INDEX(cl_name,MATCH(D1575,cl_code,0))&amp;"","Client inconnu"),IF(A1575="BR",IFERROR(INDEX(fo_name,MATCH(D1575,fo_code,0))&amp;"","Fournisseur inconnu"),IF(A1575="BS",IF(ISNA(MATCH(D1575,p_services,0)),"Service inconnu",D1575&amp;""),""))))</f>
        <v/>
      </c>
      <c r="F1575" s="58" t="n"/>
      <c r="G1575" s="58" t="n"/>
      <c r="H1575" s="59" t="n"/>
      <c r="I1575" s="57" t="str">
        <f>IF(H1575="","",IFERROR(INDEX(art_des,MATCH(H1575,art_ref,0))&amp;"","Article inconnu"))</f>
        <v/>
      </c>
      <c r="J1575" s="60" t="str">
        <f>IF(H1575="","",IFERROR(INDEX(art_unit,MATCH(H1575,art_ref,0))&amp;"",""))</f>
        <v/>
      </c>
      <c r="K1575" s="59" t="n"/>
      <c r="L1575" s="59" t="n"/>
      <c r="M1575" s="61" t="str">
        <f>IF(OR(B1575="",NOT(ISNUMBER(K1575)),NOT(ISNUMBER(L1575))),"",IF(OR(K1575&lt;=0,L1575&lt;=0),"",ROUND(L1575-K1575,6)))</f>
        <v/>
      </c>
      <c r="N1575" s="58" t="n"/>
      <c r="O1575" s="62" t="n"/>
      <c r="P1575" s="63" t="str">
        <f>IF(OR(B1575="",NOT(ISNUMBER(L1575))),"",IF(L1575&lt;=0,"",IFERROR(ROUND(L1575*N(INDEX(art_w,MATCH(H1575,art_ref,0))),3),"")))</f>
        <v/>
      </c>
      <c r="Q1575" s="59" t="n"/>
      <c r="R1575" s="54" t="n"/>
      <c r="S1575" s="59" t="n"/>
      <c r="T1575" s="59" t="n"/>
      <c r="U1575" s="64" t="str">
        <f>IF(OR(B1575="",H1575=""),"",IFERROR(IF(A1575="BL",IF(N(INDEX(art_price,MATCH(H1575,art_ref,0)))=0,"",N(INDEX(art_price,MATCH(H1575,art_ref,0)))),IF(N(INDEX(art_cost,MATCH(H1575,art_ref,0)))=0,"",N(INDEX(art_cost,MATCH(H1575,art_ref,0))))),""))</f>
        <v/>
      </c>
      <c r="V1575" s="64" t="str">
        <f>IF(OR(U1575="",NOT(ISNUMBER(L1575))),"",IF(L1575&lt;=0,"",ROUND(L1575*U1575,2)))</f>
        <v/>
      </c>
      <c r="W1575" s="60" t="str">
        <f>IF(AND(B1575&lt;&gt;"",A1575&lt;&gt;"BS",F1575&lt;&gt;"",H1575&lt;&gt;"",ISNUMBER(K1575),ISNUMBER(L1575)),IF(AND(K1575&gt;0,L1575&gt;0,K1575-L1575&gt;0,COUNTIFS(A1576:A$2005,A1575,F1576:F$2005,F1575,H1576:H$2005,H1575,AA1576:AA$2005,"&gt;0")=0),ROUND(K1575-L1575,6),""),"")</f>
        <v/>
      </c>
      <c r="X1575" s="60" t="str">
        <f>IF(AND(A1575="",C1575="",D1575="",H1575="",L1575=""),"",IF(A1575="","Type manquant",IF(AND(A1575&lt;&gt;"BL",A1575&lt;&gt;"BR",A1575&lt;&gt;"BS"),"Type inconnu (BL, BR ou BS)",IF(AG1575=0,"Date manquante ou invalide",IF(D1575="",IF(A1575="BL","Client manquant",IF(A1575="BR","Fournisseur manquant","Service manquant")),IF(IF(A1575="BL",ISNA(MATCH(D1575,cl_code,0)),IF(A1575="BR",ISNA(MATCH(D1575,fo_code,0)),ISNA(MATCH(D1575,p_services,0)))),IF(A1575="BL","Client inconnu",IF(A1575="BR","Fournisseur inconnu","Service inconnu")),IF(H1575="","Article manquant",IF(ISNA(MATCH(H1575,art_ref,0)),"Article inconnu",IF(OR(NOT(ISNUMBER(L1575)),N(L1575)&lt;=0),"Quantité invalide",IF(AND(K1575&lt;&gt;"",OR(NOT(ISNUMBER(K1575)),N(K1575)&lt;=0)),"Qté commandée invalide",IF(AG1575&lt;SUMPRODUCT(MAX((A$6:A1574=A1575)*AG$6:AG1574)),"Date antérieure au bon précédent",IF(AND(A1575&lt;&gt;"BR",ISNUMBER(M1575),N(M1575)&gt;0),IF(A1575="BL","Livré plus que commandé","Sorti plus que demandé"),"OK"))))))))))))</f>
        <v/>
      </c>
      <c r="Y1575" s="57" t="str">
        <f>IF(AND(OR(A1575="BL",A1575="BR",A1575="BS"),AG1575&gt;0,D1575&lt;&gt;""),A1575&amp;"|"&amp;AG1575&amp;"|"&amp;D1575&amp;"|"&amp;F1575,"")</f>
        <v/>
      </c>
      <c r="Z1575" s="57" t="str">
        <f>IF(Y1575="","",IF(COUNTIF(Y$6:Y1574,Y1575)=0,1,0))</f>
        <v/>
      </c>
      <c r="AA1575" s="57" t="str">
        <f>IF(Y1575="","",IF(Z1575=1,COUNTIFS(A$6:A1575,A1575,Z$6:Z1575,1),INDEX(AA$6:AA1574,MATCH(Y1575,Y$6:Y1574,0))))</f>
        <v/>
      </c>
      <c r="AB1575" s="57" t="str">
        <f>IF(B1575="","",COUNTIF(B$6:B1575,B1575))</f>
        <v/>
      </c>
      <c r="AC1575" s="57" t="str">
        <f>IF(B1575="","",B1575&amp;"#"&amp;AB1575)</f>
        <v/>
      </c>
      <c r="AD1575" s="57" t="str">
        <f>IF(Z1575=1,A1575&amp;AA1575,"")</f>
        <v/>
      </c>
      <c r="AE1575" s="57" t="str">
        <f>IF(B1575="","",YEAR(C1575))</f>
        <v/>
      </c>
      <c r="AF1575" s="57" t="str">
        <f>IF(B1575="","",MONTH(C1575))</f>
        <v/>
      </c>
      <c r="AG1575" s="57">
        <f>IF(ISNUMBER(C1575),C1575,0)</f>
        <v>0.0</v>
      </c>
      <c r="AH1575" s="57" t="str">
        <f>IF(N(W1575)&gt;0,COUNTIF(W$6:W1575,"&gt;0"),"")</f>
        <v/>
      </c>
      <c r="AI1575" s="57" t="str">
        <f>IF(Z1575=1,COUNTIF(Z$6:Z1575,1),"")</f>
        <v/>
      </c>
    </row>
    <row r="1576">
      <c r="A1576" s="54" t="n"/>
      <c r="B1576" s="55" t="str">
        <f>IF(AA1576="","",A1576&amp;"-"&amp;RIGHT("000"&amp;AA1576,4))</f>
        <v/>
      </c>
      <c r="C1576" s="56" t="n"/>
      <c r="D1576" s="54" t="n"/>
      <c r="E1576" s="57" t="str">
        <f>IF(D1576="","",IF(A1576="BL",IFERROR(INDEX(cl_name,MATCH(D1576,cl_code,0))&amp;"","Client inconnu"),IF(A1576="BR",IFERROR(INDEX(fo_name,MATCH(D1576,fo_code,0))&amp;"","Fournisseur inconnu"),IF(A1576="BS",IF(ISNA(MATCH(D1576,p_services,0)),"Service inconnu",D1576&amp;""),""))))</f>
        <v/>
      </c>
      <c r="F1576" s="58" t="n"/>
      <c r="G1576" s="58" t="n"/>
      <c r="H1576" s="59" t="n"/>
      <c r="I1576" s="57" t="str">
        <f>IF(H1576="","",IFERROR(INDEX(art_des,MATCH(H1576,art_ref,0))&amp;"","Article inconnu"))</f>
        <v/>
      </c>
      <c r="J1576" s="60" t="str">
        <f>IF(H1576="","",IFERROR(INDEX(art_unit,MATCH(H1576,art_ref,0))&amp;"",""))</f>
        <v/>
      </c>
      <c r="K1576" s="59" t="n"/>
      <c r="L1576" s="59" t="n"/>
      <c r="M1576" s="61" t="str">
        <f>IF(OR(B1576="",NOT(ISNUMBER(K1576)),NOT(ISNUMBER(L1576))),"",IF(OR(K1576&lt;=0,L1576&lt;=0),"",ROUND(L1576-K1576,6)))</f>
        <v/>
      </c>
      <c r="N1576" s="58" t="n"/>
      <c r="O1576" s="62" t="n"/>
      <c r="P1576" s="63" t="str">
        <f>IF(OR(B1576="",NOT(ISNUMBER(L1576))),"",IF(L1576&lt;=0,"",IFERROR(ROUND(L1576*N(INDEX(art_w,MATCH(H1576,art_ref,0))),3),"")))</f>
        <v/>
      </c>
      <c r="Q1576" s="59" t="n"/>
      <c r="R1576" s="54" t="n"/>
      <c r="S1576" s="59" t="n"/>
      <c r="T1576" s="59" t="n"/>
      <c r="U1576" s="64" t="str">
        <f>IF(OR(B1576="",H1576=""),"",IFERROR(IF(A1576="BL",IF(N(INDEX(art_price,MATCH(H1576,art_ref,0)))=0,"",N(INDEX(art_price,MATCH(H1576,art_ref,0)))),IF(N(INDEX(art_cost,MATCH(H1576,art_ref,0)))=0,"",N(INDEX(art_cost,MATCH(H1576,art_ref,0))))),""))</f>
        <v/>
      </c>
      <c r="V1576" s="64" t="str">
        <f>IF(OR(U1576="",NOT(ISNUMBER(L1576))),"",IF(L1576&lt;=0,"",ROUND(L1576*U1576,2)))</f>
        <v/>
      </c>
      <c r="W1576" s="60" t="str">
        <f>IF(AND(B1576&lt;&gt;"",A1576&lt;&gt;"BS",F1576&lt;&gt;"",H1576&lt;&gt;"",ISNUMBER(K1576),ISNUMBER(L1576)),IF(AND(K1576&gt;0,L1576&gt;0,K1576-L1576&gt;0,COUNTIFS(A1577:A$2005,A1576,F1577:F$2005,F1576,H1577:H$2005,H1576,AA1577:AA$2005,"&gt;0")=0),ROUND(K1576-L1576,6),""),"")</f>
        <v/>
      </c>
      <c r="X1576" s="60" t="str">
        <f>IF(AND(A1576="",C1576="",D1576="",H1576="",L1576=""),"",IF(A1576="","Type manquant",IF(AND(A1576&lt;&gt;"BL",A1576&lt;&gt;"BR",A1576&lt;&gt;"BS"),"Type inconnu (BL, BR ou BS)",IF(AG1576=0,"Date manquante ou invalide",IF(D1576="",IF(A1576="BL","Client manquant",IF(A1576="BR","Fournisseur manquant","Service manquant")),IF(IF(A1576="BL",ISNA(MATCH(D1576,cl_code,0)),IF(A1576="BR",ISNA(MATCH(D1576,fo_code,0)),ISNA(MATCH(D1576,p_services,0)))),IF(A1576="BL","Client inconnu",IF(A1576="BR","Fournisseur inconnu","Service inconnu")),IF(H1576="","Article manquant",IF(ISNA(MATCH(H1576,art_ref,0)),"Article inconnu",IF(OR(NOT(ISNUMBER(L1576)),N(L1576)&lt;=0),"Quantité invalide",IF(AND(K1576&lt;&gt;"",OR(NOT(ISNUMBER(K1576)),N(K1576)&lt;=0)),"Qté commandée invalide",IF(AG1576&lt;SUMPRODUCT(MAX((A$6:A1575=A1576)*AG$6:AG1575)),"Date antérieure au bon précédent",IF(AND(A1576&lt;&gt;"BR",ISNUMBER(M1576),N(M1576)&gt;0),IF(A1576="BL","Livré plus que commandé","Sorti plus que demandé"),"OK"))))))))))))</f>
        <v/>
      </c>
      <c r="Y1576" s="57" t="str">
        <f>IF(AND(OR(A1576="BL",A1576="BR",A1576="BS"),AG1576&gt;0,D1576&lt;&gt;""),A1576&amp;"|"&amp;AG1576&amp;"|"&amp;D1576&amp;"|"&amp;F1576,"")</f>
        <v/>
      </c>
      <c r="Z1576" s="57" t="str">
        <f>IF(Y1576="","",IF(COUNTIF(Y$6:Y1575,Y1576)=0,1,0))</f>
        <v/>
      </c>
      <c r="AA1576" s="57" t="str">
        <f>IF(Y1576="","",IF(Z1576=1,COUNTIFS(A$6:A1576,A1576,Z$6:Z1576,1),INDEX(AA$6:AA1575,MATCH(Y1576,Y$6:Y1575,0))))</f>
        <v/>
      </c>
      <c r="AB1576" s="57" t="str">
        <f>IF(B1576="","",COUNTIF(B$6:B1576,B1576))</f>
        <v/>
      </c>
      <c r="AC1576" s="57" t="str">
        <f>IF(B1576="","",B1576&amp;"#"&amp;AB1576)</f>
        <v/>
      </c>
      <c r="AD1576" s="57" t="str">
        <f>IF(Z1576=1,A1576&amp;AA1576,"")</f>
        <v/>
      </c>
      <c r="AE1576" s="57" t="str">
        <f>IF(B1576="","",YEAR(C1576))</f>
        <v/>
      </c>
      <c r="AF1576" s="57" t="str">
        <f>IF(B1576="","",MONTH(C1576))</f>
        <v/>
      </c>
      <c r="AG1576" s="57">
        <f>IF(ISNUMBER(C1576),C1576,0)</f>
        <v>0.0</v>
      </c>
      <c r="AH1576" s="57" t="str">
        <f>IF(N(W1576)&gt;0,COUNTIF(W$6:W1576,"&gt;0"),"")</f>
        <v/>
      </c>
      <c r="AI1576" s="57" t="str">
        <f>IF(Z1576=1,COUNTIF(Z$6:Z1576,1),"")</f>
        <v/>
      </c>
    </row>
    <row r="1577">
      <c r="A1577" s="54" t="n"/>
      <c r="B1577" s="55" t="str">
        <f>IF(AA1577="","",A1577&amp;"-"&amp;RIGHT("000"&amp;AA1577,4))</f>
        <v/>
      </c>
      <c r="C1577" s="56" t="n"/>
      <c r="D1577" s="54" t="n"/>
      <c r="E1577" s="57" t="str">
        <f>IF(D1577="","",IF(A1577="BL",IFERROR(INDEX(cl_name,MATCH(D1577,cl_code,0))&amp;"","Client inconnu"),IF(A1577="BR",IFERROR(INDEX(fo_name,MATCH(D1577,fo_code,0))&amp;"","Fournisseur inconnu"),IF(A1577="BS",IF(ISNA(MATCH(D1577,p_services,0)),"Service inconnu",D1577&amp;""),""))))</f>
        <v/>
      </c>
      <c r="F1577" s="58" t="n"/>
      <c r="G1577" s="58" t="n"/>
      <c r="H1577" s="59" t="n"/>
      <c r="I1577" s="57" t="str">
        <f>IF(H1577="","",IFERROR(INDEX(art_des,MATCH(H1577,art_ref,0))&amp;"","Article inconnu"))</f>
        <v/>
      </c>
      <c r="J1577" s="60" t="str">
        <f>IF(H1577="","",IFERROR(INDEX(art_unit,MATCH(H1577,art_ref,0))&amp;"",""))</f>
        <v/>
      </c>
      <c r="K1577" s="59" t="n"/>
      <c r="L1577" s="59" t="n"/>
      <c r="M1577" s="61" t="str">
        <f>IF(OR(B1577="",NOT(ISNUMBER(K1577)),NOT(ISNUMBER(L1577))),"",IF(OR(K1577&lt;=0,L1577&lt;=0),"",ROUND(L1577-K1577,6)))</f>
        <v/>
      </c>
      <c r="N1577" s="58" t="n"/>
      <c r="O1577" s="62" t="n"/>
      <c r="P1577" s="63" t="str">
        <f>IF(OR(B1577="",NOT(ISNUMBER(L1577))),"",IF(L1577&lt;=0,"",IFERROR(ROUND(L1577*N(INDEX(art_w,MATCH(H1577,art_ref,0))),3),"")))</f>
        <v/>
      </c>
      <c r="Q1577" s="59" t="n"/>
      <c r="R1577" s="54" t="n"/>
      <c r="S1577" s="59" t="n"/>
      <c r="T1577" s="59" t="n"/>
      <c r="U1577" s="64" t="str">
        <f>IF(OR(B1577="",H1577=""),"",IFERROR(IF(A1577="BL",IF(N(INDEX(art_price,MATCH(H1577,art_ref,0)))=0,"",N(INDEX(art_price,MATCH(H1577,art_ref,0)))),IF(N(INDEX(art_cost,MATCH(H1577,art_ref,0)))=0,"",N(INDEX(art_cost,MATCH(H1577,art_ref,0))))),""))</f>
        <v/>
      </c>
      <c r="V1577" s="64" t="str">
        <f>IF(OR(U1577="",NOT(ISNUMBER(L1577))),"",IF(L1577&lt;=0,"",ROUND(L1577*U1577,2)))</f>
        <v/>
      </c>
      <c r="W1577" s="60" t="str">
        <f>IF(AND(B1577&lt;&gt;"",A1577&lt;&gt;"BS",F1577&lt;&gt;"",H1577&lt;&gt;"",ISNUMBER(K1577),ISNUMBER(L1577)),IF(AND(K1577&gt;0,L1577&gt;0,K1577-L1577&gt;0,COUNTIFS(A1578:A$2005,A1577,F1578:F$2005,F1577,H1578:H$2005,H1577,AA1578:AA$2005,"&gt;0")=0),ROUND(K1577-L1577,6),""),"")</f>
        <v/>
      </c>
      <c r="X1577" s="60" t="str">
        <f>IF(AND(A1577="",C1577="",D1577="",H1577="",L1577=""),"",IF(A1577="","Type manquant",IF(AND(A1577&lt;&gt;"BL",A1577&lt;&gt;"BR",A1577&lt;&gt;"BS"),"Type inconnu (BL, BR ou BS)",IF(AG1577=0,"Date manquante ou invalide",IF(D1577="",IF(A1577="BL","Client manquant",IF(A1577="BR","Fournisseur manquant","Service manquant")),IF(IF(A1577="BL",ISNA(MATCH(D1577,cl_code,0)),IF(A1577="BR",ISNA(MATCH(D1577,fo_code,0)),ISNA(MATCH(D1577,p_services,0)))),IF(A1577="BL","Client inconnu",IF(A1577="BR","Fournisseur inconnu","Service inconnu")),IF(H1577="","Article manquant",IF(ISNA(MATCH(H1577,art_ref,0)),"Article inconnu",IF(OR(NOT(ISNUMBER(L1577)),N(L1577)&lt;=0),"Quantité invalide",IF(AND(K1577&lt;&gt;"",OR(NOT(ISNUMBER(K1577)),N(K1577)&lt;=0)),"Qté commandée invalide",IF(AG1577&lt;SUMPRODUCT(MAX((A$6:A1576=A1577)*AG$6:AG1576)),"Date antérieure au bon précédent",IF(AND(A1577&lt;&gt;"BR",ISNUMBER(M1577),N(M1577)&gt;0),IF(A1577="BL","Livré plus que commandé","Sorti plus que demandé"),"OK"))))))))))))</f>
        <v/>
      </c>
      <c r="Y1577" s="57" t="str">
        <f>IF(AND(OR(A1577="BL",A1577="BR",A1577="BS"),AG1577&gt;0,D1577&lt;&gt;""),A1577&amp;"|"&amp;AG1577&amp;"|"&amp;D1577&amp;"|"&amp;F1577,"")</f>
        <v/>
      </c>
      <c r="Z1577" s="57" t="str">
        <f>IF(Y1577="","",IF(COUNTIF(Y$6:Y1576,Y1577)=0,1,0))</f>
        <v/>
      </c>
      <c r="AA1577" s="57" t="str">
        <f>IF(Y1577="","",IF(Z1577=1,COUNTIFS(A$6:A1577,A1577,Z$6:Z1577,1),INDEX(AA$6:AA1576,MATCH(Y1577,Y$6:Y1576,0))))</f>
        <v/>
      </c>
      <c r="AB1577" s="57" t="str">
        <f>IF(B1577="","",COUNTIF(B$6:B1577,B1577))</f>
        <v/>
      </c>
      <c r="AC1577" s="57" t="str">
        <f>IF(B1577="","",B1577&amp;"#"&amp;AB1577)</f>
        <v/>
      </c>
      <c r="AD1577" s="57" t="str">
        <f>IF(Z1577=1,A1577&amp;AA1577,"")</f>
        <v/>
      </c>
      <c r="AE1577" s="57" t="str">
        <f>IF(B1577="","",YEAR(C1577))</f>
        <v/>
      </c>
      <c r="AF1577" s="57" t="str">
        <f>IF(B1577="","",MONTH(C1577))</f>
        <v/>
      </c>
      <c r="AG1577" s="57">
        <f>IF(ISNUMBER(C1577),C1577,0)</f>
        <v>0.0</v>
      </c>
      <c r="AH1577" s="57" t="str">
        <f>IF(N(W1577)&gt;0,COUNTIF(W$6:W1577,"&gt;0"),"")</f>
        <v/>
      </c>
      <c r="AI1577" s="57" t="str">
        <f>IF(Z1577=1,COUNTIF(Z$6:Z1577,1),"")</f>
        <v/>
      </c>
    </row>
    <row r="1578">
      <c r="A1578" s="54" t="n"/>
      <c r="B1578" s="55" t="str">
        <f>IF(AA1578="","",A1578&amp;"-"&amp;RIGHT("000"&amp;AA1578,4))</f>
        <v/>
      </c>
      <c r="C1578" s="56" t="n"/>
      <c r="D1578" s="54" t="n"/>
      <c r="E1578" s="57" t="str">
        <f>IF(D1578="","",IF(A1578="BL",IFERROR(INDEX(cl_name,MATCH(D1578,cl_code,0))&amp;"","Client inconnu"),IF(A1578="BR",IFERROR(INDEX(fo_name,MATCH(D1578,fo_code,0))&amp;"","Fournisseur inconnu"),IF(A1578="BS",IF(ISNA(MATCH(D1578,p_services,0)),"Service inconnu",D1578&amp;""),""))))</f>
        <v/>
      </c>
      <c r="F1578" s="58" t="n"/>
      <c r="G1578" s="58" t="n"/>
      <c r="H1578" s="59" t="n"/>
      <c r="I1578" s="57" t="str">
        <f>IF(H1578="","",IFERROR(INDEX(art_des,MATCH(H1578,art_ref,0))&amp;"","Article inconnu"))</f>
        <v/>
      </c>
      <c r="J1578" s="60" t="str">
        <f>IF(H1578="","",IFERROR(INDEX(art_unit,MATCH(H1578,art_ref,0))&amp;"",""))</f>
        <v/>
      </c>
      <c r="K1578" s="59" t="n"/>
      <c r="L1578" s="59" t="n"/>
      <c r="M1578" s="61" t="str">
        <f>IF(OR(B1578="",NOT(ISNUMBER(K1578)),NOT(ISNUMBER(L1578))),"",IF(OR(K1578&lt;=0,L1578&lt;=0),"",ROUND(L1578-K1578,6)))</f>
        <v/>
      </c>
      <c r="N1578" s="58" t="n"/>
      <c r="O1578" s="62" t="n"/>
      <c r="P1578" s="63" t="str">
        <f>IF(OR(B1578="",NOT(ISNUMBER(L1578))),"",IF(L1578&lt;=0,"",IFERROR(ROUND(L1578*N(INDEX(art_w,MATCH(H1578,art_ref,0))),3),"")))</f>
        <v/>
      </c>
      <c r="Q1578" s="59" t="n"/>
      <c r="R1578" s="54" t="n"/>
      <c r="S1578" s="59" t="n"/>
      <c r="T1578" s="59" t="n"/>
      <c r="U1578" s="64" t="str">
        <f>IF(OR(B1578="",H1578=""),"",IFERROR(IF(A1578="BL",IF(N(INDEX(art_price,MATCH(H1578,art_ref,0)))=0,"",N(INDEX(art_price,MATCH(H1578,art_ref,0)))),IF(N(INDEX(art_cost,MATCH(H1578,art_ref,0)))=0,"",N(INDEX(art_cost,MATCH(H1578,art_ref,0))))),""))</f>
        <v/>
      </c>
      <c r="V1578" s="64" t="str">
        <f>IF(OR(U1578="",NOT(ISNUMBER(L1578))),"",IF(L1578&lt;=0,"",ROUND(L1578*U1578,2)))</f>
        <v/>
      </c>
      <c r="W1578" s="60" t="str">
        <f>IF(AND(B1578&lt;&gt;"",A1578&lt;&gt;"BS",F1578&lt;&gt;"",H1578&lt;&gt;"",ISNUMBER(K1578),ISNUMBER(L1578)),IF(AND(K1578&gt;0,L1578&gt;0,K1578-L1578&gt;0,COUNTIFS(A1579:A$2005,A1578,F1579:F$2005,F1578,H1579:H$2005,H1578,AA1579:AA$2005,"&gt;0")=0),ROUND(K1578-L1578,6),""),"")</f>
        <v/>
      </c>
      <c r="X1578" s="60" t="str">
        <f>IF(AND(A1578="",C1578="",D1578="",H1578="",L1578=""),"",IF(A1578="","Type manquant",IF(AND(A1578&lt;&gt;"BL",A1578&lt;&gt;"BR",A1578&lt;&gt;"BS"),"Type inconnu (BL, BR ou BS)",IF(AG1578=0,"Date manquante ou invalide",IF(D1578="",IF(A1578="BL","Client manquant",IF(A1578="BR","Fournisseur manquant","Service manquant")),IF(IF(A1578="BL",ISNA(MATCH(D1578,cl_code,0)),IF(A1578="BR",ISNA(MATCH(D1578,fo_code,0)),ISNA(MATCH(D1578,p_services,0)))),IF(A1578="BL","Client inconnu",IF(A1578="BR","Fournisseur inconnu","Service inconnu")),IF(H1578="","Article manquant",IF(ISNA(MATCH(H1578,art_ref,0)),"Article inconnu",IF(OR(NOT(ISNUMBER(L1578)),N(L1578)&lt;=0),"Quantité invalide",IF(AND(K1578&lt;&gt;"",OR(NOT(ISNUMBER(K1578)),N(K1578)&lt;=0)),"Qté commandée invalide",IF(AG1578&lt;SUMPRODUCT(MAX((A$6:A1577=A1578)*AG$6:AG1577)),"Date antérieure au bon précédent",IF(AND(A1578&lt;&gt;"BR",ISNUMBER(M1578),N(M1578)&gt;0),IF(A1578="BL","Livré plus que commandé","Sorti plus que demandé"),"OK"))))))))))))</f>
        <v/>
      </c>
      <c r="Y1578" s="57" t="str">
        <f>IF(AND(OR(A1578="BL",A1578="BR",A1578="BS"),AG1578&gt;0,D1578&lt;&gt;""),A1578&amp;"|"&amp;AG1578&amp;"|"&amp;D1578&amp;"|"&amp;F1578,"")</f>
        <v/>
      </c>
      <c r="Z1578" s="57" t="str">
        <f>IF(Y1578="","",IF(COUNTIF(Y$6:Y1577,Y1578)=0,1,0))</f>
        <v/>
      </c>
      <c r="AA1578" s="57" t="str">
        <f>IF(Y1578="","",IF(Z1578=1,COUNTIFS(A$6:A1578,A1578,Z$6:Z1578,1),INDEX(AA$6:AA1577,MATCH(Y1578,Y$6:Y1577,0))))</f>
        <v/>
      </c>
      <c r="AB1578" s="57" t="str">
        <f>IF(B1578="","",COUNTIF(B$6:B1578,B1578))</f>
        <v/>
      </c>
      <c r="AC1578" s="57" t="str">
        <f>IF(B1578="","",B1578&amp;"#"&amp;AB1578)</f>
        <v/>
      </c>
      <c r="AD1578" s="57" t="str">
        <f>IF(Z1578=1,A1578&amp;AA1578,"")</f>
        <v/>
      </c>
      <c r="AE1578" s="57" t="str">
        <f>IF(B1578="","",YEAR(C1578))</f>
        <v/>
      </c>
      <c r="AF1578" s="57" t="str">
        <f>IF(B1578="","",MONTH(C1578))</f>
        <v/>
      </c>
      <c r="AG1578" s="57">
        <f>IF(ISNUMBER(C1578),C1578,0)</f>
        <v>0.0</v>
      </c>
      <c r="AH1578" s="57" t="str">
        <f>IF(N(W1578)&gt;0,COUNTIF(W$6:W1578,"&gt;0"),"")</f>
        <v/>
      </c>
      <c r="AI1578" s="57" t="str">
        <f>IF(Z1578=1,COUNTIF(Z$6:Z1578,1),"")</f>
        <v/>
      </c>
    </row>
    <row r="1579">
      <c r="A1579" s="54" t="n"/>
      <c r="B1579" s="55" t="str">
        <f>IF(AA1579="","",A1579&amp;"-"&amp;RIGHT("000"&amp;AA1579,4))</f>
        <v/>
      </c>
      <c r="C1579" s="56" t="n"/>
      <c r="D1579" s="54" t="n"/>
      <c r="E1579" s="57" t="str">
        <f>IF(D1579="","",IF(A1579="BL",IFERROR(INDEX(cl_name,MATCH(D1579,cl_code,0))&amp;"","Client inconnu"),IF(A1579="BR",IFERROR(INDEX(fo_name,MATCH(D1579,fo_code,0))&amp;"","Fournisseur inconnu"),IF(A1579="BS",IF(ISNA(MATCH(D1579,p_services,0)),"Service inconnu",D1579&amp;""),""))))</f>
        <v/>
      </c>
      <c r="F1579" s="58" t="n"/>
      <c r="G1579" s="58" t="n"/>
      <c r="H1579" s="59" t="n"/>
      <c r="I1579" s="57" t="str">
        <f>IF(H1579="","",IFERROR(INDEX(art_des,MATCH(H1579,art_ref,0))&amp;"","Article inconnu"))</f>
        <v/>
      </c>
      <c r="J1579" s="60" t="str">
        <f>IF(H1579="","",IFERROR(INDEX(art_unit,MATCH(H1579,art_ref,0))&amp;"",""))</f>
        <v/>
      </c>
      <c r="K1579" s="59" t="n"/>
      <c r="L1579" s="59" t="n"/>
      <c r="M1579" s="61" t="str">
        <f>IF(OR(B1579="",NOT(ISNUMBER(K1579)),NOT(ISNUMBER(L1579))),"",IF(OR(K1579&lt;=0,L1579&lt;=0),"",ROUND(L1579-K1579,6)))</f>
        <v/>
      </c>
      <c r="N1579" s="58" t="n"/>
      <c r="O1579" s="62" t="n"/>
      <c r="P1579" s="63" t="str">
        <f>IF(OR(B1579="",NOT(ISNUMBER(L1579))),"",IF(L1579&lt;=0,"",IFERROR(ROUND(L1579*N(INDEX(art_w,MATCH(H1579,art_ref,0))),3),"")))</f>
        <v/>
      </c>
      <c r="Q1579" s="59" t="n"/>
      <c r="R1579" s="54" t="n"/>
      <c r="S1579" s="59" t="n"/>
      <c r="T1579" s="59" t="n"/>
      <c r="U1579" s="64" t="str">
        <f>IF(OR(B1579="",H1579=""),"",IFERROR(IF(A1579="BL",IF(N(INDEX(art_price,MATCH(H1579,art_ref,0)))=0,"",N(INDEX(art_price,MATCH(H1579,art_ref,0)))),IF(N(INDEX(art_cost,MATCH(H1579,art_ref,0)))=0,"",N(INDEX(art_cost,MATCH(H1579,art_ref,0))))),""))</f>
        <v/>
      </c>
      <c r="V1579" s="64" t="str">
        <f>IF(OR(U1579="",NOT(ISNUMBER(L1579))),"",IF(L1579&lt;=0,"",ROUND(L1579*U1579,2)))</f>
        <v/>
      </c>
      <c r="W1579" s="60" t="str">
        <f>IF(AND(B1579&lt;&gt;"",A1579&lt;&gt;"BS",F1579&lt;&gt;"",H1579&lt;&gt;"",ISNUMBER(K1579),ISNUMBER(L1579)),IF(AND(K1579&gt;0,L1579&gt;0,K1579-L1579&gt;0,COUNTIFS(A1580:A$2005,A1579,F1580:F$2005,F1579,H1580:H$2005,H1579,AA1580:AA$2005,"&gt;0")=0),ROUND(K1579-L1579,6),""),"")</f>
        <v/>
      </c>
      <c r="X1579" s="60" t="str">
        <f>IF(AND(A1579="",C1579="",D1579="",H1579="",L1579=""),"",IF(A1579="","Type manquant",IF(AND(A1579&lt;&gt;"BL",A1579&lt;&gt;"BR",A1579&lt;&gt;"BS"),"Type inconnu (BL, BR ou BS)",IF(AG1579=0,"Date manquante ou invalide",IF(D1579="",IF(A1579="BL","Client manquant",IF(A1579="BR","Fournisseur manquant","Service manquant")),IF(IF(A1579="BL",ISNA(MATCH(D1579,cl_code,0)),IF(A1579="BR",ISNA(MATCH(D1579,fo_code,0)),ISNA(MATCH(D1579,p_services,0)))),IF(A1579="BL","Client inconnu",IF(A1579="BR","Fournisseur inconnu","Service inconnu")),IF(H1579="","Article manquant",IF(ISNA(MATCH(H1579,art_ref,0)),"Article inconnu",IF(OR(NOT(ISNUMBER(L1579)),N(L1579)&lt;=0),"Quantité invalide",IF(AND(K1579&lt;&gt;"",OR(NOT(ISNUMBER(K1579)),N(K1579)&lt;=0)),"Qté commandée invalide",IF(AG1579&lt;SUMPRODUCT(MAX((A$6:A1578=A1579)*AG$6:AG1578)),"Date antérieure au bon précédent",IF(AND(A1579&lt;&gt;"BR",ISNUMBER(M1579),N(M1579)&gt;0),IF(A1579="BL","Livré plus que commandé","Sorti plus que demandé"),"OK"))))))))))))</f>
        <v/>
      </c>
      <c r="Y1579" s="57" t="str">
        <f>IF(AND(OR(A1579="BL",A1579="BR",A1579="BS"),AG1579&gt;0,D1579&lt;&gt;""),A1579&amp;"|"&amp;AG1579&amp;"|"&amp;D1579&amp;"|"&amp;F1579,"")</f>
        <v/>
      </c>
      <c r="Z1579" s="57" t="str">
        <f>IF(Y1579="","",IF(COUNTIF(Y$6:Y1578,Y1579)=0,1,0))</f>
        <v/>
      </c>
      <c r="AA1579" s="57" t="str">
        <f>IF(Y1579="","",IF(Z1579=1,COUNTIFS(A$6:A1579,A1579,Z$6:Z1579,1),INDEX(AA$6:AA1578,MATCH(Y1579,Y$6:Y1578,0))))</f>
        <v/>
      </c>
      <c r="AB1579" s="57" t="str">
        <f>IF(B1579="","",COUNTIF(B$6:B1579,B1579))</f>
        <v/>
      </c>
      <c r="AC1579" s="57" t="str">
        <f>IF(B1579="","",B1579&amp;"#"&amp;AB1579)</f>
        <v/>
      </c>
      <c r="AD1579" s="57" t="str">
        <f>IF(Z1579=1,A1579&amp;AA1579,"")</f>
        <v/>
      </c>
      <c r="AE1579" s="57" t="str">
        <f>IF(B1579="","",YEAR(C1579))</f>
        <v/>
      </c>
      <c r="AF1579" s="57" t="str">
        <f>IF(B1579="","",MONTH(C1579))</f>
        <v/>
      </c>
      <c r="AG1579" s="57">
        <f>IF(ISNUMBER(C1579),C1579,0)</f>
        <v>0.0</v>
      </c>
      <c r="AH1579" s="57" t="str">
        <f>IF(N(W1579)&gt;0,COUNTIF(W$6:W1579,"&gt;0"),"")</f>
        <v/>
      </c>
      <c r="AI1579" s="57" t="str">
        <f>IF(Z1579=1,COUNTIF(Z$6:Z1579,1),"")</f>
        <v/>
      </c>
    </row>
    <row r="1580">
      <c r="A1580" s="54" t="n"/>
      <c r="B1580" s="55" t="str">
        <f>IF(AA1580="","",A1580&amp;"-"&amp;RIGHT("000"&amp;AA1580,4))</f>
        <v/>
      </c>
      <c r="C1580" s="56" t="n"/>
      <c r="D1580" s="54" t="n"/>
      <c r="E1580" s="57" t="str">
        <f>IF(D1580="","",IF(A1580="BL",IFERROR(INDEX(cl_name,MATCH(D1580,cl_code,0))&amp;"","Client inconnu"),IF(A1580="BR",IFERROR(INDEX(fo_name,MATCH(D1580,fo_code,0))&amp;"","Fournisseur inconnu"),IF(A1580="BS",IF(ISNA(MATCH(D1580,p_services,0)),"Service inconnu",D1580&amp;""),""))))</f>
        <v/>
      </c>
      <c r="F1580" s="58" t="n"/>
      <c r="G1580" s="58" t="n"/>
      <c r="H1580" s="59" t="n"/>
      <c r="I1580" s="57" t="str">
        <f>IF(H1580="","",IFERROR(INDEX(art_des,MATCH(H1580,art_ref,0))&amp;"","Article inconnu"))</f>
        <v/>
      </c>
      <c r="J1580" s="60" t="str">
        <f>IF(H1580="","",IFERROR(INDEX(art_unit,MATCH(H1580,art_ref,0))&amp;"",""))</f>
        <v/>
      </c>
      <c r="K1580" s="59" t="n"/>
      <c r="L1580" s="59" t="n"/>
      <c r="M1580" s="61" t="str">
        <f>IF(OR(B1580="",NOT(ISNUMBER(K1580)),NOT(ISNUMBER(L1580))),"",IF(OR(K1580&lt;=0,L1580&lt;=0),"",ROUND(L1580-K1580,6)))</f>
        <v/>
      </c>
      <c r="N1580" s="58" t="n"/>
      <c r="O1580" s="62" t="n"/>
      <c r="P1580" s="63" t="str">
        <f>IF(OR(B1580="",NOT(ISNUMBER(L1580))),"",IF(L1580&lt;=0,"",IFERROR(ROUND(L1580*N(INDEX(art_w,MATCH(H1580,art_ref,0))),3),"")))</f>
        <v/>
      </c>
      <c r="Q1580" s="59" t="n"/>
      <c r="R1580" s="54" t="n"/>
      <c r="S1580" s="59" t="n"/>
      <c r="T1580" s="59" t="n"/>
      <c r="U1580" s="64" t="str">
        <f>IF(OR(B1580="",H1580=""),"",IFERROR(IF(A1580="BL",IF(N(INDEX(art_price,MATCH(H1580,art_ref,0)))=0,"",N(INDEX(art_price,MATCH(H1580,art_ref,0)))),IF(N(INDEX(art_cost,MATCH(H1580,art_ref,0)))=0,"",N(INDEX(art_cost,MATCH(H1580,art_ref,0))))),""))</f>
        <v/>
      </c>
      <c r="V1580" s="64" t="str">
        <f>IF(OR(U1580="",NOT(ISNUMBER(L1580))),"",IF(L1580&lt;=0,"",ROUND(L1580*U1580,2)))</f>
        <v/>
      </c>
      <c r="W1580" s="60" t="str">
        <f>IF(AND(B1580&lt;&gt;"",A1580&lt;&gt;"BS",F1580&lt;&gt;"",H1580&lt;&gt;"",ISNUMBER(K1580),ISNUMBER(L1580)),IF(AND(K1580&gt;0,L1580&gt;0,K1580-L1580&gt;0,COUNTIFS(A1581:A$2005,A1580,F1581:F$2005,F1580,H1581:H$2005,H1580,AA1581:AA$2005,"&gt;0")=0),ROUND(K1580-L1580,6),""),"")</f>
        <v/>
      </c>
      <c r="X1580" s="60" t="str">
        <f>IF(AND(A1580="",C1580="",D1580="",H1580="",L1580=""),"",IF(A1580="","Type manquant",IF(AND(A1580&lt;&gt;"BL",A1580&lt;&gt;"BR",A1580&lt;&gt;"BS"),"Type inconnu (BL, BR ou BS)",IF(AG1580=0,"Date manquante ou invalide",IF(D1580="",IF(A1580="BL","Client manquant",IF(A1580="BR","Fournisseur manquant","Service manquant")),IF(IF(A1580="BL",ISNA(MATCH(D1580,cl_code,0)),IF(A1580="BR",ISNA(MATCH(D1580,fo_code,0)),ISNA(MATCH(D1580,p_services,0)))),IF(A1580="BL","Client inconnu",IF(A1580="BR","Fournisseur inconnu","Service inconnu")),IF(H1580="","Article manquant",IF(ISNA(MATCH(H1580,art_ref,0)),"Article inconnu",IF(OR(NOT(ISNUMBER(L1580)),N(L1580)&lt;=0),"Quantité invalide",IF(AND(K1580&lt;&gt;"",OR(NOT(ISNUMBER(K1580)),N(K1580)&lt;=0)),"Qté commandée invalide",IF(AG1580&lt;SUMPRODUCT(MAX((A$6:A1579=A1580)*AG$6:AG1579)),"Date antérieure au bon précédent",IF(AND(A1580&lt;&gt;"BR",ISNUMBER(M1580),N(M1580)&gt;0),IF(A1580="BL","Livré plus que commandé","Sorti plus que demandé"),"OK"))))))))))))</f>
        <v/>
      </c>
      <c r="Y1580" s="57" t="str">
        <f>IF(AND(OR(A1580="BL",A1580="BR",A1580="BS"),AG1580&gt;0,D1580&lt;&gt;""),A1580&amp;"|"&amp;AG1580&amp;"|"&amp;D1580&amp;"|"&amp;F1580,"")</f>
        <v/>
      </c>
      <c r="Z1580" s="57" t="str">
        <f>IF(Y1580="","",IF(COUNTIF(Y$6:Y1579,Y1580)=0,1,0))</f>
        <v/>
      </c>
      <c r="AA1580" s="57" t="str">
        <f>IF(Y1580="","",IF(Z1580=1,COUNTIFS(A$6:A1580,A1580,Z$6:Z1580,1),INDEX(AA$6:AA1579,MATCH(Y1580,Y$6:Y1579,0))))</f>
        <v/>
      </c>
      <c r="AB1580" s="57" t="str">
        <f>IF(B1580="","",COUNTIF(B$6:B1580,B1580))</f>
        <v/>
      </c>
      <c r="AC1580" s="57" t="str">
        <f>IF(B1580="","",B1580&amp;"#"&amp;AB1580)</f>
        <v/>
      </c>
      <c r="AD1580" s="57" t="str">
        <f>IF(Z1580=1,A1580&amp;AA1580,"")</f>
        <v/>
      </c>
      <c r="AE1580" s="57" t="str">
        <f>IF(B1580="","",YEAR(C1580))</f>
        <v/>
      </c>
      <c r="AF1580" s="57" t="str">
        <f>IF(B1580="","",MONTH(C1580))</f>
        <v/>
      </c>
      <c r="AG1580" s="57">
        <f>IF(ISNUMBER(C1580),C1580,0)</f>
        <v>0.0</v>
      </c>
      <c r="AH1580" s="57" t="str">
        <f>IF(N(W1580)&gt;0,COUNTIF(W$6:W1580,"&gt;0"),"")</f>
        <v/>
      </c>
      <c r="AI1580" s="57" t="str">
        <f>IF(Z1580=1,COUNTIF(Z$6:Z1580,1),"")</f>
        <v/>
      </c>
    </row>
    <row r="1581">
      <c r="A1581" s="54" t="n"/>
      <c r="B1581" s="55" t="str">
        <f>IF(AA1581="","",A1581&amp;"-"&amp;RIGHT("000"&amp;AA1581,4))</f>
        <v/>
      </c>
      <c r="C1581" s="56" t="n"/>
      <c r="D1581" s="54" t="n"/>
      <c r="E1581" s="57" t="str">
        <f>IF(D1581="","",IF(A1581="BL",IFERROR(INDEX(cl_name,MATCH(D1581,cl_code,0))&amp;"","Client inconnu"),IF(A1581="BR",IFERROR(INDEX(fo_name,MATCH(D1581,fo_code,0))&amp;"","Fournisseur inconnu"),IF(A1581="BS",IF(ISNA(MATCH(D1581,p_services,0)),"Service inconnu",D1581&amp;""),""))))</f>
        <v/>
      </c>
      <c r="F1581" s="58" t="n"/>
      <c r="G1581" s="58" t="n"/>
      <c r="H1581" s="59" t="n"/>
      <c r="I1581" s="57" t="str">
        <f>IF(H1581="","",IFERROR(INDEX(art_des,MATCH(H1581,art_ref,0))&amp;"","Article inconnu"))</f>
        <v/>
      </c>
      <c r="J1581" s="60" t="str">
        <f>IF(H1581="","",IFERROR(INDEX(art_unit,MATCH(H1581,art_ref,0))&amp;"",""))</f>
        <v/>
      </c>
      <c r="K1581" s="59" t="n"/>
      <c r="L1581" s="59" t="n"/>
      <c r="M1581" s="61" t="str">
        <f>IF(OR(B1581="",NOT(ISNUMBER(K1581)),NOT(ISNUMBER(L1581))),"",IF(OR(K1581&lt;=0,L1581&lt;=0),"",ROUND(L1581-K1581,6)))</f>
        <v/>
      </c>
      <c r="N1581" s="58" t="n"/>
      <c r="O1581" s="62" t="n"/>
      <c r="P1581" s="63" t="str">
        <f>IF(OR(B1581="",NOT(ISNUMBER(L1581))),"",IF(L1581&lt;=0,"",IFERROR(ROUND(L1581*N(INDEX(art_w,MATCH(H1581,art_ref,0))),3),"")))</f>
        <v/>
      </c>
      <c r="Q1581" s="59" t="n"/>
      <c r="R1581" s="54" t="n"/>
      <c r="S1581" s="59" t="n"/>
      <c r="T1581" s="59" t="n"/>
      <c r="U1581" s="64" t="str">
        <f>IF(OR(B1581="",H1581=""),"",IFERROR(IF(A1581="BL",IF(N(INDEX(art_price,MATCH(H1581,art_ref,0)))=0,"",N(INDEX(art_price,MATCH(H1581,art_ref,0)))),IF(N(INDEX(art_cost,MATCH(H1581,art_ref,0)))=0,"",N(INDEX(art_cost,MATCH(H1581,art_ref,0))))),""))</f>
        <v/>
      </c>
      <c r="V1581" s="64" t="str">
        <f>IF(OR(U1581="",NOT(ISNUMBER(L1581))),"",IF(L1581&lt;=0,"",ROUND(L1581*U1581,2)))</f>
        <v/>
      </c>
      <c r="W1581" s="60" t="str">
        <f>IF(AND(B1581&lt;&gt;"",A1581&lt;&gt;"BS",F1581&lt;&gt;"",H1581&lt;&gt;"",ISNUMBER(K1581),ISNUMBER(L1581)),IF(AND(K1581&gt;0,L1581&gt;0,K1581-L1581&gt;0,COUNTIFS(A1582:A$2005,A1581,F1582:F$2005,F1581,H1582:H$2005,H1581,AA1582:AA$2005,"&gt;0")=0),ROUND(K1581-L1581,6),""),"")</f>
        <v/>
      </c>
      <c r="X1581" s="60" t="str">
        <f>IF(AND(A1581="",C1581="",D1581="",H1581="",L1581=""),"",IF(A1581="","Type manquant",IF(AND(A1581&lt;&gt;"BL",A1581&lt;&gt;"BR",A1581&lt;&gt;"BS"),"Type inconnu (BL, BR ou BS)",IF(AG1581=0,"Date manquante ou invalide",IF(D1581="",IF(A1581="BL","Client manquant",IF(A1581="BR","Fournisseur manquant","Service manquant")),IF(IF(A1581="BL",ISNA(MATCH(D1581,cl_code,0)),IF(A1581="BR",ISNA(MATCH(D1581,fo_code,0)),ISNA(MATCH(D1581,p_services,0)))),IF(A1581="BL","Client inconnu",IF(A1581="BR","Fournisseur inconnu","Service inconnu")),IF(H1581="","Article manquant",IF(ISNA(MATCH(H1581,art_ref,0)),"Article inconnu",IF(OR(NOT(ISNUMBER(L1581)),N(L1581)&lt;=0),"Quantité invalide",IF(AND(K1581&lt;&gt;"",OR(NOT(ISNUMBER(K1581)),N(K1581)&lt;=0)),"Qté commandée invalide",IF(AG1581&lt;SUMPRODUCT(MAX((A$6:A1580=A1581)*AG$6:AG1580)),"Date antérieure au bon précédent",IF(AND(A1581&lt;&gt;"BR",ISNUMBER(M1581),N(M1581)&gt;0),IF(A1581="BL","Livré plus que commandé","Sorti plus que demandé"),"OK"))))))))))))</f>
        <v/>
      </c>
      <c r="Y1581" s="57" t="str">
        <f>IF(AND(OR(A1581="BL",A1581="BR",A1581="BS"),AG1581&gt;0,D1581&lt;&gt;""),A1581&amp;"|"&amp;AG1581&amp;"|"&amp;D1581&amp;"|"&amp;F1581,"")</f>
        <v/>
      </c>
      <c r="Z1581" s="57" t="str">
        <f>IF(Y1581="","",IF(COUNTIF(Y$6:Y1580,Y1581)=0,1,0))</f>
        <v/>
      </c>
      <c r="AA1581" s="57" t="str">
        <f>IF(Y1581="","",IF(Z1581=1,COUNTIFS(A$6:A1581,A1581,Z$6:Z1581,1),INDEX(AA$6:AA1580,MATCH(Y1581,Y$6:Y1580,0))))</f>
        <v/>
      </c>
      <c r="AB1581" s="57" t="str">
        <f>IF(B1581="","",COUNTIF(B$6:B1581,B1581))</f>
        <v/>
      </c>
      <c r="AC1581" s="57" t="str">
        <f>IF(B1581="","",B1581&amp;"#"&amp;AB1581)</f>
        <v/>
      </c>
      <c r="AD1581" s="57" t="str">
        <f>IF(Z1581=1,A1581&amp;AA1581,"")</f>
        <v/>
      </c>
      <c r="AE1581" s="57" t="str">
        <f>IF(B1581="","",YEAR(C1581))</f>
        <v/>
      </c>
      <c r="AF1581" s="57" t="str">
        <f>IF(B1581="","",MONTH(C1581))</f>
        <v/>
      </c>
      <c r="AG1581" s="57">
        <f>IF(ISNUMBER(C1581),C1581,0)</f>
        <v>0.0</v>
      </c>
      <c r="AH1581" s="57" t="str">
        <f>IF(N(W1581)&gt;0,COUNTIF(W$6:W1581,"&gt;0"),"")</f>
        <v/>
      </c>
      <c r="AI1581" s="57" t="str">
        <f>IF(Z1581=1,COUNTIF(Z$6:Z1581,1),"")</f>
        <v/>
      </c>
    </row>
    <row r="1582">
      <c r="A1582" s="54" t="n"/>
      <c r="B1582" s="55" t="str">
        <f>IF(AA1582="","",A1582&amp;"-"&amp;RIGHT("000"&amp;AA1582,4))</f>
        <v/>
      </c>
      <c r="C1582" s="56" t="n"/>
      <c r="D1582" s="54" t="n"/>
      <c r="E1582" s="57" t="str">
        <f>IF(D1582="","",IF(A1582="BL",IFERROR(INDEX(cl_name,MATCH(D1582,cl_code,0))&amp;"","Client inconnu"),IF(A1582="BR",IFERROR(INDEX(fo_name,MATCH(D1582,fo_code,0))&amp;"","Fournisseur inconnu"),IF(A1582="BS",IF(ISNA(MATCH(D1582,p_services,0)),"Service inconnu",D1582&amp;""),""))))</f>
        <v/>
      </c>
      <c r="F1582" s="58" t="n"/>
      <c r="G1582" s="58" t="n"/>
      <c r="H1582" s="59" t="n"/>
      <c r="I1582" s="57" t="str">
        <f>IF(H1582="","",IFERROR(INDEX(art_des,MATCH(H1582,art_ref,0))&amp;"","Article inconnu"))</f>
        <v/>
      </c>
      <c r="J1582" s="60" t="str">
        <f>IF(H1582="","",IFERROR(INDEX(art_unit,MATCH(H1582,art_ref,0))&amp;"",""))</f>
        <v/>
      </c>
      <c r="K1582" s="59" t="n"/>
      <c r="L1582" s="59" t="n"/>
      <c r="M1582" s="61" t="str">
        <f>IF(OR(B1582="",NOT(ISNUMBER(K1582)),NOT(ISNUMBER(L1582))),"",IF(OR(K1582&lt;=0,L1582&lt;=0),"",ROUND(L1582-K1582,6)))</f>
        <v/>
      </c>
      <c r="N1582" s="58" t="n"/>
      <c r="O1582" s="62" t="n"/>
      <c r="P1582" s="63" t="str">
        <f>IF(OR(B1582="",NOT(ISNUMBER(L1582))),"",IF(L1582&lt;=0,"",IFERROR(ROUND(L1582*N(INDEX(art_w,MATCH(H1582,art_ref,0))),3),"")))</f>
        <v/>
      </c>
      <c r="Q1582" s="59" t="n"/>
      <c r="R1582" s="54" t="n"/>
      <c r="S1582" s="59" t="n"/>
      <c r="T1582" s="59" t="n"/>
      <c r="U1582" s="64" t="str">
        <f>IF(OR(B1582="",H1582=""),"",IFERROR(IF(A1582="BL",IF(N(INDEX(art_price,MATCH(H1582,art_ref,0)))=0,"",N(INDEX(art_price,MATCH(H1582,art_ref,0)))),IF(N(INDEX(art_cost,MATCH(H1582,art_ref,0)))=0,"",N(INDEX(art_cost,MATCH(H1582,art_ref,0))))),""))</f>
        <v/>
      </c>
      <c r="V1582" s="64" t="str">
        <f>IF(OR(U1582="",NOT(ISNUMBER(L1582))),"",IF(L1582&lt;=0,"",ROUND(L1582*U1582,2)))</f>
        <v/>
      </c>
      <c r="W1582" s="60" t="str">
        <f>IF(AND(B1582&lt;&gt;"",A1582&lt;&gt;"BS",F1582&lt;&gt;"",H1582&lt;&gt;"",ISNUMBER(K1582),ISNUMBER(L1582)),IF(AND(K1582&gt;0,L1582&gt;0,K1582-L1582&gt;0,COUNTIFS(A1583:A$2005,A1582,F1583:F$2005,F1582,H1583:H$2005,H1582,AA1583:AA$2005,"&gt;0")=0),ROUND(K1582-L1582,6),""),"")</f>
        <v/>
      </c>
      <c r="X1582" s="60" t="str">
        <f>IF(AND(A1582="",C1582="",D1582="",H1582="",L1582=""),"",IF(A1582="","Type manquant",IF(AND(A1582&lt;&gt;"BL",A1582&lt;&gt;"BR",A1582&lt;&gt;"BS"),"Type inconnu (BL, BR ou BS)",IF(AG1582=0,"Date manquante ou invalide",IF(D1582="",IF(A1582="BL","Client manquant",IF(A1582="BR","Fournisseur manquant","Service manquant")),IF(IF(A1582="BL",ISNA(MATCH(D1582,cl_code,0)),IF(A1582="BR",ISNA(MATCH(D1582,fo_code,0)),ISNA(MATCH(D1582,p_services,0)))),IF(A1582="BL","Client inconnu",IF(A1582="BR","Fournisseur inconnu","Service inconnu")),IF(H1582="","Article manquant",IF(ISNA(MATCH(H1582,art_ref,0)),"Article inconnu",IF(OR(NOT(ISNUMBER(L1582)),N(L1582)&lt;=0),"Quantité invalide",IF(AND(K1582&lt;&gt;"",OR(NOT(ISNUMBER(K1582)),N(K1582)&lt;=0)),"Qté commandée invalide",IF(AG1582&lt;SUMPRODUCT(MAX((A$6:A1581=A1582)*AG$6:AG1581)),"Date antérieure au bon précédent",IF(AND(A1582&lt;&gt;"BR",ISNUMBER(M1582),N(M1582)&gt;0),IF(A1582="BL","Livré plus que commandé","Sorti plus que demandé"),"OK"))))))))))))</f>
        <v/>
      </c>
      <c r="Y1582" s="57" t="str">
        <f>IF(AND(OR(A1582="BL",A1582="BR",A1582="BS"),AG1582&gt;0,D1582&lt;&gt;""),A1582&amp;"|"&amp;AG1582&amp;"|"&amp;D1582&amp;"|"&amp;F1582,"")</f>
        <v/>
      </c>
      <c r="Z1582" s="57" t="str">
        <f>IF(Y1582="","",IF(COUNTIF(Y$6:Y1581,Y1582)=0,1,0))</f>
        <v/>
      </c>
      <c r="AA1582" s="57" t="str">
        <f>IF(Y1582="","",IF(Z1582=1,COUNTIFS(A$6:A1582,A1582,Z$6:Z1582,1),INDEX(AA$6:AA1581,MATCH(Y1582,Y$6:Y1581,0))))</f>
        <v/>
      </c>
      <c r="AB1582" s="57" t="str">
        <f>IF(B1582="","",COUNTIF(B$6:B1582,B1582))</f>
        <v/>
      </c>
      <c r="AC1582" s="57" t="str">
        <f>IF(B1582="","",B1582&amp;"#"&amp;AB1582)</f>
        <v/>
      </c>
      <c r="AD1582" s="57" t="str">
        <f>IF(Z1582=1,A1582&amp;AA1582,"")</f>
        <v/>
      </c>
      <c r="AE1582" s="57" t="str">
        <f>IF(B1582="","",YEAR(C1582))</f>
        <v/>
      </c>
      <c r="AF1582" s="57" t="str">
        <f>IF(B1582="","",MONTH(C1582))</f>
        <v/>
      </c>
      <c r="AG1582" s="57">
        <f>IF(ISNUMBER(C1582),C1582,0)</f>
        <v>0.0</v>
      </c>
      <c r="AH1582" s="57" t="str">
        <f>IF(N(W1582)&gt;0,COUNTIF(W$6:W1582,"&gt;0"),"")</f>
        <v/>
      </c>
      <c r="AI1582" s="57" t="str">
        <f>IF(Z1582=1,COUNTIF(Z$6:Z1582,1),"")</f>
        <v/>
      </c>
    </row>
    <row r="1583">
      <c r="A1583" s="54" t="n"/>
      <c r="B1583" s="55" t="str">
        <f>IF(AA1583="","",A1583&amp;"-"&amp;RIGHT("000"&amp;AA1583,4))</f>
        <v/>
      </c>
      <c r="C1583" s="56" t="n"/>
      <c r="D1583" s="54" t="n"/>
      <c r="E1583" s="57" t="str">
        <f>IF(D1583="","",IF(A1583="BL",IFERROR(INDEX(cl_name,MATCH(D1583,cl_code,0))&amp;"","Client inconnu"),IF(A1583="BR",IFERROR(INDEX(fo_name,MATCH(D1583,fo_code,0))&amp;"","Fournisseur inconnu"),IF(A1583="BS",IF(ISNA(MATCH(D1583,p_services,0)),"Service inconnu",D1583&amp;""),""))))</f>
        <v/>
      </c>
      <c r="F1583" s="58" t="n"/>
      <c r="G1583" s="58" t="n"/>
      <c r="H1583" s="59" t="n"/>
      <c r="I1583" s="57" t="str">
        <f>IF(H1583="","",IFERROR(INDEX(art_des,MATCH(H1583,art_ref,0))&amp;"","Article inconnu"))</f>
        <v/>
      </c>
      <c r="J1583" s="60" t="str">
        <f>IF(H1583="","",IFERROR(INDEX(art_unit,MATCH(H1583,art_ref,0))&amp;"",""))</f>
        <v/>
      </c>
      <c r="K1583" s="59" t="n"/>
      <c r="L1583" s="59" t="n"/>
      <c r="M1583" s="61" t="str">
        <f>IF(OR(B1583="",NOT(ISNUMBER(K1583)),NOT(ISNUMBER(L1583))),"",IF(OR(K1583&lt;=0,L1583&lt;=0),"",ROUND(L1583-K1583,6)))</f>
        <v/>
      </c>
      <c r="N1583" s="58" t="n"/>
      <c r="O1583" s="62" t="n"/>
      <c r="P1583" s="63" t="str">
        <f>IF(OR(B1583="",NOT(ISNUMBER(L1583))),"",IF(L1583&lt;=0,"",IFERROR(ROUND(L1583*N(INDEX(art_w,MATCH(H1583,art_ref,0))),3),"")))</f>
        <v/>
      </c>
      <c r="Q1583" s="59" t="n"/>
      <c r="R1583" s="54" t="n"/>
      <c r="S1583" s="59" t="n"/>
      <c r="T1583" s="59" t="n"/>
      <c r="U1583" s="64" t="str">
        <f>IF(OR(B1583="",H1583=""),"",IFERROR(IF(A1583="BL",IF(N(INDEX(art_price,MATCH(H1583,art_ref,0)))=0,"",N(INDEX(art_price,MATCH(H1583,art_ref,0)))),IF(N(INDEX(art_cost,MATCH(H1583,art_ref,0)))=0,"",N(INDEX(art_cost,MATCH(H1583,art_ref,0))))),""))</f>
        <v/>
      </c>
      <c r="V1583" s="64" t="str">
        <f>IF(OR(U1583="",NOT(ISNUMBER(L1583))),"",IF(L1583&lt;=0,"",ROUND(L1583*U1583,2)))</f>
        <v/>
      </c>
      <c r="W1583" s="60" t="str">
        <f>IF(AND(B1583&lt;&gt;"",A1583&lt;&gt;"BS",F1583&lt;&gt;"",H1583&lt;&gt;"",ISNUMBER(K1583),ISNUMBER(L1583)),IF(AND(K1583&gt;0,L1583&gt;0,K1583-L1583&gt;0,COUNTIFS(A1584:A$2005,A1583,F1584:F$2005,F1583,H1584:H$2005,H1583,AA1584:AA$2005,"&gt;0")=0),ROUND(K1583-L1583,6),""),"")</f>
        <v/>
      </c>
      <c r="X1583" s="60" t="str">
        <f>IF(AND(A1583="",C1583="",D1583="",H1583="",L1583=""),"",IF(A1583="","Type manquant",IF(AND(A1583&lt;&gt;"BL",A1583&lt;&gt;"BR",A1583&lt;&gt;"BS"),"Type inconnu (BL, BR ou BS)",IF(AG1583=0,"Date manquante ou invalide",IF(D1583="",IF(A1583="BL","Client manquant",IF(A1583="BR","Fournisseur manquant","Service manquant")),IF(IF(A1583="BL",ISNA(MATCH(D1583,cl_code,0)),IF(A1583="BR",ISNA(MATCH(D1583,fo_code,0)),ISNA(MATCH(D1583,p_services,0)))),IF(A1583="BL","Client inconnu",IF(A1583="BR","Fournisseur inconnu","Service inconnu")),IF(H1583="","Article manquant",IF(ISNA(MATCH(H1583,art_ref,0)),"Article inconnu",IF(OR(NOT(ISNUMBER(L1583)),N(L1583)&lt;=0),"Quantité invalide",IF(AND(K1583&lt;&gt;"",OR(NOT(ISNUMBER(K1583)),N(K1583)&lt;=0)),"Qté commandée invalide",IF(AG1583&lt;SUMPRODUCT(MAX((A$6:A1582=A1583)*AG$6:AG1582)),"Date antérieure au bon précédent",IF(AND(A1583&lt;&gt;"BR",ISNUMBER(M1583),N(M1583)&gt;0),IF(A1583="BL","Livré plus que commandé","Sorti plus que demandé"),"OK"))))))))))))</f>
        <v/>
      </c>
      <c r="Y1583" s="57" t="str">
        <f>IF(AND(OR(A1583="BL",A1583="BR",A1583="BS"),AG1583&gt;0,D1583&lt;&gt;""),A1583&amp;"|"&amp;AG1583&amp;"|"&amp;D1583&amp;"|"&amp;F1583,"")</f>
        <v/>
      </c>
      <c r="Z1583" s="57" t="str">
        <f>IF(Y1583="","",IF(COUNTIF(Y$6:Y1582,Y1583)=0,1,0))</f>
        <v/>
      </c>
      <c r="AA1583" s="57" t="str">
        <f>IF(Y1583="","",IF(Z1583=1,COUNTIFS(A$6:A1583,A1583,Z$6:Z1583,1),INDEX(AA$6:AA1582,MATCH(Y1583,Y$6:Y1582,0))))</f>
        <v/>
      </c>
      <c r="AB1583" s="57" t="str">
        <f>IF(B1583="","",COUNTIF(B$6:B1583,B1583))</f>
        <v/>
      </c>
      <c r="AC1583" s="57" t="str">
        <f>IF(B1583="","",B1583&amp;"#"&amp;AB1583)</f>
        <v/>
      </c>
      <c r="AD1583" s="57" t="str">
        <f>IF(Z1583=1,A1583&amp;AA1583,"")</f>
        <v/>
      </c>
      <c r="AE1583" s="57" t="str">
        <f>IF(B1583="","",YEAR(C1583))</f>
        <v/>
      </c>
      <c r="AF1583" s="57" t="str">
        <f>IF(B1583="","",MONTH(C1583))</f>
        <v/>
      </c>
      <c r="AG1583" s="57">
        <f>IF(ISNUMBER(C1583),C1583,0)</f>
        <v>0.0</v>
      </c>
      <c r="AH1583" s="57" t="str">
        <f>IF(N(W1583)&gt;0,COUNTIF(W$6:W1583,"&gt;0"),"")</f>
        <v/>
      </c>
      <c r="AI1583" s="57" t="str">
        <f>IF(Z1583=1,COUNTIF(Z$6:Z1583,1),"")</f>
        <v/>
      </c>
    </row>
    <row r="1584">
      <c r="A1584" s="54" t="n"/>
      <c r="B1584" s="55" t="str">
        <f>IF(AA1584="","",A1584&amp;"-"&amp;RIGHT("000"&amp;AA1584,4))</f>
        <v/>
      </c>
      <c r="C1584" s="56" t="n"/>
      <c r="D1584" s="54" t="n"/>
      <c r="E1584" s="57" t="str">
        <f>IF(D1584="","",IF(A1584="BL",IFERROR(INDEX(cl_name,MATCH(D1584,cl_code,0))&amp;"","Client inconnu"),IF(A1584="BR",IFERROR(INDEX(fo_name,MATCH(D1584,fo_code,0))&amp;"","Fournisseur inconnu"),IF(A1584="BS",IF(ISNA(MATCH(D1584,p_services,0)),"Service inconnu",D1584&amp;""),""))))</f>
        <v/>
      </c>
      <c r="F1584" s="58" t="n"/>
      <c r="G1584" s="58" t="n"/>
      <c r="H1584" s="59" t="n"/>
      <c r="I1584" s="57" t="str">
        <f>IF(H1584="","",IFERROR(INDEX(art_des,MATCH(H1584,art_ref,0))&amp;"","Article inconnu"))</f>
        <v/>
      </c>
      <c r="J1584" s="60" t="str">
        <f>IF(H1584="","",IFERROR(INDEX(art_unit,MATCH(H1584,art_ref,0))&amp;"",""))</f>
        <v/>
      </c>
      <c r="K1584" s="59" t="n"/>
      <c r="L1584" s="59" t="n"/>
      <c r="M1584" s="61" t="str">
        <f>IF(OR(B1584="",NOT(ISNUMBER(K1584)),NOT(ISNUMBER(L1584))),"",IF(OR(K1584&lt;=0,L1584&lt;=0),"",ROUND(L1584-K1584,6)))</f>
        <v/>
      </c>
      <c r="N1584" s="58" t="n"/>
      <c r="O1584" s="62" t="n"/>
      <c r="P1584" s="63" t="str">
        <f>IF(OR(B1584="",NOT(ISNUMBER(L1584))),"",IF(L1584&lt;=0,"",IFERROR(ROUND(L1584*N(INDEX(art_w,MATCH(H1584,art_ref,0))),3),"")))</f>
        <v/>
      </c>
      <c r="Q1584" s="59" t="n"/>
      <c r="R1584" s="54" t="n"/>
      <c r="S1584" s="59" t="n"/>
      <c r="T1584" s="59" t="n"/>
      <c r="U1584" s="64" t="str">
        <f>IF(OR(B1584="",H1584=""),"",IFERROR(IF(A1584="BL",IF(N(INDEX(art_price,MATCH(H1584,art_ref,0)))=0,"",N(INDEX(art_price,MATCH(H1584,art_ref,0)))),IF(N(INDEX(art_cost,MATCH(H1584,art_ref,0)))=0,"",N(INDEX(art_cost,MATCH(H1584,art_ref,0))))),""))</f>
        <v/>
      </c>
      <c r="V1584" s="64" t="str">
        <f>IF(OR(U1584="",NOT(ISNUMBER(L1584))),"",IF(L1584&lt;=0,"",ROUND(L1584*U1584,2)))</f>
        <v/>
      </c>
      <c r="W1584" s="60" t="str">
        <f>IF(AND(B1584&lt;&gt;"",A1584&lt;&gt;"BS",F1584&lt;&gt;"",H1584&lt;&gt;"",ISNUMBER(K1584),ISNUMBER(L1584)),IF(AND(K1584&gt;0,L1584&gt;0,K1584-L1584&gt;0,COUNTIFS(A1585:A$2005,A1584,F1585:F$2005,F1584,H1585:H$2005,H1584,AA1585:AA$2005,"&gt;0")=0),ROUND(K1584-L1584,6),""),"")</f>
        <v/>
      </c>
      <c r="X1584" s="60" t="str">
        <f>IF(AND(A1584="",C1584="",D1584="",H1584="",L1584=""),"",IF(A1584="","Type manquant",IF(AND(A1584&lt;&gt;"BL",A1584&lt;&gt;"BR",A1584&lt;&gt;"BS"),"Type inconnu (BL, BR ou BS)",IF(AG1584=0,"Date manquante ou invalide",IF(D1584="",IF(A1584="BL","Client manquant",IF(A1584="BR","Fournisseur manquant","Service manquant")),IF(IF(A1584="BL",ISNA(MATCH(D1584,cl_code,0)),IF(A1584="BR",ISNA(MATCH(D1584,fo_code,0)),ISNA(MATCH(D1584,p_services,0)))),IF(A1584="BL","Client inconnu",IF(A1584="BR","Fournisseur inconnu","Service inconnu")),IF(H1584="","Article manquant",IF(ISNA(MATCH(H1584,art_ref,0)),"Article inconnu",IF(OR(NOT(ISNUMBER(L1584)),N(L1584)&lt;=0),"Quantité invalide",IF(AND(K1584&lt;&gt;"",OR(NOT(ISNUMBER(K1584)),N(K1584)&lt;=0)),"Qté commandée invalide",IF(AG1584&lt;SUMPRODUCT(MAX((A$6:A1583=A1584)*AG$6:AG1583)),"Date antérieure au bon précédent",IF(AND(A1584&lt;&gt;"BR",ISNUMBER(M1584),N(M1584)&gt;0),IF(A1584="BL","Livré plus que commandé","Sorti plus que demandé"),"OK"))))))))))))</f>
        <v/>
      </c>
      <c r="Y1584" s="57" t="str">
        <f>IF(AND(OR(A1584="BL",A1584="BR",A1584="BS"),AG1584&gt;0,D1584&lt;&gt;""),A1584&amp;"|"&amp;AG1584&amp;"|"&amp;D1584&amp;"|"&amp;F1584,"")</f>
        <v/>
      </c>
      <c r="Z1584" s="57" t="str">
        <f>IF(Y1584="","",IF(COUNTIF(Y$6:Y1583,Y1584)=0,1,0))</f>
        <v/>
      </c>
      <c r="AA1584" s="57" t="str">
        <f>IF(Y1584="","",IF(Z1584=1,COUNTIFS(A$6:A1584,A1584,Z$6:Z1584,1),INDEX(AA$6:AA1583,MATCH(Y1584,Y$6:Y1583,0))))</f>
        <v/>
      </c>
      <c r="AB1584" s="57" t="str">
        <f>IF(B1584="","",COUNTIF(B$6:B1584,B1584))</f>
        <v/>
      </c>
      <c r="AC1584" s="57" t="str">
        <f>IF(B1584="","",B1584&amp;"#"&amp;AB1584)</f>
        <v/>
      </c>
      <c r="AD1584" s="57" t="str">
        <f>IF(Z1584=1,A1584&amp;AA1584,"")</f>
        <v/>
      </c>
      <c r="AE1584" s="57" t="str">
        <f>IF(B1584="","",YEAR(C1584))</f>
        <v/>
      </c>
      <c r="AF1584" s="57" t="str">
        <f>IF(B1584="","",MONTH(C1584))</f>
        <v/>
      </c>
      <c r="AG1584" s="57">
        <f>IF(ISNUMBER(C1584),C1584,0)</f>
        <v>0.0</v>
      </c>
      <c r="AH1584" s="57" t="str">
        <f>IF(N(W1584)&gt;0,COUNTIF(W$6:W1584,"&gt;0"),"")</f>
        <v/>
      </c>
      <c r="AI1584" s="57" t="str">
        <f>IF(Z1584=1,COUNTIF(Z$6:Z1584,1),"")</f>
        <v/>
      </c>
    </row>
    <row r="1585">
      <c r="A1585" s="54" t="n"/>
      <c r="B1585" s="55" t="str">
        <f>IF(AA1585="","",A1585&amp;"-"&amp;RIGHT("000"&amp;AA1585,4))</f>
        <v/>
      </c>
      <c r="C1585" s="56" t="n"/>
      <c r="D1585" s="54" t="n"/>
      <c r="E1585" s="57" t="str">
        <f>IF(D1585="","",IF(A1585="BL",IFERROR(INDEX(cl_name,MATCH(D1585,cl_code,0))&amp;"","Client inconnu"),IF(A1585="BR",IFERROR(INDEX(fo_name,MATCH(D1585,fo_code,0))&amp;"","Fournisseur inconnu"),IF(A1585="BS",IF(ISNA(MATCH(D1585,p_services,0)),"Service inconnu",D1585&amp;""),""))))</f>
        <v/>
      </c>
      <c r="F1585" s="58" t="n"/>
      <c r="G1585" s="58" t="n"/>
      <c r="H1585" s="59" t="n"/>
      <c r="I1585" s="57" t="str">
        <f>IF(H1585="","",IFERROR(INDEX(art_des,MATCH(H1585,art_ref,0))&amp;"","Article inconnu"))</f>
        <v/>
      </c>
      <c r="J1585" s="60" t="str">
        <f>IF(H1585="","",IFERROR(INDEX(art_unit,MATCH(H1585,art_ref,0))&amp;"",""))</f>
        <v/>
      </c>
      <c r="K1585" s="59" t="n"/>
      <c r="L1585" s="59" t="n"/>
      <c r="M1585" s="61" t="str">
        <f>IF(OR(B1585="",NOT(ISNUMBER(K1585)),NOT(ISNUMBER(L1585))),"",IF(OR(K1585&lt;=0,L1585&lt;=0),"",ROUND(L1585-K1585,6)))</f>
        <v/>
      </c>
      <c r="N1585" s="58" t="n"/>
      <c r="O1585" s="62" t="n"/>
      <c r="P1585" s="63" t="str">
        <f>IF(OR(B1585="",NOT(ISNUMBER(L1585))),"",IF(L1585&lt;=0,"",IFERROR(ROUND(L1585*N(INDEX(art_w,MATCH(H1585,art_ref,0))),3),"")))</f>
        <v/>
      </c>
      <c r="Q1585" s="59" t="n"/>
      <c r="R1585" s="54" t="n"/>
      <c r="S1585" s="59" t="n"/>
      <c r="T1585" s="59" t="n"/>
      <c r="U1585" s="64" t="str">
        <f>IF(OR(B1585="",H1585=""),"",IFERROR(IF(A1585="BL",IF(N(INDEX(art_price,MATCH(H1585,art_ref,0)))=0,"",N(INDEX(art_price,MATCH(H1585,art_ref,0)))),IF(N(INDEX(art_cost,MATCH(H1585,art_ref,0)))=0,"",N(INDEX(art_cost,MATCH(H1585,art_ref,0))))),""))</f>
        <v/>
      </c>
      <c r="V1585" s="64" t="str">
        <f>IF(OR(U1585="",NOT(ISNUMBER(L1585))),"",IF(L1585&lt;=0,"",ROUND(L1585*U1585,2)))</f>
        <v/>
      </c>
      <c r="W1585" s="60" t="str">
        <f>IF(AND(B1585&lt;&gt;"",A1585&lt;&gt;"BS",F1585&lt;&gt;"",H1585&lt;&gt;"",ISNUMBER(K1585),ISNUMBER(L1585)),IF(AND(K1585&gt;0,L1585&gt;0,K1585-L1585&gt;0,COUNTIFS(A1586:A$2005,A1585,F1586:F$2005,F1585,H1586:H$2005,H1585,AA1586:AA$2005,"&gt;0")=0),ROUND(K1585-L1585,6),""),"")</f>
        <v/>
      </c>
      <c r="X1585" s="60" t="str">
        <f>IF(AND(A1585="",C1585="",D1585="",H1585="",L1585=""),"",IF(A1585="","Type manquant",IF(AND(A1585&lt;&gt;"BL",A1585&lt;&gt;"BR",A1585&lt;&gt;"BS"),"Type inconnu (BL, BR ou BS)",IF(AG1585=0,"Date manquante ou invalide",IF(D1585="",IF(A1585="BL","Client manquant",IF(A1585="BR","Fournisseur manquant","Service manquant")),IF(IF(A1585="BL",ISNA(MATCH(D1585,cl_code,0)),IF(A1585="BR",ISNA(MATCH(D1585,fo_code,0)),ISNA(MATCH(D1585,p_services,0)))),IF(A1585="BL","Client inconnu",IF(A1585="BR","Fournisseur inconnu","Service inconnu")),IF(H1585="","Article manquant",IF(ISNA(MATCH(H1585,art_ref,0)),"Article inconnu",IF(OR(NOT(ISNUMBER(L1585)),N(L1585)&lt;=0),"Quantité invalide",IF(AND(K1585&lt;&gt;"",OR(NOT(ISNUMBER(K1585)),N(K1585)&lt;=0)),"Qté commandée invalide",IF(AG1585&lt;SUMPRODUCT(MAX((A$6:A1584=A1585)*AG$6:AG1584)),"Date antérieure au bon précédent",IF(AND(A1585&lt;&gt;"BR",ISNUMBER(M1585),N(M1585)&gt;0),IF(A1585="BL","Livré plus que commandé","Sorti plus que demandé"),"OK"))))))))))))</f>
        <v/>
      </c>
      <c r="Y1585" s="57" t="str">
        <f>IF(AND(OR(A1585="BL",A1585="BR",A1585="BS"),AG1585&gt;0,D1585&lt;&gt;""),A1585&amp;"|"&amp;AG1585&amp;"|"&amp;D1585&amp;"|"&amp;F1585,"")</f>
        <v/>
      </c>
      <c r="Z1585" s="57" t="str">
        <f>IF(Y1585="","",IF(COUNTIF(Y$6:Y1584,Y1585)=0,1,0))</f>
        <v/>
      </c>
      <c r="AA1585" s="57" t="str">
        <f>IF(Y1585="","",IF(Z1585=1,COUNTIFS(A$6:A1585,A1585,Z$6:Z1585,1),INDEX(AA$6:AA1584,MATCH(Y1585,Y$6:Y1584,0))))</f>
        <v/>
      </c>
      <c r="AB1585" s="57" t="str">
        <f>IF(B1585="","",COUNTIF(B$6:B1585,B1585))</f>
        <v/>
      </c>
      <c r="AC1585" s="57" t="str">
        <f>IF(B1585="","",B1585&amp;"#"&amp;AB1585)</f>
        <v/>
      </c>
      <c r="AD1585" s="57" t="str">
        <f>IF(Z1585=1,A1585&amp;AA1585,"")</f>
        <v/>
      </c>
      <c r="AE1585" s="57" t="str">
        <f>IF(B1585="","",YEAR(C1585))</f>
        <v/>
      </c>
      <c r="AF1585" s="57" t="str">
        <f>IF(B1585="","",MONTH(C1585))</f>
        <v/>
      </c>
      <c r="AG1585" s="57">
        <f>IF(ISNUMBER(C1585),C1585,0)</f>
        <v>0.0</v>
      </c>
      <c r="AH1585" s="57" t="str">
        <f>IF(N(W1585)&gt;0,COUNTIF(W$6:W1585,"&gt;0"),"")</f>
        <v/>
      </c>
      <c r="AI1585" s="57" t="str">
        <f>IF(Z1585=1,COUNTIF(Z$6:Z1585,1),"")</f>
        <v/>
      </c>
    </row>
    <row r="1586">
      <c r="A1586" s="54" t="n"/>
      <c r="B1586" s="55" t="str">
        <f>IF(AA1586="","",A1586&amp;"-"&amp;RIGHT("000"&amp;AA1586,4))</f>
        <v/>
      </c>
      <c r="C1586" s="56" t="n"/>
      <c r="D1586" s="54" t="n"/>
      <c r="E1586" s="57" t="str">
        <f>IF(D1586="","",IF(A1586="BL",IFERROR(INDEX(cl_name,MATCH(D1586,cl_code,0))&amp;"","Client inconnu"),IF(A1586="BR",IFERROR(INDEX(fo_name,MATCH(D1586,fo_code,0))&amp;"","Fournisseur inconnu"),IF(A1586="BS",IF(ISNA(MATCH(D1586,p_services,0)),"Service inconnu",D1586&amp;""),""))))</f>
        <v/>
      </c>
      <c r="F1586" s="58" t="n"/>
      <c r="G1586" s="58" t="n"/>
      <c r="H1586" s="59" t="n"/>
      <c r="I1586" s="57" t="str">
        <f>IF(H1586="","",IFERROR(INDEX(art_des,MATCH(H1586,art_ref,0))&amp;"","Article inconnu"))</f>
        <v/>
      </c>
      <c r="J1586" s="60" t="str">
        <f>IF(H1586="","",IFERROR(INDEX(art_unit,MATCH(H1586,art_ref,0))&amp;"",""))</f>
        <v/>
      </c>
      <c r="K1586" s="59" t="n"/>
      <c r="L1586" s="59" t="n"/>
      <c r="M1586" s="61" t="str">
        <f>IF(OR(B1586="",NOT(ISNUMBER(K1586)),NOT(ISNUMBER(L1586))),"",IF(OR(K1586&lt;=0,L1586&lt;=0),"",ROUND(L1586-K1586,6)))</f>
        <v/>
      </c>
      <c r="N1586" s="58" t="n"/>
      <c r="O1586" s="62" t="n"/>
      <c r="P1586" s="63" t="str">
        <f>IF(OR(B1586="",NOT(ISNUMBER(L1586))),"",IF(L1586&lt;=0,"",IFERROR(ROUND(L1586*N(INDEX(art_w,MATCH(H1586,art_ref,0))),3),"")))</f>
        <v/>
      </c>
      <c r="Q1586" s="59" t="n"/>
      <c r="R1586" s="54" t="n"/>
      <c r="S1586" s="59" t="n"/>
      <c r="T1586" s="59" t="n"/>
      <c r="U1586" s="64" t="str">
        <f>IF(OR(B1586="",H1586=""),"",IFERROR(IF(A1586="BL",IF(N(INDEX(art_price,MATCH(H1586,art_ref,0)))=0,"",N(INDEX(art_price,MATCH(H1586,art_ref,0)))),IF(N(INDEX(art_cost,MATCH(H1586,art_ref,0)))=0,"",N(INDEX(art_cost,MATCH(H1586,art_ref,0))))),""))</f>
        <v/>
      </c>
      <c r="V1586" s="64" t="str">
        <f>IF(OR(U1586="",NOT(ISNUMBER(L1586))),"",IF(L1586&lt;=0,"",ROUND(L1586*U1586,2)))</f>
        <v/>
      </c>
      <c r="W1586" s="60" t="str">
        <f>IF(AND(B1586&lt;&gt;"",A1586&lt;&gt;"BS",F1586&lt;&gt;"",H1586&lt;&gt;"",ISNUMBER(K1586),ISNUMBER(L1586)),IF(AND(K1586&gt;0,L1586&gt;0,K1586-L1586&gt;0,COUNTIFS(A1587:A$2005,A1586,F1587:F$2005,F1586,H1587:H$2005,H1586,AA1587:AA$2005,"&gt;0")=0),ROUND(K1586-L1586,6),""),"")</f>
        <v/>
      </c>
      <c r="X1586" s="60" t="str">
        <f>IF(AND(A1586="",C1586="",D1586="",H1586="",L1586=""),"",IF(A1586="","Type manquant",IF(AND(A1586&lt;&gt;"BL",A1586&lt;&gt;"BR",A1586&lt;&gt;"BS"),"Type inconnu (BL, BR ou BS)",IF(AG1586=0,"Date manquante ou invalide",IF(D1586="",IF(A1586="BL","Client manquant",IF(A1586="BR","Fournisseur manquant","Service manquant")),IF(IF(A1586="BL",ISNA(MATCH(D1586,cl_code,0)),IF(A1586="BR",ISNA(MATCH(D1586,fo_code,0)),ISNA(MATCH(D1586,p_services,0)))),IF(A1586="BL","Client inconnu",IF(A1586="BR","Fournisseur inconnu","Service inconnu")),IF(H1586="","Article manquant",IF(ISNA(MATCH(H1586,art_ref,0)),"Article inconnu",IF(OR(NOT(ISNUMBER(L1586)),N(L1586)&lt;=0),"Quantité invalide",IF(AND(K1586&lt;&gt;"",OR(NOT(ISNUMBER(K1586)),N(K1586)&lt;=0)),"Qté commandée invalide",IF(AG1586&lt;SUMPRODUCT(MAX((A$6:A1585=A1586)*AG$6:AG1585)),"Date antérieure au bon précédent",IF(AND(A1586&lt;&gt;"BR",ISNUMBER(M1586),N(M1586)&gt;0),IF(A1586="BL","Livré plus que commandé","Sorti plus que demandé"),"OK"))))))))))))</f>
        <v/>
      </c>
      <c r="Y1586" s="57" t="str">
        <f>IF(AND(OR(A1586="BL",A1586="BR",A1586="BS"),AG1586&gt;0,D1586&lt;&gt;""),A1586&amp;"|"&amp;AG1586&amp;"|"&amp;D1586&amp;"|"&amp;F1586,"")</f>
        <v/>
      </c>
      <c r="Z1586" s="57" t="str">
        <f>IF(Y1586="","",IF(COUNTIF(Y$6:Y1585,Y1586)=0,1,0))</f>
        <v/>
      </c>
      <c r="AA1586" s="57" t="str">
        <f>IF(Y1586="","",IF(Z1586=1,COUNTIFS(A$6:A1586,A1586,Z$6:Z1586,1),INDEX(AA$6:AA1585,MATCH(Y1586,Y$6:Y1585,0))))</f>
        <v/>
      </c>
      <c r="AB1586" s="57" t="str">
        <f>IF(B1586="","",COUNTIF(B$6:B1586,B1586))</f>
        <v/>
      </c>
      <c r="AC1586" s="57" t="str">
        <f>IF(B1586="","",B1586&amp;"#"&amp;AB1586)</f>
        <v/>
      </c>
      <c r="AD1586" s="57" t="str">
        <f>IF(Z1586=1,A1586&amp;AA1586,"")</f>
        <v/>
      </c>
      <c r="AE1586" s="57" t="str">
        <f>IF(B1586="","",YEAR(C1586))</f>
        <v/>
      </c>
      <c r="AF1586" s="57" t="str">
        <f>IF(B1586="","",MONTH(C1586))</f>
        <v/>
      </c>
      <c r="AG1586" s="57">
        <f>IF(ISNUMBER(C1586),C1586,0)</f>
        <v>0.0</v>
      </c>
      <c r="AH1586" s="57" t="str">
        <f>IF(N(W1586)&gt;0,COUNTIF(W$6:W1586,"&gt;0"),"")</f>
        <v/>
      </c>
      <c r="AI1586" s="57" t="str">
        <f>IF(Z1586=1,COUNTIF(Z$6:Z1586,1),"")</f>
        <v/>
      </c>
    </row>
    <row r="1587">
      <c r="A1587" s="54" t="n"/>
      <c r="B1587" s="55" t="str">
        <f>IF(AA1587="","",A1587&amp;"-"&amp;RIGHT("000"&amp;AA1587,4))</f>
        <v/>
      </c>
      <c r="C1587" s="56" t="n"/>
      <c r="D1587" s="54" t="n"/>
      <c r="E1587" s="57" t="str">
        <f>IF(D1587="","",IF(A1587="BL",IFERROR(INDEX(cl_name,MATCH(D1587,cl_code,0))&amp;"","Client inconnu"),IF(A1587="BR",IFERROR(INDEX(fo_name,MATCH(D1587,fo_code,0))&amp;"","Fournisseur inconnu"),IF(A1587="BS",IF(ISNA(MATCH(D1587,p_services,0)),"Service inconnu",D1587&amp;""),""))))</f>
        <v/>
      </c>
      <c r="F1587" s="58" t="n"/>
      <c r="G1587" s="58" t="n"/>
      <c r="H1587" s="59" t="n"/>
      <c r="I1587" s="57" t="str">
        <f>IF(H1587="","",IFERROR(INDEX(art_des,MATCH(H1587,art_ref,0))&amp;"","Article inconnu"))</f>
        <v/>
      </c>
      <c r="J1587" s="60" t="str">
        <f>IF(H1587="","",IFERROR(INDEX(art_unit,MATCH(H1587,art_ref,0))&amp;"",""))</f>
        <v/>
      </c>
      <c r="K1587" s="59" t="n"/>
      <c r="L1587" s="59" t="n"/>
      <c r="M1587" s="61" t="str">
        <f>IF(OR(B1587="",NOT(ISNUMBER(K1587)),NOT(ISNUMBER(L1587))),"",IF(OR(K1587&lt;=0,L1587&lt;=0),"",ROUND(L1587-K1587,6)))</f>
        <v/>
      </c>
      <c r="N1587" s="58" t="n"/>
      <c r="O1587" s="62" t="n"/>
      <c r="P1587" s="63" t="str">
        <f>IF(OR(B1587="",NOT(ISNUMBER(L1587))),"",IF(L1587&lt;=0,"",IFERROR(ROUND(L1587*N(INDEX(art_w,MATCH(H1587,art_ref,0))),3),"")))</f>
        <v/>
      </c>
      <c r="Q1587" s="59" t="n"/>
      <c r="R1587" s="54" t="n"/>
      <c r="S1587" s="59" t="n"/>
      <c r="T1587" s="59" t="n"/>
      <c r="U1587" s="64" t="str">
        <f>IF(OR(B1587="",H1587=""),"",IFERROR(IF(A1587="BL",IF(N(INDEX(art_price,MATCH(H1587,art_ref,0)))=0,"",N(INDEX(art_price,MATCH(H1587,art_ref,0)))),IF(N(INDEX(art_cost,MATCH(H1587,art_ref,0)))=0,"",N(INDEX(art_cost,MATCH(H1587,art_ref,0))))),""))</f>
        <v/>
      </c>
      <c r="V1587" s="64" t="str">
        <f>IF(OR(U1587="",NOT(ISNUMBER(L1587))),"",IF(L1587&lt;=0,"",ROUND(L1587*U1587,2)))</f>
        <v/>
      </c>
      <c r="W1587" s="60" t="str">
        <f>IF(AND(B1587&lt;&gt;"",A1587&lt;&gt;"BS",F1587&lt;&gt;"",H1587&lt;&gt;"",ISNUMBER(K1587),ISNUMBER(L1587)),IF(AND(K1587&gt;0,L1587&gt;0,K1587-L1587&gt;0,COUNTIFS(A1588:A$2005,A1587,F1588:F$2005,F1587,H1588:H$2005,H1587,AA1588:AA$2005,"&gt;0")=0),ROUND(K1587-L1587,6),""),"")</f>
        <v/>
      </c>
      <c r="X1587" s="60" t="str">
        <f>IF(AND(A1587="",C1587="",D1587="",H1587="",L1587=""),"",IF(A1587="","Type manquant",IF(AND(A1587&lt;&gt;"BL",A1587&lt;&gt;"BR",A1587&lt;&gt;"BS"),"Type inconnu (BL, BR ou BS)",IF(AG1587=0,"Date manquante ou invalide",IF(D1587="",IF(A1587="BL","Client manquant",IF(A1587="BR","Fournisseur manquant","Service manquant")),IF(IF(A1587="BL",ISNA(MATCH(D1587,cl_code,0)),IF(A1587="BR",ISNA(MATCH(D1587,fo_code,0)),ISNA(MATCH(D1587,p_services,0)))),IF(A1587="BL","Client inconnu",IF(A1587="BR","Fournisseur inconnu","Service inconnu")),IF(H1587="","Article manquant",IF(ISNA(MATCH(H1587,art_ref,0)),"Article inconnu",IF(OR(NOT(ISNUMBER(L1587)),N(L1587)&lt;=0),"Quantité invalide",IF(AND(K1587&lt;&gt;"",OR(NOT(ISNUMBER(K1587)),N(K1587)&lt;=0)),"Qté commandée invalide",IF(AG1587&lt;SUMPRODUCT(MAX((A$6:A1586=A1587)*AG$6:AG1586)),"Date antérieure au bon précédent",IF(AND(A1587&lt;&gt;"BR",ISNUMBER(M1587),N(M1587)&gt;0),IF(A1587="BL","Livré plus que commandé","Sorti plus que demandé"),"OK"))))))))))))</f>
        <v/>
      </c>
      <c r="Y1587" s="57" t="str">
        <f>IF(AND(OR(A1587="BL",A1587="BR",A1587="BS"),AG1587&gt;0,D1587&lt;&gt;""),A1587&amp;"|"&amp;AG1587&amp;"|"&amp;D1587&amp;"|"&amp;F1587,"")</f>
        <v/>
      </c>
      <c r="Z1587" s="57" t="str">
        <f>IF(Y1587="","",IF(COUNTIF(Y$6:Y1586,Y1587)=0,1,0))</f>
        <v/>
      </c>
      <c r="AA1587" s="57" t="str">
        <f>IF(Y1587="","",IF(Z1587=1,COUNTIFS(A$6:A1587,A1587,Z$6:Z1587,1),INDEX(AA$6:AA1586,MATCH(Y1587,Y$6:Y1586,0))))</f>
        <v/>
      </c>
      <c r="AB1587" s="57" t="str">
        <f>IF(B1587="","",COUNTIF(B$6:B1587,B1587))</f>
        <v/>
      </c>
      <c r="AC1587" s="57" t="str">
        <f>IF(B1587="","",B1587&amp;"#"&amp;AB1587)</f>
        <v/>
      </c>
      <c r="AD1587" s="57" t="str">
        <f>IF(Z1587=1,A1587&amp;AA1587,"")</f>
        <v/>
      </c>
      <c r="AE1587" s="57" t="str">
        <f>IF(B1587="","",YEAR(C1587))</f>
        <v/>
      </c>
      <c r="AF1587" s="57" t="str">
        <f>IF(B1587="","",MONTH(C1587))</f>
        <v/>
      </c>
      <c r="AG1587" s="57">
        <f>IF(ISNUMBER(C1587),C1587,0)</f>
        <v>0.0</v>
      </c>
      <c r="AH1587" s="57" t="str">
        <f>IF(N(W1587)&gt;0,COUNTIF(W$6:W1587,"&gt;0"),"")</f>
        <v/>
      </c>
      <c r="AI1587" s="57" t="str">
        <f>IF(Z1587=1,COUNTIF(Z$6:Z1587,1),"")</f>
        <v/>
      </c>
    </row>
    <row r="1588">
      <c r="A1588" s="54" t="n"/>
      <c r="B1588" s="55" t="str">
        <f>IF(AA1588="","",A1588&amp;"-"&amp;RIGHT("000"&amp;AA1588,4))</f>
        <v/>
      </c>
      <c r="C1588" s="56" t="n"/>
      <c r="D1588" s="54" t="n"/>
      <c r="E1588" s="57" t="str">
        <f>IF(D1588="","",IF(A1588="BL",IFERROR(INDEX(cl_name,MATCH(D1588,cl_code,0))&amp;"","Client inconnu"),IF(A1588="BR",IFERROR(INDEX(fo_name,MATCH(D1588,fo_code,0))&amp;"","Fournisseur inconnu"),IF(A1588="BS",IF(ISNA(MATCH(D1588,p_services,0)),"Service inconnu",D1588&amp;""),""))))</f>
        <v/>
      </c>
      <c r="F1588" s="58" t="n"/>
      <c r="G1588" s="58" t="n"/>
      <c r="H1588" s="59" t="n"/>
      <c r="I1588" s="57" t="str">
        <f>IF(H1588="","",IFERROR(INDEX(art_des,MATCH(H1588,art_ref,0))&amp;"","Article inconnu"))</f>
        <v/>
      </c>
      <c r="J1588" s="60" t="str">
        <f>IF(H1588="","",IFERROR(INDEX(art_unit,MATCH(H1588,art_ref,0))&amp;"",""))</f>
        <v/>
      </c>
      <c r="K1588" s="59" t="n"/>
      <c r="L1588" s="59" t="n"/>
      <c r="M1588" s="61" t="str">
        <f>IF(OR(B1588="",NOT(ISNUMBER(K1588)),NOT(ISNUMBER(L1588))),"",IF(OR(K1588&lt;=0,L1588&lt;=0),"",ROUND(L1588-K1588,6)))</f>
        <v/>
      </c>
      <c r="N1588" s="58" t="n"/>
      <c r="O1588" s="62" t="n"/>
      <c r="P1588" s="63" t="str">
        <f>IF(OR(B1588="",NOT(ISNUMBER(L1588))),"",IF(L1588&lt;=0,"",IFERROR(ROUND(L1588*N(INDEX(art_w,MATCH(H1588,art_ref,0))),3),"")))</f>
        <v/>
      </c>
      <c r="Q1588" s="59" t="n"/>
      <c r="R1588" s="54" t="n"/>
      <c r="S1588" s="59" t="n"/>
      <c r="T1588" s="59" t="n"/>
      <c r="U1588" s="64" t="str">
        <f>IF(OR(B1588="",H1588=""),"",IFERROR(IF(A1588="BL",IF(N(INDEX(art_price,MATCH(H1588,art_ref,0)))=0,"",N(INDEX(art_price,MATCH(H1588,art_ref,0)))),IF(N(INDEX(art_cost,MATCH(H1588,art_ref,0)))=0,"",N(INDEX(art_cost,MATCH(H1588,art_ref,0))))),""))</f>
        <v/>
      </c>
      <c r="V1588" s="64" t="str">
        <f>IF(OR(U1588="",NOT(ISNUMBER(L1588))),"",IF(L1588&lt;=0,"",ROUND(L1588*U1588,2)))</f>
        <v/>
      </c>
      <c r="W1588" s="60" t="str">
        <f>IF(AND(B1588&lt;&gt;"",A1588&lt;&gt;"BS",F1588&lt;&gt;"",H1588&lt;&gt;"",ISNUMBER(K1588),ISNUMBER(L1588)),IF(AND(K1588&gt;0,L1588&gt;0,K1588-L1588&gt;0,COUNTIFS(A1589:A$2005,A1588,F1589:F$2005,F1588,H1589:H$2005,H1588,AA1589:AA$2005,"&gt;0")=0),ROUND(K1588-L1588,6),""),"")</f>
        <v/>
      </c>
      <c r="X1588" s="60" t="str">
        <f>IF(AND(A1588="",C1588="",D1588="",H1588="",L1588=""),"",IF(A1588="","Type manquant",IF(AND(A1588&lt;&gt;"BL",A1588&lt;&gt;"BR",A1588&lt;&gt;"BS"),"Type inconnu (BL, BR ou BS)",IF(AG1588=0,"Date manquante ou invalide",IF(D1588="",IF(A1588="BL","Client manquant",IF(A1588="BR","Fournisseur manquant","Service manquant")),IF(IF(A1588="BL",ISNA(MATCH(D1588,cl_code,0)),IF(A1588="BR",ISNA(MATCH(D1588,fo_code,0)),ISNA(MATCH(D1588,p_services,0)))),IF(A1588="BL","Client inconnu",IF(A1588="BR","Fournisseur inconnu","Service inconnu")),IF(H1588="","Article manquant",IF(ISNA(MATCH(H1588,art_ref,0)),"Article inconnu",IF(OR(NOT(ISNUMBER(L1588)),N(L1588)&lt;=0),"Quantité invalide",IF(AND(K1588&lt;&gt;"",OR(NOT(ISNUMBER(K1588)),N(K1588)&lt;=0)),"Qté commandée invalide",IF(AG1588&lt;SUMPRODUCT(MAX((A$6:A1587=A1588)*AG$6:AG1587)),"Date antérieure au bon précédent",IF(AND(A1588&lt;&gt;"BR",ISNUMBER(M1588),N(M1588)&gt;0),IF(A1588="BL","Livré plus que commandé","Sorti plus que demandé"),"OK"))))))))))))</f>
        <v/>
      </c>
      <c r="Y1588" s="57" t="str">
        <f>IF(AND(OR(A1588="BL",A1588="BR",A1588="BS"),AG1588&gt;0,D1588&lt;&gt;""),A1588&amp;"|"&amp;AG1588&amp;"|"&amp;D1588&amp;"|"&amp;F1588,"")</f>
        <v/>
      </c>
      <c r="Z1588" s="57" t="str">
        <f>IF(Y1588="","",IF(COUNTIF(Y$6:Y1587,Y1588)=0,1,0))</f>
        <v/>
      </c>
      <c r="AA1588" s="57" t="str">
        <f>IF(Y1588="","",IF(Z1588=1,COUNTIFS(A$6:A1588,A1588,Z$6:Z1588,1),INDEX(AA$6:AA1587,MATCH(Y1588,Y$6:Y1587,0))))</f>
        <v/>
      </c>
      <c r="AB1588" s="57" t="str">
        <f>IF(B1588="","",COUNTIF(B$6:B1588,B1588))</f>
        <v/>
      </c>
      <c r="AC1588" s="57" t="str">
        <f>IF(B1588="","",B1588&amp;"#"&amp;AB1588)</f>
        <v/>
      </c>
      <c r="AD1588" s="57" t="str">
        <f>IF(Z1588=1,A1588&amp;AA1588,"")</f>
        <v/>
      </c>
      <c r="AE1588" s="57" t="str">
        <f>IF(B1588="","",YEAR(C1588))</f>
        <v/>
      </c>
      <c r="AF1588" s="57" t="str">
        <f>IF(B1588="","",MONTH(C1588))</f>
        <v/>
      </c>
      <c r="AG1588" s="57">
        <f>IF(ISNUMBER(C1588),C1588,0)</f>
        <v>0.0</v>
      </c>
      <c r="AH1588" s="57" t="str">
        <f>IF(N(W1588)&gt;0,COUNTIF(W$6:W1588,"&gt;0"),"")</f>
        <v/>
      </c>
      <c r="AI1588" s="57" t="str">
        <f>IF(Z1588=1,COUNTIF(Z$6:Z1588,1),"")</f>
        <v/>
      </c>
    </row>
    <row r="1589">
      <c r="A1589" s="54" t="n"/>
      <c r="B1589" s="55" t="str">
        <f>IF(AA1589="","",A1589&amp;"-"&amp;RIGHT("000"&amp;AA1589,4))</f>
        <v/>
      </c>
      <c r="C1589" s="56" t="n"/>
      <c r="D1589" s="54" t="n"/>
      <c r="E1589" s="57" t="str">
        <f>IF(D1589="","",IF(A1589="BL",IFERROR(INDEX(cl_name,MATCH(D1589,cl_code,0))&amp;"","Client inconnu"),IF(A1589="BR",IFERROR(INDEX(fo_name,MATCH(D1589,fo_code,0))&amp;"","Fournisseur inconnu"),IF(A1589="BS",IF(ISNA(MATCH(D1589,p_services,0)),"Service inconnu",D1589&amp;""),""))))</f>
        <v/>
      </c>
      <c r="F1589" s="58" t="n"/>
      <c r="G1589" s="58" t="n"/>
      <c r="H1589" s="59" t="n"/>
      <c r="I1589" s="57" t="str">
        <f>IF(H1589="","",IFERROR(INDEX(art_des,MATCH(H1589,art_ref,0))&amp;"","Article inconnu"))</f>
        <v/>
      </c>
      <c r="J1589" s="60" t="str">
        <f>IF(H1589="","",IFERROR(INDEX(art_unit,MATCH(H1589,art_ref,0))&amp;"",""))</f>
        <v/>
      </c>
      <c r="K1589" s="59" t="n"/>
      <c r="L1589" s="59" t="n"/>
      <c r="M1589" s="61" t="str">
        <f>IF(OR(B1589="",NOT(ISNUMBER(K1589)),NOT(ISNUMBER(L1589))),"",IF(OR(K1589&lt;=0,L1589&lt;=0),"",ROUND(L1589-K1589,6)))</f>
        <v/>
      </c>
      <c r="N1589" s="58" t="n"/>
      <c r="O1589" s="62" t="n"/>
      <c r="P1589" s="63" t="str">
        <f>IF(OR(B1589="",NOT(ISNUMBER(L1589))),"",IF(L1589&lt;=0,"",IFERROR(ROUND(L1589*N(INDEX(art_w,MATCH(H1589,art_ref,0))),3),"")))</f>
        <v/>
      </c>
      <c r="Q1589" s="59" t="n"/>
      <c r="R1589" s="54" t="n"/>
      <c r="S1589" s="59" t="n"/>
      <c r="T1589" s="59" t="n"/>
      <c r="U1589" s="64" t="str">
        <f>IF(OR(B1589="",H1589=""),"",IFERROR(IF(A1589="BL",IF(N(INDEX(art_price,MATCH(H1589,art_ref,0)))=0,"",N(INDEX(art_price,MATCH(H1589,art_ref,0)))),IF(N(INDEX(art_cost,MATCH(H1589,art_ref,0)))=0,"",N(INDEX(art_cost,MATCH(H1589,art_ref,0))))),""))</f>
        <v/>
      </c>
      <c r="V1589" s="64" t="str">
        <f>IF(OR(U1589="",NOT(ISNUMBER(L1589))),"",IF(L1589&lt;=0,"",ROUND(L1589*U1589,2)))</f>
        <v/>
      </c>
      <c r="W1589" s="60" t="str">
        <f>IF(AND(B1589&lt;&gt;"",A1589&lt;&gt;"BS",F1589&lt;&gt;"",H1589&lt;&gt;"",ISNUMBER(K1589),ISNUMBER(L1589)),IF(AND(K1589&gt;0,L1589&gt;0,K1589-L1589&gt;0,COUNTIFS(A1590:A$2005,A1589,F1590:F$2005,F1589,H1590:H$2005,H1589,AA1590:AA$2005,"&gt;0")=0),ROUND(K1589-L1589,6),""),"")</f>
        <v/>
      </c>
      <c r="X1589" s="60" t="str">
        <f>IF(AND(A1589="",C1589="",D1589="",H1589="",L1589=""),"",IF(A1589="","Type manquant",IF(AND(A1589&lt;&gt;"BL",A1589&lt;&gt;"BR",A1589&lt;&gt;"BS"),"Type inconnu (BL, BR ou BS)",IF(AG1589=0,"Date manquante ou invalide",IF(D1589="",IF(A1589="BL","Client manquant",IF(A1589="BR","Fournisseur manquant","Service manquant")),IF(IF(A1589="BL",ISNA(MATCH(D1589,cl_code,0)),IF(A1589="BR",ISNA(MATCH(D1589,fo_code,0)),ISNA(MATCH(D1589,p_services,0)))),IF(A1589="BL","Client inconnu",IF(A1589="BR","Fournisseur inconnu","Service inconnu")),IF(H1589="","Article manquant",IF(ISNA(MATCH(H1589,art_ref,0)),"Article inconnu",IF(OR(NOT(ISNUMBER(L1589)),N(L1589)&lt;=0),"Quantité invalide",IF(AND(K1589&lt;&gt;"",OR(NOT(ISNUMBER(K1589)),N(K1589)&lt;=0)),"Qté commandée invalide",IF(AG1589&lt;SUMPRODUCT(MAX((A$6:A1588=A1589)*AG$6:AG1588)),"Date antérieure au bon précédent",IF(AND(A1589&lt;&gt;"BR",ISNUMBER(M1589),N(M1589)&gt;0),IF(A1589="BL","Livré plus que commandé","Sorti plus que demandé"),"OK"))))))))))))</f>
        <v/>
      </c>
      <c r="Y1589" s="57" t="str">
        <f>IF(AND(OR(A1589="BL",A1589="BR",A1589="BS"),AG1589&gt;0,D1589&lt;&gt;""),A1589&amp;"|"&amp;AG1589&amp;"|"&amp;D1589&amp;"|"&amp;F1589,"")</f>
        <v/>
      </c>
      <c r="Z1589" s="57" t="str">
        <f>IF(Y1589="","",IF(COUNTIF(Y$6:Y1588,Y1589)=0,1,0))</f>
        <v/>
      </c>
      <c r="AA1589" s="57" t="str">
        <f>IF(Y1589="","",IF(Z1589=1,COUNTIFS(A$6:A1589,A1589,Z$6:Z1589,1),INDEX(AA$6:AA1588,MATCH(Y1589,Y$6:Y1588,0))))</f>
        <v/>
      </c>
      <c r="AB1589" s="57" t="str">
        <f>IF(B1589="","",COUNTIF(B$6:B1589,B1589))</f>
        <v/>
      </c>
      <c r="AC1589" s="57" t="str">
        <f>IF(B1589="","",B1589&amp;"#"&amp;AB1589)</f>
        <v/>
      </c>
      <c r="AD1589" s="57" t="str">
        <f>IF(Z1589=1,A1589&amp;AA1589,"")</f>
        <v/>
      </c>
      <c r="AE1589" s="57" t="str">
        <f>IF(B1589="","",YEAR(C1589))</f>
        <v/>
      </c>
      <c r="AF1589" s="57" t="str">
        <f>IF(B1589="","",MONTH(C1589))</f>
        <v/>
      </c>
      <c r="AG1589" s="57">
        <f>IF(ISNUMBER(C1589),C1589,0)</f>
        <v>0.0</v>
      </c>
      <c r="AH1589" s="57" t="str">
        <f>IF(N(W1589)&gt;0,COUNTIF(W$6:W1589,"&gt;0"),"")</f>
        <v/>
      </c>
      <c r="AI1589" s="57" t="str">
        <f>IF(Z1589=1,COUNTIF(Z$6:Z1589,1),"")</f>
        <v/>
      </c>
    </row>
    <row r="1590">
      <c r="A1590" s="54" t="n"/>
      <c r="B1590" s="55" t="str">
        <f>IF(AA1590="","",A1590&amp;"-"&amp;RIGHT("000"&amp;AA1590,4))</f>
        <v/>
      </c>
      <c r="C1590" s="56" t="n"/>
      <c r="D1590" s="54" t="n"/>
      <c r="E1590" s="57" t="str">
        <f>IF(D1590="","",IF(A1590="BL",IFERROR(INDEX(cl_name,MATCH(D1590,cl_code,0))&amp;"","Client inconnu"),IF(A1590="BR",IFERROR(INDEX(fo_name,MATCH(D1590,fo_code,0))&amp;"","Fournisseur inconnu"),IF(A1590="BS",IF(ISNA(MATCH(D1590,p_services,0)),"Service inconnu",D1590&amp;""),""))))</f>
        <v/>
      </c>
      <c r="F1590" s="58" t="n"/>
      <c r="G1590" s="58" t="n"/>
      <c r="H1590" s="59" t="n"/>
      <c r="I1590" s="57" t="str">
        <f>IF(H1590="","",IFERROR(INDEX(art_des,MATCH(H1590,art_ref,0))&amp;"","Article inconnu"))</f>
        <v/>
      </c>
      <c r="J1590" s="60" t="str">
        <f>IF(H1590="","",IFERROR(INDEX(art_unit,MATCH(H1590,art_ref,0))&amp;"",""))</f>
        <v/>
      </c>
      <c r="K1590" s="59" t="n"/>
      <c r="L1590" s="59" t="n"/>
      <c r="M1590" s="61" t="str">
        <f>IF(OR(B1590="",NOT(ISNUMBER(K1590)),NOT(ISNUMBER(L1590))),"",IF(OR(K1590&lt;=0,L1590&lt;=0),"",ROUND(L1590-K1590,6)))</f>
        <v/>
      </c>
      <c r="N1590" s="58" t="n"/>
      <c r="O1590" s="62" t="n"/>
      <c r="P1590" s="63" t="str">
        <f>IF(OR(B1590="",NOT(ISNUMBER(L1590))),"",IF(L1590&lt;=0,"",IFERROR(ROUND(L1590*N(INDEX(art_w,MATCH(H1590,art_ref,0))),3),"")))</f>
        <v/>
      </c>
      <c r="Q1590" s="59" t="n"/>
      <c r="R1590" s="54" t="n"/>
      <c r="S1590" s="59" t="n"/>
      <c r="T1590" s="59" t="n"/>
      <c r="U1590" s="64" t="str">
        <f>IF(OR(B1590="",H1590=""),"",IFERROR(IF(A1590="BL",IF(N(INDEX(art_price,MATCH(H1590,art_ref,0)))=0,"",N(INDEX(art_price,MATCH(H1590,art_ref,0)))),IF(N(INDEX(art_cost,MATCH(H1590,art_ref,0)))=0,"",N(INDEX(art_cost,MATCH(H1590,art_ref,0))))),""))</f>
        <v/>
      </c>
      <c r="V1590" s="64" t="str">
        <f>IF(OR(U1590="",NOT(ISNUMBER(L1590))),"",IF(L1590&lt;=0,"",ROUND(L1590*U1590,2)))</f>
        <v/>
      </c>
      <c r="W1590" s="60" t="str">
        <f>IF(AND(B1590&lt;&gt;"",A1590&lt;&gt;"BS",F1590&lt;&gt;"",H1590&lt;&gt;"",ISNUMBER(K1590),ISNUMBER(L1590)),IF(AND(K1590&gt;0,L1590&gt;0,K1590-L1590&gt;0,COUNTIFS(A1591:A$2005,A1590,F1591:F$2005,F1590,H1591:H$2005,H1590,AA1591:AA$2005,"&gt;0")=0),ROUND(K1590-L1590,6),""),"")</f>
        <v/>
      </c>
      <c r="X1590" s="60" t="str">
        <f>IF(AND(A1590="",C1590="",D1590="",H1590="",L1590=""),"",IF(A1590="","Type manquant",IF(AND(A1590&lt;&gt;"BL",A1590&lt;&gt;"BR",A1590&lt;&gt;"BS"),"Type inconnu (BL, BR ou BS)",IF(AG1590=0,"Date manquante ou invalide",IF(D1590="",IF(A1590="BL","Client manquant",IF(A1590="BR","Fournisseur manquant","Service manquant")),IF(IF(A1590="BL",ISNA(MATCH(D1590,cl_code,0)),IF(A1590="BR",ISNA(MATCH(D1590,fo_code,0)),ISNA(MATCH(D1590,p_services,0)))),IF(A1590="BL","Client inconnu",IF(A1590="BR","Fournisseur inconnu","Service inconnu")),IF(H1590="","Article manquant",IF(ISNA(MATCH(H1590,art_ref,0)),"Article inconnu",IF(OR(NOT(ISNUMBER(L1590)),N(L1590)&lt;=0),"Quantité invalide",IF(AND(K1590&lt;&gt;"",OR(NOT(ISNUMBER(K1590)),N(K1590)&lt;=0)),"Qté commandée invalide",IF(AG1590&lt;SUMPRODUCT(MAX((A$6:A1589=A1590)*AG$6:AG1589)),"Date antérieure au bon précédent",IF(AND(A1590&lt;&gt;"BR",ISNUMBER(M1590),N(M1590)&gt;0),IF(A1590="BL","Livré plus que commandé","Sorti plus que demandé"),"OK"))))))))))))</f>
        <v/>
      </c>
      <c r="Y1590" s="57" t="str">
        <f>IF(AND(OR(A1590="BL",A1590="BR",A1590="BS"),AG1590&gt;0,D1590&lt;&gt;""),A1590&amp;"|"&amp;AG1590&amp;"|"&amp;D1590&amp;"|"&amp;F1590,"")</f>
        <v/>
      </c>
      <c r="Z1590" s="57" t="str">
        <f>IF(Y1590="","",IF(COUNTIF(Y$6:Y1589,Y1590)=0,1,0))</f>
        <v/>
      </c>
      <c r="AA1590" s="57" t="str">
        <f>IF(Y1590="","",IF(Z1590=1,COUNTIFS(A$6:A1590,A1590,Z$6:Z1590,1),INDEX(AA$6:AA1589,MATCH(Y1590,Y$6:Y1589,0))))</f>
        <v/>
      </c>
      <c r="AB1590" s="57" t="str">
        <f>IF(B1590="","",COUNTIF(B$6:B1590,B1590))</f>
        <v/>
      </c>
      <c r="AC1590" s="57" t="str">
        <f>IF(B1590="","",B1590&amp;"#"&amp;AB1590)</f>
        <v/>
      </c>
      <c r="AD1590" s="57" t="str">
        <f>IF(Z1590=1,A1590&amp;AA1590,"")</f>
        <v/>
      </c>
      <c r="AE1590" s="57" t="str">
        <f>IF(B1590="","",YEAR(C1590))</f>
        <v/>
      </c>
      <c r="AF1590" s="57" t="str">
        <f>IF(B1590="","",MONTH(C1590))</f>
        <v/>
      </c>
      <c r="AG1590" s="57">
        <f>IF(ISNUMBER(C1590),C1590,0)</f>
        <v>0.0</v>
      </c>
      <c r="AH1590" s="57" t="str">
        <f>IF(N(W1590)&gt;0,COUNTIF(W$6:W1590,"&gt;0"),"")</f>
        <v/>
      </c>
      <c r="AI1590" s="57" t="str">
        <f>IF(Z1590=1,COUNTIF(Z$6:Z1590,1),"")</f>
        <v/>
      </c>
    </row>
    <row r="1591">
      <c r="A1591" s="54" t="n"/>
      <c r="B1591" s="55" t="str">
        <f>IF(AA1591="","",A1591&amp;"-"&amp;RIGHT("000"&amp;AA1591,4))</f>
        <v/>
      </c>
      <c r="C1591" s="56" t="n"/>
      <c r="D1591" s="54" t="n"/>
      <c r="E1591" s="57" t="str">
        <f>IF(D1591="","",IF(A1591="BL",IFERROR(INDEX(cl_name,MATCH(D1591,cl_code,0))&amp;"","Client inconnu"),IF(A1591="BR",IFERROR(INDEX(fo_name,MATCH(D1591,fo_code,0))&amp;"","Fournisseur inconnu"),IF(A1591="BS",IF(ISNA(MATCH(D1591,p_services,0)),"Service inconnu",D1591&amp;""),""))))</f>
        <v/>
      </c>
      <c r="F1591" s="58" t="n"/>
      <c r="G1591" s="58" t="n"/>
      <c r="H1591" s="59" t="n"/>
      <c r="I1591" s="57" t="str">
        <f>IF(H1591="","",IFERROR(INDEX(art_des,MATCH(H1591,art_ref,0))&amp;"","Article inconnu"))</f>
        <v/>
      </c>
      <c r="J1591" s="60" t="str">
        <f>IF(H1591="","",IFERROR(INDEX(art_unit,MATCH(H1591,art_ref,0))&amp;"",""))</f>
        <v/>
      </c>
      <c r="K1591" s="59" t="n"/>
      <c r="L1591" s="59" t="n"/>
      <c r="M1591" s="61" t="str">
        <f>IF(OR(B1591="",NOT(ISNUMBER(K1591)),NOT(ISNUMBER(L1591))),"",IF(OR(K1591&lt;=0,L1591&lt;=0),"",ROUND(L1591-K1591,6)))</f>
        <v/>
      </c>
      <c r="N1591" s="58" t="n"/>
      <c r="O1591" s="62" t="n"/>
      <c r="P1591" s="63" t="str">
        <f>IF(OR(B1591="",NOT(ISNUMBER(L1591))),"",IF(L1591&lt;=0,"",IFERROR(ROUND(L1591*N(INDEX(art_w,MATCH(H1591,art_ref,0))),3),"")))</f>
        <v/>
      </c>
      <c r="Q1591" s="59" t="n"/>
      <c r="R1591" s="54" t="n"/>
      <c r="S1591" s="59" t="n"/>
      <c r="T1591" s="59" t="n"/>
      <c r="U1591" s="64" t="str">
        <f>IF(OR(B1591="",H1591=""),"",IFERROR(IF(A1591="BL",IF(N(INDEX(art_price,MATCH(H1591,art_ref,0)))=0,"",N(INDEX(art_price,MATCH(H1591,art_ref,0)))),IF(N(INDEX(art_cost,MATCH(H1591,art_ref,0)))=0,"",N(INDEX(art_cost,MATCH(H1591,art_ref,0))))),""))</f>
        <v/>
      </c>
      <c r="V1591" s="64" t="str">
        <f>IF(OR(U1591="",NOT(ISNUMBER(L1591))),"",IF(L1591&lt;=0,"",ROUND(L1591*U1591,2)))</f>
        <v/>
      </c>
      <c r="W1591" s="60" t="str">
        <f>IF(AND(B1591&lt;&gt;"",A1591&lt;&gt;"BS",F1591&lt;&gt;"",H1591&lt;&gt;"",ISNUMBER(K1591),ISNUMBER(L1591)),IF(AND(K1591&gt;0,L1591&gt;0,K1591-L1591&gt;0,COUNTIFS(A1592:A$2005,A1591,F1592:F$2005,F1591,H1592:H$2005,H1591,AA1592:AA$2005,"&gt;0")=0),ROUND(K1591-L1591,6),""),"")</f>
        <v/>
      </c>
      <c r="X1591" s="60" t="str">
        <f>IF(AND(A1591="",C1591="",D1591="",H1591="",L1591=""),"",IF(A1591="","Type manquant",IF(AND(A1591&lt;&gt;"BL",A1591&lt;&gt;"BR",A1591&lt;&gt;"BS"),"Type inconnu (BL, BR ou BS)",IF(AG1591=0,"Date manquante ou invalide",IF(D1591="",IF(A1591="BL","Client manquant",IF(A1591="BR","Fournisseur manquant","Service manquant")),IF(IF(A1591="BL",ISNA(MATCH(D1591,cl_code,0)),IF(A1591="BR",ISNA(MATCH(D1591,fo_code,0)),ISNA(MATCH(D1591,p_services,0)))),IF(A1591="BL","Client inconnu",IF(A1591="BR","Fournisseur inconnu","Service inconnu")),IF(H1591="","Article manquant",IF(ISNA(MATCH(H1591,art_ref,0)),"Article inconnu",IF(OR(NOT(ISNUMBER(L1591)),N(L1591)&lt;=0),"Quantité invalide",IF(AND(K1591&lt;&gt;"",OR(NOT(ISNUMBER(K1591)),N(K1591)&lt;=0)),"Qté commandée invalide",IF(AG1591&lt;SUMPRODUCT(MAX((A$6:A1590=A1591)*AG$6:AG1590)),"Date antérieure au bon précédent",IF(AND(A1591&lt;&gt;"BR",ISNUMBER(M1591),N(M1591)&gt;0),IF(A1591="BL","Livré plus que commandé","Sorti plus que demandé"),"OK"))))))))))))</f>
        <v/>
      </c>
      <c r="Y1591" s="57" t="str">
        <f>IF(AND(OR(A1591="BL",A1591="BR",A1591="BS"),AG1591&gt;0,D1591&lt;&gt;""),A1591&amp;"|"&amp;AG1591&amp;"|"&amp;D1591&amp;"|"&amp;F1591,"")</f>
        <v/>
      </c>
      <c r="Z1591" s="57" t="str">
        <f>IF(Y1591="","",IF(COUNTIF(Y$6:Y1590,Y1591)=0,1,0))</f>
        <v/>
      </c>
      <c r="AA1591" s="57" t="str">
        <f>IF(Y1591="","",IF(Z1591=1,COUNTIFS(A$6:A1591,A1591,Z$6:Z1591,1),INDEX(AA$6:AA1590,MATCH(Y1591,Y$6:Y1590,0))))</f>
        <v/>
      </c>
      <c r="AB1591" s="57" t="str">
        <f>IF(B1591="","",COUNTIF(B$6:B1591,B1591))</f>
        <v/>
      </c>
      <c r="AC1591" s="57" t="str">
        <f>IF(B1591="","",B1591&amp;"#"&amp;AB1591)</f>
        <v/>
      </c>
      <c r="AD1591" s="57" t="str">
        <f>IF(Z1591=1,A1591&amp;AA1591,"")</f>
        <v/>
      </c>
      <c r="AE1591" s="57" t="str">
        <f>IF(B1591="","",YEAR(C1591))</f>
        <v/>
      </c>
      <c r="AF1591" s="57" t="str">
        <f>IF(B1591="","",MONTH(C1591))</f>
        <v/>
      </c>
      <c r="AG1591" s="57">
        <f>IF(ISNUMBER(C1591),C1591,0)</f>
        <v>0.0</v>
      </c>
      <c r="AH1591" s="57" t="str">
        <f>IF(N(W1591)&gt;0,COUNTIF(W$6:W1591,"&gt;0"),"")</f>
        <v/>
      </c>
      <c r="AI1591" s="57" t="str">
        <f>IF(Z1591=1,COUNTIF(Z$6:Z1591,1),"")</f>
        <v/>
      </c>
    </row>
    <row r="1592">
      <c r="A1592" s="54" t="n"/>
      <c r="B1592" s="55" t="str">
        <f>IF(AA1592="","",A1592&amp;"-"&amp;RIGHT("000"&amp;AA1592,4))</f>
        <v/>
      </c>
      <c r="C1592" s="56" t="n"/>
      <c r="D1592" s="54" t="n"/>
      <c r="E1592" s="57" t="str">
        <f>IF(D1592="","",IF(A1592="BL",IFERROR(INDEX(cl_name,MATCH(D1592,cl_code,0))&amp;"","Client inconnu"),IF(A1592="BR",IFERROR(INDEX(fo_name,MATCH(D1592,fo_code,0))&amp;"","Fournisseur inconnu"),IF(A1592="BS",IF(ISNA(MATCH(D1592,p_services,0)),"Service inconnu",D1592&amp;""),""))))</f>
        <v/>
      </c>
      <c r="F1592" s="58" t="n"/>
      <c r="G1592" s="58" t="n"/>
      <c r="H1592" s="59" t="n"/>
      <c r="I1592" s="57" t="str">
        <f>IF(H1592="","",IFERROR(INDEX(art_des,MATCH(H1592,art_ref,0))&amp;"","Article inconnu"))</f>
        <v/>
      </c>
      <c r="J1592" s="60" t="str">
        <f>IF(H1592="","",IFERROR(INDEX(art_unit,MATCH(H1592,art_ref,0))&amp;"",""))</f>
        <v/>
      </c>
      <c r="K1592" s="59" t="n"/>
      <c r="L1592" s="59" t="n"/>
      <c r="M1592" s="61" t="str">
        <f>IF(OR(B1592="",NOT(ISNUMBER(K1592)),NOT(ISNUMBER(L1592))),"",IF(OR(K1592&lt;=0,L1592&lt;=0),"",ROUND(L1592-K1592,6)))</f>
        <v/>
      </c>
      <c r="N1592" s="58" t="n"/>
      <c r="O1592" s="62" t="n"/>
      <c r="P1592" s="63" t="str">
        <f>IF(OR(B1592="",NOT(ISNUMBER(L1592))),"",IF(L1592&lt;=0,"",IFERROR(ROUND(L1592*N(INDEX(art_w,MATCH(H1592,art_ref,0))),3),"")))</f>
        <v/>
      </c>
      <c r="Q1592" s="59" t="n"/>
      <c r="R1592" s="54" t="n"/>
      <c r="S1592" s="59" t="n"/>
      <c r="T1592" s="59" t="n"/>
      <c r="U1592" s="64" t="str">
        <f>IF(OR(B1592="",H1592=""),"",IFERROR(IF(A1592="BL",IF(N(INDEX(art_price,MATCH(H1592,art_ref,0)))=0,"",N(INDEX(art_price,MATCH(H1592,art_ref,0)))),IF(N(INDEX(art_cost,MATCH(H1592,art_ref,0)))=0,"",N(INDEX(art_cost,MATCH(H1592,art_ref,0))))),""))</f>
        <v/>
      </c>
      <c r="V1592" s="64" t="str">
        <f>IF(OR(U1592="",NOT(ISNUMBER(L1592))),"",IF(L1592&lt;=0,"",ROUND(L1592*U1592,2)))</f>
        <v/>
      </c>
      <c r="W1592" s="60" t="str">
        <f>IF(AND(B1592&lt;&gt;"",A1592&lt;&gt;"BS",F1592&lt;&gt;"",H1592&lt;&gt;"",ISNUMBER(K1592),ISNUMBER(L1592)),IF(AND(K1592&gt;0,L1592&gt;0,K1592-L1592&gt;0,COUNTIFS(A1593:A$2005,A1592,F1593:F$2005,F1592,H1593:H$2005,H1592,AA1593:AA$2005,"&gt;0")=0),ROUND(K1592-L1592,6),""),"")</f>
        <v/>
      </c>
      <c r="X1592" s="60" t="str">
        <f>IF(AND(A1592="",C1592="",D1592="",H1592="",L1592=""),"",IF(A1592="","Type manquant",IF(AND(A1592&lt;&gt;"BL",A1592&lt;&gt;"BR",A1592&lt;&gt;"BS"),"Type inconnu (BL, BR ou BS)",IF(AG1592=0,"Date manquante ou invalide",IF(D1592="",IF(A1592="BL","Client manquant",IF(A1592="BR","Fournisseur manquant","Service manquant")),IF(IF(A1592="BL",ISNA(MATCH(D1592,cl_code,0)),IF(A1592="BR",ISNA(MATCH(D1592,fo_code,0)),ISNA(MATCH(D1592,p_services,0)))),IF(A1592="BL","Client inconnu",IF(A1592="BR","Fournisseur inconnu","Service inconnu")),IF(H1592="","Article manquant",IF(ISNA(MATCH(H1592,art_ref,0)),"Article inconnu",IF(OR(NOT(ISNUMBER(L1592)),N(L1592)&lt;=0),"Quantité invalide",IF(AND(K1592&lt;&gt;"",OR(NOT(ISNUMBER(K1592)),N(K1592)&lt;=0)),"Qté commandée invalide",IF(AG1592&lt;SUMPRODUCT(MAX((A$6:A1591=A1592)*AG$6:AG1591)),"Date antérieure au bon précédent",IF(AND(A1592&lt;&gt;"BR",ISNUMBER(M1592),N(M1592)&gt;0),IF(A1592="BL","Livré plus que commandé","Sorti plus que demandé"),"OK"))))))))))))</f>
        <v/>
      </c>
      <c r="Y1592" s="57" t="str">
        <f>IF(AND(OR(A1592="BL",A1592="BR",A1592="BS"),AG1592&gt;0,D1592&lt;&gt;""),A1592&amp;"|"&amp;AG1592&amp;"|"&amp;D1592&amp;"|"&amp;F1592,"")</f>
        <v/>
      </c>
      <c r="Z1592" s="57" t="str">
        <f>IF(Y1592="","",IF(COUNTIF(Y$6:Y1591,Y1592)=0,1,0))</f>
        <v/>
      </c>
      <c r="AA1592" s="57" t="str">
        <f>IF(Y1592="","",IF(Z1592=1,COUNTIFS(A$6:A1592,A1592,Z$6:Z1592,1),INDEX(AA$6:AA1591,MATCH(Y1592,Y$6:Y1591,0))))</f>
        <v/>
      </c>
      <c r="AB1592" s="57" t="str">
        <f>IF(B1592="","",COUNTIF(B$6:B1592,B1592))</f>
        <v/>
      </c>
      <c r="AC1592" s="57" t="str">
        <f>IF(B1592="","",B1592&amp;"#"&amp;AB1592)</f>
        <v/>
      </c>
      <c r="AD1592" s="57" t="str">
        <f>IF(Z1592=1,A1592&amp;AA1592,"")</f>
        <v/>
      </c>
      <c r="AE1592" s="57" t="str">
        <f>IF(B1592="","",YEAR(C1592))</f>
        <v/>
      </c>
      <c r="AF1592" s="57" t="str">
        <f>IF(B1592="","",MONTH(C1592))</f>
        <v/>
      </c>
      <c r="AG1592" s="57">
        <f>IF(ISNUMBER(C1592),C1592,0)</f>
        <v>0.0</v>
      </c>
      <c r="AH1592" s="57" t="str">
        <f>IF(N(W1592)&gt;0,COUNTIF(W$6:W1592,"&gt;0"),"")</f>
        <v/>
      </c>
      <c r="AI1592" s="57" t="str">
        <f>IF(Z1592=1,COUNTIF(Z$6:Z1592,1),"")</f>
        <v/>
      </c>
    </row>
    <row r="1593">
      <c r="A1593" s="54" t="n"/>
      <c r="B1593" s="55" t="str">
        <f>IF(AA1593="","",A1593&amp;"-"&amp;RIGHT("000"&amp;AA1593,4))</f>
        <v/>
      </c>
      <c r="C1593" s="56" t="n"/>
      <c r="D1593" s="54" t="n"/>
      <c r="E1593" s="57" t="str">
        <f>IF(D1593="","",IF(A1593="BL",IFERROR(INDEX(cl_name,MATCH(D1593,cl_code,0))&amp;"","Client inconnu"),IF(A1593="BR",IFERROR(INDEX(fo_name,MATCH(D1593,fo_code,0))&amp;"","Fournisseur inconnu"),IF(A1593="BS",IF(ISNA(MATCH(D1593,p_services,0)),"Service inconnu",D1593&amp;""),""))))</f>
        <v/>
      </c>
      <c r="F1593" s="58" t="n"/>
      <c r="G1593" s="58" t="n"/>
      <c r="H1593" s="59" t="n"/>
      <c r="I1593" s="57" t="str">
        <f>IF(H1593="","",IFERROR(INDEX(art_des,MATCH(H1593,art_ref,0))&amp;"","Article inconnu"))</f>
        <v/>
      </c>
      <c r="J1593" s="60" t="str">
        <f>IF(H1593="","",IFERROR(INDEX(art_unit,MATCH(H1593,art_ref,0))&amp;"",""))</f>
        <v/>
      </c>
      <c r="K1593" s="59" t="n"/>
      <c r="L1593" s="59" t="n"/>
      <c r="M1593" s="61" t="str">
        <f>IF(OR(B1593="",NOT(ISNUMBER(K1593)),NOT(ISNUMBER(L1593))),"",IF(OR(K1593&lt;=0,L1593&lt;=0),"",ROUND(L1593-K1593,6)))</f>
        <v/>
      </c>
      <c r="N1593" s="58" t="n"/>
      <c r="O1593" s="62" t="n"/>
      <c r="P1593" s="63" t="str">
        <f>IF(OR(B1593="",NOT(ISNUMBER(L1593))),"",IF(L1593&lt;=0,"",IFERROR(ROUND(L1593*N(INDEX(art_w,MATCH(H1593,art_ref,0))),3),"")))</f>
        <v/>
      </c>
      <c r="Q1593" s="59" t="n"/>
      <c r="R1593" s="54" t="n"/>
      <c r="S1593" s="59" t="n"/>
      <c r="T1593" s="59" t="n"/>
      <c r="U1593" s="64" t="str">
        <f>IF(OR(B1593="",H1593=""),"",IFERROR(IF(A1593="BL",IF(N(INDEX(art_price,MATCH(H1593,art_ref,0)))=0,"",N(INDEX(art_price,MATCH(H1593,art_ref,0)))),IF(N(INDEX(art_cost,MATCH(H1593,art_ref,0)))=0,"",N(INDEX(art_cost,MATCH(H1593,art_ref,0))))),""))</f>
        <v/>
      </c>
      <c r="V1593" s="64" t="str">
        <f>IF(OR(U1593="",NOT(ISNUMBER(L1593))),"",IF(L1593&lt;=0,"",ROUND(L1593*U1593,2)))</f>
        <v/>
      </c>
      <c r="W1593" s="60" t="str">
        <f>IF(AND(B1593&lt;&gt;"",A1593&lt;&gt;"BS",F1593&lt;&gt;"",H1593&lt;&gt;"",ISNUMBER(K1593),ISNUMBER(L1593)),IF(AND(K1593&gt;0,L1593&gt;0,K1593-L1593&gt;0,COUNTIFS(A1594:A$2005,A1593,F1594:F$2005,F1593,H1594:H$2005,H1593,AA1594:AA$2005,"&gt;0")=0),ROUND(K1593-L1593,6),""),"")</f>
        <v/>
      </c>
      <c r="X1593" s="60" t="str">
        <f>IF(AND(A1593="",C1593="",D1593="",H1593="",L1593=""),"",IF(A1593="","Type manquant",IF(AND(A1593&lt;&gt;"BL",A1593&lt;&gt;"BR",A1593&lt;&gt;"BS"),"Type inconnu (BL, BR ou BS)",IF(AG1593=0,"Date manquante ou invalide",IF(D1593="",IF(A1593="BL","Client manquant",IF(A1593="BR","Fournisseur manquant","Service manquant")),IF(IF(A1593="BL",ISNA(MATCH(D1593,cl_code,0)),IF(A1593="BR",ISNA(MATCH(D1593,fo_code,0)),ISNA(MATCH(D1593,p_services,0)))),IF(A1593="BL","Client inconnu",IF(A1593="BR","Fournisseur inconnu","Service inconnu")),IF(H1593="","Article manquant",IF(ISNA(MATCH(H1593,art_ref,0)),"Article inconnu",IF(OR(NOT(ISNUMBER(L1593)),N(L1593)&lt;=0),"Quantité invalide",IF(AND(K1593&lt;&gt;"",OR(NOT(ISNUMBER(K1593)),N(K1593)&lt;=0)),"Qté commandée invalide",IF(AG1593&lt;SUMPRODUCT(MAX((A$6:A1592=A1593)*AG$6:AG1592)),"Date antérieure au bon précédent",IF(AND(A1593&lt;&gt;"BR",ISNUMBER(M1593),N(M1593)&gt;0),IF(A1593="BL","Livré plus que commandé","Sorti plus que demandé"),"OK"))))))))))))</f>
        <v/>
      </c>
      <c r="Y1593" s="57" t="str">
        <f>IF(AND(OR(A1593="BL",A1593="BR",A1593="BS"),AG1593&gt;0,D1593&lt;&gt;""),A1593&amp;"|"&amp;AG1593&amp;"|"&amp;D1593&amp;"|"&amp;F1593,"")</f>
        <v/>
      </c>
      <c r="Z1593" s="57" t="str">
        <f>IF(Y1593="","",IF(COUNTIF(Y$6:Y1592,Y1593)=0,1,0))</f>
        <v/>
      </c>
      <c r="AA1593" s="57" t="str">
        <f>IF(Y1593="","",IF(Z1593=1,COUNTIFS(A$6:A1593,A1593,Z$6:Z1593,1),INDEX(AA$6:AA1592,MATCH(Y1593,Y$6:Y1592,0))))</f>
        <v/>
      </c>
      <c r="AB1593" s="57" t="str">
        <f>IF(B1593="","",COUNTIF(B$6:B1593,B1593))</f>
        <v/>
      </c>
      <c r="AC1593" s="57" t="str">
        <f>IF(B1593="","",B1593&amp;"#"&amp;AB1593)</f>
        <v/>
      </c>
      <c r="AD1593" s="57" t="str">
        <f>IF(Z1593=1,A1593&amp;AA1593,"")</f>
        <v/>
      </c>
      <c r="AE1593" s="57" t="str">
        <f>IF(B1593="","",YEAR(C1593))</f>
        <v/>
      </c>
      <c r="AF1593" s="57" t="str">
        <f>IF(B1593="","",MONTH(C1593))</f>
        <v/>
      </c>
      <c r="AG1593" s="57">
        <f>IF(ISNUMBER(C1593),C1593,0)</f>
        <v>0.0</v>
      </c>
      <c r="AH1593" s="57" t="str">
        <f>IF(N(W1593)&gt;0,COUNTIF(W$6:W1593,"&gt;0"),"")</f>
        <v/>
      </c>
      <c r="AI1593" s="57" t="str">
        <f>IF(Z1593=1,COUNTIF(Z$6:Z1593,1),"")</f>
        <v/>
      </c>
    </row>
    <row r="1594">
      <c r="A1594" s="54" t="n"/>
      <c r="B1594" s="55" t="str">
        <f>IF(AA1594="","",A1594&amp;"-"&amp;RIGHT("000"&amp;AA1594,4))</f>
        <v/>
      </c>
      <c r="C1594" s="56" t="n"/>
      <c r="D1594" s="54" t="n"/>
      <c r="E1594" s="57" t="str">
        <f>IF(D1594="","",IF(A1594="BL",IFERROR(INDEX(cl_name,MATCH(D1594,cl_code,0))&amp;"","Client inconnu"),IF(A1594="BR",IFERROR(INDEX(fo_name,MATCH(D1594,fo_code,0))&amp;"","Fournisseur inconnu"),IF(A1594="BS",IF(ISNA(MATCH(D1594,p_services,0)),"Service inconnu",D1594&amp;""),""))))</f>
        <v/>
      </c>
      <c r="F1594" s="58" t="n"/>
      <c r="G1594" s="58" t="n"/>
      <c r="H1594" s="59" t="n"/>
      <c r="I1594" s="57" t="str">
        <f>IF(H1594="","",IFERROR(INDEX(art_des,MATCH(H1594,art_ref,0))&amp;"","Article inconnu"))</f>
        <v/>
      </c>
      <c r="J1594" s="60" t="str">
        <f>IF(H1594="","",IFERROR(INDEX(art_unit,MATCH(H1594,art_ref,0))&amp;"",""))</f>
        <v/>
      </c>
      <c r="K1594" s="59" t="n"/>
      <c r="L1594" s="59" t="n"/>
      <c r="M1594" s="61" t="str">
        <f>IF(OR(B1594="",NOT(ISNUMBER(K1594)),NOT(ISNUMBER(L1594))),"",IF(OR(K1594&lt;=0,L1594&lt;=0),"",ROUND(L1594-K1594,6)))</f>
        <v/>
      </c>
      <c r="N1594" s="58" t="n"/>
      <c r="O1594" s="62" t="n"/>
      <c r="P1594" s="63" t="str">
        <f>IF(OR(B1594="",NOT(ISNUMBER(L1594))),"",IF(L1594&lt;=0,"",IFERROR(ROUND(L1594*N(INDEX(art_w,MATCH(H1594,art_ref,0))),3),"")))</f>
        <v/>
      </c>
      <c r="Q1594" s="59" t="n"/>
      <c r="R1594" s="54" t="n"/>
      <c r="S1594" s="59" t="n"/>
      <c r="T1594" s="59" t="n"/>
      <c r="U1594" s="64" t="str">
        <f>IF(OR(B1594="",H1594=""),"",IFERROR(IF(A1594="BL",IF(N(INDEX(art_price,MATCH(H1594,art_ref,0)))=0,"",N(INDEX(art_price,MATCH(H1594,art_ref,0)))),IF(N(INDEX(art_cost,MATCH(H1594,art_ref,0)))=0,"",N(INDEX(art_cost,MATCH(H1594,art_ref,0))))),""))</f>
        <v/>
      </c>
      <c r="V1594" s="64" t="str">
        <f>IF(OR(U1594="",NOT(ISNUMBER(L1594))),"",IF(L1594&lt;=0,"",ROUND(L1594*U1594,2)))</f>
        <v/>
      </c>
      <c r="W1594" s="60" t="str">
        <f>IF(AND(B1594&lt;&gt;"",A1594&lt;&gt;"BS",F1594&lt;&gt;"",H1594&lt;&gt;"",ISNUMBER(K1594),ISNUMBER(L1594)),IF(AND(K1594&gt;0,L1594&gt;0,K1594-L1594&gt;0,COUNTIFS(A1595:A$2005,A1594,F1595:F$2005,F1594,H1595:H$2005,H1594,AA1595:AA$2005,"&gt;0")=0),ROUND(K1594-L1594,6),""),"")</f>
        <v/>
      </c>
      <c r="X1594" s="60" t="str">
        <f>IF(AND(A1594="",C1594="",D1594="",H1594="",L1594=""),"",IF(A1594="","Type manquant",IF(AND(A1594&lt;&gt;"BL",A1594&lt;&gt;"BR",A1594&lt;&gt;"BS"),"Type inconnu (BL, BR ou BS)",IF(AG1594=0,"Date manquante ou invalide",IF(D1594="",IF(A1594="BL","Client manquant",IF(A1594="BR","Fournisseur manquant","Service manquant")),IF(IF(A1594="BL",ISNA(MATCH(D1594,cl_code,0)),IF(A1594="BR",ISNA(MATCH(D1594,fo_code,0)),ISNA(MATCH(D1594,p_services,0)))),IF(A1594="BL","Client inconnu",IF(A1594="BR","Fournisseur inconnu","Service inconnu")),IF(H1594="","Article manquant",IF(ISNA(MATCH(H1594,art_ref,0)),"Article inconnu",IF(OR(NOT(ISNUMBER(L1594)),N(L1594)&lt;=0),"Quantité invalide",IF(AND(K1594&lt;&gt;"",OR(NOT(ISNUMBER(K1594)),N(K1594)&lt;=0)),"Qté commandée invalide",IF(AG1594&lt;SUMPRODUCT(MAX((A$6:A1593=A1594)*AG$6:AG1593)),"Date antérieure au bon précédent",IF(AND(A1594&lt;&gt;"BR",ISNUMBER(M1594),N(M1594)&gt;0),IF(A1594="BL","Livré plus que commandé","Sorti plus que demandé"),"OK"))))))))))))</f>
        <v/>
      </c>
      <c r="Y1594" s="57" t="str">
        <f>IF(AND(OR(A1594="BL",A1594="BR",A1594="BS"),AG1594&gt;0,D1594&lt;&gt;""),A1594&amp;"|"&amp;AG1594&amp;"|"&amp;D1594&amp;"|"&amp;F1594,"")</f>
        <v/>
      </c>
      <c r="Z1594" s="57" t="str">
        <f>IF(Y1594="","",IF(COUNTIF(Y$6:Y1593,Y1594)=0,1,0))</f>
        <v/>
      </c>
      <c r="AA1594" s="57" t="str">
        <f>IF(Y1594="","",IF(Z1594=1,COUNTIFS(A$6:A1594,A1594,Z$6:Z1594,1),INDEX(AA$6:AA1593,MATCH(Y1594,Y$6:Y1593,0))))</f>
        <v/>
      </c>
      <c r="AB1594" s="57" t="str">
        <f>IF(B1594="","",COUNTIF(B$6:B1594,B1594))</f>
        <v/>
      </c>
      <c r="AC1594" s="57" t="str">
        <f>IF(B1594="","",B1594&amp;"#"&amp;AB1594)</f>
        <v/>
      </c>
      <c r="AD1594" s="57" t="str">
        <f>IF(Z1594=1,A1594&amp;AA1594,"")</f>
        <v/>
      </c>
      <c r="AE1594" s="57" t="str">
        <f>IF(B1594="","",YEAR(C1594))</f>
        <v/>
      </c>
      <c r="AF1594" s="57" t="str">
        <f>IF(B1594="","",MONTH(C1594))</f>
        <v/>
      </c>
      <c r="AG1594" s="57">
        <f>IF(ISNUMBER(C1594),C1594,0)</f>
        <v>0.0</v>
      </c>
      <c r="AH1594" s="57" t="str">
        <f>IF(N(W1594)&gt;0,COUNTIF(W$6:W1594,"&gt;0"),"")</f>
        <v/>
      </c>
      <c r="AI1594" s="57" t="str">
        <f>IF(Z1594=1,COUNTIF(Z$6:Z1594,1),"")</f>
        <v/>
      </c>
    </row>
    <row r="1595">
      <c r="A1595" s="54" t="n"/>
      <c r="B1595" s="55" t="str">
        <f>IF(AA1595="","",A1595&amp;"-"&amp;RIGHT("000"&amp;AA1595,4))</f>
        <v/>
      </c>
      <c r="C1595" s="56" t="n"/>
      <c r="D1595" s="54" t="n"/>
      <c r="E1595" s="57" t="str">
        <f>IF(D1595="","",IF(A1595="BL",IFERROR(INDEX(cl_name,MATCH(D1595,cl_code,0))&amp;"","Client inconnu"),IF(A1595="BR",IFERROR(INDEX(fo_name,MATCH(D1595,fo_code,0))&amp;"","Fournisseur inconnu"),IF(A1595="BS",IF(ISNA(MATCH(D1595,p_services,0)),"Service inconnu",D1595&amp;""),""))))</f>
        <v/>
      </c>
      <c r="F1595" s="58" t="n"/>
      <c r="G1595" s="58" t="n"/>
      <c r="H1595" s="59" t="n"/>
      <c r="I1595" s="57" t="str">
        <f>IF(H1595="","",IFERROR(INDEX(art_des,MATCH(H1595,art_ref,0))&amp;"","Article inconnu"))</f>
        <v/>
      </c>
      <c r="J1595" s="60" t="str">
        <f>IF(H1595="","",IFERROR(INDEX(art_unit,MATCH(H1595,art_ref,0))&amp;"",""))</f>
        <v/>
      </c>
      <c r="K1595" s="59" t="n"/>
      <c r="L1595" s="59" t="n"/>
      <c r="M1595" s="61" t="str">
        <f>IF(OR(B1595="",NOT(ISNUMBER(K1595)),NOT(ISNUMBER(L1595))),"",IF(OR(K1595&lt;=0,L1595&lt;=0),"",ROUND(L1595-K1595,6)))</f>
        <v/>
      </c>
      <c r="N1595" s="58" t="n"/>
      <c r="O1595" s="62" t="n"/>
      <c r="P1595" s="63" t="str">
        <f>IF(OR(B1595="",NOT(ISNUMBER(L1595))),"",IF(L1595&lt;=0,"",IFERROR(ROUND(L1595*N(INDEX(art_w,MATCH(H1595,art_ref,0))),3),"")))</f>
        <v/>
      </c>
      <c r="Q1595" s="59" t="n"/>
      <c r="R1595" s="54" t="n"/>
      <c r="S1595" s="59" t="n"/>
      <c r="T1595" s="59" t="n"/>
      <c r="U1595" s="64" t="str">
        <f>IF(OR(B1595="",H1595=""),"",IFERROR(IF(A1595="BL",IF(N(INDEX(art_price,MATCH(H1595,art_ref,0)))=0,"",N(INDEX(art_price,MATCH(H1595,art_ref,0)))),IF(N(INDEX(art_cost,MATCH(H1595,art_ref,0)))=0,"",N(INDEX(art_cost,MATCH(H1595,art_ref,0))))),""))</f>
        <v/>
      </c>
      <c r="V1595" s="64" t="str">
        <f>IF(OR(U1595="",NOT(ISNUMBER(L1595))),"",IF(L1595&lt;=0,"",ROUND(L1595*U1595,2)))</f>
        <v/>
      </c>
      <c r="W1595" s="60" t="str">
        <f>IF(AND(B1595&lt;&gt;"",A1595&lt;&gt;"BS",F1595&lt;&gt;"",H1595&lt;&gt;"",ISNUMBER(K1595),ISNUMBER(L1595)),IF(AND(K1595&gt;0,L1595&gt;0,K1595-L1595&gt;0,COUNTIFS(A1596:A$2005,A1595,F1596:F$2005,F1595,H1596:H$2005,H1595,AA1596:AA$2005,"&gt;0")=0),ROUND(K1595-L1595,6),""),"")</f>
        <v/>
      </c>
      <c r="X1595" s="60" t="str">
        <f>IF(AND(A1595="",C1595="",D1595="",H1595="",L1595=""),"",IF(A1595="","Type manquant",IF(AND(A1595&lt;&gt;"BL",A1595&lt;&gt;"BR",A1595&lt;&gt;"BS"),"Type inconnu (BL, BR ou BS)",IF(AG1595=0,"Date manquante ou invalide",IF(D1595="",IF(A1595="BL","Client manquant",IF(A1595="BR","Fournisseur manquant","Service manquant")),IF(IF(A1595="BL",ISNA(MATCH(D1595,cl_code,0)),IF(A1595="BR",ISNA(MATCH(D1595,fo_code,0)),ISNA(MATCH(D1595,p_services,0)))),IF(A1595="BL","Client inconnu",IF(A1595="BR","Fournisseur inconnu","Service inconnu")),IF(H1595="","Article manquant",IF(ISNA(MATCH(H1595,art_ref,0)),"Article inconnu",IF(OR(NOT(ISNUMBER(L1595)),N(L1595)&lt;=0),"Quantité invalide",IF(AND(K1595&lt;&gt;"",OR(NOT(ISNUMBER(K1595)),N(K1595)&lt;=0)),"Qté commandée invalide",IF(AG1595&lt;SUMPRODUCT(MAX((A$6:A1594=A1595)*AG$6:AG1594)),"Date antérieure au bon précédent",IF(AND(A1595&lt;&gt;"BR",ISNUMBER(M1595),N(M1595)&gt;0),IF(A1595="BL","Livré plus que commandé","Sorti plus que demandé"),"OK"))))))))))))</f>
        <v/>
      </c>
      <c r="Y1595" s="57" t="str">
        <f>IF(AND(OR(A1595="BL",A1595="BR",A1595="BS"),AG1595&gt;0,D1595&lt;&gt;""),A1595&amp;"|"&amp;AG1595&amp;"|"&amp;D1595&amp;"|"&amp;F1595,"")</f>
        <v/>
      </c>
      <c r="Z1595" s="57" t="str">
        <f>IF(Y1595="","",IF(COUNTIF(Y$6:Y1594,Y1595)=0,1,0))</f>
        <v/>
      </c>
      <c r="AA1595" s="57" t="str">
        <f>IF(Y1595="","",IF(Z1595=1,COUNTIFS(A$6:A1595,A1595,Z$6:Z1595,1),INDEX(AA$6:AA1594,MATCH(Y1595,Y$6:Y1594,0))))</f>
        <v/>
      </c>
      <c r="AB1595" s="57" t="str">
        <f>IF(B1595="","",COUNTIF(B$6:B1595,B1595))</f>
        <v/>
      </c>
      <c r="AC1595" s="57" t="str">
        <f>IF(B1595="","",B1595&amp;"#"&amp;AB1595)</f>
        <v/>
      </c>
      <c r="AD1595" s="57" t="str">
        <f>IF(Z1595=1,A1595&amp;AA1595,"")</f>
        <v/>
      </c>
      <c r="AE1595" s="57" t="str">
        <f>IF(B1595="","",YEAR(C1595))</f>
        <v/>
      </c>
      <c r="AF1595" s="57" t="str">
        <f>IF(B1595="","",MONTH(C1595))</f>
        <v/>
      </c>
      <c r="AG1595" s="57">
        <f>IF(ISNUMBER(C1595),C1595,0)</f>
        <v>0.0</v>
      </c>
      <c r="AH1595" s="57" t="str">
        <f>IF(N(W1595)&gt;0,COUNTIF(W$6:W1595,"&gt;0"),"")</f>
        <v/>
      </c>
      <c r="AI1595" s="57" t="str">
        <f>IF(Z1595=1,COUNTIF(Z$6:Z1595,1),"")</f>
        <v/>
      </c>
    </row>
    <row r="1596">
      <c r="A1596" s="54" t="n"/>
      <c r="B1596" s="55" t="str">
        <f>IF(AA1596="","",A1596&amp;"-"&amp;RIGHT("000"&amp;AA1596,4))</f>
        <v/>
      </c>
      <c r="C1596" s="56" t="n"/>
      <c r="D1596" s="54" t="n"/>
      <c r="E1596" s="57" t="str">
        <f>IF(D1596="","",IF(A1596="BL",IFERROR(INDEX(cl_name,MATCH(D1596,cl_code,0))&amp;"","Client inconnu"),IF(A1596="BR",IFERROR(INDEX(fo_name,MATCH(D1596,fo_code,0))&amp;"","Fournisseur inconnu"),IF(A1596="BS",IF(ISNA(MATCH(D1596,p_services,0)),"Service inconnu",D1596&amp;""),""))))</f>
        <v/>
      </c>
      <c r="F1596" s="58" t="n"/>
      <c r="G1596" s="58" t="n"/>
      <c r="H1596" s="59" t="n"/>
      <c r="I1596" s="57" t="str">
        <f>IF(H1596="","",IFERROR(INDEX(art_des,MATCH(H1596,art_ref,0))&amp;"","Article inconnu"))</f>
        <v/>
      </c>
      <c r="J1596" s="60" t="str">
        <f>IF(H1596="","",IFERROR(INDEX(art_unit,MATCH(H1596,art_ref,0))&amp;"",""))</f>
        <v/>
      </c>
      <c r="K1596" s="59" t="n"/>
      <c r="L1596" s="59" t="n"/>
      <c r="M1596" s="61" t="str">
        <f>IF(OR(B1596="",NOT(ISNUMBER(K1596)),NOT(ISNUMBER(L1596))),"",IF(OR(K1596&lt;=0,L1596&lt;=0),"",ROUND(L1596-K1596,6)))</f>
        <v/>
      </c>
      <c r="N1596" s="58" t="n"/>
      <c r="O1596" s="62" t="n"/>
      <c r="P1596" s="63" t="str">
        <f>IF(OR(B1596="",NOT(ISNUMBER(L1596))),"",IF(L1596&lt;=0,"",IFERROR(ROUND(L1596*N(INDEX(art_w,MATCH(H1596,art_ref,0))),3),"")))</f>
        <v/>
      </c>
      <c r="Q1596" s="59" t="n"/>
      <c r="R1596" s="54" t="n"/>
      <c r="S1596" s="59" t="n"/>
      <c r="T1596" s="59" t="n"/>
      <c r="U1596" s="64" t="str">
        <f>IF(OR(B1596="",H1596=""),"",IFERROR(IF(A1596="BL",IF(N(INDEX(art_price,MATCH(H1596,art_ref,0)))=0,"",N(INDEX(art_price,MATCH(H1596,art_ref,0)))),IF(N(INDEX(art_cost,MATCH(H1596,art_ref,0)))=0,"",N(INDEX(art_cost,MATCH(H1596,art_ref,0))))),""))</f>
        <v/>
      </c>
      <c r="V1596" s="64" t="str">
        <f>IF(OR(U1596="",NOT(ISNUMBER(L1596))),"",IF(L1596&lt;=0,"",ROUND(L1596*U1596,2)))</f>
        <v/>
      </c>
      <c r="W1596" s="60" t="str">
        <f>IF(AND(B1596&lt;&gt;"",A1596&lt;&gt;"BS",F1596&lt;&gt;"",H1596&lt;&gt;"",ISNUMBER(K1596),ISNUMBER(L1596)),IF(AND(K1596&gt;0,L1596&gt;0,K1596-L1596&gt;0,COUNTIFS(A1597:A$2005,A1596,F1597:F$2005,F1596,H1597:H$2005,H1596,AA1597:AA$2005,"&gt;0")=0),ROUND(K1596-L1596,6),""),"")</f>
        <v/>
      </c>
      <c r="X1596" s="60" t="str">
        <f>IF(AND(A1596="",C1596="",D1596="",H1596="",L1596=""),"",IF(A1596="","Type manquant",IF(AND(A1596&lt;&gt;"BL",A1596&lt;&gt;"BR",A1596&lt;&gt;"BS"),"Type inconnu (BL, BR ou BS)",IF(AG1596=0,"Date manquante ou invalide",IF(D1596="",IF(A1596="BL","Client manquant",IF(A1596="BR","Fournisseur manquant","Service manquant")),IF(IF(A1596="BL",ISNA(MATCH(D1596,cl_code,0)),IF(A1596="BR",ISNA(MATCH(D1596,fo_code,0)),ISNA(MATCH(D1596,p_services,0)))),IF(A1596="BL","Client inconnu",IF(A1596="BR","Fournisseur inconnu","Service inconnu")),IF(H1596="","Article manquant",IF(ISNA(MATCH(H1596,art_ref,0)),"Article inconnu",IF(OR(NOT(ISNUMBER(L1596)),N(L1596)&lt;=0),"Quantité invalide",IF(AND(K1596&lt;&gt;"",OR(NOT(ISNUMBER(K1596)),N(K1596)&lt;=0)),"Qté commandée invalide",IF(AG1596&lt;SUMPRODUCT(MAX((A$6:A1595=A1596)*AG$6:AG1595)),"Date antérieure au bon précédent",IF(AND(A1596&lt;&gt;"BR",ISNUMBER(M1596),N(M1596)&gt;0),IF(A1596="BL","Livré plus que commandé","Sorti plus que demandé"),"OK"))))))))))))</f>
        <v/>
      </c>
      <c r="Y1596" s="57" t="str">
        <f>IF(AND(OR(A1596="BL",A1596="BR",A1596="BS"),AG1596&gt;0,D1596&lt;&gt;""),A1596&amp;"|"&amp;AG1596&amp;"|"&amp;D1596&amp;"|"&amp;F1596,"")</f>
        <v/>
      </c>
      <c r="Z1596" s="57" t="str">
        <f>IF(Y1596="","",IF(COUNTIF(Y$6:Y1595,Y1596)=0,1,0))</f>
        <v/>
      </c>
      <c r="AA1596" s="57" t="str">
        <f>IF(Y1596="","",IF(Z1596=1,COUNTIFS(A$6:A1596,A1596,Z$6:Z1596,1),INDEX(AA$6:AA1595,MATCH(Y1596,Y$6:Y1595,0))))</f>
        <v/>
      </c>
      <c r="AB1596" s="57" t="str">
        <f>IF(B1596="","",COUNTIF(B$6:B1596,B1596))</f>
        <v/>
      </c>
      <c r="AC1596" s="57" t="str">
        <f>IF(B1596="","",B1596&amp;"#"&amp;AB1596)</f>
        <v/>
      </c>
      <c r="AD1596" s="57" t="str">
        <f>IF(Z1596=1,A1596&amp;AA1596,"")</f>
        <v/>
      </c>
      <c r="AE1596" s="57" t="str">
        <f>IF(B1596="","",YEAR(C1596))</f>
        <v/>
      </c>
      <c r="AF1596" s="57" t="str">
        <f>IF(B1596="","",MONTH(C1596))</f>
        <v/>
      </c>
      <c r="AG1596" s="57">
        <f>IF(ISNUMBER(C1596),C1596,0)</f>
        <v>0.0</v>
      </c>
      <c r="AH1596" s="57" t="str">
        <f>IF(N(W1596)&gt;0,COUNTIF(W$6:W1596,"&gt;0"),"")</f>
        <v/>
      </c>
      <c r="AI1596" s="57" t="str">
        <f>IF(Z1596=1,COUNTIF(Z$6:Z1596,1),"")</f>
        <v/>
      </c>
    </row>
    <row r="1597">
      <c r="A1597" s="54" t="n"/>
      <c r="B1597" s="55" t="str">
        <f>IF(AA1597="","",A1597&amp;"-"&amp;RIGHT("000"&amp;AA1597,4))</f>
        <v/>
      </c>
      <c r="C1597" s="56" t="n"/>
      <c r="D1597" s="54" t="n"/>
      <c r="E1597" s="57" t="str">
        <f>IF(D1597="","",IF(A1597="BL",IFERROR(INDEX(cl_name,MATCH(D1597,cl_code,0))&amp;"","Client inconnu"),IF(A1597="BR",IFERROR(INDEX(fo_name,MATCH(D1597,fo_code,0))&amp;"","Fournisseur inconnu"),IF(A1597="BS",IF(ISNA(MATCH(D1597,p_services,0)),"Service inconnu",D1597&amp;""),""))))</f>
        <v/>
      </c>
      <c r="F1597" s="58" t="n"/>
      <c r="G1597" s="58" t="n"/>
      <c r="H1597" s="59" t="n"/>
      <c r="I1597" s="57" t="str">
        <f>IF(H1597="","",IFERROR(INDEX(art_des,MATCH(H1597,art_ref,0))&amp;"","Article inconnu"))</f>
        <v/>
      </c>
      <c r="J1597" s="60" t="str">
        <f>IF(H1597="","",IFERROR(INDEX(art_unit,MATCH(H1597,art_ref,0))&amp;"",""))</f>
        <v/>
      </c>
      <c r="K1597" s="59" t="n"/>
      <c r="L1597" s="59" t="n"/>
      <c r="M1597" s="61" t="str">
        <f>IF(OR(B1597="",NOT(ISNUMBER(K1597)),NOT(ISNUMBER(L1597))),"",IF(OR(K1597&lt;=0,L1597&lt;=0),"",ROUND(L1597-K1597,6)))</f>
        <v/>
      </c>
      <c r="N1597" s="58" t="n"/>
      <c r="O1597" s="62" t="n"/>
      <c r="P1597" s="63" t="str">
        <f>IF(OR(B1597="",NOT(ISNUMBER(L1597))),"",IF(L1597&lt;=0,"",IFERROR(ROUND(L1597*N(INDEX(art_w,MATCH(H1597,art_ref,0))),3),"")))</f>
        <v/>
      </c>
      <c r="Q1597" s="59" t="n"/>
      <c r="R1597" s="54" t="n"/>
      <c r="S1597" s="59" t="n"/>
      <c r="T1597" s="59" t="n"/>
      <c r="U1597" s="64" t="str">
        <f>IF(OR(B1597="",H1597=""),"",IFERROR(IF(A1597="BL",IF(N(INDEX(art_price,MATCH(H1597,art_ref,0)))=0,"",N(INDEX(art_price,MATCH(H1597,art_ref,0)))),IF(N(INDEX(art_cost,MATCH(H1597,art_ref,0)))=0,"",N(INDEX(art_cost,MATCH(H1597,art_ref,0))))),""))</f>
        <v/>
      </c>
      <c r="V1597" s="64" t="str">
        <f>IF(OR(U1597="",NOT(ISNUMBER(L1597))),"",IF(L1597&lt;=0,"",ROUND(L1597*U1597,2)))</f>
        <v/>
      </c>
      <c r="W1597" s="60" t="str">
        <f>IF(AND(B1597&lt;&gt;"",A1597&lt;&gt;"BS",F1597&lt;&gt;"",H1597&lt;&gt;"",ISNUMBER(K1597),ISNUMBER(L1597)),IF(AND(K1597&gt;0,L1597&gt;0,K1597-L1597&gt;0,COUNTIFS(A1598:A$2005,A1597,F1598:F$2005,F1597,H1598:H$2005,H1597,AA1598:AA$2005,"&gt;0")=0),ROUND(K1597-L1597,6),""),"")</f>
        <v/>
      </c>
      <c r="X1597" s="60" t="str">
        <f>IF(AND(A1597="",C1597="",D1597="",H1597="",L1597=""),"",IF(A1597="","Type manquant",IF(AND(A1597&lt;&gt;"BL",A1597&lt;&gt;"BR",A1597&lt;&gt;"BS"),"Type inconnu (BL, BR ou BS)",IF(AG1597=0,"Date manquante ou invalide",IF(D1597="",IF(A1597="BL","Client manquant",IF(A1597="BR","Fournisseur manquant","Service manquant")),IF(IF(A1597="BL",ISNA(MATCH(D1597,cl_code,0)),IF(A1597="BR",ISNA(MATCH(D1597,fo_code,0)),ISNA(MATCH(D1597,p_services,0)))),IF(A1597="BL","Client inconnu",IF(A1597="BR","Fournisseur inconnu","Service inconnu")),IF(H1597="","Article manquant",IF(ISNA(MATCH(H1597,art_ref,0)),"Article inconnu",IF(OR(NOT(ISNUMBER(L1597)),N(L1597)&lt;=0),"Quantité invalide",IF(AND(K1597&lt;&gt;"",OR(NOT(ISNUMBER(K1597)),N(K1597)&lt;=0)),"Qté commandée invalide",IF(AG1597&lt;SUMPRODUCT(MAX((A$6:A1596=A1597)*AG$6:AG1596)),"Date antérieure au bon précédent",IF(AND(A1597&lt;&gt;"BR",ISNUMBER(M1597),N(M1597)&gt;0),IF(A1597="BL","Livré plus que commandé","Sorti plus que demandé"),"OK"))))))))))))</f>
        <v/>
      </c>
      <c r="Y1597" s="57" t="str">
        <f>IF(AND(OR(A1597="BL",A1597="BR",A1597="BS"),AG1597&gt;0,D1597&lt;&gt;""),A1597&amp;"|"&amp;AG1597&amp;"|"&amp;D1597&amp;"|"&amp;F1597,"")</f>
        <v/>
      </c>
      <c r="Z1597" s="57" t="str">
        <f>IF(Y1597="","",IF(COUNTIF(Y$6:Y1596,Y1597)=0,1,0))</f>
        <v/>
      </c>
      <c r="AA1597" s="57" t="str">
        <f>IF(Y1597="","",IF(Z1597=1,COUNTIFS(A$6:A1597,A1597,Z$6:Z1597,1),INDEX(AA$6:AA1596,MATCH(Y1597,Y$6:Y1596,0))))</f>
        <v/>
      </c>
      <c r="AB1597" s="57" t="str">
        <f>IF(B1597="","",COUNTIF(B$6:B1597,B1597))</f>
        <v/>
      </c>
      <c r="AC1597" s="57" t="str">
        <f>IF(B1597="","",B1597&amp;"#"&amp;AB1597)</f>
        <v/>
      </c>
      <c r="AD1597" s="57" t="str">
        <f>IF(Z1597=1,A1597&amp;AA1597,"")</f>
        <v/>
      </c>
      <c r="AE1597" s="57" t="str">
        <f>IF(B1597="","",YEAR(C1597))</f>
        <v/>
      </c>
      <c r="AF1597" s="57" t="str">
        <f>IF(B1597="","",MONTH(C1597))</f>
        <v/>
      </c>
      <c r="AG1597" s="57">
        <f>IF(ISNUMBER(C1597),C1597,0)</f>
        <v>0.0</v>
      </c>
      <c r="AH1597" s="57" t="str">
        <f>IF(N(W1597)&gt;0,COUNTIF(W$6:W1597,"&gt;0"),"")</f>
        <v/>
      </c>
      <c r="AI1597" s="57" t="str">
        <f>IF(Z1597=1,COUNTIF(Z$6:Z1597,1),"")</f>
        <v/>
      </c>
    </row>
    <row r="1598">
      <c r="A1598" s="54" t="n"/>
      <c r="B1598" s="55" t="str">
        <f>IF(AA1598="","",A1598&amp;"-"&amp;RIGHT("000"&amp;AA1598,4))</f>
        <v/>
      </c>
      <c r="C1598" s="56" t="n"/>
      <c r="D1598" s="54" t="n"/>
      <c r="E1598" s="57" t="str">
        <f>IF(D1598="","",IF(A1598="BL",IFERROR(INDEX(cl_name,MATCH(D1598,cl_code,0))&amp;"","Client inconnu"),IF(A1598="BR",IFERROR(INDEX(fo_name,MATCH(D1598,fo_code,0))&amp;"","Fournisseur inconnu"),IF(A1598="BS",IF(ISNA(MATCH(D1598,p_services,0)),"Service inconnu",D1598&amp;""),""))))</f>
        <v/>
      </c>
      <c r="F1598" s="58" t="n"/>
      <c r="G1598" s="58" t="n"/>
      <c r="H1598" s="59" t="n"/>
      <c r="I1598" s="57" t="str">
        <f>IF(H1598="","",IFERROR(INDEX(art_des,MATCH(H1598,art_ref,0))&amp;"","Article inconnu"))</f>
        <v/>
      </c>
      <c r="J1598" s="60" t="str">
        <f>IF(H1598="","",IFERROR(INDEX(art_unit,MATCH(H1598,art_ref,0))&amp;"",""))</f>
        <v/>
      </c>
      <c r="K1598" s="59" t="n"/>
      <c r="L1598" s="59" t="n"/>
      <c r="M1598" s="61" t="str">
        <f>IF(OR(B1598="",NOT(ISNUMBER(K1598)),NOT(ISNUMBER(L1598))),"",IF(OR(K1598&lt;=0,L1598&lt;=0),"",ROUND(L1598-K1598,6)))</f>
        <v/>
      </c>
      <c r="N1598" s="58" t="n"/>
      <c r="O1598" s="62" t="n"/>
      <c r="P1598" s="63" t="str">
        <f>IF(OR(B1598="",NOT(ISNUMBER(L1598))),"",IF(L1598&lt;=0,"",IFERROR(ROUND(L1598*N(INDEX(art_w,MATCH(H1598,art_ref,0))),3),"")))</f>
        <v/>
      </c>
      <c r="Q1598" s="59" t="n"/>
      <c r="R1598" s="54" t="n"/>
      <c r="S1598" s="59" t="n"/>
      <c r="T1598" s="59" t="n"/>
      <c r="U1598" s="64" t="str">
        <f>IF(OR(B1598="",H1598=""),"",IFERROR(IF(A1598="BL",IF(N(INDEX(art_price,MATCH(H1598,art_ref,0)))=0,"",N(INDEX(art_price,MATCH(H1598,art_ref,0)))),IF(N(INDEX(art_cost,MATCH(H1598,art_ref,0)))=0,"",N(INDEX(art_cost,MATCH(H1598,art_ref,0))))),""))</f>
        <v/>
      </c>
      <c r="V1598" s="64" t="str">
        <f>IF(OR(U1598="",NOT(ISNUMBER(L1598))),"",IF(L1598&lt;=0,"",ROUND(L1598*U1598,2)))</f>
        <v/>
      </c>
      <c r="W1598" s="60" t="str">
        <f>IF(AND(B1598&lt;&gt;"",A1598&lt;&gt;"BS",F1598&lt;&gt;"",H1598&lt;&gt;"",ISNUMBER(K1598),ISNUMBER(L1598)),IF(AND(K1598&gt;0,L1598&gt;0,K1598-L1598&gt;0,COUNTIFS(A1599:A$2005,A1598,F1599:F$2005,F1598,H1599:H$2005,H1598,AA1599:AA$2005,"&gt;0")=0),ROUND(K1598-L1598,6),""),"")</f>
        <v/>
      </c>
      <c r="X1598" s="60" t="str">
        <f>IF(AND(A1598="",C1598="",D1598="",H1598="",L1598=""),"",IF(A1598="","Type manquant",IF(AND(A1598&lt;&gt;"BL",A1598&lt;&gt;"BR",A1598&lt;&gt;"BS"),"Type inconnu (BL, BR ou BS)",IF(AG1598=0,"Date manquante ou invalide",IF(D1598="",IF(A1598="BL","Client manquant",IF(A1598="BR","Fournisseur manquant","Service manquant")),IF(IF(A1598="BL",ISNA(MATCH(D1598,cl_code,0)),IF(A1598="BR",ISNA(MATCH(D1598,fo_code,0)),ISNA(MATCH(D1598,p_services,0)))),IF(A1598="BL","Client inconnu",IF(A1598="BR","Fournisseur inconnu","Service inconnu")),IF(H1598="","Article manquant",IF(ISNA(MATCH(H1598,art_ref,0)),"Article inconnu",IF(OR(NOT(ISNUMBER(L1598)),N(L1598)&lt;=0),"Quantité invalide",IF(AND(K1598&lt;&gt;"",OR(NOT(ISNUMBER(K1598)),N(K1598)&lt;=0)),"Qté commandée invalide",IF(AG1598&lt;SUMPRODUCT(MAX((A$6:A1597=A1598)*AG$6:AG1597)),"Date antérieure au bon précédent",IF(AND(A1598&lt;&gt;"BR",ISNUMBER(M1598),N(M1598)&gt;0),IF(A1598="BL","Livré plus que commandé","Sorti plus que demandé"),"OK"))))))))))))</f>
        <v/>
      </c>
      <c r="Y1598" s="57" t="str">
        <f>IF(AND(OR(A1598="BL",A1598="BR",A1598="BS"),AG1598&gt;0,D1598&lt;&gt;""),A1598&amp;"|"&amp;AG1598&amp;"|"&amp;D1598&amp;"|"&amp;F1598,"")</f>
        <v/>
      </c>
      <c r="Z1598" s="57" t="str">
        <f>IF(Y1598="","",IF(COUNTIF(Y$6:Y1597,Y1598)=0,1,0))</f>
        <v/>
      </c>
      <c r="AA1598" s="57" t="str">
        <f>IF(Y1598="","",IF(Z1598=1,COUNTIFS(A$6:A1598,A1598,Z$6:Z1598,1),INDEX(AA$6:AA1597,MATCH(Y1598,Y$6:Y1597,0))))</f>
        <v/>
      </c>
      <c r="AB1598" s="57" t="str">
        <f>IF(B1598="","",COUNTIF(B$6:B1598,B1598))</f>
        <v/>
      </c>
      <c r="AC1598" s="57" t="str">
        <f>IF(B1598="","",B1598&amp;"#"&amp;AB1598)</f>
        <v/>
      </c>
      <c r="AD1598" s="57" t="str">
        <f>IF(Z1598=1,A1598&amp;AA1598,"")</f>
        <v/>
      </c>
      <c r="AE1598" s="57" t="str">
        <f>IF(B1598="","",YEAR(C1598))</f>
        <v/>
      </c>
      <c r="AF1598" s="57" t="str">
        <f>IF(B1598="","",MONTH(C1598))</f>
        <v/>
      </c>
      <c r="AG1598" s="57">
        <f>IF(ISNUMBER(C1598),C1598,0)</f>
        <v>0.0</v>
      </c>
      <c r="AH1598" s="57" t="str">
        <f>IF(N(W1598)&gt;0,COUNTIF(W$6:W1598,"&gt;0"),"")</f>
        <v/>
      </c>
      <c r="AI1598" s="57" t="str">
        <f>IF(Z1598=1,COUNTIF(Z$6:Z1598,1),"")</f>
        <v/>
      </c>
    </row>
    <row r="1599">
      <c r="A1599" s="54" t="n"/>
      <c r="B1599" s="55" t="str">
        <f>IF(AA1599="","",A1599&amp;"-"&amp;RIGHT("000"&amp;AA1599,4))</f>
        <v/>
      </c>
      <c r="C1599" s="56" t="n"/>
      <c r="D1599" s="54" t="n"/>
      <c r="E1599" s="57" t="str">
        <f>IF(D1599="","",IF(A1599="BL",IFERROR(INDEX(cl_name,MATCH(D1599,cl_code,0))&amp;"","Client inconnu"),IF(A1599="BR",IFERROR(INDEX(fo_name,MATCH(D1599,fo_code,0))&amp;"","Fournisseur inconnu"),IF(A1599="BS",IF(ISNA(MATCH(D1599,p_services,0)),"Service inconnu",D1599&amp;""),""))))</f>
        <v/>
      </c>
      <c r="F1599" s="58" t="n"/>
      <c r="G1599" s="58" t="n"/>
      <c r="H1599" s="59" t="n"/>
      <c r="I1599" s="57" t="str">
        <f>IF(H1599="","",IFERROR(INDEX(art_des,MATCH(H1599,art_ref,0))&amp;"","Article inconnu"))</f>
        <v/>
      </c>
      <c r="J1599" s="60" t="str">
        <f>IF(H1599="","",IFERROR(INDEX(art_unit,MATCH(H1599,art_ref,0))&amp;"",""))</f>
        <v/>
      </c>
      <c r="K1599" s="59" t="n"/>
      <c r="L1599" s="59" t="n"/>
      <c r="M1599" s="61" t="str">
        <f>IF(OR(B1599="",NOT(ISNUMBER(K1599)),NOT(ISNUMBER(L1599))),"",IF(OR(K1599&lt;=0,L1599&lt;=0),"",ROUND(L1599-K1599,6)))</f>
        <v/>
      </c>
      <c r="N1599" s="58" t="n"/>
      <c r="O1599" s="62" t="n"/>
      <c r="P1599" s="63" t="str">
        <f>IF(OR(B1599="",NOT(ISNUMBER(L1599))),"",IF(L1599&lt;=0,"",IFERROR(ROUND(L1599*N(INDEX(art_w,MATCH(H1599,art_ref,0))),3),"")))</f>
        <v/>
      </c>
      <c r="Q1599" s="59" t="n"/>
      <c r="R1599" s="54" t="n"/>
      <c r="S1599" s="59" t="n"/>
      <c r="T1599" s="59" t="n"/>
      <c r="U1599" s="64" t="str">
        <f>IF(OR(B1599="",H1599=""),"",IFERROR(IF(A1599="BL",IF(N(INDEX(art_price,MATCH(H1599,art_ref,0)))=0,"",N(INDEX(art_price,MATCH(H1599,art_ref,0)))),IF(N(INDEX(art_cost,MATCH(H1599,art_ref,0)))=0,"",N(INDEX(art_cost,MATCH(H1599,art_ref,0))))),""))</f>
        <v/>
      </c>
      <c r="V1599" s="64" t="str">
        <f>IF(OR(U1599="",NOT(ISNUMBER(L1599))),"",IF(L1599&lt;=0,"",ROUND(L1599*U1599,2)))</f>
        <v/>
      </c>
      <c r="W1599" s="60" t="str">
        <f>IF(AND(B1599&lt;&gt;"",A1599&lt;&gt;"BS",F1599&lt;&gt;"",H1599&lt;&gt;"",ISNUMBER(K1599),ISNUMBER(L1599)),IF(AND(K1599&gt;0,L1599&gt;0,K1599-L1599&gt;0,COUNTIFS(A1600:A$2005,A1599,F1600:F$2005,F1599,H1600:H$2005,H1599,AA1600:AA$2005,"&gt;0")=0),ROUND(K1599-L1599,6),""),"")</f>
        <v/>
      </c>
      <c r="X1599" s="60" t="str">
        <f>IF(AND(A1599="",C1599="",D1599="",H1599="",L1599=""),"",IF(A1599="","Type manquant",IF(AND(A1599&lt;&gt;"BL",A1599&lt;&gt;"BR",A1599&lt;&gt;"BS"),"Type inconnu (BL, BR ou BS)",IF(AG1599=0,"Date manquante ou invalide",IF(D1599="",IF(A1599="BL","Client manquant",IF(A1599="BR","Fournisseur manquant","Service manquant")),IF(IF(A1599="BL",ISNA(MATCH(D1599,cl_code,0)),IF(A1599="BR",ISNA(MATCH(D1599,fo_code,0)),ISNA(MATCH(D1599,p_services,0)))),IF(A1599="BL","Client inconnu",IF(A1599="BR","Fournisseur inconnu","Service inconnu")),IF(H1599="","Article manquant",IF(ISNA(MATCH(H1599,art_ref,0)),"Article inconnu",IF(OR(NOT(ISNUMBER(L1599)),N(L1599)&lt;=0),"Quantité invalide",IF(AND(K1599&lt;&gt;"",OR(NOT(ISNUMBER(K1599)),N(K1599)&lt;=0)),"Qté commandée invalide",IF(AG1599&lt;SUMPRODUCT(MAX((A$6:A1598=A1599)*AG$6:AG1598)),"Date antérieure au bon précédent",IF(AND(A1599&lt;&gt;"BR",ISNUMBER(M1599),N(M1599)&gt;0),IF(A1599="BL","Livré plus que commandé","Sorti plus que demandé"),"OK"))))))))))))</f>
        <v/>
      </c>
      <c r="Y1599" s="57" t="str">
        <f>IF(AND(OR(A1599="BL",A1599="BR",A1599="BS"),AG1599&gt;0,D1599&lt;&gt;""),A1599&amp;"|"&amp;AG1599&amp;"|"&amp;D1599&amp;"|"&amp;F1599,"")</f>
        <v/>
      </c>
      <c r="Z1599" s="57" t="str">
        <f>IF(Y1599="","",IF(COUNTIF(Y$6:Y1598,Y1599)=0,1,0))</f>
        <v/>
      </c>
      <c r="AA1599" s="57" t="str">
        <f>IF(Y1599="","",IF(Z1599=1,COUNTIFS(A$6:A1599,A1599,Z$6:Z1599,1),INDEX(AA$6:AA1598,MATCH(Y1599,Y$6:Y1598,0))))</f>
        <v/>
      </c>
      <c r="AB1599" s="57" t="str">
        <f>IF(B1599="","",COUNTIF(B$6:B1599,B1599))</f>
        <v/>
      </c>
      <c r="AC1599" s="57" t="str">
        <f>IF(B1599="","",B1599&amp;"#"&amp;AB1599)</f>
        <v/>
      </c>
      <c r="AD1599" s="57" t="str">
        <f>IF(Z1599=1,A1599&amp;AA1599,"")</f>
        <v/>
      </c>
      <c r="AE1599" s="57" t="str">
        <f>IF(B1599="","",YEAR(C1599))</f>
        <v/>
      </c>
      <c r="AF1599" s="57" t="str">
        <f>IF(B1599="","",MONTH(C1599))</f>
        <v/>
      </c>
      <c r="AG1599" s="57">
        <f>IF(ISNUMBER(C1599),C1599,0)</f>
        <v>0.0</v>
      </c>
      <c r="AH1599" s="57" t="str">
        <f>IF(N(W1599)&gt;0,COUNTIF(W$6:W1599,"&gt;0"),"")</f>
        <v/>
      </c>
      <c r="AI1599" s="57" t="str">
        <f>IF(Z1599=1,COUNTIF(Z$6:Z1599,1),"")</f>
        <v/>
      </c>
    </row>
    <row r="1600">
      <c r="A1600" s="54" t="n"/>
      <c r="B1600" s="55" t="str">
        <f>IF(AA1600="","",A1600&amp;"-"&amp;RIGHT("000"&amp;AA1600,4))</f>
        <v/>
      </c>
      <c r="C1600" s="56" t="n"/>
      <c r="D1600" s="54" t="n"/>
      <c r="E1600" s="57" t="str">
        <f>IF(D1600="","",IF(A1600="BL",IFERROR(INDEX(cl_name,MATCH(D1600,cl_code,0))&amp;"","Client inconnu"),IF(A1600="BR",IFERROR(INDEX(fo_name,MATCH(D1600,fo_code,0))&amp;"","Fournisseur inconnu"),IF(A1600="BS",IF(ISNA(MATCH(D1600,p_services,0)),"Service inconnu",D1600&amp;""),""))))</f>
        <v/>
      </c>
      <c r="F1600" s="58" t="n"/>
      <c r="G1600" s="58" t="n"/>
      <c r="H1600" s="59" t="n"/>
      <c r="I1600" s="57" t="str">
        <f>IF(H1600="","",IFERROR(INDEX(art_des,MATCH(H1600,art_ref,0))&amp;"","Article inconnu"))</f>
        <v/>
      </c>
      <c r="J1600" s="60" t="str">
        <f>IF(H1600="","",IFERROR(INDEX(art_unit,MATCH(H1600,art_ref,0))&amp;"",""))</f>
        <v/>
      </c>
      <c r="K1600" s="59" t="n"/>
      <c r="L1600" s="59" t="n"/>
      <c r="M1600" s="61" t="str">
        <f>IF(OR(B1600="",NOT(ISNUMBER(K1600)),NOT(ISNUMBER(L1600))),"",IF(OR(K1600&lt;=0,L1600&lt;=0),"",ROUND(L1600-K1600,6)))</f>
        <v/>
      </c>
      <c r="N1600" s="58" t="n"/>
      <c r="O1600" s="62" t="n"/>
      <c r="P1600" s="63" t="str">
        <f>IF(OR(B1600="",NOT(ISNUMBER(L1600))),"",IF(L1600&lt;=0,"",IFERROR(ROUND(L1600*N(INDEX(art_w,MATCH(H1600,art_ref,0))),3),"")))</f>
        <v/>
      </c>
      <c r="Q1600" s="59" t="n"/>
      <c r="R1600" s="54" t="n"/>
      <c r="S1600" s="59" t="n"/>
      <c r="T1600" s="59" t="n"/>
      <c r="U1600" s="64" t="str">
        <f>IF(OR(B1600="",H1600=""),"",IFERROR(IF(A1600="BL",IF(N(INDEX(art_price,MATCH(H1600,art_ref,0)))=0,"",N(INDEX(art_price,MATCH(H1600,art_ref,0)))),IF(N(INDEX(art_cost,MATCH(H1600,art_ref,0)))=0,"",N(INDEX(art_cost,MATCH(H1600,art_ref,0))))),""))</f>
        <v/>
      </c>
      <c r="V1600" s="64" t="str">
        <f>IF(OR(U1600="",NOT(ISNUMBER(L1600))),"",IF(L1600&lt;=0,"",ROUND(L1600*U1600,2)))</f>
        <v/>
      </c>
      <c r="W1600" s="60" t="str">
        <f>IF(AND(B1600&lt;&gt;"",A1600&lt;&gt;"BS",F1600&lt;&gt;"",H1600&lt;&gt;"",ISNUMBER(K1600),ISNUMBER(L1600)),IF(AND(K1600&gt;0,L1600&gt;0,K1600-L1600&gt;0,COUNTIFS(A1601:A$2005,A1600,F1601:F$2005,F1600,H1601:H$2005,H1600,AA1601:AA$2005,"&gt;0")=0),ROUND(K1600-L1600,6),""),"")</f>
        <v/>
      </c>
      <c r="X1600" s="60" t="str">
        <f>IF(AND(A1600="",C1600="",D1600="",H1600="",L1600=""),"",IF(A1600="","Type manquant",IF(AND(A1600&lt;&gt;"BL",A1600&lt;&gt;"BR",A1600&lt;&gt;"BS"),"Type inconnu (BL, BR ou BS)",IF(AG1600=0,"Date manquante ou invalide",IF(D1600="",IF(A1600="BL","Client manquant",IF(A1600="BR","Fournisseur manquant","Service manquant")),IF(IF(A1600="BL",ISNA(MATCH(D1600,cl_code,0)),IF(A1600="BR",ISNA(MATCH(D1600,fo_code,0)),ISNA(MATCH(D1600,p_services,0)))),IF(A1600="BL","Client inconnu",IF(A1600="BR","Fournisseur inconnu","Service inconnu")),IF(H1600="","Article manquant",IF(ISNA(MATCH(H1600,art_ref,0)),"Article inconnu",IF(OR(NOT(ISNUMBER(L1600)),N(L1600)&lt;=0),"Quantité invalide",IF(AND(K1600&lt;&gt;"",OR(NOT(ISNUMBER(K1600)),N(K1600)&lt;=0)),"Qté commandée invalide",IF(AG1600&lt;SUMPRODUCT(MAX((A$6:A1599=A1600)*AG$6:AG1599)),"Date antérieure au bon précédent",IF(AND(A1600&lt;&gt;"BR",ISNUMBER(M1600),N(M1600)&gt;0),IF(A1600="BL","Livré plus que commandé","Sorti plus que demandé"),"OK"))))))))))))</f>
        <v/>
      </c>
      <c r="Y1600" s="57" t="str">
        <f>IF(AND(OR(A1600="BL",A1600="BR",A1600="BS"),AG1600&gt;0,D1600&lt;&gt;""),A1600&amp;"|"&amp;AG1600&amp;"|"&amp;D1600&amp;"|"&amp;F1600,"")</f>
        <v/>
      </c>
      <c r="Z1600" s="57" t="str">
        <f>IF(Y1600="","",IF(COUNTIF(Y$6:Y1599,Y1600)=0,1,0))</f>
        <v/>
      </c>
      <c r="AA1600" s="57" t="str">
        <f>IF(Y1600="","",IF(Z1600=1,COUNTIFS(A$6:A1600,A1600,Z$6:Z1600,1),INDEX(AA$6:AA1599,MATCH(Y1600,Y$6:Y1599,0))))</f>
        <v/>
      </c>
      <c r="AB1600" s="57" t="str">
        <f>IF(B1600="","",COUNTIF(B$6:B1600,B1600))</f>
        <v/>
      </c>
      <c r="AC1600" s="57" t="str">
        <f>IF(B1600="","",B1600&amp;"#"&amp;AB1600)</f>
        <v/>
      </c>
      <c r="AD1600" s="57" t="str">
        <f>IF(Z1600=1,A1600&amp;AA1600,"")</f>
        <v/>
      </c>
      <c r="AE1600" s="57" t="str">
        <f>IF(B1600="","",YEAR(C1600))</f>
        <v/>
      </c>
      <c r="AF1600" s="57" t="str">
        <f>IF(B1600="","",MONTH(C1600))</f>
        <v/>
      </c>
      <c r="AG1600" s="57">
        <f>IF(ISNUMBER(C1600),C1600,0)</f>
        <v>0.0</v>
      </c>
      <c r="AH1600" s="57" t="str">
        <f>IF(N(W1600)&gt;0,COUNTIF(W$6:W1600,"&gt;0"),"")</f>
        <v/>
      </c>
      <c r="AI1600" s="57" t="str">
        <f>IF(Z1600=1,COUNTIF(Z$6:Z1600,1),"")</f>
        <v/>
      </c>
    </row>
    <row r="1601">
      <c r="A1601" s="54" t="n"/>
      <c r="B1601" s="55" t="str">
        <f>IF(AA1601="","",A1601&amp;"-"&amp;RIGHT("000"&amp;AA1601,4))</f>
        <v/>
      </c>
      <c r="C1601" s="56" t="n"/>
      <c r="D1601" s="54" t="n"/>
      <c r="E1601" s="57" t="str">
        <f>IF(D1601="","",IF(A1601="BL",IFERROR(INDEX(cl_name,MATCH(D1601,cl_code,0))&amp;"","Client inconnu"),IF(A1601="BR",IFERROR(INDEX(fo_name,MATCH(D1601,fo_code,0))&amp;"","Fournisseur inconnu"),IF(A1601="BS",IF(ISNA(MATCH(D1601,p_services,0)),"Service inconnu",D1601&amp;""),""))))</f>
        <v/>
      </c>
      <c r="F1601" s="58" t="n"/>
      <c r="G1601" s="58" t="n"/>
      <c r="H1601" s="59" t="n"/>
      <c r="I1601" s="57" t="str">
        <f>IF(H1601="","",IFERROR(INDEX(art_des,MATCH(H1601,art_ref,0))&amp;"","Article inconnu"))</f>
        <v/>
      </c>
      <c r="J1601" s="60" t="str">
        <f>IF(H1601="","",IFERROR(INDEX(art_unit,MATCH(H1601,art_ref,0))&amp;"",""))</f>
        <v/>
      </c>
      <c r="K1601" s="59" t="n"/>
      <c r="L1601" s="59" t="n"/>
      <c r="M1601" s="61" t="str">
        <f>IF(OR(B1601="",NOT(ISNUMBER(K1601)),NOT(ISNUMBER(L1601))),"",IF(OR(K1601&lt;=0,L1601&lt;=0),"",ROUND(L1601-K1601,6)))</f>
        <v/>
      </c>
      <c r="N1601" s="58" t="n"/>
      <c r="O1601" s="62" t="n"/>
      <c r="P1601" s="63" t="str">
        <f>IF(OR(B1601="",NOT(ISNUMBER(L1601))),"",IF(L1601&lt;=0,"",IFERROR(ROUND(L1601*N(INDEX(art_w,MATCH(H1601,art_ref,0))),3),"")))</f>
        <v/>
      </c>
      <c r="Q1601" s="59" t="n"/>
      <c r="R1601" s="54" t="n"/>
      <c r="S1601" s="59" t="n"/>
      <c r="T1601" s="59" t="n"/>
      <c r="U1601" s="64" t="str">
        <f>IF(OR(B1601="",H1601=""),"",IFERROR(IF(A1601="BL",IF(N(INDEX(art_price,MATCH(H1601,art_ref,0)))=0,"",N(INDEX(art_price,MATCH(H1601,art_ref,0)))),IF(N(INDEX(art_cost,MATCH(H1601,art_ref,0)))=0,"",N(INDEX(art_cost,MATCH(H1601,art_ref,0))))),""))</f>
        <v/>
      </c>
      <c r="V1601" s="64" t="str">
        <f>IF(OR(U1601="",NOT(ISNUMBER(L1601))),"",IF(L1601&lt;=0,"",ROUND(L1601*U1601,2)))</f>
        <v/>
      </c>
      <c r="W1601" s="60" t="str">
        <f>IF(AND(B1601&lt;&gt;"",A1601&lt;&gt;"BS",F1601&lt;&gt;"",H1601&lt;&gt;"",ISNUMBER(K1601),ISNUMBER(L1601)),IF(AND(K1601&gt;0,L1601&gt;0,K1601-L1601&gt;0,COUNTIFS(A1602:A$2005,A1601,F1602:F$2005,F1601,H1602:H$2005,H1601,AA1602:AA$2005,"&gt;0")=0),ROUND(K1601-L1601,6),""),"")</f>
        <v/>
      </c>
      <c r="X1601" s="60" t="str">
        <f>IF(AND(A1601="",C1601="",D1601="",H1601="",L1601=""),"",IF(A1601="","Type manquant",IF(AND(A1601&lt;&gt;"BL",A1601&lt;&gt;"BR",A1601&lt;&gt;"BS"),"Type inconnu (BL, BR ou BS)",IF(AG1601=0,"Date manquante ou invalide",IF(D1601="",IF(A1601="BL","Client manquant",IF(A1601="BR","Fournisseur manquant","Service manquant")),IF(IF(A1601="BL",ISNA(MATCH(D1601,cl_code,0)),IF(A1601="BR",ISNA(MATCH(D1601,fo_code,0)),ISNA(MATCH(D1601,p_services,0)))),IF(A1601="BL","Client inconnu",IF(A1601="BR","Fournisseur inconnu","Service inconnu")),IF(H1601="","Article manquant",IF(ISNA(MATCH(H1601,art_ref,0)),"Article inconnu",IF(OR(NOT(ISNUMBER(L1601)),N(L1601)&lt;=0),"Quantité invalide",IF(AND(K1601&lt;&gt;"",OR(NOT(ISNUMBER(K1601)),N(K1601)&lt;=0)),"Qté commandée invalide",IF(AG1601&lt;SUMPRODUCT(MAX((A$6:A1600=A1601)*AG$6:AG1600)),"Date antérieure au bon précédent",IF(AND(A1601&lt;&gt;"BR",ISNUMBER(M1601),N(M1601)&gt;0),IF(A1601="BL","Livré plus que commandé","Sorti plus que demandé"),"OK"))))))))))))</f>
        <v/>
      </c>
      <c r="Y1601" s="57" t="str">
        <f>IF(AND(OR(A1601="BL",A1601="BR",A1601="BS"),AG1601&gt;0,D1601&lt;&gt;""),A1601&amp;"|"&amp;AG1601&amp;"|"&amp;D1601&amp;"|"&amp;F1601,"")</f>
        <v/>
      </c>
      <c r="Z1601" s="57" t="str">
        <f>IF(Y1601="","",IF(COUNTIF(Y$6:Y1600,Y1601)=0,1,0))</f>
        <v/>
      </c>
      <c r="AA1601" s="57" t="str">
        <f>IF(Y1601="","",IF(Z1601=1,COUNTIFS(A$6:A1601,A1601,Z$6:Z1601,1),INDEX(AA$6:AA1600,MATCH(Y1601,Y$6:Y1600,0))))</f>
        <v/>
      </c>
      <c r="AB1601" s="57" t="str">
        <f>IF(B1601="","",COUNTIF(B$6:B1601,B1601))</f>
        <v/>
      </c>
      <c r="AC1601" s="57" t="str">
        <f>IF(B1601="","",B1601&amp;"#"&amp;AB1601)</f>
        <v/>
      </c>
      <c r="AD1601" s="57" t="str">
        <f>IF(Z1601=1,A1601&amp;AA1601,"")</f>
        <v/>
      </c>
      <c r="AE1601" s="57" t="str">
        <f>IF(B1601="","",YEAR(C1601))</f>
        <v/>
      </c>
      <c r="AF1601" s="57" t="str">
        <f>IF(B1601="","",MONTH(C1601))</f>
        <v/>
      </c>
      <c r="AG1601" s="57">
        <f>IF(ISNUMBER(C1601),C1601,0)</f>
        <v>0.0</v>
      </c>
      <c r="AH1601" s="57" t="str">
        <f>IF(N(W1601)&gt;0,COUNTIF(W$6:W1601,"&gt;0"),"")</f>
        <v/>
      </c>
      <c r="AI1601" s="57" t="str">
        <f>IF(Z1601=1,COUNTIF(Z$6:Z1601,1),"")</f>
        <v/>
      </c>
    </row>
    <row r="1602">
      <c r="A1602" s="54" t="n"/>
      <c r="B1602" s="55" t="str">
        <f>IF(AA1602="","",A1602&amp;"-"&amp;RIGHT("000"&amp;AA1602,4))</f>
        <v/>
      </c>
      <c r="C1602" s="56" t="n"/>
      <c r="D1602" s="54" t="n"/>
      <c r="E1602" s="57" t="str">
        <f>IF(D1602="","",IF(A1602="BL",IFERROR(INDEX(cl_name,MATCH(D1602,cl_code,0))&amp;"","Client inconnu"),IF(A1602="BR",IFERROR(INDEX(fo_name,MATCH(D1602,fo_code,0))&amp;"","Fournisseur inconnu"),IF(A1602="BS",IF(ISNA(MATCH(D1602,p_services,0)),"Service inconnu",D1602&amp;""),""))))</f>
        <v/>
      </c>
      <c r="F1602" s="58" t="n"/>
      <c r="G1602" s="58" t="n"/>
      <c r="H1602" s="59" t="n"/>
      <c r="I1602" s="57" t="str">
        <f>IF(H1602="","",IFERROR(INDEX(art_des,MATCH(H1602,art_ref,0))&amp;"","Article inconnu"))</f>
        <v/>
      </c>
      <c r="J1602" s="60" t="str">
        <f>IF(H1602="","",IFERROR(INDEX(art_unit,MATCH(H1602,art_ref,0))&amp;"",""))</f>
        <v/>
      </c>
      <c r="K1602" s="59" t="n"/>
      <c r="L1602" s="59" t="n"/>
      <c r="M1602" s="61" t="str">
        <f>IF(OR(B1602="",NOT(ISNUMBER(K1602)),NOT(ISNUMBER(L1602))),"",IF(OR(K1602&lt;=0,L1602&lt;=0),"",ROUND(L1602-K1602,6)))</f>
        <v/>
      </c>
      <c r="N1602" s="58" t="n"/>
      <c r="O1602" s="62" t="n"/>
      <c r="P1602" s="63" t="str">
        <f>IF(OR(B1602="",NOT(ISNUMBER(L1602))),"",IF(L1602&lt;=0,"",IFERROR(ROUND(L1602*N(INDEX(art_w,MATCH(H1602,art_ref,0))),3),"")))</f>
        <v/>
      </c>
      <c r="Q1602" s="59" t="n"/>
      <c r="R1602" s="54" t="n"/>
      <c r="S1602" s="59" t="n"/>
      <c r="T1602" s="59" t="n"/>
      <c r="U1602" s="64" t="str">
        <f>IF(OR(B1602="",H1602=""),"",IFERROR(IF(A1602="BL",IF(N(INDEX(art_price,MATCH(H1602,art_ref,0)))=0,"",N(INDEX(art_price,MATCH(H1602,art_ref,0)))),IF(N(INDEX(art_cost,MATCH(H1602,art_ref,0)))=0,"",N(INDEX(art_cost,MATCH(H1602,art_ref,0))))),""))</f>
        <v/>
      </c>
      <c r="V1602" s="64" t="str">
        <f>IF(OR(U1602="",NOT(ISNUMBER(L1602))),"",IF(L1602&lt;=0,"",ROUND(L1602*U1602,2)))</f>
        <v/>
      </c>
      <c r="W1602" s="60" t="str">
        <f>IF(AND(B1602&lt;&gt;"",A1602&lt;&gt;"BS",F1602&lt;&gt;"",H1602&lt;&gt;"",ISNUMBER(K1602),ISNUMBER(L1602)),IF(AND(K1602&gt;0,L1602&gt;0,K1602-L1602&gt;0,COUNTIFS(A1603:A$2005,A1602,F1603:F$2005,F1602,H1603:H$2005,H1602,AA1603:AA$2005,"&gt;0")=0),ROUND(K1602-L1602,6),""),"")</f>
        <v/>
      </c>
      <c r="X1602" s="60" t="str">
        <f>IF(AND(A1602="",C1602="",D1602="",H1602="",L1602=""),"",IF(A1602="","Type manquant",IF(AND(A1602&lt;&gt;"BL",A1602&lt;&gt;"BR",A1602&lt;&gt;"BS"),"Type inconnu (BL, BR ou BS)",IF(AG1602=0,"Date manquante ou invalide",IF(D1602="",IF(A1602="BL","Client manquant",IF(A1602="BR","Fournisseur manquant","Service manquant")),IF(IF(A1602="BL",ISNA(MATCH(D1602,cl_code,0)),IF(A1602="BR",ISNA(MATCH(D1602,fo_code,0)),ISNA(MATCH(D1602,p_services,0)))),IF(A1602="BL","Client inconnu",IF(A1602="BR","Fournisseur inconnu","Service inconnu")),IF(H1602="","Article manquant",IF(ISNA(MATCH(H1602,art_ref,0)),"Article inconnu",IF(OR(NOT(ISNUMBER(L1602)),N(L1602)&lt;=0),"Quantité invalide",IF(AND(K1602&lt;&gt;"",OR(NOT(ISNUMBER(K1602)),N(K1602)&lt;=0)),"Qté commandée invalide",IF(AG1602&lt;SUMPRODUCT(MAX((A$6:A1601=A1602)*AG$6:AG1601)),"Date antérieure au bon précédent",IF(AND(A1602&lt;&gt;"BR",ISNUMBER(M1602),N(M1602)&gt;0),IF(A1602="BL","Livré plus que commandé","Sorti plus que demandé"),"OK"))))))))))))</f>
        <v/>
      </c>
      <c r="Y1602" s="57" t="str">
        <f>IF(AND(OR(A1602="BL",A1602="BR",A1602="BS"),AG1602&gt;0,D1602&lt;&gt;""),A1602&amp;"|"&amp;AG1602&amp;"|"&amp;D1602&amp;"|"&amp;F1602,"")</f>
        <v/>
      </c>
      <c r="Z1602" s="57" t="str">
        <f>IF(Y1602="","",IF(COUNTIF(Y$6:Y1601,Y1602)=0,1,0))</f>
        <v/>
      </c>
      <c r="AA1602" s="57" t="str">
        <f>IF(Y1602="","",IF(Z1602=1,COUNTIFS(A$6:A1602,A1602,Z$6:Z1602,1),INDEX(AA$6:AA1601,MATCH(Y1602,Y$6:Y1601,0))))</f>
        <v/>
      </c>
      <c r="AB1602" s="57" t="str">
        <f>IF(B1602="","",COUNTIF(B$6:B1602,B1602))</f>
        <v/>
      </c>
      <c r="AC1602" s="57" t="str">
        <f>IF(B1602="","",B1602&amp;"#"&amp;AB1602)</f>
        <v/>
      </c>
      <c r="AD1602" s="57" t="str">
        <f>IF(Z1602=1,A1602&amp;AA1602,"")</f>
        <v/>
      </c>
      <c r="AE1602" s="57" t="str">
        <f>IF(B1602="","",YEAR(C1602))</f>
        <v/>
      </c>
      <c r="AF1602" s="57" t="str">
        <f>IF(B1602="","",MONTH(C1602))</f>
        <v/>
      </c>
      <c r="AG1602" s="57">
        <f>IF(ISNUMBER(C1602),C1602,0)</f>
        <v>0.0</v>
      </c>
      <c r="AH1602" s="57" t="str">
        <f>IF(N(W1602)&gt;0,COUNTIF(W$6:W1602,"&gt;0"),"")</f>
        <v/>
      </c>
      <c r="AI1602" s="57" t="str">
        <f>IF(Z1602=1,COUNTIF(Z$6:Z1602,1),"")</f>
        <v/>
      </c>
    </row>
    <row r="1603">
      <c r="A1603" s="54" t="n"/>
      <c r="B1603" s="55" t="str">
        <f>IF(AA1603="","",A1603&amp;"-"&amp;RIGHT("000"&amp;AA1603,4))</f>
        <v/>
      </c>
      <c r="C1603" s="56" t="n"/>
      <c r="D1603" s="54" t="n"/>
      <c r="E1603" s="57" t="str">
        <f>IF(D1603="","",IF(A1603="BL",IFERROR(INDEX(cl_name,MATCH(D1603,cl_code,0))&amp;"","Client inconnu"),IF(A1603="BR",IFERROR(INDEX(fo_name,MATCH(D1603,fo_code,0))&amp;"","Fournisseur inconnu"),IF(A1603="BS",IF(ISNA(MATCH(D1603,p_services,0)),"Service inconnu",D1603&amp;""),""))))</f>
        <v/>
      </c>
      <c r="F1603" s="58" t="n"/>
      <c r="G1603" s="58" t="n"/>
      <c r="H1603" s="59" t="n"/>
      <c r="I1603" s="57" t="str">
        <f>IF(H1603="","",IFERROR(INDEX(art_des,MATCH(H1603,art_ref,0))&amp;"","Article inconnu"))</f>
        <v/>
      </c>
      <c r="J1603" s="60" t="str">
        <f>IF(H1603="","",IFERROR(INDEX(art_unit,MATCH(H1603,art_ref,0))&amp;"",""))</f>
        <v/>
      </c>
      <c r="K1603" s="59" t="n"/>
      <c r="L1603" s="59" t="n"/>
      <c r="M1603" s="61" t="str">
        <f>IF(OR(B1603="",NOT(ISNUMBER(K1603)),NOT(ISNUMBER(L1603))),"",IF(OR(K1603&lt;=0,L1603&lt;=0),"",ROUND(L1603-K1603,6)))</f>
        <v/>
      </c>
      <c r="N1603" s="58" t="n"/>
      <c r="O1603" s="62" t="n"/>
      <c r="P1603" s="63" t="str">
        <f>IF(OR(B1603="",NOT(ISNUMBER(L1603))),"",IF(L1603&lt;=0,"",IFERROR(ROUND(L1603*N(INDEX(art_w,MATCH(H1603,art_ref,0))),3),"")))</f>
        <v/>
      </c>
      <c r="Q1603" s="59" t="n"/>
      <c r="R1603" s="54" t="n"/>
      <c r="S1603" s="59" t="n"/>
      <c r="T1603" s="59" t="n"/>
      <c r="U1603" s="64" t="str">
        <f>IF(OR(B1603="",H1603=""),"",IFERROR(IF(A1603="BL",IF(N(INDEX(art_price,MATCH(H1603,art_ref,0)))=0,"",N(INDEX(art_price,MATCH(H1603,art_ref,0)))),IF(N(INDEX(art_cost,MATCH(H1603,art_ref,0)))=0,"",N(INDEX(art_cost,MATCH(H1603,art_ref,0))))),""))</f>
        <v/>
      </c>
      <c r="V1603" s="64" t="str">
        <f>IF(OR(U1603="",NOT(ISNUMBER(L1603))),"",IF(L1603&lt;=0,"",ROUND(L1603*U1603,2)))</f>
        <v/>
      </c>
      <c r="W1603" s="60" t="str">
        <f>IF(AND(B1603&lt;&gt;"",A1603&lt;&gt;"BS",F1603&lt;&gt;"",H1603&lt;&gt;"",ISNUMBER(K1603),ISNUMBER(L1603)),IF(AND(K1603&gt;0,L1603&gt;0,K1603-L1603&gt;0,COUNTIFS(A1604:A$2005,A1603,F1604:F$2005,F1603,H1604:H$2005,H1603,AA1604:AA$2005,"&gt;0")=0),ROUND(K1603-L1603,6),""),"")</f>
        <v/>
      </c>
      <c r="X1603" s="60" t="str">
        <f>IF(AND(A1603="",C1603="",D1603="",H1603="",L1603=""),"",IF(A1603="","Type manquant",IF(AND(A1603&lt;&gt;"BL",A1603&lt;&gt;"BR",A1603&lt;&gt;"BS"),"Type inconnu (BL, BR ou BS)",IF(AG1603=0,"Date manquante ou invalide",IF(D1603="",IF(A1603="BL","Client manquant",IF(A1603="BR","Fournisseur manquant","Service manquant")),IF(IF(A1603="BL",ISNA(MATCH(D1603,cl_code,0)),IF(A1603="BR",ISNA(MATCH(D1603,fo_code,0)),ISNA(MATCH(D1603,p_services,0)))),IF(A1603="BL","Client inconnu",IF(A1603="BR","Fournisseur inconnu","Service inconnu")),IF(H1603="","Article manquant",IF(ISNA(MATCH(H1603,art_ref,0)),"Article inconnu",IF(OR(NOT(ISNUMBER(L1603)),N(L1603)&lt;=0),"Quantité invalide",IF(AND(K1603&lt;&gt;"",OR(NOT(ISNUMBER(K1603)),N(K1603)&lt;=0)),"Qté commandée invalide",IF(AG1603&lt;SUMPRODUCT(MAX((A$6:A1602=A1603)*AG$6:AG1602)),"Date antérieure au bon précédent",IF(AND(A1603&lt;&gt;"BR",ISNUMBER(M1603),N(M1603)&gt;0),IF(A1603="BL","Livré plus que commandé","Sorti plus que demandé"),"OK"))))))))))))</f>
        <v/>
      </c>
      <c r="Y1603" s="57" t="str">
        <f>IF(AND(OR(A1603="BL",A1603="BR",A1603="BS"),AG1603&gt;0,D1603&lt;&gt;""),A1603&amp;"|"&amp;AG1603&amp;"|"&amp;D1603&amp;"|"&amp;F1603,"")</f>
        <v/>
      </c>
      <c r="Z1603" s="57" t="str">
        <f>IF(Y1603="","",IF(COUNTIF(Y$6:Y1602,Y1603)=0,1,0))</f>
        <v/>
      </c>
      <c r="AA1603" s="57" t="str">
        <f>IF(Y1603="","",IF(Z1603=1,COUNTIFS(A$6:A1603,A1603,Z$6:Z1603,1),INDEX(AA$6:AA1602,MATCH(Y1603,Y$6:Y1602,0))))</f>
        <v/>
      </c>
      <c r="AB1603" s="57" t="str">
        <f>IF(B1603="","",COUNTIF(B$6:B1603,B1603))</f>
        <v/>
      </c>
      <c r="AC1603" s="57" t="str">
        <f>IF(B1603="","",B1603&amp;"#"&amp;AB1603)</f>
        <v/>
      </c>
      <c r="AD1603" s="57" t="str">
        <f>IF(Z1603=1,A1603&amp;AA1603,"")</f>
        <v/>
      </c>
      <c r="AE1603" s="57" t="str">
        <f>IF(B1603="","",YEAR(C1603))</f>
        <v/>
      </c>
      <c r="AF1603" s="57" t="str">
        <f>IF(B1603="","",MONTH(C1603))</f>
        <v/>
      </c>
      <c r="AG1603" s="57">
        <f>IF(ISNUMBER(C1603),C1603,0)</f>
        <v>0.0</v>
      </c>
      <c r="AH1603" s="57" t="str">
        <f>IF(N(W1603)&gt;0,COUNTIF(W$6:W1603,"&gt;0"),"")</f>
        <v/>
      </c>
      <c r="AI1603" s="57" t="str">
        <f>IF(Z1603=1,COUNTIF(Z$6:Z1603,1),"")</f>
        <v/>
      </c>
    </row>
    <row r="1604">
      <c r="A1604" s="54" t="n"/>
      <c r="B1604" s="55" t="str">
        <f>IF(AA1604="","",A1604&amp;"-"&amp;RIGHT("000"&amp;AA1604,4))</f>
        <v/>
      </c>
      <c r="C1604" s="56" t="n"/>
      <c r="D1604" s="54" t="n"/>
      <c r="E1604" s="57" t="str">
        <f>IF(D1604="","",IF(A1604="BL",IFERROR(INDEX(cl_name,MATCH(D1604,cl_code,0))&amp;"","Client inconnu"),IF(A1604="BR",IFERROR(INDEX(fo_name,MATCH(D1604,fo_code,0))&amp;"","Fournisseur inconnu"),IF(A1604="BS",IF(ISNA(MATCH(D1604,p_services,0)),"Service inconnu",D1604&amp;""),""))))</f>
        <v/>
      </c>
      <c r="F1604" s="58" t="n"/>
      <c r="G1604" s="58" t="n"/>
      <c r="H1604" s="59" t="n"/>
      <c r="I1604" s="57" t="str">
        <f>IF(H1604="","",IFERROR(INDEX(art_des,MATCH(H1604,art_ref,0))&amp;"","Article inconnu"))</f>
        <v/>
      </c>
      <c r="J1604" s="60" t="str">
        <f>IF(H1604="","",IFERROR(INDEX(art_unit,MATCH(H1604,art_ref,0))&amp;"",""))</f>
        <v/>
      </c>
      <c r="K1604" s="59" t="n"/>
      <c r="L1604" s="59" t="n"/>
      <c r="M1604" s="61" t="str">
        <f>IF(OR(B1604="",NOT(ISNUMBER(K1604)),NOT(ISNUMBER(L1604))),"",IF(OR(K1604&lt;=0,L1604&lt;=0),"",ROUND(L1604-K1604,6)))</f>
        <v/>
      </c>
      <c r="N1604" s="58" t="n"/>
      <c r="O1604" s="62" t="n"/>
      <c r="P1604" s="63" t="str">
        <f>IF(OR(B1604="",NOT(ISNUMBER(L1604))),"",IF(L1604&lt;=0,"",IFERROR(ROUND(L1604*N(INDEX(art_w,MATCH(H1604,art_ref,0))),3),"")))</f>
        <v/>
      </c>
      <c r="Q1604" s="59" t="n"/>
      <c r="R1604" s="54" t="n"/>
      <c r="S1604" s="59" t="n"/>
      <c r="T1604" s="59" t="n"/>
      <c r="U1604" s="64" t="str">
        <f>IF(OR(B1604="",H1604=""),"",IFERROR(IF(A1604="BL",IF(N(INDEX(art_price,MATCH(H1604,art_ref,0)))=0,"",N(INDEX(art_price,MATCH(H1604,art_ref,0)))),IF(N(INDEX(art_cost,MATCH(H1604,art_ref,0)))=0,"",N(INDEX(art_cost,MATCH(H1604,art_ref,0))))),""))</f>
        <v/>
      </c>
      <c r="V1604" s="64" t="str">
        <f>IF(OR(U1604="",NOT(ISNUMBER(L1604))),"",IF(L1604&lt;=0,"",ROUND(L1604*U1604,2)))</f>
        <v/>
      </c>
      <c r="W1604" s="60" t="str">
        <f>IF(AND(B1604&lt;&gt;"",A1604&lt;&gt;"BS",F1604&lt;&gt;"",H1604&lt;&gt;"",ISNUMBER(K1604),ISNUMBER(L1604)),IF(AND(K1604&gt;0,L1604&gt;0,K1604-L1604&gt;0,COUNTIFS(A1605:A$2005,A1604,F1605:F$2005,F1604,H1605:H$2005,H1604,AA1605:AA$2005,"&gt;0")=0),ROUND(K1604-L1604,6),""),"")</f>
        <v/>
      </c>
      <c r="X1604" s="60" t="str">
        <f>IF(AND(A1604="",C1604="",D1604="",H1604="",L1604=""),"",IF(A1604="","Type manquant",IF(AND(A1604&lt;&gt;"BL",A1604&lt;&gt;"BR",A1604&lt;&gt;"BS"),"Type inconnu (BL, BR ou BS)",IF(AG1604=0,"Date manquante ou invalide",IF(D1604="",IF(A1604="BL","Client manquant",IF(A1604="BR","Fournisseur manquant","Service manquant")),IF(IF(A1604="BL",ISNA(MATCH(D1604,cl_code,0)),IF(A1604="BR",ISNA(MATCH(D1604,fo_code,0)),ISNA(MATCH(D1604,p_services,0)))),IF(A1604="BL","Client inconnu",IF(A1604="BR","Fournisseur inconnu","Service inconnu")),IF(H1604="","Article manquant",IF(ISNA(MATCH(H1604,art_ref,0)),"Article inconnu",IF(OR(NOT(ISNUMBER(L1604)),N(L1604)&lt;=0),"Quantité invalide",IF(AND(K1604&lt;&gt;"",OR(NOT(ISNUMBER(K1604)),N(K1604)&lt;=0)),"Qté commandée invalide",IF(AG1604&lt;SUMPRODUCT(MAX((A$6:A1603=A1604)*AG$6:AG1603)),"Date antérieure au bon précédent",IF(AND(A1604&lt;&gt;"BR",ISNUMBER(M1604),N(M1604)&gt;0),IF(A1604="BL","Livré plus que commandé","Sorti plus que demandé"),"OK"))))))))))))</f>
        <v/>
      </c>
      <c r="Y1604" s="57" t="str">
        <f>IF(AND(OR(A1604="BL",A1604="BR",A1604="BS"),AG1604&gt;0,D1604&lt;&gt;""),A1604&amp;"|"&amp;AG1604&amp;"|"&amp;D1604&amp;"|"&amp;F1604,"")</f>
        <v/>
      </c>
      <c r="Z1604" s="57" t="str">
        <f>IF(Y1604="","",IF(COUNTIF(Y$6:Y1603,Y1604)=0,1,0))</f>
        <v/>
      </c>
      <c r="AA1604" s="57" t="str">
        <f>IF(Y1604="","",IF(Z1604=1,COUNTIFS(A$6:A1604,A1604,Z$6:Z1604,1),INDEX(AA$6:AA1603,MATCH(Y1604,Y$6:Y1603,0))))</f>
        <v/>
      </c>
      <c r="AB1604" s="57" t="str">
        <f>IF(B1604="","",COUNTIF(B$6:B1604,B1604))</f>
        <v/>
      </c>
      <c r="AC1604" s="57" t="str">
        <f>IF(B1604="","",B1604&amp;"#"&amp;AB1604)</f>
        <v/>
      </c>
      <c r="AD1604" s="57" t="str">
        <f>IF(Z1604=1,A1604&amp;AA1604,"")</f>
        <v/>
      </c>
      <c r="AE1604" s="57" t="str">
        <f>IF(B1604="","",YEAR(C1604))</f>
        <v/>
      </c>
      <c r="AF1604" s="57" t="str">
        <f>IF(B1604="","",MONTH(C1604))</f>
        <v/>
      </c>
      <c r="AG1604" s="57">
        <f>IF(ISNUMBER(C1604),C1604,0)</f>
        <v>0.0</v>
      </c>
      <c r="AH1604" s="57" t="str">
        <f>IF(N(W1604)&gt;0,COUNTIF(W$6:W1604,"&gt;0"),"")</f>
        <v/>
      </c>
      <c r="AI1604" s="57" t="str">
        <f>IF(Z1604=1,COUNTIF(Z$6:Z1604,1),"")</f>
        <v/>
      </c>
    </row>
    <row r="1605">
      <c r="A1605" s="54" t="n"/>
      <c r="B1605" s="55" t="str">
        <f>IF(AA1605="","",A1605&amp;"-"&amp;RIGHT("000"&amp;AA1605,4))</f>
        <v/>
      </c>
      <c r="C1605" s="56" t="n"/>
      <c r="D1605" s="54" t="n"/>
      <c r="E1605" s="57" t="str">
        <f>IF(D1605="","",IF(A1605="BL",IFERROR(INDEX(cl_name,MATCH(D1605,cl_code,0))&amp;"","Client inconnu"),IF(A1605="BR",IFERROR(INDEX(fo_name,MATCH(D1605,fo_code,0))&amp;"","Fournisseur inconnu"),IF(A1605="BS",IF(ISNA(MATCH(D1605,p_services,0)),"Service inconnu",D1605&amp;""),""))))</f>
        <v/>
      </c>
      <c r="F1605" s="58" t="n"/>
      <c r="G1605" s="58" t="n"/>
      <c r="H1605" s="59" t="n"/>
      <c r="I1605" s="57" t="str">
        <f>IF(H1605="","",IFERROR(INDEX(art_des,MATCH(H1605,art_ref,0))&amp;"","Article inconnu"))</f>
        <v/>
      </c>
      <c r="J1605" s="60" t="str">
        <f>IF(H1605="","",IFERROR(INDEX(art_unit,MATCH(H1605,art_ref,0))&amp;"",""))</f>
        <v/>
      </c>
      <c r="K1605" s="59" t="n"/>
      <c r="L1605" s="59" t="n"/>
      <c r="M1605" s="61" t="str">
        <f>IF(OR(B1605="",NOT(ISNUMBER(K1605)),NOT(ISNUMBER(L1605))),"",IF(OR(K1605&lt;=0,L1605&lt;=0),"",ROUND(L1605-K1605,6)))</f>
        <v/>
      </c>
      <c r="N1605" s="58" t="n"/>
      <c r="O1605" s="62" t="n"/>
      <c r="P1605" s="63" t="str">
        <f>IF(OR(B1605="",NOT(ISNUMBER(L1605))),"",IF(L1605&lt;=0,"",IFERROR(ROUND(L1605*N(INDEX(art_w,MATCH(H1605,art_ref,0))),3),"")))</f>
        <v/>
      </c>
      <c r="Q1605" s="59" t="n"/>
      <c r="R1605" s="54" t="n"/>
      <c r="S1605" s="59" t="n"/>
      <c r="T1605" s="59" t="n"/>
      <c r="U1605" s="64" t="str">
        <f>IF(OR(B1605="",H1605=""),"",IFERROR(IF(A1605="BL",IF(N(INDEX(art_price,MATCH(H1605,art_ref,0)))=0,"",N(INDEX(art_price,MATCH(H1605,art_ref,0)))),IF(N(INDEX(art_cost,MATCH(H1605,art_ref,0)))=0,"",N(INDEX(art_cost,MATCH(H1605,art_ref,0))))),""))</f>
        <v/>
      </c>
      <c r="V1605" s="64" t="str">
        <f>IF(OR(U1605="",NOT(ISNUMBER(L1605))),"",IF(L1605&lt;=0,"",ROUND(L1605*U1605,2)))</f>
        <v/>
      </c>
      <c r="W1605" s="60" t="str">
        <f>IF(AND(B1605&lt;&gt;"",A1605&lt;&gt;"BS",F1605&lt;&gt;"",H1605&lt;&gt;"",ISNUMBER(K1605),ISNUMBER(L1605)),IF(AND(K1605&gt;0,L1605&gt;0,K1605-L1605&gt;0,COUNTIFS(A1606:A$2005,A1605,F1606:F$2005,F1605,H1606:H$2005,H1605,AA1606:AA$2005,"&gt;0")=0),ROUND(K1605-L1605,6),""),"")</f>
        <v/>
      </c>
      <c r="X1605" s="60" t="str">
        <f>IF(AND(A1605="",C1605="",D1605="",H1605="",L1605=""),"",IF(A1605="","Type manquant",IF(AND(A1605&lt;&gt;"BL",A1605&lt;&gt;"BR",A1605&lt;&gt;"BS"),"Type inconnu (BL, BR ou BS)",IF(AG1605=0,"Date manquante ou invalide",IF(D1605="",IF(A1605="BL","Client manquant",IF(A1605="BR","Fournisseur manquant","Service manquant")),IF(IF(A1605="BL",ISNA(MATCH(D1605,cl_code,0)),IF(A1605="BR",ISNA(MATCH(D1605,fo_code,0)),ISNA(MATCH(D1605,p_services,0)))),IF(A1605="BL","Client inconnu",IF(A1605="BR","Fournisseur inconnu","Service inconnu")),IF(H1605="","Article manquant",IF(ISNA(MATCH(H1605,art_ref,0)),"Article inconnu",IF(OR(NOT(ISNUMBER(L1605)),N(L1605)&lt;=0),"Quantité invalide",IF(AND(K1605&lt;&gt;"",OR(NOT(ISNUMBER(K1605)),N(K1605)&lt;=0)),"Qté commandée invalide",IF(AG1605&lt;SUMPRODUCT(MAX((A$6:A1604=A1605)*AG$6:AG1604)),"Date antérieure au bon précédent",IF(AND(A1605&lt;&gt;"BR",ISNUMBER(M1605),N(M1605)&gt;0),IF(A1605="BL","Livré plus que commandé","Sorti plus que demandé"),"OK"))))))))))))</f>
        <v/>
      </c>
      <c r="Y1605" s="57" t="str">
        <f>IF(AND(OR(A1605="BL",A1605="BR",A1605="BS"),AG1605&gt;0,D1605&lt;&gt;""),A1605&amp;"|"&amp;AG1605&amp;"|"&amp;D1605&amp;"|"&amp;F1605,"")</f>
        <v/>
      </c>
      <c r="Z1605" s="57" t="str">
        <f>IF(Y1605="","",IF(COUNTIF(Y$6:Y1604,Y1605)=0,1,0))</f>
        <v/>
      </c>
      <c r="AA1605" s="57" t="str">
        <f>IF(Y1605="","",IF(Z1605=1,COUNTIFS(A$6:A1605,A1605,Z$6:Z1605,1),INDEX(AA$6:AA1604,MATCH(Y1605,Y$6:Y1604,0))))</f>
        <v/>
      </c>
      <c r="AB1605" s="57" t="str">
        <f>IF(B1605="","",COUNTIF(B$6:B1605,B1605))</f>
        <v/>
      </c>
      <c r="AC1605" s="57" t="str">
        <f>IF(B1605="","",B1605&amp;"#"&amp;AB1605)</f>
        <v/>
      </c>
      <c r="AD1605" s="57" t="str">
        <f>IF(Z1605=1,A1605&amp;AA1605,"")</f>
        <v/>
      </c>
      <c r="AE1605" s="57" t="str">
        <f>IF(B1605="","",YEAR(C1605))</f>
        <v/>
      </c>
      <c r="AF1605" s="57" t="str">
        <f>IF(B1605="","",MONTH(C1605))</f>
        <v/>
      </c>
      <c r="AG1605" s="57">
        <f>IF(ISNUMBER(C1605),C1605,0)</f>
        <v>0.0</v>
      </c>
      <c r="AH1605" s="57" t="str">
        <f>IF(N(W1605)&gt;0,COUNTIF(W$6:W1605,"&gt;0"),"")</f>
        <v/>
      </c>
      <c r="AI1605" s="57" t="str">
        <f>IF(Z1605=1,COUNTIF(Z$6:Z1605,1),"")</f>
        <v/>
      </c>
    </row>
    <row r="1606">
      <c r="A1606" s="54" t="n"/>
      <c r="B1606" s="55" t="str">
        <f>IF(AA1606="","",A1606&amp;"-"&amp;RIGHT("000"&amp;AA1606,4))</f>
        <v/>
      </c>
      <c r="C1606" s="56" t="n"/>
      <c r="D1606" s="54" t="n"/>
      <c r="E1606" s="57" t="str">
        <f>IF(D1606="","",IF(A1606="BL",IFERROR(INDEX(cl_name,MATCH(D1606,cl_code,0))&amp;"","Client inconnu"),IF(A1606="BR",IFERROR(INDEX(fo_name,MATCH(D1606,fo_code,0))&amp;"","Fournisseur inconnu"),IF(A1606="BS",IF(ISNA(MATCH(D1606,p_services,0)),"Service inconnu",D1606&amp;""),""))))</f>
        <v/>
      </c>
      <c r="F1606" s="58" t="n"/>
      <c r="G1606" s="58" t="n"/>
      <c r="H1606" s="59" t="n"/>
      <c r="I1606" s="57" t="str">
        <f>IF(H1606="","",IFERROR(INDEX(art_des,MATCH(H1606,art_ref,0))&amp;"","Article inconnu"))</f>
        <v/>
      </c>
      <c r="J1606" s="60" t="str">
        <f>IF(H1606="","",IFERROR(INDEX(art_unit,MATCH(H1606,art_ref,0))&amp;"",""))</f>
        <v/>
      </c>
      <c r="K1606" s="59" t="n"/>
      <c r="L1606" s="59" t="n"/>
      <c r="M1606" s="61" t="str">
        <f>IF(OR(B1606="",NOT(ISNUMBER(K1606)),NOT(ISNUMBER(L1606))),"",IF(OR(K1606&lt;=0,L1606&lt;=0),"",ROUND(L1606-K1606,6)))</f>
        <v/>
      </c>
      <c r="N1606" s="58" t="n"/>
      <c r="O1606" s="62" t="n"/>
      <c r="P1606" s="63" t="str">
        <f>IF(OR(B1606="",NOT(ISNUMBER(L1606))),"",IF(L1606&lt;=0,"",IFERROR(ROUND(L1606*N(INDEX(art_w,MATCH(H1606,art_ref,0))),3),"")))</f>
        <v/>
      </c>
      <c r="Q1606" s="59" t="n"/>
      <c r="R1606" s="54" t="n"/>
      <c r="S1606" s="59" t="n"/>
      <c r="T1606" s="59" t="n"/>
      <c r="U1606" s="64" t="str">
        <f>IF(OR(B1606="",H1606=""),"",IFERROR(IF(A1606="BL",IF(N(INDEX(art_price,MATCH(H1606,art_ref,0)))=0,"",N(INDEX(art_price,MATCH(H1606,art_ref,0)))),IF(N(INDEX(art_cost,MATCH(H1606,art_ref,0)))=0,"",N(INDEX(art_cost,MATCH(H1606,art_ref,0))))),""))</f>
        <v/>
      </c>
      <c r="V1606" s="64" t="str">
        <f>IF(OR(U1606="",NOT(ISNUMBER(L1606))),"",IF(L1606&lt;=0,"",ROUND(L1606*U1606,2)))</f>
        <v/>
      </c>
      <c r="W1606" s="60" t="str">
        <f>IF(AND(B1606&lt;&gt;"",A1606&lt;&gt;"BS",F1606&lt;&gt;"",H1606&lt;&gt;"",ISNUMBER(K1606),ISNUMBER(L1606)),IF(AND(K1606&gt;0,L1606&gt;0,K1606-L1606&gt;0,COUNTIFS(A1607:A$2005,A1606,F1607:F$2005,F1606,H1607:H$2005,H1606,AA1607:AA$2005,"&gt;0")=0),ROUND(K1606-L1606,6),""),"")</f>
        <v/>
      </c>
      <c r="X1606" s="60" t="str">
        <f>IF(AND(A1606="",C1606="",D1606="",H1606="",L1606=""),"",IF(A1606="","Type manquant",IF(AND(A1606&lt;&gt;"BL",A1606&lt;&gt;"BR",A1606&lt;&gt;"BS"),"Type inconnu (BL, BR ou BS)",IF(AG1606=0,"Date manquante ou invalide",IF(D1606="",IF(A1606="BL","Client manquant",IF(A1606="BR","Fournisseur manquant","Service manquant")),IF(IF(A1606="BL",ISNA(MATCH(D1606,cl_code,0)),IF(A1606="BR",ISNA(MATCH(D1606,fo_code,0)),ISNA(MATCH(D1606,p_services,0)))),IF(A1606="BL","Client inconnu",IF(A1606="BR","Fournisseur inconnu","Service inconnu")),IF(H1606="","Article manquant",IF(ISNA(MATCH(H1606,art_ref,0)),"Article inconnu",IF(OR(NOT(ISNUMBER(L1606)),N(L1606)&lt;=0),"Quantité invalide",IF(AND(K1606&lt;&gt;"",OR(NOT(ISNUMBER(K1606)),N(K1606)&lt;=0)),"Qté commandée invalide",IF(AG1606&lt;SUMPRODUCT(MAX((A$6:A1605=A1606)*AG$6:AG1605)),"Date antérieure au bon précédent",IF(AND(A1606&lt;&gt;"BR",ISNUMBER(M1606),N(M1606)&gt;0),IF(A1606="BL","Livré plus que commandé","Sorti plus que demandé"),"OK"))))))))))))</f>
        <v/>
      </c>
      <c r="Y1606" s="57" t="str">
        <f>IF(AND(OR(A1606="BL",A1606="BR",A1606="BS"),AG1606&gt;0,D1606&lt;&gt;""),A1606&amp;"|"&amp;AG1606&amp;"|"&amp;D1606&amp;"|"&amp;F1606,"")</f>
        <v/>
      </c>
      <c r="Z1606" s="57" t="str">
        <f>IF(Y1606="","",IF(COUNTIF(Y$6:Y1605,Y1606)=0,1,0))</f>
        <v/>
      </c>
      <c r="AA1606" s="57" t="str">
        <f>IF(Y1606="","",IF(Z1606=1,COUNTIFS(A$6:A1606,A1606,Z$6:Z1606,1),INDEX(AA$6:AA1605,MATCH(Y1606,Y$6:Y1605,0))))</f>
        <v/>
      </c>
      <c r="AB1606" s="57" t="str">
        <f>IF(B1606="","",COUNTIF(B$6:B1606,B1606))</f>
        <v/>
      </c>
      <c r="AC1606" s="57" t="str">
        <f>IF(B1606="","",B1606&amp;"#"&amp;AB1606)</f>
        <v/>
      </c>
      <c r="AD1606" s="57" t="str">
        <f>IF(Z1606=1,A1606&amp;AA1606,"")</f>
        <v/>
      </c>
      <c r="AE1606" s="57" t="str">
        <f>IF(B1606="","",YEAR(C1606))</f>
        <v/>
      </c>
      <c r="AF1606" s="57" t="str">
        <f>IF(B1606="","",MONTH(C1606))</f>
        <v/>
      </c>
      <c r="AG1606" s="57">
        <f>IF(ISNUMBER(C1606),C1606,0)</f>
        <v>0.0</v>
      </c>
      <c r="AH1606" s="57" t="str">
        <f>IF(N(W1606)&gt;0,COUNTIF(W$6:W1606,"&gt;0"),"")</f>
        <v/>
      </c>
      <c r="AI1606" s="57" t="str">
        <f>IF(Z1606=1,COUNTIF(Z$6:Z1606,1),"")</f>
        <v/>
      </c>
    </row>
    <row r="1607">
      <c r="A1607" s="54" t="n"/>
      <c r="B1607" s="55" t="str">
        <f>IF(AA1607="","",A1607&amp;"-"&amp;RIGHT("000"&amp;AA1607,4))</f>
        <v/>
      </c>
      <c r="C1607" s="56" t="n"/>
      <c r="D1607" s="54" t="n"/>
      <c r="E1607" s="57" t="str">
        <f>IF(D1607="","",IF(A1607="BL",IFERROR(INDEX(cl_name,MATCH(D1607,cl_code,0))&amp;"","Client inconnu"),IF(A1607="BR",IFERROR(INDEX(fo_name,MATCH(D1607,fo_code,0))&amp;"","Fournisseur inconnu"),IF(A1607="BS",IF(ISNA(MATCH(D1607,p_services,0)),"Service inconnu",D1607&amp;""),""))))</f>
        <v/>
      </c>
      <c r="F1607" s="58" t="n"/>
      <c r="G1607" s="58" t="n"/>
      <c r="H1607" s="59" t="n"/>
      <c r="I1607" s="57" t="str">
        <f>IF(H1607="","",IFERROR(INDEX(art_des,MATCH(H1607,art_ref,0))&amp;"","Article inconnu"))</f>
        <v/>
      </c>
      <c r="J1607" s="60" t="str">
        <f>IF(H1607="","",IFERROR(INDEX(art_unit,MATCH(H1607,art_ref,0))&amp;"",""))</f>
        <v/>
      </c>
      <c r="K1607" s="59" t="n"/>
      <c r="L1607" s="59" t="n"/>
      <c r="M1607" s="61" t="str">
        <f>IF(OR(B1607="",NOT(ISNUMBER(K1607)),NOT(ISNUMBER(L1607))),"",IF(OR(K1607&lt;=0,L1607&lt;=0),"",ROUND(L1607-K1607,6)))</f>
        <v/>
      </c>
      <c r="N1607" s="58" t="n"/>
      <c r="O1607" s="62" t="n"/>
      <c r="P1607" s="63" t="str">
        <f>IF(OR(B1607="",NOT(ISNUMBER(L1607))),"",IF(L1607&lt;=0,"",IFERROR(ROUND(L1607*N(INDEX(art_w,MATCH(H1607,art_ref,0))),3),"")))</f>
        <v/>
      </c>
      <c r="Q1607" s="59" t="n"/>
      <c r="R1607" s="54" t="n"/>
      <c r="S1607" s="59" t="n"/>
      <c r="T1607" s="59" t="n"/>
      <c r="U1607" s="64" t="str">
        <f>IF(OR(B1607="",H1607=""),"",IFERROR(IF(A1607="BL",IF(N(INDEX(art_price,MATCH(H1607,art_ref,0)))=0,"",N(INDEX(art_price,MATCH(H1607,art_ref,0)))),IF(N(INDEX(art_cost,MATCH(H1607,art_ref,0)))=0,"",N(INDEX(art_cost,MATCH(H1607,art_ref,0))))),""))</f>
        <v/>
      </c>
      <c r="V1607" s="64" t="str">
        <f>IF(OR(U1607="",NOT(ISNUMBER(L1607))),"",IF(L1607&lt;=0,"",ROUND(L1607*U1607,2)))</f>
        <v/>
      </c>
      <c r="W1607" s="60" t="str">
        <f>IF(AND(B1607&lt;&gt;"",A1607&lt;&gt;"BS",F1607&lt;&gt;"",H1607&lt;&gt;"",ISNUMBER(K1607),ISNUMBER(L1607)),IF(AND(K1607&gt;0,L1607&gt;0,K1607-L1607&gt;0,COUNTIFS(A1608:A$2005,A1607,F1608:F$2005,F1607,H1608:H$2005,H1607,AA1608:AA$2005,"&gt;0")=0),ROUND(K1607-L1607,6),""),"")</f>
        <v/>
      </c>
      <c r="X1607" s="60" t="str">
        <f>IF(AND(A1607="",C1607="",D1607="",H1607="",L1607=""),"",IF(A1607="","Type manquant",IF(AND(A1607&lt;&gt;"BL",A1607&lt;&gt;"BR",A1607&lt;&gt;"BS"),"Type inconnu (BL, BR ou BS)",IF(AG1607=0,"Date manquante ou invalide",IF(D1607="",IF(A1607="BL","Client manquant",IF(A1607="BR","Fournisseur manquant","Service manquant")),IF(IF(A1607="BL",ISNA(MATCH(D1607,cl_code,0)),IF(A1607="BR",ISNA(MATCH(D1607,fo_code,0)),ISNA(MATCH(D1607,p_services,0)))),IF(A1607="BL","Client inconnu",IF(A1607="BR","Fournisseur inconnu","Service inconnu")),IF(H1607="","Article manquant",IF(ISNA(MATCH(H1607,art_ref,0)),"Article inconnu",IF(OR(NOT(ISNUMBER(L1607)),N(L1607)&lt;=0),"Quantité invalide",IF(AND(K1607&lt;&gt;"",OR(NOT(ISNUMBER(K1607)),N(K1607)&lt;=0)),"Qté commandée invalide",IF(AG1607&lt;SUMPRODUCT(MAX((A$6:A1606=A1607)*AG$6:AG1606)),"Date antérieure au bon précédent",IF(AND(A1607&lt;&gt;"BR",ISNUMBER(M1607),N(M1607)&gt;0),IF(A1607="BL","Livré plus que commandé","Sorti plus que demandé"),"OK"))))))))))))</f>
        <v/>
      </c>
      <c r="Y1607" s="57" t="str">
        <f>IF(AND(OR(A1607="BL",A1607="BR",A1607="BS"),AG1607&gt;0,D1607&lt;&gt;""),A1607&amp;"|"&amp;AG1607&amp;"|"&amp;D1607&amp;"|"&amp;F1607,"")</f>
        <v/>
      </c>
      <c r="Z1607" s="57" t="str">
        <f>IF(Y1607="","",IF(COUNTIF(Y$6:Y1606,Y1607)=0,1,0))</f>
        <v/>
      </c>
      <c r="AA1607" s="57" t="str">
        <f>IF(Y1607="","",IF(Z1607=1,COUNTIFS(A$6:A1607,A1607,Z$6:Z1607,1),INDEX(AA$6:AA1606,MATCH(Y1607,Y$6:Y1606,0))))</f>
        <v/>
      </c>
      <c r="AB1607" s="57" t="str">
        <f>IF(B1607="","",COUNTIF(B$6:B1607,B1607))</f>
        <v/>
      </c>
      <c r="AC1607" s="57" t="str">
        <f>IF(B1607="","",B1607&amp;"#"&amp;AB1607)</f>
        <v/>
      </c>
      <c r="AD1607" s="57" t="str">
        <f>IF(Z1607=1,A1607&amp;AA1607,"")</f>
        <v/>
      </c>
      <c r="AE1607" s="57" t="str">
        <f>IF(B1607="","",YEAR(C1607))</f>
        <v/>
      </c>
      <c r="AF1607" s="57" t="str">
        <f>IF(B1607="","",MONTH(C1607))</f>
        <v/>
      </c>
      <c r="AG1607" s="57">
        <f>IF(ISNUMBER(C1607),C1607,0)</f>
        <v>0.0</v>
      </c>
      <c r="AH1607" s="57" t="str">
        <f>IF(N(W1607)&gt;0,COUNTIF(W$6:W1607,"&gt;0"),"")</f>
        <v/>
      </c>
      <c r="AI1607" s="57" t="str">
        <f>IF(Z1607=1,COUNTIF(Z$6:Z1607,1),"")</f>
        <v/>
      </c>
    </row>
    <row r="1608">
      <c r="A1608" s="54" t="n"/>
      <c r="B1608" s="55" t="str">
        <f>IF(AA1608="","",A1608&amp;"-"&amp;RIGHT("000"&amp;AA1608,4))</f>
        <v/>
      </c>
      <c r="C1608" s="56" t="n"/>
      <c r="D1608" s="54" t="n"/>
      <c r="E1608" s="57" t="str">
        <f>IF(D1608="","",IF(A1608="BL",IFERROR(INDEX(cl_name,MATCH(D1608,cl_code,0))&amp;"","Client inconnu"),IF(A1608="BR",IFERROR(INDEX(fo_name,MATCH(D1608,fo_code,0))&amp;"","Fournisseur inconnu"),IF(A1608="BS",IF(ISNA(MATCH(D1608,p_services,0)),"Service inconnu",D1608&amp;""),""))))</f>
        <v/>
      </c>
      <c r="F1608" s="58" t="n"/>
      <c r="G1608" s="58" t="n"/>
      <c r="H1608" s="59" t="n"/>
      <c r="I1608" s="57" t="str">
        <f>IF(H1608="","",IFERROR(INDEX(art_des,MATCH(H1608,art_ref,0))&amp;"","Article inconnu"))</f>
        <v/>
      </c>
      <c r="J1608" s="60" t="str">
        <f>IF(H1608="","",IFERROR(INDEX(art_unit,MATCH(H1608,art_ref,0))&amp;"",""))</f>
        <v/>
      </c>
      <c r="K1608" s="59" t="n"/>
      <c r="L1608" s="59" t="n"/>
      <c r="M1608" s="61" t="str">
        <f>IF(OR(B1608="",NOT(ISNUMBER(K1608)),NOT(ISNUMBER(L1608))),"",IF(OR(K1608&lt;=0,L1608&lt;=0),"",ROUND(L1608-K1608,6)))</f>
        <v/>
      </c>
      <c r="N1608" s="58" t="n"/>
      <c r="O1608" s="62" t="n"/>
      <c r="P1608" s="63" t="str">
        <f>IF(OR(B1608="",NOT(ISNUMBER(L1608))),"",IF(L1608&lt;=0,"",IFERROR(ROUND(L1608*N(INDEX(art_w,MATCH(H1608,art_ref,0))),3),"")))</f>
        <v/>
      </c>
      <c r="Q1608" s="59" t="n"/>
      <c r="R1608" s="54" t="n"/>
      <c r="S1608" s="59" t="n"/>
      <c r="T1608" s="59" t="n"/>
      <c r="U1608" s="64" t="str">
        <f>IF(OR(B1608="",H1608=""),"",IFERROR(IF(A1608="BL",IF(N(INDEX(art_price,MATCH(H1608,art_ref,0)))=0,"",N(INDEX(art_price,MATCH(H1608,art_ref,0)))),IF(N(INDEX(art_cost,MATCH(H1608,art_ref,0)))=0,"",N(INDEX(art_cost,MATCH(H1608,art_ref,0))))),""))</f>
        <v/>
      </c>
      <c r="V1608" s="64" t="str">
        <f>IF(OR(U1608="",NOT(ISNUMBER(L1608))),"",IF(L1608&lt;=0,"",ROUND(L1608*U1608,2)))</f>
        <v/>
      </c>
      <c r="W1608" s="60" t="str">
        <f>IF(AND(B1608&lt;&gt;"",A1608&lt;&gt;"BS",F1608&lt;&gt;"",H1608&lt;&gt;"",ISNUMBER(K1608),ISNUMBER(L1608)),IF(AND(K1608&gt;0,L1608&gt;0,K1608-L1608&gt;0,COUNTIFS(A1609:A$2005,A1608,F1609:F$2005,F1608,H1609:H$2005,H1608,AA1609:AA$2005,"&gt;0")=0),ROUND(K1608-L1608,6),""),"")</f>
        <v/>
      </c>
      <c r="X1608" s="60" t="str">
        <f>IF(AND(A1608="",C1608="",D1608="",H1608="",L1608=""),"",IF(A1608="","Type manquant",IF(AND(A1608&lt;&gt;"BL",A1608&lt;&gt;"BR",A1608&lt;&gt;"BS"),"Type inconnu (BL, BR ou BS)",IF(AG1608=0,"Date manquante ou invalide",IF(D1608="",IF(A1608="BL","Client manquant",IF(A1608="BR","Fournisseur manquant","Service manquant")),IF(IF(A1608="BL",ISNA(MATCH(D1608,cl_code,0)),IF(A1608="BR",ISNA(MATCH(D1608,fo_code,0)),ISNA(MATCH(D1608,p_services,0)))),IF(A1608="BL","Client inconnu",IF(A1608="BR","Fournisseur inconnu","Service inconnu")),IF(H1608="","Article manquant",IF(ISNA(MATCH(H1608,art_ref,0)),"Article inconnu",IF(OR(NOT(ISNUMBER(L1608)),N(L1608)&lt;=0),"Quantité invalide",IF(AND(K1608&lt;&gt;"",OR(NOT(ISNUMBER(K1608)),N(K1608)&lt;=0)),"Qté commandée invalide",IF(AG1608&lt;SUMPRODUCT(MAX((A$6:A1607=A1608)*AG$6:AG1607)),"Date antérieure au bon précédent",IF(AND(A1608&lt;&gt;"BR",ISNUMBER(M1608),N(M1608)&gt;0),IF(A1608="BL","Livré plus que commandé","Sorti plus que demandé"),"OK"))))))))))))</f>
        <v/>
      </c>
      <c r="Y1608" s="57" t="str">
        <f>IF(AND(OR(A1608="BL",A1608="BR",A1608="BS"),AG1608&gt;0,D1608&lt;&gt;""),A1608&amp;"|"&amp;AG1608&amp;"|"&amp;D1608&amp;"|"&amp;F1608,"")</f>
        <v/>
      </c>
      <c r="Z1608" s="57" t="str">
        <f>IF(Y1608="","",IF(COUNTIF(Y$6:Y1607,Y1608)=0,1,0))</f>
        <v/>
      </c>
      <c r="AA1608" s="57" t="str">
        <f>IF(Y1608="","",IF(Z1608=1,COUNTIFS(A$6:A1608,A1608,Z$6:Z1608,1),INDEX(AA$6:AA1607,MATCH(Y1608,Y$6:Y1607,0))))</f>
        <v/>
      </c>
      <c r="AB1608" s="57" t="str">
        <f>IF(B1608="","",COUNTIF(B$6:B1608,B1608))</f>
        <v/>
      </c>
      <c r="AC1608" s="57" t="str">
        <f>IF(B1608="","",B1608&amp;"#"&amp;AB1608)</f>
        <v/>
      </c>
      <c r="AD1608" s="57" t="str">
        <f>IF(Z1608=1,A1608&amp;AA1608,"")</f>
        <v/>
      </c>
      <c r="AE1608" s="57" t="str">
        <f>IF(B1608="","",YEAR(C1608))</f>
        <v/>
      </c>
      <c r="AF1608" s="57" t="str">
        <f>IF(B1608="","",MONTH(C1608))</f>
        <v/>
      </c>
      <c r="AG1608" s="57">
        <f>IF(ISNUMBER(C1608),C1608,0)</f>
        <v>0.0</v>
      </c>
      <c r="AH1608" s="57" t="str">
        <f>IF(N(W1608)&gt;0,COUNTIF(W$6:W1608,"&gt;0"),"")</f>
        <v/>
      </c>
      <c r="AI1608" s="57" t="str">
        <f>IF(Z1608=1,COUNTIF(Z$6:Z1608,1),"")</f>
        <v/>
      </c>
    </row>
    <row r="1609">
      <c r="A1609" s="54" t="n"/>
      <c r="B1609" s="55" t="str">
        <f>IF(AA1609="","",A1609&amp;"-"&amp;RIGHT("000"&amp;AA1609,4))</f>
        <v/>
      </c>
      <c r="C1609" s="56" t="n"/>
      <c r="D1609" s="54" t="n"/>
      <c r="E1609" s="57" t="str">
        <f>IF(D1609="","",IF(A1609="BL",IFERROR(INDEX(cl_name,MATCH(D1609,cl_code,0))&amp;"","Client inconnu"),IF(A1609="BR",IFERROR(INDEX(fo_name,MATCH(D1609,fo_code,0))&amp;"","Fournisseur inconnu"),IF(A1609="BS",IF(ISNA(MATCH(D1609,p_services,0)),"Service inconnu",D1609&amp;""),""))))</f>
        <v/>
      </c>
      <c r="F1609" s="58" t="n"/>
      <c r="G1609" s="58" t="n"/>
      <c r="H1609" s="59" t="n"/>
      <c r="I1609" s="57" t="str">
        <f>IF(H1609="","",IFERROR(INDEX(art_des,MATCH(H1609,art_ref,0))&amp;"","Article inconnu"))</f>
        <v/>
      </c>
      <c r="J1609" s="60" t="str">
        <f>IF(H1609="","",IFERROR(INDEX(art_unit,MATCH(H1609,art_ref,0))&amp;"",""))</f>
        <v/>
      </c>
      <c r="K1609" s="59" t="n"/>
      <c r="L1609" s="59" t="n"/>
      <c r="M1609" s="61" t="str">
        <f>IF(OR(B1609="",NOT(ISNUMBER(K1609)),NOT(ISNUMBER(L1609))),"",IF(OR(K1609&lt;=0,L1609&lt;=0),"",ROUND(L1609-K1609,6)))</f>
        <v/>
      </c>
      <c r="N1609" s="58" t="n"/>
      <c r="O1609" s="62" t="n"/>
      <c r="P1609" s="63" t="str">
        <f>IF(OR(B1609="",NOT(ISNUMBER(L1609))),"",IF(L1609&lt;=0,"",IFERROR(ROUND(L1609*N(INDEX(art_w,MATCH(H1609,art_ref,0))),3),"")))</f>
        <v/>
      </c>
      <c r="Q1609" s="59" t="n"/>
      <c r="R1609" s="54" t="n"/>
      <c r="S1609" s="59" t="n"/>
      <c r="T1609" s="59" t="n"/>
      <c r="U1609" s="64" t="str">
        <f>IF(OR(B1609="",H1609=""),"",IFERROR(IF(A1609="BL",IF(N(INDEX(art_price,MATCH(H1609,art_ref,0)))=0,"",N(INDEX(art_price,MATCH(H1609,art_ref,0)))),IF(N(INDEX(art_cost,MATCH(H1609,art_ref,0)))=0,"",N(INDEX(art_cost,MATCH(H1609,art_ref,0))))),""))</f>
        <v/>
      </c>
      <c r="V1609" s="64" t="str">
        <f>IF(OR(U1609="",NOT(ISNUMBER(L1609))),"",IF(L1609&lt;=0,"",ROUND(L1609*U1609,2)))</f>
        <v/>
      </c>
      <c r="W1609" s="60" t="str">
        <f>IF(AND(B1609&lt;&gt;"",A1609&lt;&gt;"BS",F1609&lt;&gt;"",H1609&lt;&gt;"",ISNUMBER(K1609),ISNUMBER(L1609)),IF(AND(K1609&gt;0,L1609&gt;0,K1609-L1609&gt;0,COUNTIFS(A1610:A$2005,A1609,F1610:F$2005,F1609,H1610:H$2005,H1609,AA1610:AA$2005,"&gt;0")=0),ROUND(K1609-L1609,6),""),"")</f>
        <v/>
      </c>
      <c r="X1609" s="60" t="str">
        <f>IF(AND(A1609="",C1609="",D1609="",H1609="",L1609=""),"",IF(A1609="","Type manquant",IF(AND(A1609&lt;&gt;"BL",A1609&lt;&gt;"BR",A1609&lt;&gt;"BS"),"Type inconnu (BL, BR ou BS)",IF(AG1609=0,"Date manquante ou invalide",IF(D1609="",IF(A1609="BL","Client manquant",IF(A1609="BR","Fournisseur manquant","Service manquant")),IF(IF(A1609="BL",ISNA(MATCH(D1609,cl_code,0)),IF(A1609="BR",ISNA(MATCH(D1609,fo_code,0)),ISNA(MATCH(D1609,p_services,0)))),IF(A1609="BL","Client inconnu",IF(A1609="BR","Fournisseur inconnu","Service inconnu")),IF(H1609="","Article manquant",IF(ISNA(MATCH(H1609,art_ref,0)),"Article inconnu",IF(OR(NOT(ISNUMBER(L1609)),N(L1609)&lt;=0),"Quantité invalide",IF(AND(K1609&lt;&gt;"",OR(NOT(ISNUMBER(K1609)),N(K1609)&lt;=0)),"Qté commandée invalide",IF(AG1609&lt;SUMPRODUCT(MAX((A$6:A1608=A1609)*AG$6:AG1608)),"Date antérieure au bon précédent",IF(AND(A1609&lt;&gt;"BR",ISNUMBER(M1609),N(M1609)&gt;0),IF(A1609="BL","Livré plus que commandé","Sorti plus que demandé"),"OK"))))))))))))</f>
        <v/>
      </c>
      <c r="Y1609" s="57" t="str">
        <f>IF(AND(OR(A1609="BL",A1609="BR",A1609="BS"),AG1609&gt;0,D1609&lt;&gt;""),A1609&amp;"|"&amp;AG1609&amp;"|"&amp;D1609&amp;"|"&amp;F1609,"")</f>
        <v/>
      </c>
      <c r="Z1609" s="57" t="str">
        <f>IF(Y1609="","",IF(COUNTIF(Y$6:Y1608,Y1609)=0,1,0))</f>
        <v/>
      </c>
      <c r="AA1609" s="57" t="str">
        <f>IF(Y1609="","",IF(Z1609=1,COUNTIFS(A$6:A1609,A1609,Z$6:Z1609,1),INDEX(AA$6:AA1608,MATCH(Y1609,Y$6:Y1608,0))))</f>
        <v/>
      </c>
      <c r="AB1609" s="57" t="str">
        <f>IF(B1609="","",COUNTIF(B$6:B1609,B1609))</f>
        <v/>
      </c>
      <c r="AC1609" s="57" t="str">
        <f>IF(B1609="","",B1609&amp;"#"&amp;AB1609)</f>
        <v/>
      </c>
      <c r="AD1609" s="57" t="str">
        <f>IF(Z1609=1,A1609&amp;AA1609,"")</f>
        <v/>
      </c>
      <c r="AE1609" s="57" t="str">
        <f>IF(B1609="","",YEAR(C1609))</f>
        <v/>
      </c>
      <c r="AF1609" s="57" t="str">
        <f>IF(B1609="","",MONTH(C1609))</f>
        <v/>
      </c>
      <c r="AG1609" s="57">
        <f>IF(ISNUMBER(C1609),C1609,0)</f>
        <v>0.0</v>
      </c>
      <c r="AH1609" s="57" t="str">
        <f>IF(N(W1609)&gt;0,COUNTIF(W$6:W1609,"&gt;0"),"")</f>
        <v/>
      </c>
      <c r="AI1609" s="57" t="str">
        <f>IF(Z1609=1,COUNTIF(Z$6:Z1609,1),"")</f>
        <v/>
      </c>
    </row>
    <row r="1610">
      <c r="A1610" s="54" t="n"/>
      <c r="B1610" s="55" t="str">
        <f>IF(AA1610="","",A1610&amp;"-"&amp;RIGHT("000"&amp;AA1610,4))</f>
        <v/>
      </c>
      <c r="C1610" s="56" t="n"/>
      <c r="D1610" s="54" t="n"/>
      <c r="E1610" s="57" t="str">
        <f>IF(D1610="","",IF(A1610="BL",IFERROR(INDEX(cl_name,MATCH(D1610,cl_code,0))&amp;"","Client inconnu"),IF(A1610="BR",IFERROR(INDEX(fo_name,MATCH(D1610,fo_code,0))&amp;"","Fournisseur inconnu"),IF(A1610="BS",IF(ISNA(MATCH(D1610,p_services,0)),"Service inconnu",D1610&amp;""),""))))</f>
        <v/>
      </c>
      <c r="F1610" s="58" t="n"/>
      <c r="G1610" s="58" t="n"/>
      <c r="H1610" s="59" t="n"/>
      <c r="I1610" s="57" t="str">
        <f>IF(H1610="","",IFERROR(INDEX(art_des,MATCH(H1610,art_ref,0))&amp;"","Article inconnu"))</f>
        <v/>
      </c>
      <c r="J1610" s="60" t="str">
        <f>IF(H1610="","",IFERROR(INDEX(art_unit,MATCH(H1610,art_ref,0))&amp;"",""))</f>
        <v/>
      </c>
      <c r="K1610" s="59" t="n"/>
      <c r="L1610" s="59" t="n"/>
      <c r="M1610" s="61" t="str">
        <f>IF(OR(B1610="",NOT(ISNUMBER(K1610)),NOT(ISNUMBER(L1610))),"",IF(OR(K1610&lt;=0,L1610&lt;=0),"",ROUND(L1610-K1610,6)))</f>
        <v/>
      </c>
      <c r="N1610" s="58" t="n"/>
      <c r="O1610" s="62" t="n"/>
      <c r="P1610" s="63" t="str">
        <f>IF(OR(B1610="",NOT(ISNUMBER(L1610))),"",IF(L1610&lt;=0,"",IFERROR(ROUND(L1610*N(INDEX(art_w,MATCH(H1610,art_ref,0))),3),"")))</f>
        <v/>
      </c>
      <c r="Q1610" s="59" t="n"/>
      <c r="R1610" s="54" t="n"/>
      <c r="S1610" s="59" t="n"/>
      <c r="T1610" s="59" t="n"/>
      <c r="U1610" s="64" t="str">
        <f>IF(OR(B1610="",H1610=""),"",IFERROR(IF(A1610="BL",IF(N(INDEX(art_price,MATCH(H1610,art_ref,0)))=0,"",N(INDEX(art_price,MATCH(H1610,art_ref,0)))),IF(N(INDEX(art_cost,MATCH(H1610,art_ref,0)))=0,"",N(INDEX(art_cost,MATCH(H1610,art_ref,0))))),""))</f>
        <v/>
      </c>
      <c r="V1610" s="64" t="str">
        <f>IF(OR(U1610="",NOT(ISNUMBER(L1610))),"",IF(L1610&lt;=0,"",ROUND(L1610*U1610,2)))</f>
        <v/>
      </c>
      <c r="W1610" s="60" t="str">
        <f>IF(AND(B1610&lt;&gt;"",A1610&lt;&gt;"BS",F1610&lt;&gt;"",H1610&lt;&gt;"",ISNUMBER(K1610),ISNUMBER(L1610)),IF(AND(K1610&gt;0,L1610&gt;0,K1610-L1610&gt;0,COUNTIFS(A1611:A$2005,A1610,F1611:F$2005,F1610,H1611:H$2005,H1610,AA1611:AA$2005,"&gt;0")=0),ROUND(K1610-L1610,6),""),"")</f>
        <v/>
      </c>
      <c r="X1610" s="60" t="str">
        <f>IF(AND(A1610="",C1610="",D1610="",H1610="",L1610=""),"",IF(A1610="","Type manquant",IF(AND(A1610&lt;&gt;"BL",A1610&lt;&gt;"BR",A1610&lt;&gt;"BS"),"Type inconnu (BL, BR ou BS)",IF(AG1610=0,"Date manquante ou invalide",IF(D1610="",IF(A1610="BL","Client manquant",IF(A1610="BR","Fournisseur manquant","Service manquant")),IF(IF(A1610="BL",ISNA(MATCH(D1610,cl_code,0)),IF(A1610="BR",ISNA(MATCH(D1610,fo_code,0)),ISNA(MATCH(D1610,p_services,0)))),IF(A1610="BL","Client inconnu",IF(A1610="BR","Fournisseur inconnu","Service inconnu")),IF(H1610="","Article manquant",IF(ISNA(MATCH(H1610,art_ref,0)),"Article inconnu",IF(OR(NOT(ISNUMBER(L1610)),N(L1610)&lt;=0),"Quantité invalide",IF(AND(K1610&lt;&gt;"",OR(NOT(ISNUMBER(K1610)),N(K1610)&lt;=0)),"Qté commandée invalide",IF(AG1610&lt;SUMPRODUCT(MAX((A$6:A1609=A1610)*AG$6:AG1609)),"Date antérieure au bon précédent",IF(AND(A1610&lt;&gt;"BR",ISNUMBER(M1610),N(M1610)&gt;0),IF(A1610="BL","Livré plus que commandé","Sorti plus que demandé"),"OK"))))))))))))</f>
        <v/>
      </c>
      <c r="Y1610" s="57" t="str">
        <f>IF(AND(OR(A1610="BL",A1610="BR",A1610="BS"),AG1610&gt;0,D1610&lt;&gt;""),A1610&amp;"|"&amp;AG1610&amp;"|"&amp;D1610&amp;"|"&amp;F1610,"")</f>
        <v/>
      </c>
      <c r="Z1610" s="57" t="str">
        <f>IF(Y1610="","",IF(COUNTIF(Y$6:Y1609,Y1610)=0,1,0))</f>
        <v/>
      </c>
      <c r="AA1610" s="57" t="str">
        <f>IF(Y1610="","",IF(Z1610=1,COUNTIFS(A$6:A1610,A1610,Z$6:Z1610,1),INDEX(AA$6:AA1609,MATCH(Y1610,Y$6:Y1609,0))))</f>
        <v/>
      </c>
      <c r="AB1610" s="57" t="str">
        <f>IF(B1610="","",COUNTIF(B$6:B1610,B1610))</f>
        <v/>
      </c>
      <c r="AC1610" s="57" t="str">
        <f>IF(B1610="","",B1610&amp;"#"&amp;AB1610)</f>
        <v/>
      </c>
      <c r="AD1610" s="57" t="str">
        <f>IF(Z1610=1,A1610&amp;AA1610,"")</f>
        <v/>
      </c>
      <c r="AE1610" s="57" t="str">
        <f>IF(B1610="","",YEAR(C1610))</f>
        <v/>
      </c>
      <c r="AF1610" s="57" t="str">
        <f>IF(B1610="","",MONTH(C1610))</f>
        <v/>
      </c>
      <c r="AG1610" s="57">
        <f>IF(ISNUMBER(C1610),C1610,0)</f>
        <v>0.0</v>
      </c>
      <c r="AH1610" s="57" t="str">
        <f>IF(N(W1610)&gt;0,COUNTIF(W$6:W1610,"&gt;0"),"")</f>
        <v/>
      </c>
      <c r="AI1610" s="57" t="str">
        <f>IF(Z1610=1,COUNTIF(Z$6:Z1610,1),"")</f>
        <v/>
      </c>
    </row>
    <row r="1611">
      <c r="A1611" s="54" t="n"/>
      <c r="B1611" s="55" t="str">
        <f>IF(AA1611="","",A1611&amp;"-"&amp;RIGHT("000"&amp;AA1611,4))</f>
        <v/>
      </c>
      <c r="C1611" s="56" t="n"/>
      <c r="D1611" s="54" t="n"/>
      <c r="E1611" s="57" t="str">
        <f>IF(D1611="","",IF(A1611="BL",IFERROR(INDEX(cl_name,MATCH(D1611,cl_code,0))&amp;"","Client inconnu"),IF(A1611="BR",IFERROR(INDEX(fo_name,MATCH(D1611,fo_code,0))&amp;"","Fournisseur inconnu"),IF(A1611="BS",IF(ISNA(MATCH(D1611,p_services,0)),"Service inconnu",D1611&amp;""),""))))</f>
        <v/>
      </c>
      <c r="F1611" s="58" t="n"/>
      <c r="G1611" s="58" t="n"/>
      <c r="H1611" s="59" t="n"/>
      <c r="I1611" s="57" t="str">
        <f>IF(H1611="","",IFERROR(INDEX(art_des,MATCH(H1611,art_ref,0))&amp;"","Article inconnu"))</f>
        <v/>
      </c>
      <c r="J1611" s="60" t="str">
        <f>IF(H1611="","",IFERROR(INDEX(art_unit,MATCH(H1611,art_ref,0))&amp;"",""))</f>
        <v/>
      </c>
      <c r="K1611" s="59" t="n"/>
      <c r="L1611" s="59" t="n"/>
      <c r="M1611" s="61" t="str">
        <f>IF(OR(B1611="",NOT(ISNUMBER(K1611)),NOT(ISNUMBER(L1611))),"",IF(OR(K1611&lt;=0,L1611&lt;=0),"",ROUND(L1611-K1611,6)))</f>
        <v/>
      </c>
      <c r="N1611" s="58" t="n"/>
      <c r="O1611" s="62" t="n"/>
      <c r="P1611" s="63" t="str">
        <f>IF(OR(B1611="",NOT(ISNUMBER(L1611))),"",IF(L1611&lt;=0,"",IFERROR(ROUND(L1611*N(INDEX(art_w,MATCH(H1611,art_ref,0))),3),"")))</f>
        <v/>
      </c>
      <c r="Q1611" s="59" t="n"/>
      <c r="R1611" s="54" t="n"/>
      <c r="S1611" s="59" t="n"/>
      <c r="T1611" s="59" t="n"/>
      <c r="U1611" s="64" t="str">
        <f>IF(OR(B1611="",H1611=""),"",IFERROR(IF(A1611="BL",IF(N(INDEX(art_price,MATCH(H1611,art_ref,0)))=0,"",N(INDEX(art_price,MATCH(H1611,art_ref,0)))),IF(N(INDEX(art_cost,MATCH(H1611,art_ref,0)))=0,"",N(INDEX(art_cost,MATCH(H1611,art_ref,0))))),""))</f>
        <v/>
      </c>
      <c r="V1611" s="64" t="str">
        <f>IF(OR(U1611="",NOT(ISNUMBER(L1611))),"",IF(L1611&lt;=0,"",ROUND(L1611*U1611,2)))</f>
        <v/>
      </c>
      <c r="W1611" s="60" t="str">
        <f>IF(AND(B1611&lt;&gt;"",A1611&lt;&gt;"BS",F1611&lt;&gt;"",H1611&lt;&gt;"",ISNUMBER(K1611),ISNUMBER(L1611)),IF(AND(K1611&gt;0,L1611&gt;0,K1611-L1611&gt;0,COUNTIFS(A1612:A$2005,A1611,F1612:F$2005,F1611,H1612:H$2005,H1611,AA1612:AA$2005,"&gt;0")=0),ROUND(K1611-L1611,6),""),"")</f>
        <v/>
      </c>
      <c r="X1611" s="60" t="str">
        <f>IF(AND(A1611="",C1611="",D1611="",H1611="",L1611=""),"",IF(A1611="","Type manquant",IF(AND(A1611&lt;&gt;"BL",A1611&lt;&gt;"BR",A1611&lt;&gt;"BS"),"Type inconnu (BL, BR ou BS)",IF(AG1611=0,"Date manquante ou invalide",IF(D1611="",IF(A1611="BL","Client manquant",IF(A1611="BR","Fournisseur manquant","Service manquant")),IF(IF(A1611="BL",ISNA(MATCH(D1611,cl_code,0)),IF(A1611="BR",ISNA(MATCH(D1611,fo_code,0)),ISNA(MATCH(D1611,p_services,0)))),IF(A1611="BL","Client inconnu",IF(A1611="BR","Fournisseur inconnu","Service inconnu")),IF(H1611="","Article manquant",IF(ISNA(MATCH(H1611,art_ref,0)),"Article inconnu",IF(OR(NOT(ISNUMBER(L1611)),N(L1611)&lt;=0),"Quantité invalide",IF(AND(K1611&lt;&gt;"",OR(NOT(ISNUMBER(K1611)),N(K1611)&lt;=0)),"Qté commandée invalide",IF(AG1611&lt;SUMPRODUCT(MAX((A$6:A1610=A1611)*AG$6:AG1610)),"Date antérieure au bon précédent",IF(AND(A1611&lt;&gt;"BR",ISNUMBER(M1611),N(M1611)&gt;0),IF(A1611="BL","Livré plus que commandé","Sorti plus que demandé"),"OK"))))))))))))</f>
        <v/>
      </c>
      <c r="Y1611" s="57" t="str">
        <f>IF(AND(OR(A1611="BL",A1611="BR",A1611="BS"),AG1611&gt;0,D1611&lt;&gt;""),A1611&amp;"|"&amp;AG1611&amp;"|"&amp;D1611&amp;"|"&amp;F1611,"")</f>
        <v/>
      </c>
      <c r="Z1611" s="57" t="str">
        <f>IF(Y1611="","",IF(COUNTIF(Y$6:Y1610,Y1611)=0,1,0))</f>
        <v/>
      </c>
      <c r="AA1611" s="57" t="str">
        <f>IF(Y1611="","",IF(Z1611=1,COUNTIFS(A$6:A1611,A1611,Z$6:Z1611,1),INDEX(AA$6:AA1610,MATCH(Y1611,Y$6:Y1610,0))))</f>
        <v/>
      </c>
      <c r="AB1611" s="57" t="str">
        <f>IF(B1611="","",COUNTIF(B$6:B1611,B1611))</f>
        <v/>
      </c>
      <c r="AC1611" s="57" t="str">
        <f>IF(B1611="","",B1611&amp;"#"&amp;AB1611)</f>
        <v/>
      </c>
      <c r="AD1611" s="57" t="str">
        <f>IF(Z1611=1,A1611&amp;AA1611,"")</f>
        <v/>
      </c>
      <c r="AE1611" s="57" t="str">
        <f>IF(B1611="","",YEAR(C1611))</f>
        <v/>
      </c>
      <c r="AF1611" s="57" t="str">
        <f>IF(B1611="","",MONTH(C1611))</f>
        <v/>
      </c>
      <c r="AG1611" s="57">
        <f>IF(ISNUMBER(C1611),C1611,0)</f>
        <v>0.0</v>
      </c>
      <c r="AH1611" s="57" t="str">
        <f>IF(N(W1611)&gt;0,COUNTIF(W$6:W1611,"&gt;0"),"")</f>
        <v/>
      </c>
      <c r="AI1611" s="57" t="str">
        <f>IF(Z1611=1,COUNTIF(Z$6:Z1611,1),"")</f>
        <v/>
      </c>
    </row>
    <row r="1612">
      <c r="A1612" s="54" t="n"/>
      <c r="B1612" s="55" t="str">
        <f>IF(AA1612="","",A1612&amp;"-"&amp;RIGHT("000"&amp;AA1612,4))</f>
        <v/>
      </c>
      <c r="C1612" s="56" t="n"/>
      <c r="D1612" s="54" t="n"/>
      <c r="E1612" s="57" t="str">
        <f>IF(D1612="","",IF(A1612="BL",IFERROR(INDEX(cl_name,MATCH(D1612,cl_code,0))&amp;"","Client inconnu"),IF(A1612="BR",IFERROR(INDEX(fo_name,MATCH(D1612,fo_code,0))&amp;"","Fournisseur inconnu"),IF(A1612="BS",IF(ISNA(MATCH(D1612,p_services,0)),"Service inconnu",D1612&amp;""),""))))</f>
        <v/>
      </c>
      <c r="F1612" s="58" t="n"/>
      <c r="G1612" s="58" t="n"/>
      <c r="H1612" s="59" t="n"/>
      <c r="I1612" s="57" t="str">
        <f>IF(H1612="","",IFERROR(INDEX(art_des,MATCH(H1612,art_ref,0))&amp;"","Article inconnu"))</f>
        <v/>
      </c>
      <c r="J1612" s="60" t="str">
        <f>IF(H1612="","",IFERROR(INDEX(art_unit,MATCH(H1612,art_ref,0))&amp;"",""))</f>
        <v/>
      </c>
      <c r="K1612" s="59" t="n"/>
      <c r="L1612" s="59" t="n"/>
      <c r="M1612" s="61" t="str">
        <f>IF(OR(B1612="",NOT(ISNUMBER(K1612)),NOT(ISNUMBER(L1612))),"",IF(OR(K1612&lt;=0,L1612&lt;=0),"",ROUND(L1612-K1612,6)))</f>
        <v/>
      </c>
      <c r="N1612" s="58" t="n"/>
      <c r="O1612" s="62" t="n"/>
      <c r="P1612" s="63" t="str">
        <f>IF(OR(B1612="",NOT(ISNUMBER(L1612))),"",IF(L1612&lt;=0,"",IFERROR(ROUND(L1612*N(INDEX(art_w,MATCH(H1612,art_ref,0))),3),"")))</f>
        <v/>
      </c>
      <c r="Q1612" s="59" t="n"/>
      <c r="R1612" s="54" t="n"/>
      <c r="S1612" s="59" t="n"/>
      <c r="T1612" s="59" t="n"/>
      <c r="U1612" s="64" t="str">
        <f>IF(OR(B1612="",H1612=""),"",IFERROR(IF(A1612="BL",IF(N(INDEX(art_price,MATCH(H1612,art_ref,0)))=0,"",N(INDEX(art_price,MATCH(H1612,art_ref,0)))),IF(N(INDEX(art_cost,MATCH(H1612,art_ref,0)))=0,"",N(INDEX(art_cost,MATCH(H1612,art_ref,0))))),""))</f>
        <v/>
      </c>
      <c r="V1612" s="64" t="str">
        <f>IF(OR(U1612="",NOT(ISNUMBER(L1612))),"",IF(L1612&lt;=0,"",ROUND(L1612*U1612,2)))</f>
        <v/>
      </c>
      <c r="W1612" s="60" t="str">
        <f>IF(AND(B1612&lt;&gt;"",A1612&lt;&gt;"BS",F1612&lt;&gt;"",H1612&lt;&gt;"",ISNUMBER(K1612),ISNUMBER(L1612)),IF(AND(K1612&gt;0,L1612&gt;0,K1612-L1612&gt;0,COUNTIFS(A1613:A$2005,A1612,F1613:F$2005,F1612,H1613:H$2005,H1612,AA1613:AA$2005,"&gt;0")=0),ROUND(K1612-L1612,6),""),"")</f>
        <v/>
      </c>
      <c r="X1612" s="60" t="str">
        <f>IF(AND(A1612="",C1612="",D1612="",H1612="",L1612=""),"",IF(A1612="","Type manquant",IF(AND(A1612&lt;&gt;"BL",A1612&lt;&gt;"BR",A1612&lt;&gt;"BS"),"Type inconnu (BL, BR ou BS)",IF(AG1612=0,"Date manquante ou invalide",IF(D1612="",IF(A1612="BL","Client manquant",IF(A1612="BR","Fournisseur manquant","Service manquant")),IF(IF(A1612="BL",ISNA(MATCH(D1612,cl_code,0)),IF(A1612="BR",ISNA(MATCH(D1612,fo_code,0)),ISNA(MATCH(D1612,p_services,0)))),IF(A1612="BL","Client inconnu",IF(A1612="BR","Fournisseur inconnu","Service inconnu")),IF(H1612="","Article manquant",IF(ISNA(MATCH(H1612,art_ref,0)),"Article inconnu",IF(OR(NOT(ISNUMBER(L1612)),N(L1612)&lt;=0),"Quantité invalide",IF(AND(K1612&lt;&gt;"",OR(NOT(ISNUMBER(K1612)),N(K1612)&lt;=0)),"Qté commandée invalide",IF(AG1612&lt;SUMPRODUCT(MAX((A$6:A1611=A1612)*AG$6:AG1611)),"Date antérieure au bon précédent",IF(AND(A1612&lt;&gt;"BR",ISNUMBER(M1612),N(M1612)&gt;0),IF(A1612="BL","Livré plus que commandé","Sorti plus que demandé"),"OK"))))))))))))</f>
        <v/>
      </c>
      <c r="Y1612" s="57" t="str">
        <f>IF(AND(OR(A1612="BL",A1612="BR",A1612="BS"),AG1612&gt;0,D1612&lt;&gt;""),A1612&amp;"|"&amp;AG1612&amp;"|"&amp;D1612&amp;"|"&amp;F1612,"")</f>
        <v/>
      </c>
      <c r="Z1612" s="57" t="str">
        <f>IF(Y1612="","",IF(COUNTIF(Y$6:Y1611,Y1612)=0,1,0))</f>
        <v/>
      </c>
      <c r="AA1612" s="57" t="str">
        <f>IF(Y1612="","",IF(Z1612=1,COUNTIFS(A$6:A1612,A1612,Z$6:Z1612,1),INDEX(AA$6:AA1611,MATCH(Y1612,Y$6:Y1611,0))))</f>
        <v/>
      </c>
      <c r="AB1612" s="57" t="str">
        <f>IF(B1612="","",COUNTIF(B$6:B1612,B1612))</f>
        <v/>
      </c>
      <c r="AC1612" s="57" t="str">
        <f>IF(B1612="","",B1612&amp;"#"&amp;AB1612)</f>
        <v/>
      </c>
      <c r="AD1612" s="57" t="str">
        <f>IF(Z1612=1,A1612&amp;AA1612,"")</f>
        <v/>
      </c>
      <c r="AE1612" s="57" t="str">
        <f>IF(B1612="","",YEAR(C1612))</f>
        <v/>
      </c>
      <c r="AF1612" s="57" t="str">
        <f>IF(B1612="","",MONTH(C1612))</f>
        <v/>
      </c>
      <c r="AG1612" s="57">
        <f>IF(ISNUMBER(C1612),C1612,0)</f>
        <v>0.0</v>
      </c>
      <c r="AH1612" s="57" t="str">
        <f>IF(N(W1612)&gt;0,COUNTIF(W$6:W1612,"&gt;0"),"")</f>
        <v/>
      </c>
      <c r="AI1612" s="57" t="str">
        <f>IF(Z1612=1,COUNTIF(Z$6:Z1612,1),"")</f>
        <v/>
      </c>
    </row>
    <row r="1613">
      <c r="A1613" s="54" t="n"/>
      <c r="B1613" s="55" t="str">
        <f>IF(AA1613="","",A1613&amp;"-"&amp;RIGHT("000"&amp;AA1613,4))</f>
        <v/>
      </c>
      <c r="C1613" s="56" t="n"/>
      <c r="D1613" s="54" t="n"/>
      <c r="E1613" s="57" t="str">
        <f>IF(D1613="","",IF(A1613="BL",IFERROR(INDEX(cl_name,MATCH(D1613,cl_code,0))&amp;"","Client inconnu"),IF(A1613="BR",IFERROR(INDEX(fo_name,MATCH(D1613,fo_code,0))&amp;"","Fournisseur inconnu"),IF(A1613="BS",IF(ISNA(MATCH(D1613,p_services,0)),"Service inconnu",D1613&amp;""),""))))</f>
        <v/>
      </c>
      <c r="F1613" s="58" t="n"/>
      <c r="G1613" s="58" t="n"/>
      <c r="H1613" s="59" t="n"/>
      <c r="I1613" s="57" t="str">
        <f>IF(H1613="","",IFERROR(INDEX(art_des,MATCH(H1613,art_ref,0))&amp;"","Article inconnu"))</f>
        <v/>
      </c>
      <c r="J1613" s="60" t="str">
        <f>IF(H1613="","",IFERROR(INDEX(art_unit,MATCH(H1613,art_ref,0))&amp;"",""))</f>
        <v/>
      </c>
      <c r="K1613" s="59" t="n"/>
      <c r="L1613" s="59" t="n"/>
      <c r="M1613" s="61" t="str">
        <f>IF(OR(B1613="",NOT(ISNUMBER(K1613)),NOT(ISNUMBER(L1613))),"",IF(OR(K1613&lt;=0,L1613&lt;=0),"",ROUND(L1613-K1613,6)))</f>
        <v/>
      </c>
      <c r="N1613" s="58" t="n"/>
      <c r="O1613" s="62" t="n"/>
      <c r="P1613" s="63" t="str">
        <f>IF(OR(B1613="",NOT(ISNUMBER(L1613))),"",IF(L1613&lt;=0,"",IFERROR(ROUND(L1613*N(INDEX(art_w,MATCH(H1613,art_ref,0))),3),"")))</f>
        <v/>
      </c>
      <c r="Q1613" s="59" t="n"/>
      <c r="R1613" s="54" t="n"/>
      <c r="S1613" s="59" t="n"/>
      <c r="T1613" s="59" t="n"/>
      <c r="U1613" s="64" t="str">
        <f>IF(OR(B1613="",H1613=""),"",IFERROR(IF(A1613="BL",IF(N(INDEX(art_price,MATCH(H1613,art_ref,0)))=0,"",N(INDEX(art_price,MATCH(H1613,art_ref,0)))),IF(N(INDEX(art_cost,MATCH(H1613,art_ref,0)))=0,"",N(INDEX(art_cost,MATCH(H1613,art_ref,0))))),""))</f>
        <v/>
      </c>
      <c r="V1613" s="64" t="str">
        <f>IF(OR(U1613="",NOT(ISNUMBER(L1613))),"",IF(L1613&lt;=0,"",ROUND(L1613*U1613,2)))</f>
        <v/>
      </c>
      <c r="W1613" s="60" t="str">
        <f>IF(AND(B1613&lt;&gt;"",A1613&lt;&gt;"BS",F1613&lt;&gt;"",H1613&lt;&gt;"",ISNUMBER(K1613),ISNUMBER(L1613)),IF(AND(K1613&gt;0,L1613&gt;0,K1613-L1613&gt;0,COUNTIFS(A1614:A$2005,A1613,F1614:F$2005,F1613,H1614:H$2005,H1613,AA1614:AA$2005,"&gt;0")=0),ROUND(K1613-L1613,6),""),"")</f>
        <v/>
      </c>
      <c r="X1613" s="60" t="str">
        <f>IF(AND(A1613="",C1613="",D1613="",H1613="",L1613=""),"",IF(A1613="","Type manquant",IF(AND(A1613&lt;&gt;"BL",A1613&lt;&gt;"BR",A1613&lt;&gt;"BS"),"Type inconnu (BL, BR ou BS)",IF(AG1613=0,"Date manquante ou invalide",IF(D1613="",IF(A1613="BL","Client manquant",IF(A1613="BR","Fournisseur manquant","Service manquant")),IF(IF(A1613="BL",ISNA(MATCH(D1613,cl_code,0)),IF(A1613="BR",ISNA(MATCH(D1613,fo_code,0)),ISNA(MATCH(D1613,p_services,0)))),IF(A1613="BL","Client inconnu",IF(A1613="BR","Fournisseur inconnu","Service inconnu")),IF(H1613="","Article manquant",IF(ISNA(MATCH(H1613,art_ref,0)),"Article inconnu",IF(OR(NOT(ISNUMBER(L1613)),N(L1613)&lt;=0),"Quantité invalide",IF(AND(K1613&lt;&gt;"",OR(NOT(ISNUMBER(K1613)),N(K1613)&lt;=0)),"Qté commandée invalide",IF(AG1613&lt;SUMPRODUCT(MAX((A$6:A1612=A1613)*AG$6:AG1612)),"Date antérieure au bon précédent",IF(AND(A1613&lt;&gt;"BR",ISNUMBER(M1613),N(M1613)&gt;0),IF(A1613="BL","Livré plus que commandé","Sorti plus que demandé"),"OK"))))))))))))</f>
        <v/>
      </c>
      <c r="Y1613" s="57" t="str">
        <f>IF(AND(OR(A1613="BL",A1613="BR",A1613="BS"),AG1613&gt;0,D1613&lt;&gt;""),A1613&amp;"|"&amp;AG1613&amp;"|"&amp;D1613&amp;"|"&amp;F1613,"")</f>
        <v/>
      </c>
      <c r="Z1613" s="57" t="str">
        <f>IF(Y1613="","",IF(COUNTIF(Y$6:Y1612,Y1613)=0,1,0))</f>
        <v/>
      </c>
      <c r="AA1613" s="57" t="str">
        <f>IF(Y1613="","",IF(Z1613=1,COUNTIFS(A$6:A1613,A1613,Z$6:Z1613,1),INDEX(AA$6:AA1612,MATCH(Y1613,Y$6:Y1612,0))))</f>
        <v/>
      </c>
      <c r="AB1613" s="57" t="str">
        <f>IF(B1613="","",COUNTIF(B$6:B1613,B1613))</f>
        <v/>
      </c>
      <c r="AC1613" s="57" t="str">
        <f>IF(B1613="","",B1613&amp;"#"&amp;AB1613)</f>
        <v/>
      </c>
      <c r="AD1613" s="57" t="str">
        <f>IF(Z1613=1,A1613&amp;AA1613,"")</f>
        <v/>
      </c>
      <c r="AE1613" s="57" t="str">
        <f>IF(B1613="","",YEAR(C1613))</f>
        <v/>
      </c>
      <c r="AF1613" s="57" t="str">
        <f>IF(B1613="","",MONTH(C1613))</f>
        <v/>
      </c>
      <c r="AG1613" s="57">
        <f>IF(ISNUMBER(C1613),C1613,0)</f>
        <v>0.0</v>
      </c>
      <c r="AH1613" s="57" t="str">
        <f>IF(N(W1613)&gt;0,COUNTIF(W$6:W1613,"&gt;0"),"")</f>
        <v/>
      </c>
      <c r="AI1613" s="57" t="str">
        <f>IF(Z1613=1,COUNTIF(Z$6:Z1613,1),"")</f>
        <v/>
      </c>
    </row>
    <row r="1614">
      <c r="A1614" s="54" t="n"/>
      <c r="B1614" s="55" t="str">
        <f>IF(AA1614="","",A1614&amp;"-"&amp;RIGHT("000"&amp;AA1614,4))</f>
        <v/>
      </c>
      <c r="C1614" s="56" t="n"/>
      <c r="D1614" s="54" t="n"/>
      <c r="E1614" s="57" t="str">
        <f>IF(D1614="","",IF(A1614="BL",IFERROR(INDEX(cl_name,MATCH(D1614,cl_code,0))&amp;"","Client inconnu"),IF(A1614="BR",IFERROR(INDEX(fo_name,MATCH(D1614,fo_code,0))&amp;"","Fournisseur inconnu"),IF(A1614="BS",IF(ISNA(MATCH(D1614,p_services,0)),"Service inconnu",D1614&amp;""),""))))</f>
        <v/>
      </c>
      <c r="F1614" s="58" t="n"/>
      <c r="G1614" s="58" t="n"/>
      <c r="H1614" s="59" t="n"/>
      <c r="I1614" s="57" t="str">
        <f>IF(H1614="","",IFERROR(INDEX(art_des,MATCH(H1614,art_ref,0))&amp;"","Article inconnu"))</f>
        <v/>
      </c>
      <c r="J1614" s="60" t="str">
        <f>IF(H1614="","",IFERROR(INDEX(art_unit,MATCH(H1614,art_ref,0))&amp;"",""))</f>
        <v/>
      </c>
      <c r="K1614" s="59" t="n"/>
      <c r="L1614" s="59" t="n"/>
      <c r="M1614" s="61" t="str">
        <f>IF(OR(B1614="",NOT(ISNUMBER(K1614)),NOT(ISNUMBER(L1614))),"",IF(OR(K1614&lt;=0,L1614&lt;=0),"",ROUND(L1614-K1614,6)))</f>
        <v/>
      </c>
      <c r="N1614" s="58" t="n"/>
      <c r="O1614" s="62" t="n"/>
      <c r="P1614" s="63" t="str">
        <f>IF(OR(B1614="",NOT(ISNUMBER(L1614))),"",IF(L1614&lt;=0,"",IFERROR(ROUND(L1614*N(INDEX(art_w,MATCH(H1614,art_ref,0))),3),"")))</f>
        <v/>
      </c>
      <c r="Q1614" s="59" t="n"/>
      <c r="R1614" s="54" t="n"/>
      <c r="S1614" s="59" t="n"/>
      <c r="T1614" s="59" t="n"/>
      <c r="U1614" s="64" t="str">
        <f>IF(OR(B1614="",H1614=""),"",IFERROR(IF(A1614="BL",IF(N(INDEX(art_price,MATCH(H1614,art_ref,0)))=0,"",N(INDEX(art_price,MATCH(H1614,art_ref,0)))),IF(N(INDEX(art_cost,MATCH(H1614,art_ref,0)))=0,"",N(INDEX(art_cost,MATCH(H1614,art_ref,0))))),""))</f>
        <v/>
      </c>
      <c r="V1614" s="64" t="str">
        <f>IF(OR(U1614="",NOT(ISNUMBER(L1614))),"",IF(L1614&lt;=0,"",ROUND(L1614*U1614,2)))</f>
        <v/>
      </c>
      <c r="W1614" s="60" t="str">
        <f>IF(AND(B1614&lt;&gt;"",A1614&lt;&gt;"BS",F1614&lt;&gt;"",H1614&lt;&gt;"",ISNUMBER(K1614),ISNUMBER(L1614)),IF(AND(K1614&gt;0,L1614&gt;0,K1614-L1614&gt;0,COUNTIFS(A1615:A$2005,A1614,F1615:F$2005,F1614,H1615:H$2005,H1614,AA1615:AA$2005,"&gt;0")=0),ROUND(K1614-L1614,6),""),"")</f>
        <v/>
      </c>
      <c r="X1614" s="60" t="str">
        <f>IF(AND(A1614="",C1614="",D1614="",H1614="",L1614=""),"",IF(A1614="","Type manquant",IF(AND(A1614&lt;&gt;"BL",A1614&lt;&gt;"BR",A1614&lt;&gt;"BS"),"Type inconnu (BL, BR ou BS)",IF(AG1614=0,"Date manquante ou invalide",IF(D1614="",IF(A1614="BL","Client manquant",IF(A1614="BR","Fournisseur manquant","Service manquant")),IF(IF(A1614="BL",ISNA(MATCH(D1614,cl_code,0)),IF(A1614="BR",ISNA(MATCH(D1614,fo_code,0)),ISNA(MATCH(D1614,p_services,0)))),IF(A1614="BL","Client inconnu",IF(A1614="BR","Fournisseur inconnu","Service inconnu")),IF(H1614="","Article manquant",IF(ISNA(MATCH(H1614,art_ref,0)),"Article inconnu",IF(OR(NOT(ISNUMBER(L1614)),N(L1614)&lt;=0),"Quantité invalide",IF(AND(K1614&lt;&gt;"",OR(NOT(ISNUMBER(K1614)),N(K1614)&lt;=0)),"Qté commandée invalide",IF(AG1614&lt;SUMPRODUCT(MAX((A$6:A1613=A1614)*AG$6:AG1613)),"Date antérieure au bon précédent",IF(AND(A1614&lt;&gt;"BR",ISNUMBER(M1614),N(M1614)&gt;0),IF(A1614="BL","Livré plus que commandé","Sorti plus que demandé"),"OK"))))))))))))</f>
        <v/>
      </c>
      <c r="Y1614" s="57" t="str">
        <f>IF(AND(OR(A1614="BL",A1614="BR",A1614="BS"),AG1614&gt;0,D1614&lt;&gt;""),A1614&amp;"|"&amp;AG1614&amp;"|"&amp;D1614&amp;"|"&amp;F1614,"")</f>
        <v/>
      </c>
      <c r="Z1614" s="57" t="str">
        <f>IF(Y1614="","",IF(COUNTIF(Y$6:Y1613,Y1614)=0,1,0))</f>
        <v/>
      </c>
      <c r="AA1614" s="57" t="str">
        <f>IF(Y1614="","",IF(Z1614=1,COUNTIFS(A$6:A1614,A1614,Z$6:Z1614,1),INDEX(AA$6:AA1613,MATCH(Y1614,Y$6:Y1613,0))))</f>
        <v/>
      </c>
      <c r="AB1614" s="57" t="str">
        <f>IF(B1614="","",COUNTIF(B$6:B1614,B1614))</f>
        <v/>
      </c>
      <c r="AC1614" s="57" t="str">
        <f>IF(B1614="","",B1614&amp;"#"&amp;AB1614)</f>
        <v/>
      </c>
      <c r="AD1614" s="57" t="str">
        <f>IF(Z1614=1,A1614&amp;AA1614,"")</f>
        <v/>
      </c>
      <c r="AE1614" s="57" t="str">
        <f>IF(B1614="","",YEAR(C1614))</f>
        <v/>
      </c>
      <c r="AF1614" s="57" t="str">
        <f>IF(B1614="","",MONTH(C1614))</f>
        <v/>
      </c>
      <c r="AG1614" s="57">
        <f>IF(ISNUMBER(C1614),C1614,0)</f>
        <v>0.0</v>
      </c>
      <c r="AH1614" s="57" t="str">
        <f>IF(N(W1614)&gt;0,COUNTIF(W$6:W1614,"&gt;0"),"")</f>
        <v/>
      </c>
      <c r="AI1614" s="57" t="str">
        <f>IF(Z1614=1,COUNTIF(Z$6:Z1614,1),"")</f>
        <v/>
      </c>
    </row>
    <row r="1615">
      <c r="A1615" s="54" t="n"/>
      <c r="B1615" s="55" t="str">
        <f>IF(AA1615="","",A1615&amp;"-"&amp;RIGHT("000"&amp;AA1615,4))</f>
        <v/>
      </c>
      <c r="C1615" s="56" t="n"/>
      <c r="D1615" s="54" t="n"/>
      <c r="E1615" s="57" t="str">
        <f>IF(D1615="","",IF(A1615="BL",IFERROR(INDEX(cl_name,MATCH(D1615,cl_code,0))&amp;"","Client inconnu"),IF(A1615="BR",IFERROR(INDEX(fo_name,MATCH(D1615,fo_code,0))&amp;"","Fournisseur inconnu"),IF(A1615="BS",IF(ISNA(MATCH(D1615,p_services,0)),"Service inconnu",D1615&amp;""),""))))</f>
        <v/>
      </c>
      <c r="F1615" s="58" t="n"/>
      <c r="G1615" s="58" t="n"/>
      <c r="H1615" s="59" t="n"/>
      <c r="I1615" s="57" t="str">
        <f>IF(H1615="","",IFERROR(INDEX(art_des,MATCH(H1615,art_ref,0))&amp;"","Article inconnu"))</f>
        <v/>
      </c>
      <c r="J1615" s="60" t="str">
        <f>IF(H1615="","",IFERROR(INDEX(art_unit,MATCH(H1615,art_ref,0))&amp;"",""))</f>
        <v/>
      </c>
      <c r="K1615" s="59" t="n"/>
      <c r="L1615" s="59" t="n"/>
      <c r="M1615" s="61" t="str">
        <f>IF(OR(B1615="",NOT(ISNUMBER(K1615)),NOT(ISNUMBER(L1615))),"",IF(OR(K1615&lt;=0,L1615&lt;=0),"",ROUND(L1615-K1615,6)))</f>
        <v/>
      </c>
      <c r="N1615" s="58" t="n"/>
      <c r="O1615" s="62" t="n"/>
      <c r="P1615" s="63" t="str">
        <f>IF(OR(B1615="",NOT(ISNUMBER(L1615))),"",IF(L1615&lt;=0,"",IFERROR(ROUND(L1615*N(INDEX(art_w,MATCH(H1615,art_ref,0))),3),"")))</f>
        <v/>
      </c>
      <c r="Q1615" s="59" t="n"/>
      <c r="R1615" s="54" t="n"/>
      <c r="S1615" s="59" t="n"/>
      <c r="T1615" s="59" t="n"/>
      <c r="U1615" s="64" t="str">
        <f>IF(OR(B1615="",H1615=""),"",IFERROR(IF(A1615="BL",IF(N(INDEX(art_price,MATCH(H1615,art_ref,0)))=0,"",N(INDEX(art_price,MATCH(H1615,art_ref,0)))),IF(N(INDEX(art_cost,MATCH(H1615,art_ref,0)))=0,"",N(INDEX(art_cost,MATCH(H1615,art_ref,0))))),""))</f>
        <v/>
      </c>
      <c r="V1615" s="64" t="str">
        <f>IF(OR(U1615="",NOT(ISNUMBER(L1615))),"",IF(L1615&lt;=0,"",ROUND(L1615*U1615,2)))</f>
        <v/>
      </c>
      <c r="W1615" s="60" t="str">
        <f>IF(AND(B1615&lt;&gt;"",A1615&lt;&gt;"BS",F1615&lt;&gt;"",H1615&lt;&gt;"",ISNUMBER(K1615),ISNUMBER(L1615)),IF(AND(K1615&gt;0,L1615&gt;0,K1615-L1615&gt;0,COUNTIFS(A1616:A$2005,A1615,F1616:F$2005,F1615,H1616:H$2005,H1615,AA1616:AA$2005,"&gt;0")=0),ROUND(K1615-L1615,6),""),"")</f>
        <v/>
      </c>
      <c r="X1615" s="60" t="str">
        <f>IF(AND(A1615="",C1615="",D1615="",H1615="",L1615=""),"",IF(A1615="","Type manquant",IF(AND(A1615&lt;&gt;"BL",A1615&lt;&gt;"BR",A1615&lt;&gt;"BS"),"Type inconnu (BL, BR ou BS)",IF(AG1615=0,"Date manquante ou invalide",IF(D1615="",IF(A1615="BL","Client manquant",IF(A1615="BR","Fournisseur manquant","Service manquant")),IF(IF(A1615="BL",ISNA(MATCH(D1615,cl_code,0)),IF(A1615="BR",ISNA(MATCH(D1615,fo_code,0)),ISNA(MATCH(D1615,p_services,0)))),IF(A1615="BL","Client inconnu",IF(A1615="BR","Fournisseur inconnu","Service inconnu")),IF(H1615="","Article manquant",IF(ISNA(MATCH(H1615,art_ref,0)),"Article inconnu",IF(OR(NOT(ISNUMBER(L1615)),N(L1615)&lt;=0),"Quantité invalide",IF(AND(K1615&lt;&gt;"",OR(NOT(ISNUMBER(K1615)),N(K1615)&lt;=0)),"Qté commandée invalide",IF(AG1615&lt;SUMPRODUCT(MAX((A$6:A1614=A1615)*AG$6:AG1614)),"Date antérieure au bon précédent",IF(AND(A1615&lt;&gt;"BR",ISNUMBER(M1615),N(M1615)&gt;0),IF(A1615="BL","Livré plus que commandé","Sorti plus que demandé"),"OK"))))))))))))</f>
        <v/>
      </c>
      <c r="Y1615" s="57" t="str">
        <f>IF(AND(OR(A1615="BL",A1615="BR",A1615="BS"),AG1615&gt;0,D1615&lt;&gt;""),A1615&amp;"|"&amp;AG1615&amp;"|"&amp;D1615&amp;"|"&amp;F1615,"")</f>
        <v/>
      </c>
      <c r="Z1615" s="57" t="str">
        <f>IF(Y1615="","",IF(COUNTIF(Y$6:Y1614,Y1615)=0,1,0))</f>
        <v/>
      </c>
      <c r="AA1615" s="57" t="str">
        <f>IF(Y1615="","",IF(Z1615=1,COUNTIFS(A$6:A1615,A1615,Z$6:Z1615,1),INDEX(AA$6:AA1614,MATCH(Y1615,Y$6:Y1614,0))))</f>
        <v/>
      </c>
      <c r="AB1615" s="57" t="str">
        <f>IF(B1615="","",COUNTIF(B$6:B1615,B1615))</f>
        <v/>
      </c>
      <c r="AC1615" s="57" t="str">
        <f>IF(B1615="","",B1615&amp;"#"&amp;AB1615)</f>
        <v/>
      </c>
      <c r="AD1615" s="57" t="str">
        <f>IF(Z1615=1,A1615&amp;AA1615,"")</f>
        <v/>
      </c>
      <c r="AE1615" s="57" t="str">
        <f>IF(B1615="","",YEAR(C1615))</f>
        <v/>
      </c>
      <c r="AF1615" s="57" t="str">
        <f>IF(B1615="","",MONTH(C1615))</f>
        <v/>
      </c>
      <c r="AG1615" s="57">
        <f>IF(ISNUMBER(C1615),C1615,0)</f>
        <v>0.0</v>
      </c>
      <c r="AH1615" s="57" t="str">
        <f>IF(N(W1615)&gt;0,COUNTIF(W$6:W1615,"&gt;0"),"")</f>
        <v/>
      </c>
      <c r="AI1615" s="57" t="str">
        <f>IF(Z1615=1,COUNTIF(Z$6:Z1615,1),"")</f>
        <v/>
      </c>
    </row>
    <row r="1616">
      <c r="A1616" s="54" t="n"/>
      <c r="B1616" s="55" t="str">
        <f>IF(AA1616="","",A1616&amp;"-"&amp;RIGHT("000"&amp;AA1616,4))</f>
        <v/>
      </c>
      <c r="C1616" s="56" t="n"/>
      <c r="D1616" s="54" t="n"/>
      <c r="E1616" s="57" t="str">
        <f>IF(D1616="","",IF(A1616="BL",IFERROR(INDEX(cl_name,MATCH(D1616,cl_code,0))&amp;"","Client inconnu"),IF(A1616="BR",IFERROR(INDEX(fo_name,MATCH(D1616,fo_code,0))&amp;"","Fournisseur inconnu"),IF(A1616="BS",IF(ISNA(MATCH(D1616,p_services,0)),"Service inconnu",D1616&amp;""),""))))</f>
        <v/>
      </c>
      <c r="F1616" s="58" t="n"/>
      <c r="G1616" s="58" t="n"/>
      <c r="H1616" s="59" t="n"/>
      <c r="I1616" s="57" t="str">
        <f>IF(H1616="","",IFERROR(INDEX(art_des,MATCH(H1616,art_ref,0))&amp;"","Article inconnu"))</f>
        <v/>
      </c>
      <c r="J1616" s="60" t="str">
        <f>IF(H1616="","",IFERROR(INDEX(art_unit,MATCH(H1616,art_ref,0))&amp;"",""))</f>
        <v/>
      </c>
      <c r="K1616" s="59" t="n"/>
      <c r="L1616" s="59" t="n"/>
      <c r="M1616" s="61" t="str">
        <f>IF(OR(B1616="",NOT(ISNUMBER(K1616)),NOT(ISNUMBER(L1616))),"",IF(OR(K1616&lt;=0,L1616&lt;=0),"",ROUND(L1616-K1616,6)))</f>
        <v/>
      </c>
      <c r="N1616" s="58" t="n"/>
      <c r="O1616" s="62" t="n"/>
      <c r="P1616" s="63" t="str">
        <f>IF(OR(B1616="",NOT(ISNUMBER(L1616))),"",IF(L1616&lt;=0,"",IFERROR(ROUND(L1616*N(INDEX(art_w,MATCH(H1616,art_ref,0))),3),"")))</f>
        <v/>
      </c>
      <c r="Q1616" s="59" t="n"/>
      <c r="R1616" s="54" t="n"/>
      <c r="S1616" s="59" t="n"/>
      <c r="T1616" s="59" t="n"/>
      <c r="U1616" s="64" t="str">
        <f>IF(OR(B1616="",H1616=""),"",IFERROR(IF(A1616="BL",IF(N(INDEX(art_price,MATCH(H1616,art_ref,0)))=0,"",N(INDEX(art_price,MATCH(H1616,art_ref,0)))),IF(N(INDEX(art_cost,MATCH(H1616,art_ref,0)))=0,"",N(INDEX(art_cost,MATCH(H1616,art_ref,0))))),""))</f>
        <v/>
      </c>
      <c r="V1616" s="64" t="str">
        <f>IF(OR(U1616="",NOT(ISNUMBER(L1616))),"",IF(L1616&lt;=0,"",ROUND(L1616*U1616,2)))</f>
        <v/>
      </c>
      <c r="W1616" s="60" t="str">
        <f>IF(AND(B1616&lt;&gt;"",A1616&lt;&gt;"BS",F1616&lt;&gt;"",H1616&lt;&gt;"",ISNUMBER(K1616),ISNUMBER(L1616)),IF(AND(K1616&gt;0,L1616&gt;0,K1616-L1616&gt;0,COUNTIFS(A1617:A$2005,A1616,F1617:F$2005,F1616,H1617:H$2005,H1616,AA1617:AA$2005,"&gt;0")=0),ROUND(K1616-L1616,6),""),"")</f>
        <v/>
      </c>
      <c r="X1616" s="60" t="str">
        <f>IF(AND(A1616="",C1616="",D1616="",H1616="",L1616=""),"",IF(A1616="","Type manquant",IF(AND(A1616&lt;&gt;"BL",A1616&lt;&gt;"BR",A1616&lt;&gt;"BS"),"Type inconnu (BL, BR ou BS)",IF(AG1616=0,"Date manquante ou invalide",IF(D1616="",IF(A1616="BL","Client manquant",IF(A1616="BR","Fournisseur manquant","Service manquant")),IF(IF(A1616="BL",ISNA(MATCH(D1616,cl_code,0)),IF(A1616="BR",ISNA(MATCH(D1616,fo_code,0)),ISNA(MATCH(D1616,p_services,0)))),IF(A1616="BL","Client inconnu",IF(A1616="BR","Fournisseur inconnu","Service inconnu")),IF(H1616="","Article manquant",IF(ISNA(MATCH(H1616,art_ref,0)),"Article inconnu",IF(OR(NOT(ISNUMBER(L1616)),N(L1616)&lt;=0),"Quantité invalide",IF(AND(K1616&lt;&gt;"",OR(NOT(ISNUMBER(K1616)),N(K1616)&lt;=0)),"Qté commandée invalide",IF(AG1616&lt;SUMPRODUCT(MAX((A$6:A1615=A1616)*AG$6:AG1615)),"Date antérieure au bon précédent",IF(AND(A1616&lt;&gt;"BR",ISNUMBER(M1616),N(M1616)&gt;0),IF(A1616="BL","Livré plus que commandé","Sorti plus que demandé"),"OK"))))))))))))</f>
        <v/>
      </c>
      <c r="Y1616" s="57" t="str">
        <f>IF(AND(OR(A1616="BL",A1616="BR",A1616="BS"),AG1616&gt;0,D1616&lt;&gt;""),A1616&amp;"|"&amp;AG1616&amp;"|"&amp;D1616&amp;"|"&amp;F1616,"")</f>
        <v/>
      </c>
      <c r="Z1616" s="57" t="str">
        <f>IF(Y1616="","",IF(COUNTIF(Y$6:Y1615,Y1616)=0,1,0))</f>
        <v/>
      </c>
      <c r="AA1616" s="57" t="str">
        <f>IF(Y1616="","",IF(Z1616=1,COUNTIFS(A$6:A1616,A1616,Z$6:Z1616,1),INDEX(AA$6:AA1615,MATCH(Y1616,Y$6:Y1615,0))))</f>
        <v/>
      </c>
      <c r="AB1616" s="57" t="str">
        <f>IF(B1616="","",COUNTIF(B$6:B1616,B1616))</f>
        <v/>
      </c>
      <c r="AC1616" s="57" t="str">
        <f>IF(B1616="","",B1616&amp;"#"&amp;AB1616)</f>
        <v/>
      </c>
      <c r="AD1616" s="57" t="str">
        <f>IF(Z1616=1,A1616&amp;AA1616,"")</f>
        <v/>
      </c>
      <c r="AE1616" s="57" t="str">
        <f>IF(B1616="","",YEAR(C1616))</f>
        <v/>
      </c>
      <c r="AF1616" s="57" t="str">
        <f>IF(B1616="","",MONTH(C1616))</f>
        <v/>
      </c>
      <c r="AG1616" s="57">
        <f>IF(ISNUMBER(C1616),C1616,0)</f>
        <v>0.0</v>
      </c>
      <c r="AH1616" s="57" t="str">
        <f>IF(N(W1616)&gt;0,COUNTIF(W$6:W1616,"&gt;0"),"")</f>
        <v/>
      </c>
      <c r="AI1616" s="57" t="str">
        <f>IF(Z1616=1,COUNTIF(Z$6:Z1616,1),"")</f>
        <v/>
      </c>
    </row>
    <row r="1617">
      <c r="A1617" s="54" t="n"/>
      <c r="B1617" s="55" t="str">
        <f>IF(AA1617="","",A1617&amp;"-"&amp;RIGHT("000"&amp;AA1617,4))</f>
        <v/>
      </c>
      <c r="C1617" s="56" t="n"/>
      <c r="D1617" s="54" t="n"/>
      <c r="E1617" s="57" t="str">
        <f>IF(D1617="","",IF(A1617="BL",IFERROR(INDEX(cl_name,MATCH(D1617,cl_code,0))&amp;"","Client inconnu"),IF(A1617="BR",IFERROR(INDEX(fo_name,MATCH(D1617,fo_code,0))&amp;"","Fournisseur inconnu"),IF(A1617="BS",IF(ISNA(MATCH(D1617,p_services,0)),"Service inconnu",D1617&amp;""),""))))</f>
        <v/>
      </c>
      <c r="F1617" s="58" t="n"/>
      <c r="G1617" s="58" t="n"/>
      <c r="H1617" s="59" t="n"/>
      <c r="I1617" s="57" t="str">
        <f>IF(H1617="","",IFERROR(INDEX(art_des,MATCH(H1617,art_ref,0))&amp;"","Article inconnu"))</f>
        <v/>
      </c>
      <c r="J1617" s="60" t="str">
        <f>IF(H1617="","",IFERROR(INDEX(art_unit,MATCH(H1617,art_ref,0))&amp;"",""))</f>
        <v/>
      </c>
      <c r="K1617" s="59" t="n"/>
      <c r="L1617" s="59" t="n"/>
      <c r="M1617" s="61" t="str">
        <f>IF(OR(B1617="",NOT(ISNUMBER(K1617)),NOT(ISNUMBER(L1617))),"",IF(OR(K1617&lt;=0,L1617&lt;=0),"",ROUND(L1617-K1617,6)))</f>
        <v/>
      </c>
      <c r="N1617" s="58" t="n"/>
      <c r="O1617" s="62" t="n"/>
      <c r="P1617" s="63" t="str">
        <f>IF(OR(B1617="",NOT(ISNUMBER(L1617))),"",IF(L1617&lt;=0,"",IFERROR(ROUND(L1617*N(INDEX(art_w,MATCH(H1617,art_ref,0))),3),"")))</f>
        <v/>
      </c>
      <c r="Q1617" s="59" t="n"/>
      <c r="R1617" s="54" t="n"/>
      <c r="S1617" s="59" t="n"/>
      <c r="T1617" s="59" t="n"/>
      <c r="U1617" s="64" t="str">
        <f>IF(OR(B1617="",H1617=""),"",IFERROR(IF(A1617="BL",IF(N(INDEX(art_price,MATCH(H1617,art_ref,0)))=0,"",N(INDEX(art_price,MATCH(H1617,art_ref,0)))),IF(N(INDEX(art_cost,MATCH(H1617,art_ref,0)))=0,"",N(INDEX(art_cost,MATCH(H1617,art_ref,0))))),""))</f>
        <v/>
      </c>
      <c r="V1617" s="64" t="str">
        <f>IF(OR(U1617="",NOT(ISNUMBER(L1617))),"",IF(L1617&lt;=0,"",ROUND(L1617*U1617,2)))</f>
        <v/>
      </c>
      <c r="W1617" s="60" t="str">
        <f>IF(AND(B1617&lt;&gt;"",A1617&lt;&gt;"BS",F1617&lt;&gt;"",H1617&lt;&gt;"",ISNUMBER(K1617),ISNUMBER(L1617)),IF(AND(K1617&gt;0,L1617&gt;0,K1617-L1617&gt;0,COUNTIFS(A1618:A$2005,A1617,F1618:F$2005,F1617,H1618:H$2005,H1617,AA1618:AA$2005,"&gt;0")=0),ROUND(K1617-L1617,6),""),"")</f>
        <v/>
      </c>
      <c r="X1617" s="60" t="str">
        <f>IF(AND(A1617="",C1617="",D1617="",H1617="",L1617=""),"",IF(A1617="","Type manquant",IF(AND(A1617&lt;&gt;"BL",A1617&lt;&gt;"BR",A1617&lt;&gt;"BS"),"Type inconnu (BL, BR ou BS)",IF(AG1617=0,"Date manquante ou invalide",IF(D1617="",IF(A1617="BL","Client manquant",IF(A1617="BR","Fournisseur manquant","Service manquant")),IF(IF(A1617="BL",ISNA(MATCH(D1617,cl_code,0)),IF(A1617="BR",ISNA(MATCH(D1617,fo_code,0)),ISNA(MATCH(D1617,p_services,0)))),IF(A1617="BL","Client inconnu",IF(A1617="BR","Fournisseur inconnu","Service inconnu")),IF(H1617="","Article manquant",IF(ISNA(MATCH(H1617,art_ref,0)),"Article inconnu",IF(OR(NOT(ISNUMBER(L1617)),N(L1617)&lt;=0),"Quantité invalide",IF(AND(K1617&lt;&gt;"",OR(NOT(ISNUMBER(K1617)),N(K1617)&lt;=0)),"Qté commandée invalide",IF(AG1617&lt;SUMPRODUCT(MAX((A$6:A1616=A1617)*AG$6:AG1616)),"Date antérieure au bon précédent",IF(AND(A1617&lt;&gt;"BR",ISNUMBER(M1617),N(M1617)&gt;0),IF(A1617="BL","Livré plus que commandé","Sorti plus que demandé"),"OK"))))))))))))</f>
        <v/>
      </c>
      <c r="Y1617" s="57" t="str">
        <f>IF(AND(OR(A1617="BL",A1617="BR",A1617="BS"),AG1617&gt;0,D1617&lt;&gt;""),A1617&amp;"|"&amp;AG1617&amp;"|"&amp;D1617&amp;"|"&amp;F1617,"")</f>
        <v/>
      </c>
      <c r="Z1617" s="57" t="str">
        <f>IF(Y1617="","",IF(COUNTIF(Y$6:Y1616,Y1617)=0,1,0))</f>
        <v/>
      </c>
      <c r="AA1617" s="57" t="str">
        <f>IF(Y1617="","",IF(Z1617=1,COUNTIFS(A$6:A1617,A1617,Z$6:Z1617,1),INDEX(AA$6:AA1616,MATCH(Y1617,Y$6:Y1616,0))))</f>
        <v/>
      </c>
      <c r="AB1617" s="57" t="str">
        <f>IF(B1617="","",COUNTIF(B$6:B1617,B1617))</f>
        <v/>
      </c>
      <c r="AC1617" s="57" t="str">
        <f>IF(B1617="","",B1617&amp;"#"&amp;AB1617)</f>
        <v/>
      </c>
      <c r="AD1617" s="57" t="str">
        <f>IF(Z1617=1,A1617&amp;AA1617,"")</f>
        <v/>
      </c>
      <c r="AE1617" s="57" t="str">
        <f>IF(B1617="","",YEAR(C1617))</f>
        <v/>
      </c>
      <c r="AF1617" s="57" t="str">
        <f>IF(B1617="","",MONTH(C1617))</f>
        <v/>
      </c>
      <c r="AG1617" s="57">
        <f>IF(ISNUMBER(C1617),C1617,0)</f>
        <v>0.0</v>
      </c>
      <c r="AH1617" s="57" t="str">
        <f>IF(N(W1617)&gt;0,COUNTIF(W$6:W1617,"&gt;0"),"")</f>
        <v/>
      </c>
      <c r="AI1617" s="57" t="str">
        <f>IF(Z1617=1,COUNTIF(Z$6:Z1617,1),"")</f>
        <v/>
      </c>
    </row>
    <row r="1618">
      <c r="A1618" s="54" t="n"/>
      <c r="B1618" s="55" t="str">
        <f>IF(AA1618="","",A1618&amp;"-"&amp;RIGHT("000"&amp;AA1618,4))</f>
        <v/>
      </c>
      <c r="C1618" s="56" t="n"/>
      <c r="D1618" s="54" t="n"/>
      <c r="E1618" s="57" t="str">
        <f>IF(D1618="","",IF(A1618="BL",IFERROR(INDEX(cl_name,MATCH(D1618,cl_code,0))&amp;"","Client inconnu"),IF(A1618="BR",IFERROR(INDEX(fo_name,MATCH(D1618,fo_code,0))&amp;"","Fournisseur inconnu"),IF(A1618="BS",IF(ISNA(MATCH(D1618,p_services,0)),"Service inconnu",D1618&amp;""),""))))</f>
        <v/>
      </c>
      <c r="F1618" s="58" t="n"/>
      <c r="G1618" s="58" t="n"/>
      <c r="H1618" s="59" t="n"/>
      <c r="I1618" s="57" t="str">
        <f>IF(H1618="","",IFERROR(INDEX(art_des,MATCH(H1618,art_ref,0))&amp;"","Article inconnu"))</f>
        <v/>
      </c>
      <c r="J1618" s="60" t="str">
        <f>IF(H1618="","",IFERROR(INDEX(art_unit,MATCH(H1618,art_ref,0))&amp;"",""))</f>
        <v/>
      </c>
      <c r="K1618" s="59" t="n"/>
      <c r="L1618" s="59" t="n"/>
      <c r="M1618" s="61" t="str">
        <f>IF(OR(B1618="",NOT(ISNUMBER(K1618)),NOT(ISNUMBER(L1618))),"",IF(OR(K1618&lt;=0,L1618&lt;=0),"",ROUND(L1618-K1618,6)))</f>
        <v/>
      </c>
      <c r="N1618" s="58" t="n"/>
      <c r="O1618" s="62" t="n"/>
      <c r="P1618" s="63" t="str">
        <f>IF(OR(B1618="",NOT(ISNUMBER(L1618))),"",IF(L1618&lt;=0,"",IFERROR(ROUND(L1618*N(INDEX(art_w,MATCH(H1618,art_ref,0))),3),"")))</f>
        <v/>
      </c>
      <c r="Q1618" s="59" t="n"/>
      <c r="R1618" s="54" t="n"/>
      <c r="S1618" s="59" t="n"/>
      <c r="T1618" s="59" t="n"/>
      <c r="U1618" s="64" t="str">
        <f>IF(OR(B1618="",H1618=""),"",IFERROR(IF(A1618="BL",IF(N(INDEX(art_price,MATCH(H1618,art_ref,0)))=0,"",N(INDEX(art_price,MATCH(H1618,art_ref,0)))),IF(N(INDEX(art_cost,MATCH(H1618,art_ref,0)))=0,"",N(INDEX(art_cost,MATCH(H1618,art_ref,0))))),""))</f>
        <v/>
      </c>
      <c r="V1618" s="64" t="str">
        <f>IF(OR(U1618="",NOT(ISNUMBER(L1618))),"",IF(L1618&lt;=0,"",ROUND(L1618*U1618,2)))</f>
        <v/>
      </c>
      <c r="W1618" s="60" t="str">
        <f>IF(AND(B1618&lt;&gt;"",A1618&lt;&gt;"BS",F1618&lt;&gt;"",H1618&lt;&gt;"",ISNUMBER(K1618),ISNUMBER(L1618)),IF(AND(K1618&gt;0,L1618&gt;0,K1618-L1618&gt;0,COUNTIFS(A1619:A$2005,A1618,F1619:F$2005,F1618,H1619:H$2005,H1618,AA1619:AA$2005,"&gt;0")=0),ROUND(K1618-L1618,6),""),"")</f>
        <v/>
      </c>
      <c r="X1618" s="60" t="str">
        <f>IF(AND(A1618="",C1618="",D1618="",H1618="",L1618=""),"",IF(A1618="","Type manquant",IF(AND(A1618&lt;&gt;"BL",A1618&lt;&gt;"BR",A1618&lt;&gt;"BS"),"Type inconnu (BL, BR ou BS)",IF(AG1618=0,"Date manquante ou invalide",IF(D1618="",IF(A1618="BL","Client manquant",IF(A1618="BR","Fournisseur manquant","Service manquant")),IF(IF(A1618="BL",ISNA(MATCH(D1618,cl_code,0)),IF(A1618="BR",ISNA(MATCH(D1618,fo_code,0)),ISNA(MATCH(D1618,p_services,0)))),IF(A1618="BL","Client inconnu",IF(A1618="BR","Fournisseur inconnu","Service inconnu")),IF(H1618="","Article manquant",IF(ISNA(MATCH(H1618,art_ref,0)),"Article inconnu",IF(OR(NOT(ISNUMBER(L1618)),N(L1618)&lt;=0),"Quantité invalide",IF(AND(K1618&lt;&gt;"",OR(NOT(ISNUMBER(K1618)),N(K1618)&lt;=0)),"Qté commandée invalide",IF(AG1618&lt;SUMPRODUCT(MAX((A$6:A1617=A1618)*AG$6:AG1617)),"Date antérieure au bon précédent",IF(AND(A1618&lt;&gt;"BR",ISNUMBER(M1618),N(M1618)&gt;0),IF(A1618="BL","Livré plus que commandé","Sorti plus que demandé"),"OK"))))))))))))</f>
        <v/>
      </c>
      <c r="Y1618" s="57" t="str">
        <f>IF(AND(OR(A1618="BL",A1618="BR",A1618="BS"),AG1618&gt;0,D1618&lt;&gt;""),A1618&amp;"|"&amp;AG1618&amp;"|"&amp;D1618&amp;"|"&amp;F1618,"")</f>
        <v/>
      </c>
      <c r="Z1618" s="57" t="str">
        <f>IF(Y1618="","",IF(COUNTIF(Y$6:Y1617,Y1618)=0,1,0))</f>
        <v/>
      </c>
      <c r="AA1618" s="57" t="str">
        <f>IF(Y1618="","",IF(Z1618=1,COUNTIFS(A$6:A1618,A1618,Z$6:Z1618,1),INDEX(AA$6:AA1617,MATCH(Y1618,Y$6:Y1617,0))))</f>
        <v/>
      </c>
      <c r="AB1618" s="57" t="str">
        <f>IF(B1618="","",COUNTIF(B$6:B1618,B1618))</f>
        <v/>
      </c>
      <c r="AC1618" s="57" t="str">
        <f>IF(B1618="","",B1618&amp;"#"&amp;AB1618)</f>
        <v/>
      </c>
      <c r="AD1618" s="57" t="str">
        <f>IF(Z1618=1,A1618&amp;AA1618,"")</f>
        <v/>
      </c>
      <c r="AE1618" s="57" t="str">
        <f>IF(B1618="","",YEAR(C1618))</f>
        <v/>
      </c>
      <c r="AF1618" s="57" t="str">
        <f>IF(B1618="","",MONTH(C1618))</f>
        <v/>
      </c>
      <c r="AG1618" s="57">
        <f>IF(ISNUMBER(C1618),C1618,0)</f>
        <v>0.0</v>
      </c>
      <c r="AH1618" s="57" t="str">
        <f>IF(N(W1618)&gt;0,COUNTIF(W$6:W1618,"&gt;0"),"")</f>
        <v/>
      </c>
      <c r="AI1618" s="57" t="str">
        <f>IF(Z1618=1,COUNTIF(Z$6:Z1618,1),"")</f>
        <v/>
      </c>
    </row>
    <row r="1619">
      <c r="A1619" s="54" t="n"/>
      <c r="B1619" s="55" t="str">
        <f>IF(AA1619="","",A1619&amp;"-"&amp;RIGHT("000"&amp;AA1619,4))</f>
        <v/>
      </c>
      <c r="C1619" s="56" t="n"/>
      <c r="D1619" s="54" t="n"/>
      <c r="E1619" s="57" t="str">
        <f>IF(D1619="","",IF(A1619="BL",IFERROR(INDEX(cl_name,MATCH(D1619,cl_code,0))&amp;"","Client inconnu"),IF(A1619="BR",IFERROR(INDEX(fo_name,MATCH(D1619,fo_code,0))&amp;"","Fournisseur inconnu"),IF(A1619="BS",IF(ISNA(MATCH(D1619,p_services,0)),"Service inconnu",D1619&amp;""),""))))</f>
        <v/>
      </c>
      <c r="F1619" s="58" t="n"/>
      <c r="G1619" s="58" t="n"/>
      <c r="H1619" s="59" t="n"/>
      <c r="I1619" s="57" t="str">
        <f>IF(H1619="","",IFERROR(INDEX(art_des,MATCH(H1619,art_ref,0))&amp;"","Article inconnu"))</f>
        <v/>
      </c>
      <c r="J1619" s="60" t="str">
        <f>IF(H1619="","",IFERROR(INDEX(art_unit,MATCH(H1619,art_ref,0))&amp;"",""))</f>
        <v/>
      </c>
      <c r="K1619" s="59" t="n"/>
      <c r="L1619" s="59" t="n"/>
      <c r="M1619" s="61" t="str">
        <f>IF(OR(B1619="",NOT(ISNUMBER(K1619)),NOT(ISNUMBER(L1619))),"",IF(OR(K1619&lt;=0,L1619&lt;=0),"",ROUND(L1619-K1619,6)))</f>
        <v/>
      </c>
      <c r="N1619" s="58" t="n"/>
      <c r="O1619" s="62" t="n"/>
      <c r="P1619" s="63" t="str">
        <f>IF(OR(B1619="",NOT(ISNUMBER(L1619))),"",IF(L1619&lt;=0,"",IFERROR(ROUND(L1619*N(INDEX(art_w,MATCH(H1619,art_ref,0))),3),"")))</f>
        <v/>
      </c>
      <c r="Q1619" s="59" t="n"/>
      <c r="R1619" s="54" t="n"/>
      <c r="S1619" s="59" t="n"/>
      <c r="T1619" s="59" t="n"/>
      <c r="U1619" s="64" t="str">
        <f>IF(OR(B1619="",H1619=""),"",IFERROR(IF(A1619="BL",IF(N(INDEX(art_price,MATCH(H1619,art_ref,0)))=0,"",N(INDEX(art_price,MATCH(H1619,art_ref,0)))),IF(N(INDEX(art_cost,MATCH(H1619,art_ref,0)))=0,"",N(INDEX(art_cost,MATCH(H1619,art_ref,0))))),""))</f>
        <v/>
      </c>
      <c r="V1619" s="64" t="str">
        <f>IF(OR(U1619="",NOT(ISNUMBER(L1619))),"",IF(L1619&lt;=0,"",ROUND(L1619*U1619,2)))</f>
        <v/>
      </c>
      <c r="W1619" s="60" t="str">
        <f>IF(AND(B1619&lt;&gt;"",A1619&lt;&gt;"BS",F1619&lt;&gt;"",H1619&lt;&gt;"",ISNUMBER(K1619),ISNUMBER(L1619)),IF(AND(K1619&gt;0,L1619&gt;0,K1619-L1619&gt;0,COUNTIFS(A1620:A$2005,A1619,F1620:F$2005,F1619,H1620:H$2005,H1619,AA1620:AA$2005,"&gt;0")=0),ROUND(K1619-L1619,6),""),"")</f>
        <v/>
      </c>
      <c r="X1619" s="60" t="str">
        <f>IF(AND(A1619="",C1619="",D1619="",H1619="",L1619=""),"",IF(A1619="","Type manquant",IF(AND(A1619&lt;&gt;"BL",A1619&lt;&gt;"BR",A1619&lt;&gt;"BS"),"Type inconnu (BL, BR ou BS)",IF(AG1619=0,"Date manquante ou invalide",IF(D1619="",IF(A1619="BL","Client manquant",IF(A1619="BR","Fournisseur manquant","Service manquant")),IF(IF(A1619="BL",ISNA(MATCH(D1619,cl_code,0)),IF(A1619="BR",ISNA(MATCH(D1619,fo_code,0)),ISNA(MATCH(D1619,p_services,0)))),IF(A1619="BL","Client inconnu",IF(A1619="BR","Fournisseur inconnu","Service inconnu")),IF(H1619="","Article manquant",IF(ISNA(MATCH(H1619,art_ref,0)),"Article inconnu",IF(OR(NOT(ISNUMBER(L1619)),N(L1619)&lt;=0),"Quantité invalide",IF(AND(K1619&lt;&gt;"",OR(NOT(ISNUMBER(K1619)),N(K1619)&lt;=0)),"Qté commandée invalide",IF(AG1619&lt;SUMPRODUCT(MAX((A$6:A1618=A1619)*AG$6:AG1618)),"Date antérieure au bon précédent",IF(AND(A1619&lt;&gt;"BR",ISNUMBER(M1619),N(M1619)&gt;0),IF(A1619="BL","Livré plus que commandé","Sorti plus que demandé"),"OK"))))))))))))</f>
        <v/>
      </c>
      <c r="Y1619" s="57" t="str">
        <f>IF(AND(OR(A1619="BL",A1619="BR",A1619="BS"),AG1619&gt;0,D1619&lt;&gt;""),A1619&amp;"|"&amp;AG1619&amp;"|"&amp;D1619&amp;"|"&amp;F1619,"")</f>
        <v/>
      </c>
      <c r="Z1619" s="57" t="str">
        <f>IF(Y1619="","",IF(COUNTIF(Y$6:Y1618,Y1619)=0,1,0))</f>
        <v/>
      </c>
      <c r="AA1619" s="57" t="str">
        <f>IF(Y1619="","",IF(Z1619=1,COUNTIFS(A$6:A1619,A1619,Z$6:Z1619,1),INDEX(AA$6:AA1618,MATCH(Y1619,Y$6:Y1618,0))))</f>
        <v/>
      </c>
      <c r="AB1619" s="57" t="str">
        <f>IF(B1619="","",COUNTIF(B$6:B1619,B1619))</f>
        <v/>
      </c>
      <c r="AC1619" s="57" t="str">
        <f>IF(B1619="","",B1619&amp;"#"&amp;AB1619)</f>
        <v/>
      </c>
      <c r="AD1619" s="57" t="str">
        <f>IF(Z1619=1,A1619&amp;AA1619,"")</f>
        <v/>
      </c>
      <c r="AE1619" s="57" t="str">
        <f>IF(B1619="","",YEAR(C1619))</f>
        <v/>
      </c>
      <c r="AF1619" s="57" t="str">
        <f>IF(B1619="","",MONTH(C1619))</f>
        <v/>
      </c>
      <c r="AG1619" s="57">
        <f>IF(ISNUMBER(C1619),C1619,0)</f>
        <v>0.0</v>
      </c>
      <c r="AH1619" s="57" t="str">
        <f>IF(N(W1619)&gt;0,COUNTIF(W$6:W1619,"&gt;0"),"")</f>
        <v/>
      </c>
      <c r="AI1619" s="57" t="str">
        <f>IF(Z1619=1,COUNTIF(Z$6:Z1619,1),"")</f>
        <v/>
      </c>
    </row>
    <row r="1620">
      <c r="A1620" s="54" t="n"/>
      <c r="B1620" s="55" t="str">
        <f>IF(AA1620="","",A1620&amp;"-"&amp;RIGHT("000"&amp;AA1620,4))</f>
        <v/>
      </c>
      <c r="C1620" s="56" t="n"/>
      <c r="D1620" s="54" t="n"/>
      <c r="E1620" s="57" t="str">
        <f>IF(D1620="","",IF(A1620="BL",IFERROR(INDEX(cl_name,MATCH(D1620,cl_code,0))&amp;"","Client inconnu"),IF(A1620="BR",IFERROR(INDEX(fo_name,MATCH(D1620,fo_code,0))&amp;"","Fournisseur inconnu"),IF(A1620="BS",IF(ISNA(MATCH(D1620,p_services,0)),"Service inconnu",D1620&amp;""),""))))</f>
        <v/>
      </c>
      <c r="F1620" s="58" t="n"/>
      <c r="G1620" s="58" t="n"/>
      <c r="H1620" s="59" t="n"/>
      <c r="I1620" s="57" t="str">
        <f>IF(H1620="","",IFERROR(INDEX(art_des,MATCH(H1620,art_ref,0))&amp;"","Article inconnu"))</f>
        <v/>
      </c>
      <c r="J1620" s="60" t="str">
        <f>IF(H1620="","",IFERROR(INDEX(art_unit,MATCH(H1620,art_ref,0))&amp;"",""))</f>
        <v/>
      </c>
      <c r="K1620" s="59" t="n"/>
      <c r="L1620" s="59" t="n"/>
      <c r="M1620" s="61" t="str">
        <f>IF(OR(B1620="",NOT(ISNUMBER(K1620)),NOT(ISNUMBER(L1620))),"",IF(OR(K1620&lt;=0,L1620&lt;=0),"",ROUND(L1620-K1620,6)))</f>
        <v/>
      </c>
      <c r="N1620" s="58" t="n"/>
      <c r="O1620" s="62" t="n"/>
      <c r="P1620" s="63" t="str">
        <f>IF(OR(B1620="",NOT(ISNUMBER(L1620))),"",IF(L1620&lt;=0,"",IFERROR(ROUND(L1620*N(INDEX(art_w,MATCH(H1620,art_ref,0))),3),"")))</f>
        <v/>
      </c>
      <c r="Q1620" s="59" t="n"/>
      <c r="R1620" s="54" t="n"/>
      <c r="S1620" s="59" t="n"/>
      <c r="T1620" s="59" t="n"/>
      <c r="U1620" s="64" t="str">
        <f>IF(OR(B1620="",H1620=""),"",IFERROR(IF(A1620="BL",IF(N(INDEX(art_price,MATCH(H1620,art_ref,0)))=0,"",N(INDEX(art_price,MATCH(H1620,art_ref,0)))),IF(N(INDEX(art_cost,MATCH(H1620,art_ref,0)))=0,"",N(INDEX(art_cost,MATCH(H1620,art_ref,0))))),""))</f>
        <v/>
      </c>
      <c r="V1620" s="64" t="str">
        <f>IF(OR(U1620="",NOT(ISNUMBER(L1620))),"",IF(L1620&lt;=0,"",ROUND(L1620*U1620,2)))</f>
        <v/>
      </c>
      <c r="W1620" s="60" t="str">
        <f>IF(AND(B1620&lt;&gt;"",A1620&lt;&gt;"BS",F1620&lt;&gt;"",H1620&lt;&gt;"",ISNUMBER(K1620),ISNUMBER(L1620)),IF(AND(K1620&gt;0,L1620&gt;0,K1620-L1620&gt;0,COUNTIFS(A1621:A$2005,A1620,F1621:F$2005,F1620,H1621:H$2005,H1620,AA1621:AA$2005,"&gt;0")=0),ROUND(K1620-L1620,6),""),"")</f>
        <v/>
      </c>
      <c r="X1620" s="60" t="str">
        <f>IF(AND(A1620="",C1620="",D1620="",H1620="",L1620=""),"",IF(A1620="","Type manquant",IF(AND(A1620&lt;&gt;"BL",A1620&lt;&gt;"BR",A1620&lt;&gt;"BS"),"Type inconnu (BL, BR ou BS)",IF(AG1620=0,"Date manquante ou invalide",IF(D1620="",IF(A1620="BL","Client manquant",IF(A1620="BR","Fournisseur manquant","Service manquant")),IF(IF(A1620="BL",ISNA(MATCH(D1620,cl_code,0)),IF(A1620="BR",ISNA(MATCH(D1620,fo_code,0)),ISNA(MATCH(D1620,p_services,0)))),IF(A1620="BL","Client inconnu",IF(A1620="BR","Fournisseur inconnu","Service inconnu")),IF(H1620="","Article manquant",IF(ISNA(MATCH(H1620,art_ref,0)),"Article inconnu",IF(OR(NOT(ISNUMBER(L1620)),N(L1620)&lt;=0),"Quantité invalide",IF(AND(K1620&lt;&gt;"",OR(NOT(ISNUMBER(K1620)),N(K1620)&lt;=0)),"Qté commandée invalide",IF(AG1620&lt;SUMPRODUCT(MAX((A$6:A1619=A1620)*AG$6:AG1619)),"Date antérieure au bon précédent",IF(AND(A1620&lt;&gt;"BR",ISNUMBER(M1620),N(M1620)&gt;0),IF(A1620="BL","Livré plus que commandé","Sorti plus que demandé"),"OK"))))))))))))</f>
        <v/>
      </c>
      <c r="Y1620" s="57" t="str">
        <f>IF(AND(OR(A1620="BL",A1620="BR",A1620="BS"),AG1620&gt;0,D1620&lt;&gt;""),A1620&amp;"|"&amp;AG1620&amp;"|"&amp;D1620&amp;"|"&amp;F1620,"")</f>
        <v/>
      </c>
      <c r="Z1620" s="57" t="str">
        <f>IF(Y1620="","",IF(COUNTIF(Y$6:Y1619,Y1620)=0,1,0))</f>
        <v/>
      </c>
      <c r="AA1620" s="57" t="str">
        <f>IF(Y1620="","",IF(Z1620=1,COUNTIFS(A$6:A1620,A1620,Z$6:Z1620,1),INDEX(AA$6:AA1619,MATCH(Y1620,Y$6:Y1619,0))))</f>
        <v/>
      </c>
      <c r="AB1620" s="57" t="str">
        <f>IF(B1620="","",COUNTIF(B$6:B1620,B1620))</f>
        <v/>
      </c>
      <c r="AC1620" s="57" t="str">
        <f>IF(B1620="","",B1620&amp;"#"&amp;AB1620)</f>
        <v/>
      </c>
      <c r="AD1620" s="57" t="str">
        <f>IF(Z1620=1,A1620&amp;AA1620,"")</f>
        <v/>
      </c>
      <c r="AE1620" s="57" t="str">
        <f>IF(B1620="","",YEAR(C1620))</f>
        <v/>
      </c>
      <c r="AF1620" s="57" t="str">
        <f>IF(B1620="","",MONTH(C1620))</f>
        <v/>
      </c>
      <c r="AG1620" s="57">
        <f>IF(ISNUMBER(C1620),C1620,0)</f>
        <v>0.0</v>
      </c>
      <c r="AH1620" s="57" t="str">
        <f>IF(N(W1620)&gt;0,COUNTIF(W$6:W1620,"&gt;0"),"")</f>
        <v/>
      </c>
      <c r="AI1620" s="57" t="str">
        <f>IF(Z1620=1,COUNTIF(Z$6:Z1620,1),"")</f>
        <v/>
      </c>
    </row>
    <row r="1621">
      <c r="A1621" s="54" t="n"/>
      <c r="B1621" s="55" t="str">
        <f>IF(AA1621="","",A1621&amp;"-"&amp;RIGHT("000"&amp;AA1621,4))</f>
        <v/>
      </c>
      <c r="C1621" s="56" t="n"/>
      <c r="D1621" s="54" t="n"/>
      <c r="E1621" s="57" t="str">
        <f>IF(D1621="","",IF(A1621="BL",IFERROR(INDEX(cl_name,MATCH(D1621,cl_code,0))&amp;"","Client inconnu"),IF(A1621="BR",IFERROR(INDEX(fo_name,MATCH(D1621,fo_code,0))&amp;"","Fournisseur inconnu"),IF(A1621="BS",IF(ISNA(MATCH(D1621,p_services,0)),"Service inconnu",D1621&amp;""),""))))</f>
        <v/>
      </c>
      <c r="F1621" s="58" t="n"/>
      <c r="G1621" s="58" t="n"/>
      <c r="H1621" s="59" t="n"/>
      <c r="I1621" s="57" t="str">
        <f>IF(H1621="","",IFERROR(INDEX(art_des,MATCH(H1621,art_ref,0))&amp;"","Article inconnu"))</f>
        <v/>
      </c>
      <c r="J1621" s="60" t="str">
        <f>IF(H1621="","",IFERROR(INDEX(art_unit,MATCH(H1621,art_ref,0))&amp;"",""))</f>
        <v/>
      </c>
      <c r="K1621" s="59" t="n"/>
      <c r="L1621" s="59" t="n"/>
      <c r="M1621" s="61" t="str">
        <f>IF(OR(B1621="",NOT(ISNUMBER(K1621)),NOT(ISNUMBER(L1621))),"",IF(OR(K1621&lt;=0,L1621&lt;=0),"",ROUND(L1621-K1621,6)))</f>
        <v/>
      </c>
      <c r="N1621" s="58" t="n"/>
      <c r="O1621" s="62" t="n"/>
      <c r="P1621" s="63" t="str">
        <f>IF(OR(B1621="",NOT(ISNUMBER(L1621))),"",IF(L1621&lt;=0,"",IFERROR(ROUND(L1621*N(INDEX(art_w,MATCH(H1621,art_ref,0))),3),"")))</f>
        <v/>
      </c>
      <c r="Q1621" s="59" t="n"/>
      <c r="R1621" s="54" t="n"/>
      <c r="S1621" s="59" t="n"/>
      <c r="T1621" s="59" t="n"/>
      <c r="U1621" s="64" t="str">
        <f>IF(OR(B1621="",H1621=""),"",IFERROR(IF(A1621="BL",IF(N(INDEX(art_price,MATCH(H1621,art_ref,0)))=0,"",N(INDEX(art_price,MATCH(H1621,art_ref,0)))),IF(N(INDEX(art_cost,MATCH(H1621,art_ref,0)))=0,"",N(INDEX(art_cost,MATCH(H1621,art_ref,0))))),""))</f>
        <v/>
      </c>
      <c r="V1621" s="64" t="str">
        <f>IF(OR(U1621="",NOT(ISNUMBER(L1621))),"",IF(L1621&lt;=0,"",ROUND(L1621*U1621,2)))</f>
        <v/>
      </c>
      <c r="W1621" s="60" t="str">
        <f>IF(AND(B1621&lt;&gt;"",A1621&lt;&gt;"BS",F1621&lt;&gt;"",H1621&lt;&gt;"",ISNUMBER(K1621),ISNUMBER(L1621)),IF(AND(K1621&gt;0,L1621&gt;0,K1621-L1621&gt;0,COUNTIFS(A1622:A$2005,A1621,F1622:F$2005,F1621,H1622:H$2005,H1621,AA1622:AA$2005,"&gt;0")=0),ROUND(K1621-L1621,6),""),"")</f>
        <v/>
      </c>
      <c r="X1621" s="60" t="str">
        <f>IF(AND(A1621="",C1621="",D1621="",H1621="",L1621=""),"",IF(A1621="","Type manquant",IF(AND(A1621&lt;&gt;"BL",A1621&lt;&gt;"BR",A1621&lt;&gt;"BS"),"Type inconnu (BL, BR ou BS)",IF(AG1621=0,"Date manquante ou invalide",IF(D1621="",IF(A1621="BL","Client manquant",IF(A1621="BR","Fournisseur manquant","Service manquant")),IF(IF(A1621="BL",ISNA(MATCH(D1621,cl_code,0)),IF(A1621="BR",ISNA(MATCH(D1621,fo_code,0)),ISNA(MATCH(D1621,p_services,0)))),IF(A1621="BL","Client inconnu",IF(A1621="BR","Fournisseur inconnu","Service inconnu")),IF(H1621="","Article manquant",IF(ISNA(MATCH(H1621,art_ref,0)),"Article inconnu",IF(OR(NOT(ISNUMBER(L1621)),N(L1621)&lt;=0),"Quantité invalide",IF(AND(K1621&lt;&gt;"",OR(NOT(ISNUMBER(K1621)),N(K1621)&lt;=0)),"Qté commandée invalide",IF(AG1621&lt;SUMPRODUCT(MAX((A$6:A1620=A1621)*AG$6:AG1620)),"Date antérieure au bon précédent",IF(AND(A1621&lt;&gt;"BR",ISNUMBER(M1621),N(M1621)&gt;0),IF(A1621="BL","Livré plus que commandé","Sorti plus que demandé"),"OK"))))))))))))</f>
        <v/>
      </c>
      <c r="Y1621" s="57" t="str">
        <f>IF(AND(OR(A1621="BL",A1621="BR",A1621="BS"),AG1621&gt;0,D1621&lt;&gt;""),A1621&amp;"|"&amp;AG1621&amp;"|"&amp;D1621&amp;"|"&amp;F1621,"")</f>
        <v/>
      </c>
      <c r="Z1621" s="57" t="str">
        <f>IF(Y1621="","",IF(COUNTIF(Y$6:Y1620,Y1621)=0,1,0))</f>
        <v/>
      </c>
      <c r="AA1621" s="57" t="str">
        <f>IF(Y1621="","",IF(Z1621=1,COUNTIFS(A$6:A1621,A1621,Z$6:Z1621,1),INDEX(AA$6:AA1620,MATCH(Y1621,Y$6:Y1620,0))))</f>
        <v/>
      </c>
      <c r="AB1621" s="57" t="str">
        <f>IF(B1621="","",COUNTIF(B$6:B1621,B1621))</f>
        <v/>
      </c>
      <c r="AC1621" s="57" t="str">
        <f>IF(B1621="","",B1621&amp;"#"&amp;AB1621)</f>
        <v/>
      </c>
      <c r="AD1621" s="57" t="str">
        <f>IF(Z1621=1,A1621&amp;AA1621,"")</f>
        <v/>
      </c>
      <c r="AE1621" s="57" t="str">
        <f>IF(B1621="","",YEAR(C1621))</f>
        <v/>
      </c>
      <c r="AF1621" s="57" t="str">
        <f>IF(B1621="","",MONTH(C1621))</f>
        <v/>
      </c>
      <c r="AG1621" s="57">
        <f>IF(ISNUMBER(C1621),C1621,0)</f>
        <v>0.0</v>
      </c>
      <c r="AH1621" s="57" t="str">
        <f>IF(N(W1621)&gt;0,COUNTIF(W$6:W1621,"&gt;0"),"")</f>
        <v/>
      </c>
      <c r="AI1621" s="57" t="str">
        <f>IF(Z1621=1,COUNTIF(Z$6:Z1621,1),"")</f>
        <v/>
      </c>
    </row>
    <row r="1622">
      <c r="A1622" s="54" t="n"/>
      <c r="B1622" s="55" t="str">
        <f>IF(AA1622="","",A1622&amp;"-"&amp;RIGHT("000"&amp;AA1622,4))</f>
        <v/>
      </c>
      <c r="C1622" s="56" t="n"/>
      <c r="D1622" s="54" t="n"/>
      <c r="E1622" s="57" t="str">
        <f>IF(D1622="","",IF(A1622="BL",IFERROR(INDEX(cl_name,MATCH(D1622,cl_code,0))&amp;"","Client inconnu"),IF(A1622="BR",IFERROR(INDEX(fo_name,MATCH(D1622,fo_code,0))&amp;"","Fournisseur inconnu"),IF(A1622="BS",IF(ISNA(MATCH(D1622,p_services,0)),"Service inconnu",D1622&amp;""),""))))</f>
        <v/>
      </c>
      <c r="F1622" s="58" t="n"/>
      <c r="G1622" s="58" t="n"/>
      <c r="H1622" s="59" t="n"/>
      <c r="I1622" s="57" t="str">
        <f>IF(H1622="","",IFERROR(INDEX(art_des,MATCH(H1622,art_ref,0))&amp;"","Article inconnu"))</f>
        <v/>
      </c>
      <c r="J1622" s="60" t="str">
        <f>IF(H1622="","",IFERROR(INDEX(art_unit,MATCH(H1622,art_ref,0))&amp;"",""))</f>
        <v/>
      </c>
      <c r="K1622" s="59" t="n"/>
      <c r="L1622" s="59" t="n"/>
      <c r="M1622" s="61" t="str">
        <f>IF(OR(B1622="",NOT(ISNUMBER(K1622)),NOT(ISNUMBER(L1622))),"",IF(OR(K1622&lt;=0,L1622&lt;=0),"",ROUND(L1622-K1622,6)))</f>
        <v/>
      </c>
      <c r="N1622" s="58" t="n"/>
      <c r="O1622" s="62" t="n"/>
      <c r="P1622" s="63" t="str">
        <f>IF(OR(B1622="",NOT(ISNUMBER(L1622))),"",IF(L1622&lt;=0,"",IFERROR(ROUND(L1622*N(INDEX(art_w,MATCH(H1622,art_ref,0))),3),"")))</f>
        <v/>
      </c>
      <c r="Q1622" s="59" t="n"/>
      <c r="R1622" s="54" t="n"/>
      <c r="S1622" s="59" t="n"/>
      <c r="T1622" s="59" t="n"/>
      <c r="U1622" s="64" t="str">
        <f>IF(OR(B1622="",H1622=""),"",IFERROR(IF(A1622="BL",IF(N(INDEX(art_price,MATCH(H1622,art_ref,0)))=0,"",N(INDEX(art_price,MATCH(H1622,art_ref,0)))),IF(N(INDEX(art_cost,MATCH(H1622,art_ref,0)))=0,"",N(INDEX(art_cost,MATCH(H1622,art_ref,0))))),""))</f>
        <v/>
      </c>
      <c r="V1622" s="64" t="str">
        <f>IF(OR(U1622="",NOT(ISNUMBER(L1622))),"",IF(L1622&lt;=0,"",ROUND(L1622*U1622,2)))</f>
        <v/>
      </c>
      <c r="W1622" s="60" t="str">
        <f>IF(AND(B1622&lt;&gt;"",A1622&lt;&gt;"BS",F1622&lt;&gt;"",H1622&lt;&gt;"",ISNUMBER(K1622),ISNUMBER(L1622)),IF(AND(K1622&gt;0,L1622&gt;0,K1622-L1622&gt;0,COUNTIFS(A1623:A$2005,A1622,F1623:F$2005,F1622,H1623:H$2005,H1622,AA1623:AA$2005,"&gt;0")=0),ROUND(K1622-L1622,6),""),"")</f>
        <v/>
      </c>
      <c r="X1622" s="60" t="str">
        <f>IF(AND(A1622="",C1622="",D1622="",H1622="",L1622=""),"",IF(A1622="","Type manquant",IF(AND(A1622&lt;&gt;"BL",A1622&lt;&gt;"BR",A1622&lt;&gt;"BS"),"Type inconnu (BL, BR ou BS)",IF(AG1622=0,"Date manquante ou invalide",IF(D1622="",IF(A1622="BL","Client manquant",IF(A1622="BR","Fournisseur manquant","Service manquant")),IF(IF(A1622="BL",ISNA(MATCH(D1622,cl_code,0)),IF(A1622="BR",ISNA(MATCH(D1622,fo_code,0)),ISNA(MATCH(D1622,p_services,0)))),IF(A1622="BL","Client inconnu",IF(A1622="BR","Fournisseur inconnu","Service inconnu")),IF(H1622="","Article manquant",IF(ISNA(MATCH(H1622,art_ref,0)),"Article inconnu",IF(OR(NOT(ISNUMBER(L1622)),N(L1622)&lt;=0),"Quantité invalide",IF(AND(K1622&lt;&gt;"",OR(NOT(ISNUMBER(K1622)),N(K1622)&lt;=0)),"Qté commandée invalide",IF(AG1622&lt;SUMPRODUCT(MAX((A$6:A1621=A1622)*AG$6:AG1621)),"Date antérieure au bon précédent",IF(AND(A1622&lt;&gt;"BR",ISNUMBER(M1622),N(M1622)&gt;0),IF(A1622="BL","Livré plus que commandé","Sorti plus que demandé"),"OK"))))))))))))</f>
        <v/>
      </c>
      <c r="Y1622" s="57" t="str">
        <f>IF(AND(OR(A1622="BL",A1622="BR",A1622="BS"),AG1622&gt;0,D1622&lt;&gt;""),A1622&amp;"|"&amp;AG1622&amp;"|"&amp;D1622&amp;"|"&amp;F1622,"")</f>
        <v/>
      </c>
      <c r="Z1622" s="57" t="str">
        <f>IF(Y1622="","",IF(COUNTIF(Y$6:Y1621,Y1622)=0,1,0))</f>
        <v/>
      </c>
      <c r="AA1622" s="57" t="str">
        <f>IF(Y1622="","",IF(Z1622=1,COUNTIFS(A$6:A1622,A1622,Z$6:Z1622,1),INDEX(AA$6:AA1621,MATCH(Y1622,Y$6:Y1621,0))))</f>
        <v/>
      </c>
      <c r="AB1622" s="57" t="str">
        <f>IF(B1622="","",COUNTIF(B$6:B1622,B1622))</f>
        <v/>
      </c>
      <c r="AC1622" s="57" t="str">
        <f>IF(B1622="","",B1622&amp;"#"&amp;AB1622)</f>
        <v/>
      </c>
      <c r="AD1622" s="57" t="str">
        <f>IF(Z1622=1,A1622&amp;AA1622,"")</f>
        <v/>
      </c>
      <c r="AE1622" s="57" t="str">
        <f>IF(B1622="","",YEAR(C1622))</f>
        <v/>
      </c>
      <c r="AF1622" s="57" t="str">
        <f>IF(B1622="","",MONTH(C1622))</f>
        <v/>
      </c>
      <c r="AG1622" s="57">
        <f>IF(ISNUMBER(C1622),C1622,0)</f>
        <v>0.0</v>
      </c>
      <c r="AH1622" s="57" t="str">
        <f>IF(N(W1622)&gt;0,COUNTIF(W$6:W1622,"&gt;0"),"")</f>
        <v/>
      </c>
      <c r="AI1622" s="57" t="str">
        <f>IF(Z1622=1,COUNTIF(Z$6:Z1622,1),"")</f>
        <v/>
      </c>
    </row>
    <row r="1623">
      <c r="A1623" s="54" t="n"/>
      <c r="B1623" s="55" t="str">
        <f>IF(AA1623="","",A1623&amp;"-"&amp;RIGHT("000"&amp;AA1623,4))</f>
        <v/>
      </c>
      <c r="C1623" s="56" t="n"/>
      <c r="D1623" s="54" t="n"/>
      <c r="E1623" s="57" t="str">
        <f>IF(D1623="","",IF(A1623="BL",IFERROR(INDEX(cl_name,MATCH(D1623,cl_code,0))&amp;"","Client inconnu"),IF(A1623="BR",IFERROR(INDEX(fo_name,MATCH(D1623,fo_code,0))&amp;"","Fournisseur inconnu"),IF(A1623="BS",IF(ISNA(MATCH(D1623,p_services,0)),"Service inconnu",D1623&amp;""),""))))</f>
        <v/>
      </c>
      <c r="F1623" s="58" t="n"/>
      <c r="G1623" s="58" t="n"/>
      <c r="H1623" s="59" t="n"/>
      <c r="I1623" s="57" t="str">
        <f>IF(H1623="","",IFERROR(INDEX(art_des,MATCH(H1623,art_ref,0))&amp;"","Article inconnu"))</f>
        <v/>
      </c>
      <c r="J1623" s="60" t="str">
        <f>IF(H1623="","",IFERROR(INDEX(art_unit,MATCH(H1623,art_ref,0))&amp;"",""))</f>
        <v/>
      </c>
      <c r="K1623" s="59" t="n"/>
      <c r="L1623" s="59" t="n"/>
      <c r="M1623" s="61" t="str">
        <f>IF(OR(B1623="",NOT(ISNUMBER(K1623)),NOT(ISNUMBER(L1623))),"",IF(OR(K1623&lt;=0,L1623&lt;=0),"",ROUND(L1623-K1623,6)))</f>
        <v/>
      </c>
      <c r="N1623" s="58" t="n"/>
      <c r="O1623" s="62" t="n"/>
      <c r="P1623" s="63" t="str">
        <f>IF(OR(B1623="",NOT(ISNUMBER(L1623))),"",IF(L1623&lt;=0,"",IFERROR(ROUND(L1623*N(INDEX(art_w,MATCH(H1623,art_ref,0))),3),"")))</f>
        <v/>
      </c>
      <c r="Q1623" s="59" t="n"/>
      <c r="R1623" s="54" t="n"/>
      <c r="S1623" s="59" t="n"/>
      <c r="T1623" s="59" t="n"/>
      <c r="U1623" s="64" t="str">
        <f>IF(OR(B1623="",H1623=""),"",IFERROR(IF(A1623="BL",IF(N(INDEX(art_price,MATCH(H1623,art_ref,0)))=0,"",N(INDEX(art_price,MATCH(H1623,art_ref,0)))),IF(N(INDEX(art_cost,MATCH(H1623,art_ref,0)))=0,"",N(INDEX(art_cost,MATCH(H1623,art_ref,0))))),""))</f>
        <v/>
      </c>
      <c r="V1623" s="64" t="str">
        <f>IF(OR(U1623="",NOT(ISNUMBER(L1623))),"",IF(L1623&lt;=0,"",ROUND(L1623*U1623,2)))</f>
        <v/>
      </c>
      <c r="W1623" s="60" t="str">
        <f>IF(AND(B1623&lt;&gt;"",A1623&lt;&gt;"BS",F1623&lt;&gt;"",H1623&lt;&gt;"",ISNUMBER(K1623),ISNUMBER(L1623)),IF(AND(K1623&gt;0,L1623&gt;0,K1623-L1623&gt;0,COUNTIFS(A1624:A$2005,A1623,F1624:F$2005,F1623,H1624:H$2005,H1623,AA1624:AA$2005,"&gt;0")=0),ROUND(K1623-L1623,6),""),"")</f>
        <v/>
      </c>
      <c r="X1623" s="60" t="str">
        <f>IF(AND(A1623="",C1623="",D1623="",H1623="",L1623=""),"",IF(A1623="","Type manquant",IF(AND(A1623&lt;&gt;"BL",A1623&lt;&gt;"BR",A1623&lt;&gt;"BS"),"Type inconnu (BL, BR ou BS)",IF(AG1623=0,"Date manquante ou invalide",IF(D1623="",IF(A1623="BL","Client manquant",IF(A1623="BR","Fournisseur manquant","Service manquant")),IF(IF(A1623="BL",ISNA(MATCH(D1623,cl_code,0)),IF(A1623="BR",ISNA(MATCH(D1623,fo_code,0)),ISNA(MATCH(D1623,p_services,0)))),IF(A1623="BL","Client inconnu",IF(A1623="BR","Fournisseur inconnu","Service inconnu")),IF(H1623="","Article manquant",IF(ISNA(MATCH(H1623,art_ref,0)),"Article inconnu",IF(OR(NOT(ISNUMBER(L1623)),N(L1623)&lt;=0),"Quantité invalide",IF(AND(K1623&lt;&gt;"",OR(NOT(ISNUMBER(K1623)),N(K1623)&lt;=0)),"Qté commandée invalide",IF(AG1623&lt;SUMPRODUCT(MAX((A$6:A1622=A1623)*AG$6:AG1622)),"Date antérieure au bon précédent",IF(AND(A1623&lt;&gt;"BR",ISNUMBER(M1623),N(M1623)&gt;0),IF(A1623="BL","Livré plus que commandé","Sorti plus que demandé"),"OK"))))))))))))</f>
        <v/>
      </c>
      <c r="Y1623" s="57" t="str">
        <f>IF(AND(OR(A1623="BL",A1623="BR",A1623="BS"),AG1623&gt;0,D1623&lt;&gt;""),A1623&amp;"|"&amp;AG1623&amp;"|"&amp;D1623&amp;"|"&amp;F1623,"")</f>
        <v/>
      </c>
      <c r="Z1623" s="57" t="str">
        <f>IF(Y1623="","",IF(COUNTIF(Y$6:Y1622,Y1623)=0,1,0))</f>
        <v/>
      </c>
      <c r="AA1623" s="57" t="str">
        <f>IF(Y1623="","",IF(Z1623=1,COUNTIFS(A$6:A1623,A1623,Z$6:Z1623,1),INDEX(AA$6:AA1622,MATCH(Y1623,Y$6:Y1622,0))))</f>
        <v/>
      </c>
      <c r="AB1623" s="57" t="str">
        <f>IF(B1623="","",COUNTIF(B$6:B1623,B1623))</f>
        <v/>
      </c>
      <c r="AC1623" s="57" t="str">
        <f>IF(B1623="","",B1623&amp;"#"&amp;AB1623)</f>
        <v/>
      </c>
      <c r="AD1623" s="57" t="str">
        <f>IF(Z1623=1,A1623&amp;AA1623,"")</f>
        <v/>
      </c>
      <c r="AE1623" s="57" t="str">
        <f>IF(B1623="","",YEAR(C1623))</f>
        <v/>
      </c>
      <c r="AF1623" s="57" t="str">
        <f>IF(B1623="","",MONTH(C1623))</f>
        <v/>
      </c>
      <c r="AG1623" s="57">
        <f>IF(ISNUMBER(C1623),C1623,0)</f>
        <v>0.0</v>
      </c>
      <c r="AH1623" s="57" t="str">
        <f>IF(N(W1623)&gt;0,COUNTIF(W$6:W1623,"&gt;0"),"")</f>
        <v/>
      </c>
      <c r="AI1623" s="57" t="str">
        <f>IF(Z1623=1,COUNTIF(Z$6:Z1623,1),"")</f>
        <v/>
      </c>
    </row>
    <row r="1624">
      <c r="A1624" s="54" t="n"/>
      <c r="B1624" s="55" t="str">
        <f>IF(AA1624="","",A1624&amp;"-"&amp;RIGHT("000"&amp;AA1624,4))</f>
        <v/>
      </c>
      <c r="C1624" s="56" t="n"/>
      <c r="D1624" s="54" t="n"/>
      <c r="E1624" s="57" t="str">
        <f>IF(D1624="","",IF(A1624="BL",IFERROR(INDEX(cl_name,MATCH(D1624,cl_code,0))&amp;"","Client inconnu"),IF(A1624="BR",IFERROR(INDEX(fo_name,MATCH(D1624,fo_code,0))&amp;"","Fournisseur inconnu"),IF(A1624="BS",IF(ISNA(MATCH(D1624,p_services,0)),"Service inconnu",D1624&amp;""),""))))</f>
        <v/>
      </c>
      <c r="F1624" s="58" t="n"/>
      <c r="G1624" s="58" t="n"/>
      <c r="H1624" s="59" t="n"/>
      <c r="I1624" s="57" t="str">
        <f>IF(H1624="","",IFERROR(INDEX(art_des,MATCH(H1624,art_ref,0))&amp;"","Article inconnu"))</f>
        <v/>
      </c>
      <c r="J1624" s="60" t="str">
        <f>IF(H1624="","",IFERROR(INDEX(art_unit,MATCH(H1624,art_ref,0))&amp;"",""))</f>
        <v/>
      </c>
      <c r="K1624" s="59" t="n"/>
      <c r="L1624" s="59" t="n"/>
      <c r="M1624" s="61" t="str">
        <f>IF(OR(B1624="",NOT(ISNUMBER(K1624)),NOT(ISNUMBER(L1624))),"",IF(OR(K1624&lt;=0,L1624&lt;=0),"",ROUND(L1624-K1624,6)))</f>
        <v/>
      </c>
      <c r="N1624" s="58" t="n"/>
      <c r="O1624" s="62" t="n"/>
      <c r="P1624" s="63" t="str">
        <f>IF(OR(B1624="",NOT(ISNUMBER(L1624))),"",IF(L1624&lt;=0,"",IFERROR(ROUND(L1624*N(INDEX(art_w,MATCH(H1624,art_ref,0))),3),"")))</f>
        <v/>
      </c>
      <c r="Q1624" s="59" t="n"/>
      <c r="R1624" s="54" t="n"/>
      <c r="S1624" s="59" t="n"/>
      <c r="T1624" s="59" t="n"/>
      <c r="U1624" s="64" t="str">
        <f>IF(OR(B1624="",H1624=""),"",IFERROR(IF(A1624="BL",IF(N(INDEX(art_price,MATCH(H1624,art_ref,0)))=0,"",N(INDEX(art_price,MATCH(H1624,art_ref,0)))),IF(N(INDEX(art_cost,MATCH(H1624,art_ref,0)))=0,"",N(INDEX(art_cost,MATCH(H1624,art_ref,0))))),""))</f>
        <v/>
      </c>
      <c r="V1624" s="64" t="str">
        <f>IF(OR(U1624="",NOT(ISNUMBER(L1624))),"",IF(L1624&lt;=0,"",ROUND(L1624*U1624,2)))</f>
        <v/>
      </c>
      <c r="W1624" s="60" t="str">
        <f>IF(AND(B1624&lt;&gt;"",A1624&lt;&gt;"BS",F1624&lt;&gt;"",H1624&lt;&gt;"",ISNUMBER(K1624),ISNUMBER(L1624)),IF(AND(K1624&gt;0,L1624&gt;0,K1624-L1624&gt;0,COUNTIFS(A1625:A$2005,A1624,F1625:F$2005,F1624,H1625:H$2005,H1624,AA1625:AA$2005,"&gt;0")=0),ROUND(K1624-L1624,6),""),"")</f>
        <v/>
      </c>
      <c r="X1624" s="60" t="str">
        <f>IF(AND(A1624="",C1624="",D1624="",H1624="",L1624=""),"",IF(A1624="","Type manquant",IF(AND(A1624&lt;&gt;"BL",A1624&lt;&gt;"BR",A1624&lt;&gt;"BS"),"Type inconnu (BL, BR ou BS)",IF(AG1624=0,"Date manquante ou invalide",IF(D1624="",IF(A1624="BL","Client manquant",IF(A1624="BR","Fournisseur manquant","Service manquant")),IF(IF(A1624="BL",ISNA(MATCH(D1624,cl_code,0)),IF(A1624="BR",ISNA(MATCH(D1624,fo_code,0)),ISNA(MATCH(D1624,p_services,0)))),IF(A1624="BL","Client inconnu",IF(A1624="BR","Fournisseur inconnu","Service inconnu")),IF(H1624="","Article manquant",IF(ISNA(MATCH(H1624,art_ref,0)),"Article inconnu",IF(OR(NOT(ISNUMBER(L1624)),N(L1624)&lt;=0),"Quantité invalide",IF(AND(K1624&lt;&gt;"",OR(NOT(ISNUMBER(K1624)),N(K1624)&lt;=0)),"Qté commandée invalide",IF(AG1624&lt;SUMPRODUCT(MAX((A$6:A1623=A1624)*AG$6:AG1623)),"Date antérieure au bon précédent",IF(AND(A1624&lt;&gt;"BR",ISNUMBER(M1624),N(M1624)&gt;0),IF(A1624="BL","Livré plus que commandé","Sorti plus que demandé"),"OK"))))))))))))</f>
        <v/>
      </c>
      <c r="Y1624" s="57" t="str">
        <f>IF(AND(OR(A1624="BL",A1624="BR",A1624="BS"),AG1624&gt;0,D1624&lt;&gt;""),A1624&amp;"|"&amp;AG1624&amp;"|"&amp;D1624&amp;"|"&amp;F1624,"")</f>
        <v/>
      </c>
      <c r="Z1624" s="57" t="str">
        <f>IF(Y1624="","",IF(COUNTIF(Y$6:Y1623,Y1624)=0,1,0))</f>
        <v/>
      </c>
      <c r="AA1624" s="57" t="str">
        <f>IF(Y1624="","",IF(Z1624=1,COUNTIFS(A$6:A1624,A1624,Z$6:Z1624,1),INDEX(AA$6:AA1623,MATCH(Y1624,Y$6:Y1623,0))))</f>
        <v/>
      </c>
      <c r="AB1624" s="57" t="str">
        <f>IF(B1624="","",COUNTIF(B$6:B1624,B1624))</f>
        <v/>
      </c>
      <c r="AC1624" s="57" t="str">
        <f>IF(B1624="","",B1624&amp;"#"&amp;AB1624)</f>
        <v/>
      </c>
      <c r="AD1624" s="57" t="str">
        <f>IF(Z1624=1,A1624&amp;AA1624,"")</f>
        <v/>
      </c>
      <c r="AE1624" s="57" t="str">
        <f>IF(B1624="","",YEAR(C1624))</f>
        <v/>
      </c>
      <c r="AF1624" s="57" t="str">
        <f>IF(B1624="","",MONTH(C1624))</f>
        <v/>
      </c>
      <c r="AG1624" s="57">
        <f>IF(ISNUMBER(C1624),C1624,0)</f>
        <v>0.0</v>
      </c>
      <c r="AH1624" s="57" t="str">
        <f>IF(N(W1624)&gt;0,COUNTIF(W$6:W1624,"&gt;0"),"")</f>
        <v/>
      </c>
      <c r="AI1624" s="57" t="str">
        <f>IF(Z1624=1,COUNTIF(Z$6:Z1624,1),"")</f>
        <v/>
      </c>
    </row>
    <row r="1625">
      <c r="A1625" s="54" t="n"/>
      <c r="B1625" s="55" t="str">
        <f>IF(AA1625="","",A1625&amp;"-"&amp;RIGHT("000"&amp;AA1625,4))</f>
        <v/>
      </c>
      <c r="C1625" s="56" t="n"/>
      <c r="D1625" s="54" t="n"/>
      <c r="E1625" s="57" t="str">
        <f>IF(D1625="","",IF(A1625="BL",IFERROR(INDEX(cl_name,MATCH(D1625,cl_code,0))&amp;"","Client inconnu"),IF(A1625="BR",IFERROR(INDEX(fo_name,MATCH(D1625,fo_code,0))&amp;"","Fournisseur inconnu"),IF(A1625="BS",IF(ISNA(MATCH(D1625,p_services,0)),"Service inconnu",D1625&amp;""),""))))</f>
        <v/>
      </c>
      <c r="F1625" s="58" t="n"/>
      <c r="G1625" s="58" t="n"/>
      <c r="H1625" s="59" t="n"/>
      <c r="I1625" s="57" t="str">
        <f>IF(H1625="","",IFERROR(INDEX(art_des,MATCH(H1625,art_ref,0))&amp;"","Article inconnu"))</f>
        <v/>
      </c>
      <c r="J1625" s="60" t="str">
        <f>IF(H1625="","",IFERROR(INDEX(art_unit,MATCH(H1625,art_ref,0))&amp;"",""))</f>
        <v/>
      </c>
      <c r="K1625" s="59" t="n"/>
      <c r="L1625" s="59" t="n"/>
      <c r="M1625" s="61" t="str">
        <f>IF(OR(B1625="",NOT(ISNUMBER(K1625)),NOT(ISNUMBER(L1625))),"",IF(OR(K1625&lt;=0,L1625&lt;=0),"",ROUND(L1625-K1625,6)))</f>
        <v/>
      </c>
      <c r="N1625" s="58" t="n"/>
      <c r="O1625" s="62" t="n"/>
      <c r="P1625" s="63" t="str">
        <f>IF(OR(B1625="",NOT(ISNUMBER(L1625))),"",IF(L1625&lt;=0,"",IFERROR(ROUND(L1625*N(INDEX(art_w,MATCH(H1625,art_ref,0))),3),"")))</f>
        <v/>
      </c>
      <c r="Q1625" s="59" t="n"/>
      <c r="R1625" s="54" t="n"/>
      <c r="S1625" s="59" t="n"/>
      <c r="T1625" s="59" t="n"/>
      <c r="U1625" s="64" t="str">
        <f>IF(OR(B1625="",H1625=""),"",IFERROR(IF(A1625="BL",IF(N(INDEX(art_price,MATCH(H1625,art_ref,0)))=0,"",N(INDEX(art_price,MATCH(H1625,art_ref,0)))),IF(N(INDEX(art_cost,MATCH(H1625,art_ref,0)))=0,"",N(INDEX(art_cost,MATCH(H1625,art_ref,0))))),""))</f>
        <v/>
      </c>
      <c r="V1625" s="64" t="str">
        <f>IF(OR(U1625="",NOT(ISNUMBER(L1625))),"",IF(L1625&lt;=0,"",ROUND(L1625*U1625,2)))</f>
        <v/>
      </c>
      <c r="W1625" s="60" t="str">
        <f>IF(AND(B1625&lt;&gt;"",A1625&lt;&gt;"BS",F1625&lt;&gt;"",H1625&lt;&gt;"",ISNUMBER(K1625),ISNUMBER(L1625)),IF(AND(K1625&gt;0,L1625&gt;0,K1625-L1625&gt;0,COUNTIFS(A1626:A$2005,A1625,F1626:F$2005,F1625,H1626:H$2005,H1625,AA1626:AA$2005,"&gt;0")=0),ROUND(K1625-L1625,6),""),"")</f>
        <v/>
      </c>
      <c r="X1625" s="60" t="str">
        <f>IF(AND(A1625="",C1625="",D1625="",H1625="",L1625=""),"",IF(A1625="","Type manquant",IF(AND(A1625&lt;&gt;"BL",A1625&lt;&gt;"BR",A1625&lt;&gt;"BS"),"Type inconnu (BL, BR ou BS)",IF(AG1625=0,"Date manquante ou invalide",IF(D1625="",IF(A1625="BL","Client manquant",IF(A1625="BR","Fournisseur manquant","Service manquant")),IF(IF(A1625="BL",ISNA(MATCH(D1625,cl_code,0)),IF(A1625="BR",ISNA(MATCH(D1625,fo_code,0)),ISNA(MATCH(D1625,p_services,0)))),IF(A1625="BL","Client inconnu",IF(A1625="BR","Fournisseur inconnu","Service inconnu")),IF(H1625="","Article manquant",IF(ISNA(MATCH(H1625,art_ref,0)),"Article inconnu",IF(OR(NOT(ISNUMBER(L1625)),N(L1625)&lt;=0),"Quantité invalide",IF(AND(K1625&lt;&gt;"",OR(NOT(ISNUMBER(K1625)),N(K1625)&lt;=0)),"Qté commandée invalide",IF(AG1625&lt;SUMPRODUCT(MAX((A$6:A1624=A1625)*AG$6:AG1624)),"Date antérieure au bon précédent",IF(AND(A1625&lt;&gt;"BR",ISNUMBER(M1625),N(M1625)&gt;0),IF(A1625="BL","Livré plus que commandé","Sorti plus que demandé"),"OK"))))))))))))</f>
        <v/>
      </c>
      <c r="Y1625" s="57" t="str">
        <f>IF(AND(OR(A1625="BL",A1625="BR",A1625="BS"),AG1625&gt;0,D1625&lt;&gt;""),A1625&amp;"|"&amp;AG1625&amp;"|"&amp;D1625&amp;"|"&amp;F1625,"")</f>
        <v/>
      </c>
      <c r="Z1625" s="57" t="str">
        <f>IF(Y1625="","",IF(COUNTIF(Y$6:Y1624,Y1625)=0,1,0))</f>
        <v/>
      </c>
      <c r="AA1625" s="57" t="str">
        <f>IF(Y1625="","",IF(Z1625=1,COUNTIFS(A$6:A1625,A1625,Z$6:Z1625,1),INDEX(AA$6:AA1624,MATCH(Y1625,Y$6:Y1624,0))))</f>
        <v/>
      </c>
      <c r="AB1625" s="57" t="str">
        <f>IF(B1625="","",COUNTIF(B$6:B1625,B1625))</f>
        <v/>
      </c>
      <c r="AC1625" s="57" t="str">
        <f>IF(B1625="","",B1625&amp;"#"&amp;AB1625)</f>
        <v/>
      </c>
      <c r="AD1625" s="57" t="str">
        <f>IF(Z1625=1,A1625&amp;AA1625,"")</f>
        <v/>
      </c>
      <c r="AE1625" s="57" t="str">
        <f>IF(B1625="","",YEAR(C1625))</f>
        <v/>
      </c>
      <c r="AF1625" s="57" t="str">
        <f>IF(B1625="","",MONTH(C1625))</f>
        <v/>
      </c>
      <c r="AG1625" s="57">
        <f>IF(ISNUMBER(C1625),C1625,0)</f>
        <v>0.0</v>
      </c>
      <c r="AH1625" s="57" t="str">
        <f>IF(N(W1625)&gt;0,COUNTIF(W$6:W1625,"&gt;0"),"")</f>
        <v/>
      </c>
      <c r="AI1625" s="57" t="str">
        <f>IF(Z1625=1,COUNTIF(Z$6:Z1625,1),"")</f>
        <v/>
      </c>
    </row>
    <row r="1626">
      <c r="A1626" s="54" t="n"/>
      <c r="B1626" s="55" t="str">
        <f>IF(AA1626="","",A1626&amp;"-"&amp;RIGHT("000"&amp;AA1626,4))</f>
        <v/>
      </c>
      <c r="C1626" s="56" t="n"/>
      <c r="D1626" s="54" t="n"/>
      <c r="E1626" s="57" t="str">
        <f>IF(D1626="","",IF(A1626="BL",IFERROR(INDEX(cl_name,MATCH(D1626,cl_code,0))&amp;"","Client inconnu"),IF(A1626="BR",IFERROR(INDEX(fo_name,MATCH(D1626,fo_code,0))&amp;"","Fournisseur inconnu"),IF(A1626="BS",IF(ISNA(MATCH(D1626,p_services,0)),"Service inconnu",D1626&amp;""),""))))</f>
        <v/>
      </c>
      <c r="F1626" s="58" t="n"/>
      <c r="G1626" s="58" t="n"/>
      <c r="H1626" s="59" t="n"/>
      <c r="I1626" s="57" t="str">
        <f>IF(H1626="","",IFERROR(INDEX(art_des,MATCH(H1626,art_ref,0))&amp;"","Article inconnu"))</f>
        <v/>
      </c>
      <c r="J1626" s="60" t="str">
        <f>IF(H1626="","",IFERROR(INDEX(art_unit,MATCH(H1626,art_ref,0))&amp;"",""))</f>
        <v/>
      </c>
      <c r="K1626" s="59" t="n"/>
      <c r="L1626" s="59" t="n"/>
      <c r="M1626" s="61" t="str">
        <f>IF(OR(B1626="",NOT(ISNUMBER(K1626)),NOT(ISNUMBER(L1626))),"",IF(OR(K1626&lt;=0,L1626&lt;=0),"",ROUND(L1626-K1626,6)))</f>
        <v/>
      </c>
      <c r="N1626" s="58" t="n"/>
      <c r="O1626" s="62" t="n"/>
      <c r="P1626" s="63" t="str">
        <f>IF(OR(B1626="",NOT(ISNUMBER(L1626))),"",IF(L1626&lt;=0,"",IFERROR(ROUND(L1626*N(INDEX(art_w,MATCH(H1626,art_ref,0))),3),"")))</f>
        <v/>
      </c>
      <c r="Q1626" s="59" t="n"/>
      <c r="R1626" s="54" t="n"/>
      <c r="S1626" s="59" t="n"/>
      <c r="T1626" s="59" t="n"/>
      <c r="U1626" s="64" t="str">
        <f>IF(OR(B1626="",H1626=""),"",IFERROR(IF(A1626="BL",IF(N(INDEX(art_price,MATCH(H1626,art_ref,0)))=0,"",N(INDEX(art_price,MATCH(H1626,art_ref,0)))),IF(N(INDEX(art_cost,MATCH(H1626,art_ref,0)))=0,"",N(INDEX(art_cost,MATCH(H1626,art_ref,0))))),""))</f>
        <v/>
      </c>
      <c r="V1626" s="64" t="str">
        <f>IF(OR(U1626="",NOT(ISNUMBER(L1626))),"",IF(L1626&lt;=0,"",ROUND(L1626*U1626,2)))</f>
        <v/>
      </c>
      <c r="W1626" s="60" t="str">
        <f>IF(AND(B1626&lt;&gt;"",A1626&lt;&gt;"BS",F1626&lt;&gt;"",H1626&lt;&gt;"",ISNUMBER(K1626),ISNUMBER(L1626)),IF(AND(K1626&gt;0,L1626&gt;0,K1626-L1626&gt;0,COUNTIFS(A1627:A$2005,A1626,F1627:F$2005,F1626,H1627:H$2005,H1626,AA1627:AA$2005,"&gt;0")=0),ROUND(K1626-L1626,6),""),"")</f>
        <v/>
      </c>
      <c r="X1626" s="60" t="str">
        <f>IF(AND(A1626="",C1626="",D1626="",H1626="",L1626=""),"",IF(A1626="","Type manquant",IF(AND(A1626&lt;&gt;"BL",A1626&lt;&gt;"BR",A1626&lt;&gt;"BS"),"Type inconnu (BL, BR ou BS)",IF(AG1626=0,"Date manquante ou invalide",IF(D1626="",IF(A1626="BL","Client manquant",IF(A1626="BR","Fournisseur manquant","Service manquant")),IF(IF(A1626="BL",ISNA(MATCH(D1626,cl_code,0)),IF(A1626="BR",ISNA(MATCH(D1626,fo_code,0)),ISNA(MATCH(D1626,p_services,0)))),IF(A1626="BL","Client inconnu",IF(A1626="BR","Fournisseur inconnu","Service inconnu")),IF(H1626="","Article manquant",IF(ISNA(MATCH(H1626,art_ref,0)),"Article inconnu",IF(OR(NOT(ISNUMBER(L1626)),N(L1626)&lt;=0),"Quantité invalide",IF(AND(K1626&lt;&gt;"",OR(NOT(ISNUMBER(K1626)),N(K1626)&lt;=0)),"Qté commandée invalide",IF(AG1626&lt;SUMPRODUCT(MAX((A$6:A1625=A1626)*AG$6:AG1625)),"Date antérieure au bon précédent",IF(AND(A1626&lt;&gt;"BR",ISNUMBER(M1626),N(M1626)&gt;0),IF(A1626="BL","Livré plus que commandé","Sorti plus que demandé"),"OK"))))))))))))</f>
        <v/>
      </c>
      <c r="Y1626" s="57" t="str">
        <f>IF(AND(OR(A1626="BL",A1626="BR",A1626="BS"),AG1626&gt;0,D1626&lt;&gt;""),A1626&amp;"|"&amp;AG1626&amp;"|"&amp;D1626&amp;"|"&amp;F1626,"")</f>
        <v/>
      </c>
      <c r="Z1626" s="57" t="str">
        <f>IF(Y1626="","",IF(COUNTIF(Y$6:Y1625,Y1626)=0,1,0))</f>
        <v/>
      </c>
      <c r="AA1626" s="57" t="str">
        <f>IF(Y1626="","",IF(Z1626=1,COUNTIFS(A$6:A1626,A1626,Z$6:Z1626,1),INDEX(AA$6:AA1625,MATCH(Y1626,Y$6:Y1625,0))))</f>
        <v/>
      </c>
      <c r="AB1626" s="57" t="str">
        <f>IF(B1626="","",COUNTIF(B$6:B1626,B1626))</f>
        <v/>
      </c>
      <c r="AC1626" s="57" t="str">
        <f>IF(B1626="","",B1626&amp;"#"&amp;AB1626)</f>
        <v/>
      </c>
      <c r="AD1626" s="57" t="str">
        <f>IF(Z1626=1,A1626&amp;AA1626,"")</f>
        <v/>
      </c>
      <c r="AE1626" s="57" t="str">
        <f>IF(B1626="","",YEAR(C1626))</f>
        <v/>
      </c>
      <c r="AF1626" s="57" t="str">
        <f>IF(B1626="","",MONTH(C1626))</f>
        <v/>
      </c>
      <c r="AG1626" s="57">
        <f>IF(ISNUMBER(C1626),C1626,0)</f>
        <v>0.0</v>
      </c>
      <c r="AH1626" s="57" t="str">
        <f>IF(N(W1626)&gt;0,COUNTIF(W$6:W1626,"&gt;0"),"")</f>
        <v/>
      </c>
      <c r="AI1626" s="57" t="str">
        <f>IF(Z1626=1,COUNTIF(Z$6:Z1626,1),"")</f>
        <v/>
      </c>
    </row>
    <row r="1627">
      <c r="A1627" s="54" t="n"/>
      <c r="B1627" s="55" t="str">
        <f>IF(AA1627="","",A1627&amp;"-"&amp;RIGHT("000"&amp;AA1627,4))</f>
        <v/>
      </c>
      <c r="C1627" s="56" t="n"/>
      <c r="D1627" s="54" t="n"/>
      <c r="E1627" s="57" t="str">
        <f>IF(D1627="","",IF(A1627="BL",IFERROR(INDEX(cl_name,MATCH(D1627,cl_code,0))&amp;"","Client inconnu"),IF(A1627="BR",IFERROR(INDEX(fo_name,MATCH(D1627,fo_code,0))&amp;"","Fournisseur inconnu"),IF(A1627="BS",IF(ISNA(MATCH(D1627,p_services,0)),"Service inconnu",D1627&amp;""),""))))</f>
        <v/>
      </c>
      <c r="F1627" s="58" t="n"/>
      <c r="G1627" s="58" t="n"/>
      <c r="H1627" s="59" t="n"/>
      <c r="I1627" s="57" t="str">
        <f>IF(H1627="","",IFERROR(INDEX(art_des,MATCH(H1627,art_ref,0))&amp;"","Article inconnu"))</f>
        <v/>
      </c>
      <c r="J1627" s="60" t="str">
        <f>IF(H1627="","",IFERROR(INDEX(art_unit,MATCH(H1627,art_ref,0))&amp;"",""))</f>
        <v/>
      </c>
      <c r="K1627" s="59" t="n"/>
      <c r="L1627" s="59" t="n"/>
      <c r="M1627" s="61" t="str">
        <f>IF(OR(B1627="",NOT(ISNUMBER(K1627)),NOT(ISNUMBER(L1627))),"",IF(OR(K1627&lt;=0,L1627&lt;=0),"",ROUND(L1627-K1627,6)))</f>
        <v/>
      </c>
      <c r="N1627" s="58" t="n"/>
      <c r="O1627" s="62" t="n"/>
      <c r="P1627" s="63" t="str">
        <f>IF(OR(B1627="",NOT(ISNUMBER(L1627))),"",IF(L1627&lt;=0,"",IFERROR(ROUND(L1627*N(INDEX(art_w,MATCH(H1627,art_ref,0))),3),"")))</f>
        <v/>
      </c>
      <c r="Q1627" s="59" t="n"/>
      <c r="R1627" s="54" t="n"/>
      <c r="S1627" s="59" t="n"/>
      <c r="T1627" s="59" t="n"/>
      <c r="U1627" s="64" t="str">
        <f>IF(OR(B1627="",H1627=""),"",IFERROR(IF(A1627="BL",IF(N(INDEX(art_price,MATCH(H1627,art_ref,0)))=0,"",N(INDEX(art_price,MATCH(H1627,art_ref,0)))),IF(N(INDEX(art_cost,MATCH(H1627,art_ref,0)))=0,"",N(INDEX(art_cost,MATCH(H1627,art_ref,0))))),""))</f>
        <v/>
      </c>
      <c r="V1627" s="64" t="str">
        <f>IF(OR(U1627="",NOT(ISNUMBER(L1627))),"",IF(L1627&lt;=0,"",ROUND(L1627*U1627,2)))</f>
        <v/>
      </c>
      <c r="W1627" s="60" t="str">
        <f>IF(AND(B1627&lt;&gt;"",A1627&lt;&gt;"BS",F1627&lt;&gt;"",H1627&lt;&gt;"",ISNUMBER(K1627),ISNUMBER(L1627)),IF(AND(K1627&gt;0,L1627&gt;0,K1627-L1627&gt;0,COUNTIFS(A1628:A$2005,A1627,F1628:F$2005,F1627,H1628:H$2005,H1627,AA1628:AA$2005,"&gt;0")=0),ROUND(K1627-L1627,6),""),"")</f>
        <v/>
      </c>
      <c r="X1627" s="60" t="str">
        <f>IF(AND(A1627="",C1627="",D1627="",H1627="",L1627=""),"",IF(A1627="","Type manquant",IF(AND(A1627&lt;&gt;"BL",A1627&lt;&gt;"BR",A1627&lt;&gt;"BS"),"Type inconnu (BL, BR ou BS)",IF(AG1627=0,"Date manquante ou invalide",IF(D1627="",IF(A1627="BL","Client manquant",IF(A1627="BR","Fournisseur manquant","Service manquant")),IF(IF(A1627="BL",ISNA(MATCH(D1627,cl_code,0)),IF(A1627="BR",ISNA(MATCH(D1627,fo_code,0)),ISNA(MATCH(D1627,p_services,0)))),IF(A1627="BL","Client inconnu",IF(A1627="BR","Fournisseur inconnu","Service inconnu")),IF(H1627="","Article manquant",IF(ISNA(MATCH(H1627,art_ref,0)),"Article inconnu",IF(OR(NOT(ISNUMBER(L1627)),N(L1627)&lt;=0),"Quantité invalide",IF(AND(K1627&lt;&gt;"",OR(NOT(ISNUMBER(K1627)),N(K1627)&lt;=0)),"Qté commandée invalide",IF(AG1627&lt;SUMPRODUCT(MAX((A$6:A1626=A1627)*AG$6:AG1626)),"Date antérieure au bon précédent",IF(AND(A1627&lt;&gt;"BR",ISNUMBER(M1627),N(M1627)&gt;0),IF(A1627="BL","Livré plus que commandé","Sorti plus que demandé"),"OK"))))))))))))</f>
        <v/>
      </c>
      <c r="Y1627" s="57" t="str">
        <f>IF(AND(OR(A1627="BL",A1627="BR",A1627="BS"),AG1627&gt;0,D1627&lt;&gt;""),A1627&amp;"|"&amp;AG1627&amp;"|"&amp;D1627&amp;"|"&amp;F1627,"")</f>
        <v/>
      </c>
      <c r="Z1627" s="57" t="str">
        <f>IF(Y1627="","",IF(COUNTIF(Y$6:Y1626,Y1627)=0,1,0))</f>
        <v/>
      </c>
      <c r="AA1627" s="57" t="str">
        <f>IF(Y1627="","",IF(Z1627=1,COUNTIFS(A$6:A1627,A1627,Z$6:Z1627,1),INDEX(AA$6:AA1626,MATCH(Y1627,Y$6:Y1626,0))))</f>
        <v/>
      </c>
      <c r="AB1627" s="57" t="str">
        <f>IF(B1627="","",COUNTIF(B$6:B1627,B1627))</f>
        <v/>
      </c>
      <c r="AC1627" s="57" t="str">
        <f>IF(B1627="","",B1627&amp;"#"&amp;AB1627)</f>
        <v/>
      </c>
      <c r="AD1627" s="57" t="str">
        <f>IF(Z1627=1,A1627&amp;AA1627,"")</f>
        <v/>
      </c>
      <c r="AE1627" s="57" t="str">
        <f>IF(B1627="","",YEAR(C1627))</f>
        <v/>
      </c>
      <c r="AF1627" s="57" t="str">
        <f>IF(B1627="","",MONTH(C1627))</f>
        <v/>
      </c>
      <c r="AG1627" s="57">
        <f>IF(ISNUMBER(C1627),C1627,0)</f>
        <v>0.0</v>
      </c>
      <c r="AH1627" s="57" t="str">
        <f>IF(N(W1627)&gt;0,COUNTIF(W$6:W1627,"&gt;0"),"")</f>
        <v/>
      </c>
      <c r="AI1627" s="57" t="str">
        <f>IF(Z1627=1,COUNTIF(Z$6:Z1627,1),"")</f>
        <v/>
      </c>
    </row>
    <row r="1628">
      <c r="A1628" s="54" t="n"/>
      <c r="B1628" s="55" t="str">
        <f>IF(AA1628="","",A1628&amp;"-"&amp;RIGHT("000"&amp;AA1628,4))</f>
        <v/>
      </c>
      <c r="C1628" s="56" t="n"/>
      <c r="D1628" s="54" t="n"/>
      <c r="E1628" s="57" t="str">
        <f>IF(D1628="","",IF(A1628="BL",IFERROR(INDEX(cl_name,MATCH(D1628,cl_code,0))&amp;"","Client inconnu"),IF(A1628="BR",IFERROR(INDEX(fo_name,MATCH(D1628,fo_code,0))&amp;"","Fournisseur inconnu"),IF(A1628="BS",IF(ISNA(MATCH(D1628,p_services,0)),"Service inconnu",D1628&amp;""),""))))</f>
        <v/>
      </c>
      <c r="F1628" s="58" t="n"/>
      <c r="G1628" s="58" t="n"/>
      <c r="H1628" s="59" t="n"/>
      <c r="I1628" s="57" t="str">
        <f>IF(H1628="","",IFERROR(INDEX(art_des,MATCH(H1628,art_ref,0))&amp;"","Article inconnu"))</f>
        <v/>
      </c>
      <c r="J1628" s="60" t="str">
        <f>IF(H1628="","",IFERROR(INDEX(art_unit,MATCH(H1628,art_ref,0))&amp;"",""))</f>
        <v/>
      </c>
      <c r="K1628" s="59" t="n"/>
      <c r="L1628" s="59" t="n"/>
      <c r="M1628" s="61" t="str">
        <f>IF(OR(B1628="",NOT(ISNUMBER(K1628)),NOT(ISNUMBER(L1628))),"",IF(OR(K1628&lt;=0,L1628&lt;=0),"",ROUND(L1628-K1628,6)))</f>
        <v/>
      </c>
      <c r="N1628" s="58" t="n"/>
      <c r="O1628" s="62" t="n"/>
      <c r="P1628" s="63" t="str">
        <f>IF(OR(B1628="",NOT(ISNUMBER(L1628))),"",IF(L1628&lt;=0,"",IFERROR(ROUND(L1628*N(INDEX(art_w,MATCH(H1628,art_ref,0))),3),"")))</f>
        <v/>
      </c>
      <c r="Q1628" s="59" t="n"/>
      <c r="R1628" s="54" t="n"/>
      <c r="S1628" s="59" t="n"/>
      <c r="T1628" s="59" t="n"/>
      <c r="U1628" s="64" t="str">
        <f>IF(OR(B1628="",H1628=""),"",IFERROR(IF(A1628="BL",IF(N(INDEX(art_price,MATCH(H1628,art_ref,0)))=0,"",N(INDEX(art_price,MATCH(H1628,art_ref,0)))),IF(N(INDEX(art_cost,MATCH(H1628,art_ref,0)))=0,"",N(INDEX(art_cost,MATCH(H1628,art_ref,0))))),""))</f>
        <v/>
      </c>
      <c r="V1628" s="64" t="str">
        <f>IF(OR(U1628="",NOT(ISNUMBER(L1628))),"",IF(L1628&lt;=0,"",ROUND(L1628*U1628,2)))</f>
        <v/>
      </c>
      <c r="W1628" s="60" t="str">
        <f>IF(AND(B1628&lt;&gt;"",A1628&lt;&gt;"BS",F1628&lt;&gt;"",H1628&lt;&gt;"",ISNUMBER(K1628),ISNUMBER(L1628)),IF(AND(K1628&gt;0,L1628&gt;0,K1628-L1628&gt;0,COUNTIFS(A1629:A$2005,A1628,F1629:F$2005,F1628,H1629:H$2005,H1628,AA1629:AA$2005,"&gt;0")=0),ROUND(K1628-L1628,6),""),"")</f>
        <v/>
      </c>
      <c r="X1628" s="60" t="str">
        <f>IF(AND(A1628="",C1628="",D1628="",H1628="",L1628=""),"",IF(A1628="","Type manquant",IF(AND(A1628&lt;&gt;"BL",A1628&lt;&gt;"BR",A1628&lt;&gt;"BS"),"Type inconnu (BL, BR ou BS)",IF(AG1628=0,"Date manquante ou invalide",IF(D1628="",IF(A1628="BL","Client manquant",IF(A1628="BR","Fournisseur manquant","Service manquant")),IF(IF(A1628="BL",ISNA(MATCH(D1628,cl_code,0)),IF(A1628="BR",ISNA(MATCH(D1628,fo_code,0)),ISNA(MATCH(D1628,p_services,0)))),IF(A1628="BL","Client inconnu",IF(A1628="BR","Fournisseur inconnu","Service inconnu")),IF(H1628="","Article manquant",IF(ISNA(MATCH(H1628,art_ref,0)),"Article inconnu",IF(OR(NOT(ISNUMBER(L1628)),N(L1628)&lt;=0),"Quantité invalide",IF(AND(K1628&lt;&gt;"",OR(NOT(ISNUMBER(K1628)),N(K1628)&lt;=0)),"Qté commandée invalide",IF(AG1628&lt;SUMPRODUCT(MAX((A$6:A1627=A1628)*AG$6:AG1627)),"Date antérieure au bon précédent",IF(AND(A1628&lt;&gt;"BR",ISNUMBER(M1628),N(M1628)&gt;0),IF(A1628="BL","Livré plus que commandé","Sorti plus que demandé"),"OK"))))))))))))</f>
        <v/>
      </c>
      <c r="Y1628" s="57" t="str">
        <f>IF(AND(OR(A1628="BL",A1628="BR",A1628="BS"),AG1628&gt;0,D1628&lt;&gt;""),A1628&amp;"|"&amp;AG1628&amp;"|"&amp;D1628&amp;"|"&amp;F1628,"")</f>
        <v/>
      </c>
      <c r="Z1628" s="57" t="str">
        <f>IF(Y1628="","",IF(COUNTIF(Y$6:Y1627,Y1628)=0,1,0))</f>
        <v/>
      </c>
      <c r="AA1628" s="57" t="str">
        <f>IF(Y1628="","",IF(Z1628=1,COUNTIFS(A$6:A1628,A1628,Z$6:Z1628,1),INDEX(AA$6:AA1627,MATCH(Y1628,Y$6:Y1627,0))))</f>
        <v/>
      </c>
      <c r="AB1628" s="57" t="str">
        <f>IF(B1628="","",COUNTIF(B$6:B1628,B1628))</f>
        <v/>
      </c>
      <c r="AC1628" s="57" t="str">
        <f>IF(B1628="","",B1628&amp;"#"&amp;AB1628)</f>
        <v/>
      </c>
      <c r="AD1628" s="57" t="str">
        <f>IF(Z1628=1,A1628&amp;AA1628,"")</f>
        <v/>
      </c>
      <c r="AE1628" s="57" t="str">
        <f>IF(B1628="","",YEAR(C1628))</f>
        <v/>
      </c>
      <c r="AF1628" s="57" t="str">
        <f>IF(B1628="","",MONTH(C1628))</f>
        <v/>
      </c>
      <c r="AG1628" s="57">
        <f>IF(ISNUMBER(C1628),C1628,0)</f>
        <v>0.0</v>
      </c>
      <c r="AH1628" s="57" t="str">
        <f>IF(N(W1628)&gt;0,COUNTIF(W$6:W1628,"&gt;0"),"")</f>
        <v/>
      </c>
      <c r="AI1628" s="57" t="str">
        <f>IF(Z1628=1,COUNTIF(Z$6:Z1628,1),"")</f>
        <v/>
      </c>
    </row>
    <row r="1629">
      <c r="A1629" s="54" t="n"/>
      <c r="B1629" s="55" t="str">
        <f>IF(AA1629="","",A1629&amp;"-"&amp;RIGHT("000"&amp;AA1629,4))</f>
        <v/>
      </c>
      <c r="C1629" s="56" t="n"/>
      <c r="D1629" s="54" t="n"/>
      <c r="E1629" s="57" t="str">
        <f>IF(D1629="","",IF(A1629="BL",IFERROR(INDEX(cl_name,MATCH(D1629,cl_code,0))&amp;"","Client inconnu"),IF(A1629="BR",IFERROR(INDEX(fo_name,MATCH(D1629,fo_code,0))&amp;"","Fournisseur inconnu"),IF(A1629="BS",IF(ISNA(MATCH(D1629,p_services,0)),"Service inconnu",D1629&amp;""),""))))</f>
        <v/>
      </c>
      <c r="F1629" s="58" t="n"/>
      <c r="G1629" s="58" t="n"/>
      <c r="H1629" s="59" t="n"/>
      <c r="I1629" s="57" t="str">
        <f>IF(H1629="","",IFERROR(INDEX(art_des,MATCH(H1629,art_ref,0))&amp;"","Article inconnu"))</f>
        <v/>
      </c>
      <c r="J1629" s="60" t="str">
        <f>IF(H1629="","",IFERROR(INDEX(art_unit,MATCH(H1629,art_ref,0))&amp;"",""))</f>
        <v/>
      </c>
      <c r="K1629" s="59" t="n"/>
      <c r="L1629" s="59" t="n"/>
      <c r="M1629" s="61" t="str">
        <f>IF(OR(B1629="",NOT(ISNUMBER(K1629)),NOT(ISNUMBER(L1629))),"",IF(OR(K1629&lt;=0,L1629&lt;=0),"",ROUND(L1629-K1629,6)))</f>
        <v/>
      </c>
      <c r="N1629" s="58" t="n"/>
      <c r="O1629" s="62" t="n"/>
      <c r="P1629" s="63" t="str">
        <f>IF(OR(B1629="",NOT(ISNUMBER(L1629))),"",IF(L1629&lt;=0,"",IFERROR(ROUND(L1629*N(INDEX(art_w,MATCH(H1629,art_ref,0))),3),"")))</f>
        <v/>
      </c>
      <c r="Q1629" s="59" t="n"/>
      <c r="R1629" s="54" t="n"/>
      <c r="S1629" s="59" t="n"/>
      <c r="T1629" s="59" t="n"/>
      <c r="U1629" s="64" t="str">
        <f>IF(OR(B1629="",H1629=""),"",IFERROR(IF(A1629="BL",IF(N(INDEX(art_price,MATCH(H1629,art_ref,0)))=0,"",N(INDEX(art_price,MATCH(H1629,art_ref,0)))),IF(N(INDEX(art_cost,MATCH(H1629,art_ref,0)))=0,"",N(INDEX(art_cost,MATCH(H1629,art_ref,0))))),""))</f>
        <v/>
      </c>
      <c r="V1629" s="64" t="str">
        <f>IF(OR(U1629="",NOT(ISNUMBER(L1629))),"",IF(L1629&lt;=0,"",ROUND(L1629*U1629,2)))</f>
        <v/>
      </c>
      <c r="W1629" s="60" t="str">
        <f>IF(AND(B1629&lt;&gt;"",A1629&lt;&gt;"BS",F1629&lt;&gt;"",H1629&lt;&gt;"",ISNUMBER(K1629),ISNUMBER(L1629)),IF(AND(K1629&gt;0,L1629&gt;0,K1629-L1629&gt;0,COUNTIFS(A1630:A$2005,A1629,F1630:F$2005,F1629,H1630:H$2005,H1629,AA1630:AA$2005,"&gt;0")=0),ROUND(K1629-L1629,6),""),"")</f>
        <v/>
      </c>
      <c r="X1629" s="60" t="str">
        <f>IF(AND(A1629="",C1629="",D1629="",H1629="",L1629=""),"",IF(A1629="","Type manquant",IF(AND(A1629&lt;&gt;"BL",A1629&lt;&gt;"BR",A1629&lt;&gt;"BS"),"Type inconnu (BL, BR ou BS)",IF(AG1629=0,"Date manquante ou invalide",IF(D1629="",IF(A1629="BL","Client manquant",IF(A1629="BR","Fournisseur manquant","Service manquant")),IF(IF(A1629="BL",ISNA(MATCH(D1629,cl_code,0)),IF(A1629="BR",ISNA(MATCH(D1629,fo_code,0)),ISNA(MATCH(D1629,p_services,0)))),IF(A1629="BL","Client inconnu",IF(A1629="BR","Fournisseur inconnu","Service inconnu")),IF(H1629="","Article manquant",IF(ISNA(MATCH(H1629,art_ref,0)),"Article inconnu",IF(OR(NOT(ISNUMBER(L1629)),N(L1629)&lt;=0),"Quantité invalide",IF(AND(K1629&lt;&gt;"",OR(NOT(ISNUMBER(K1629)),N(K1629)&lt;=0)),"Qté commandée invalide",IF(AG1629&lt;SUMPRODUCT(MAX((A$6:A1628=A1629)*AG$6:AG1628)),"Date antérieure au bon précédent",IF(AND(A1629&lt;&gt;"BR",ISNUMBER(M1629),N(M1629)&gt;0),IF(A1629="BL","Livré plus que commandé","Sorti plus que demandé"),"OK"))))))))))))</f>
        <v/>
      </c>
      <c r="Y1629" s="57" t="str">
        <f>IF(AND(OR(A1629="BL",A1629="BR",A1629="BS"),AG1629&gt;0,D1629&lt;&gt;""),A1629&amp;"|"&amp;AG1629&amp;"|"&amp;D1629&amp;"|"&amp;F1629,"")</f>
        <v/>
      </c>
      <c r="Z1629" s="57" t="str">
        <f>IF(Y1629="","",IF(COUNTIF(Y$6:Y1628,Y1629)=0,1,0))</f>
        <v/>
      </c>
      <c r="AA1629" s="57" t="str">
        <f>IF(Y1629="","",IF(Z1629=1,COUNTIFS(A$6:A1629,A1629,Z$6:Z1629,1),INDEX(AA$6:AA1628,MATCH(Y1629,Y$6:Y1628,0))))</f>
        <v/>
      </c>
      <c r="AB1629" s="57" t="str">
        <f>IF(B1629="","",COUNTIF(B$6:B1629,B1629))</f>
        <v/>
      </c>
      <c r="AC1629" s="57" t="str">
        <f>IF(B1629="","",B1629&amp;"#"&amp;AB1629)</f>
        <v/>
      </c>
      <c r="AD1629" s="57" t="str">
        <f>IF(Z1629=1,A1629&amp;AA1629,"")</f>
        <v/>
      </c>
      <c r="AE1629" s="57" t="str">
        <f>IF(B1629="","",YEAR(C1629))</f>
        <v/>
      </c>
      <c r="AF1629" s="57" t="str">
        <f>IF(B1629="","",MONTH(C1629))</f>
        <v/>
      </c>
      <c r="AG1629" s="57">
        <f>IF(ISNUMBER(C1629),C1629,0)</f>
        <v>0.0</v>
      </c>
      <c r="AH1629" s="57" t="str">
        <f>IF(N(W1629)&gt;0,COUNTIF(W$6:W1629,"&gt;0"),"")</f>
        <v/>
      </c>
      <c r="AI1629" s="57" t="str">
        <f>IF(Z1629=1,COUNTIF(Z$6:Z1629,1),"")</f>
        <v/>
      </c>
    </row>
    <row r="1630">
      <c r="A1630" s="54" t="n"/>
      <c r="B1630" s="55" t="str">
        <f>IF(AA1630="","",A1630&amp;"-"&amp;RIGHT("000"&amp;AA1630,4))</f>
        <v/>
      </c>
      <c r="C1630" s="56" t="n"/>
      <c r="D1630" s="54" t="n"/>
      <c r="E1630" s="57" t="str">
        <f>IF(D1630="","",IF(A1630="BL",IFERROR(INDEX(cl_name,MATCH(D1630,cl_code,0))&amp;"","Client inconnu"),IF(A1630="BR",IFERROR(INDEX(fo_name,MATCH(D1630,fo_code,0))&amp;"","Fournisseur inconnu"),IF(A1630="BS",IF(ISNA(MATCH(D1630,p_services,0)),"Service inconnu",D1630&amp;""),""))))</f>
        <v/>
      </c>
      <c r="F1630" s="58" t="n"/>
      <c r="G1630" s="58" t="n"/>
      <c r="H1630" s="59" t="n"/>
      <c r="I1630" s="57" t="str">
        <f>IF(H1630="","",IFERROR(INDEX(art_des,MATCH(H1630,art_ref,0))&amp;"","Article inconnu"))</f>
        <v/>
      </c>
      <c r="J1630" s="60" t="str">
        <f>IF(H1630="","",IFERROR(INDEX(art_unit,MATCH(H1630,art_ref,0))&amp;"",""))</f>
        <v/>
      </c>
      <c r="K1630" s="59" t="n"/>
      <c r="L1630" s="59" t="n"/>
      <c r="M1630" s="61" t="str">
        <f>IF(OR(B1630="",NOT(ISNUMBER(K1630)),NOT(ISNUMBER(L1630))),"",IF(OR(K1630&lt;=0,L1630&lt;=0),"",ROUND(L1630-K1630,6)))</f>
        <v/>
      </c>
      <c r="N1630" s="58" t="n"/>
      <c r="O1630" s="62" t="n"/>
      <c r="P1630" s="63" t="str">
        <f>IF(OR(B1630="",NOT(ISNUMBER(L1630))),"",IF(L1630&lt;=0,"",IFERROR(ROUND(L1630*N(INDEX(art_w,MATCH(H1630,art_ref,0))),3),"")))</f>
        <v/>
      </c>
      <c r="Q1630" s="59" t="n"/>
      <c r="R1630" s="54" t="n"/>
      <c r="S1630" s="59" t="n"/>
      <c r="T1630" s="59" t="n"/>
      <c r="U1630" s="64" t="str">
        <f>IF(OR(B1630="",H1630=""),"",IFERROR(IF(A1630="BL",IF(N(INDEX(art_price,MATCH(H1630,art_ref,0)))=0,"",N(INDEX(art_price,MATCH(H1630,art_ref,0)))),IF(N(INDEX(art_cost,MATCH(H1630,art_ref,0)))=0,"",N(INDEX(art_cost,MATCH(H1630,art_ref,0))))),""))</f>
        <v/>
      </c>
      <c r="V1630" s="64" t="str">
        <f>IF(OR(U1630="",NOT(ISNUMBER(L1630))),"",IF(L1630&lt;=0,"",ROUND(L1630*U1630,2)))</f>
        <v/>
      </c>
      <c r="W1630" s="60" t="str">
        <f>IF(AND(B1630&lt;&gt;"",A1630&lt;&gt;"BS",F1630&lt;&gt;"",H1630&lt;&gt;"",ISNUMBER(K1630),ISNUMBER(L1630)),IF(AND(K1630&gt;0,L1630&gt;0,K1630-L1630&gt;0,COUNTIFS(A1631:A$2005,A1630,F1631:F$2005,F1630,H1631:H$2005,H1630,AA1631:AA$2005,"&gt;0")=0),ROUND(K1630-L1630,6),""),"")</f>
        <v/>
      </c>
      <c r="X1630" s="60" t="str">
        <f>IF(AND(A1630="",C1630="",D1630="",H1630="",L1630=""),"",IF(A1630="","Type manquant",IF(AND(A1630&lt;&gt;"BL",A1630&lt;&gt;"BR",A1630&lt;&gt;"BS"),"Type inconnu (BL, BR ou BS)",IF(AG1630=0,"Date manquante ou invalide",IF(D1630="",IF(A1630="BL","Client manquant",IF(A1630="BR","Fournisseur manquant","Service manquant")),IF(IF(A1630="BL",ISNA(MATCH(D1630,cl_code,0)),IF(A1630="BR",ISNA(MATCH(D1630,fo_code,0)),ISNA(MATCH(D1630,p_services,0)))),IF(A1630="BL","Client inconnu",IF(A1630="BR","Fournisseur inconnu","Service inconnu")),IF(H1630="","Article manquant",IF(ISNA(MATCH(H1630,art_ref,0)),"Article inconnu",IF(OR(NOT(ISNUMBER(L1630)),N(L1630)&lt;=0),"Quantité invalide",IF(AND(K1630&lt;&gt;"",OR(NOT(ISNUMBER(K1630)),N(K1630)&lt;=0)),"Qté commandée invalide",IF(AG1630&lt;SUMPRODUCT(MAX((A$6:A1629=A1630)*AG$6:AG1629)),"Date antérieure au bon précédent",IF(AND(A1630&lt;&gt;"BR",ISNUMBER(M1630),N(M1630)&gt;0),IF(A1630="BL","Livré plus que commandé","Sorti plus que demandé"),"OK"))))))))))))</f>
        <v/>
      </c>
      <c r="Y1630" s="57" t="str">
        <f>IF(AND(OR(A1630="BL",A1630="BR",A1630="BS"),AG1630&gt;0,D1630&lt;&gt;""),A1630&amp;"|"&amp;AG1630&amp;"|"&amp;D1630&amp;"|"&amp;F1630,"")</f>
        <v/>
      </c>
      <c r="Z1630" s="57" t="str">
        <f>IF(Y1630="","",IF(COUNTIF(Y$6:Y1629,Y1630)=0,1,0))</f>
        <v/>
      </c>
      <c r="AA1630" s="57" t="str">
        <f>IF(Y1630="","",IF(Z1630=1,COUNTIFS(A$6:A1630,A1630,Z$6:Z1630,1),INDEX(AA$6:AA1629,MATCH(Y1630,Y$6:Y1629,0))))</f>
        <v/>
      </c>
      <c r="AB1630" s="57" t="str">
        <f>IF(B1630="","",COUNTIF(B$6:B1630,B1630))</f>
        <v/>
      </c>
      <c r="AC1630" s="57" t="str">
        <f>IF(B1630="","",B1630&amp;"#"&amp;AB1630)</f>
        <v/>
      </c>
      <c r="AD1630" s="57" t="str">
        <f>IF(Z1630=1,A1630&amp;AA1630,"")</f>
        <v/>
      </c>
      <c r="AE1630" s="57" t="str">
        <f>IF(B1630="","",YEAR(C1630))</f>
        <v/>
      </c>
      <c r="AF1630" s="57" t="str">
        <f>IF(B1630="","",MONTH(C1630))</f>
        <v/>
      </c>
      <c r="AG1630" s="57">
        <f>IF(ISNUMBER(C1630),C1630,0)</f>
        <v>0.0</v>
      </c>
      <c r="AH1630" s="57" t="str">
        <f>IF(N(W1630)&gt;0,COUNTIF(W$6:W1630,"&gt;0"),"")</f>
        <v/>
      </c>
      <c r="AI1630" s="57" t="str">
        <f>IF(Z1630=1,COUNTIF(Z$6:Z1630,1),"")</f>
        <v/>
      </c>
    </row>
    <row r="1631">
      <c r="A1631" s="54" t="n"/>
      <c r="B1631" s="55" t="str">
        <f>IF(AA1631="","",A1631&amp;"-"&amp;RIGHT("000"&amp;AA1631,4))</f>
        <v/>
      </c>
      <c r="C1631" s="56" t="n"/>
      <c r="D1631" s="54" t="n"/>
      <c r="E1631" s="57" t="str">
        <f>IF(D1631="","",IF(A1631="BL",IFERROR(INDEX(cl_name,MATCH(D1631,cl_code,0))&amp;"","Client inconnu"),IF(A1631="BR",IFERROR(INDEX(fo_name,MATCH(D1631,fo_code,0))&amp;"","Fournisseur inconnu"),IF(A1631="BS",IF(ISNA(MATCH(D1631,p_services,0)),"Service inconnu",D1631&amp;""),""))))</f>
        <v/>
      </c>
      <c r="F1631" s="58" t="n"/>
      <c r="G1631" s="58" t="n"/>
      <c r="H1631" s="59" t="n"/>
      <c r="I1631" s="57" t="str">
        <f>IF(H1631="","",IFERROR(INDEX(art_des,MATCH(H1631,art_ref,0))&amp;"","Article inconnu"))</f>
        <v/>
      </c>
      <c r="J1631" s="60" t="str">
        <f>IF(H1631="","",IFERROR(INDEX(art_unit,MATCH(H1631,art_ref,0))&amp;"",""))</f>
        <v/>
      </c>
      <c r="K1631" s="59" t="n"/>
      <c r="L1631" s="59" t="n"/>
      <c r="M1631" s="61" t="str">
        <f>IF(OR(B1631="",NOT(ISNUMBER(K1631)),NOT(ISNUMBER(L1631))),"",IF(OR(K1631&lt;=0,L1631&lt;=0),"",ROUND(L1631-K1631,6)))</f>
        <v/>
      </c>
      <c r="N1631" s="58" t="n"/>
      <c r="O1631" s="62" t="n"/>
      <c r="P1631" s="63" t="str">
        <f>IF(OR(B1631="",NOT(ISNUMBER(L1631))),"",IF(L1631&lt;=0,"",IFERROR(ROUND(L1631*N(INDEX(art_w,MATCH(H1631,art_ref,0))),3),"")))</f>
        <v/>
      </c>
      <c r="Q1631" s="59" t="n"/>
      <c r="R1631" s="54" t="n"/>
      <c r="S1631" s="59" t="n"/>
      <c r="T1631" s="59" t="n"/>
      <c r="U1631" s="64" t="str">
        <f>IF(OR(B1631="",H1631=""),"",IFERROR(IF(A1631="BL",IF(N(INDEX(art_price,MATCH(H1631,art_ref,0)))=0,"",N(INDEX(art_price,MATCH(H1631,art_ref,0)))),IF(N(INDEX(art_cost,MATCH(H1631,art_ref,0)))=0,"",N(INDEX(art_cost,MATCH(H1631,art_ref,0))))),""))</f>
        <v/>
      </c>
      <c r="V1631" s="64" t="str">
        <f>IF(OR(U1631="",NOT(ISNUMBER(L1631))),"",IF(L1631&lt;=0,"",ROUND(L1631*U1631,2)))</f>
        <v/>
      </c>
      <c r="W1631" s="60" t="str">
        <f>IF(AND(B1631&lt;&gt;"",A1631&lt;&gt;"BS",F1631&lt;&gt;"",H1631&lt;&gt;"",ISNUMBER(K1631),ISNUMBER(L1631)),IF(AND(K1631&gt;0,L1631&gt;0,K1631-L1631&gt;0,COUNTIFS(A1632:A$2005,A1631,F1632:F$2005,F1631,H1632:H$2005,H1631,AA1632:AA$2005,"&gt;0")=0),ROUND(K1631-L1631,6),""),"")</f>
        <v/>
      </c>
      <c r="X1631" s="60" t="str">
        <f>IF(AND(A1631="",C1631="",D1631="",H1631="",L1631=""),"",IF(A1631="","Type manquant",IF(AND(A1631&lt;&gt;"BL",A1631&lt;&gt;"BR",A1631&lt;&gt;"BS"),"Type inconnu (BL, BR ou BS)",IF(AG1631=0,"Date manquante ou invalide",IF(D1631="",IF(A1631="BL","Client manquant",IF(A1631="BR","Fournisseur manquant","Service manquant")),IF(IF(A1631="BL",ISNA(MATCH(D1631,cl_code,0)),IF(A1631="BR",ISNA(MATCH(D1631,fo_code,0)),ISNA(MATCH(D1631,p_services,0)))),IF(A1631="BL","Client inconnu",IF(A1631="BR","Fournisseur inconnu","Service inconnu")),IF(H1631="","Article manquant",IF(ISNA(MATCH(H1631,art_ref,0)),"Article inconnu",IF(OR(NOT(ISNUMBER(L1631)),N(L1631)&lt;=0),"Quantité invalide",IF(AND(K1631&lt;&gt;"",OR(NOT(ISNUMBER(K1631)),N(K1631)&lt;=0)),"Qté commandée invalide",IF(AG1631&lt;SUMPRODUCT(MAX((A$6:A1630=A1631)*AG$6:AG1630)),"Date antérieure au bon précédent",IF(AND(A1631&lt;&gt;"BR",ISNUMBER(M1631),N(M1631)&gt;0),IF(A1631="BL","Livré plus que commandé","Sorti plus que demandé"),"OK"))))))))))))</f>
        <v/>
      </c>
      <c r="Y1631" s="57" t="str">
        <f>IF(AND(OR(A1631="BL",A1631="BR",A1631="BS"),AG1631&gt;0,D1631&lt;&gt;""),A1631&amp;"|"&amp;AG1631&amp;"|"&amp;D1631&amp;"|"&amp;F1631,"")</f>
        <v/>
      </c>
      <c r="Z1631" s="57" t="str">
        <f>IF(Y1631="","",IF(COUNTIF(Y$6:Y1630,Y1631)=0,1,0))</f>
        <v/>
      </c>
      <c r="AA1631" s="57" t="str">
        <f>IF(Y1631="","",IF(Z1631=1,COUNTIFS(A$6:A1631,A1631,Z$6:Z1631,1),INDEX(AA$6:AA1630,MATCH(Y1631,Y$6:Y1630,0))))</f>
        <v/>
      </c>
      <c r="AB1631" s="57" t="str">
        <f>IF(B1631="","",COUNTIF(B$6:B1631,B1631))</f>
        <v/>
      </c>
      <c r="AC1631" s="57" t="str">
        <f>IF(B1631="","",B1631&amp;"#"&amp;AB1631)</f>
        <v/>
      </c>
      <c r="AD1631" s="57" t="str">
        <f>IF(Z1631=1,A1631&amp;AA1631,"")</f>
        <v/>
      </c>
      <c r="AE1631" s="57" t="str">
        <f>IF(B1631="","",YEAR(C1631))</f>
        <v/>
      </c>
      <c r="AF1631" s="57" t="str">
        <f>IF(B1631="","",MONTH(C1631))</f>
        <v/>
      </c>
      <c r="AG1631" s="57">
        <f>IF(ISNUMBER(C1631),C1631,0)</f>
        <v>0.0</v>
      </c>
      <c r="AH1631" s="57" t="str">
        <f>IF(N(W1631)&gt;0,COUNTIF(W$6:W1631,"&gt;0"),"")</f>
        <v/>
      </c>
      <c r="AI1631" s="57" t="str">
        <f>IF(Z1631=1,COUNTIF(Z$6:Z1631,1),"")</f>
        <v/>
      </c>
    </row>
    <row r="1632">
      <c r="A1632" s="54" t="n"/>
      <c r="B1632" s="55" t="str">
        <f>IF(AA1632="","",A1632&amp;"-"&amp;RIGHT("000"&amp;AA1632,4))</f>
        <v/>
      </c>
      <c r="C1632" s="56" t="n"/>
      <c r="D1632" s="54" t="n"/>
      <c r="E1632" s="57" t="str">
        <f>IF(D1632="","",IF(A1632="BL",IFERROR(INDEX(cl_name,MATCH(D1632,cl_code,0))&amp;"","Client inconnu"),IF(A1632="BR",IFERROR(INDEX(fo_name,MATCH(D1632,fo_code,0))&amp;"","Fournisseur inconnu"),IF(A1632="BS",IF(ISNA(MATCH(D1632,p_services,0)),"Service inconnu",D1632&amp;""),""))))</f>
        <v/>
      </c>
      <c r="F1632" s="58" t="n"/>
      <c r="G1632" s="58" t="n"/>
      <c r="H1632" s="59" t="n"/>
      <c r="I1632" s="57" t="str">
        <f>IF(H1632="","",IFERROR(INDEX(art_des,MATCH(H1632,art_ref,0))&amp;"","Article inconnu"))</f>
        <v/>
      </c>
      <c r="J1632" s="60" t="str">
        <f>IF(H1632="","",IFERROR(INDEX(art_unit,MATCH(H1632,art_ref,0))&amp;"",""))</f>
        <v/>
      </c>
      <c r="K1632" s="59" t="n"/>
      <c r="L1632" s="59" t="n"/>
      <c r="M1632" s="61" t="str">
        <f>IF(OR(B1632="",NOT(ISNUMBER(K1632)),NOT(ISNUMBER(L1632))),"",IF(OR(K1632&lt;=0,L1632&lt;=0),"",ROUND(L1632-K1632,6)))</f>
        <v/>
      </c>
      <c r="N1632" s="58" t="n"/>
      <c r="O1632" s="62" t="n"/>
      <c r="P1632" s="63" t="str">
        <f>IF(OR(B1632="",NOT(ISNUMBER(L1632))),"",IF(L1632&lt;=0,"",IFERROR(ROUND(L1632*N(INDEX(art_w,MATCH(H1632,art_ref,0))),3),"")))</f>
        <v/>
      </c>
      <c r="Q1632" s="59" t="n"/>
      <c r="R1632" s="54" t="n"/>
      <c r="S1632" s="59" t="n"/>
      <c r="T1632" s="59" t="n"/>
      <c r="U1632" s="64" t="str">
        <f>IF(OR(B1632="",H1632=""),"",IFERROR(IF(A1632="BL",IF(N(INDEX(art_price,MATCH(H1632,art_ref,0)))=0,"",N(INDEX(art_price,MATCH(H1632,art_ref,0)))),IF(N(INDEX(art_cost,MATCH(H1632,art_ref,0)))=0,"",N(INDEX(art_cost,MATCH(H1632,art_ref,0))))),""))</f>
        <v/>
      </c>
      <c r="V1632" s="64" t="str">
        <f>IF(OR(U1632="",NOT(ISNUMBER(L1632))),"",IF(L1632&lt;=0,"",ROUND(L1632*U1632,2)))</f>
        <v/>
      </c>
      <c r="W1632" s="60" t="str">
        <f>IF(AND(B1632&lt;&gt;"",A1632&lt;&gt;"BS",F1632&lt;&gt;"",H1632&lt;&gt;"",ISNUMBER(K1632),ISNUMBER(L1632)),IF(AND(K1632&gt;0,L1632&gt;0,K1632-L1632&gt;0,COUNTIFS(A1633:A$2005,A1632,F1633:F$2005,F1632,H1633:H$2005,H1632,AA1633:AA$2005,"&gt;0")=0),ROUND(K1632-L1632,6),""),"")</f>
        <v/>
      </c>
      <c r="X1632" s="60" t="str">
        <f>IF(AND(A1632="",C1632="",D1632="",H1632="",L1632=""),"",IF(A1632="","Type manquant",IF(AND(A1632&lt;&gt;"BL",A1632&lt;&gt;"BR",A1632&lt;&gt;"BS"),"Type inconnu (BL, BR ou BS)",IF(AG1632=0,"Date manquante ou invalide",IF(D1632="",IF(A1632="BL","Client manquant",IF(A1632="BR","Fournisseur manquant","Service manquant")),IF(IF(A1632="BL",ISNA(MATCH(D1632,cl_code,0)),IF(A1632="BR",ISNA(MATCH(D1632,fo_code,0)),ISNA(MATCH(D1632,p_services,0)))),IF(A1632="BL","Client inconnu",IF(A1632="BR","Fournisseur inconnu","Service inconnu")),IF(H1632="","Article manquant",IF(ISNA(MATCH(H1632,art_ref,0)),"Article inconnu",IF(OR(NOT(ISNUMBER(L1632)),N(L1632)&lt;=0),"Quantité invalide",IF(AND(K1632&lt;&gt;"",OR(NOT(ISNUMBER(K1632)),N(K1632)&lt;=0)),"Qté commandée invalide",IF(AG1632&lt;SUMPRODUCT(MAX((A$6:A1631=A1632)*AG$6:AG1631)),"Date antérieure au bon précédent",IF(AND(A1632&lt;&gt;"BR",ISNUMBER(M1632),N(M1632)&gt;0),IF(A1632="BL","Livré plus que commandé","Sorti plus que demandé"),"OK"))))))))))))</f>
        <v/>
      </c>
      <c r="Y1632" s="57" t="str">
        <f>IF(AND(OR(A1632="BL",A1632="BR",A1632="BS"),AG1632&gt;0,D1632&lt;&gt;""),A1632&amp;"|"&amp;AG1632&amp;"|"&amp;D1632&amp;"|"&amp;F1632,"")</f>
        <v/>
      </c>
      <c r="Z1632" s="57" t="str">
        <f>IF(Y1632="","",IF(COUNTIF(Y$6:Y1631,Y1632)=0,1,0))</f>
        <v/>
      </c>
      <c r="AA1632" s="57" t="str">
        <f>IF(Y1632="","",IF(Z1632=1,COUNTIFS(A$6:A1632,A1632,Z$6:Z1632,1),INDEX(AA$6:AA1631,MATCH(Y1632,Y$6:Y1631,0))))</f>
        <v/>
      </c>
      <c r="AB1632" s="57" t="str">
        <f>IF(B1632="","",COUNTIF(B$6:B1632,B1632))</f>
        <v/>
      </c>
      <c r="AC1632" s="57" t="str">
        <f>IF(B1632="","",B1632&amp;"#"&amp;AB1632)</f>
        <v/>
      </c>
      <c r="AD1632" s="57" t="str">
        <f>IF(Z1632=1,A1632&amp;AA1632,"")</f>
        <v/>
      </c>
      <c r="AE1632" s="57" t="str">
        <f>IF(B1632="","",YEAR(C1632))</f>
        <v/>
      </c>
      <c r="AF1632" s="57" t="str">
        <f>IF(B1632="","",MONTH(C1632))</f>
        <v/>
      </c>
      <c r="AG1632" s="57">
        <f>IF(ISNUMBER(C1632),C1632,0)</f>
        <v>0.0</v>
      </c>
      <c r="AH1632" s="57" t="str">
        <f>IF(N(W1632)&gt;0,COUNTIF(W$6:W1632,"&gt;0"),"")</f>
        <v/>
      </c>
      <c r="AI1632" s="57" t="str">
        <f>IF(Z1632=1,COUNTIF(Z$6:Z1632,1),"")</f>
        <v/>
      </c>
    </row>
    <row r="1633">
      <c r="A1633" s="54" t="n"/>
      <c r="B1633" s="55" t="str">
        <f>IF(AA1633="","",A1633&amp;"-"&amp;RIGHT("000"&amp;AA1633,4))</f>
        <v/>
      </c>
      <c r="C1633" s="56" t="n"/>
      <c r="D1633" s="54" t="n"/>
      <c r="E1633" s="57" t="str">
        <f>IF(D1633="","",IF(A1633="BL",IFERROR(INDEX(cl_name,MATCH(D1633,cl_code,0))&amp;"","Client inconnu"),IF(A1633="BR",IFERROR(INDEX(fo_name,MATCH(D1633,fo_code,0))&amp;"","Fournisseur inconnu"),IF(A1633="BS",IF(ISNA(MATCH(D1633,p_services,0)),"Service inconnu",D1633&amp;""),""))))</f>
        <v/>
      </c>
      <c r="F1633" s="58" t="n"/>
      <c r="G1633" s="58" t="n"/>
      <c r="H1633" s="59" t="n"/>
      <c r="I1633" s="57" t="str">
        <f>IF(H1633="","",IFERROR(INDEX(art_des,MATCH(H1633,art_ref,0))&amp;"","Article inconnu"))</f>
        <v/>
      </c>
      <c r="J1633" s="60" t="str">
        <f>IF(H1633="","",IFERROR(INDEX(art_unit,MATCH(H1633,art_ref,0))&amp;"",""))</f>
        <v/>
      </c>
      <c r="K1633" s="59" t="n"/>
      <c r="L1633" s="59" t="n"/>
      <c r="M1633" s="61" t="str">
        <f>IF(OR(B1633="",NOT(ISNUMBER(K1633)),NOT(ISNUMBER(L1633))),"",IF(OR(K1633&lt;=0,L1633&lt;=0),"",ROUND(L1633-K1633,6)))</f>
        <v/>
      </c>
      <c r="N1633" s="58" t="n"/>
      <c r="O1633" s="62" t="n"/>
      <c r="P1633" s="63" t="str">
        <f>IF(OR(B1633="",NOT(ISNUMBER(L1633))),"",IF(L1633&lt;=0,"",IFERROR(ROUND(L1633*N(INDEX(art_w,MATCH(H1633,art_ref,0))),3),"")))</f>
        <v/>
      </c>
      <c r="Q1633" s="59" t="n"/>
      <c r="R1633" s="54" t="n"/>
      <c r="S1633" s="59" t="n"/>
      <c r="T1633" s="59" t="n"/>
      <c r="U1633" s="64" t="str">
        <f>IF(OR(B1633="",H1633=""),"",IFERROR(IF(A1633="BL",IF(N(INDEX(art_price,MATCH(H1633,art_ref,0)))=0,"",N(INDEX(art_price,MATCH(H1633,art_ref,0)))),IF(N(INDEX(art_cost,MATCH(H1633,art_ref,0)))=0,"",N(INDEX(art_cost,MATCH(H1633,art_ref,0))))),""))</f>
        <v/>
      </c>
      <c r="V1633" s="64" t="str">
        <f>IF(OR(U1633="",NOT(ISNUMBER(L1633))),"",IF(L1633&lt;=0,"",ROUND(L1633*U1633,2)))</f>
        <v/>
      </c>
      <c r="W1633" s="60" t="str">
        <f>IF(AND(B1633&lt;&gt;"",A1633&lt;&gt;"BS",F1633&lt;&gt;"",H1633&lt;&gt;"",ISNUMBER(K1633),ISNUMBER(L1633)),IF(AND(K1633&gt;0,L1633&gt;0,K1633-L1633&gt;0,COUNTIFS(A1634:A$2005,A1633,F1634:F$2005,F1633,H1634:H$2005,H1633,AA1634:AA$2005,"&gt;0")=0),ROUND(K1633-L1633,6),""),"")</f>
        <v/>
      </c>
      <c r="X1633" s="60" t="str">
        <f>IF(AND(A1633="",C1633="",D1633="",H1633="",L1633=""),"",IF(A1633="","Type manquant",IF(AND(A1633&lt;&gt;"BL",A1633&lt;&gt;"BR",A1633&lt;&gt;"BS"),"Type inconnu (BL, BR ou BS)",IF(AG1633=0,"Date manquante ou invalide",IF(D1633="",IF(A1633="BL","Client manquant",IF(A1633="BR","Fournisseur manquant","Service manquant")),IF(IF(A1633="BL",ISNA(MATCH(D1633,cl_code,0)),IF(A1633="BR",ISNA(MATCH(D1633,fo_code,0)),ISNA(MATCH(D1633,p_services,0)))),IF(A1633="BL","Client inconnu",IF(A1633="BR","Fournisseur inconnu","Service inconnu")),IF(H1633="","Article manquant",IF(ISNA(MATCH(H1633,art_ref,0)),"Article inconnu",IF(OR(NOT(ISNUMBER(L1633)),N(L1633)&lt;=0),"Quantité invalide",IF(AND(K1633&lt;&gt;"",OR(NOT(ISNUMBER(K1633)),N(K1633)&lt;=0)),"Qté commandée invalide",IF(AG1633&lt;SUMPRODUCT(MAX((A$6:A1632=A1633)*AG$6:AG1632)),"Date antérieure au bon précédent",IF(AND(A1633&lt;&gt;"BR",ISNUMBER(M1633),N(M1633)&gt;0),IF(A1633="BL","Livré plus que commandé","Sorti plus que demandé"),"OK"))))))))))))</f>
        <v/>
      </c>
      <c r="Y1633" s="57" t="str">
        <f>IF(AND(OR(A1633="BL",A1633="BR",A1633="BS"),AG1633&gt;0,D1633&lt;&gt;""),A1633&amp;"|"&amp;AG1633&amp;"|"&amp;D1633&amp;"|"&amp;F1633,"")</f>
        <v/>
      </c>
      <c r="Z1633" s="57" t="str">
        <f>IF(Y1633="","",IF(COUNTIF(Y$6:Y1632,Y1633)=0,1,0))</f>
        <v/>
      </c>
      <c r="AA1633" s="57" t="str">
        <f>IF(Y1633="","",IF(Z1633=1,COUNTIFS(A$6:A1633,A1633,Z$6:Z1633,1),INDEX(AA$6:AA1632,MATCH(Y1633,Y$6:Y1632,0))))</f>
        <v/>
      </c>
      <c r="AB1633" s="57" t="str">
        <f>IF(B1633="","",COUNTIF(B$6:B1633,B1633))</f>
        <v/>
      </c>
      <c r="AC1633" s="57" t="str">
        <f>IF(B1633="","",B1633&amp;"#"&amp;AB1633)</f>
        <v/>
      </c>
      <c r="AD1633" s="57" t="str">
        <f>IF(Z1633=1,A1633&amp;AA1633,"")</f>
        <v/>
      </c>
      <c r="AE1633" s="57" t="str">
        <f>IF(B1633="","",YEAR(C1633))</f>
        <v/>
      </c>
      <c r="AF1633" s="57" t="str">
        <f>IF(B1633="","",MONTH(C1633))</f>
        <v/>
      </c>
      <c r="AG1633" s="57">
        <f>IF(ISNUMBER(C1633),C1633,0)</f>
        <v>0.0</v>
      </c>
      <c r="AH1633" s="57" t="str">
        <f>IF(N(W1633)&gt;0,COUNTIF(W$6:W1633,"&gt;0"),"")</f>
        <v/>
      </c>
      <c r="AI1633" s="57" t="str">
        <f>IF(Z1633=1,COUNTIF(Z$6:Z1633,1),"")</f>
        <v/>
      </c>
    </row>
    <row r="1634">
      <c r="A1634" s="54" t="n"/>
      <c r="B1634" s="55" t="str">
        <f>IF(AA1634="","",A1634&amp;"-"&amp;RIGHT("000"&amp;AA1634,4))</f>
        <v/>
      </c>
      <c r="C1634" s="56" t="n"/>
      <c r="D1634" s="54" t="n"/>
      <c r="E1634" s="57" t="str">
        <f>IF(D1634="","",IF(A1634="BL",IFERROR(INDEX(cl_name,MATCH(D1634,cl_code,0))&amp;"","Client inconnu"),IF(A1634="BR",IFERROR(INDEX(fo_name,MATCH(D1634,fo_code,0))&amp;"","Fournisseur inconnu"),IF(A1634="BS",IF(ISNA(MATCH(D1634,p_services,0)),"Service inconnu",D1634&amp;""),""))))</f>
        <v/>
      </c>
      <c r="F1634" s="58" t="n"/>
      <c r="G1634" s="58" t="n"/>
      <c r="H1634" s="59" t="n"/>
      <c r="I1634" s="57" t="str">
        <f>IF(H1634="","",IFERROR(INDEX(art_des,MATCH(H1634,art_ref,0))&amp;"","Article inconnu"))</f>
        <v/>
      </c>
      <c r="J1634" s="60" t="str">
        <f>IF(H1634="","",IFERROR(INDEX(art_unit,MATCH(H1634,art_ref,0))&amp;"",""))</f>
        <v/>
      </c>
      <c r="K1634" s="59" t="n"/>
      <c r="L1634" s="59" t="n"/>
      <c r="M1634" s="61" t="str">
        <f>IF(OR(B1634="",NOT(ISNUMBER(K1634)),NOT(ISNUMBER(L1634))),"",IF(OR(K1634&lt;=0,L1634&lt;=0),"",ROUND(L1634-K1634,6)))</f>
        <v/>
      </c>
      <c r="N1634" s="58" t="n"/>
      <c r="O1634" s="62" t="n"/>
      <c r="P1634" s="63" t="str">
        <f>IF(OR(B1634="",NOT(ISNUMBER(L1634))),"",IF(L1634&lt;=0,"",IFERROR(ROUND(L1634*N(INDEX(art_w,MATCH(H1634,art_ref,0))),3),"")))</f>
        <v/>
      </c>
      <c r="Q1634" s="59" t="n"/>
      <c r="R1634" s="54" t="n"/>
      <c r="S1634" s="59" t="n"/>
      <c r="T1634" s="59" t="n"/>
      <c r="U1634" s="64" t="str">
        <f>IF(OR(B1634="",H1634=""),"",IFERROR(IF(A1634="BL",IF(N(INDEX(art_price,MATCH(H1634,art_ref,0)))=0,"",N(INDEX(art_price,MATCH(H1634,art_ref,0)))),IF(N(INDEX(art_cost,MATCH(H1634,art_ref,0)))=0,"",N(INDEX(art_cost,MATCH(H1634,art_ref,0))))),""))</f>
        <v/>
      </c>
      <c r="V1634" s="64" t="str">
        <f>IF(OR(U1634="",NOT(ISNUMBER(L1634))),"",IF(L1634&lt;=0,"",ROUND(L1634*U1634,2)))</f>
        <v/>
      </c>
      <c r="W1634" s="60" t="str">
        <f>IF(AND(B1634&lt;&gt;"",A1634&lt;&gt;"BS",F1634&lt;&gt;"",H1634&lt;&gt;"",ISNUMBER(K1634),ISNUMBER(L1634)),IF(AND(K1634&gt;0,L1634&gt;0,K1634-L1634&gt;0,COUNTIFS(A1635:A$2005,A1634,F1635:F$2005,F1634,H1635:H$2005,H1634,AA1635:AA$2005,"&gt;0")=0),ROUND(K1634-L1634,6),""),"")</f>
        <v/>
      </c>
      <c r="X1634" s="60" t="str">
        <f>IF(AND(A1634="",C1634="",D1634="",H1634="",L1634=""),"",IF(A1634="","Type manquant",IF(AND(A1634&lt;&gt;"BL",A1634&lt;&gt;"BR",A1634&lt;&gt;"BS"),"Type inconnu (BL, BR ou BS)",IF(AG1634=0,"Date manquante ou invalide",IF(D1634="",IF(A1634="BL","Client manquant",IF(A1634="BR","Fournisseur manquant","Service manquant")),IF(IF(A1634="BL",ISNA(MATCH(D1634,cl_code,0)),IF(A1634="BR",ISNA(MATCH(D1634,fo_code,0)),ISNA(MATCH(D1634,p_services,0)))),IF(A1634="BL","Client inconnu",IF(A1634="BR","Fournisseur inconnu","Service inconnu")),IF(H1634="","Article manquant",IF(ISNA(MATCH(H1634,art_ref,0)),"Article inconnu",IF(OR(NOT(ISNUMBER(L1634)),N(L1634)&lt;=0),"Quantité invalide",IF(AND(K1634&lt;&gt;"",OR(NOT(ISNUMBER(K1634)),N(K1634)&lt;=0)),"Qté commandée invalide",IF(AG1634&lt;SUMPRODUCT(MAX((A$6:A1633=A1634)*AG$6:AG1633)),"Date antérieure au bon précédent",IF(AND(A1634&lt;&gt;"BR",ISNUMBER(M1634),N(M1634)&gt;0),IF(A1634="BL","Livré plus que commandé","Sorti plus que demandé"),"OK"))))))))))))</f>
        <v/>
      </c>
      <c r="Y1634" s="57" t="str">
        <f>IF(AND(OR(A1634="BL",A1634="BR",A1634="BS"),AG1634&gt;0,D1634&lt;&gt;""),A1634&amp;"|"&amp;AG1634&amp;"|"&amp;D1634&amp;"|"&amp;F1634,"")</f>
        <v/>
      </c>
      <c r="Z1634" s="57" t="str">
        <f>IF(Y1634="","",IF(COUNTIF(Y$6:Y1633,Y1634)=0,1,0))</f>
        <v/>
      </c>
      <c r="AA1634" s="57" t="str">
        <f>IF(Y1634="","",IF(Z1634=1,COUNTIFS(A$6:A1634,A1634,Z$6:Z1634,1),INDEX(AA$6:AA1633,MATCH(Y1634,Y$6:Y1633,0))))</f>
        <v/>
      </c>
      <c r="AB1634" s="57" t="str">
        <f>IF(B1634="","",COUNTIF(B$6:B1634,B1634))</f>
        <v/>
      </c>
      <c r="AC1634" s="57" t="str">
        <f>IF(B1634="","",B1634&amp;"#"&amp;AB1634)</f>
        <v/>
      </c>
      <c r="AD1634" s="57" t="str">
        <f>IF(Z1634=1,A1634&amp;AA1634,"")</f>
        <v/>
      </c>
      <c r="AE1634" s="57" t="str">
        <f>IF(B1634="","",YEAR(C1634))</f>
        <v/>
      </c>
      <c r="AF1634" s="57" t="str">
        <f>IF(B1634="","",MONTH(C1634))</f>
        <v/>
      </c>
      <c r="AG1634" s="57">
        <f>IF(ISNUMBER(C1634),C1634,0)</f>
        <v>0.0</v>
      </c>
      <c r="AH1634" s="57" t="str">
        <f>IF(N(W1634)&gt;0,COUNTIF(W$6:W1634,"&gt;0"),"")</f>
        <v/>
      </c>
      <c r="AI1634" s="57" t="str">
        <f>IF(Z1634=1,COUNTIF(Z$6:Z1634,1),"")</f>
        <v/>
      </c>
    </row>
    <row r="1635">
      <c r="A1635" s="54" t="n"/>
      <c r="B1635" s="55" t="str">
        <f>IF(AA1635="","",A1635&amp;"-"&amp;RIGHT("000"&amp;AA1635,4))</f>
        <v/>
      </c>
      <c r="C1635" s="56" t="n"/>
      <c r="D1635" s="54" t="n"/>
      <c r="E1635" s="57" t="str">
        <f>IF(D1635="","",IF(A1635="BL",IFERROR(INDEX(cl_name,MATCH(D1635,cl_code,0))&amp;"","Client inconnu"),IF(A1635="BR",IFERROR(INDEX(fo_name,MATCH(D1635,fo_code,0))&amp;"","Fournisseur inconnu"),IF(A1635="BS",IF(ISNA(MATCH(D1635,p_services,0)),"Service inconnu",D1635&amp;""),""))))</f>
        <v/>
      </c>
      <c r="F1635" s="58" t="n"/>
      <c r="G1635" s="58" t="n"/>
      <c r="H1635" s="59" t="n"/>
      <c r="I1635" s="57" t="str">
        <f>IF(H1635="","",IFERROR(INDEX(art_des,MATCH(H1635,art_ref,0))&amp;"","Article inconnu"))</f>
        <v/>
      </c>
      <c r="J1635" s="60" t="str">
        <f>IF(H1635="","",IFERROR(INDEX(art_unit,MATCH(H1635,art_ref,0))&amp;"",""))</f>
        <v/>
      </c>
      <c r="K1635" s="59" t="n"/>
      <c r="L1635" s="59" t="n"/>
      <c r="M1635" s="61" t="str">
        <f>IF(OR(B1635="",NOT(ISNUMBER(K1635)),NOT(ISNUMBER(L1635))),"",IF(OR(K1635&lt;=0,L1635&lt;=0),"",ROUND(L1635-K1635,6)))</f>
        <v/>
      </c>
      <c r="N1635" s="58" t="n"/>
      <c r="O1635" s="62" t="n"/>
      <c r="P1635" s="63" t="str">
        <f>IF(OR(B1635="",NOT(ISNUMBER(L1635))),"",IF(L1635&lt;=0,"",IFERROR(ROUND(L1635*N(INDEX(art_w,MATCH(H1635,art_ref,0))),3),"")))</f>
        <v/>
      </c>
      <c r="Q1635" s="59" t="n"/>
      <c r="R1635" s="54" t="n"/>
      <c r="S1635" s="59" t="n"/>
      <c r="T1635" s="59" t="n"/>
      <c r="U1635" s="64" t="str">
        <f>IF(OR(B1635="",H1635=""),"",IFERROR(IF(A1635="BL",IF(N(INDEX(art_price,MATCH(H1635,art_ref,0)))=0,"",N(INDEX(art_price,MATCH(H1635,art_ref,0)))),IF(N(INDEX(art_cost,MATCH(H1635,art_ref,0)))=0,"",N(INDEX(art_cost,MATCH(H1635,art_ref,0))))),""))</f>
        <v/>
      </c>
      <c r="V1635" s="64" t="str">
        <f>IF(OR(U1635="",NOT(ISNUMBER(L1635))),"",IF(L1635&lt;=0,"",ROUND(L1635*U1635,2)))</f>
        <v/>
      </c>
      <c r="W1635" s="60" t="str">
        <f>IF(AND(B1635&lt;&gt;"",A1635&lt;&gt;"BS",F1635&lt;&gt;"",H1635&lt;&gt;"",ISNUMBER(K1635),ISNUMBER(L1635)),IF(AND(K1635&gt;0,L1635&gt;0,K1635-L1635&gt;0,COUNTIFS(A1636:A$2005,A1635,F1636:F$2005,F1635,H1636:H$2005,H1635,AA1636:AA$2005,"&gt;0")=0),ROUND(K1635-L1635,6),""),"")</f>
        <v/>
      </c>
      <c r="X1635" s="60" t="str">
        <f>IF(AND(A1635="",C1635="",D1635="",H1635="",L1635=""),"",IF(A1635="","Type manquant",IF(AND(A1635&lt;&gt;"BL",A1635&lt;&gt;"BR",A1635&lt;&gt;"BS"),"Type inconnu (BL, BR ou BS)",IF(AG1635=0,"Date manquante ou invalide",IF(D1635="",IF(A1635="BL","Client manquant",IF(A1635="BR","Fournisseur manquant","Service manquant")),IF(IF(A1635="BL",ISNA(MATCH(D1635,cl_code,0)),IF(A1635="BR",ISNA(MATCH(D1635,fo_code,0)),ISNA(MATCH(D1635,p_services,0)))),IF(A1635="BL","Client inconnu",IF(A1635="BR","Fournisseur inconnu","Service inconnu")),IF(H1635="","Article manquant",IF(ISNA(MATCH(H1635,art_ref,0)),"Article inconnu",IF(OR(NOT(ISNUMBER(L1635)),N(L1635)&lt;=0),"Quantité invalide",IF(AND(K1635&lt;&gt;"",OR(NOT(ISNUMBER(K1635)),N(K1635)&lt;=0)),"Qté commandée invalide",IF(AG1635&lt;SUMPRODUCT(MAX((A$6:A1634=A1635)*AG$6:AG1634)),"Date antérieure au bon précédent",IF(AND(A1635&lt;&gt;"BR",ISNUMBER(M1635),N(M1635)&gt;0),IF(A1635="BL","Livré plus que commandé","Sorti plus que demandé"),"OK"))))))))))))</f>
        <v/>
      </c>
      <c r="Y1635" s="57" t="str">
        <f>IF(AND(OR(A1635="BL",A1635="BR",A1635="BS"),AG1635&gt;0,D1635&lt;&gt;""),A1635&amp;"|"&amp;AG1635&amp;"|"&amp;D1635&amp;"|"&amp;F1635,"")</f>
        <v/>
      </c>
      <c r="Z1635" s="57" t="str">
        <f>IF(Y1635="","",IF(COUNTIF(Y$6:Y1634,Y1635)=0,1,0))</f>
        <v/>
      </c>
      <c r="AA1635" s="57" t="str">
        <f>IF(Y1635="","",IF(Z1635=1,COUNTIFS(A$6:A1635,A1635,Z$6:Z1635,1),INDEX(AA$6:AA1634,MATCH(Y1635,Y$6:Y1634,0))))</f>
        <v/>
      </c>
      <c r="AB1635" s="57" t="str">
        <f>IF(B1635="","",COUNTIF(B$6:B1635,B1635))</f>
        <v/>
      </c>
      <c r="AC1635" s="57" t="str">
        <f>IF(B1635="","",B1635&amp;"#"&amp;AB1635)</f>
        <v/>
      </c>
      <c r="AD1635" s="57" t="str">
        <f>IF(Z1635=1,A1635&amp;AA1635,"")</f>
        <v/>
      </c>
      <c r="AE1635" s="57" t="str">
        <f>IF(B1635="","",YEAR(C1635))</f>
        <v/>
      </c>
      <c r="AF1635" s="57" t="str">
        <f>IF(B1635="","",MONTH(C1635))</f>
        <v/>
      </c>
      <c r="AG1635" s="57">
        <f>IF(ISNUMBER(C1635),C1635,0)</f>
        <v>0.0</v>
      </c>
      <c r="AH1635" s="57" t="str">
        <f>IF(N(W1635)&gt;0,COUNTIF(W$6:W1635,"&gt;0"),"")</f>
        <v/>
      </c>
      <c r="AI1635" s="57" t="str">
        <f>IF(Z1635=1,COUNTIF(Z$6:Z1635,1),"")</f>
        <v/>
      </c>
    </row>
    <row r="1636">
      <c r="A1636" s="54" t="n"/>
      <c r="B1636" s="55" t="str">
        <f>IF(AA1636="","",A1636&amp;"-"&amp;RIGHT("000"&amp;AA1636,4))</f>
        <v/>
      </c>
      <c r="C1636" s="56" t="n"/>
      <c r="D1636" s="54" t="n"/>
      <c r="E1636" s="57" t="str">
        <f>IF(D1636="","",IF(A1636="BL",IFERROR(INDEX(cl_name,MATCH(D1636,cl_code,0))&amp;"","Client inconnu"),IF(A1636="BR",IFERROR(INDEX(fo_name,MATCH(D1636,fo_code,0))&amp;"","Fournisseur inconnu"),IF(A1636="BS",IF(ISNA(MATCH(D1636,p_services,0)),"Service inconnu",D1636&amp;""),""))))</f>
        <v/>
      </c>
      <c r="F1636" s="58" t="n"/>
      <c r="G1636" s="58" t="n"/>
      <c r="H1636" s="59" t="n"/>
      <c r="I1636" s="57" t="str">
        <f>IF(H1636="","",IFERROR(INDEX(art_des,MATCH(H1636,art_ref,0))&amp;"","Article inconnu"))</f>
        <v/>
      </c>
      <c r="J1636" s="60" t="str">
        <f>IF(H1636="","",IFERROR(INDEX(art_unit,MATCH(H1636,art_ref,0))&amp;"",""))</f>
        <v/>
      </c>
      <c r="K1636" s="59" t="n"/>
      <c r="L1636" s="59" t="n"/>
      <c r="M1636" s="61" t="str">
        <f>IF(OR(B1636="",NOT(ISNUMBER(K1636)),NOT(ISNUMBER(L1636))),"",IF(OR(K1636&lt;=0,L1636&lt;=0),"",ROUND(L1636-K1636,6)))</f>
        <v/>
      </c>
      <c r="N1636" s="58" t="n"/>
      <c r="O1636" s="62" t="n"/>
      <c r="P1636" s="63" t="str">
        <f>IF(OR(B1636="",NOT(ISNUMBER(L1636))),"",IF(L1636&lt;=0,"",IFERROR(ROUND(L1636*N(INDEX(art_w,MATCH(H1636,art_ref,0))),3),"")))</f>
        <v/>
      </c>
      <c r="Q1636" s="59" t="n"/>
      <c r="R1636" s="54" t="n"/>
      <c r="S1636" s="59" t="n"/>
      <c r="T1636" s="59" t="n"/>
      <c r="U1636" s="64" t="str">
        <f>IF(OR(B1636="",H1636=""),"",IFERROR(IF(A1636="BL",IF(N(INDEX(art_price,MATCH(H1636,art_ref,0)))=0,"",N(INDEX(art_price,MATCH(H1636,art_ref,0)))),IF(N(INDEX(art_cost,MATCH(H1636,art_ref,0)))=0,"",N(INDEX(art_cost,MATCH(H1636,art_ref,0))))),""))</f>
        <v/>
      </c>
      <c r="V1636" s="64" t="str">
        <f>IF(OR(U1636="",NOT(ISNUMBER(L1636))),"",IF(L1636&lt;=0,"",ROUND(L1636*U1636,2)))</f>
        <v/>
      </c>
      <c r="W1636" s="60" t="str">
        <f>IF(AND(B1636&lt;&gt;"",A1636&lt;&gt;"BS",F1636&lt;&gt;"",H1636&lt;&gt;"",ISNUMBER(K1636),ISNUMBER(L1636)),IF(AND(K1636&gt;0,L1636&gt;0,K1636-L1636&gt;0,COUNTIFS(A1637:A$2005,A1636,F1637:F$2005,F1636,H1637:H$2005,H1636,AA1637:AA$2005,"&gt;0")=0),ROUND(K1636-L1636,6),""),"")</f>
        <v/>
      </c>
      <c r="X1636" s="60" t="str">
        <f>IF(AND(A1636="",C1636="",D1636="",H1636="",L1636=""),"",IF(A1636="","Type manquant",IF(AND(A1636&lt;&gt;"BL",A1636&lt;&gt;"BR",A1636&lt;&gt;"BS"),"Type inconnu (BL, BR ou BS)",IF(AG1636=0,"Date manquante ou invalide",IF(D1636="",IF(A1636="BL","Client manquant",IF(A1636="BR","Fournisseur manquant","Service manquant")),IF(IF(A1636="BL",ISNA(MATCH(D1636,cl_code,0)),IF(A1636="BR",ISNA(MATCH(D1636,fo_code,0)),ISNA(MATCH(D1636,p_services,0)))),IF(A1636="BL","Client inconnu",IF(A1636="BR","Fournisseur inconnu","Service inconnu")),IF(H1636="","Article manquant",IF(ISNA(MATCH(H1636,art_ref,0)),"Article inconnu",IF(OR(NOT(ISNUMBER(L1636)),N(L1636)&lt;=0),"Quantité invalide",IF(AND(K1636&lt;&gt;"",OR(NOT(ISNUMBER(K1636)),N(K1636)&lt;=0)),"Qté commandée invalide",IF(AG1636&lt;SUMPRODUCT(MAX((A$6:A1635=A1636)*AG$6:AG1635)),"Date antérieure au bon précédent",IF(AND(A1636&lt;&gt;"BR",ISNUMBER(M1636),N(M1636)&gt;0),IF(A1636="BL","Livré plus que commandé","Sorti plus que demandé"),"OK"))))))))))))</f>
        <v/>
      </c>
      <c r="Y1636" s="57" t="str">
        <f>IF(AND(OR(A1636="BL",A1636="BR",A1636="BS"),AG1636&gt;0,D1636&lt;&gt;""),A1636&amp;"|"&amp;AG1636&amp;"|"&amp;D1636&amp;"|"&amp;F1636,"")</f>
        <v/>
      </c>
      <c r="Z1636" s="57" t="str">
        <f>IF(Y1636="","",IF(COUNTIF(Y$6:Y1635,Y1636)=0,1,0))</f>
        <v/>
      </c>
      <c r="AA1636" s="57" t="str">
        <f>IF(Y1636="","",IF(Z1636=1,COUNTIFS(A$6:A1636,A1636,Z$6:Z1636,1),INDEX(AA$6:AA1635,MATCH(Y1636,Y$6:Y1635,0))))</f>
        <v/>
      </c>
      <c r="AB1636" s="57" t="str">
        <f>IF(B1636="","",COUNTIF(B$6:B1636,B1636))</f>
        <v/>
      </c>
      <c r="AC1636" s="57" t="str">
        <f>IF(B1636="","",B1636&amp;"#"&amp;AB1636)</f>
        <v/>
      </c>
      <c r="AD1636" s="57" t="str">
        <f>IF(Z1636=1,A1636&amp;AA1636,"")</f>
        <v/>
      </c>
      <c r="AE1636" s="57" t="str">
        <f>IF(B1636="","",YEAR(C1636))</f>
        <v/>
      </c>
      <c r="AF1636" s="57" t="str">
        <f>IF(B1636="","",MONTH(C1636))</f>
        <v/>
      </c>
      <c r="AG1636" s="57">
        <f>IF(ISNUMBER(C1636),C1636,0)</f>
        <v>0.0</v>
      </c>
      <c r="AH1636" s="57" t="str">
        <f>IF(N(W1636)&gt;0,COUNTIF(W$6:W1636,"&gt;0"),"")</f>
        <v/>
      </c>
      <c r="AI1636" s="57" t="str">
        <f>IF(Z1636=1,COUNTIF(Z$6:Z1636,1),"")</f>
        <v/>
      </c>
    </row>
    <row r="1637">
      <c r="A1637" s="54" t="n"/>
      <c r="B1637" s="55" t="str">
        <f>IF(AA1637="","",A1637&amp;"-"&amp;RIGHT("000"&amp;AA1637,4))</f>
        <v/>
      </c>
      <c r="C1637" s="56" t="n"/>
      <c r="D1637" s="54" t="n"/>
      <c r="E1637" s="57" t="str">
        <f>IF(D1637="","",IF(A1637="BL",IFERROR(INDEX(cl_name,MATCH(D1637,cl_code,0))&amp;"","Client inconnu"),IF(A1637="BR",IFERROR(INDEX(fo_name,MATCH(D1637,fo_code,0))&amp;"","Fournisseur inconnu"),IF(A1637="BS",IF(ISNA(MATCH(D1637,p_services,0)),"Service inconnu",D1637&amp;""),""))))</f>
        <v/>
      </c>
      <c r="F1637" s="58" t="n"/>
      <c r="G1637" s="58" t="n"/>
      <c r="H1637" s="59" t="n"/>
      <c r="I1637" s="57" t="str">
        <f>IF(H1637="","",IFERROR(INDEX(art_des,MATCH(H1637,art_ref,0))&amp;"","Article inconnu"))</f>
        <v/>
      </c>
      <c r="J1637" s="60" t="str">
        <f>IF(H1637="","",IFERROR(INDEX(art_unit,MATCH(H1637,art_ref,0))&amp;"",""))</f>
        <v/>
      </c>
      <c r="K1637" s="59" t="n"/>
      <c r="L1637" s="59" t="n"/>
      <c r="M1637" s="61" t="str">
        <f>IF(OR(B1637="",NOT(ISNUMBER(K1637)),NOT(ISNUMBER(L1637))),"",IF(OR(K1637&lt;=0,L1637&lt;=0),"",ROUND(L1637-K1637,6)))</f>
        <v/>
      </c>
      <c r="N1637" s="58" t="n"/>
      <c r="O1637" s="62" t="n"/>
      <c r="P1637" s="63" t="str">
        <f>IF(OR(B1637="",NOT(ISNUMBER(L1637))),"",IF(L1637&lt;=0,"",IFERROR(ROUND(L1637*N(INDEX(art_w,MATCH(H1637,art_ref,0))),3),"")))</f>
        <v/>
      </c>
      <c r="Q1637" s="59" t="n"/>
      <c r="R1637" s="54" t="n"/>
      <c r="S1637" s="59" t="n"/>
      <c r="T1637" s="59" t="n"/>
      <c r="U1637" s="64" t="str">
        <f>IF(OR(B1637="",H1637=""),"",IFERROR(IF(A1637="BL",IF(N(INDEX(art_price,MATCH(H1637,art_ref,0)))=0,"",N(INDEX(art_price,MATCH(H1637,art_ref,0)))),IF(N(INDEX(art_cost,MATCH(H1637,art_ref,0)))=0,"",N(INDEX(art_cost,MATCH(H1637,art_ref,0))))),""))</f>
        <v/>
      </c>
      <c r="V1637" s="64" t="str">
        <f>IF(OR(U1637="",NOT(ISNUMBER(L1637))),"",IF(L1637&lt;=0,"",ROUND(L1637*U1637,2)))</f>
        <v/>
      </c>
      <c r="W1637" s="60" t="str">
        <f>IF(AND(B1637&lt;&gt;"",A1637&lt;&gt;"BS",F1637&lt;&gt;"",H1637&lt;&gt;"",ISNUMBER(K1637),ISNUMBER(L1637)),IF(AND(K1637&gt;0,L1637&gt;0,K1637-L1637&gt;0,COUNTIFS(A1638:A$2005,A1637,F1638:F$2005,F1637,H1638:H$2005,H1637,AA1638:AA$2005,"&gt;0")=0),ROUND(K1637-L1637,6),""),"")</f>
        <v/>
      </c>
      <c r="X1637" s="60" t="str">
        <f>IF(AND(A1637="",C1637="",D1637="",H1637="",L1637=""),"",IF(A1637="","Type manquant",IF(AND(A1637&lt;&gt;"BL",A1637&lt;&gt;"BR",A1637&lt;&gt;"BS"),"Type inconnu (BL, BR ou BS)",IF(AG1637=0,"Date manquante ou invalide",IF(D1637="",IF(A1637="BL","Client manquant",IF(A1637="BR","Fournisseur manquant","Service manquant")),IF(IF(A1637="BL",ISNA(MATCH(D1637,cl_code,0)),IF(A1637="BR",ISNA(MATCH(D1637,fo_code,0)),ISNA(MATCH(D1637,p_services,0)))),IF(A1637="BL","Client inconnu",IF(A1637="BR","Fournisseur inconnu","Service inconnu")),IF(H1637="","Article manquant",IF(ISNA(MATCH(H1637,art_ref,0)),"Article inconnu",IF(OR(NOT(ISNUMBER(L1637)),N(L1637)&lt;=0),"Quantité invalide",IF(AND(K1637&lt;&gt;"",OR(NOT(ISNUMBER(K1637)),N(K1637)&lt;=0)),"Qté commandée invalide",IF(AG1637&lt;SUMPRODUCT(MAX((A$6:A1636=A1637)*AG$6:AG1636)),"Date antérieure au bon précédent",IF(AND(A1637&lt;&gt;"BR",ISNUMBER(M1637),N(M1637)&gt;0),IF(A1637="BL","Livré plus que commandé","Sorti plus que demandé"),"OK"))))))))))))</f>
        <v/>
      </c>
      <c r="Y1637" s="57" t="str">
        <f>IF(AND(OR(A1637="BL",A1637="BR",A1637="BS"),AG1637&gt;0,D1637&lt;&gt;""),A1637&amp;"|"&amp;AG1637&amp;"|"&amp;D1637&amp;"|"&amp;F1637,"")</f>
        <v/>
      </c>
      <c r="Z1637" s="57" t="str">
        <f>IF(Y1637="","",IF(COUNTIF(Y$6:Y1636,Y1637)=0,1,0))</f>
        <v/>
      </c>
      <c r="AA1637" s="57" t="str">
        <f>IF(Y1637="","",IF(Z1637=1,COUNTIFS(A$6:A1637,A1637,Z$6:Z1637,1),INDEX(AA$6:AA1636,MATCH(Y1637,Y$6:Y1636,0))))</f>
        <v/>
      </c>
      <c r="AB1637" s="57" t="str">
        <f>IF(B1637="","",COUNTIF(B$6:B1637,B1637))</f>
        <v/>
      </c>
      <c r="AC1637" s="57" t="str">
        <f>IF(B1637="","",B1637&amp;"#"&amp;AB1637)</f>
        <v/>
      </c>
      <c r="AD1637" s="57" t="str">
        <f>IF(Z1637=1,A1637&amp;AA1637,"")</f>
        <v/>
      </c>
      <c r="AE1637" s="57" t="str">
        <f>IF(B1637="","",YEAR(C1637))</f>
        <v/>
      </c>
      <c r="AF1637" s="57" t="str">
        <f>IF(B1637="","",MONTH(C1637))</f>
        <v/>
      </c>
      <c r="AG1637" s="57">
        <f>IF(ISNUMBER(C1637),C1637,0)</f>
        <v>0.0</v>
      </c>
      <c r="AH1637" s="57" t="str">
        <f>IF(N(W1637)&gt;0,COUNTIF(W$6:W1637,"&gt;0"),"")</f>
        <v/>
      </c>
      <c r="AI1637" s="57" t="str">
        <f>IF(Z1637=1,COUNTIF(Z$6:Z1637,1),"")</f>
        <v/>
      </c>
    </row>
    <row r="1638">
      <c r="A1638" s="54" t="n"/>
      <c r="B1638" s="55" t="str">
        <f>IF(AA1638="","",A1638&amp;"-"&amp;RIGHT("000"&amp;AA1638,4))</f>
        <v/>
      </c>
      <c r="C1638" s="56" t="n"/>
      <c r="D1638" s="54" t="n"/>
      <c r="E1638" s="57" t="str">
        <f>IF(D1638="","",IF(A1638="BL",IFERROR(INDEX(cl_name,MATCH(D1638,cl_code,0))&amp;"","Client inconnu"),IF(A1638="BR",IFERROR(INDEX(fo_name,MATCH(D1638,fo_code,0))&amp;"","Fournisseur inconnu"),IF(A1638="BS",IF(ISNA(MATCH(D1638,p_services,0)),"Service inconnu",D1638&amp;""),""))))</f>
        <v/>
      </c>
      <c r="F1638" s="58" t="n"/>
      <c r="G1638" s="58" t="n"/>
      <c r="H1638" s="59" t="n"/>
      <c r="I1638" s="57" t="str">
        <f>IF(H1638="","",IFERROR(INDEX(art_des,MATCH(H1638,art_ref,0))&amp;"","Article inconnu"))</f>
        <v/>
      </c>
      <c r="J1638" s="60" t="str">
        <f>IF(H1638="","",IFERROR(INDEX(art_unit,MATCH(H1638,art_ref,0))&amp;"",""))</f>
        <v/>
      </c>
      <c r="K1638" s="59" t="n"/>
      <c r="L1638" s="59" t="n"/>
      <c r="M1638" s="61" t="str">
        <f>IF(OR(B1638="",NOT(ISNUMBER(K1638)),NOT(ISNUMBER(L1638))),"",IF(OR(K1638&lt;=0,L1638&lt;=0),"",ROUND(L1638-K1638,6)))</f>
        <v/>
      </c>
      <c r="N1638" s="58" t="n"/>
      <c r="O1638" s="62" t="n"/>
      <c r="P1638" s="63" t="str">
        <f>IF(OR(B1638="",NOT(ISNUMBER(L1638))),"",IF(L1638&lt;=0,"",IFERROR(ROUND(L1638*N(INDEX(art_w,MATCH(H1638,art_ref,0))),3),"")))</f>
        <v/>
      </c>
      <c r="Q1638" s="59" t="n"/>
      <c r="R1638" s="54" t="n"/>
      <c r="S1638" s="59" t="n"/>
      <c r="T1638" s="59" t="n"/>
      <c r="U1638" s="64" t="str">
        <f>IF(OR(B1638="",H1638=""),"",IFERROR(IF(A1638="BL",IF(N(INDEX(art_price,MATCH(H1638,art_ref,0)))=0,"",N(INDEX(art_price,MATCH(H1638,art_ref,0)))),IF(N(INDEX(art_cost,MATCH(H1638,art_ref,0)))=0,"",N(INDEX(art_cost,MATCH(H1638,art_ref,0))))),""))</f>
        <v/>
      </c>
      <c r="V1638" s="64" t="str">
        <f>IF(OR(U1638="",NOT(ISNUMBER(L1638))),"",IF(L1638&lt;=0,"",ROUND(L1638*U1638,2)))</f>
        <v/>
      </c>
      <c r="W1638" s="60" t="str">
        <f>IF(AND(B1638&lt;&gt;"",A1638&lt;&gt;"BS",F1638&lt;&gt;"",H1638&lt;&gt;"",ISNUMBER(K1638),ISNUMBER(L1638)),IF(AND(K1638&gt;0,L1638&gt;0,K1638-L1638&gt;0,COUNTIFS(A1639:A$2005,A1638,F1639:F$2005,F1638,H1639:H$2005,H1638,AA1639:AA$2005,"&gt;0")=0),ROUND(K1638-L1638,6),""),"")</f>
        <v/>
      </c>
      <c r="X1638" s="60" t="str">
        <f>IF(AND(A1638="",C1638="",D1638="",H1638="",L1638=""),"",IF(A1638="","Type manquant",IF(AND(A1638&lt;&gt;"BL",A1638&lt;&gt;"BR",A1638&lt;&gt;"BS"),"Type inconnu (BL, BR ou BS)",IF(AG1638=0,"Date manquante ou invalide",IF(D1638="",IF(A1638="BL","Client manquant",IF(A1638="BR","Fournisseur manquant","Service manquant")),IF(IF(A1638="BL",ISNA(MATCH(D1638,cl_code,0)),IF(A1638="BR",ISNA(MATCH(D1638,fo_code,0)),ISNA(MATCH(D1638,p_services,0)))),IF(A1638="BL","Client inconnu",IF(A1638="BR","Fournisseur inconnu","Service inconnu")),IF(H1638="","Article manquant",IF(ISNA(MATCH(H1638,art_ref,0)),"Article inconnu",IF(OR(NOT(ISNUMBER(L1638)),N(L1638)&lt;=0),"Quantité invalide",IF(AND(K1638&lt;&gt;"",OR(NOT(ISNUMBER(K1638)),N(K1638)&lt;=0)),"Qté commandée invalide",IF(AG1638&lt;SUMPRODUCT(MAX((A$6:A1637=A1638)*AG$6:AG1637)),"Date antérieure au bon précédent",IF(AND(A1638&lt;&gt;"BR",ISNUMBER(M1638),N(M1638)&gt;0),IF(A1638="BL","Livré plus que commandé","Sorti plus que demandé"),"OK"))))))))))))</f>
        <v/>
      </c>
      <c r="Y1638" s="57" t="str">
        <f>IF(AND(OR(A1638="BL",A1638="BR",A1638="BS"),AG1638&gt;0,D1638&lt;&gt;""),A1638&amp;"|"&amp;AG1638&amp;"|"&amp;D1638&amp;"|"&amp;F1638,"")</f>
        <v/>
      </c>
      <c r="Z1638" s="57" t="str">
        <f>IF(Y1638="","",IF(COUNTIF(Y$6:Y1637,Y1638)=0,1,0))</f>
        <v/>
      </c>
      <c r="AA1638" s="57" t="str">
        <f>IF(Y1638="","",IF(Z1638=1,COUNTIFS(A$6:A1638,A1638,Z$6:Z1638,1),INDEX(AA$6:AA1637,MATCH(Y1638,Y$6:Y1637,0))))</f>
        <v/>
      </c>
      <c r="AB1638" s="57" t="str">
        <f>IF(B1638="","",COUNTIF(B$6:B1638,B1638))</f>
        <v/>
      </c>
      <c r="AC1638" s="57" t="str">
        <f>IF(B1638="","",B1638&amp;"#"&amp;AB1638)</f>
        <v/>
      </c>
      <c r="AD1638" s="57" t="str">
        <f>IF(Z1638=1,A1638&amp;AA1638,"")</f>
        <v/>
      </c>
      <c r="AE1638" s="57" t="str">
        <f>IF(B1638="","",YEAR(C1638))</f>
        <v/>
      </c>
      <c r="AF1638" s="57" t="str">
        <f>IF(B1638="","",MONTH(C1638))</f>
        <v/>
      </c>
      <c r="AG1638" s="57">
        <f>IF(ISNUMBER(C1638),C1638,0)</f>
        <v>0.0</v>
      </c>
      <c r="AH1638" s="57" t="str">
        <f>IF(N(W1638)&gt;0,COUNTIF(W$6:W1638,"&gt;0"),"")</f>
        <v/>
      </c>
      <c r="AI1638" s="57" t="str">
        <f>IF(Z1638=1,COUNTIF(Z$6:Z1638,1),"")</f>
        <v/>
      </c>
    </row>
    <row r="1639">
      <c r="A1639" s="54" t="n"/>
      <c r="B1639" s="55" t="str">
        <f>IF(AA1639="","",A1639&amp;"-"&amp;RIGHT("000"&amp;AA1639,4))</f>
        <v/>
      </c>
      <c r="C1639" s="56" t="n"/>
      <c r="D1639" s="54" t="n"/>
      <c r="E1639" s="57" t="str">
        <f>IF(D1639="","",IF(A1639="BL",IFERROR(INDEX(cl_name,MATCH(D1639,cl_code,0))&amp;"","Client inconnu"),IF(A1639="BR",IFERROR(INDEX(fo_name,MATCH(D1639,fo_code,0))&amp;"","Fournisseur inconnu"),IF(A1639="BS",IF(ISNA(MATCH(D1639,p_services,0)),"Service inconnu",D1639&amp;""),""))))</f>
        <v/>
      </c>
      <c r="F1639" s="58" t="n"/>
      <c r="G1639" s="58" t="n"/>
      <c r="H1639" s="59" t="n"/>
      <c r="I1639" s="57" t="str">
        <f>IF(H1639="","",IFERROR(INDEX(art_des,MATCH(H1639,art_ref,0))&amp;"","Article inconnu"))</f>
        <v/>
      </c>
      <c r="J1639" s="60" t="str">
        <f>IF(H1639="","",IFERROR(INDEX(art_unit,MATCH(H1639,art_ref,0))&amp;"",""))</f>
        <v/>
      </c>
      <c r="K1639" s="59" t="n"/>
      <c r="L1639" s="59" t="n"/>
      <c r="M1639" s="61" t="str">
        <f>IF(OR(B1639="",NOT(ISNUMBER(K1639)),NOT(ISNUMBER(L1639))),"",IF(OR(K1639&lt;=0,L1639&lt;=0),"",ROUND(L1639-K1639,6)))</f>
        <v/>
      </c>
      <c r="N1639" s="58" t="n"/>
      <c r="O1639" s="62" t="n"/>
      <c r="P1639" s="63" t="str">
        <f>IF(OR(B1639="",NOT(ISNUMBER(L1639))),"",IF(L1639&lt;=0,"",IFERROR(ROUND(L1639*N(INDEX(art_w,MATCH(H1639,art_ref,0))),3),"")))</f>
        <v/>
      </c>
      <c r="Q1639" s="59" t="n"/>
      <c r="R1639" s="54" t="n"/>
      <c r="S1639" s="59" t="n"/>
      <c r="T1639" s="59" t="n"/>
      <c r="U1639" s="64" t="str">
        <f>IF(OR(B1639="",H1639=""),"",IFERROR(IF(A1639="BL",IF(N(INDEX(art_price,MATCH(H1639,art_ref,0)))=0,"",N(INDEX(art_price,MATCH(H1639,art_ref,0)))),IF(N(INDEX(art_cost,MATCH(H1639,art_ref,0)))=0,"",N(INDEX(art_cost,MATCH(H1639,art_ref,0))))),""))</f>
        <v/>
      </c>
      <c r="V1639" s="64" t="str">
        <f>IF(OR(U1639="",NOT(ISNUMBER(L1639))),"",IF(L1639&lt;=0,"",ROUND(L1639*U1639,2)))</f>
        <v/>
      </c>
      <c r="W1639" s="60" t="str">
        <f>IF(AND(B1639&lt;&gt;"",A1639&lt;&gt;"BS",F1639&lt;&gt;"",H1639&lt;&gt;"",ISNUMBER(K1639),ISNUMBER(L1639)),IF(AND(K1639&gt;0,L1639&gt;0,K1639-L1639&gt;0,COUNTIFS(A1640:A$2005,A1639,F1640:F$2005,F1639,H1640:H$2005,H1639,AA1640:AA$2005,"&gt;0")=0),ROUND(K1639-L1639,6),""),"")</f>
        <v/>
      </c>
      <c r="X1639" s="60" t="str">
        <f>IF(AND(A1639="",C1639="",D1639="",H1639="",L1639=""),"",IF(A1639="","Type manquant",IF(AND(A1639&lt;&gt;"BL",A1639&lt;&gt;"BR",A1639&lt;&gt;"BS"),"Type inconnu (BL, BR ou BS)",IF(AG1639=0,"Date manquante ou invalide",IF(D1639="",IF(A1639="BL","Client manquant",IF(A1639="BR","Fournisseur manquant","Service manquant")),IF(IF(A1639="BL",ISNA(MATCH(D1639,cl_code,0)),IF(A1639="BR",ISNA(MATCH(D1639,fo_code,0)),ISNA(MATCH(D1639,p_services,0)))),IF(A1639="BL","Client inconnu",IF(A1639="BR","Fournisseur inconnu","Service inconnu")),IF(H1639="","Article manquant",IF(ISNA(MATCH(H1639,art_ref,0)),"Article inconnu",IF(OR(NOT(ISNUMBER(L1639)),N(L1639)&lt;=0),"Quantité invalide",IF(AND(K1639&lt;&gt;"",OR(NOT(ISNUMBER(K1639)),N(K1639)&lt;=0)),"Qté commandée invalide",IF(AG1639&lt;SUMPRODUCT(MAX((A$6:A1638=A1639)*AG$6:AG1638)),"Date antérieure au bon précédent",IF(AND(A1639&lt;&gt;"BR",ISNUMBER(M1639),N(M1639)&gt;0),IF(A1639="BL","Livré plus que commandé","Sorti plus que demandé"),"OK"))))))))))))</f>
        <v/>
      </c>
      <c r="Y1639" s="57" t="str">
        <f>IF(AND(OR(A1639="BL",A1639="BR",A1639="BS"),AG1639&gt;0,D1639&lt;&gt;""),A1639&amp;"|"&amp;AG1639&amp;"|"&amp;D1639&amp;"|"&amp;F1639,"")</f>
        <v/>
      </c>
      <c r="Z1639" s="57" t="str">
        <f>IF(Y1639="","",IF(COUNTIF(Y$6:Y1638,Y1639)=0,1,0))</f>
        <v/>
      </c>
      <c r="AA1639" s="57" t="str">
        <f>IF(Y1639="","",IF(Z1639=1,COUNTIFS(A$6:A1639,A1639,Z$6:Z1639,1),INDEX(AA$6:AA1638,MATCH(Y1639,Y$6:Y1638,0))))</f>
        <v/>
      </c>
      <c r="AB1639" s="57" t="str">
        <f>IF(B1639="","",COUNTIF(B$6:B1639,B1639))</f>
        <v/>
      </c>
      <c r="AC1639" s="57" t="str">
        <f>IF(B1639="","",B1639&amp;"#"&amp;AB1639)</f>
        <v/>
      </c>
      <c r="AD1639" s="57" t="str">
        <f>IF(Z1639=1,A1639&amp;AA1639,"")</f>
        <v/>
      </c>
      <c r="AE1639" s="57" t="str">
        <f>IF(B1639="","",YEAR(C1639))</f>
        <v/>
      </c>
      <c r="AF1639" s="57" t="str">
        <f>IF(B1639="","",MONTH(C1639))</f>
        <v/>
      </c>
      <c r="AG1639" s="57">
        <f>IF(ISNUMBER(C1639),C1639,0)</f>
        <v>0.0</v>
      </c>
      <c r="AH1639" s="57" t="str">
        <f>IF(N(W1639)&gt;0,COUNTIF(W$6:W1639,"&gt;0"),"")</f>
        <v/>
      </c>
      <c r="AI1639" s="57" t="str">
        <f>IF(Z1639=1,COUNTIF(Z$6:Z1639,1),"")</f>
        <v/>
      </c>
    </row>
    <row r="1640">
      <c r="A1640" s="54" t="n"/>
      <c r="B1640" s="55" t="str">
        <f>IF(AA1640="","",A1640&amp;"-"&amp;RIGHT("000"&amp;AA1640,4))</f>
        <v/>
      </c>
      <c r="C1640" s="56" t="n"/>
      <c r="D1640" s="54" t="n"/>
      <c r="E1640" s="57" t="str">
        <f>IF(D1640="","",IF(A1640="BL",IFERROR(INDEX(cl_name,MATCH(D1640,cl_code,0))&amp;"","Client inconnu"),IF(A1640="BR",IFERROR(INDEX(fo_name,MATCH(D1640,fo_code,0))&amp;"","Fournisseur inconnu"),IF(A1640="BS",IF(ISNA(MATCH(D1640,p_services,0)),"Service inconnu",D1640&amp;""),""))))</f>
        <v/>
      </c>
      <c r="F1640" s="58" t="n"/>
      <c r="G1640" s="58" t="n"/>
      <c r="H1640" s="59" t="n"/>
      <c r="I1640" s="57" t="str">
        <f>IF(H1640="","",IFERROR(INDEX(art_des,MATCH(H1640,art_ref,0))&amp;"","Article inconnu"))</f>
        <v/>
      </c>
      <c r="J1640" s="60" t="str">
        <f>IF(H1640="","",IFERROR(INDEX(art_unit,MATCH(H1640,art_ref,0))&amp;"",""))</f>
        <v/>
      </c>
      <c r="K1640" s="59" t="n"/>
      <c r="L1640" s="59" t="n"/>
      <c r="M1640" s="61" t="str">
        <f>IF(OR(B1640="",NOT(ISNUMBER(K1640)),NOT(ISNUMBER(L1640))),"",IF(OR(K1640&lt;=0,L1640&lt;=0),"",ROUND(L1640-K1640,6)))</f>
        <v/>
      </c>
      <c r="N1640" s="58" t="n"/>
      <c r="O1640" s="62" t="n"/>
      <c r="P1640" s="63" t="str">
        <f>IF(OR(B1640="",NOT(ISNUMBER(L1640))),"",IF(L1640&lt;=0,"",IFERROR(ROUND(L1640*N(INDEX(art_w,MATCH(H1640,art_ref,0))),3),"")))</f>
        <v/>
      </c>
      <c r="Q1640" s="59" t="n"/>
      <c r="R1640" s="54" t="n"/>
      <c r="S1640" s="59" t="n"/>
      <c r="T1640" s="59" t="n"/>
      <c r="U1640" s="64" t="str">
        <f>IF(OR(B1640="",H1640=""),"",IFERROR(IF(A1640="BL",IF(N(INDEX(art_price,MATCH(H1640,art_ref,0)))=0,"",N(INDEX(art_price,MATCH(H1640,art_ref,0)))),IF(N(INDEX(art_cost,MATCH(H1640,art_ref,0)))=0,"",N(INDEX(art_cost,MATCH(H1640,art_ref,0))))),""))</f>
        <v/>
      </c>
      <c r="V1640" s="64" t="str">
        <f>IF(OR(U1640="",NOT(ISNUMBER(L1640))),"",IF(L1640&lt;=0,"",ROUND(L1640*U1640,2)))</f>
        <v/>
      </c>
      <c r="W1640" s="60" t="str">
        <f>IF(AND(B1640&lt;&gt;"",A1640&lt;&gt;"BS",F1640&lt;&gt;"",H1640&lt;&gt;"",ISNUMBER(K1640),ISNUMBER(L1640)),IF(AND(K1640&gt;0,L1640&gt;0,K1640-L1640&gt;0,COUNTIFS(A1641:A$2005,A1640,F1641:F$2005,F1640,H1641:H$2005,H1640,AA1641:AA$2005,"&gt;0")=0),ROUND(K1640-L1640,6),""),"")</f>
        <v/>
      </c>
      <c r="X1640" s="60" t="str">
        <f>IF(AND(A1640="",C1640="",D1640="",H1640="",L1640=""),"",IF(A1640="","Type manquant",IF(AND(A1640&lt;&gt;"BL",A1640&lt;&gt;"BR",A1640&lt;&gt;"BS"),"Type inconnu (BL, BR ou BS)",IF(AG1640=0,"Date manquante ou invalide",IF(D1640="",IF(A1640="BL","Client manquant",IF(A1640="BR","Fournisseur manquant","Service manquant")),IF(IF(A1640="BL",ISNA(MATCH(D1640,cl_code,0)),IF(A1640="BR",ISNA(MATCH(D1640,fo_code,0)),ISNA(MATCH(D1640,p_services,0)))),IF(A1640="BL","Client inconnu",IF(A1640="BR","Fournisseur inconnu","Service inconnu")),IF(H1640="","Article manquant",IF(ISNA(MATCH(H1640,art_ref,0)),"Article inconnu",IF(OR(NOT(ISNUMBER(L1640)),N(L1640)&lt;=0),"Quantité invalide",IF(AND(K1640&lt;&gt;"",OR(NOT(ISNUMBER(K1640)),N(K1640)&lt;=0)),"Qté commandée invalide",IF(AG1640&lt;SUMPRODUCT(MAX((A$6:A1639=A1640)*AG$6:AG1639)),"Date antérieure au bon précédent",IF(AND(A1640&lt;&gt;"BR",ISNUMBER(M1640),N(M1640)&gt;0),IF(A1640="BL","Livré plus que commandé","Sorti plus que demandé"),"OK"))))))))))))</f>
        <v/>
      </c>
      <c r="Y1640" s="57" t="str">
        <f>IF(AND(OR(A1640="BL",A1640="BR",A1640="BS"),AG1640&gt;0,D1640&lt;&gt;""),A1640&amp;"|"&amp;AG1640&amp;"|"&amp;D1640&amp;"|"&amp;F1640,"")</f>
        <v/>
      </c>
      <c r="Z1640" s="57" t="str">
        <f>IF(Y1640="","",IF(COUNTIF(Y$6:Y1639,Y1640)=0,1,0))</f>
        <v/>
      </c>
      <c r="AA1640" s="57" t="str">
        <f>IF(Y1640="","",IF(Z1640=1,COUNTIFS(A$6:A1640,A1640,Z$6:Z1640,1),INDEX(AA$6:AA1639,MATCH(Y1640,Y$6:Y1639,0))))</f>
        <v/>
      </c>
      <c r="AB1640" s="57" t="str">
        <f>IF(B1640="","",COUNTIF(B$6:B1640,B1640))</f>
        <v/>
      </c>
      <c r="AC1640" s="57" t="str">
        <f>IF(B1640="","",B1640&amp;"#"&amp;AB1640)</f>
        <v/>
      </c>
      <c r="AD1640" s="57" t="str">
        <f>IF(Z1640=1,A1640&amp;AA1640,"")</f>
        <v/>
      </c>
      <c r="AE1640" s="57" t="str">
        <f>IF(B1640="","",YEAR(C1640))</f>
        <v/>
      </c>
      <c r="AF1640" s="57" t="str">
        <f>IF(B1640="","",MONTH(C1640))</f>
        <v/>
      </c>
      <c r="AG1640" s="57">
        <f>IF(ISNUMBER(C1640),C1640,0)</f>
        <v>0.0</v>
      </c>
      <c r="AH1640" s="57" t="str">
        <f>IF(N(W1640)&gt;0,COUNTIF(W$6:W1640,"&gt;0"),"")</f>
        <v/>
      </c>
      <c r="AI1640" s="57" t="str">
        <f>IF(Z1640=1,COUNTIF(Z$6:Z1640,1),"")</f>
        <v/>
      </c>
    </row>
    <row r="1641">
      <c r="A1641" s="54" t="n"/>
      <c r="B1641" s="55" t="str">
        <f>IF(AA1641="","",A1641&amp;"-"&amp;RIGHT("000"&amp;AA1641,4))</f>
        <v/>
      </c>
      <c r="C1641" s="56" t="n"/>
      <c r="D1641" s="54" t="n"/>
      <c r="E1641" s="57" t="str">
        <f>IF(D1641="","",IF(A1641="BL",IFERROR(INDEX(cl_name,MATCH(D1641,cl_code,0))&amp;"","Client inconnu"),IF(A1641="BR",IFERROR(INDEX(fo_name,MATCH(D1641,fo_code,0))&amp;"","Fournisseur inconnu"),IF(A1641="BS",IF(ISNA(MATCH(D1641,p_services,0)),"Service inconnu",D1641&amp;""),""))))</f>
        <v/>
      </c>
      <c r="F1641" s="58" t="n"/>
      <c r="G1641" s="58" t="n"/>
      <c r="H1641" s="59" t="n"/>
      <c r="I1641" s="57" t="str">
        <f>IF(H1641="","",IFERROR(INDEX(art_des,MATCH(H1641,art_ref,0))&amp;"","Article inconnu"))</f>
        <v/>
      </c>
      <c r="J1641" s="60" t="str">
        <f>IF(H1641="","",IFERROR(INDEX(art_unit,MATCH(H1641,art_ref,0))&amp;"",""))</f>
        <v/>
      </c>
      <c r="K1641" s="59" t="n"/>
      <c r="L1641" s="59" t="n"/>
      <c r="M1641" s="61" t="str">
        <f>IF(OR(B1641="",NOT(ISNUMBER(K1641)),NOT(ISNUMBER(L1641))),"",IF(OR(K1641&lt;=0,L1641&lt;=0),"",ROUND(L1641-K1641,6)))</f>
        <v/>
      </c>
      <c r="N1641" s="58" t="n"/>
      <c r="O1641" s="62" t="n"/>
      <c r="P1641" s="63" t="str">
        <f>IF(OR(B1641="",NOT(ISNUMBER(L1641))),"",IF(L1641&lt;=0,"",IFERROR(ROUND(L1641*N(INDEX(art_w,MATCH(H1641,art_ref,0))),3),"")))</f>
        <v/>
      </c>
      <c r="Q1641" s="59" t="n"/>
      <c r="R1641" s="54" t="n"/>
      <c r="S1641" s="59" t="n"/>
      <c r="T1641" s="59" t="n"/>
      <c r="U1641" s="64" t="str">
        <f>IF(OR(B1641="",H1641=""),"",IFERROR(IF(A1641="BL",IF(N(INDEX(art_price,MATCH(H1641,art_ref,0)))=0,"",N(INDEX(art_price,MATCH(H1641,art_ref,0)))),IF(N(INDEX(art_cost,MATCH(H1641,art_ref,0)))=0,"",N(INDEX(art_cost,MATCH(H1641,art_ref,0))))),""))</f>
        <v/>
      </c>
      <c r="V1641" s="64" t="str">
        <f>IF(OR(U1641="",NOT(ISNUMBER(L1641))),"",IF(L1641&lt;=0,"",ROUND(L1641*U1641,2)))</f>
        <v/>
      </c>
      <c r="W1641" s="60" t="str">
        <f>IF(AND(B1641&lt;&gt;"",A1641&lt;&gt;"BS",F1641&lt;&gt;"",H1641&lt;&gt;"",ISNUMBER(K1641),ISNUMBER(L1641)),IF(AND(K1641&gt;0,L1641&gt;0,K1641-L1641&gt;0,COUNTIFS(A1642:A$2005,A1641,F1642:F$2005,F1641,H1642:H$2005,H1641,AA1642:AA$2005,"&gt;0")=0),ROUND(K1641-L1641,6),""),"")</f>
        <v/>
      </c>
      <c r="X1641" s="60" t="str">
        <f>IF(AND(A1641="",C1641="",D1641="",H1641="",L1641=""),"",IF(A1641="","Type manquant",IF(AND(A1641&lt;&gt;"BL",A1641&lt;&gt;"BR",A1641&lt;&gt;"BS"),"Type inconnu (BL, BR ou BS)",IF(AG1641=0,"Date manquante ou invalide",IF(D1641="",IF(A1641="BL","Client manquant",IF(A1641="BR","Fournisseur manquant","Service manquant")),IF(IF(A1641="BL",ISNA(MATCH(D1641,cl_code,0)),IF(A1641="BR",ISNA(MATCH(D1641,fo_code,0)),ISNA(MATCH(D1641,p_services,0)))),IF(A1641="BL","Client inconnu",IF(A1641="BR","Fournisseur inconnu","Service inconnu")),IF(H1641="","Article manquant",IF(ISNA(MATCH(H1641,art_ref,0)),"Article inconnu",IF(OR(NOT(ISNUMBER(L1641)),N(L1641)&lt;=0),"Quantité invalide",IF(AND(K1641&lt;&gt;"",OR(NOT(ISNUMBER(K1641)),N(K1641)&lt;=0)),"Qté commandée invalide",IF(AG1641&lt;SUMPRODUCT(MAX((A$6:A1640=A1641)*AG$6:AG1640)),"Date antérieure au bon précédent",IF(AND(A1641&lt;&gt;"BR",ISNUMBER(M1641),N(M1641)&gt;0),IF(A1641="BL","Livré plus que commandé","Sorti plus que demandé"),"OK"))))))))))))</f>
        <v/>
      </c>
      <c r="Y1641" s="57" t="str">
        <f>IF(AND(OR(A1641="BL",A1641="BR",A1641="BS"),AG1641&gt;0,D1641&lt;&gt;""),A1641&amp;"|"&amp;AG1641&amp;"|"&amp;D1641&amp;"|"&amp;F1641,"")</f>
        <v/>
      </c>
      <c r="Z1641" s="57" t="str">
        <f>IF(Y1641="","",IF(COUNTIF(Y$6:Y1640,Y1641)=0,1,0))</f>
        <v/>
      </c>
      <c r="AA1641" s="57" t="str">
        <f>IF(Y1641="","",IF(Z1641=1,COUNTIFS(A$6:A1641,A1641,Z$6:Z1641,1),INDEX(AA$6:AA1640,MATCH(Y1641,Y$6:Y1640,0))))</f>
        <v/>
      </c>
      <c r="AB1641" s="57" t="str">
        <f>IF(B1641="","",COUNTIF(B$6:B1641,B1641))</f>
        <v/>
      </c>
      <c r="AC1641" s="57" t="str">
        <f>IF(B1641="","",B1641&amp;"#"&amp;AB1641)</f>
        <v/>
      </c>
      <c r="AD1641" s="57" t="str">
        <f>IF(Z1641=1,A1641&amp;AA1641,"")</f>
        <v/>
      </c>
      <c r="AE1641" s="57" t="str">
        <f>IF(B1641="","",YEAR(C1641))</f>
        <v/>
      </c>
      <c r="AF1641" s="57" t="str">
        <f>IF(B1641="","",MONTH(C1641))</f>
        <v/>
      </c>
      <c r="AG1641" s="57">
        <f>IF(ISNUMBER(C1641),C1641,0)</f>
        <v>0.0</v>
      </c>
      <c r="AH1641" s="57" t="str">
        <f>IF(N(W1641)&gt;0,COUNTIF(W$6:W1641,"&gt;0"),"")</f>
        <v/>
      </c>
      <c r="AI1641" s="57" t="str">
        <f>IF(Z1641=1,COUNTIF(Z$6:Z1641,1),"")</f>
        <v/>
      </c>
    </row>
    <row r="1642">
      <c r="A1642" s="54" t="n"/>
      <c r="B1642" s="55" t="str">
        <f>IF(AA1642="","",A1642&amp;"-"&amp;RIGHT("000"&amp;AA1642,4))</f>
        <v/>
      </c>
      <c r="C1642" s="56" t="n"/>
      <c r="D1642" s="54" t="n"/>
      <c r="E1642" s="57" t="str">
        <f>IF(D1642="","",IF(A1642="BL",IFERROR(INDEX(cl_name,MATCH(D1642,cl_code,0))&amp;"","Client inconnu"),IF(A1642="BR",IFERROR(INDEX(fo_name,MATCH(D1642,fo_code,0))&amp;"","Fournisseur inconnu"),IF(A1642="BS",IF(ISNA(MATCH(D1642,p_services,0)),"Service inconnu",D1642&amp;""),""))))</f>
        <v/>
      </c>
      <c r="F1642" s="58" t="n"/>
      <c r="G1642" s="58" t="n"/>
      <c r="H1642" s="59" t="n"/>
      <c r="I1642" s="57" t="str">
        <f>IF(H1642="","",IFERROR(INDEX(art_des,MATCH(H1642,art_ref,0))&amp;"","Article inconnu"))</f>
        <v/>
      </c>
      <c r="J1642" s="60" t="str">
        <f>IF(H1642="","",IFERROR(INDEX(art_unit,MATCH(H1642,art_ref,0))&amp;"",""))</f>
        <v/>
      </c>
      <c r="K1642" s="59" t="n"/>
      <c r="L1642" s="59" t="n"/>
      <c r="M1642" s="61" t="str">
        <f>IF(OR(B1642="",NOT(ISNUMBER(K1642)),NOT(ISNUMBER(L1642))),"",IF(OR(K1642&lt;=0,L1642&lt;=0),"",ROUND(L1642-K1642,6)))</f>
        <v/>
      </c>
      <c r="N1642" s="58" t="n"/>
      <c r="O1642" s="62" t="n"/>
      <c r="P1642" s="63" t="str">
        <f>IF(OR(B1642="",NOT(ISNUMBER(L1642))),"",IF(L1642&lt;=0,"",IFERROR(ROUND(L1642*N(INDEX(art_w,MATCH(H1642,art_ref,0))),3),"")))</f>
        <v/>
      </c>
      <c r="Q1642" s="59" t="n"/>
      <c r="R1642" s="54" t="n"/>
      <c r="S1642" s="59" t="n"/>
      <c r="T1642" s="59" t="n"/>
      <c r="U1642" s="64" t="str">
        <f>IF(OR(B1642="",H1642=""),"",IFERROR(IF(A1642="BL",IF(N(INDEX(art_price,MATCH(H1642,art_ref,0)))=0,"",N(INDEX(art_price,MATCH(H1642,art_ref,0)))),IF(N(INDEX(art_cost,MATCH(H1642,art_ref,0)))=0,"",N(INDEX(art_cost,MATCH(H1642,art_ref,0))))),""))</f>
        <v/>
      </c>
      <c r="V1642" s="64" t="str">
        <f>IF(OR(U1642="",NOT(ISNUMBER(L1642))),"",IF(L1642&lt;=0,"",ROUND(L1642*U1642,2)))</f>
        <v/>
      </c>
      <c r="W1642" s="60" t="str">
        <f>IF(AND(B1642&lt;&gt;"",A1642&lt;&gt;"BS",F1642&lt;&gt;"",H1642&lt;&gt;"",ISNUMBER(K1642),ISNUMBER(L1642)),IF(AND(K1642&gt;0,L1642&gt;0,K1642-L1642&gt;0,COUNTIFS(A1643:A$2005,A1642,F1643:F$2005,F1642,H1643:H$2005,H1642,AA1643:AA$2005,"&gt;0")=0),ROUND(K1642-L1642,6),""),"")</f>
        <v/>
      </c>
      <c r="X1642" s="60" t="str">
        <f>IF(AND(A1642="",C1642="",D1642="",H1642="",L1642=""),"",IF(A1642="","Type manquant",IF(AND(A1642&lt;&gt;"BL",A1642&lt;&gt;"BR",A1642&lt;&gt;"BS"),"Type inconnu (BL, BR ou BS)",IF(AG1642=0,"Date manquante ou invalide",IF(D1642="",IF(A1642="BL","Client manquant",IF(A1642="BR","Fournisseur manquant","Service manquant")),IF(IF(A1642="BL",ISNA(MATCH(D1642,cl_code,0)),IF(A1642="BR",ISNA(MATCH(D1642,fo_code,0)),ISNA(MATCH(D1642,p_services,0)))),IF(A1642="BL","Client inconnu",IF(A1642="BR","Fournisseur inconnu","Service inconnu")),IF(H1642="","Article manquant",IF(ISNA(MATCH(H1642,art_ref,0)),"Article inconnu",IF(OR(NOT(ISNUMBER(L1642)),N(L1642)&lt;=0),"Quantité invalide",IF(AND(K1642&lt;&gt;"",OR(NOT(ISNUMBER(K1642)),N(K1642)&lt;=0)),"Qté commandée invalide",IF(AG1642&lt;SUMPRODUCT(MAX((A$6:A1641=A1642)*AG$6:AG1641)),"Date antérieure au bon précédent",IF(AND(A1642&lt;&gt;"BR",ISNUMBER(M1642),N(M1642)&gt;0),IF(A1642="BL","Livré plus que commandé","Sorti plus que demandé"),"OK"))))))))))))</f>
        <v/>
      </c>
      <c r="Y1642" s="57" t="str">
        <f>IF(AND(OR(A1642="BL",A1642="BR",A1642="BS"),AG1642&gt;0,D1642&lt;&gt;""),A1642&amp;"|"&amp;AG1642&amp;"|"&amp;D1642&amp;"|"&amp;F1642,"")</f>
        <v/>
      </c>
      <c r="Z1642" s="57" t="str">
        <f>IF(Y1642="","",IF(COUNTIF(Y$6:Y1641,Y1642)=0,1,0))</f>
        <v/>
      </c>
      <c r="AA1642" s="57" t="str">
        <f>IF(Y1642="","",IF(Z1642=1,COUNTIFS(A$6:A1642,A1642,Z$6:Z1642,1),INDEX(AA$6:AA1641,MATCH(Y1642,Y$6:Y1641,0))))</f>
        <v/>
      </c>
      <c r="AB1642" s="57" t="str">
        <f>IF(B1642="","",COUNTIF(B$6:B1642,B1642))</f>
        <v/>
      </c>
      <c r="AC1642" s="57" t="str">
        <f>IF(B1642="","",B1642&amp;"#"&amp;AB1642)</f>
        <v/>
      </c>
      <c r="AD1642" s="57" t="str">
        <f>IF(Z1642=1,A1642&amp;AA1642,"")</f>
        <v/>
      </c>
      <c r="AE1642" s="57" t="str">
        <f>IF(B1642="","",YEAR(C1642))</f>
        <v/>
      </c>
      <c r="AF1642" s="57" t="str">
        <f>IF(B1642="","",MONTH(C1642))</f>
        <v/>
      </c>
      <c r="AG1642" s="57">
        <f>IF(ISNUMBER(C1642),C1642,0)</f>
        <v>0.0</v>
      </c>
      <c r="AH1642" s="57" t="str">
        <f>IF(N(W1642)&gt;0,COUNTIF(W$6:W1642,"&gt;0"),"")</f>
        <v/>
      </c>
      <c r="AI1642" s="57" t="str">
        <f>IF(Z1642=1,COUNTIF(Z$6:Z1642,1),"")</f>
        <v/>
      </c>
    </row>
    <row r="1643">
      <c r="A1643" s="54" t="n"/>
      <c r="B1643" s="55" t="str">
        <f>IF(AA1643="","",A1643&amp;"-"&amp;RIGHT("000"&amp;AA1643,4))</f>
        <v/>
      </c>
      <c r="C1643" s="56" t="n"/>
      <c r="D1643" s="54" t="n"/>
      <c r="E1643" s="57" t="str">
        <f>IF(D1643="","",IF(A1643="BL",IFERROR(INDEX(cl_name,MATCH(D1643,cl_code,0))&amp;"","Client inconnu"),IF(A1643="BR",IFERROR(INDEX(fo_name,MATCH(D1643,fo_code,0))&amp;"","Fournisseur inconnu"),IF(A1643="BS",IF(ISNA(MATCH(D1643,p_services,0)),"Service inconnu",D1643&amp;""),""))))</f>
        <v/>
      </c>
      <c r="F1643" s="58" t="n"/>
      <c r="G1643" s="58" t="n"/>
      <c r="H1643" s="59" t="n"/>
      <c r="I1643" s="57" t="str">
        <f>IF(H1643="","",IFERROR(INDEX(art_des,MATCH(H1643,art_ref,0))&amp;"","Article inconnu"))</f>
        <v/>
      </c>
      <c r="J1643" s="60" t="str">
        <f>IF(H1643="","",IFERROR(INDEX(art_unit,MATCH(H1643,art_ref,0))&amp;"",""))</f>
        <v/>
      </c>
      <c r="K1643" s="59" t="n"/>
      <c r="L1643" s="59" t="n"/>
      <c r="M1643" s="61" t="str">
        <f>IF(OR(B1643="",NOT(ISNUMBER(K1643)),NOT(ISNUMBER(L1643))),"",IF(OR(K1643&lt;=0,L1643&lt;=0),"",ROUND(L1643-K1643,6)))</f>
        <v/>
      </c>
      <c r="N1643" s="58" t="n"/>
      <c r="O1643" s="62" t="n"/>
      <c r="P1643" s="63" t="str">
        <f>IF(OR(B1643="",NOT(ISNUMBER(L1643))),"",IF(L1643&lt;=0,"",IFERROR(ROUND(L1643*N(INDEX(art_w,MATCH(H1643,art_ref,0))),3),"")))</f>
        <v/>
      </c>
      <c r="Q1643" s="59" t="n"/>
      <c r="R1643" s="54" t="n"/>
      <c r="S1643" s="59" t="n"/>
      <c r="T1643" s="59" t="n"/>
      <c r="U1643" s="64" t="str">
        <f>IF(OR(B1643="",H1643=""),"",IFERROR(IF(A1643="BL",IF(N(INDEX(art_price,MATCH(H1643,art_ref,0)))=0,"",N(INDEX(art_price,MATCH(H1643,art_ref,0)))),IF(N(INDEX(art_cost,MATCH(H1643,art_ref,0)))=0,"",N(INDEX(art_cost,MATCH(H1643,art_ref,0))))),""))</f>
        <v/>
      </c>
      <c r="V1643" s="64" t="str">
        <f>IF(OR(U1643="",NOT(ISNUMBER(L1643))),"",IF(L1643&lt;=0,"",ROUND(L1643*U1643,2)))</f>
        <v/>
      </c>
      <c r="W1643" s="60" t="str">
        <f>IF(AND(B1643&lt;&gt;"",A1643&lt;&gt;"BS",F1643&lt;&gt;"",H1643&lt;&gt;"",ISNUMBER(K1643),ISNUMBER(L1643)),IF(AND(K1643&gt;0,L1643&gt;0,K1643-L1643&gt;0,COUNTIFS(A1644:A$2005,A1643,F1644:F$2005,F1643,H1644:H$2005,H1643,AA1644:AA$2005,"&gt;0")=0),ROUND(K1643-L1643,6),""),"")</f>
        <v/>
      </c>
      <c r="X1643" s="60" t="str">
        <f>IF(AND(A1643="",C1643="",D1643="",H1643="",L1643=""),"",IF(A1643="","Type manquant",IF(AND(A1643&lt;&gt;"BL",A1643&lt;&gt;"BR",A1643&lt;&gt;"BS"),"Type inconnu (BL, BR ou BS)",IF(AG1643=0,"Date manquante ou invalide",IF(D1643="",IF(A1643="BL","Client manquant",IF(A1643="BR","Fournisseur manquant","Service manquant")),IF(IF(A1643="BL",ISNA(MATCH(D1643,cl_code,0)),IF(A1643="BR",ISNA(MATCH(D1643,fo_code,0)),ISNA(MATCH(D1643,p_services,0)))),IF(A1643="BL","Client inconnu",IF(A1643="BR","Fournisseur inconnu","Service inconnu")),IF(H1643="","Article manquant",IF(ISNA(MATCH(H1643,art_ref,0)),"Article inconnu",IF(OR(NOT(ISNUMBER(L1643)),N(L1643)&lt;=0),"Quantité invalide",IF(AND(K1643&lt;&gt;"",OR(NOT(ISNUMBER(K1643)),N(K1643)&lt;=0)),"Qté commandée invalide",IF(AG1643&lt;SUMPRODUCT(MAX((A$6:A1642=A1643)*AG$6:AG1642)),"Date antérieure au bon précédent",IF(AND(A1643&lt;&gt;"BR",ISNUMBER(M1643),N(M1643)&gt;0),IF(A1643="BL","Livré plus que commandé","Sorti plus que demandé"),"OK"))))))))))))</f>
        <v/>
      </c>
      <c r="Y1643" s="57" t="str">
        <f>IF(AND(OR(A1643="BL",A1643="BR",A1643="BS"),AG1643&gt;0,D1643&lt;&gt;""),A1643&amp;"|"&amp;AG1643&amp;"|"&amp;D1643&amp;"|"&amp;F1643,"")</f>
        <v/>
      </c>
      <c r="Z1643" s="57" t="str">
        <f>IF(Y1643="","",IF(COUNTIF(Y$6:Y1642,Y1643)=0,1,0))</f>
        <v/>
      </c>
      <c r="AA1643" s="57" t="str">
        <f>IF(Y1643="","",IF(Z1643=1,COUNTIFS(A$6:A1643,A1643,Z$6:Z1643,1),INDEX(AA$6:AA1642,MATCH(Y1643,Y$6:Y1642,0))))</f>
        <v/>
      </c>
      <c r="AB1643" s="57" t="str">
        <f>IF(B1643="","",COUNTIF(B$6:B1643,B1643))</f>
        <v/>
      </c>
      <c r="AC1643" s="57" t="str">
        <f>IF(B1643="","",B1643&amp;"#"&amp;AB1643)</f>
        <v/>
      </c>
      <c r="AD1643" s="57" t="str">
        <f>IF(Z1643=1,A1643&amp;AA1643,"")</f>
        <v/>
      </c>
      <c r="AE1643" s="57" t="str">
        <f>IF(B1643="","",YEAR(C1643))</f>
        <v/>
      </c>
      <c r="AF1643" s="57" t="str">
        <f>IF(B1643="","",MONTH(C1643))</f>
        <v/>
      </c>
      <c r="AG1643" s="57">
        <f>IF(ISNUMBER(C1643),C1643,0)</f>
        <v>0.0</v>
      </c>
      <c r="AH1643" s="57" t="str">
        <f>IF(N(W1643)&gt;0,COUNTIF(W$6:W1643,"&gt;0"),"")</f>
        <v/>
      </c>
      <c r="AI1643" s="57" t="str">
        <f>IF(Z1643=1,COUNTIF(Z$6:Z1643,1),"")</f>
        <v/>
      </c>
    </row>
    <row r="1644">
      <c r="A1644" s="54" t="n"/>
      <c r="B1644" s="55" t="str">
        <f>IF(AA1644="","",A1644&amp;"-"&amp;RIGHT("000"&amp;AA1644,4))</f>
        <v/>
      </c>
      <c r="C1644" s="56" t="n"/>
      <c r="D1644" s="54" t="n"/>
      <c r="E1644" s="57" t="str">
        <f>IF(D1644="","",IF(A1644="BL",IFERROR(INDEX(cl_name,MATCH(D1644,cl_code,0))&amp;"","Client inconnu"),IF(A1644="BR",IFERROR(INDEX(fo_name,MATCH(D1644,fo_code,0))&amp;"","Fournisseur inconnu"),IF(A1644="BS",IF(ISNA(MATCH(D1644,p_services,0)),"Service inconnu",D1644&amp;""),""))))</f>
        <v/>
      </c>
      <c r="F1644" s="58" t="n"/>
      <c r="G1644" s="58" t="n"/>
      <c r="H1644" s="59" t="n"/>
      <c r="I1644" s="57" t="str">
        <f>IF(H1644="","",IFERROR(INDEX(art_des,MATCH(H1644,art_ref,0))&amp;"","Article inconnu"))</f>
        <v/>
      </c>
      <c r="J1644" s="60" t="str">
        <f>IF(H1644="","",IFERROR(INDEX(art_unit,MATCH(H1644,art_ref,0))&amp;"",""))</f>
        <v/>
      </c>
      <c r="K1644" s="59" t="n"/>
      <c r="L1644" s="59" t="n"/>
      <c r="M1644" s="61" t="str">
        <f>IF(OR(B1644="",NOT(ISNUMBER(K1644)),NOT(ISNUMBER(L1644))),"",IF(OR(K1644&lt;=0,L1644&lt;=0),"",ROUND(L1644-K1644,6)))</f>
        <v/>
      </c>
      <c r="N1644" s="58" t="n"/>
      <c r="O1644" s="62" t="n"/>
      <c r="P1644" s="63" t="str">
        <f>IF(OR(B1644="",NOT(ISNUMBER(L1644))),"",IF(L1644&lt;=0,"",IFERROR(ROUND(L1644*N(INDEX(art_w,MATCH(H1644,art_ref,0))),3),"")))</f>
        <v/>
      </c>
      <c r="Q1644" s="59" t="n"/>
      <c r="R1644" s="54" t="n"/>
      <c r="S1644" s="59" t="n"/>
      <c r="T1644" s="59" t="n"/>
      <c r="U1644" s="64" t="str">
        <f>IF(OR(B1644="",H1644=""),"",IFERROR(IF(A1644="BL",IF(N(INDEX(art_price,MATCH(H1644,art_ref,0)))=0,"",N(INDEX(art_price,MATCH(H1644,art_ref,0)))),IF(N(INDEX(art_cost,MATCH(H1644,art_ref,0)))=0,"",N(INDEX(art_cost,MATCH(H1644,art_ref,0))))),""))</f>
        <v/>
      </c>
      <c r="V1644" s="64" t="str">
        <f>IF(OR(U1644="",NOT(ISNUMBER(L1644))),"",IF(L1644&lt;=0,"",ROUND(L1644*U1644,2)))</f>
        <v/>
      </c>
      <c r="W1644" s="60" t="str">
        <f>IF(AND(B1644&lt;&gt;"",A1644&lt;&gt;"BS",F1644&lt;&gt;"",H1644&lt;&gt;"",ISNUMBER(K1644),ISNUMBER(L1644)),IF(AND(K1644&gt;0,L1644&gt;0,K1644-L1644&gt;0,COUNTIFS(A1645:A$2005,A1644,F1645:F$2005,F1644,H1645:H$2005,H1644,AA1645:AA$2005,"&gt;0")=0),ROUND(K1644-L1644,6),""),"")</f>
        <v/>
      </c>
      <c r="X1644" s="60" t="str">
        <f>IF(AND(A1644="",C1644="",D1644="",H1644="",L1644=""),"",IF(A1644="","Type manquant",IF(AND(A1644&lt;&gt;"BL",A1644&lt;&gt;"BR",A1644&lt;&gt;"BS"),"Type inconnu (BL, BR ou BS)",IF(AG1644=0,"Date manquante ou invalide",IF(D1644="",IF(A1644="BL","Client manquant",IF(A1644="BR","Fournisseur manquant","Service manquant")),IF(IF(A1644="BL",ISNA(MATCH(D1644,cl_code,0)),IF(A1644="BR",ISNA(MATCH(D1644,fo_code,0)),ISNA(MATCH(D1644,p_services,0)))),IF(A1644="BL","Client inconnu",IF(A1644="BR","Fournisseur inconnu","Service inconnu")),IF(H1644="","Article manquant",IF(ISNA(MATCH(H1644,art_ref,0)),"Article inconnu",IF(OR(NOT(ISNUMBER(L1644)),N(L1644)&lt;=0),"Quantité invalide",IF(AND(K1644&lt;&gt;"",OR(NOT(ISNUMBER(K1644)),N(K1644)&lt;=0)),"Qté commandée invalide",IF(AG1644&lt;SUMPRODUCT(MAX((A$6:A1643=A1644)*AG$6:AG1643)),"Date antérieure au bon précédent",IF(AND(A1644&lt;&gt;"BR",ISNUMBER(M1644),N(M1644)&gt;0),IF(A1644="BL","Livré plus que commandé","Sorti plus que demandé"),"OK"))))))))))))</f>
        <v/>
      </c>
      <c r="Y1644" s="57" t="str">
        <f>IF(AND(OR(A1644="BL",A1644="BR",A1644="BS"),AG1644&gt;0,D1644&lt;&gt;""),A1644&amp;"|"&amp;AG1644&amp;"|"&amp;D1644&amp;"|"&amp;F1644,"")</f>
        <v/>
      </c>
      <c r="Z1644" s="57" t="str">
        <f>IF(Y1644="","",IF(COUNTIF(Y$6:Y1643,Y1644)=0,1,0))</f>
        <v/>
      </c>
      <c r="AA1644" s="57" t="str">
        <f>IF(Y1644="","",IF(Z1644=1,COUNTIFS(A$6:A1644,A1644,Z$6:Z1644,1),INDEX(AA$6:AA1643,MATCH(Y1644,Y$6:Y1643,0))))</f>
        <v/>
      </c>
      <c r="AB1644" s="57" t="str">
        <f>IF(B1644="","",COUNTIF(B$6:B1644,B1644))</f>
        <v/>
      </c>
      <c r="AC1644" s="57" t="str">
        <f>IF(B1644="","",B1644&amp;"#"&amp;AB1644)</f>
        <v/>
      </c>
      <c r="AD1644" s="57" t="str">
        <f>IF(Z1644=1,A1644&amp;AA1644,"")</f>
        <v/>
      </c>
      <c r="AE1644" s="57" t="str">
        <f>IF(B1644="","",YEAR(C1644))</f>
        <v/>
      </c>
      <c r="AF1644" s="57" t="str">
        <f>IF(B1644="","",MONTH(C1644))</f>
        <v/>
      </c>
      <c r="AG1644" s="57">
        <f>IF(ISNUMBER(C1644),C1644,0)</f>
        <v>0.0</v>
      </c>
      <c r="AH1644" s="57" t="str">
        <f>IF(N(W1644)&gt;0,COUNTIF(W$6:W1644,"&gt;0"),"")</f>
        <v/>
      </c>
      <c r="AI1644" s="57" t="str">
        <f>IF(Z1644=1,COUNTIF(Z$6:Z1644,1),"")</f>
        <v/>
      </c>
    </row>
    <row r="1645">
      <c r="A1645" s="54" t="n"/>
      <c r="B1645" s="55" t="str">
        <f>IF(AA1645="","",A1645&amp;"-"&amp;RIGHT("000"&amp;AA1645,4))</f>
        <v/>
      </c>
      <c r="C1645" s="56" t="n"/>
      <c r="D1645" s="54" t="n"/>
      <c r="E1645" s="57" t="str">
        <f>IF(D1645="","",IF(A1645="BL",IFERROR(INDEX(cl_name,MATCH(D1645,cl_code,0))&amp;"","Client inconnu"),IF(A1645="BR",IFERROR(INDEX(fo_name,MATCH(D1645,fo_code,0))&amp;"","Fournisseur inconnu"),IF(A1645="BS",IF(ISNA(MATCH(D1645,p_services,0)),"Service inconnu",D1645&amp;""),""))))</f>
        <v/>
      </c>
      <c r="F1645" s="58" t="n"/>
      <c r="G1645" s="58" t="n"/>
      <c r="H1645" s="59" t="n"/>
      <c r="I1645" s="57" t="str">
        <f>IF(H1645="","",IFERROR(INDEX(art_des,MATCH(H1645,art_ref,0))&amp;"","Article inconnu"))</f>
        <v/>
      </c>
      <c r="J1645" s="60" t="str">
        <f>IF(H1645="","",IFERROR(INDEX(art_unit,MATCH(H1645,art_ref,0))&amp;"",""))</f>
        <v/>
      </c>
      <c r="K1645" s="59" t="n"/>
      <c r="L1645" s="59" t="n"/>
      <c r="M1645" s="61" t="str">
        <f>IF(OR(B1645="",NOT(ISNUMBER(K1645)),NOT(ISNUMBER(L1645))),"",IF(OR(K1645&lt;=0,L1645&lt;=0),"",ROUND(L1645-K1645,6)))</f>
        <v/>
      </c>
      <c r="N1645" s="58" t="n"/>
      <c r="O1645" s="62" t="n"/>
      <c r="P1645" s="63" t="str">
        <f>IF(OR(B1645="",NOT(ISNUMBER(L1645))),"",IF(L1645&lt;=0,"",IFERROR(ROUND(L1645*N(INDEX(art_w,MATCH(H1645,art_ref,0))),3),"")))</f>
        <v/>
      </c>
      <c r="Q1645" s="59" t="n"/>
      <c r="R1645" s="54" t="n"/>
      <c r="S1645" s="59" t="n"/>
      <c r="T1645" s="59" t="n"/>
      <c r="U1645" s="64" t="str">
        <f>IF(OR(B1645="",H1645=""),"",IFERROR(IF(A1645="BL",IF(N(INDEX(art_price,MATCH(H1645,art_ref,0)))=0,"",N(INDEX(art_price,MATCH(H1645,art_ref,0)))),IF(N(INDEX(art_cost,MATCH(H1645,art_ref,0)))=0,"",N(INDEX(art_cost,MATCH(H1645,art_ref,0))))),""))</f>
        <v/>
      </c>
      <c r="V1645" s="64" t="str">
        <f>IF(OR(U1645="",NOT(ISNUMBER(L1645))),"",IF(L1645&lt;=0,"",ROUND(L1645*U1645,2)))</f>
        <v/>
      </c>
      <c r="W1645" s="60" t="str">
        <f>IF(AND(B1645&lt;&gt;"",A1645&lt;&gt;"BS",F1645&lt;&gt;"",H1645&lt;&gt;"",ISNUMBER(K1645),ISNUMBER(L1645)),IF(AND(K1645&gt;0,L1645&gt;0,K1645-L1645&gt;0,COUNTIFS(A1646:A$2005,A1645,F1646:F$2005,F1645,H1646:H$2005,H1645,AA1646:AA$2005,"&gt;0")=0),ROUND(K1645-L1645,6),""),"")</f>
        <v/>
      </c>
      <c r="X1645" s="60" t="str">
        <f>IF(AND(A1645="",C1645="",D1645="",H1645="",L1645=""),"",IF(A1645="","Type manquant",IF(AND(A1645&lt;&gt;"BL",A1645&lt;&gt;"BR",A1645&lt;&gt;"BS"),"Type inconnu (BL, BR ou BS)",IF(AG1645=0,"Date manquante ou invalide",IF(D1645="",IF(A1645="BL","Client manquant",IF(A1645="BR","Fournisseur manquant","Service manquant")),IF(IF(A1645="BL",ISNA(MATCH(D1645,cl_code,0)),IF(A1645="BR",ISNA(MATCH(D1645,fo_code,0)),ISNA(MATCH(D1645,p_services,0)))),IF(A1645="BL","Client inconnu",IF(A1645="BR","Fournisseur inconnu","Service inconnu")),IF(H1645="","Article manquant",IF(ISNA(MATCH(H1645,art_ref,0)),"Article inconnu",IF(OR(NOT(ISNUMBER(L1645)),N(L1645)&lt;=0),"Quantité invalide",IF(AND(K1645&lt;&gt;"",OR(NOT(ISNUMBER(K1645)),N(K1645)&lt;=0)),"Qté commandée invalide",IF(AG1645&lt;SUMPRODUCT(MAX((A$6:A1644=A1645)*AG$6:AG1644)),"Date antérieure au bon précédent",IF(AND(A1645&lt;&gt;"BR",ISNUMBER(M1645),N(M1645)&gt;0),IF(A1645="BL","Livré plus que commandé","Sorti plus que demandé"),"OK"))))))))))))</f>
        <v/>
      </c>
      <c r="Y1645" s="57" t="str">
        <f>IF(AND(OR(A1645="BL",A1645="BR",A1645="BS"),AG1645&gt;0,D1645&lt;&gt;""),A1645&amp;"|"&amp;AG1645&amp;"|"&amp;D1645&amp;"|"&amp;F1645,"")</f>
        <v/>
      </c>
      <c r="Z1645" s="57" t="str">
        <f>IF(Y1645="","",IF(COUNTIF(Y$6:Y1644,Y1645)=0,1,0))</f>
        <v/>
      </c>
      <c r="AA1645" s="57" t="str">
        <f>IF(Y1645="","",IF(Z1645=1,COUNTIFS(A$6:A1645,A1645,Z$6:Z1645,1),INDEX(AA$6:AA1644,MATCH(Y1645,Y$6:Y1644,0))))</f>
        <v/>
      </c>
      <c r="AB1645" s="57" t="str">
        <f>IF(B1645="","",COUNTIF(B$6:B1645,B1645))</f>
        <v/>
      </c>
      <c r="AC1645" s="57" t="str">
        <f>IF(B1645="","",B1645&amp;"#"&amp;AB1645)</f>
        <v/>
      </c>
      <c r="AD1645" s="57" t="str">
        <f>IF(Z1645=1,A1645&amp;AA1645,"")</f>
        <v/>
      </c>
      <c r="AE1645" s="57" t="str">
        <f>IF(B1645="","",YEAR(C1645))</f>
        <v/>
      </c>
      <c r="AF1645" s="57" t="str">
        <f>IF(B1645="","",MONTH(C1645))</f>
        <v/>
      </c>
      <c r="AG1645" s="57">
        <f>IF(ISNUMBER(C1645),C1645,0)</f>
        <v>0.0</v>
      </c>
      <c r="AH1645" s="57" t="str">
        <f>IF(N(W1645)&gt;0,COUNTIF(W$6:W1645,"&gt;0"),"")</f>
        <v/>
      </c>
      <c r="AI1645" s="57" t="str">
        <f>IF(Z1645=1,COUNTIF(Z$6:Z1645,1),"")</f>
        <v/>
      </c>
    </row>
    <row r="1646">
      <c r="A1646" s="54" t="n"/>
      <c r="B1646" s="55" t="str">
        <f>IF(AA1646="","",A1646&amp;"-"&amp;RIGHT("000"&amp;AA1646,4))</f>
        <v/>
      </c>
      <c r="C1646" s="56" t="n"/>
      <c r="D1646" s="54" t="n"/>
      <c r="E1646" s="57" t="str">
        <f>IF(D1646="","",IF(A1646="BL",IFERROR(INDEX(cl_name,MATCH(D1646,cl_code,0))&amp;"","Client inconnu"),IF(A1646="BR",IFERROR(INDEX(fo_name,MATCH(D1646,fo_code,0))&amp;"","Fournisseur inconnu"),IF(A1646="BS",IF(ISNA(MATCH(D1646,p_services,0)),"Service inconnu",D1646&amp;""),""))))</f>
        <v/>
      </c>
      <c r="F1646" s="58" t="n"/>
      <c r="G1646" s="58" t="n"/>
      <c r="H1646" s="59" t="n"/>
      <c r="I1646" s="57" t="str">
        <f>IF(H1646="","",IFERROR(INDEX(art_des,MATCH(H1646,art_ref,0))&amp;"","Article inconnu"))</f>
        <v/>
      </c>
      <c r="J1646" s="60" t="str">
        <f>IF(H1646="","",IFERROR(INDEX(art_unit,MATCH(H1646,art_ref,0))&amp;"",""))</f>
        <v/>
      </c>
      <c r="K1646" s="59" t="n"/>
      <c r="L1646" s="59" t="n"/>
      <c r="M1646" s="61" t="str">
        <f>IF(OR(B1646="",NOT(ISNUMBER(K1646)),NOT(ISNUMBER(L1646))),"",IF(OR(K1646&lt;=0,L1646&lt;=0),"",ROUND(L1646-K1646,6)))</f>
        <v/>
      </c>
      <c r="N1646" s="58" t="n"/>
      <c r="O1646" s="62" t="n"/>
      <c r="P1646" s="63" t="str">
        <f>IF(OR(B1646="",NOT(ISNUMBER(L1646))),"",IF(L1646&lt;=0,"",IFERROR(ROUND(L1646*N(INDEX(art_w,MATCH(H1646,art_ref,0))),3),"")))</f>
        <v/>
      </c>
      <c r="Q1646" s="59" t="n"/>
      <c r="R1646" s="54" t="n"/>
      <c r="S1646" s="59" t="n"/>
      <c r="T1646" s="59" t="n"/>
      <c r="U1646" s="64" t="str">
        <f>IF(OR(B1646="",H1646=""),"",IFERROR(IF(A1646="BL",IF(N(INDEX(art_price,MATCH(H1646,art_ref,0)))=0,"",N(INDEX(art_price,MATCH(H1646,art_ref,0)))),IF(N(INDEX(art_cost,MATCH(H1646,art_ref,0)))=0,"",N(INDEX(art_cost,MATCH(H1646,art_ref,0))))),""))</f>
        <v/>
      </c>
      <c r="V1646" s="64" t="str">
        <f>IF(OR(U1646="",NOT(ISNUMBER(L1646))),"",IF(L1646&lt;=0,"",ROUND(L1646*U1646,2)))</f>
        <v/>
      </c>
      <c r="W1646" s="60" t="str">
        <f>IF(AND(B1646&lt;&gt;"",A1646&lt;&gt;"BS",F1646&lt;&gt;"",H1646&lt;&gt;"",ISNUMBER(K1646),ISNUMBER(L1646)),IF(AND(K1646&gt;0,L1646&gt;0,K1646-L1646&gt;0,COUNTIFS(A1647:A$2005,A1646,F1647:F$2005,F1646,H1647:H$2005,H1646,AA1647:AA$2005,"&gt;0")=0),ROUND(K1646-L1646,6),""),"")</f>
        <v/>
      </c>
      <c r="X1646" s="60" t="str">
        <f>IF(AND(A1646="",C1646="",D1646="",H1646="",L1646=""),"",IF(A1646="","Type manquant",IF(AND(A1646&lt;&gt;"BL",A1646&lt;&gt;"BR",A1646&lt;&gt;"BS"),"Type inconnu (BL, BR ou BS)",IF(AG1646=0,"Date manquante ou invalide",IF(D1646="",IF(A1646="BL","Client manquant",IF(A1646="BR","Fournisseur manquant","Service manquant")),IF(IF(A1646="BL",ISNA(MATCH(D1646,cl_code,0)),IF(A1646="BR",ISNA(MATCH(D1646,fo_code,0)),ISNA(MATCH(D1646,p_services,0)))),IF(A1646="BL","Client inconnu",IF(A1646="BR","Fournisseur inconnu","Service inconnu")),IF(H1646="","Article manquant",IF(ISNA(MATCH(H1646,art_ref,0)),"Article inconnu",IF(OR(NOT(ISNUMBER(L1646)),N(L1646)&lt;=0),"Quantité invalide",IF(AND(K1646&lt;&gt;"",OR(NOT(ISNUMBER(K1646)),N(K1646)&lt;=0)),"Qté commandée invalide",IF(AG1646&lt;SUMPRODUCT(MAX((A$6:A1645=A1646)*AG$6:AG1645)),"Date antérieure au bon précédent",IF(AND(A1646&lt;&gt;"BR",ISNUMBER(M1646),N(M1646)&gt;0),IF(A1646="BL","Livré plus que commandé","Sorti plus que demandé"),"OK"))))))))))))</f>
        <v/>
      </c>
      <c r="Y1646" s="57" t="str">
        <f>IF(AND(OR(A1646="BL",A1646="BR",A1646="BS"),AG1646&gt;0,D1646&lt;&gt;""),A1646&amp;"|"&amp;AG1646&amp;"|"&amp;D1646&amp;"|"&amp;F1646,"")</f>
        <v/>
      </c>
      <c r="Z1646" s="57" t="str">
        <f>IF(Y1646="","",IF(COUNTIF(Y$6:Y1645,Y1646)=0,1,0))</f>
        <v/>
      </c>
      <c r="AA1646" s="57" t="str">
        <f>IF(Y1646="","",IF(Z1646=1,COUNTIFS(A$6:A1646,A1646,Z$6:Z1646,1),INDEX(AA$6:AA1645,MATCH(Y1646,Y$6:Y1645,0))))</f>
        <v/>
      </c>
      <c r="AB1646" s="57" t="str">
        <f>IF(B1646="","",COUNTIF(B$6:B1646,B1646))</f>
        <v/>
      </c>
      <c r="AC1646" s="57" t="str">
        <f>IF(B1646="","",B1646&amp;"#"&amp;AB1646)</f>
        <v/>
      </c>
      <c r="AD1646" s="57" t="str">
        <f>IF(Z1646=1,A1646&amp;AA1646,"")</f>
        <v/>
      </c>
      <c r="AE1646" s="57" t="str">
        <f>IF(B1646="","",YEAR(C1646))</f>
        <v/>
      </c>
      <c r="AF1646" s="57" t="str">
        <f>IF(B1646="","",MONTH(C1646))</f>
        <v/>
      </c>
      <c r="AG1646" s="57">
        <f>IF(ISNUMBER(C1646),C1646,0)</f>
        <v>0.0</v>
      </c>
      <c r="AH1646" s="57" t="str">
        <f>IF(N(W1646)&gt;0,COUNTIF(W$6:W1646,"&gt;0"),"")</f>
        <v/>
      </c>
      <c r="AI1646" s="57" t="str">
        <f>IF(Z1646=1,COUNTIF(Z$6:Z1646,1),"")</f>
        <v/>
      </c>
    </row>
    <row r="1647">
      <c r="A1647" s="54" t="n"/>
      <c r="B1647" s="55" t="str">
        <f>IF(AA1647="","",A1647&amp;"-"&amp;RIGHT("000"&amp;AA1647,4))</f>
        <v/>
      </c>
      <c r="C1647" s="56" t="n"/>
      <c r="D1647" s="54" t="n"/>
      <c r="E1647" s="57" t="str">
        <f>IF(D1647="","",IF(A1647="BL",IFERROR(INDEX(cl_name,MATCH(D1647,cl_code,0))&amp;"","Client inconnu"),IF(A1647="BR",IFERROR(INDEX(fo_name,MATCH(D1647,fo_code,0))&amp;"","Fournisseur inconnu"),IF(A1647="BS",IF(ISNA(MATCH(D1647,p_services,0)),"Service inconnu",D1647&amp;""),""))))</f>
        <v/>
      </c>
      <c r="F1647" s="58" t="n"/>
      <c r="G1647" s="58" t="n"/>
      <c r="H1647" s="59" t="n"/>
      <c r="I1647" s="57" t="str">
        <f>IF(H1647="","",IFERROR(INDEX(art_des,MATCH(H1647,art_ref,0))&amp;"","Article inconnu"))</f>
        <v/>
      </c>
      <c r="J1647" s="60" t="str">
        <f>IF(H1647="","",IFERROR(INDEX(art_unit,MATCH(H1647,art_ref,0))&amp;"",""))</f>
        <v/>
      </c>
      <c r="K1647" s="59" t="n"/>
      <c r="L1647" s="59" t="n"/>
      <c r="M1647" s="61" t="str">
        <f>IF(OR(B1647="",NOT(ISNUMBER(K1647)),NOT(ISNUMBER(L1647))),"",IF(OR(K1647&lt;=0,L1647&lt;=0),"",ROUND(L1647-K1647,6)))</f>
        <v/>
      </c>
      <c r="N1647" s="58" t="n"/>
      <c r="O1647" s="62" t="n"/>
      <c r="P1647" s="63" t="str">
        <f>IF(OR(B1647="",NOT(ISNUMBER(L1647))),"",IF(L1647&lt;=0,"",IFERROR(ROUND(L1647*N(INDEX(art_w,MATCH(H1647,art_ref,0))),3),"")))</f>
        <v/>
      </c>
      <c r="Q1647" s="59" t="n"/>
      <c r="R1647" s="54" t="n"/>
      <c r="S1647" s="59" t="n"/>
      <c r="T1647" s="59" t="n"/>
      <c r="U1647" s="64" t="str">
        <f>IF(OR(B1647="",H1647=""),"",IFERROR(IF(A1647="BL",IF(N(INDEX(art_price,MATCH(H1647,art_ref,0)))=0,"",N(INDEX(art_price,MATCH(H1647,art_ref,0)))),IF(N(INDEX(art_cost,MATCH(H1647,art_ref,0)))=0,"",N(INDEX(art_cost,MATCH(H1647,art_ref,0))))),""))</f>
        <v/>
      </c>
      <c r="V1647" s="64" t="str">
        <f>IF(OR(U1647="",NOT(ISNUMBER(L1647))),"",IF(L1647&lt;=0,"",ROUND(L1647*U1647,2)))</f>
        <v/>
      </c>
      <c r="W1647" s="60" t="str">
        <f>IF(AND(B1647&lt;&gt;"",A1647&lt;&gt;"BS",F1647&lt;&gt;"",H1647&lt;&gt;"",ISNUMBER(K1647),ISNUMBER(L1647)),IF(AND(K1647&gt;0,L1647&gt;0,K1647-L1647&gt;0,COUNTIFS(A1648:A$2005,A1647,F1648:F$2005,F1647,H1648:H$2005,H1647,AA1648:AA$2005,"&gt;0")=0),ROUND(K1647-L1647,6),""),"")</f>
        <v/>
      </c>
      <c r="X1647" s="60" t="str">
        <f>IF(AND(A1647="",C1647="",D1647="",H1647="",L1647=""),"",IF(A1647="","Type manquant",IF(AND(A1647&lt;&gt;"BL",A1647&lt;&gt;"BR",A1647&lt;&gt;"BS"),"Type inconnu (BL, BR ou BS)",IF(AG1647=0,"Date manquante ou invalide",IF(D1647="",IF(A1647="BL","Client manquant",IF(A1647="BR","Fournisseur manquant","Service manquant")),IF(IF(A1647="BL",ISNA(MATCH(D1647,cl_code,0)),IF(A1647="BR",ISNA(MATCH(D1647,fo_code,0)),ISNA(MATCH(D1647,p_services,0)))),IF(A1647="BL","Client inconnu",IF(A1647="BR","Fournisseur inconnu","Service inconnu")),IF(H1647="","Article manquant",IF(ISNA(MATCH(H1647,art_ref,0)),"Article inconnu",IF(OR(NOT(ISNUMBER(L1647)),N(L1647)&lt;=0),"Quantité invalide",IF(AND(K1647&lt;&gt;"",OR(NOT(ISNUMBER(K1647)),N(K1647)&lt;=0)),"Qté commandée invalide",IF(AG1647&lt;SUMPRODUCT(MAX((A$6:A1646=A1647)*AG$6:AG1646)),"Date antérieure au bon précédent",IF(AND(A1647&lt;&gt;"BR",ISNUMBER(M1647),N(M1647)&gt;0),IF(A1647="BL","Livré plus que commandé","Sorti plus que demandé"),"OK"))))))))))))</f>
        <v/>
      </c>
      <c r="Y1647" s="57" t="str">
        <f>IF(AND(OR(A1647="BL",A1647="BR",A1647="BS"),AG1647&gt;0,D1647&lt;&gt;""),A1647&amp;"|"&amp;AG1647&amp;"|"&amp;D1647&amp;"|"&amp;F1647,"")</f>
        <v/>
      </c>
      <c r="Z1647" s="57" t="str">
        <f>IF(Y1647="","",IF(COUNTIF(Y$6:Y1646,Y1647)=0,1,0))</f>
        <v/>
      </c>
      <c r="AA1647" s="57" t="str">
        <f>IF(Y1647="","",IF(Z1647=1,COUNTIFS(A$6:A1647,A1647,Z$6:Z1647,1),INDEX(AA$6:AA1646,MATCH(Y1647,Y$6:Y1646,0))))</f>
        <v/>
      </c>
      <c r="AB1647" s="57" t="str">
        <f>IF(B1647="","",COUNTIF(B$6:B1647,B1647))</f>
        <v/>
      </c>
      <c r="AC1647" s="57" t="str">
        <f>IF(B1647="","",B1647&amp;"#"&amp;AB1647)</f>
        <v/>
      </c>
      <c r="AD1647" s="57" t="str">
        <f>IF(Z1647=1,A1647&amp;AA1647,"")</f>
        <v/>
      </c>
      <c r="AE1647" s="57" t="str">
        <f>IF(B1647="","",YEAR(C1647))</f>
        <v/>
      </c>
      <c r="AF1647" s="57" t="str">
        <f>IF(B1647="","",MONTH(C1647))</f>
        <v/>
      </c>
      <c r="AG1647" s="57">
        <f>IF(ISNUMBER(C1647),C1647,0)</f>
        <v>0.0</v>
      </c>
      <c r="AH1647" s="57" t="str">
        <f>IF(N(W1647)&gt;0,COUNTIF(W$6:W1647,"&gt;0"),"")</f>
        <v/>
      </c>
      <c r="AI1647" s="57" t="str">
        <f>IF(Z1647=1,COUNTIF(Z$6:Z1647,1),"")</f>
        <v/>
      </c>
    </row>
    <row r="1648">
      <c r="A1648" s="54" t="n"/>
      <c r="B1648" s="55" t="str">
        <f>IF(AA1648="","",A1648&amp;"-"&amp;RIGHT("000"&amp;AA1648,4))</f>
        <v/>
      </c>
      <c r="C1648" s="56" t="n"/>
      <c r="D1648" s="54" t="n"/>
      <c r="E1648" s="57" t="str">
        <f>IF(D1648="","",IF(A1648="BL",IFERROR(INDEX(cl_name,MATCH(D1648,cl_code,0))&amp;"","Client inconnu"),IF(A1648="BR",IFERROR(INDEX(fo_name,MATCH(D1648,fo_code,0))&amp;"","Fournisseur inconnu"),IF(A1648="BS",IF(ISNA(MATCH(D1648,p_services,0)),"Service inconnu",D1648&amp;""),""))))</f>
        <v/>
      </c>
      <c r="F1648" s="58" t="n"/>
      <c r="G1648" s="58" t="n"/>
      <c r="H1648" s="59" t="n"/>
      <c r="I1648" s="57" t="str">
        <f>IF(H1648="","",IFERROR(INDEX(art_des,MATCH(H1648,art_ref,0))&amp;"","Article inconnu"))</f>
        <v/>
      </c>
      <c r="J1648" s="60" t="str">
        <f>IF(H1648="","",IFERROR(INDEX(art_unit,MATCH(H1648,art_ref,0))&amp;"",""))</f>
        <v/>
      </c>
      <c r="K1648" s="59" t="n"/>
      <c r="L1648" s="59" t="n"/>
      <c r="M1648" s="61" t="str">
        <f>IF(OR(B1648="",NOT(ISNUMBER(K1648)),NOT(ISNUMBER(L1648))),"",IF(OR(K1648&lt;=0,L1648&lt;=0),"",ROUND(L1648-K1648,6)))</f>
        <v/>
      </c>
      <c r="N1648" s="58" t="n"/>
      <c r="O1648" s="62" t="n"/>
      <c r="P1648" s="63" t="str">
        <f>IF(OR(B1648="",NOT(ISNUMBER(L1648))),"",IF(L1648&lt;=0,"",IFERROR(ROUND(L1648*N(INDEX(art_w,MATCH(H1648,art_ref,0))),3),"")))</f>
        <v/>
      </c>
      <c r="Q1648" s="59" t="n"/>
      <c r="R1648" s="54" t="n"/>
      <c r="S1648" s="59" t="n"/>
      <c r="T1648" s="59" t="n"/>
      <c r="U1648" s="64" t="str">
        <f>IF(OR(B1648="",H1648=""),"",IFERROR(IF(A1648="BL",IF(N(INDEX(art_price,MATCH(H1648,art_ref,0)))=0,"",N(INDEX(art_price,MATCH(H1648,art_ref,0)))),IF(N(INDEX(art_cost,MATCH(H1648,art_ref,0)))=0,"",N(INDEX(art_cost,MATCH(H1648,art_ref,0))))),""))</f>
        <v/>
      </c>
      <c r="V1648" s="64" t="str">
        <f>IF(OR(U1648="",NOT(ISNUMBER(L1648))),"",IF(L1648&lt;=0,"",ROUND(L1648*U1648,2)))</f>
        <v/>
      </c>
      <c r="W1648" s="60" t="str">
        <f>IF(AND(B1648&lt;&gt;"",A1648&lt;&gt;"BS",F1648&lt;&gt;"",H1648&lt;&gt;"",ISNUMBER(K1648),ISNUMBER(L1648)),IF(AND(K1648&gt;0,L1648&gt;0,K1648-L1648&gt;0,COUNTIFS(A1649:A$2005,A1648,F1649:F$2005,F1648,H1649:H$2005,H1648,AA1649:AA$2005,"&gt;0")=0),ROUND(K1648-L1648,6),""),"")</f>
        <v/>
      </c>
      <c r="X1648" s="60" t="str">
        <f>IF(AND(A1648="",C1648="",D1648="",H1648="",L1648=""),"",IF(A1648="","Type manquant",IF(AND(A1648&lt;&gt;"BL",A1648&lt;&gt;"BR",A1648&lt;&gt;"BS"),"Type inconnu (BL, BR ou BS)",IF(AG1648=0,"Date manquante ou invalide",IF(D1648="",IF(A1648="BL","Client manquant",IF(A1648="BR","Fournisseur manquant","Service manquant")),IF(IF(A1648="BL",ISNA(MATCH(D1648,cl_code,0)),IF(A1648="BR",ISNA(MATCH(D1648,fo_code,0)),ISNA(MATCH(D1648,p_services,0)))),IF(A1648="BL","Client inconnu",IF(A1648="BR","Fournisseur inconnu","Service inconnu")),IF(H1648="","Article manquant",IF(ISNA(MATCH(H1648,art_ref,0)),"Article inconnu",IF(OR(NOT(ISNUMBER(L1648)),N(L1648)&lt;=0),"Quantité invalide",IF(AND(K1648&lt;&gt;"",OR(NOT(ISNUMBER(K1648)),N(K1648)&lt;=0)),"Qté commandée invalide",IF(AG1648&lt;SUMPRODUCT(MAX((A$6:A1647=A1648)*AG$6:AG1647)),"Date antérieure au bon précédent",IF(AND(A1648&lt;&gt;"BR",ISNUMBER(M1648),N(M1648)&gt;0),IF(A1648="BL","Livré plus que commandé","Sorti plus que demandé"),"OK"))))))))))))</f>
        <v/>
      </c>
      <c r="Y1648" s="57" t="str">
        <f>IF(AND(OR(A1648="BL",A1648="BR",A1648="BS"),AG1648&gt;0,D1648&lt;&gt;""),A1648&amp;"|"&amp;AG1648&amp;"|"&amp;D1648&amp;"|"&amp;F1648,"")</f>
        <v/>
      </c>
      <c r="Z1648" s="57" t="str">
        <f>IF(Y1648="","",IF(COUNTIF(Y$6:Y1647,Y1648)=0,1,0))</f>
        <v/>
      </c>
      <c r="AA1648" s="57" t="str">
        <f>IF(Y1648="","",IF(Z1648=1,COUNTIFS(A$6:A1648,A1648,Z$6:Z1648,1),INDEX(AA$6:AA1647,MATCH(Y1648,Y$6:Y1647,0))))</f>
        <v/>
      </c>
      <c r="AB1648" s="57" t="str">
        <f>IF(B1648="","",COUNTIF(B$6:B1648,B1648))</f>
        <v/>
      </c>
      <c r="AC1648" s="57" t="str">
        <f>IF(B1648="","",B1648&amp;"#"&amp;AB1648)</f>
        <v/>
      </c>
      <c r="AD1648" s="57" t="str">
        <f>IF(Z1648=1,A1648&amp;AA1648,"")</f>
        <v/>
      </c>
      <c r="AE1648" s="57" t="str">
        <f>IF(B1648="","",YEAR(C1648))</f>
        <v/>
      </c>
      <c r="AF1648" s="57" t="str">
        <f>IF(B1648="","",MONTH(C1648))</f>
        <v/>
      </c>
      <c r="AG1648" s="57">
        <f>IF(ISNUMBER(C1648),C1648,0)</f>
        <v>0.0</v>
      </c>
      <c r="AH1648" s="57" t="str">
        <f>IF(N(W1648)&gt;0,COUNTIF(W$6:W1648,"&gt;0"),"")</f>
        <v/>
      </c>
      <c r="AI1648" s="57" t="str">
        <f>IF(Z1648=1,COUNTIF(Z$6:Z1648,1),"")</f>
        <v/>
      </c>
    </row>
    <row r="1649">
      <c r="A1649" s="54" t="n"/>
      <c r="B1649" s="55" t="str">
        <f>IF(AA1649="","",A1649&amp;"-"&amp;RIGHT("000"&amp;AA1649,4))</f>
        <v/>
      </c>
      <c r="C1649" s="56" t="n"/>
      <c r="D1649" s="54" t="n"/>
      <c r="E1649" s="57" t="str">
        <f>IF(D1649="","",IF(A1649="BL",IFERROR(INDEX(cl_name,MATCH(D1649,cl_code,0))&amp;"","Client inconnu"),IF(A1649="BR",IFERROR(INDEX(fo_name,MATCH(D1649,fo_code,0))&amp;"","Fournisseur inconnu"),IF(A1649="BS",IF(ISNA(MATCH(D1649,p_services,0)),"Service inconnu",D1649&amp;""),""))))</f>
        <v/>
      </c>
      <c r="F1649" s="58" t="n"/>
      <c r="G1649" s="58" t="n"/>
      <c r="H1649" s="59" t="n"/>
      <c r="I1649" s="57" t="str">
        <f>IF(H1649="","",IFERROR(INDEX(art_des,MATCH(H1649,art_ref,0))&amp;"","Article inconnu"))</f>
        <v/>
      </c>
      <c r="J1649" s="60" t="str">
        <f>IF(H1649="","",IFERROR(INDEX(art_unit,MATCH(H1649,art_ref,0))&amp;"",""))</f>
        <v/>
      </c>
      <c r="K1649" s="59" t="n"/>
      <c r="L1649" s="59" t="n"/>
      <c r="M1649" s="61" t="str">
        <f>IF(OR(B1649="",NOT(ISNUMBER(K1649)),NOT(ISNUMBER(L1649))),"",IF(OR(K1649&lt;=0,L1649&lt;=0),"",ROUND(L1649-K1649,6)))</f>
        <v/>
      </c>
      <c r="N1649" s="58" t="n"/>
      <c r="O1649" s="62" t="n"/>
      <c r="P1649" s="63" t="str">
        <f>IF(OR(B1649="",NOT(ISNUMBER(L1649))),"",IF(L1649&lt;=0,"",IFERROR(ROUND(L1649*N(INDEX(art_w,MATCH(H1649,art_ref,0))),3),"")))</f>
        <v/>
      </c>
      <c r="Q1649" s="59" t="n"/>
      <c r="R1649" s="54" t="n"/>
      <c r="S1649" s="59" t="n"/>
      <c r="T1649" s="59" t="n"/>
      <c r="U1649" s="64" t="str">
        <f>IF(OR(B1649="",H1649=""),"",IFERROR(IF(A1649="BL",IF(N(INDEX(art_price,MATCH(H1649,art_ref,0)))=0,"",N(INDEX(art_price,MATCH(H1649,art_ref,0)))),IF(N(INDEX(art_cost,MATCH(H1649,art_ref,0)))=0,"",N(INDEX(art_cost,MATCH(H1649,art_ref,0))))),""))</f>
        <v/>
      </c>
      <c r="V1649" s="64" t="str">
        <f>IF(OR(U1649="",NOT(ISNUMBER(L1649))),"",IF(L1649&lt;=0,"",ROUND(L1649*U1649,2)))</f>
        <v/>
      </c>
      <c r="W1649" s="60" t="str">
        <f>IF(AND(B1649&lt;&gt;"",A1649&lt;&gt;"BS",F1649&lt;&gt;"",H1649&lt;&gt;"",ISNUMBER(K1649),ISNUMBER(L1649)),IF(AND(K1649&gt;0,L1649&gt;0,K1649-L1649&gt;0,COUNTIFS(A1650:A$2005,A1649,F1650:F$2005,F1649,H1650:H$2005,H1649,AA1650:AA$2005,"&gt;0")=0),ROUND(K1649-L1649,6),""),"")</f>
        <v/>
      </c>
      <c r="X1649" s="60" t="str">
        <f>IF(AND(A1649="",C1649="",D1649="",H1649="",L1649=""),"",IF(A1649="","Type manquant",IF(AND(A1649&lt;&gt;"BL",A1649&lt;&gt;"BR",A1649&lt;&gt;"BS"),"Type inconnu (BL, BR ou BS)",IF(AG1649=0,"Date manquante ou invalide",IF(D1649="",IF(A1649="BL","Client manquant",IF(A1649="BR","Fournisseur manquant","Service manquant")),IF(IF(A1649="BL",ISNA(MATCH(D1649,cl_code,0)),IF(A1649="BR",ISNA(MATCH(D1649,fo_code,0)),ISNA(MATCH(D1649,p_services,0)))),IF(A1649="BL","Client inconnu",IF(A1649="BR","Fournisseur inconnu","Service inconnu")),IF(H1649="","Article manquant",IF(ISNA(MATCH(H1649,art_ref,0)),"Article inconnu",IF(OR(NOT(ISNUMBER(L1649)),N(L1649)&lt;=0),"Quantité invalide",IF(AND(K1649&lt;&gt;"",OR(NOT(ISNUMBER(K1649)),N(K1649)&lt;=0)),"Qté commandée invalide",IF(AG1649&lt;SUMPRODUCT(MAX((A$6:A1648=A1649)*AG$6:AG1648)),"Date antérieure au bon précédent",IF(AND(A1649&lt;&gt;"BR",ISNUMBER(M1649),N(M1649)&gt;0),IF(A1649="BL","Livré plus que commandé","Sorti plus que demandé"),"OK"))))))))))))</f>
        <v/>
      </c>
      <c r="Y1649" s="57" t="str">
        <f>IF(AND(OR(A1649="BL",A1649="BR",A1649="BS"),AG1649&gt;0,D1649&lt;&gt;""),A1649&amp;"|"&amp;AG1649&amp;"|"&amp;D1649&amp;"|"&amp;F1649,"")</f>
        <v/>
      </c>
      <c r="Z1649" s="57" t="str">
        <f>IF(Y1649="","",IF(COUNTIF(Y$6:Y1648,Y1649)=0,1,0))</f>
        <v/>
      </c>
      <c r="AA1649" s="57" t="str">
        <f>IF(Y1649="","",IF(Z1649=1,COUNTIFS(A$6:A1649,A1649,Z$6:Z1649,1),INDEX(AA$6:AA1648,MATCH(Y1649,Y$6:Y1648,0))))</f>
        <v/>
      </c>
      <c r="AB1649" s="57" t="str">
        <f>IF(B1649="","",COUNTIF(B$6:B1649,B1649))</f>
        <v/>
      </c>
      <c r="AC1649" s="57" t="str">
        <f>IF(B1649="","",B1649&amp;"#"&amp;AB1649)</f>
        <v/>
      </c>
      <c r="AD1649" s="57" t="str">
        <f>IF(Z1649=1,A1649&amp;AA1649,"")</f>
        <v/>
      </c>
      <c r="AE1649" s="57" t="str">
        <f>IF(B1649="","",YEAR(C1649))</f>
        <v/>
      </c>
      <c r="AF1649" s="57" t="str">
        <f>IF(B1649="","",MONTH(C1649))</f>
        <v/>
      </c>
      <c r="AG1649" s="57">
        <f>IF(ISNUMBER(C1649),C1649,0)</f>
        <v>0.0</v>
      </c>
      <c r="AH1649" s="57" t="str">
        <f>IF(N(W1649)&gt;0,COUNTIF(W$6:W1649,"&gt;0"),"")</f>
        <v/>
      </c>
      <c r="AI1649" s="57" t="str">
        <f>IF(Z1649=1,COUNTIF(Z$6:Z1649,1),"")</f>
        <v/>
      </c>
    </row>
    <row r="1650">
      <c r="A1650" s="54" t="n"/>
      <c r="B1650" s="55" t="str">
        <f>IF(AA1650="","",A1650&amp;"-"&amp;RIGHT("000"&amp;AA1650,4))</f>
        <v/>
      </c>
      <c r="C1650" s="56" t="n"/>
      <c r="D1650" s="54" t="n"/>
      <c r="E1650" s="57" t="str">
        <f>IF(D1650="","",IF(A1650="BL",IFERROR(INDEX(cl_name,MATCH(D1650,cl_code,0))&amp;"","Client inconnu"),IF(A1650="BR",IFERROR(INDEX(fo_name,MATCH(D1650,fo_code,0))&amp;"","Fournisseur inconnu"),IF(A1650="BS",IF(ISNA(MATCH(D1650,p_services,0)),"Service inconnu",D1650&amp;""),""))))</f>
        <v/>
      </c>
      <c r="F1650" s="58" t="n"/>
      <c r="G1650" s="58" t="n"/>
      <c r="H1650" s="59" t="n"/>
      <c r="I1650" s="57" t="str">
        <f>IF(H1650="","",IFERROR(INDEX(art_des,MATCH(H1650,art_ref,0))&amp;"","Article inconnu"))</f>
        <v/>
      </c>
      <c r="J1650" s="60" t="str">
        <f>IF(H1650="","",IFERROR(INDEX(art_unit,MATCH(H1650,art_ref,0))&amp;"",""))</f>
        <v/>
      </c>
      <c r="K1650" s="59" t="n"/>
      <c r="L1650" s="59" t="n"/>
      <c r="M1650" s="61" t="str">
        <f>IF(OR(B1650="",NOT(ISNUMBER(K1650)),NOT(ISNUMBER(L1650))),"",IF(OR(K1650&lt;=0,L1650&lt;=0),"",ROUND(L1650-K1650,6)))</f>
        <v/>
      </c>
      <c r="N1650" s="58" t="n"/>
      <c r="O1650" s="62" t="n"/>
      <c r="P1650" s="63" t="str">
        <f>IF(OR(B1650="",NOT(ISNUMBER(L1650))),"",IF(L1650&lt;=0,"",IFERROR(ROUND(L1650*N(INDEX(art_w,MATCH(H1650,art_ref,0))),3),"")))</f>
        <v/>
      </c>
      <c r="Q1650" s="59" t="n"/>
      <c r="R1650" s="54" t="n"/>
      <c r="S1650" s="59" t="n"/>
      <c r="T1650" s="59" t="n"/>
      <c r="U1650" s="64" t="str">
        <f>IF(OR(B1650="",H1650=""),"",IFERROR(IF(A1650="BL",IF(N(INDEX(art_price,MATCH(H1650,art_ref,0)))=0,"",N(INDEX(art_price,MATCH(H1650,art_ref,0)))),IF(N(INDEX(art_cost,MATCH(H1650,art_ref,0)))=0,"",N(INDEX(art_cost,MATCH(H1650,art_ref,0))))),""))</f>
        <v/>
      </c>
      <c r="V1650" s="64" t="str">
        <f>IF(OR(U1650="",NOT(ISNUMBER(L1650))),"",IF(L1650&lt;=0,"",ROUND(L1650*U1650,2)))</f>
        <v/>
      </c>
      <c r="W1650" s="60" t="str">
        <f>IF(AND(B1650&lt;&gt;"",A1650&lt;&gt;"BS",F1650&lt;&gt;"",H1650&lt;&gt;"",ISNUMBER(K1650),ISNUMBER(L1650)),IF(AND(K1650&gt;0,L1650&gt;0,K1650-L1650&gt;0,COUNTIFS(A1651:A$2005,A1650,F1651:F$2005,F1650,H1651:H$2005,H1650,AA1651:AA$2005,"&gt;0")=0),ROUND(K1650-L1650,6),""),"")</f>
        <v/>
      </c>
      <c r="X1650" s="60" t="str">
        <f>IF(AND(A1650="",C1650="",D1650="",H1650="",L1650=""),"",IF(A1650="","Type manquant",IF(AND(A1650&lt;&gt;"BL",A1650&lt;&gt;"BR",A1650&lt;&gt;"BS"),"Type inconnu (BL, BR ou BS)",IF(AG1650=0,"Date manquante ou invalide",IF(D1650="",IF(A1650="BL","Client manquant",IF(A1650="BR","Fournisseur manquant","Service manquant")),IF(IF(A1650="BL",ISNA(MATCH(D1650,cl_code,0)),IF(A1650="BR",ISNA(MATCH(D1650,fo_code,0)),ISNA(MATCH(D1650,p_services,0)))),IF(A1650="BL","Client inconnu",IF(A1650="BR","Fournisseur inconnu","Service inconnu")),IF(H1650="","Article manquant",IF(ISNA(MATCH(H1650,art_ref,0)),"Article inconnu",IF(OR(NOT(ISNUMBER(L1650)),N(L1650)&lt;=0),"Quantité invalide",IF(AND(K1650&lt;&gt;"",OR(NOT(ISNUMBER(K1650)),N(K1650)&lt;=0)),"Qté commandée invalide",IF(AG1650&lt;SUMPRODUCT(MAX((A$6:A1649=A1650)*AG$6:AG1649)),"Date antérieure au bon précédent",IF(AND(A1650&lt;&gt;"BR",ISNUMBER(M1650),N(M1650)&gt;0),IF(A1650="BL","Livré plus que commandé","Sorti plus que demandé"),"OK"))))))))))))</f>
        <v/>
      </c>
      <c r="Y1650" s="57" t="str">
        <f>IF(AND(OR(A1650="BL",A1650="BR",A1650="BS"),AG1650&gt;0,D1650&lt;&gt;""),A1650&amp;"|"&amp;AG1650&amp;"|"&amp;D1650&amp;"|"&amp;F1650,"")</f>
        <v/>
      </c>
      <c r="Z1650" s="57" t="str">
        <f>IF(Y1650="","",IF(COUNTIF(Y$6:Y1649,Y1650)=0,1,0))</f>
        <v/>
      </c>
      <c r="AA1650" s="57" t="str">
        <f>IF(Y1650="","",IF(Z1650=1,COUNTIFS(A$6:A1650,A1650,Z$6:Z1650,1),INDEX(AA$6:AA1649,MATCH(Y1650,Y$6:Y1649,0))))</f>
        <v/>
      </c>
      <c r="AB1650" s="57" t="str">
        <f>IF(B1650="","",COUNTIF(B$6:B1650,B1650))</f>
        <v/>
      </c>
      <c r="AC1650" s="57" t="str">
        <f>IF(B1650="","",B1650&amp;"#"&amp;AB1650)</f>
        <v/>
      </c>
      <c r="AD1650" s="57" t="str">
        <f>IF(Z1650=1,A1650&amp;AA1650,"")</f>
        <v/>
      </c>
      <c r="AE1650" s="57" t="str">
        <f>IF(B1650="","",YEAR(C1650))</f>
        <v/>
      </c>
      <c r="AF1650" s="57" t="str">
        <f>IF(B1650="","",MONTH(C1650))</f>
        <v/>
      </c>
      <c r="AG1650" s="57">
        <f>IF(ISNUMBER(C1650),C1650,0)</f>
        <v>0.0</v>
      </c>
      <c r="AH1650" s="57" t="str">
        <f>IF(N(W1650)&gt;0,COUNTIF(W$6:W1650,"&gt;0"),"")</f>
        <v/>
      </c>
      <c r="AI1650" s="57" t="str">
        <f>IF(Z1650=1,COUNTIF(Z$6:Z1650,1),"")</f>
        <v/>
      </c>
    </row>
    <row r="1651">
      <c r="A1651" s="54" t="n"/>
      <c r="B1651" s="55" t="str">
        <f>IF(AA1651="","",A1651&amp;"-"&amp;RIGHT("000"&amp;AA1651,4))</f>
        <v/>
      </c>
      <c r="C1651" s="56" t="n"/>
      <c r="D1651" s="54" t="n"/>
      <c r="E1651" s="57" t="str">
        <f>IF(D1651="","",IF(A1651="BL",IFERROR(INDEX(cl_name,MATCH(D1651,cl_code,0))&amp;"","Client inconnu"),IF(A1651="BR",IFERROR(INDEX(fo_name,MATCH(D1651,fo_code,0))&amp;"","Fournisseur inconnu"),IF(A1651="BS",IF(ISNA(MATCH(D1651,p_services,0)),"Service inconnu",D1651&amp;""),""))))</f>
        <v/>
      </c>
      <c r="F1651" s="58" t="n"/>
      <c r="G1651" s="58" t="n"/>
      <c r="H1651" s="59" t="n"/>
      <c r="I1651" s="57" t="str">
        <f>IF(H1651="","",IFERROR(INDEX(art_des,MATCH(H1651,art_ref,0))&amp;"","Article inconnu"))</f>
        <v/>
      </c>
      <c r="J1651" s="60" t="str">
        <f>IF(H1651="","",IFERROR(INDEX(art_unit,MATCH(H1651,art_ref,0))&amp;"",""))</f>
        <v/>
      </c>
      <c r="K1651" s="59" t="n"/>
      <c r="L1651" s="59" t="n"/>
      <c r="M1651" s="61" t="str">
        <f>IF(OR(B1651="",NOT(ISNUMBER(K1651)),NOT(ISNUMBER(L1651))),"",IF(OR(K1651&lt;=0,L1651&lt;=0),"",ROUND(L1651-K1651,6)))</f>
        <v/>
      </c>
      <c r="N1651" s="58" t="n"/>
      <c r="O1651" s="62" t="n"/>
      <c r="P1651" s="63" t="str">
        <f>IF(OR(B1651="",NOT(ISNUMBER(L1651))),"",IF(L1651&lt;=0,"",IFERROR(ROUND(L1651*N(INDEX(art_w,MATCH(H1651,art_ref,0))),3),"")))</f>
        <v/>
      </c>
      <c r="Q1651" s="59" t="n"/>
      <c r="R1651" s="54" t="n"/>
      <c r="S1651" s="59" t="n"/>
      <c r="T1651" s="59" t="n"/>
      <c r="U1651" s="64" t="str">
        <f>IF(OR(B1651="",H1651=""),"",IFERROR(IF(A1651="BL",IF(N(INDEX(art_price,MATCH(H1651,art_ref,0)))=0,"",N(INDEX(art_price,MATCH(H1651,art_ref,0)))),IF(N(INDEX(art_cost,MATCH(H1651,art_ref,0)))=0,"",N(INDEX(art_cost,MATCH(H1651,art_ref,0))))),""))</f>
        <v/>
      </c>
      <c r="V1651" s="64" t="str">
        <f>IF(OR(U1651="",NOT(ISNUMBER(L1651))),"",IF(L1651&lt;=0,"",ROUND(L1651*U1651,2)))</f>
        <v/>
      </c>
      <c r="W1651" s="60" t="str">
        <f>IF(AND(B1651&lt;&gt;"",A1651&lt;&gt;"BS",F1651&lt;&gt;"",H1651&lt;&gt;"",ISNUMBER(K1651),ISNUMBER(L1651)),IF(AND(K1651&gt;0,L1651&gt;0,K1651-L1651&gt;0,COUNTIFS(A1652:A$2005,A1651,F1652:F$2005,F1651,H1652:H$2005,H1651,AA1652:AA$2005,"&gt;0")=0),ROUND(K1651-L1651,6),""),"")</f>
        <v/>
      </c>
      <c r="X1651" s="60" t="str">
        <f>IF(AND(A1651="",C1651="",D1651="",H1651="",L1651=""),"",IF(A1651="","Type manquant",IF(AND(A1651&lt;&gt;"BL",A1651&lt;&gt;"BR",A1651&lt;&gt;"BS"),"Type inconnu (BL, BR ou BS)",IF(AG1651=0,"Date manquante ou invalide",IF(D1651="",IF(A1651="BL","Client manquant",IF(A1651="BR","Fournisseur manquant","Service manquant")),IF(IF(A1651="BL",ISNA(MATCH(D1651,cl_code,0)),IF(A1651="BR",ISNA(MATCH(D1651,fo_code,0)),ISNA(MATCH(D1651,p_services,0)))),IF(A1651="BL","Client inconnu",IF(A1651="BR","Fournisseur inconnu","Service inconnu")),IF(H1651="","Article manquant",IF(ISNA(MATCH(H1651,art_ref,0)),"Article inconnu",IF(OR(NOT(ISNUMBER(L1651)),N(L1651)&lt;=0),"Quantité invalide",IF(AND(K1651&lt;&gt;"",OR(NOT(ISNUMBER(K1651)),N(K1651)&lt;=0)),"Qté commandée invalide",IF(AG1651&lt;SUMPRODUCT(MAX((A$6:A1650=A1651)*AG$6:AG1650)),"Date antérieure au bon précédent",IF(AND(A1651&lt;&gt;"BR",ISNUMBER(M1651),N(M1651)&gt;0),IF(A1651="BL","Livré plus que commandé","Sorti plus que demandé"),"OK"))))))))))))</f>
        <v/>
      </c>
      <c r="Y1651" s="57" t="str">
        <f>IF(AND(OR(A1651="BL",A1651="BR",A1651="BS"),AG1651&gt;0,D1651&lt;&gt;""),A1651&amp;"|"&amp;AG1651&amp;"|"&amp;D1651&amp;"|"&amp;F1651,"")</f>
        <v/>
      </c>
      <c r="Z1651" s="57" t="str">
        <f>IF(Y1651="","",IF(COUNTIF(Y$6:Y1650,Y1651)=0,1,0))</f>
        <v/>
      </c>
      <c r="AA1651" s="57" t="str">
        <f>IF(Y1651="","",IF(Z1651=1,COUNTIFS(A$6:A1651,A1651,Z$6:Z1651,1),INDEX(AA$6:AA1650,MATCH(Y1651,Y$6:Y1650,0))))</f>
        <v/>
      </c>
      <c r="AB1651" s="57" t="str">
        <f>IF(B1651="","",COUNTIF(B$6:B1651,B1651))</f>
        <v/>
      </c>
      <c r="AC1651" s="57" t="str">
        <f>IF(B1651="","",B1651&amp;"#"&amp;AB1651)</f>
        <v/>
      </c>
      <c r="AD1651" s="57" t="str">
        <f>IF(Z1651=1,A1651&amp;AA1651,"")</f>
        <v/>
      </c>
      <c r="AE1651" s="57" t="str">
        <f>IF(B1651="","",YEAR(C1651))</f>
        <v/>
      </c>
      <c r="AF1651" s="57" t="str">
        <f>IF(B1651="","",MONTH(C1651))</f>
        <v/>
      </c>
      <c r="AG1651" s="57">
        <f>IF(ISNUMBER(C1651),C1651,0)</f>
        <v>0.0</v>
      </c>
      <c r="AH1651" s="57" t="str">
        <f>IF(N(W1651)&gt;0,COUNTIF(W$6:W1651,"&gt;0"),"")</f>
        <v/>
      </c>
      <c r="AI1651" s="57" t="str">
        <f>IF(Z1651=1,COUNTIF(Z$6:Z1651,1),"")</f>
        <v/>
      </c>
    </row>
    <row r="1652">
      <c r="A1652" s="54" t="n"/>
      <c r="B1652" s="55" t="str">
        <f>IF(AA1652="","",A1652&amp;"-"&amp;RIGHT("000"&amp;AA1652,4))</f>
        <v/>
      </c>
      <c r="C1652" s="56" t="n"/>
      <c r="D1652" s="54" t="n"/>
      <c r="E1652" s="57" t="str">
        <f>IF(D1652="","",IF(A1652="BL",IFERROR(INDEX(cl_name,MATCH(D1652,cl_code,0))&amp;"","Client inconnu"),IF(A1652="BR",IFERROR(INDEX(fo_name,MATCH(D1652,fo_code,0))&amp;"","Fournisseur inconnu"),IF(A1652="BS",IF(ISNA(MATCH(D1652,p_services,0)),"Service inconnu",D1652&amp;""),""))))</f>
        <v/>
      </c>
      <c r="F1652" s="58" t="n"/>
      <c r="G1652" s="58" t="n"/>
      <c r="H1652" s="59" t="n"/>
      <c r="I1652" s="57" t="str">
        <f>IF(H1652="","",IFERROR(INDEX(art_des,MATCH(H1652,art_ref,0))&amp;"","Article inconnu"))</f>
        <v/>
      </c>
      <c r="J1652" s="60" t="str">
        <f>IF(H1652="","",IFERROR(INDEX(art_unit,MATCH(H1652,art_ref,0))&amp;"",""))</f>
        <v/>
      </c>
      <c r="K1652" s="59" t="n"/>
      <c r="L1652" s="59" t="n"/>
      <c r="M1652" s="61" t="str">
        <f>IF(OR(B1652="",NOT(ISNUMBER(K1652)),NOT(ISNUMBER(L1652))),"",IF(OR(K1652&lt;=0,L1652&lt;=0),"",ROUND(L1652-K1652,6)))</f>
        <v/>
      </c>
      <c r="N1652" s="58" t="n"/>
      <c r="O1652" s="62" t="n"/>
      <c r="P1652" s="63" t="str">
        <f>IF(OR(B1652="",NOT(ISNUMBER(L1652))),"",IF(L1652&lt;=0,"",IFERROR(ROUND(L1652*N(INDEX(art_w,MATCH(H1652,art_ref,0))),3),"")))</f>
        <v/>
      </c>
      <c r="Q1652" s="59" t="n"/>
      <c r="R1652" s="54" t="n"/>
      <c r="S1652" s="59" t="n"/>
      <c r="T1652" s="59" t="n"/>
      <c r="U1652" s="64" t="str">
        <f>IF(OR(B1652="",H1652=""),"",IFERROR(IF(A1652="BL",IF(N(INDEX(art_price,MATCH(H1652,art_ref,0)))=0,"",N(INDEX(art_price,MATCH(H1652,art_ref,0)))),IF(N(INDEX(art_cost,MATCH(H1652,art_ref,0)))=0,"",N(INDEX(art_cost,MATCH(H1652,art_ref,0))))),""))</f>
        <v/>
      </c>
      <c r="V1652" s="64" t="str">
        <f>IF(OR(U1652="",NOT(ISNUMBER(L1652))),"",IF(L1652&lt;=0,"",ROUND(L1652*U1652,2)))</f>
        <v/>
      </c>
      <c r="W1652" s="60" t="str">
        <f>IF(AND(B1652&lt;&gt;"",A1652&lt;&gt;"BS",F1652&lt;&gt;"",H1652&lt;&gt;"",ISNUMBER(K1652),ISNUMBER(L1652)),IF(AND(K1652&gt;0,L1652&gt;0,K1652-L1652&gt;0,COUNTIFS(A1653:A$2005,A1652,F1653:F$2005,F1652,H1653:H$2005,H1652,AA1653:AA$2005,"&gt;0")=0),ROUND(K1652-L1652,6),""),"")</f>
        <v/>
      </c>
      <c r="X1652" s="60" t="str">
        <f>IF(AND(A1652="",C1652="",D1652="",H1652="",L1652=""),"",IF(A1652="","Type manquant",IF(AND(A1652&lt;&gt;"BL",A1652&lt;&gt;"BR",A1652&lt;&gt;"BS"),"Type inconnu (BL, BR ou BS)",IF(AG1652=0,"Date manquante ou invalide",IF(D1652="",IF(A1652="BL","Client manquant",IF(A1652="BR","Fournisseur manquant","Service manquant")),IF(IF(A1652="BL",ISNA(MATCH(D1652,cl_code,0)),IF(A1652="BR",ISNA(MATCH(D1652,fo_code,0)),ISNA(MATCH(D1652,p_services,0)))),IF(A1652="BL","Client inconnu",IF(A1652="BR","Fournisseur inconnu","Service inconnu")),IF(H1652="","Article manquant",IF(ISNA(MATCH(H1652,art_ref,0)),"Article inconnu",IF(OR(NOT(ISNUMBER(L1652)),N(L1652)&lt;=0),"Quantité invalide",IF(AND(K1652&lt;&gt;"",OR(NOT(ISNUMBER(K1652)),N(K1652)&lt;=0)),"Qté commandée invalide",IF(AG1652&lt;SUMPRODUCT(MAX((A$6:A1651=A1652)*AG$6:AG1651)),"Date antérieure au bon précédent",IF(AND(A1652&lt;&gt;"BR",ISNUMBER(M1652),N(M1652)&gt;0),IF(A1652="BL","Livré plus que commandé","Sorti plus que demandé"),"OK"))))))))))))</f>
        <v/>
      </c>
      <c r="Y1652" s="57" t="str">
        <f>IF(AND(OR(A1652="BL",A1652="BR",A1652="BS"),AG1652&gt;0,D1652&lt;&gt;""),A1652&amp;"|"&amp;AG1652&amp;"|"&amp;D1652&amp;"|"&amp;F1652,"")</f>
        <v/>
      </c>
      <c r="Z1652" s="57" t="str">
        <f>IF(Y1652="","",IF(COUNTIF(Y$6:Y1651,Y1652)=0,1,0))</f>
        <v/>
      </c>
      <c r="AA1652" s="57" t="str">
        <f>IF(Y1652="","",IF(Z1652=1,COUNTIFS(A$6:A1652,A1652,Z$6:Z1652,1),INDEX(AA$6:AA1651,MATCH(Y1652,Y$6:Y1651,0))))</f>
        <v/>
      </c>
      <c r="AB1652" s="57" t="str">
        <f>IF(B1652="","",COUNTIF(B$6:B1652,B1652))</f>
        <v/>
      </c>
      <c r="AC1652" s="57" t="str">
        <f>IF(B1652="","",B1652&amp;"#"&amp;AB1652)</f>
        <v/>
      </c>
      <c r="AD1652" s="57" t="str">
        <f>IF(Z1652=1,A1652&amp;AA1652,"")</f>
        <v/>
      </c>
      <c r="AE1652" s="57" t="str">
        <f>IF(B1652="","",YEAR(C1652))</f>
        <v/>
      </c>
      <c r="AF1652" s="57" t="str">
        <f>IF(B1652="","",MONTH(C1652))</f>
        <v/>
      </c>
      <c r="AG1652" s="57">
        <f>IF(ISNUMBER(C1652),C1652,0)</f>
        <v>0.0</v>
      </c>
      <c r="AH1652" s="57" t="str">
        <f>IF(N(W1652)&gt;0,COUNTIF(W$6:W1652,"&gt;0"),"")</f>
        <v/>
      </c>
      <c r="AI1652" s="57" t="str">
        <f>IF(Z1652=1,COUNTIF(Z$6:Z1652,1),"")</f>
        <v/>
      </c>
    </row>
    <row r="1653">
      <c r="A1653" s="54" t="n"/>
      <c r="B1653" s="55" t="str">
        <f>IF(AA1653="","",A1653&amp;"-"&amp;RIGHT("000"&amp;AA1653,4))</f>
        <v/>
      </c>
      <c r="C1653" s="56" t="n"/>
      <c r="D1653" s="54" t="n"/>
      <c r="E1653" s="57" t="str">
        <f>IF(D1653="","",IF(A1653="BL",IFERROR(INDEX(cl_name,MATCH(D1653,cl_code,0))&amp;"","Client inconnu"),IF(A1653="BR",IFERROR(INDEX(fo_name,MATCH(D1653,fo_code,0))&amp;"","Fournisseur inconnu"),IF(A1653="BS",IF(ISNA(MATCH(D1653,p_services,0)),"Service inconnu",D1653&amp;""),""))))</f>
        <v/>
      </c>
      <c r="F1653" s="58" t="n"/>
      <c r="G1653" s="58" t="n"/>
      <c r="H1653" s="59" t="n"/>
      <c r="I1653" s="57" t="str">
        <f>IF(H1653="","",IFERROR(INDEX(art_des,MATCH(H1653,art_ref,0))&amp;"","Article inconnu"))</f>
        <v/>
      </c>
      <c r="J1653" s="60" t="str">
        <f>IF(H1653="","",IFERROR(INDEX(art_unit,MATCH(H1653,art_ref,0))&amp;"",""))</f>
        <v/>
      </c>
      <c r="K1653" s="59" t="n"/>
      <c r="L1653" s="59" t="n"/>
      <c r="M1653" s="61" t="str">
        <f>IF(OR(B1653="",NOT(ISNUMBER(K1653)),NOT(ISNUMBER(L1653))),"",IF(OR(K1653&lt;=0,L1653&lt;=0),"",ROUND(L1653-K1653,6)))</f>
        <v/>
      </c>
      <c r="N1653" s="58" t="n"/>
      <c r="O1653" s="62" t="n"/>
      <c r="P1653" s="63" t="str">
        <f>IF(OR(B1653="",NOT(ISNUMBER(L1653))),"",IF(L1653&lt;=0,"",IFERROR(ROUND(L1653*N(INDEX(art_w,MATCH(H1653,art_ref,0))),3),"")))</f>
        <v/>
      </c>
      <c r="Q1653" s="59" t="n"/>
      <c r="R1653" s="54" t="n"/>
      <c r="S1653" s="59" t="n"/>
      <c r="T1653" s="59" t="n"/>
      <c r="U1653" s="64" t="str">
        <f>IF(OR(B1653="",H1653=""),"",IFERROR(IF(A1653="BL",IF(N(INDEX(art_price,MATCH(H1653,art_ref,0)))=0,"",N(INDEX(art_price,MATCH(H1653,art_ref,0)))),IF(N(INDEX(art_cost,MATCH(H1653,art_ref,0)))=0,"",N(INDEX(art_cost,MATCH(H1653,art_ref,0))))),""))</f>
        <v/>
      </c>
      <c r="V1653" s="64" t="str">
        <f>IF(OR(U1653="",NOT(ISNUMBER(L1653))),"",IF(L1653&lt;=0,"",ROUND(L1653*U1653,2)))</f>
        <v/>
      </c>
      <c r="W1653" s="60" t="str">
        <f>IF(AND(B1653&lt;&gt;"",A1653&lt;&gt;"BS",F1653&lt;&gt;"",H1653&lt;&gt;"",ISNUMBER(K1653),ISNUMBER(L1653)),IF(AND(K1653&gt;0,L1653&gt;0,K1653-L1653&gt;0,COUNTIFS(A1654:A$2005,A1653,F1654:F$2005,F1653,H1654:H$2005,H1653,AA1654:AA$2005,"&gt;0")=0),ROUND(K1653-L1653,6),""),"")</f>
        <v/>
      </c>
      <c r="X1653" s="60" t="str">
        <f>IF(AND(A1653="",C1653="",D1653="",H1653="",L1653=""),"",IF(A1653="","Type manquant",IF(AND(A1653&lt;&gt;"BL",A1653&lt;&gt;"BR",A1653&lt;&gt;"BS"),"Type inconnu (BL, BR ou BS)",IF(AG1653=0,"Date manquante ou invalide",IF(D1653="",IF(A1653="BL","Client manquant",IF(A1653="BR","Fournisseur manquant","Service manquant")),IF(IF(A1653="BL",ISNA(MATCH(D1653,cl_code,0)),IF(A1653="BR",ISNA(MATCH(D1653,fo_code,0)),ISNA(MATCH(D1653,p_services,0)))),IF(A1653="BL","Client inconnu",IF(A1653="BR","Fournisseur inconnu","Service inconnu")),IF(H1653="","Article manquant",IF(ISNA(MATCH(H1653,art_ref,0)),"Article inconnu",IF(OR(NOT(ISNUMBER(L1653)),N(L1653)&lt;=0),"Quantité invalide",IF(AND(K1653&lt;&gt;"",OR(NOT(ISNUMBER(K1653)),N(K1653)&lt;=0)),"Qté commandée invalide",IF(AG1653&lt;SUMPRODUCT(MAX((A$6:A1652=A1653)*AG$6:AG1652)),"Date antérieure au bon précédent",IF(AND(A1653&lt;&gt;"BR",ISNUMBER(M1653),N(M1653)&gt;0),IF(A1653="BL","Livré plus que commandé","Sorti plus que demandé"),"OK"))))))))))))</f>
        <v/>
      </c>
      <c r="Y1653" s="57" t="str">
        <f>IF(AND(OR(A1653="BL",A1653="BR",A1653="BS"),AG1653&gt;0,D1653&lt;&gt;""),A1653&amp;"|"&amp;AG1653&amp;"|"&amp;D1653&amp;"|"&amp;F1653,"")</f>
        <v/>
      </c>
      <c r="Z1653" s="57" t="str">
        <f>IF(Y1653="","",IF(COUNTIF(Y$6:Y1652,Y1653)=0,1,0))</f>
        <v/>
      </c>
      <c r="AA1653" s="57" t="str">
        <f>IF(Y1653="","",IF(Z1653=1,COUNTIFS(A$6:A1653,A1653,Z$6:Z1653,1),INDEX(AA$6:AA1652,MATCH(Y1653,Y$6:Y1652,0))))</f>
        <v/>
      </c>
      <c r="AB1653" s="57" t="str">
        <f>IF(B1653="","",COUNTIF(B$6:B1653,B1653))</f>
        <v/>
      </c>
      <c r="AC1653" s="57" t="str">
        <f>IF(B1653="","",B1653&amp;"#"&amp;AB1653)</f>
        <v/>
      </c>
      <c r="AD1653" s="57" t="str">
        <f>IF(Z1653=1,A1653&amp;AA1653,"")</f>
        <v/>
      </c>
      <c r="AE1653" s="57" t="str">
        <f>IF(B1653="","",YEAR(C1653))</f>
        <v/>
      </c>
      <c r="AF1653" s="57" t="str">
        <f>IF(B1653="","",MONTH(C1653))</f>
        <v/>
      </c>
      <c r="AG1653" s="57">
        <f>IF(ISNUMBER(C1653),C1653,0)</f>
        <v>0.0</v>
      </c>
      <c r="AH1653" s="57" t="str">
        <f>IF(N(W1653)&gt;0,COUNTIF(W$6:W1653,"&gt;0"),"")</f>
        <v/>
      </c>
      <c r="AI1653" s="57" t="str">
        <f>IF(Z1653=1,COUNTIF(Z$6:Z1653,1),"")</f>
        <v/>
      </c>
    </row>
    <row r="1654">
      <c r="A1654" s="54" t="n"/>
      <c r="B1654" s="55" t="str">
        <f>IF(AA1654="","",A1654&amp;"-"&amp;RIGHT("000"&amp;AA1654,4))</f>
        <v/>
      </c>
      <c r="C1654" s="56" t="n"/>
      <c r="D1654" s="54" t="n"/>
      <c r="E1654" s="57" t="str">
        <f>IF(D1654="","",IF(A1654="BL",IFERROR(INDEX(cl_name,MATCH(D1654,cl_code,0))&amp;"","Client inconnu"),IF(A1654="BR",IFERROR(INDEX(fo_name,MATCH(D1654,fo_code,0))&amp;"","Fournisseur inconnu"),IF(A1654="BS",IF(ISNA(MATCH(D1654,p_services,0)),"Service inconnu",D1654&amp;""),""))))</f>
        <v/>
      </c>
      <c r="F1654" s="58" t="n"/>
      <c r="G1654" s="58" t="n"/>
      <c r="H1654" s="59" t="n"/>
      <c r="I1654" s="57" t="str">
        <f>IF(H1654="","",IFERROR(INDEX(art_des,MATCH(H1654,art_ref,0))&amp;"","Article inconnu"))</f>
        <v/>
      </c>
      <c r="J1654" s="60" t="str">
        <f>IF(H1654="","",IFERROR(INDEX(art_unit,MATCH(H1654,art_ref,0))&amp;"",""))</f>
        <v/>
      </c>
      <c r="K1654" s="59" t="n"/>
      <c r="L1654" s="59" t="n"/>
      <c r="M1654" s="61" t="str">
        <f>IF(OR(B1654="",NOT(ISNUMBER(K1654)),NOT(ISNUMBER(L1654))),"",IF(OR(K1654&lt;=0,L1654&lt;=0),"",ROUND(L1654-K1654,6)))</f>
        <v/>
      </c>
      <c r="N1654" s="58" t="n"/>
      <c r="O1654" s="62" t="n"/>
      <c r="P1654" s="63" t="str">
        <f>IF(OR(B1654="",NOT(ISNUMBER(L1654))),"",IF(L1654&lt;=0,"",IFERROR(ROUND(L1654*N(INDEX(art_w,MATCH(H1654,art_ref,0))),3),"")))</f>
        <v/>
      </c>
      <c r="Q1654" s="59" t="n"/>
      <c r="R1654" s="54" t="n"/>
      <c r="S1654" s="59" t="n"/>
      <c r="T1654" s="59" t="n"/>
      <c r="U1654" s="64" t="str">
        <f>IF(OR(B1654="",H1654=""),"",IFERROR(IF(A1654="BL",IF(N(INDEX(art_price,MATCH(H1654,art_ref,0)))=0,"",N(INDEX(art_price,MATCH(H1654,art_ref,0)))),IF(N(INDEX(art_cost,MATCH(H1654,art_ref,0)))=0,"",N(INDEX(art_cost,MATCH(H1654,art_ref,0))))),""))</f>
        <v/>
      </c>
      <c r="V1654" s="64" t="str">
        <f>IF(OR(U1654="",NOT(ISNUMBER(L1654))),"",IF(L1654&lt;=0,"",ROUND(L1654*U1654,2)))</f>
        <v/>
      </c>
      <c r="W1654" s="60" t="str">
        <f>IF(AND(B1654&lt;&gt;"",A1654&lt;&gt;"BS",F1654&lt;&gt;"",H1654&lt;&gt;"",ISNUMBER(K1654),ISNUMBER(L1654)),IF(AND(K1654&gt;0,L1654&gt;0,K1654-L1654&gt;0,COUNTIFS(A1655:A$2005,A1654,F1655:F$2005,F1654,H1655:H$2005,H1654,AA1655:AA$2005,"&gt;0")=0),ROUND(K1654-L1654,6),""),"")</f>
        <v/>
      </c>
      <c r="X1654" s="60" t="str">
        <f>IF(AND(A1654="",C1654="",D1654="",H1654="",L1654=""),"",IF(A1654="","Type manquant",IF(AND(A1654&lt;&gt;"BL",A1654&lt;&gt;"BR",A1654&lt;&gt;"BS"),"Type inconnu (BL, BR ou BS)",IF(AG1654=0,"Date manquante ou invalide",IF(D1654="",IF(A1654="BL","Client manquant",IF(A1654="BR","Fournisseur manquant","Service manquant")),IF(IF(A1654="BL",ISNA(MATCH(D1654,cl_code,0)),IF(A1654="BR",ISNA(MATCH(D1654,fo_code,0)),ISNA(MATCH(D1654,p_services,0)))),IF(A1654="BL","Client inconnu",IF(A1654="BR","Fournisseur inconnu","Service inconnu")),IF(H1654="","Article manquant",IF(ISNA(MATCH(H1654,art_ref,0)),"Article inconnu",IF(OR(NOT(ISNUMBER(L1654)),N(L1654)&lt;=0),"Quantité invalide",IF(AND(K1654&lt;&gt;"",OR(NOT(ISNUMBER(K1654)),N(K1654)&lt;=0)),"Qté commandée invalide",IF(AG1654&lt;SUMPRODUCT(MAX((A$6:A1653=A1654)*AG$6:AG1653)),"Date antérieure au bon précédent",IF(AND(A1654&lt;&gt;"BR",ISNUMBER(M1654),N(M1654)&gt;0),IF(A1654="BL","Livré plus que commandé","Sorti plus que demandé"),"OK"))))))))))))</f>
        <v/>
      </c>
      <c r="Y1654" s="57" t="str">
        <f>IF(AND(OR(A1654="BL",A1654="BR",A1654="BS"),AG1654&gt;0,D1654&lt;&gt;""),A1654&amp;"|"&amp;AG1654&amp;"|"&amp;D1654&amp;"|"&amp;F1654,"")</f>
        <v/>
      </c>
      <c r="Z1654" s="57" t="str">
        <f>IF(Y1654="","",IF(COUNTIF(Y$6:Y1653,Y1654)=0,1,0))</f>
        <v/>
      </c>
      <c r="AA1654" s="57" t="str">
        <f>IF(Y1654="","",IF(Z1654=1,COUNTIFS(A$6:A1654,A1654,Z$6:Z1654,1),INDEX(AA$6:AA1653,MATCH(Y1654,Y$6:Y1653,0))))</f>
        <v/>
      </c>
      <c r="AB1654" s="57" t="str">
        <f>IF(B1654="","",COUNTIF(B$6:B1654,B1654))</f>
        <v/>
      </c>
      <c r="AC1654" s="57" t="str">
        <f>IF(B1654="","",B1654&amp;"#"&amp;AB1654)</f>
        <v/>
      </c>
      <c r="AD1654" s="57" t="str">
        <f>IF(Z1654=1,A1654&amp;AA1654,"")</f>
        <v/>
      </c>
      <c r="AE1654" s="57" t="str">
        <f>IF(B1654="","",YEAR(C1654))</f>
        <v/>
      </c>
      <c r="AF1654" s="57" t="str">
        <f>IF(B1654="","",MONTH(C1654))</f>
        <v/>
      </c>
      <c r="AG1654" s="57">
        <f>IF(ISNUMBER(C1654),C1654,0)</f>
        <v>0.0</v>
      </c>
      <c r="AH1654" s="57" t="str">
        <f>IF(N(W1654)&gt;0,COUNTIF(W$6:W1654,"&gt;0"),"")</f>
        <v/>
      </c>
      <c r="AI1654" s="57" t="str">
        <f>IF(Z1654=1,COUNTIF(Z$6:Z1654,1),"")</f>
        <v/>
      </c>
    </row>
    <row r="1655">
      <c r="A1655" s="54" t="n"/>
      <c r="B1655" s="55" t="str">
        <f>IF(AA1655="","",A1655&amp;"-"&amp;RIGHT("000"&amp;AA1655,4))</f>
        <v/>
      </c>
      <c r="C1655" s="56" t="n"/>
      <c r="D1655" s="54" t="n"/>
      <c r="E1655" s="57" t="str">
        <f>IF(D1655="","",IF(A1655="BL",IFERROR(INDEX(cl_name,MATCH(D1655,cl_code,0))&amp;"","Client inconnu"),IF(A1655="BR",IFERROR(INDEX(fo_name,MATCH(D1655,fo_code,0))&amp;"","Fournisseur inconnu"),IF(A1655="BS",IF(ISNA(MATCH(D1655,p_services,0)),"Service inconnu",D1655&amp;""),""))))</f>
        <v/>
      </c>
      <c r="F1655" s="58" t="n"/>
      <c r="G1655" s="58" t="n"/>
      <c r="H1655" s="59" t="n"/>
      <c r="I1655" s="57" t="str">
        <f>IF(H1655="","",IFERROR(INDEX(art_des,MATCH(H1655,art_ref,0))&amp;"","Article inconnu"))</f>
        <v/>
      </c>
      <c r="J1655" s="60" t="str">
        <f>IF(H1655="","",IFERROR(INDEX(art_unit,MATCH(H1655,art_ref,0))&amp;"",""))</f>
        <v/>
      </c>
      <c r="K1655" s="59" t="n"/>
      <c r="L1655" s="59" t="n"/>
      <c r="M1655" s="61" t="str">
        <f>IF(OR(B1655="",NOT(ISNUMBER(K1655)),NOT(ISNUMBER(L1655))),"",IF(OR(K1655&lt;=0,L1655&lt;=0),"",ROUND(L1655-K1655,6)))</f>
        <v/>
      </c>
      <c r="N1655" s="58" t="n"/>
      <c r="O1655" s="62" t="n"/>
      <c r="P1655" s="63" t="str">
        <f>IF(OR(B1655="",NOT(ISNUMBER(L1655))),"",IF(L1655&lt;=0,"",IFERROR(ROUND(L1655*N(INDEX(art_w,MATCH(H1655,art_ref,0))),3),"")))</f>
        <v/>
      </c>
      <c r="Q1655" s="59" t="n"/>
      <c r="R1655" s="54" t="n"/>
      <c r="S1655" s="59" t="n"/>
      <c r="T1655" s="59" t="n"/>
      <c r="U1655" s="64" t="str">
        <f>IF(OR(B1655="",H1655=""),"",IFERROR(IF(A1655="BL",IF(N(INDEX(art_price,MATCH(H1655,art_ref,0)))=0,"",N(INDEX(art_price,MATCH(H1655,art_ref,0)))),IF(N(INDEX(art_cost,MATCH(H1655,art_ref,0)))=0,"",N(INDEX(art_cost,MATCH(H1655,art_ref,0))))),""))</f>
        <v/>
      </c>
      <c r="V1655" s="64" t="str">
        <f>IF(OR(U1655="",NOT(ISNUMBER(L1655))),"",IF(L1655&lt;=0,"",ROUND(L1655*U1655,2)))</f>
        <v/>
      </c>
      <c r="W1655" s="60" t="str">
        <f>IF(AND(B1655&lt;&gt;"",A1655&lt;&gt;"BS",F1655&lt;&gt;"",H1655&lt;&gt;"",ISNUMBER(K1655),ISNUMBER(L1655)),IF(AND(K1655&gt;0,L1655&gt;0,K1655-L1655&gt;0,COUNTIFS(A1656:A$2005,A1655,F1656:F$2005,F1655,H1656:H$2005,H1655,AA1656:AA$2005,"&gt;0")=0),ROUND(K1655-L1655,6),""),"")</f>
        <v/>
      </c>
      <c r="X1655" s="60" t="str">
        <f>IF(AND(A1655="",C1655="",D1655="",H1655="",L1655=""),"",IF(A1655="","Type manquant",IF(AND(A1655&lt;&gt;"BL",A1655&lt;&gt;"BR",A1655&lt;&gt;"BS"),"Type inconnu (BL, BR ou BS)",IF(AG1655=0,"Date manquante ou invalide",IF(D1655="",IF(A1655="BL","Client manquant",IF(A1655="BR","Fournisseur manquant","Service manquant")),IF(IF(A1655="BL",ISNA(MATCH(D1655,cl_code,0)),IF(A1655="BR",ISNA(MATCH(D1655,fo_code,0)),ISNA(MATCH(D1655,p_services,0)))),IF(A1655="BL","Client inconnu",IF(A1655="BR","Fournisseur inconnu","Service inconnu")),IF(H1655="","Article manquant",IF(ISNA(MATCH(H1655,art_ref,0)),"Article inconnu",IF(OR(NOT(ISNUMBER(L1655)),N(L1655)&lt;=0),"Quantité invalide",IF(AND(K1655&lt;&gt;"",OR(NOT(ISNUMBER(K1655)),N(K1655)&lt;=0)),"Qté commandée invalide",IF(AG1655&lt;SUMPRODUCT(MAX((A$6:A1654=A1655)*AG$6:AG1654)),"Date antérieure au bon précédent",IF(AND(A1655&lt;&gt;"BR",ISNUMBER(M1655),N(M1655)&gt;0),IF(A1655="BL","Livré plus que commandé","Sorti plus que demandé"),"OK"))))))))))))</f>
        <v/>
      </c>
      <c r="Y1655" s="57" t="str">
        <f>IF(AND(OR(A1655="BL",A1655="BR",A1655="BS"),AG1655&gt;0,D1655&lt;&gt;""),A1655&amp;"|"&amp;AG1655&amp;"|"&amp;D1655&amp;"|"&amp;F1655,"")</f>
        <v/>
      </c>
      <c r="Z1655" s="57" t="str">
        <f>IF(Y1655="","",IF(COUNTIF(Y$6:Y1654,Y1655)=0,1,0))</f>
        <v/>
      </c>
      <c r="AA1655" s="57" t="str">
        <f>IF(Y1655="","",IF(Z1655=1,COUNTIFS(A$6:A1655,A1655,Z$6:Z1655,1),INDEX(AA$6:AA1654,MATCH(Y1655,Y$6:Y1654,0))))</f>
        <v/>
      </c>
      <c r="AB1655" s="57" t="str">
        <f>IF(B1655="","",COUNTIF(B$6:B1655,B1655))</f>
        <v/>
      </c>
      <c r="AC1655" s="57" t="str">
        <f>IF(B1655="","",B1655&amp;"#"&amp;AB1655)</f>
        <v/>
      </c>
      <c r="AD1655" s="57" t="str">
        <f>IF(Z1655=1,A1655&amp;AA1655,"")</f>
        <v/>
      </c>
      <c r="AE1655" s="57" t="str">
        <f>IF(B1655="","",YEAR(C1655))</f>
        <v/>
      </c>
      <c r="AF1655" s="57" t="str">
        <f>IF(B1655="","",MONTH(C1655))</f>
        <v/>
      </c>
      <c r="AG1655" s="57">
        <f>IF(ISNUMBER(C1655),C1655,0)</f>
        <v>0.0</v>
      </c>
      <c r="AH1655" s="57" t="str">
        <f>IF(N(W1655)&gt;0,COUNTIF(W$6:W1655,"&gt;0"),"")</f>
        <v/>
      </c>
      <c r="AI1655" s="57" t="str">
        <f>IF(Z1655=1,COUNTIF(Z$6:Z1655,1),"")</f>
        <v/>
      </c>
    </row>
    <row r="1656">
      <c r="A1656" s="54" t="n"/>
      <c r="B1656" s="55" t="str">
        <f>IF(AA1656="","",A1656&amp;"-"&amp;RIGHT("000"&amp;AA1656,4))</f>
        <v/>
      </c>
      <c r="C1656" s="56" t="n"/>
      <c r="D1656" s="54" t="n"/>
      <c r="E1656" s="57" t="str">
        <f>IF(D1656="","",IF(A1656="BL",IFERROR(INDEX(cl_name,MATCH(D1656,cl_code,0))&amp;"","Client inconnu"),IF(A1656="BR",IFERROR(INDEX(fo_name,MATCH(D1656,fo_code,0))&amp;"","Fournisseur inconnu"),IF(A1656="BS",IF(ISNA(MATCH(D1656,p_services,0)),"Service inconnu",D1656&amp;""),""))))</f>
        <v/>
      </c>
      <c r="F1656" s="58" t="n"/>
      <c r="G1656" s="58" t="n"/>
      <c r="H1656" s="59" t="n"/>
      <c r="I1656" s="57" t="str">
        <f>IF(H1656="","",IFERROR(INDEX(art_des,MATCH(H1656,art_ref,0))&amp;"","Article inconnu"))</f>
        <v/>
      </c>
      <c r="J1656" s="60" t="str">
        <f>IF(H1656="","",IFERROR(INDEX(art_unit,MATCH(H1656,art_ref,0))&amp;"",""))</f>
        <v/>
      </c>
      <c r="K1656" s="59" t="n"/>
      <c r="L1656" s="59" t="n"/>
      <c r="M1656" s="61" t="str">
        <f>IF(OR(B1656="",NOT(ISNUMBER(K1656)),NOT(ISNUMBER(L1656))),"",IF(OR(K1656&lt;=0,L1656&lt;=0),"",ROUND(L1656-K1656,6)))</f>
        <v/>
      </c>
      <c r="N1656" s="58" t="n"/>
      <c r="O1656" s="62" t="n"/>
      <c r="P1656" s="63" t="str">
        <f>IF(OR(B1656="",NOT(ISNUMBER(L1656))),"",IF(L1656&lt;=0,"",IFERROR(ROUND(L1656*N(INDEX(art_w,MATCH(H1656,art_ref,0))),3),"")))</f>
        <v/>
      </c>
      <c r="Q1656" s="59" t="n"/>
      <c r="R1656" s="54" t="n"/>
      <c r="S1656" s="59" t="n"/>
      <c r="T1656" s="59" t="n"/>
      <c r="U1656" s="64" t="str">
        <f>IF(OR(B1656="",H1656=""),"",IFERROR(IF(A1656="BL",IF(N(INDEX(art_price,MATCH(H1656,art_ref,0)))=0,"",N(INDEX(art_price,MATCH(H1656,art_ref,0)))),IF(N(INDEX(art_cost,MATCH(H1656,art_ref,0)))=0,"",N(INDEX(art_cost,MATCH(H1656,art_ref,0))))),""))</f>
        <v/>
      </c>
      <c r="V1656" s="64" t="str">
        <f>IF(OR(U1656="",NOT(ISNUMBER(L1656))),"",IF(L1656&lt;=0,"",ROUND(L1656*U1656,2)))</f>
        <v/>
      </c>
      <c r="W1656" s="60" t="str">
        <f>IF(AND(B1656&lt;&gt;"",A1656&lt;&gt;"BS",F1656&lt;&gt;"",H1656&lt;&gt;"",ISNUMBER(K1656),ISNUMBER(L1656)),IF(AND(K1656&gt;0,L1656&gt;0,K1656-L1656&gt;0,COUNTIFS(A1657:A$2005,A1656,F1657:F$2005,F1656,H1657:H$2005,H1656,AA1657:AA$2005,"&gt;0")=0),ROUND(K1656-L1656,6),""),"")</f>
        <v/>
      </c>
      <c r="X1656" s="60" t="str">
        <f>IF(AND(A1656="",C1656="",D1656="",H1656="",L1656=""),"",IF(A1656="","Type manquant",IF(AND(A1656&lt;&gt;"BL",A1656&lt;&gt;"BR",A1656&lt;&gt;"BS"),"Type inconnu (BL, BR ou BS)",IF(AG1656=0,"Date manquante ou invalide",IF(D1656="",IF(A1656="BL","Client manquant",IF(A1656="BR","Fournisseur manquant","Service manquant")),IF(IF(A1656="BL",ISNA(MATCH(D1656,cl_code,0)),IF(A1656="BR",ISNA(MATCH(D1656,fo_code,0)),ISNA(MATCH(D1656,p_services,0)))),IF(A1656="BL","Client inconnu",IF(A1656="BR","Fournisseur inconnu","Service inconnu")),IF(H1656="","Article manquant",IF(ISNA(MATCH(H1656,art_ref,0)),"Article inconnu",IF(OR(NOT(ISNUMBER(L1656)),N(L1656)&lt;=0),"Quantité invalide",IF(AND(K1656&lt;&gt;"",OR(NOT(ISNUMBER(K1656)),N(K1656)&lt;=0)),"Qté commandée invalide",IF(AG1656&lt;SUMPRODUCT(MAX((A$6:A1655=A1656)*AG$6:AG1655)),"Date antérieure au bon précédent",IF(AND(A1656&lt;&gt;"BR",ISNUMBER(M1656),N(M1656)&gt;0),IF(A1656="BL","Livré plus que commandé","Sorti plus que demandé"),"OK"))))))))))))</f>
        <v/>
      </c>
      <c r="Y1656" s="57" t="str">
        <f>IF(AND(OR(A1656="BL",A1656="BR",A1656="BS"),AG1656&gt;0,D1656&lt;&gt;""),A1656&amp;"|"&amp;AG1656&amp;"|"&amp;D1656&amp;"|"&amp;F1656,"")</f>
        <v/>
      </c>
      <c r="Z1656" s="57" t="str">
        <f>IF(Y1656="","",IF(COUNTIF(Y$6:Y1655,Y1656)=0,1,0))</f>
        <v/>
      </c>
      <c r="AA1656" s="57" t="str">
        <f>IF(Y1656="","",IF(Z1656=1,COUNTIFS(A$6:A1656,A1656,Z$6:Z1656,1),INDEX(AA$6:AA1655,MATCH(Y1656,Y$6:Y1655,0))))</f>
        <v/>
      </c>
      <c r="AB1656" s="57" t="str">
        <f>IF(B1656="","",COUNTIF(B$6:B1656,B1656))</f>
        <v/>
      </c>
      <c r="AC1656" s="57" t="str">
        <f>IF(B1656="","",B1656&amp;"#"&amp;AB1656)</f>
        <v/>
      </c>
      <c r="AD1656" s="57" t="str">
        <f>IF(Z1656=1,A1656&amp;AA1656,"")</f>
        <v/>
      </c>
      <c r="AE1656" s="57" t="str">
        <f>IF(B1656="","",YEAR(C1656))</f>
        <v/>
      </c>
      <c r="AF1656" s="57" t="str">
        <f>IF(B1656="","",MONTH(C1656))</f>
        <v/>
      </c>
      <c r="AG1656" s="57">
        <f>IF(ISNUMBER(C1656),C1656,0)</f>
        <v>0.0</v>
      </c>
      <c r="AH1656" s="57" t="str">
        <f>IF(N(W1656)&gt;0,COUNTIF(W$6:W1656,"&gt;0"),"")</f>
        <v/>
      </c>
      <c r="AI1656" s="57" t="str">
        <f>IF(Z1656=1,COUNTIF(Z$6:Z1656,1),"")</f>
        <v/>
      </c>
    </row>
    <row r="1657">
      <c r="A1657" s="54" t="n"/>
      <c r="B1657" s="55" t="str">
        <f>IF(AA1657="","",A1657&amp;"-"&amp;RIGHT("000"&amp;AA1657,4))</f>
        <v/>
      </c>
      <c r="C1657" s="56" t="n"/>
      <c r="D1657" s="54" t="n"/>
      <c r="E1657" s="57" t="str">
        <f>IF(D1657="","",IF(A1657="BL",IFERROR(INDEX(cl_name,MATCH(D1657,cl_code,0))&amp;"","Client inconnu"),IF(A1657="BR",IFERROR(INDEX(fo_name,MATCH(D1657,fo_code,0))&amp;"","Fournisseur inconnu"),IF(A1657="BS",IF(ISNA(MATCH(D1657,p_services,0)),"Service inconnu",D1657&amp;""),""))))</f>
        <v/>
      </c>
      <c r="F1657" s="58" t="n"/>
      <c r="G1657" s="58" t="n"/>
      <c r="H1657" s="59" t="n"/>
      <c r="I1657" s="57" t="str">
        <f>IF(H1657="","",IFERROR(INDEX(art_des,MATCH(H1657,art_ref,0))&amp;"","Article inconnu"))</f>
        <v/>
      </c>
      <c r="J1657" s="60" t="str">
        <f>IF(H1657="","",IFERROR(INDEX(art_unit,MATCH(H1657,art_ref,0))&amp;"",""))</f>
        <v/>
      </c>
      <c r="K1657" s="59" t="n"/>
      <c r="L1657" s="59" t="n"/>
      <c r="M1657" s="61" t="str">
        <f>IF(OR(B1657="",NOT(ISNUMBER(K1657)),NOT(ISNUMBER(L1657))),"",IF(OR(K1657&lt;=0,L1657&lt;=0),"",ROUND(L1657-K1657,6)))</f>
        <v/>
      </c>
      <c r="N1657" s="58" t="n"/>
      <c r="O1657" s="62" t="n"/>
      <c r="P1657" s="63" t="str">
        <f>IF(OR(B1657="",NOT(ISNUMBER(L1657))),"",IF(L1657&lt;=0,"",IFERROR(ROUND(L1657*N(INDEX(art_w,MATCH(H1657,art_ref,0))),3),"")))</f>
        <v/>
      </c>
      <c r="Q1657" s="59" t="n"/>
      <c r="R1657" s="54" t="n"/>
      <c r="S1657" s="59" t="n"/>
      <c r="T1657" s="59" t="n"/>
      <c r="U1657" s="64" t="str">
        <f>IF(OR(B1657="",H1657=""),"",IFERROR(IF(A1657="BL",IF(N(INDEX(art_price,MATCH(H1657,art_ref,0)))=0,"",N(INDEX(art_price,MATCH(H1657,art_ref,0)))),IF(N(INDEX(art_cost,MATCH(H1657,art_ref,0)))=0,"",N(INDEX(art_cost,MATCH(H1657,art_ref,0))))),""))</f>
        <v/>
      </c>
      <c r="V1657" s="64" t="str">
        <f>IF(OR(U1657="",NOT(ISNUMBER(L1657))),"",IF(L1657&lt;=0,"",ROUND(L1657*U1657,2)))</f>
        <v/>
      </c>
      <c r="W1657" s="60" t="str">
        <f>IF(AND(B1657&lt;&gt;"",A1657&lt;&gt;"BS",F1657&lt;&gt;"",H1657&lt;&gt;"",ISNUMBER(K1657),ISNUMBER(L1657)),IF(AND(K1657&gt;0,L1657&gt;0,K1657-L1657&gt;0,COUNTIFS(A1658:A$2005,A1657,F1658:F$2005,F1657,H1658:H$2005,H1657,AA1658:AA$2005,"&gt;0")=0),ROUND(K1657-L1657,6),""),"")</f>
        <v/>
      </c>
      <c r="X1657" s="60" t="str">
        <f>IF(AND(A1657="",C1657="",D1657="",H1657="",L1657=""),"",IF(A1657="","Type manquant",IF(AND(A1657&lt;&gt;"BL",A1657&lt;&gt;"BR",A1657&lt;&gt;"BS"),"Type inconnu (BL, BR ou BS)",IF(AG1657=0,"Date manquante ou invalide",IF(D1657="",IF(A1657="BL","Client manquant",IF(A1657="BR","Fournisseur manquant","Service manquant")),IF(IF(A1657="BL",ISNA(MATCH(D1657,cl_code,0)),IF(A1657="BR",ISNA(MATCH(D1657,fo_code,0)),ISNA(MATCH(D1657,p_services,0)))),IF(A1657="BL","Client inconnu",IF(A1657="BR","Fournisseur inconnu","Service inconnu")),IF(H1657="","Article manquant",IF(ISNA(MATCH(H1657,art_ref,0)),"Article inconnu",IF(OR(NOT(ISNUMBER(L1657)),N(L1657)&lt;=0),"Quantité invalide",IF(AND(K1657&lt;&gt;"",OR(NOT(ISNUMBER(K1657)),N(K1657)&lt;=0)),"Qté commandée invalide",IF(AG1657&lt;SUMPRODUCT(MAX((A$6:A1656=A1657)*AG$6:AG1656)),"Date antérieure au bon précédent",IF(AND(A1657&lt;&gt;"BR",ISNUMBER(M1657),N(M1657)&gt;0),IF(A1657="BL","Livré plus que commandé","Sorti plus que demandé"),"OK"))))))))))))</f>
        <v/>
      </c>
      <c r="Y1657" s="57" t="str">
        <f>IF(AND(OR(A1657="BL",A1657="BR",A1657="BS"),AG1657&gt;0,D1657&lt;&gt;""),A1657&amp;"|"&amp;AG1657&amp;"|"&amp;D1657&amp;"|"&amp;F1657,"")</f>
        <v/>
      </c>
      <c r="Z1657" s="57" t="str">
        <f>IF(Y1657="","",IF(COUNTIF(Y$6:Y1656,Y1657)=0,1,0))</f>
        <v/>
      </c>
      <c r="AA1657" s="57" t="str">
        <f>IF(Y1657="","",IF(Z1657=1,COUNTIFS(A$6:A1657,A1657,Z$6:Z1657,1),INDEX(AA$6:AA1656,MATCH(Y1657,Y$6:Y1656,0))))</f>
        <v/>
      </c>
      <c r="AB1657" s="57" t="str">
        <f>IF(B1657="","",COUNTIF(B$6:B1657,B1657))</f>
        <v/>
      </c>
      <c r="AC1657" s="57" t="str">
        <f>IF(B1657="","",B1657&amp;"#"&amp;AB1657)</f>
        <v/>
      </c>
      <c r="AD1657" s="57" t="str">
        <f>IF(Z1657=1,A1657&amp;AA1657,"")</f>
        <v/>
      </c>
      <c r="AE1657" s="57" t="str">
        <f>IF(B1657="","",YEAR(C1657))</f>
        <v/>
      </c>
      <c r="AF1657" s="57" t="str">
        <f>IF(B1657="","",MONTH(C1657))</f>
        <v/>
      </c>
      <c r="AG1657" s="57">
        <f>IF(ISNUMBER(C1657),C1657,0)</f>
        <v>0.0</v>
      </c>
      <c r="AH1657" s="57" t="str">
        <f>IF(N(W1657)&gt;0,COUNTIF(W$6:W1657,"&gt;0"),"")</f>
        <v/>
      </c>
      <c r="AI1657" s="57" t="str">
        <f>IF(Z1657=1,COUNTIF(Z$6:Z1657,1),"")</f>
        <v/>
      </c>
    </row>
    <row r="1658">
      <c r="A1658" s="54" t="n"/>
      <c r="B1658" s="55" t="str">
        <f>IF(AA1658="","",A1658&amp;"-"&amp;RIGHT("000"&amp;AA1658,4))</f>
        <v/>
      </c>
      <c r="C1658" s="56" t="n"/>
      <c r="D1658" s="54" t="n"/>
      <c r="E1658" s="57" t="str">
        <f>IF(D1658="","",IF(A1658="BL",IFERROR(INDEX(cl_name,MATCH(D1658,cl_code,0))&amp;"","Client inconnu"),IF(A1658="BR",IFERROR(INDEX(fo_name,MATCH(D1658,fo_code,0))&amp;"","Fournisseur inconnu"),IF(A1658="BS",IF(ISNA(MATCH(D1658,p_services,0)),"Service inconnu",D1658&amp;""),""))))</f>
        <v/>
      </c>
      <c r="F1658" s="58" t="n"/>
      <c r="G1658" s="58" t="n"/>
      <c r="H1658" s="59" t="n"/>
      <c r="I1658" s="57" t="str">
        <f>IF(H1658="","",IFERROR(INDEX(art_des,MATCH(H1658,art_ref,0))&amp;"","Article inconnu"))</f>
        <v/>
      </c>
      <c r="J1658" s="60" t="str">
        <f>IF(H1658="","",IFERROR(INDEX(art_unit,MATCH(H1658,art_ref,0))&amp;"",""))</f>
        <v/>
      </c>
      <c r="K1658" s="59" t="n"/>
      <c r="L1658" s="59" t="n"/>
      <c r="M1658" s="61" t="str">
        <f>IF(OR(B1658="",NOT(ISNUMBER(K1658)),NOT(ISNUMBER(L1658))),"",IF(OR(K1658&lt;=0,L1658&lt;=0),"",ROUND(L1658-K1658,6)))</f>
        <v/>
      </c>
      <c r="N1658" s="58" t="n"/>
      <c r="O1658" s="62" t="n"/>
      <c r="P1658" s="63" t="str">
        <f>IF(OR(B1658="",NOT(ISNUMBER(L1658))),"",IF(L1658&lt;=0,"",IFERROR(ROUND(L1658*N(INDEX(art_w,MATCH(H1658,art_ref,0))),3),"")))</f>
        <v/>
      </c>
      <c r="Q1658" s="59" t="n"/>
      <c r="R1658" s="54" t="n"/>
      <c r="S1658" s="59" t="n"/>
      <c r="T1658" s="59" t="n"/>
      <c r="U1658" s="64" t="str">
        <f>IF(OR(B1658="",H1658=""),"",IFERROR(IF(A1658="BL",IF(N(INDEX(art_price,MATCH(H1658,art_ref,0)))=0,"",N(INDEX(art_price,MATCH(H1658,art_ref,0)))),IF(N(INDEX(art_cost,MATCH(H1658,art_ref,0)))=0,"",N(INDEX(art_cost,MATCH(H1658,art_ref,0))))),""))</f>
        <v/>
      </c>
      <c r="V1658" s="64" t="str">
        <f>IF(OR(U1658="",NOT(ISNUMBER(L1658))),"",IF(L1658&lt;=0,"",ROUND(L1658*U1658,2)))</f>
        <v/>
      </c>
      <c r="W1658" s="60" t="str">
        <f>IF(AND(B1658&lt;&gt;"",A1658&lt;&gt;"BS",F1658&lt;&gt;"",H1658&lt;&gt;"",ISNUMBER(K1658),ISNUMBER(L1658)),IF(AND(K1658&gt;0,L1658&gt;0,K1658-L1658&gt;0,COUNTIFS(A1659:A$2005,A1658,F1659:F$2005,F1658,H1659:H$2005,H1658,AA1659:AA$2005,"&gt;0")=0),ROUND(K1658-L1658,6),""),"")</f>
        <v/>
      </c>
      <c r="X1658" s="60" t="str">
        <f>IF(AND(A1658="",C1658="",D1658="",H1658="",L1658=""),"",IF(A1658="","Type manquant",IF(AND(A1658&lt;&gt;"BL",A1658&lt;&gt;"BR",A1658&lt;&gt;"BS"),"Type inconnu (BL, BR ou BS)",IF(AG1658=0,"Date manquante ou invalide",IF(D1658="",IF(A1658="BL","Client manquant",IF(A1658="BR","Fournisseur manquant","Service manquant")),IF(IF(A1658="BL",ISNA(MATCH(D1658,cl_code,0)),IF(A1658="BR",ISNA(MATCH(D1658,fo_code,0)),ISNA(MATCH(D1658,p_services,0)))),IF(A1658="BL","Client inconnu",IF(A1658="BR","Fournisseur inconnu","Service inconnu")),IF(H1658="","Article manquant",IF(ISNA(MATCH(H1658,art_ref,0)),"Article inconnu",IF(OR(NOT(ISNUMBER(L1658)),N(L1658)&lt;=0),"Quantité invalide",IF(AND(K1658&lt;&gt;"",OR(NOT(ISNUMBER(K1658)),N(K1658)&lt;=0)),"Qté commandée invalide",IF(AG1658&lt;SUMPRODUCT(MAX((A$6:A1657=A1658)*AG$6:AG1657)),"Date antérieure au bon précédent",IF(AND(A1658&lt;&gt;"BR",ISNUMBER(M1658),N(M1658)&gt;0),IF(A1658="BL","Livré plus que commandé","Sorti plus que demandé"),"OK"))))))))))))</f>
        <v/>
      </c>
      <c r="Y1658" s="57" t="str">
        <f>IF(AND(OR(A1658="BL",A1658="BR",A1658="BS"),AG1658&gt;0,D1658&lt;&gt;""),A1658&amp;"|"&amp;AG1658&amp;"|"&amp;D1658&amp;"|"&amp;F1658,"")</f>
        <v/>
      </c>
      <c r="Z1658" s="57" t="str">
        <f>IF(Y1658="","",IF(COUNTIF(Y$6:Y1657,Y1658)=0,1,0))</f>
        <v/>
      </c>
      <c r="AA1658" s="57" t="str">
        <f>IF(Y1658="","",IF(Z1658=1,COUNTIFS(A$6:A1658,A1658,Z$6:Z1658,1),INDEX(AA$6:AA1657,MATCH(Y1658,Y$6:Y1657,0))))</f>
        <v/>
      </c>
      <c r="AB1658" s="57" t="str">
        <f>IF(B1658="","",COUNTIF(B$6:B1658,B1658))</f>
        <v/>
      </c>
      <c r="AC1658" s="57" t="str">
        <f>IF(B1658="","",B1658&amp;"#"&amp;AB1658)</f>
        <v/>
      </c>
      <c r="AD1658" s="57" t="str">
        <f>IF(Z1658=1,A1658&amp;AA1658,"")</f>
        <v/>
      </c>
      <c r="AE1658" s="57" t="str">
        <f>IF(B1658="","",YEAR(C1658))</f>
        <v/>
      </c>
      <c r="AF1658" s="57" t="str">
        <f>IF(B1658="","",MONTH(C1658))</f>
        <v/>
      </c>
      <c r="AG1658" s="57">
        <f>IF(ISNUMBER(C1658),C1658,0)</f>
        <v>0.0</v>
      </c>
      <c r="AH1658" s="57" t="str">
        <f>IF(N(W1658)&gt;0,COUNTIF(W$6:W1658,"&gt;0"),"")</f>
        <v/>
      </c>
      <c r="AI1658" s="57" t="str">
        <f>IF(Z1658=1,COUNTIF(Z$6:Z1658,1),"")</f>
        <v/>
      </c>
    </row>
    <row r="1659">
      <c r="A1659" s="54" t="n"/>
      <c r="B1659" s="55" t="str">
        <f>IF(AA1659="","",A1659&amp;"-"&amp;RIGHT("000"&amp;AA1659,4))</f>
        <v/>
      </c>
      <c r="C1659" s="56" t="n"/>
      <c r="D1659" s="54" t="n"/>
      <c r="E1659" s="57" t="str">
        <f>IF(D1659="","",IF(A1659="BL",IFERROR(INDEX(cl_name,MATCH(D1659,cl_code,0))&amp;"","Client inconnu"),IF(A1659="BR",IFERROR(INDEX(fo_name,MATCH(D1659,fo_code,0))&amp;"","Fournisseur inconnu"),IF(A1659="BS",IF(ISNA(MATCH(D1659,p_services,0)),"Service inconnu",D1659&amp;""),""))))</f>
        <v/>
      </c>
      <c r="F1659" s="58" t="n"/>
      <c r="G1659" s="58" t="n"/>
      <c r="H1659" s="59" t="n"/>
      <c r="I1659" s="57" t="str">
        <f>IF(H1659="","",IFERROR(INDEX(art_des,MATCH(H1659,art_ref,0))&amp;"","Article inconnu"))</f>
        <v/>
      </c>
      <c r="J1659" s="60" t="str">
        <f>IF(H1659="","",IFERROR(INDEX(art_unit,MATCH(H1659,art_ref,0))&amp;"",""))</f>
        <v/>
      </c>
      <c r="K1659" s="59" t="n"/>
      <c r="L1659" s="59" t="n"/>
      <c r="M1659" s="61" t="str">
        <f>IF(OR(B1659="",NOT(ISNUMBER(K1659)),NOT(ISNUMBER(L1659))),"",IF(OR(K1659&lt;=0,L1659&lt;=0),"",ROUND(L1659-K1659,6)))</f>
        <v/>
      </c>
      <c r="N1659" s="58" t="n"/>
      <c r="O1659" s="62" t="n"/>
      <c r="P1659" s="63" t="str">
        <f>IF(OR(B1659="",NOT(ISNUMBER(L1659))),"",IF(L1659&lt;=0,"",IFERROR(ROUND(L1659*N(INDEX(art_w,MATCH(H1659,art_ref,0))),3),"")))</f>
        <v/>
      </c>
      <c r="Q1659" s="59" t="n"/>
      <c r="R1659" s="54" t="n"/>
      <c r="S1659" s="59" t="n"/>
      <c r="T1659" s="59" t="n"/>
      <c r="U1659" s="64" t="str">
        <f>IF(OR(B1659="",H1659=""),"",IFERROR(IF(A1659="BL",IF(N(INDEX(art_price,MATCH(H1659,art_ref,0)))=0,"",N(INDEX(art_price,MATCH(H1659,art_ref,0)))),IF(N(INDEX(art_cost,MATCH(H1659,art_ref,0)))=0,"",N(INDEX(art_cost,MATCH(H1659,art_ref,0))))),""))</f>
        <v/>
      </c>
      <c r="V1659" s="64" t="str">
        <f>IF(OR(U1659="",NOT(ISNUMBER(L1659))),"",IF(L1659&lt;=0,"",ROUND(L1659*U1659,2)))</f>
        <v/>
      </c>
      <c r="W1659" s="60" t="str">
        <f>IF(AND(B1659&lt;&gt;"",A1659&lt;&gt;"BS",F1659&lt;&gt;"",H1659&lt;&gt;"",ISNUMBER(K1659),ISNUMBER(L1659)),IF(AND(K1659&gt;0,L1659&gt;0,K1659-L1659&gt;0,COUNTIFS(A1660:A$2005,A1659,F1660:F$2005,F1659,H1660:H$2005,H1659,AA1660:AA$2005,"&gt;0")=0),ROUND(K1659-L1659,6),""),"")</f>
        <v/>
      </c>
      <c r="X1659" s="60" t="str">
        <f>IF(AND(A1659="",C1659="",D1659="",H1659="",L1659=""),"",IF(A1659="","Type manquant",IF(AND(A1659&lt;&gt;"BL",A1659&lt;&gt;"BR",A1659&lt;&gt;"BS"),"Type inconnu (BL, BR ou BS)",IF(AG1659=0,"Date manquante ou invalide",IF(D1659="",IF(A1659="BL","Client manquant",IF(A1659="BR","Fournisseur manquant","Service manquant")),IF(IF(A1659="BL",ISNA(MATCH(D1659,cl_code,0)),IF(A1659="BR",ISNA(MATCH(D1659,fo_code,0)),ISNA(MATCH(D1659,p_services,0)))),IF(A1659="BL","Client inconnu",IF(A1659="BR","Fournisseur inconnu","Service inconnu")),IF(H1659="","Article manquant",IF(ISNA(MATCH(H1659,art_ref,0)),"Article inconnu",IF(OR(NOT(ISNUMBER(L1659)),N(L1659)&lt;=0),"Quantité invalide",IF(AND(K1659&lt;&gt;"",OR(NOT(ISNUMBER(K1659)),N(K1659)&lt;=0)),"Qté commandée invalide",IF(AG1659&lt;SUMPRODUCT(MAX((A$6:A1658=A1659)*AG$6:AG1658)),"Date antérieure au bon précédent",IF(AND(A1659&lt;&gt;"BR",ISNUMBER(M1659),N(M1659)&gt;0),IF(A1659="BL","Livré plus que commandé","Sorti plus que demandé"),"OK"))))))))))))</f>
        <v/>
      </c>
      <c r="Y1659" s="57" t="str">
        <f>IF(AND(OR(A1659="BL",A1659="BR",A1659="BS"),AG1659&gt;0,D1659&lt;&gt;""),A1659&amp;"|"&amp;AG1659&amp;"|"&amp;D1659&amp;"|"&amp;F1659,"")</f>
        <v/>
      </c>
      <c r="Z1659" s="57" t="str">
        <f>IF(Y1659="","",IF(COUNTIF(Y$6:Y1658,Y1659)=0,1,0))</f>
        <v/>
      </c>
      <c r="AA1659" s="57" t="str">
        <f>IF(Y1659="","",IF(Z1659=1,COUNTIFS(A$6:A1659,A1659,Z$6:Z1659,1),INDEX(AA$6:AA1658,MATCH(Y1659,Y$6:Y1658,0))))</f>
        <v/>
      </c>
      <c r="AB1659" s="57" t="str">
        <f>IF(B1659="","",COUNTIF(B$6:B1659,B1659))</f>
        <v/>
      </c>
      <c r="AC1659" s="57" t="str">
        <f>IF(B1659="","",B1659&amp;"#"&amp;AB1659)</f>
        <v/>
      </c>
      <c r="AD1659" s="57" t="str">
        <f>IF(Z1659=1,A1659&amp;AA1659,"")</f>
        <v/>
      </c>
      <c r="AE1659" s="57" t="str">
        <f>IF(B1659="","",YEAR(C1659))</f>
        <v/>
      </c>
      <c r="AF1659" s="57" t="str">
        <f>IF(B1659="","",MONTH(C1659))</f>
        <v/>
      </c>
      <c r="AG1659" s="57">
        <f>IF(ISNUMBER(C1659),C1659,0)</f>
        <v>0.0</v>
      </c>
      <c r="AH1659" s="57" t="str">
        <f>IF(N(W1659)&gt;0,COUNTIF(W$6:W1659,"&gt;0"),"")</f>
        <v/>
      </c>
      <c r="AI1659" s="57" t="str">
        <f>IF(Z1659=1,COUNTIF(Z$6:Z1659,1),"")</f>
        <v/>
      </c>
    </row>
    <row r="1660">
      <c r="A1660" s="54" t="n"/>
      <c r="B1660" s="55" t="str">
        <f>IF(AA1660="","",A1660&amp;"-"&amp;RIGHT("000"&amp;AA1660,4))</f>
        <v/>
      </c>
      <c r="C1660" s="56" t="n"/>
      <c r="D1660" s="54" t="n"/>
      <c r="E1660" s="57" t="str">
        <f>IF(D1660="","",IF(A1660="BL",IFERROR(INDEX(cl_name,MATCH(D1660,cl_code,0))&amp;"","Client inconnu"),IF(A1660="BR",IFERROR(INDEX(fo_name,MATCH(D1660,fo_code,0))&amp;"","Fournisseur inconnu"),IF(A1660="BS",IF(ISNA(MATCH(D1660,p_services,0)),"Service inconnu",D1660&amp;""),""))))</f>
        <v/>
      </c>
      <c r="F1660" s="58" t="n"/>
      <c r="G1660" s="58" t="n"/>
      <c r="H1660" s="59" t="n"/>
      <c r="I1660" s="57" t="str">
        <f>IF(H1660="","",IFERROR(INDEX(art_des,MATCH(H1660,art_ref,0))&amp;"","Article inconnu"))</f>
        <v/>
      </c>
      <c r="J1660" s="60" t="str">
        <f>IF(H1660="","",IFERROR(INDEX(art_unit,MATCH(H1660,art_ref,0))&amp;"",""))</f>
        <v/>
      </c>
      <c r="K1660" s="59" t="n"/>
      <c r="L1660" s="59" t="n"/>
      <c r="M1660" s="61" t="str">
        <f>IF(OR(B1660="",NOT(ISNUMBER(K1660)),NOT(ISNUMBER(L1660))),"",IF(OR(K1660&lt;=0,L1660&lt;=0),"",ROUND(L1660-K1660,6)))</f>
        <v/>
      </c>
      <c r="N1660" s="58" t="n"/>
      <c r="O1660" s="62" t="n"/>
      <c r="P1660" s="63" t="str">
        <f>IF(OR(B1660="",NOT(ISNUMBER(L1660))),"",IF(L1660&lt;=0,"",IFERROR(ROUND(L1660*N(INDEX(art_w,MATCH(H1660,art_ref,0))),3),"")))</f>
        <v/>
      </c>
      <c r="Q1660" s="59" t="n"/>
      <c r="R1660" s="54" t="n"/>
      <c r="S1660" s="59" t="n"/>
      <c r="T1660" s="59" t="n"/>
      <c r="U1660" s="64" t="str">
        <f>IF(OR(B1660="",H1660=""),"",IFERROR(IF(A1660="BL",IF(N(INDEX(art_price,MATCH(H1660,art_ref,0)))=0,"",N(INDEX(art_price,MATCH(H1660,art_ref,0)))),IF(N(INDEX(art_cost,MATCH(H1660,art_ref,0)))=0,"",N(INDEX(art_cost,MATCH(H1660,art_ref,0))))),""))</f>
        <v/>
      </c>
      <c r="V1660" s="64" t="str">
        <f>IF(OR(U1660="",NOT(ISNUMBER(L1660))),"",IF(L1660&lt;=0,"",ROUND(L1660*U1660,2)))</f>
        <v/>
      </c>
      <c r="W1660" s="60" t="str">
        <f>IF(AND(B1660&lt;&gt;"",A1660&lt;&gt;"BS",F1660&lt;&gt;"",H1660&lt;&gt;"",ISNUMBER(K1660),ISNUMBER(L1660)),IF(AND(K1660&gt;0,L1660&gt;0,K1660-L1660&gt;0,COUNTIFS(A1661:A$2005,A1660,F1661:F$2005,F1660,H1661:H$2005,H1660,AA1661:AA$2005,"&gt;0")=0),ROUND(K1660-L1660,6),""),"")</f>
        <v/>
      </c>
      <c r="X1660" s="60" t="str">
        <f>IF(AND(A1660="",C1660="",D1660="",H1660="",L1660=""),"",IF(A1660="","Type manquant",IF(AND(A1660&lt;&gt;"BL",A1660&lt;&gt;"BR",A1660&lt;&gt;"BS"),"Type inconnu (BL, BR ou BS)",IF(AG1660=0,"Date manquante ou invalide",IF(D1660="",IF(A1660="BL","Client manquant",IF(A1660="BR","Fournisseur manquant","Service manquant")),IF(IF(A1660="BL",ISNA(MATCH(D1660,cl_code,0)),IF(A1660="BR",ISNA(MATCH(D1660,fo_code,0)),ISNA(MATCH(D1660,p_services,0)))),IF(A1660="BL","Client inconnu",IF(A1660="BR","Fournisseur inconnu","Service inconnu")),IF(H1660="","Article manquant",IF(ISNA(MATCH(H1660,art_ref,0)),"Article inconnu",IF(OR(NOT(ISNUMBER(L1660)),N(L1660)&lt;=0),"Quantité invalide",IF(AND(K1660&lt;&gt;"",OR(NOT(ISNUMBER(K1660)),N(K1660)&lt;=0)),"Qté commandée invalide",IF(AG1660&lt;SUMPRODUCT(MAX((A$6:A1659=A1660)*AG$6:AG1659)),"Date antérieure au bon précédent",IF(AND(A1660&lt;&gt;"BR",ISNUMBER(M1660),N(M1660)&gt;0),IF(A1660="BL","Livré plus que commandé","Sorti plus que demandé"),"OK"))))))))))))</f>
        <v/>
      </c>
      <c r="Y1660" s="57" t="str">
        <f>IF(AND(OR(A1660="BL",A1660="BR",A1660="BS"),AG1660&gt;0,D1660&lt;&gt;""),A1660&amp;"|"&amp;AG1660&amp;"|"&amp;D1660&amp;"|"&amp;F1660,"")</f>
        <v/>
      </c>
      <c r="Z1660" s="57" t="str">
        <f>IF(Y1660="","",IF(COUNTIF(Y$6:Y1659,Y1660)=0,1,0))</f>
        <v/>
      </c>
      <c r="AA1660" s="57" t="str">
        <f>IF(Y1660="","",IF(Z1660=1,COUNTIFS(A$6:A1660,A1660,Z$6:Z1660,1),INDEX(AA$6:AA1659,MATCH(Y1660,Y$6:Y1659,0))))</f>
        <v/>
      </c>
      <c r="AB1660" s="57" t="str">
        <f>IF(B1660="","",COUNTIF(B$6:B1660,B1660))</f>
        <v/>
      </c>
      <c r="AC1660" s="57" t="str">
        <f>IF(B1660="","",B1660&amp;"#"&amp;AB1660)</f>
        <v/>
      </c>
      <c r="AD1660" s="57" t="str">
        <f>IF(Z1660=1,A1660&amp;AA1660,"")</f>
        <v/>
      </c>
      <c r="AE1660" s="57" t="str">
        <f>IF(B1660="","",YEAR(C1660))</f>
        <v/>
      </c>
      <c r="AF1660" s="57" t="str">
        <f>IF(B1660="","",MONTH(C1660))</f>
        <v/>
      </c>
      <c r="AG1660" s="57">
        <f>IF(ISNUMBER(C1660),C1660,0)</f>
        <v>0.0</v>
      </c>
      <c r="AH1660" s="57" t="str">
        <f>IF(N(W1660)&gt;0,COUNTIF(W$6:W1660,"&gt;0"),"")</f>
        <v/>
      </c>
      <c r="AI1660" s="57" t="str">
        <f>IF(Z1660=1,COUNTIF(Z$6:Z1660,1),"")</f>
        <v/>
      </c>
    </row>
    <row r="1661">
      <c r="A1661" s="54" t="n"/>
      <c r="B1661" s="55" t="str">
        <f>IF(AA1661="","",A1661&amp;"-"&amp;RIGHT("000"&amp;AA1661,4))</f>
        <v/>
      </c>
      <c r="C1661" s="56" t="n"/>
      <c r="D1661" s="54" t="n"/>
      <c r="E1661" s="57" t="str">
        <f>IF(D1661="","",IF(A1661="BL",IFERROR(INDEX(cl_name,MATCH(D1661,cl_code,0))&amp;"","Client inconnu"),IF(A1661="BR",IFERROR(INDEX(fo_name,MATCH(D1661,fo_code,0))&amp;"","Fournisseur inconnu"),IF(A1661="BS",IF(ISNA(MATCH(D1661,p_services,0)),"Service inconnu",D1661&amp;""),""))))</f>
        <v/>
      </c>
      <c r="F1661" s="58" t="n"/>
      <c r="G1661" s="58" t="n"/>
      <c r="H1661" s="59" t="n"/>
      <c r="I1661" s="57" t="str">
        <f>IF(H1661="","",IFERROR(INDEX(art_des,MATCH(H1661,art_ref,0))&amp;"","Article inconnu"))</f>
        <v/>
      </c>
      <c r="J1661" s="60" t="str">
        <f>IF(H1661="","",IFERROR(INDEX(art_unit,MATCH(H1661,art_ref,0))&amp;"",""))</f>
        <v/>
      </c>
      <c r="K1661" s="59" t="n"/>
      <c r="L1661" s="59" t="n"/>
      <c r="M1661" s="61" t="str">
        <f>IF(OR(B1661="",NOT(ISNUMBER(K1661)),NOT(ISNUMBER(L1661))),"",IF(OR(K1661&lt;=0,L1661&lt;=0),"",ROUND(L1661-K1661,6)))</f>
        <v/>
      </c>
      <c r="N1661" s="58" t="n"/>
      <c r="O1661" s="62" t="n"/>
      <c r="P1661" s="63" t="str">
        <f>IF(OR(B1661="",NOT(ISNUMBER(L1661))),"",IF(L1661&lt;=0,"",IFERROR(ROUND(L1661*N(INDEX(art_w,MATCH(H1661,art_ref,0))),3),"")))</f>
        <v/>
      </c>
      <c r="Q1661" s="59" t="n"/>
      <c r="R1661" s="54" t="n"/>
      <c r="S1661" s="59" t="n"/>
      <c r="T1661" s="59" t="n"/>
      <c r="U1661" s="64" t="str">
        <f>IF(OR(B1661="",H1661=""),"",IFERROR(IF(A1661="BL",IF(N(INDEX(art_price,MATCH(H1661,art_ref,0)))=0,"",N(INDEX(art_price,MATCH(H1661,art_ref,0)))),IF(N(INDEX(art_cost,MATCH(H1661,art_ref,0)))=0,"",N(INDEX(art_cost,MATCH(H1661,art_ref,0))))),""))</f>
        <v/>
      </c>
      <c r="V1661" s="64" t="str">
        <f>IF(OR(U1661="",NOT(ISNUMBER(L1661))),"",IF(L1661&lt;=0,"",ROUND(L1661*U1661,2)))</f>
        <v/>
      </c>
      <c r="W1661" s="60" t="str">
        <f>IF(AND(B1661&lt;&gt;"",A1661&lt;&gt;"BS",F1661&lt;&gt;"",H1661&lt;&gt;"",ISNUMBER(K1661),ISNUMBER(L1661)),IF(AND(K1661&gt;0,L1661&gt;0,K1661-L1661&gt;0,COUNTIFS(A1662:A$2005,A1661,F1662:F$2005,F1661,H1662:H$2005,H1661,AA1662:AA$2005,"&gt;0")=0),ROUND(K1661-L1661,6),""),"")</f>
        <v/>
      </c>
      <c r="X1661" s="60" t="str">
        <f>IF(AND(A1661="",C1661="",D1661="",H1661="",L1661=""),"",IF(A1661="","Type manquant",IF(AND(A1661&lt;&gt;"BL",A1661&lt;&gt;"BR",A1661&lt;&gt;"BS"),"Type inconnu (BL, BR ou BS)",IF(AG1661=0,"Date manquante ou invalide",IF(D1661="",IF(A1661="BL","Client manquant",IF(A1661="BR","Fournisseur manquant","Service manquant")),IF(IF(A1661="BL",ISNA(MATCH(D1661,cl_code,0)),IF(A1661="BR",ISNA(MATCH(D1661,fo_code,0)),ISNA(MATCH(D1661,p_services,0)))),IF(A1661="BL","Client inconnu",IF(A1661="BR","Fournisseur inconnu","Service inconnu")),IF(H1661="","Article manquant",IF(ISNA(MATCH(H1661,art_ref,0)),"Article inconnu",IF(OR(NOT(ISNUMBER(L1661)),N(L1661)&lt;=0),"Quantité invalide",IF(AND(K1661&lt;&gt;"",OR(NOT(ISNUMBER(K1661)),N(K1661)&lt;=0)),"Qté commandée invalide",IF(AG1661&lt;SUMPRODUCT(MAX((A$6:A1660=A1661)*AG$6:AG1660)),"Date antérieure au bon précédent",IF(AND(A1661&lt;&gt;"BR",ISNUMBER(M1661),N(M1661)&gt;0),IF(A1661="BL","Livré plus que commandé","Sorti plus que demandé"),"OK"))))))))))))</f>
        <v/>
      </c>
      <c r="Y1661" s="57" t="str">
        <f>IF(AND(OR(A1661="BL",A1661="BR",A1661="BS"),AG1661&gt;0,D1661&lt;&gt;""),A1661&amp;"|"&amp;AG1661&amp;"|"&amp;D1661&amp;"|"&amp;F1661,"")</f>
        <v/>
      </c>
      <c r="Z1661" s="57" t="str">
        <f>IF(Y1661="","",IF(COUNTIF(Y$6:Y1660,Y1661)=0,1,0))</f>
        <v/>
      </c>
      <c r="AA1661" s="57" t="str">
        <f>IF(Y1661="","",IF(Z1661=1,COUNTIFS(A$6:A1661,A1661,Z$6:Z1661,1),INDEX(AA$6:AA1660,MATCH(Y1661,Y$6:Y1660,0))))</f>
        <v/>
      </c>
      <c r="AB1661" s="57" t="str">
        <f>IF(B1661="","",COUNTIF(B$6:B1661,B1661))</f>
        <v/>
      </c>
      <c r="AC1661" s="57" t="str">
        <f>IF(B1661="","",B1661&amp;"#"&amp;AB1661)</f>
        <v/>
      </c>
      <c r="AD1661" s="57" t="str">
        <f>IF(Z1661=1,A1661&amp;AA1661,"")</f>
        <v/>
      </c>
      <c r="AE1661" s="57" t="str">
        <f>IF(B1661="","",YEAR(C1661))</f>
        <v/>
      </c>
      <c r="AF1661" s="57" t="str">
        <f>IF(B1661="","",MONTH(C1661))</f>
        <v/>
      </c>
      <c r="AG1661" s="57">
        <f>IF(ISNUMBER(C1661),C1661,0)</f>
        <v>0.0</v>
      </c>
      <c r="AH1661" s="57" t="str">
        <f>IF(N(W1661)&gt;0,COUNTIF(W$6:W1661,"&gt;0"),"")</f>
        <v/>
      </c>
      <c r="AI1661" s="57" t="str">
        <f>IF(Z1661=1,COUNTIF(Z$6:Z1661,1),"")</f>
        <v/>
      </c>
    </row>
    <row r="1662">
      <c r="A1662" s="54" t="n"/>
      <c r="B1662" s="55" t="str">
        <f>IF(AA1662="","",A1662&amp;"-"&amp;RIGHT("000"&amp;AA1662,4))</f>
        <v/>
      </c>
      <c r="C1662" s="56" t="n"/>
      <c r="D1662" s="54" t="n"/>
      <c r="E1662" s="57" t="str">
        <f>IF(D1662="","",IF(A1662="BL",IFERROR(INDEX(cl_name,MATCH(D1662,cl_code,0))&amp;"","Client inconnu"),IF(A1662="BR",IFERROR(INDEX(fo_name,MATCH(D1662,fo_code,0))&amp;"","Fournisseur inconnu"),IF(A1662="BS",IF(ISNA(MATCH(D1662,p_services,0)),"Service inconnu",D1662&amp;""),""))))</f>
        <v/>
      </c>
      <c r="F1662" s="58" t="n"/>
      <c r="G1662" s="58" t="n"/>
      <c r="H1662" s="59" t="n"/>
      <c r="I1662" s="57" t="str">
        <f>IF(H1662="","",IFERROR(INDEX(art_des,MATCH(H1662,art_ref,0))&amp;"","Article inconnu"))</f>
        <v/>
      </c>
      <c r="J1662" s="60" t="str">
        <f>IF(H1662="","",IFERROR(INDEX(art_unit,MATCH(H1662,art_ref,0))&amp;"",""))</f>
        <v/>
      </c>
      <c r="K1662" s="59" t="n"/>
      <c r="L1662" s="59" t="n"/>
      <c r="M1662" s="61" t="str">
        <f>IF(OR(B1662="",NOT(ISNUMBER(K1662)),NOT(ISNUMBER(L1662))),"",IF(OR(K1662&lt;=0,L1662&lt;=0),"",ROUND(L1662-K1662,6)))</f>
        <v/>
      </c>
      <c r="N1662" s="58" t="n"/>
      <c r="O1662" s="62" t="n"/>
      <c r="P1662" s="63" t="str">
        <f>IF(OR(B1662="",NOT(ISNUMBER(L1662))),"",IF(L1662&lt;=0,"",IFERROR(ROUND(L1662*N(INDEX(art_w,MATCH(H1662,art_ref,0))),3),"")))</f>
        <v/>
      </c>
      <c r="Q1662" s="59" t="n"/>
      <c r="R1662" s="54" t="n"/>
      <c r="S1662" s="59" t="n"/>
      <c r="T1662" s="59" t="n"/>
      <c r="U1662" s="64" t="str">
        <f>IF(OR(B1662="",H1662=""),"",IFERROR(IF(A1662="BL",IF(N(INDEX(art_price,MATCH(H1662,art_ref,0)))=0,"",N(INDEX(art_price,MATCH(H1662,art_ref,0)))),IF(N(INDEX(art_cost,MATCH(H1662,art_ref,0)))=0,"",N(INDEX(art_cost,MATCH(H1662,art_ref,0))))),""))</f>
        <v/>
      </c>
      <c r="V1662" s="64" t="str">
        <f>IF(OR(U1662="",NOT(ISNUMBER(L1662))),"",IF(L1662&lt;=0,"",ROUND(L1662*U1662,2)))</f>
        <v/>
      </c>
      <c r="W1662" s="60" t="str">
        <f>IF(AND(B1662&lt;&gt;"",A1662&lt;&gt;"BS",F1662&lt;&gt;"",H1662&lt;&gt;"",ISNUMBER(K1662),ISNUMBER(L1662)),IF(AND(K1662&gt;0,L1662&gt;0,K1662-L1662&gt;0,COUNTIFS(A1663:A$2005,A1662,F1663:F$2005,F1662,H1663:H$2005,H1662,AA1663:AA$2005,"&gt;0")=0),ROUND(K1662-L1662,6),""),"")</f>
        <v/>
      </c>
      <c r="X1662" s="60" t="str">
        <f>IF(AND(A1662="",C1662="",D1662="",H1662="",L1662=""),"",IF(A1662="","Type manquant",IF(AND(A1662&lt;&gt;"BL",A1662&lt;&gt;"BR",A1662&lt;&gt;"BS"),"Type inconnu (BL, BR ou BS)",IF(AG1662=0,"Date manquante ou invalide",IF(D1662="",IF(A1662="BL","Client manquant",IF(A1662="BR","Fournisseur manquant","Service manquant")),IF(IF(A1662="BL",ISNA(MATCH(D1662,cl_code,0)),IF(A1662="BR",ISNA(MATCH(D1662,fo_code,0)),ISNA(MATCH(D1662,p_services,0)))),IF(A1662="BL","Client inconnu",IF(A1662="BR","Fournisseur inconnu","Service inconnu")),IF(H1662="","Article manquant",IF(ISNA(MATCH(H1662,art_ref,0)),"Article inconnu",IF(OR(NOT(ISNUMBER(L1662)),N(L1662)&lt;=0),"Quantité invalide",IF(AND(K1662&lt;&gt;"",OR(NOT(ISNUMBER(K1662)),N(K1662)&lt;=0)),"Qté commandée invalide",IF(AG1662&lt;SUMPRODUCT(MAX((A$6:A1661=A1662)*AG$6:AG1661)),"Date antérieure au bon précédent",IF(AND(A1662&lt;&gt;"BR",ISNUMBER(M1662),N(M1662)&gt;0),IF(A1662="BL","Livré plus que commandé","Sorti plus que demandé"),"OK"))))))))))))</f>
        <v/>
      </c>
      <c r="Y1662" s="57" t="str">
        <f>IF(AND(OR(A1662="BL",A1662="BR",A1662="BS"),AG1662&gt;0,D1662&lt;&gt;""),A1662&amp;"|"&amp;AG1662&amp;"|"&amp;D1662&amp;"|"&amp;F1662,"")</f>
        <v/>
      </c>
      <c r="Z1662" s="57" t="str">
        <f>IF(Y1662="","",IF(COUNTIF(Y$6:Y1661,Y1662)=0,1,0))</f>
        <v/>
      </c>
      <c r="AA1662" s="57" t="str">
        <f>IF(Y1662="","",IF(Z1662=1,COUNTIFS(A$6:A1662,A1662,Z$6:Z1662,1),INDEX(AA$6:AA1661,MATCH(Y1662,Y$6:Y1661,0))))</f>
        <v/>
      </c>
      <c r="AB1662" s="57" t="str">
        <f>IF(B1662="","",COUNTIF(B$6:B1662,B1662))</f>
        <v/>
      </c>
      <c r="AC1662" s="57" t="str">
        <f>IF(B1662="","",B1662&amp;"#"&amp;AB1662)</f>
        <v/>
      </c>
      <c r="AD1662" s="57" t="str">
        <f>IF(Z1662=1,A1662&amp;AA1662,"")</f>
        <v/>
      </c>
      <c r="AE1662" s="57" t="str">
        <f>IF(B1662="","",YEAR(C1662))</f>
        <v/>
      </c>
      <c r="AF1662" s="57" t="str">
        <f>IF(B1662="","",MONTH(C1662))</f>
        <v/>
      </c>
      <c r="AG1662" s="57">
        <f>IF(ISNUMBER(C1662),C1662,0)</f>
        <v>0.0</v>
      </c>
      <c r="AH1662" s="57" t="str">
        <f>IF(N(W1662)&gt;0,COUNTIF(W$6:W1662,"&gt;0"),"")</f>
        <v/>
      </c>
      <c r="AI1662" s="57" t="str">
        <f>IF(Z1662=1,COUNTIF(Z$6:Z1662,1),"")</f>
        <v/>
      </c>
    </row>
    <row r="1663">
      <c r="A1663" s="54" t="n"/>
      <c r="B1663" s="55" t="str">
        <f>IF(AA1663="","",A1663&amp;"-"&amp;RIGHT("000"&amp;AA1663,4))</f>
        <v/>
      </c>
      <c r="C1663" s="56" t="n"/>
      <c r="D1663" s="54" t="n"/>
      <c r="E1663" s="57" t="str">
        <f>IF(D1663="","",IF(A1663="BL",IFERROR(INDEX(cl_name,MATCH(D1663,cl_code,0))&amp;"","Client inconnu"),IF(A1663="BR",IFERROR(INDEX(fo_name,MATCH(D1663,fo_code,0))&amp;"","Fournisseur inconnu"),IF(A1663="BS",IF(ISNA(MATCH(D1663,p_services,0)),"Service inconnu",D1663&amp;""),""))))</f>
        <v/>
      </c>
      <c r="F1663" s="58" t="n"/>
      <c r="G1663" s="58" t="n"/>
      <c r="H1663" s="59" t="n"/>
      <c r="I1663" s="57" t="str">
        <f>IF(H1663="","",IFERROR(INDEX(art_des,MATCH(H1663,art_ref,0))&amp;"","Article inconnu"))</f>
        <v/>
      </c>
      <c r="J1663" s="60" t="str">
        <f>IF(H1663="","",IFERROR(INDEX(art_unit,MATCH(H1663,art_ref,0))&amp;"",""))</f>
        <v/>
      </c>
      <c r="K1663" s="59" t="n"/>
      <c r="L1663" s="59" t="n"/>
      <c r="M1663" s="61" t="str">
        <f>IF(OR(B1663="",NOT(ISNUMBER(K1663)),NOT(ISNUMBER(L1663))),"",IF(OR(K1663&lt;=0,L1663&lt;=0),"",ROUND(L1663-K1663,6)))</f>
        <v/>
      </c>
      <c r="N1663" s="58" t="n"/>
      <c r="O1663" s="62" t="n"/>
      <c r="P1663" s="63" t="str">
        <f>IF(OR(B1663="",NOT(ISNUMBER(L1663))),"",IF(L1663&lt;=0,"",IFERROR(ROUND(L1663*N(INDEX(art_w,MATCH(H1663,art_ref,0))),3),"")))</f>
        <v/>
      </c>
      <c r="Q1663" s="59" t="n"/>
      <c r="R1663" s="54" t="n"/>
      <c r="S1663" s="59" t="n"/>
      <c r="T1663" s="59" t="n"/>
      <c r="U1663" s="64" t="str">
        <f>IF(OR(B1663="",H1663=""),"",IFERROR(IF(A1663="BL",IF(N(INDEX(art_price,MATCH(H1663,art_ref,0)))=0,"",N(INDEX(art_price,MATCH(H1663,art_ref,0)))),IF(N(INDEX(art_cost,MATCH(H1663,art_ref,0)))=0,"",N(INDEX(art_cost,MATCH(H1663,art_ref,0))))),""))</f>
        <v/>
      </c>
      <c r="V1663" s="64" t="str">
        <f>IF(OR(U1663="",NOT(ISNUMBER(L1663))),"",IF(L1663&lt;=0,"",ROUND(L1663*U1663,2)))</f>
        <v/>
      </c>
      <c r="W1663" s="60" t="str">
        <f>IF(AND(B1663&lt;&gt;"",A1663&lt;&gt;"BS",F1663&lt;&gt;"",H1663&lt;&gt;"",ISNUMBER(K1663),ISNUMBER(L1663)),IF(AND(K1663&gt;0,L1663&gt;0,K1663-L1663&gt;0,COUNTIFS(A1664:A$2005,A1663,F1664:F$2005,F1663,H1664:H$2005,H1663,AA1664:AA$2005,"&gt;0")=0),ROUND(K1663-L1663,6),""),"")</f>
        <v/>
      </c>
      <c r="X1663" s="60" t="str">
        <f>IF(AND(A1663="",C1663="",D1663="",H1663="",L1663=""),"",IF(A1663="","Type manquant",IF(AND(A1663&lt;&gt;"BL",A1663&lt;&gt;"BR",A1663&lt;&gt;"BS"),"Type inconnu (BL, BR ou BS)",IF(AG1663=0,"Date manquante ou invalide",IF(D1663="",IF(A1663="BL","Client manquant",IF(A1663="BR","Fournisseur manquant","Service manquant")),IF(IF(A1663="BL",ISNA(MATCH(D1663,cl_code,0)),IF(A1663="BR",ISNA(MATCH(D1663,fo_code,0)),ISNA(MATCH(D1663,p_services,0)))),IF(A1663="BL","Client inconnu",IF(A1663="BR","Fournisseur inconnu","Service inconnu")),IF(H1663="","Article manquant",IF(ISNA(MATCH(H1663,art_ref,0)),"Article inconnu",IF(OR(NOT(ISNUMBER(L1663)),N(L1663)&lt;=0),"Quantité invalide",IF(AND(K1663&lt;&gt;"",OR(NOT(ISNUMBER(K1663)),N(K1663)&lt;=0)),"Qté commandée invalide",IF(AG1663&lt;SUMPRODUCT(MAX((A$6:A1662=A1663)*AG$6:AG1662)),"Date antérieure au bon précédent",IF(AND(A1663&lt;&gt;"BR",ISNUMBER(M1663),N(M1663)&gt;0),IF(A1663="BL","Livré plus que commandé","Sorti plus que demandé"),"OK"))))))))))))</f>
        <v/>
      </c>
      <c r="Y1663" s="57" t="str">
        <f>IF(AND(OR(A1663="BL",A1663="BR",A1663="BS"),AG1663&gt;0,D1663&lt;&gt;""),A1663&amp;"|"&amp;AG1663&amp;"|"&amp;D1663&amp;"|"&amp;F1663,"")</f>
        <v/>
      </c>
      <c r="Z1663" s="57" t="str">
        <f>IF(Y1663="","",IF(COUNTIF(Y$6:Y1662,Y1663)=0,1,0))</f>
        <v/>
      </c>
      <c r="AA1663" s="57" t="str">
        <f>IF(Y1663="","",IF(Z1663=1,COUNTIFS(A$6:A1663,A1663,Z$6:Z1663,1),INDEX(AA$6:AA1662,MATCH(Y1663,Y$6:Y1662,0))))</f>
        <v/>
      </c>
      <c r="AB1663" s="57" t="str">
        <f>IF(B1663="","",COUNTIF(B$6:B1663,B1663))</f>
        <v/>
      </c>
      <c r="AC1663" s="57" t="str">
        <f>IF(B1663="","",B1663&amp;"#"&amp;AB1663)</f>
        <v/>
      </c>
      <c r="AD1663" s="57" t="str">
        <f>IF(Z1663=1,A1663&amp;AA1663,"")</f>
        <v/>
      </c>
      <c r="AE1663" s="57" t="str">
        <f>IF(B1663="","",YEAR(C1663))</f>
        <v/>
      </c>
      <c r="AF1663" s="57" t="str">
        <f>IF(B1663="","",MONTH(C1663))</f>
        <v/>
      </c>
      <c r="AG1663" s="57">
        <f>IF(ISNUMBER(C1663),C1663,0)</f>
        <v>0.0</v>
      </c>
      <c r="AH1663" s="57" t="str">
        <f>IF(N(W1663)&gt;0,COUNTIF(W$6:W1663,"&gt;0"),"")</f>
        <v/>
      </c>
      <c r="AI1663" s="57" t="str">
        <f>IF(Z1663=1,COUNTIF(Z$6:Z1663,1),"")</f>
        <v/>
      </c>
    </row>
    <row r="1664">
      <c r="A1664" s="54" t="n"/>
      <c r="B1664" s="55" t="str">
        <f>IF(AA1664="","",A1664&amp;"-"&amp;RIGHT("000"&amp;AA1664,4))</f>
        <v/>
      </c>
      <c r="C1664" s="56" t="n"/>
      <c r="D1664" s="54" t="n"/>
      <c r="E1664" s="57" t="str">
        <f>IF(D1664="","",IF(A1664="BL",IFERROR(INDEX(cl_name,MATCH(D1664,cl_code,0))&amp;"","Client inconnu"),IF(A1664="BR",IFERROR(INDEX(fo_name,MATCH(D1664,fo_code,0))&amp;"","Fournisseur inconnu"),IF(A1664="BS",IF(ISNA(MATCH(D1664,p_services,0)),"Service inconnu",D1664&amp;""),""))))</f>
        <v/>
      </c>
      <c r="F1664" s="58" t="n"/>
      <c r="G1664" s="58" t="n"/>
      <c r="H1664" s="59" t="n"/>
      <c r="I1664" s="57" t="str">
        <f>IF(H1664="","",IFERROR(INDEX(art_des,MATCH(H1664,art_ref,0))&amp;"","Article inconnu"))</f>
        <v/>
      </c>
      <c r="J1664" s="60" t="str">
        <f>IF(H1664="","",IFERROR(INDEX(art_unit,MATCH(H1664,art_ref,0))&amp;"",""))</f>
        <v/>
      </c>
      <c r="K1664" s="59" t="n"/>
      <c r="L1664" s="59" t="n"/>
      <c r="M1664" s="61" t="str">
        <f>IF(OR(B1664="",NOT(ISNUMBER(K1664)),NOT(ISNUMBER(L1664))),"",IF(OR(K1664&lt;=0,L1664&lt;=0),"",ROUND(L1664-K1664,6)))</f>
        <v/>
      </c>
      <c r="N1664" s="58" t="n"/>
      <c r="O1664" s="62" t="n"/>
      <c r="P1664" s="63" t="str">
        <f>IF(OR(B1664="",NOT(ISNUMBER(L1664))),"",IF(L1664&lt;=0,"",IFERROR(ROUND(L1664*N(INDEX(art_w,MATCH(H1664,art_ref,0))),3),"")))</f>
        <v/>
      </c>
      <c r="Q1664" s="59" t="n"/>
      <c r="R1664" s="54" t="n"/>
      <c r="S1664" s="59" t="n"/>
      <c r="T1664" s="59" t="n"/>
      <c r="U1664" s="64" t="str">
        <f>IF(OR(B1664="",H1664=""),"",IFERROR(IF(A1664="BL",IF(N(INDEX(art_price,MATCH(H1664,art_ref,0)))=0,"",N(INDEX(art_price,MATCH(H1664,art_ref,0)))),IF(N(INDEX(art_cost,MATCH(H1664,art_ref,0)))=0,"",N(INDEX(art_cost,MATCH(H1664,art_ref,0))))),""))</f>
        <v/>
      </c>
      <c r="V1664" s="64" t="str">
        <f>IF(OR(U1664="",NOT(ISNUMBER(L1664))),"",IF(L1664&lt;=0,"",ROUND(L1664*U1664,2)))</f>
        <v/>
      </c>
      <c r="W1664" s="60" t="str">
        <f>IF(AND(B1664&lt;&gt;"",A1664&lt;&gt;"BS",F1664&lt;&gt;"",H1664&lt;&gt;"",ISNUMBER(K1664),ISNUMBER(L1664)),IF(AND(K1664&gt;0,L1664&gt;0,K1664-L1664&gt;0,COUNTIFS(A1665:A$2005,A1664,F1665:F$2005,F1664,H1665:H$2005,H1664,AA1665:AA$2005,"&gt;0")=0),ROUND(K1664-L1664,6),""),"")</f>
        <v/>
      </c>
      <c r="X1664" s="60" t="str">
        <f>IF(AND(A1664="",C1664="",D1664="",H1664="",L1664=""),"",IF(A1664="","Type manquant",IF(AND(A1664&lt;&gt;"BL",A1664&lt;&gt;"BR",A1664&lt;&gt;"BS"),"Type inconnu (BL, BR ou BS)",IF(AG1664=0,"Date manquante ou invalide",IF(D1664="",IF(A1664="BL","Client manquant",IF(A1664="BR","Fournisseur manquant","Service manquant")),IF(IF(A1664="BL",ISNA(MATCH(D1664,cl_code,0)),IF(A1664="BR",ISNA(MATCH(D1664,fo_code,0)),ISNA(MATCH(D1664,p_services,0)))),IF(A1664="BL","Client inconnu",IF(A1664="BR","Fournisseur inconnu","Service inconnu")),IF(H1664="","Article manquant",IF(ISNA(MATCH(H1664,art_ref,0)),"Article inconnu",IF(OR(NOT(ISNUMBER(L1664)),N(L1664)&lt;=0),"Quantité invalide",IF(AND(K1664&lt;&gt;"",OR(NOT(ISNUMBER(K1664)),N(K1664)&lt;=0)),"Qté commandée invalide",IF(AG1664&lt;SUMPRODUCT(MAX((A$6:A1663=A1664)*AG$6:AG1663)),"Date antérieure au bon précédent",IF(AND(A1664&lt;&gt;"BR",ISNUMBER(M1664),N(M1664)&gt;0),IF(A1664="BL","Livré plus que commandé","Sorti plus que demandé"),"OK"))))))))))))</f>
        <v/>
      </c>
      <c r="Y1664" s="57" t="str">
        <f>IF(AND(OR(A1664="BL",A1664="BR",A1664="BS"),AG1664&gt;0,D1664&lt;&gt;""),A1664&amp;"|"&amp;AG1664&amp;"|"&amp;D1664&amp;"|"&amp;F1664,"")</f>
        <v/>
      </c>
      <c r="Z1664" s="57" t="str">
        <f>IF(Y1664="","",IF(COUNTIF(Y$6:Y1663,Y1664)=0,1,0))</f>
        <v/>
      </c>
      <c r="AA1664" s="57" t="str">
        <f>IF(Y1664="","",IF(Z1664=1,COUNTIFS(A$6:A1664,A1664,Z$6:Z1664,1),INDEX(AA$6:AA1663,MATCH(Y1664,Y$6:Y1663,0))))</f>
        <v/>
      </c>
      <c r="AB1664" s="57" t="str">
        <f>IF(B1664="","",COUNTIF(B$6:B1664,B1664))</f>
        <v/>
      </c>
      <c r="AC1664" s="57" t="str">
        <f>IF(B1664="","",B1664&amp;"#"&amp;AB1664)</f>
        <v/>
      </c>
      <c r="AD1664" s="57" t="str">
        <f>IF(Z1664=1,A1664&amp;AA1664,"")</f>
        <v/>
      </c>
      <c r="AE1664" s="57" t="str">
        <f>IF(B1664="","",YEAR(C1664))</f>
        <v/>
      </c>
      <c r="AF1664" s="57" t="str">
        <f>IF(B1664="","",MONTH(C1664))</f>
        <v/>
      </c>
      <c r="AG1664" s="57">
        <f>IF(ISNUMBER(C1664),C1664,0)</f>
        <v>0.0</v>
      </c>
      <c r="AH1664" s="57" t="str">
        <f>IF(N(W1664)&gt;0,COUNTIF(W$6:W1664,"&gt;0"),"")</f>
        <v/>
      </c>
      <c r="AI1664" s="57" t="str">
        <f>IF(Z1664=1,COUNTIF(Z$6:Z1664,1),"")</f>
        <v/>
      </c>
    </row>
    <row r="1665">
      <c r="A1665" s="54" t="n"/>
      <c r="B1665" s="55" t="str">
        <f>IF(AA1665="","",A1665&amp;"-"&amp;RIGHT("000"&amp;AA1665,4))</f>
        <v/>
      </c>
      <c r="C1665" s="56" t="n"/>
      <c r="D1665" s="54" t="n"/>
      <c r="E1665" s="57" t="str">
        <f>IF(D1665="","",IF(A1665="BL",IFERROR(INDEX(cl_name,MATCH(D1665,cl_code,0))&amp;"","Client inconnu"),IF(A1665="BR",IFERROR(INDEX(fo_name,MATCH(D1665,fo_code,0))&amp;"","Fournisseur inconnu"),IF(A1665="BS",IF(ISNA(MATCH(D1665,p_services,0)),"Service inconnu",D1665&amp;""),""))))</f>
        <v/>
      </c>
      <c r="F1665" s="58" t="n"/>
      <c r="G1665" s="58" t="n"/>
      <c r="H1665" s="59" t="n"/>
      <c r="I1665" s="57" t="str">
        <f>IF(H1665="","",IFERROR(INDEX(art_des,MATCH(H1665,art_ref,0))&amp;"","Article inconnu"))</f>
        <v/>
      </c>
      <c r="J1665" s="60" t="str">
        <f>IF(H1665="","",IFERROR(INDEX(art_unit,MATCH(H1665,art_ref,0))&amp;"",""))</f>
        <v/>
      </c>
      <c r="K1665" s="59" t="n"/>
      <c r="L1665" s="59" t="n"/>
      <c r="M1665" s="61" t="str">
        <f>IF(OR(B1665="",NOT(ISNUMBER(K1665)),NOT(ISNUMBER(L1665))),"",IF(OR(K1665&lt;=0,L1665&lt;=0),"",ROUND(L1665-K1665,6)))</f>
        <v/>
      </c>
      <c r="N1665" s="58" t="n"/>
      <c r="O1665" s="62" t="n"/>
      <c r="P1665" s="63" t="str">
        <f>IF(OR(B1665="",NOT(ISNUMBER(L1665))),"",IF(L1665&lt;=0,"",IFERROR(ROUND(L1665*N(INDEX(art_w,MATCH(H1665,art_ref,0))),3),"")))</f>
        <v/>
      </c>
      <c r="Q1665" s="59" t="n"/>
      <c r="R1665" s="54" t="n"/>
      <c r="S1665" s="59" t="n"/>
      <c r="T1665" s="59" t="n"/>
      <c r="U1665" s="64" t="str">
        <f>IF(OR(B1665="",H1665=""),"",IFERROR(IF(A1665="BL",IF(N(INDEX(art_price,MATCH(H1665,art_ref,0)))=0,"",N(INDEX(art_price,MATCH(H1665,art_ref,0)))),IF(N(INDEX(art_cost,MATCH(H1665,art_ref,0)))=0,"",N(INDEX(art_cost,MATCH(H1665,art_ref,0))))),""))</f>
        <v/>
      </c>
      <c r="V1665" s="64" t="str">
        <f>IF(OR(U1665="",NOT(ISNUMBER(L1665))),"",IF(L1665&lt;=0,"",ROUND(L1665*U1665,2)))</f>
        <v/>
      </c>
      <c r="W1665" s="60" t="str">
        <f>IF(AND(B1665&lt;&gt;"",A1665&lt;&gt;"BS",F1665&lt;&gt;"",H1665&lt;&gt;"",ISNUMBER(K1665),ISNUMBER(L1665)),IF(AND(K1665&gt;0,L1665&gt;0,K1665-L1665&gt;0,COUNTIFS(A1666:A$2005,A1665,F1666:F$2005,F1665,H1666:H$2005,H1665,AA1666:AA$2005,"&gt;0")=0),ROUND(K1665-L1665,6),""),"")</f>
        <v/>
      </c>
      <c r="X1665" s="60" t="str">
        <f>IF(AND(A1665="",C1665="",D1665="",H1665="",L1665=""),"",IF(A1665="","Type manquant",IF(AND(A1665&lt;&gt;"BL",A1665&lt;&gt;"BR",A1665&lt;&gt;"BS"),"Type inconnu (BL, BR ou BS)",IF(AG1665=0,"Date manquante ou invalide",IF(D1665="",IF(A1665="BL","Client manquant",IF(A1665="BR","Fournisseur manquant","Service manquant")),IF(IF(A1665="BL",ISNA(MATCH(D1665,cl_code,0)),IF(A1665="BR",ISNA(MATCH(D1665,fo_code,0)),ISNA(MATCH(D1665,p_services,0)))),IF(A1665="BL","Client inconnu",IF(A1665="BR","Fournisseur inconnu","Service inconnu")),IF(H1665="","Article manquant",IF(ISNA(MATCH(H1665,art_ref,0)),"Article inconnu",IF(OR(NOT(ISNUMBER(L1665)),N(L1665)&lt;=0),"Quantité invalide",IF(AND(K1665&lt;&gt;"",OR(NOT(ISNUMBER(K1665)),N(K1665)&lt;=0)),"Qté commandée invalide",IF(AG1665&lt;SUMPRODUCT(MAX((A$6:A1664=A1665)*AG$6:AG1664)),"Date antérieure au bon précédent",IF(AND(A1665&lt;&gt;"BR",ISNUMBER(M1665),N(M1665)&gt;0),IF(A1665="BL","Livré plus que commandé","Sorti plus que demandé"),"OK"))))))))))))</f>
        <v/>
      </c>
      <c r="Y1665" s="57" t="str">
        <f>IF(AND(OR(A1665="BL",A1665="BR",A1665="BS"),AG1665&gt;0,D1665&lt;&gt;""),A1665&amp;"|"&amp;AG1665&amp;"|"&amp;D1665&amp;"|"&amp;F1665,"")</f>
        <v/>
      </c>
      <c r="Z1665" s="57" t="str">
        <f>IF(Y1665="","",IF(COUNTIF(Y$6:Y1664,Y1665)=0,1,0))</f>
        <v/>
      </c>
      <c r="AA1665" s="57" t="str">
        <f>IF(Y1665="","",IF(Z1665=1,COUNTIFS(A$6:A1665,A1665,Z$6:Z1665,1),INDEX(AA$6:AA1664,MATCH(Y1665,Y$6:Y1664,0))))</f>
        <v/>
      </c>
      <c r="AB1665" s="57" t="str">
        <f>IF(B1665="","",COUNTIF(B$6:B1665,B1665))</f>
        <v/>
      </c>
      <c r="AC1665" s="57" t="str">
        <f>IF(B1665="","",B1665&amp;"#"&amp;AB1665)</f>
        <v/>
      </c>
      <c r="AD1665" s="57" t="str">
        <f>IF(Z1665=1,A1665&amp;AA1665,"")</f>
        <v/>
      </c>
      <c r="AE1665" s="57" t="str">
        <f>IF(B1665="","",YEAR(C1665))</f>
        <v/>
      </c>
      <c r="AF1665" s="57" t="str">
        <f>IF(B1665="","",MONTH(C1665))</f>
        <v/>
      </c>
      <c r="AG1665" s="57">
        <f>IF(ISNUMBER(C1665),C1665,0)</f>
        <v>0.0</v>
      </c>
      <c r="AH1665" s="57" t="str">
        <f>IF(N(W1665)&gt;0,COUNTIF(W$6:W1665,"&gt;0"),"")</f>
        <v/>
      </c>
      <c r="AI1665" s="57" t="str">
        <f>IF(Z1665=1,COUNTIF(Z$6:Z1665,1),"")</f>
        <v/>
      </c>
    </row>
    <row r="1666">
      <c r="A1666" s="54" t="n"/>
      <c r="B1666" s="55" t="str">
        <f>IF(AA1666="","",A1666&amp;"-"&amp;RIGHT("000"&amp;AA1666,4))</f>
        <v/>
      </c>
      <c r="C1666" s="56" t="n"/>
      <c r="D1666" s="54" t="n"/>
      <c r="E1666" s="57" t="str">
        <f>IF(D1666="","",IF(A1666="BL",IFERROR(INDEX(cl_name,MATCH(D1666,cl_code,0))&amp;"","Client inconnu"),IF(A1666="BR",IFERROR(INDEX(fo_name,MATCH(D1666,fo_code,0))&amp;"","Fournisseur inconnu"),IF(A1666="BS",IF(ISNA(MATCH(D1666,p_services,0)),"Service inconnu",D1666&amp;""),""))))</f>
        <v/>
      </c>
      <c r="F1666" s="58" t="n"/>
      <c r="G1666" s="58" t="n"/>
      <c r="H1666" s="59" t="n"/>
      <c r="I1666" s="57" t="str">
        <f>IF(H1666="","",IFERROR(INDEX(art_des,MATCH(H1666,art_ref,0))&amp;"","Article inconnu"))</f>
        <v/>
      </c>
      <c r="J1666" s="60" t="str">
        <f>IF(H1666="","",IFERROR(INDEX(art_unit,MATCH(H1666,art_ref,0))&amp;"",""))</f>
        <v/>
      </c>
      <c r="K1666" s="59" t="n"/>
      <c r="L1666" s="59" t="n"/>
      <c r="M1666" s="61" t="str">
        <f>IF(OR(B1666="",NOT(ISNUMBER(K1666)),NOT(ISNUMBER(L1666))),"",IF(OR(K1666&lt;=0,L1666&lt;=0),"",ROUND(L1666-K1666,6)))</f>
        <v/>
      </c>
      <c r="N1666" s="58" t="n"/>
      <c r="O1666" s="62" t="n"/>
      <c r="P1666" s="63" t="str">
        <f>IF(OR(B1666="",NOT(ISNUMBER(L1666))),"",IF(L1666&lt;=0,"",IFERROR(ROUND(L1666*N(INDEX(art_w,MATCH(H1666,art_ref,0))),3),"")))</f>
        <v/>
      </c>
      <c r="Q1666" s="59" t="n"/>
      <c r="R1666" s="54" t="n"/>
      <c r="S1666" s="59" t="n"/>
      <c r="T1666" s="59" t="n"/>
      <c r="U1666" s="64" t="str">
        <f>IF(OR(B1666="",H1666=""),"",IFERROR(IF(A1666="BL",IF(N(INDEX(art_price,MATCH(H1666,art_ref,0)))=0,"",N(INDEX(art_price,MATCH(H1666,art_ref,0)))),IF(N(INDEX(art_cost,MATCH(H1666,art_ref,0)))=0,"",N(INDEX(art_cost,MATCH(H1666,art_ref,0))))),""))</f>
        <v/>
      </c>
      <c r="V1666" s="64" t="str">
        <f>IF(OR(U1666="",NOT(ISNUMBER(L1666))),"",IF(L1666&lt;=0,"",ROUND(L1666*U1666,2)))</f>
        <v/>
      </c>
      <c r="W1666" s="60" t="str">
        <f>IF(AND(B1666&lt;&gt;"",A1666&lt;&gt;"BS",F1666&lt;&gt;"",H1666&lt;&gt;"",ISNUMBER(K1666),ISNUMBER(L1666)),IF(AND(K1666&gt;0,L1666&gt;0,K1666-L1666&gt;0,COUNTIFS(A1667:A$2005,A1666,F1667:F$2005,F1666,H1667:H$2005,H1666,AA1667:AA$2005,"&gt;0")=0),ROUND(K1666-L1666,6),""),"")</f>
        <v/>
      </c>
      <c r="X1666" s="60" t="str">
        <f>IF(AND(A1666="",C1666="",D1666="",H1666="",L1666=""),"",IF(A1666="","Type manquant",IF(AND(A1666&lt;&gt;"BL",A1666&lt;&gt;"BR",A1666&lt;&gt;"BS"),"Type inconnu (BL, BR ou BS)",IF(AG1666=0,"Date manquante ou invalide",IF(D1666="",IF(A1666="BL","Client manquant",IF(A1666="BR","Fournisseur manquant","Service manquant")),IF(IF(A1666="BL",ISNA(MATCH(D1666,cl_code,0)),IF(A1666="BR",ISNA(MATCH(D1666,fo_code,0)),ISNA(MATCH(D1666,p_services,0)))),IF(A1666="BL","Client inconnu",IF(A1666="BR","Fournisseur inconnu","Service inconnu")),IF(H1666="","Article manquant",IF(ISNA(MATCH(H1666,art_ref,0)),"Article inconnu",IF(OR(NOT(ISNUMBER(L1666)),N(L1666)&lt;=0),"Quantité invalide",IF(AND(K1666&lt;&gt;"",OR(NOT(ISNUMBER(K1666)),N(K1666)&lt;=0)),"Qté commandée invalide",IF(AG1666&lt;SUMPRODUCT(MAX((A$6:A1665=A1666)*AG$6:AG1665)),"Date antérieure au bon précédent",IF(AND(A1666&lt;&gt;"BR",ISNUMBER(M1666),N(M1666)&gt;0),IF(A1666="BL","Livré plus que commandé","Sorti plus que demandé"),"OK"))))))))))))</f>
        <v/>
      </c>
      <c r="Y1666" s="57" t="str">
        <f>IF(AND(OR(A1666="BL",A1666="BR",A1666="BS"),AG1666&gt;0,D1666&lt;&gt;""),A1666&amp;"|"&amp;AG1666&amp;"|"&amp;D1666&amp;"|"&amp;F1666,"")</f>
        <v/>
      </c>
      <c r="Z1666" s="57" t="str">
        <f>IF(Y1666="","",IF(COUNTIF(Y$6:Y1665,Y1666)=0,1,0))</f>
        <v/>
      </c>
      <c r="AA1666" s="57" t="str">
        <f>IF(Y1666="","",IF(Z1666=1,COUNTIFS(A$6:A1666,A1666,Z$6:Z1666,1),INDEX(AA$6:AA1665,MATCH(Y1666,Y$6:Y1665,0))))</f>
        <v/>
      </c>
      <c r="AB1666" s="57" t="str">
        <f>IF(B1666="","",COUNTIF(B$6:B1666,B1666))</f>
        <v/>
      </c>
      <c r="AC1666" s="57" t="str">
        <f>IF(B1666="","",B1666&amp;"#"&amp;AB1666)</f>
        <v/>
      </c>
      <c r="AD1666" s="57" t="str">
        <f>IF(Z1666=1,A1666&amp;AA1666,"")</f>
        <v/>
      </c>
      <c r="AE1666" s="57" t="str">
        <f>IF(B1666="","",YEAR(C1666))</f>
        <v/>
      </c>
      <c r="AF1666" s="57" t="str">
        <f>IF(B1666="","",MONTH(C1666))</f>
        <v/>
      </c>
      <c r="AG1666" s="57">
        <f>IF(ISNUMBER(C1666),C1666,0)</f>
        <v>0.0</v>
      </c>
      <c r="AH1666" s="57" t="str">
        <f>IF(N(W1666)&gt;0,COUNTIF(W$6:W1666,"&gt;0"),"")</f>
        <v/>
      </c>
      <c r="AI1666" s="57" t="str">
        <f>IF(Z1666=1,COUNTIF(Z$6:Z1666,1),"")</f>
        <v/>
      </c>
    </row>
    <row r="1667">
      <c r="A1667" s="54" t="n"/>
      <c r="B1667" s="55" t="str">
        <f>IF(AA1667="","",A1667&amp;"-"&amp;RIGHT("000"&amp;AA1667,4))</f>
        <v/>
      </c>
      <c r="C1667" s="56" t="n"/>
      <c r="D1667" s="54" t="n"/>
      <c r="E1667" s="57" t="str">
        <f>IF(D1667="","",IF(A1667="BL",IFERROR(INDEX(cl_name,MATCH(D1667,cl_code,0))&amp;"","Client inconnu"),IF(A1667="BR",IFERROR(INDEX(fo_name,MATCH(D1667,fo_code,0))&amp;"","Fournisseur inconnu"),IF(A1667="BS",IF(ISNA(MATCH(D1667,p_services,0)),"Service inconnu",D1667&amp;""),""))))</f>
        <v/>
      </c>
      <c r="F1667" s="58" t="n"/>
      <c r="G1667" s="58" t="n"/>
      <c r="H1667" s="59" t="n"/>
      <c r="I1667" s="57" t="str">
        <f>IF(H1667="","",IFERROR(INDEX(art_des,MATCH(H1667,art_ref,0))&amp;"","Article inconnu"))</f>
        <v/>
      </c>
      <c r="J1667" s="60" t="str">
        <f>IF(H1667="","",IFERROR(INDEX(art_unit,MATCH(H1667,art_ref,0))&amp;"",""))</f>
        <v/>
      </c>
      <c r="K1667" s="59" t="n"/>
      <c r="L1667" s="59" t="n"/>
      <c r="M1667" s="61" t="str">
        <f>IF(OR(B1667="",NOT(ISNUMBER(K1667)),NOT(ISNUMBER(L1667))),"",IF(OR(K1667&lt;=0,L1667&lt;=0),"",ROUND(L1667-K1667,6)))</f>
        <v/>
      </c>
      <c r="N1667" s="58" t="n"/>
      <c r="O1667" s="62" t="n"/>
      <c r="P1667" s="63" t="str">
        <f>IF(OR(B1667="",NOT(ISNUMBER(L1667))),"",IF(L1667&lt;=0,"",IFERROR(ROUND(L1667*N(INDEX(art_w,MATCH(H1667,art_ref,0))),3),"")))</f>
        <v/>
      </c>
      <c r="Q1667" s="59" t="n"/>
      <c r="R1667" s="54" t="n"/>
      <c r="S1667" s="59" t="n"/>
      <c r="T1667" s="59" t="n"/>
      <c r="U1667" s="64" t="str">
        <f>IF(OR(B1667="",H1667=""),"",IFERROR(IF(A1667="BL",IF(N(INDEX(art_price,MATCH(H1667,art_ref,0)))=0,"",N(INDEX(art_price,MATCH(H1667,art_ref,0)))),IF(N(INDEX(art_cost,MATCH(H1667,art_ref,0)))=0,"",N(INDEX(art_cost,MATCH(H1667,art_ref,0))))),""))</f>
        <v/>
      </c>
      <c r="V1667" s="64" t="str">
        <f>IF(OR(U1667="",NOT(ISNUMBER(L1667))),"",IF(L1667&lt;=0,"",ROUND(L1667*U1667,2)))</f>
        <v/>
      </c>
      <c r="W1667" s="60" t="str">
        <f>IF(AND(B1667&lt;&gt;"",A1667&lt;&gt;"BS",F1667&lt;&gt;"",H1667&lt;&gt;"",ISNUMBER(K1667),ISNUMBER(L1667)),IF(AND(K1667&gt;0,L1667&gt;0,K1667-L1667&gt;0,COUNTIFS(A1668:A$2005,A1667,F1668:F$2005,F1667,H1668:H$2005,H1667,AA1668:AA$2005,"&gt;0")=0),ROUND(K1667-L1667,6),""),"")</f>
        <v/>
      </c>
      <c r="X1667" s="60" t="str">
        <f>IF(AND(A1667="",C1667="",D1667="",H1667="",L1667=""),"",IF(A1667="","Type manquant",IF(AND(A1667&lt;&gt;"BL",A1667&lt;&gt;"BR",A1667&lt;&gt;"BS"),"Type inconnu (BL, BR ou BS)",IF(AG1667=0,"Date manquante ou invalide",IF(D1667="",IF(A1667="BL","Client manquant",IF(A1667="BR","Fournisseur manquant","Service manquant")),IF(IF(A1667="BL",ISNA(MATCH(D1667,cl_code,0)),IF(A1667="BR",ISNA(MATCH(D1667,fo_code,0)),ISNA(MATCH(D1667,p_services,0)))),IF(A1667="BL","Client inconnu",IF(A1667="BR","Fournisseur inconnu","Service inconnu")),IF(H1667="","Article manquant",IF(ISNA(MATCH(H1667,art_ref,0)),"Article inconnu",IF(OR(NOT(ISNUMBER(L1667)),N(L1667)&lt;=0),"Quantité invalide",IF(AND(K1667&lt;&gt;"",OR(NOT(ISNUMBER(K1667)),N(K1667)&lt;=0)),"Qté commandée invalide",IF(AG1667&lt;SUMPRODUCT(MAX((A$6:A1666=A1667)*AG$6:AG1666)),"Date antérieure au bon précédent",IF(AND(A1667&lt;&gt;"BR",ISNUMBER(M1667),N(M1667)&gt;0),IF(A1667="BL","Livré plus que commandé","Sorti plus que demandé"),"OK"))))))))))))</f>
        <v/>
      </c>
      <c r="Y1667" s="57" t="str">
        <f>IF(AND(OR(A1667="BL",A1667="BR",A1667="BS"),AG1667&gt;0,D1667&lt;&gt;""),A1667&amp;"|"&amp;AG1667&amp;"|"&amp;D1667&amp;"|"&amp;F1667,"")</f>
        <v/>
      </c>
      <c r="Z1667" s="57" t="str">
        <f>IF(Y1667="","",IF(COUNTIF(Y$6:Y1666,Y1667)=0,1,0))</f>
        <v/>
      </c>
      <c r="AA1667" s="57" t="str">
        <f>IF(Y1667="","",IF(Z1667=1,COUNTIFS(A$6:A1667,A1667,Z$6:Z1667,1),INDEX(AA$6:AA1666,MATCH(Y1667,Y$6:Y1666,0))))</f>
        <v/>
      </c>
      <c r="AB1667" s="57" t="str">
        <f>IF(B1667="","",COUNTIF(B$6:B1667,B1667))</f>
        <v/>
      </c>
      <c r="AC1667" s="57" t="str">
        <f>IF(B1667="","",B1667&amp;"#"&amp;AB1667)</f>
        <v/>
      </c>
      <c r="AD1667" s="57" t="str">
        <f>IF(Z1667=1,A1667&amp;AA1667,"")</f>
        <v/>
      </c>
      <c r="AE1667" s="57" t="str">
        <f>IF(B1667="","",YEAR(C1667))</f>
        <v/>
      </c>
      <c r="AF1667" s="57" t="str">
        <f>IF(B1667="","",MONTH(C1667))</f>
        <v/>
      </c>
      <c r="AG1667" s="57">
        <f>IF(ISNUMBER(C1667),C1667,0)</f>
        <v>0.0</v>
      </c>
      <c r="AH1667" s="57" t="str">
        <f>IF(N(W1667)&gt;0,COUNTIF(W$6:W1667,"&gt;0"),"")</f>
        <v/>
      </c>
      <c r="AI1667" s="57" t="str">
        <f>IF(Z1667=1,COUNTIF(Z$6:Z1667,1),"")</f>
        <v/>
      </c>
    </row>
    <row r="1668">
      <c r="A1668" s="54" t="n"/>
      <c r="B1668" s="55" t="str">
        <f>IF(AA1668="","",A1668&amp;"-"&amp;RIGHT("000"&amp;AA1668,4))</f>
        <v/>
      </c>
      <c r="C1668" s="56" t="n"/>
      <c r="D1668" s="54" t="n"/>
      <c r="E1668" s="57" t="str">
        <f>IF(D1668="","",IF(A1668="BL",IFERROR(INDEX(cl_name,MATCH(D1668,cl_code,0))&amp;"","Client inconnu"),IF(A1668="BR",IFERROR(INDEX(fo_name,MATCH(D1668,fo_code,0))&amp;"","Fournisseur inconnu"),IF(A1668="BS",IF(ISNA(MATCH(D1668,p_services,0)),"Service inconnu",D1668&amp;""),""))))</f>
        <v/>
      </c>
      <c r="F1668" s="58" t="n"/>
      <c r="G1668" s="58" t="n"/>
      <c r="H1668" s="59" t="n"/>
      <c r="I1668" s="57" t="str">
        <f>IF(H1668="","",IFERROR(INDEX(art_des,MATCH(H1668,art_ref,0))&amp;"","Article inconnu"))</f>
        <v/>
      </c>
      <c r="J1668" s="60" t="str">
        <f>IF(H1668="","",IFERROR(INDEX(art_unit,MATCH(H1668,art_ref,0))&amp;"",""))</f>
        <v/>
      </c>
      <c r="K1668" s="59" t="n"/>
      <c r="L1668" s="59" t="n"/>
      <c r="M1668" s="61" t="str">
        <f>IF(OR(B1668="",NOT(ISNUMBER(K1668)),NOT(ISNUMBER(L1668))),"",IF(OR(K1668&lt;=0,L1668&lt;=0),"",ROUND(L1668-K1668,6)))</f>
        <v/>
      </c>
      <c r="N1668" s="58" t="n"/>
      <c r="O1668" s="62" t="n"/>
      <c r="P1668" s="63" t="str">
        <f>IF(OR(B1668="",NOT(ISNUMBER(L1668))),"",IF(L1668&lt;=0,"",IFERROR(ROUND(L1668*N(INDEX(art_w,MATCH(H1668,art_ref,0))),3),"")))</f>
        <v/>
      </c>
      <c r="Q1668" s="59" t="n"/>
      <c r="R1668" s="54" t="n"/>
      <c r="S1668" s="59" t="n"/>
      <c r="T1668" s="59" t="n"/>
      <c r="U1668" s="64" t="str">
        <f>IF(OR(B1668="",H1668=""),"",IFERROR(IF(A1668="BL",IF(N(INDEX(art_price,MATCH(H1668,art_ref,0)))=0,"",N(INDEX(art_price,MATCH(H1668,art_ref,0)))),IF(N(INDEX(art_cost,MATCH(H1668,art_ref,0)))=0,"",N(INDEX(art_cost,MATCH(H1668,art_ref,0))))),""))</f>
        <v/>
      </c>
      <c r="V1668" s="64" t="str">
        <f>IF(OR(U1668="",NOT(ISNUMBER(L1668))),"",IF(L1668&lt;=0,"",ROUND(L1668*U1668,2)))</f>
        <v/>
      </c>
      <c r="W1668" s="60" t="str">
        <f>IF(AND(B1668&lt;&gt;"",A1668&lt;&gt;"BS",F1668&lt;&gt;"",H1668&lt;&gt;"",ISNUMBER(K1668),ISNUMBER(L1668)),IF(AND(K1668&gt;0,L1668&gt;0,K1668-L1668&gt;0,COUNTIFS(A1669:A$2005,A1668,F1669:F$2005,F1668,H1669:H$2005,H1668,AA1669:AA$2005,"&gt;0")=0),ROUND(K1668-L1668,6),""),"")</f>
        <v/>
      </c>
      <c r="X1668" s="60" t="str">
        <f>IF(AND(A1668="",C1668="",D1668="",H1668="",L1668=""),"",IF(A1668="","Type manquant",IF(AND(A1668&lt;&gt;"BL",A1668&lt;&gt;"BR",A1668&lt;&gt;"BS"),"Type inconnu (BL, BR ou BS)",IF(AG1668=0,"Date manquante ou invalide",IF(D1668="",IF(A1668="BL","Client manquant",IF(A1668="BR","Fournisseur manquant","Service manquant")),IF(IF(A1668="BL",ISNA(MATCH(D1668,cl_code,0)),IF(A1668="BR",ISNA(MATCH(D1668,fo_code,0)),ISNA(MATCH(D1668,p_services,0)))),IF(A1668="BL","Client inconnu",IF(A1668="BR","Fournisseur inconnu","Service inconnu")),IF(H1668="","Article manquant",IF(ISNA(MATCH(H1668,art_ref,0)),"Article inconnu",IF(OR(NOT(ISNUMBER(L1668)),N(L1668)&lt;=0),"Quantité invalide",IF(AND(K1668&lt;&gt;"",OR(NOT(ISNUMBER(K1668)),N(K1668)&lt;=0)),"Qté commandée invalide",IF(AG1668&lt;SUMPRODUCT(MAX((A$6:A1667=A1668)*AG$6:AG1667)),"Date antérieure au bon précédent",IF(AND(A1668&lt;&gt;"BR",ISNUMBER(M1668),N(M1668)&gt;0),IF(A1668="BL","Livré plus que commandé","Sorti plus que demandé"),"OK"))))))))))))</f>
        <v/>
      </c>
      <c r="Y1668" s="57" t="str">
        <f>IF(AND(OR(A1668="BL",A1668="BR",A1668="BS"),AG1668&gt;0,D1668&lt;&gt;""),A1668&amp;"|"&amp;AG1668&amp;"|"&amp;D1668&amp;"|"&amp;F1668,"")</f>
        <v/>
      </c>
      <c r="Z1668" s="57" t="str">
        <f>IF(Y1668="","",IF(COUNTIF(Y$6:Y1667,Y1668)=0,1,0))</f>
        <v/>
      </c>
      <c r="AA1668" s="57" t="str">
        <f>IF(Y1668="","",IF(Z1668=1,COUNTIFS(A$6:A1668,A1668,Z$6:Z1668,1),INDEX(AA$6:AA1667,MATCH(Y1668,Y$6:Y1667,0))))</f>
        <v/>
      </c>
      <c r="AB1668" s="57" t="str">
        <f>IF(B1668="","",COUNTIF(B$6:B1668,B1668))</f>
        <v/>
      </c>
      <c r="AC1668" s="57" t="str">
        <f>IF(B1668="","",B1668&amp;"#"&amp;AB1668)</f>
        <v/>
      </c>
      <c r="AD1668" s="57" t="str">
        <f>IF(Z1668=1,A1668&amp;AA1668,"")</f>
        <v/>
      </c>
      <c r="AE1668" s="57" t="str">
        <f>IF(B1668="","",YEAR(C1668))</f>
        <v/>
      </c>
      <c r="AF1668" s="57" t="str">
        <f>IF(B1668="","",MONTH(C1668))</f>
        <v/>
      </c>
      <c r="AG1668" s="57">
        <f>IF(ISNUMBER(C1668),C1668,0)</f>
        <v>0.0</v>
      </c>
      <c r="AH1668" s="57" t="str">
        <f>IF(N(W1668)&gt;0,COUNTIF(W$6:W1668,"&gt;0"),"")</f>
        <v/>
      </c>
      <c r="AI1668" s="57" t="str">
        <f>IF(Z1668=1,COUNTIF(Z$6:Z1668,1),"")</f>
        <v/>
      </c>
    </row>
    <row r="1669">
      <c r="A1669" s="54" t="n"/>
      <c r="B1669" s="55" t="str">
        <f>IF(AA1669="","",A1669&amp;"-"&amp;RIGHT("000"&amp;AA1669,4))</f>
        <v/>
      </c>
      <c r="C1669" s="56" t="n"/>
      <c r="D1669" s="54" t="n"/>
      <c r="E1669" s="57" t="str">
        <f>IF(D1669="","",IF(A1669="BL",IFERROR(INDEX(cl_name,MATCH(D1669,cl_code,0))&amp;"","Client inconnu"),IF(A1669="BR",IFERROR(INDEX(fo_name,MATCH(D1669,fo_code,0))&amp;"","Fournisseur inconnu"),IF(A1669="BS",IF(ISNA(MATCH(D1669,p_services,0)),"Service inconnu",D1669&amp;""),""))))</f>
        <v/>
      </c>
      <c r="F1669" s="58" t="n"/>
      <c r="G1669" s="58" t="n"/>
      <c r="H1669" s="59" t="n"/>
      <c r="I1669" s="57" t="str">
        <f>IF(H1669="","",IFERROR(INDEX(art_des,MATCH(H1669,art_ref,0))&amp;"","Article inconnu"))</f>
        <v/>
      </c>
      <c r="J1669" s="60" t="str">
        <f>IF(H1669="","",IFERROR(INDEX(art_unit,MATCH(H1669,art_ref,0))&amp;"",""))</f>
        <v/>
      </c>
      <c r="K1669" s="59" t="n"/>
      <c r="L1669" s="59" t="n"/>
      <c r="M1669" s="61" t="str">
        <f>IF(OR(B1669="",NOT(ISNUMBER(K1669)),NOT(ISNUMBER(L1669))),"",IF(OR(K1669&lt;=0,L1669&lt;=0),"",ROUND(L1669-K1669,6)))</f>
        <v/>
      </c>
      <c r="N1669" s="58" t="n"/>
      <c r="O1669" s="62" t="n"/>
      <c r="P1669" s="63" t="str">
        <f>IF(OR(B1669="",NOT(ISNUMBER(L1669))),"",IF(L1669&lt;=0,"",IFERROR(ROUND(L1669*N(INDEX(art_w,MATCH(H1669,art_ref,0))),3),"")))</f>
        <v/>
      </c>
      <c r="Q1669" s="59" t="n"/>
      <c r="R1669" s="54" t="n"/>
      <c r="S1669" s="59" t="n"/>
      <c r="T1669" s="59" t="n"/>
      <c r="U1669" s="64" t="str">
        <f>IF(OR(B1669="",H1669=""),"",IFERROR(IF(A1669="BL",IF(N(INDEX(art_price,MATCH(H1669,art_ref,0)))=0,"",N(INDEX(art_price,MATCH(H1669,art_ref,0)))),IF(N(INDEX(art_cost,MATCH(H1669,art_ref,0)))=0,"",N(INDEX(art_cost,MATCH(H1669,art_ref,0))))),""))</f>
        <v/>
      </c>
      <c r="V1669" s="64" t="str">
        <f>IF(OR(U1669="",NOT(ISNUMBER(L1669))),"",IF(L1669&lt;=0,"",ROUND(L1669*U1669,2)))</f>
        <v/>
      </c>
      <c r="W1669" s="60" t="str">
        <f>IF(AND(B1669&lt;&gt;"",A1669&lt;&gt;"BS",F1669&lt;&gt;"",H1669&lt;&gt;"",ISNUMBER(K1669),ISNUMBER(L1669)),IF(AND(K1669&gt;0,L1669&gt;0,K1669-L1669&gt;0,COUNTIFS(A1670:A$2005,A1669,F1670:F$2005,F1669,H1670:H$2005,H1669,AA1670:AA$2005,"&gt;0")=0),ROUND(K1669-L1669,6),""),"")</f>
        <v/>
      </c>
      <c r="X1669" s="60" t="str">
        <f>IF(AND(A1669="",C1669="",D1669="",H1669="",L1669=""),"",IF(A1669="","Type manquant",IF(AND(A1669&lt;&gt;"BL",A1669&lt;&gt;"BR",A1669&lt;&gt;"BS"),"Type inconnu (BL, BR ou BS)",IF(AG1669=0,"Date manquante ou invalide",IF(D1669="",IF(A1669="BL","Client manquant",IF(A1669="BR","Fournisseur manquant","Service manquant")),IF(IF(A1669="BL",ISNA(MATCH(D1669,cl_code,0)),IF(A1669="BR",ISNA(MATCH(D1669,fo_code,0)),ISNA(MATCH(D1669,p_services,0)))),IF(A1669="BL","Client inconnu",IF(A1669="BR","Fournisseur inconnu","Service inconnu")),IF(H1669="","Article manquant",IF(ISNA(MATCH(H1669,art_ref,0)),"Article inconnu",IF(OR(NOT(ISNUMBER(L1669)),N(L1669)&lt;=0),"Quantité invalide",IF(AND(K1669&lt;&gt;"",OR(NOT(ISNUMBER(K1669)),N(K1669)&lt;=0)),"Qté commandée invalide",IF(AG1669&lt;SUMPRODUCT(MAX((A$6:A1668=A1669)*AG$6:AG1668)),"Date antérieure au bon précédent",IF(AND(A1669&lt;&gt;"BR",ISNUMBER(M1669),N(M1669)&gt;0),IF(A1669="BL","Livré plus que commandé","Sorti plus que demandé"),"OK"))))))))))))</f>
        <v/>
      </c>
      <c r="Y1669" s="57" t="str">
        <f>IF(AND(OR(A1669="BL",A1669="BR",A1669="BS"),AG1669&gt;0,D1669&lt;&gt;""),A1669&amp;"|"&amp;AG1669&amp;"|"&amp;D1669&amp;"|"&amp;F1669,"")</f>
        <v/>
      </c>
      <c r="Z1669" s="57" t="str">
        <f>IF(Y1669="","",IF(COUNTIF(Y$6:Y1668,Y1669)=0,1,0))</f>
        <v/>
      </c>
      <c r="AA1669" s="57" t="str">
        <f>IF(Y1669="","",IF(Z1669=1,COUNTIFS(A$6:A1669,A1669,Z$6:Z1669,1),INDEX(AA$6:AA1668,MATCH(Y1669,Y$6:Y1668,0))))</f>
        <v/>
      </c>
      <c r="AB1669" s="57" t="str">
        <f>IF(B1669="","",COUNTIF(B$6:B1669,B1669))</f>
        <v/>
      </c>
      <c r="AC1669" s="57" t="str">
        <f>IF(B1669="","",B1669&amp;"#"&amp;AB1669)</f>
        <v/>
      </c>
      <c r="AD1669" s="57" t="str">
        <f>IF(Z1669=1,A1669&amp;AA1669,"")</f>
        <v/>
      </c>
      <c r="AE1669" s="57" t="str">
        <f>IF(B1669="","",YEAR(C1669))</f>
        <v/>
      </c>
      <c r="AF1669" s="57" t="str">
        <f>IF(B1669="","",MONTH(C1669))</f>
        <v/>
      </c>
      <c r="AG1669" s="57">
        <f>IF(ISNUMBER(C1669),C1669,0)</f>
        <v>0.0</v>
      </c>
      <c r="AH1669" s="57" t="str">
        <f>IF(N(W1669)&gt;0,COUNTIF(W$6:W1669,"&gt;0"),"")</f>
        <v/>
      </c>
      <c r="AI1669" s="57" t="str">
        <f>IF(Z1669=1,COUNTIF(Z$6:Z1669,1),"")</f>
        <v/>
      </c>
    </row>
    <row r="1670">
      <c r="A1670" s="54" t="n"/>
      <c r="B1670" s="55" t="str">
        <f>IF(AA1670="","",A1670&amp;"-"&amp;RIGHT("000"&amp;AA1670,4))</f>
        <v/>
      </c>
      <c r="C1670" s="56" t="n"/>
      <c r="D1670" s="54" t="n"/>
      <c r="E1670" s="57" t="str">
        <f>IF(D1670="","",IF(A1670="BL",IFERROR(INDEX(cl_name,MATCH(D1670,cl_code,0))&amp;"","Client inconnu"),IF(A1670="BR",IFERROR(INDEX(fo_name,MATCH(D1670,fo_code,0))&amp;"","Fournisseur inconnu"),IF(A1670="BS",IF(ISNA(MATCH(D1670,p_services,0)),"Service inconnu",D1670&amp;""),""))))</f>
        <v/>
      </c>
      <c r="F1670" s="58" t="n"/>
      <c r="G1670" s="58" t="n"/>
      <c r="H1670" s="59" t="n"/>
      <c r="I1670" s="57" t="str">
        <f>IF(H1670="","",IFERROR(INDEX(art_des,MATCH(H1670,art_ref,0))&amp;"","Article inconnu"))</f>
        <v/>
      </c>
      <c r="J1670" s="60" t="str">
        <f>IF(H1670="","",IFERROR(INDEX(art_unit,MATCH(H1670,art_ref,0))&amp;"",""))</f>
        <v/>
      </c>
      <c r="K1670" s="59" t="n"/>
      <c r="L1670" s="59" t="n"/>
      <c r="M1670" s="61" t="str">
        <f>IF(OR(B1670="",NOT(ISNUMBER(K1670)),NOT(ISNUMBER(L1670))),"",IF(OR(K1670&lt;=0,L1670&lt;=0),"",ROUND(L1670-K1670,6)))</f>
        <v/>
      </c>
      <c r="N1670" s="58" t="n"/>
      <c r="O1670" s="62" t="n"/>
      <c r="P1670" s="63" t="str">
        <f>IF(OR(B1670="",NOT(ISNUMBER(L1670))),"",IF(L1670&lt;=0,"",IFERROR(ROUND(L1670*N(INDEX(art_w,MATCH(H1670,art_ref,0))),3),"")))</f>
        <v/>
      </c>
      <c r="Q1670" s="59" t="n"/>
      <c r="R1670" s="54" t="n"/>
      <c r="S1670" s="59" t="n"/>
      <c r="T1670" s="59" t="n"/>
      <c r="U1670" s="64" t="str">
        <f>IF(OR(B1670="",H1670=""),"",IFERROR(IF(A1670="BL",IF(N(INDEX(art_price,MATCH(H1670,art_ref,0)))=0,"",N(INDEX(art_price,MATCH(H1670,art_ref,0)))),IF(N(INDEX(art_cost,MATCH(H1670,art_ref,0)))=0,"",N(INDEX(art_cost,MATCH(H1670,art_ref,0))))),""))</f>
        <v/>
      </c>
      <c r="V1670" s="64" t="str">
        <f>IF(OR(U1670="",NOT(ISNUMBER(L1670))),"",IF(L1670&lt;=0,"",ROUND(L1670*U1670,2)))</f>
        <v/>
      </c>
      <c r="W1670" s="60" t="str">
        <f>IF(AND(B1670&lt;&gt;"",A1670&lt;&gt;"BS",F1670&lt;&gt;"",H1670&lt;&gt;"",ISNUMBER(K1670),ISNUMBER(L1670)),IF(AND(K1670&gt;0,L1670&gt;0,K1670-L1670&gt;0,COUNTIFS(A1671:A$2005,A1670,F1671:F$2005,F1670,H1671:H$2005,H1670,AA1671:AA$2005,"&gt;0")=0),ROUND(K1670-L1670,6),""),"")</f>
        <v/>
      </c>
      <c r="X1670" s="60" t="str">
        <f>IF(AND(A1670="",C1670="",D1670="",H1670="",L1670=""),"",IF(A1670="","Type manquant",IF(AND(A1670&lt;&gt;"BL",A1670&lt;&gt;"BR",A1670&lt;&gt;"BS"),"Type inconnu (BL, BR ou BS)",IF(AG1670=0,"Date manquante ou invalide",IF(D1670="",IF(A1670="BL","Client manquant",IF(A1670="BR","Fournisseur manquant","Service manquant")),IF(IF(A1670="BL",ISNA(MATCH(D1670,cl_code,0)),IF(A1670="BR",ISNA(MATCH(D1670,fo_code,0)),ISNA(MATCH(D1670,p_services,0)))),IF(A1670="BL","Client inconnu",IF(A1670="BR","Fournisseur inconnu","Service inconnu")),IF(H1670="","Article manquant",IF(ISNA(MATCH(H1670,art_ref,0)),"Article inconnu",IF(OR(NOT(ISNUMBER(L1670)),N(L1670)&lt;=0),"Quantité invalide",IF(AND(K1670&lt;&gt;"",OR(NOT(ISNUMBER(K1670)),N(K1670)&lt;=0)),"Qté commandée invalide",IF(AG1670&lt;SUMPRODUCT(MAX((A$6:A1669=A1670)*AG$6:AG1669)),"Date antérieure au bon précédent",IF(AND(A1670&lt;&gt;"BR",ISNUMBER(M1670),N(M1670)&gt;0),IF(A1670="BL","Livré plus que commandé","Sorti plus que demandé"),"OK"))))))))))))</f>
        <v/>
      </c>
      <c r="Y1670" s="57" t="str">
        <f>IF(AND(OR(A1670="BL",A1670="BR",A1670="BS"),AG1670&gt;0,D1670&lt;&gt;""),A1670&amp;"|"&amp;AG1670&amp;"|"&amp;D1670&amp;"|"&amp;F1670,"")</f>
        <v/>
      </c>
      <c r="Z1670" s="57" t="str">
        <f>IF(Y1670="","",IF(COUNTIF(Y$6:Y1669,Y1670)=0,1,0))</f>
        <v/>
      </c>
      <c r="AA1670" s="57" t="str">
        <f>IF(Y1670="","",IF(Z1670=1,COUNTIFS(A$6:A1670,A1670,Z$6:Z1670,1),INDEX(AA$6:AA1669,MATCH(Y1670,Y$6:Y1669,0))))</f>
        <v/>
      </c>
      <c r="AB1670" s="57" t="str">
        <f>IF(B1670="","",COUNTIF(B$6:B1670,B1670))</f>
        <v/>
      </c>
      <c r="AC1670" s="57" t="str">
        <f>IF(B1670="","",B1670&amp;"#"&amp;AB1670)</f>
        <v/>
      </c>
      <c r="AD1670" s="57" t="str">
        <f>IF(Z1670=1,A1670&amp;AA1670,"")</f>
        <v/>
      </c>
      <c r="AE1670" s="57" t="str">
        <f>IF(B1670="","",YEAR(C1670))</f>
        <v/>
      </c>
      <c r="AF1670" s="57" t="str">
        <f>IF(B1670="","",MONTH(C1670))</f>
        <v/>
      </c>
      <c r="AG1670" s="57">
        <f>IF(ISNUMBER(C1670),C1670,0)</f>
        <v>0.0</v>
      </c>
      <c r="AH1670" s="57" t="str">
        <f>IF(N(W1670)&gt;0,COUNTIF(W$6:W1670,"&gt;0"),"")</f>
        <v/>
      </c>
      <c r="AI1670" s="57" t="str">
        <f>IF(Z1670=1,COUNTIF(Z$6:Z1670,1),"")</f>
        <v/>
      </c>
    </row>
    <row r="1671">
      <c r="A1671" s="54" t="n"/>
      <c r="B1671" s="55" t="str">
        <f>IF(AA1671="","",A1671&amp;"-"&amp;RIGHT("000"&amp;AA1671,4))</f>
        <v/>
      </c>
      <c r="C1671" s="56" t="n"/>
      <c r="D1671" s="54" t="n"/>
      <c r="E1671" s="57" t="str">
        <f>IF(D1671="","",IF(A1671="BL",IFERROR(INDEX(cl_name,MATCH(D1671,cl_code,0))&amp;"","Client inconnu"),IF(A1671="BR",IFERROR(INDEX(fo_name,MATCH(D1671,fo_code,0))&amp;"","Fournisseur inconnu"),IF(A1671="BS",IF(ISNA(MATCH(D1671,p_services,0)),"Service inconnu",D1671&amp;""),""))))</f>
        <v/>
      </c>
      <c r="F1671" s="58" t="n"/>
      <c r="G1671" s="58" t="n"/>
      <c r="H1671" s="59" t="n"/>
      <c r="I1671" s="57" t="str">
        <f>IF(H1671="","",IFERROR(INDEX(art_des,MATCH(H1671,art_ref,0))&amp;"","Article inconnu"))</f>
        <v/>
      </c>
      <c r="J1671" s="60" t="str">
        <f>IF(H1671="","",IFERROR(INDEX(art_unit,MATCH(H1671,art_ref,0))&amp;"",""))</f>
        <v/>
      </c>
      <c r="K1671" s="59" t="n"/>
      <c r="L1671" s="59" t="n"/>
      <c r="M1671" s="61" t="str">
        <f>IF(OR(B1671="",NOT(ISNUMBER(K1671)),NOT(ISNUMBER(L1671))),"",IF(OR(K1671&lt;=0,L1671&lt;=0),"",ROUND(L1671-K1671,6)))</f>
        <v/>
      </c>
      <c r="N1671" s="58" t="n"/>
      <c r="O1671" s="62" t="n"/>
      <c r="P1671" s="63" t="str">
        <f>IF(OR(B1671="",NOT(ISNUMBER(L1671))),"",IF(L1671&lt;=0,"",IFERROR(ROUND(L1671*N(INDEX(art_w,MATCH(H1671,art_ref,0))),3),"")))</f>
        <v/>
      </c>
      <c r="Q1671" s="59" t="n"/>
      <c r="R1671" s="54" t="n"/>
      <c r="S1671" s="59" t="n"/>
      <c r="T1671" s="59" t="n"/>
      <c r="U1671" s="64" t="str">
        <f>IF(OR(B1671="",H1671=""),"",IFERROR(IF(A1671="BL",IF(N(INDEX(art_price,MATCH(H1671,art_ref,0)))=0,"",N(INDEX(art_price,MATCH(H1671,art_ref,0)))),IF(N(INDEX(art_cost,MATCH(H1671,art_ref,0)))=0,"",N(INDEX(art_cost,MATCH(H1671,art_ref,0))))),""))</f>
        <v/>
      </c>
      <c r="V1671" s="64" t="str">
        <f>IF(OR(U1671="",NOT(ISNUMBER(L1671))),"",IF(L1671&lt;=0,"",ROUND(L1671*U1671,2)))</f>
        <v/>
      </c>
      <c r="W1671" s="60" t="str">
        <f>IF(AND(B1671&lt;&gt;"",A1671&lt;&gt;"BS",F1671&lt;&gt;"",H1671&lt;&gt;"",ISNUMBER(K1671),ISNUMBER(L1671)),IF(AND(K1671&gt;0,L1671&gt;0,K1671-L1671&gt;0,COUNTIFS(A1672:A$2005,A1671,F1672:F$2005,F1671,H1672:H$2005,H1671,AA1672:AA$2005,"&gt;0")=0),ROUND(K1671-L1671,6),""),"")</f>
        <v/>
      </c>
      <c r="X1671" s="60" t="str">
        <f>IF(AND(A1671="",C1671="",D1671="",H1671="",L1671=""),"",IF(A1671="","Type manquant",IF(AND(A1671&lt;&gt;"BL",A1671&lt;&gt;"BR",A1671&lt;&gt;"BS"),"Type inconnu (BL, BR ou BS)",IF(AG1671=0,"Date manquante ou invalide",IF(D1671="",IF(A1671="BL","Client manquant",IF(A1671="BR","Fournisseur manquant","Service manquant")),IF(IF(A1671="BL",ISNA(MATCH(D1671,cl_code,0)),IF(A1671="BR",ISNA(MATCH(D1671,fo_code,0)),ISNA(MATCH(D1671,p_services,0)))),IF(A1671="BL","Client inconnu",IF(A1671="BR","Fournisseur inconnu","Service inconnu")),IF(H1671="","Article manquant",IF(ISNA(MATCH(H1671,art_ref,0)),"Article inconnu",IF(OR(NOT(ISNUMBER(L1671)),N(L1671)&lt;=0),"Quantité invalide",IF(AND(K1671&lt;&gt;"",OR(NOT(ISNUMBER(K1671)),N(K1671)&lt;=0)),"Qté commandée invalide",IF(AG1671&lt;SUMPRODUCT(MAX((A$6:A1670=A1671)*AG$6:AG1670)),"Date antérieure au bon précédent",IF(AND(A1671&lt;&gt;"BR",ISNUMBER(M1671),N(M1671)&gt;0),IF(A1671="BL","Livré plus que commandé","Sorti plus que demandé"),"OK"))))))))))))</f>
        <v/>
      </c>
      <c r="Y1671" s="57" t="str">
        <f>IF(AND(OR(A1671="BL",A1671="BR",A1671="BS"),AG1671&gt;0,D1671&lt;&gt;""),A1671&amp;"|"&amp;AG1671&amp;"|"&amp;D1671&amp;"|"&amp;F1671,"")</f>
        <v/>
      </c>
      <c r="Z1671" s="57" t="str">
        <f>IF(Y1671="","",IF(COUNTIF(Y$6:Y1670,Y1671)=0,1,0))</f>
        <v/>
      </c>
      <c r="AA1671" s="57" t="str">
        <f>IF(Y1671="","",IF(Z1671=1,COUNTIFS(A$6:A1671,A1671,Z$6:Z1671,1),INDEX(AA$6:AA1670,MATCH(Y1671,Y$6:Y1670,0))))</f>
        <v/>
      </c>
      <c r="AB1671" s="57" t="str">
        <f>IF(B1671="","",COUNTIF(B$6:B1671,B1671))</f>
        <v/>
      </c>
      <c r="AC1671" s="57" t="str">
        <f>IF(B1671="","",B1671&amp;"#"&amp;AB1671)</f>
        <v/>
      </c>
      <c r="AD1671" s="57" t="str">
        <f>IF(Z1671=1,A1671&amp;AA1671,"")</f>
        <v/>
      </c>
      <c r="AE1671" s="57" t="str">
        <f>IF(B1671="","",YEAR(C1671))</f>
        <v/>
      </c>
      <c r="AF1671" s="57" t="str">
        <f>IF(B1671="","",MONTH(C1671))</f>
        <v/>
      </c>
      <c r="AG1671" s="57">
        <f>IF(ISNUMBER(C1671),C1671,0)</f>
        <v>0.0</v>
      </c>
      <c r="AH1671" s="57" t="str">
        <f>IF(N(W1671)&gt;0,COUNTIF(W$6:W1671,"&gt;0"),"")</f>
        <v/>
      </c>
      <c r="AI1671" s="57" t="str">
        <f>IF(Z1671=1,COUNTIF(Z$6:Z1671,1),"")</f>
        <v/>
      </c>
    </row>
    <row r="1672">
      <c r="A1672" s="54" t="n"/>
      <c r="B1672" s="55" t="str">
        <f>IF(AA1672="","",A1672&amp;"-"&amp;RIGHT("000"&amp;AA1672,4))</f>
        <v/>
      </c>
      <c r="C1672" s="56" t="n"/>
      <c r="D1672" s="54" t="n"/>
      <c r="E1672" s="57" t="str">
        <f>IF(D1672="","",IF(A1672="BL",IFERROR(INDEX(cl_name,MATCH(D1672,cl_code,0))&amp;"","Client inconnu"),IF(A1672="BR",IFERROR(INDEX(fo_name,MATCH(D1672,fo_code,0))&amp;"","Fournisseur inconnu"),IF(A1672="BS",IF(ISNA(MATCH(D1672,p_services,0)),"Service inconnu",D1672&amp;""),""))))</f>
        <v/>
      </c>
      <c r="F1672" s="58" t="n"/>
      <c r="G1672" s="58" t="n"/>
      <c r="H1672" s="59" t="n"/>
      <c r="I1672" s="57" t="str">
        <f>IF(H1672="","",IFERROR(INDEX(art_des,MATCH(H1672,art_ref,0))&amp;"","Article inconnu"))</f>
        <v/>
      </c>
      <c r="J1672" s="60" t="str">
        <f>IF(H1672="","",IFERROR(INDEX(art_unit,MATCH(H1672,art_ref,0))&amp;"",""))</f>
        <v/>
      </c>
      <c r="K1672" s="59" t="n"/>
      <c r="L1672" s="59" t="n"/>
      <c r="M1672" s="61" t="str">
        <f>IF(OR(B1672="",NOT(ISNUMBER(K1672)),NOT(ISNUMBER(L1672))),"",IF(OR(K1672&lt;=0,L1672&lt;=0),"",ROUND(L1672-K1672,6)))</f>
        <v/>
      </c>
      <c r="N1672" s="58" t="n"/>
      <c r="O1672" s="62" t="n"/>
      <c r="P1672" s="63" t="str">
        <f>IF(OR(B1672="",NOT(ISNUMBER(L1672))),"",IF(L1672&lt;=0,"",IFERROR(ROUND(L1672*N(INDEX(art_w,MATCH(H1672,art_ref,0))),3),"")))</f>
        <v/>
      </c>
      <c r="Q1672" s="59" t="n"/>
      <c r="R1672" s="54" t="n"/>
      <c r="S1672" s="59" t="n"/>
      <c r="T1672" s="59" t="n"/>
      <c r="U1672" s="64" t="str">
        <f>IF(OR(B1672="",H1672=""),"",IFERROR(IF(A1672="BL",IF(N(INDEX(art_price,MATCH(H1672,art_ref,0)))=0,"",N(INDEX(art_price,MATCH(H1672,art_ref,0)))),IF(N(INDEX(art_cost,MATCH(H1672,art_ref,0)))=0,"",N(INDEX(art_cost,MATCH(H1672,art_ref,0))))),""))</f>
        <v/>
      </c>
      <c r="V1672" s="64" t="str">
        <f>IF(OR(U1672="",NOT(ISNUMBER(L1672))),"",IF(L1672&lt;=0,"",ROUND(L1672*U1672,2)))</f>
        <v/>
      </c>
      <c r="W1672" s="60" t="str">
        <f>IF(AND(B1672&lt;&gt;"",A1672&lt;&gt;"BS",F1672&lt;&gt;"",H1672&lt;&gt;"",ISNUMBER(K1672),ISNUMBER(L1672)),IF(AND(K1672&gt;0,L1672&gt;0,K1672-L1672&gt;0,COUNTIFS(A1673:A$2005,A1672,F1673:F$2005,F1672,H1673:H$2005,H1672,AA1673:AA$2005,"&gt;0")=0),ROUND(K1672-L1672,6),""),"")</f>
        <v/>
      </c>
      <c r="X1672" s="60" t="str">
        <f>IF(AND(A1672="",C1672="",D1672="",H1672="",L1672=""),"",IF(A1672="","Type manquant",IF(AND(A1672&lt;&gt;"BL",A1672&lt;&gt;"BR",A1672&lt;&gt;"BS"),"Type inconnu (BL, BR ou BS)",IF(AG1672=0,"Date manquante ou invalide",IF(D1672="",IF(A1672="BL","Client manquant",IF(A1672="BR","Fournisseur manquant","Service manquant")),IF(IF(A1672="BL",ISNA(MATCH(D1672,cl_code,0)),IF(A1672="BR",ISNA(MATCH(D1672,fo_code,0)),ISNA(MATCH(D1672,p_services,0)))),IF(A1672="BL","Client inconnu",IF(A1672="BR","Fournisseur inconnu","Service inconnu")),IF(H1672="","Article manquant",IF(ISNA(MATCH(H1672,art_ref,0)),"Article inconnu",IF(OR(NOT(ISNUMBER(L1672)),N(L1672)&lt;=0),"Quantité invalide",IF(AND(K1672&lt;&gt;"",OR(NOT(ISNUMBER(K1672)),N(K1672)&lt;=0)),"Qté commandée invalide",IF(AG1672&lt;SUMPRODUCT(MAX((A$6:A1671=A1672)*AG$6:AG1671)),"Date antérieure au bon précédent",IF(AND(A1672&lt;&gt;"BR",ISNUMBER(M1672),N(M1672)&gt;0),IF(A1672="BL","Livré plus que commandé","Sorti plus que demandé"),"OK"))))))))))))</f>
        <v/>
      </c>
      <c r="Y1672" s="57" t="str">
        <f>IF(AND(OR(A1672="BL",A1672="BR",A1672="BS"),AG1672&gt;0,D1672&lt;&gt;""),A1672&amp;"|"&amp;AG1672&amp;"|"&amp;D1672&amp;"|"&amp;F1672,"")</f>
        <v/>
      </c>
      <c r="Z1672" s="57" t="str">
        <f>IF(Y1672="","",IF(COUNTIF(Y$6:Y1671,Y1672)=0,1,0))</f>
        <v/>
      </c>
      <c r="AA1672" s="57" t="str">
        <f>IF(Y1672="","",IF(Z1672=1,COUNTIFS(A$6:A1672,A1672,Z$6:Z1672,1),INDEX(AA$6:AA1671,MATCH(Y1672,Y$6:Y1671,0))))</f>
        <v/>
      </c>
      <c r="AB1672" s="57" t="str">
        <f>IF(B1672="","",COUNTIF(B$6:B1672,B1672))</f>
        <v/>
      </c>
      <c r="AC1672" s="57" t="str">
        <f>IF(B1672="","",B1672&amp;"#"&amp;AB1672)</f>
        <v/>
      </c>
      <c r="AD1672" s="57" t="str">
        <f>IF(Z1672=1,A1672&amp;AA1672,"")</f>
        <v/>
      </c>
      <c r="AE1672" s="57" t="str">
        <f>IF(B1672="","",YEAR(C1672))</f>
        <v/>
      </c>
      <c r="AF1672" s="57" t="str">
        <f>IF(B1672="","",MONTH(C1672))</f>
        <v/>
      </c>
      <c r="AG1672" s="57">
        <f>IF(ISNUMBER(C1672),C1672,0)</f>
        <v>0.0</v>
      </c>
      <c r="AH1672" s="57" t="str">
        <f>IF(N(W1672)&gt;0,COUNTIF(W$6:W1672,"&gt;0"),"")</f>
        <v/>
      </c>
      <c r="AI1672" s="57" t="str">
        <f>IF(Z1672=1,COUNTIF(Z$6:Z1672,1),"")</f>
        <v/>
      </c>
    </row>
    <row r="1673">
      <c r="A1673" s="54" t="n"/>
      <c r="B1673" s="55" t="str">
        <f>IF(AA1673="","",A1673&amp;"-"&amp;RIGHT("000"&amp;AA1673,4))</f>
        <v/>
      </c>
      <c r="C1673" s="56" t="n"/>
      <c r="D1673" s="54" t="n"/>
      <c r="E1673" s="57" t="str">
        <f>IF(D1673="","",IF(A1673="BL",IFERROR(INDEX(cl_name,MATCH(D1673,cl_code,0))&amp;"","Client inconnu"),IF(A1673="BR",IFERROR(INDEX(fo_name,MATCH(D1673,fo_code,0))&amp;"","Fournisseur inconnu"),IF(A1673="BS",IF(ISNA(MATCH(D1673,p_services,0)),"Service inconnu",D1673&amp;""),""))))</f>
        <v/>
      </c>
      <c r="F1673" s="58" t="n"/>
      <c r="G1673" s="58" t="n"/>
      <c r="H1673" s="59" t="n"/>
      <c r="I1673" s="57" t="str">
        <f>IF(H1673="","",IFERROR(INDEX(art_des,MATCH(H1673,art_ref,0))&amp;"","Article inconnu"))</f>
        <v/>
      </c>
      <c r="J1673" s="60" t="str">
        <f>IF(H1673="","",IFERROR(INDEX(art_unit,MATCH(H1673,art_ref,0))&amp;"",""))</f>
        <v/>
      </c>
      <c r="K1673" s="59" t="n"/>
      <c r="L1673" s="59" t="n"/>
      <c r="M1673" s="61" t="str">
        <f>IF(OR(B1673="",NOT(ISNUMBER(K1673)),NOT(ISNUMBER(L1673))),"",IF(OR(K1673&lt;=0,L1673&lt;=0),"",ROUND(L1673-K1673,6)))</f>
        <v/>
      </c>
      <c r="N1673" s="58" t="n"/>
      <c r="O1673" s="62" t="n"/>
      <c r="P1673" s="63" t="str">
        <f>IF(OR(B1673="",NOT(ISNUMBER(L1673))),"",IF(L1673&lt;=0,"",IFERROR(ROUND(L1673*N(INDEX(art_w,MATCH(H1673,art_ref,0))),3),"")))</f>
        <v/>
      </c>
      <c r="Q1673" s="59" t="n"/>
      <c r="R1673" s="54" t="n"/>
      <c r="S1673" s="59" t="n"/>
      <c r="T1673" s="59" t="n"/>
      <c r="U1673" s="64" t="str">
        <f>IF(OR(B1673="",H1673=""),"",IFERROR(IF(A1673="BL",IF(N(INDEX(art_price,MATCH(H1673,art_ref,0)))=0,"",N(INDEX(art_price,MATCH(H1673,art_ref,0)))),IF(N(INDEX(art_cost,MATCH(H1673,art_ref,0)))=0,"",N(INDEX(art_cost,MATCH(H1673,art_ref,0))))),""))</f>
        <v/>
      </c>
      <c r="V1673" s="64" t="str">
        <f>IF(OR(U1673="",NOT(ISNUMBER(L1673))),"",IF(L1673&lt;=0,"",ROUND(L1673*U1673,2)))</f>
        <v/>
      </c>
      <c r="W1673" s="60" t="str">
        <f>IF(AND(B1673&lt;&gt;"",A1673&lt;&gt;"BS",F1673&lt;&gt;"",H1673&lt;&gt;"",ISNUMBER(K1673),ISNUMBER(L1673)),IF(AND(K1673&gt;0,L1673&gt;0,K1673-L1673&gt;0,COUNTIFS(A1674:A$2005,A1673,F1674:F$2005,F1673,H1674:H$2005,H1673,AA1674:AA$2005,"&gt;0")=0),ROUND(K1673-L1673,6),""),"")</f>
        <v/>
      </c>
      <c r="X1673" s="60" t="str">
        <f>IF(AND(A1673="",C1673="",D1673="",H1673="",L1673=""),"",IF(A1673="","Type manquant",IF(AND(A1673&lt;&gt;"BL",A1673&lt;&gt;"BR",A1673&lt;&gt;"BS"),"Type inconnu (BL, BR ou BS)",IF(AG1673=0,"Date manquante ou invalide",IF(D1673="",IF(A1673="BL","Client manquant",IF(A1673="BR","Fournisseur manquant","Service manquant")),IF(IF(A1673="BL",ISNA(MATCH(D1673,cl_code,0)),IF(A1673="BR",ISNA(MATCH(D1673,fo_code,0)),ISNA(MATCH(D1673,p_services,0)))),IF(A1673="BL","Client inconnu",IF(A1673="BR","Fournisseur inconnu","Service inconnu")),IF(H1673="","Article manquant",IF(ISNA(MATCH(H1673,art_ref,0)),"Article inconnu",IF(OR(NOT(ISNUMBER(L1673)),N(L1673)&lt;=0),"Quantité invalide",IF(AND(K1673&lt;&gt;"",OR(NOT(ISNUMBER(K1673)),N(K1673)&lt;=0)),"Qté commandée invalide",IF(AG1673&lt;SUMPRODUCT(MAX((A$6:A1672=A1673)*AG$6:AG1672)),"Date antérieure au bon précédent",IF(AND(A1673&lt;&gt;"BR",ISNUMBER(M1673),N(M1673)&gt;0),IF(A1673="BL","Livré plus que commandé","Sorti plus que demandé"),"OK"))))))))))))</f>
        <v/>
      </c>
      <c r="Y1673" s="57" t="str">
        <f>IF(AND(OR(A1673="BL",A1673="BR",A1673="BS"),AG1673&gt;0,D1673&lt;&gt;""),A1673&amp;"|"&amp;AG1673&amp;"|"&amp;D1673&amp;"|"&amp;F1673,"")</f>
        <v/>
      </c>
      <c r="Z1673" s="57" t="str">
        <f>IF(Y1673="","",IF(COUNTIF(Y$6:Y1672,Y1673)=0,1,0))</f>
        <v/>
      </c>
      <c r="AA1673" s="57" t="str">
        <f>IF(Y1673="","",IF(Z1673=1,COUNTIFS(A$6:A1673,A1673,Z$6:Z1673,1),INDEX(AA$6:AA1672,MATCH(Y1673,Y$6:Y1672,0))))</f>
        <v/>
      </c>
      <c r="AB1673" s="57" t="str">
        <f>IF(B1673="","",COUNTIF(B$6:B1673,B1673))</f>
        <v/>
      </c>
      <c r="AC1673" s="57" t="str">
        <f>IF(B1673="","",B1673&amp;"#"&amp;AB1673)</f>
        <v/>
      </c>
      <c r="AD1673" s="57" t="str">
        <f>IF(Z1673=1,A1673&amp;AA1673,"")</f>
        <v/>
      </c>
      <c r="AE1673" s="57" t="str">
        <f>IF(B1673="","",YEAR(C1673))</f>
        <v/>
      </c>
      <c r="AF1673" s="57" t="str">
        <f>IF(B1673="","",MONTH(C1673))</f>
        <v/>
      </c>
      <c r="AG1673" s="57">
        <f>IF(ISNUMBER(C1673),C1673,0)</f>
        <v>0.0</v>
      </c>
      <c r="AH1673" s="57" t="str">
        <f>IF(N(W1673)&gt;0,COUNTIF(W$6:W1673,"&gt;0"),"")</f>
        <v/>
      </c>
      <c r="AI1673" s="57" t="str">
        <f>IF(Z1673=1,COUNTIF(Z$6:Z1673,1),"")</f>
        <v/>
      </c>
    </row>
    <row r="1674">
      <c r="A1674" s="54" t="n"/>
      <c r="B1674" s="55" t="str">
        <f>IF(AA1674="","",A1674&amp;"-"&amp;RIGHT("000"&amp;AA1674,4))</f>
        <v/>
      </c>
      <c r="C1674" s="56" t="n"/>
      <c r="D1674" s="54" t="n"/>
      <c r="E1674" s="57" t="str">
        <f>IF(D1674="","",IF(A1674="BL",IFERROR(INDEX(cl_name,MATCH(D1674,cl_code,0))&amp;"","Client inconnu"),IF(A1674="BR",IFERROR(INDEX(fo_name,MATCH(D1674,fo_code,0))&amp;"","Fournisseur inconnu"),IF(A1674="BS",IF(ISNA(MATCH(D1674,p_services,0)),"Service inconnu",D1674&amp;""),""))))</f>
        <v/>
      </c>
      <c r="F1674" s="58" t="n"/>
      <c r="G1674" s="58" t="n"/>
      <c r="H1674" s="59" t="n"/>
      <c r="I1674" s="57" t="str">
        <f>IF(H1674="","",IFERROR(INDEX(art_des,MATCH(H1674,art_ref,0))&amp;"","Article inconnu"))</f>
        <v/>
      </c>
      <c r="J1674" s="60" t="str">
        <f>IF(H1674="","",IFERROR(INDEX(art_unit,MATCH(H1674,art_ref,0))&amp;"",""))</f>
        <v/>
      </c>
      <c r="K1674" s="59" t="n"/>
      <c r="L1674" s="59" t="n"/>
      <c r="M1674" s="61" t="str">
        <f>IF(OR(B1674="",NOT(ISNUMBER(K1674)),NOT(ISNUMBER(L1674))),"",IF(OR(K1674&lt;=0,L1674&lt;=0),"",ROUND(L1674-K1674,6)))</f>
        <v/>
      </c>
      <c r="N1674" s="58" t="n"/>
      <c r="O1674" s="62" t="n"/>
      <c r="P1674" s="63" t="str">
        <f>IF(OR(B1674="",NOT(ISNUMBER(L1674))),"",IF(L1674&lt;=0,"",IFERROR(ROUND(L1674*N(INDEX(art_w,MATCH(H1674,art_ref,0))),3),"")))</f>
        <v/>
      </c>
      <c r="Q1674" s="59" t="n"/>
      <c r="R1674" s="54" t="n"/>
      <c r="S1674" s="59" t="n"/>
      <c r="T1674" s="59" t="n"/>
      <c r="U1674" s="64" t="str">
        <f>IF(OR(B1674="",H1674=""),"",IFERROR(IF(A1674="BL",IF(N(INDEX(art_price,MATCH(H1674,art_ref,0)))=0,"",N(INDEX(art_price,MATCH(H1674,art_ref,0)))),IF(N(INDEX(art_cost,MATCH(H1674,art_ref,0)))=0,"",N(INDEX(art_cost,MATCH(H1674,art_ref,0))))),""))</f>
        <v/>
      </c>
      <c r="V1674" s="64" t="str">
        <f>IF(OR(U1674="",NOT(ISNUMBER(L1674))),"",IF(L1674&lt;=0,"",ROUND(L1674*U1674,2)))</f>
        <v/>
      </c>
      <c r="W1674" s="60" t="str">
        <f>IF(AND(B1674&lt;&gt;"",A1674&lt;&gt;"BS",F1674&lt;&gt;"",H1674&lt;&gt;"",ISNUMBER(K1674),ISNUMBER(L1674)),IF(AND(K1674&gt;0,L1674&gt;0,K1674-L1674&gt;0,COUNTIFS(A1675:A$2005,A1674,F1675:F$2005,F1674,H1675:H$2005,H1674,AA1675:AA$2005,"&gt;0")=0),ROUND(K1674-L1674,6),""),"")</f>
        <v/>
      </c>
      <c r="X1674" s="60" t="str">
        <f>IF(AND(A1674="",C1674="",D1674="",H1674="",L1674=""),"",IF(A1674="","Type manquant",IF(AND(A1674&lt;&gt;"BL",A1674&lt;&gt;"BR",A1674&lt;&gt;"BS"),"Type inconnu (BL, BR ou BS)",IF(AG1674=0,"Date manquante ou invalide",IF(D1674="",IF(A1674="BL","Client manquant",IF(A1674="BR","Fournisseur manquant","Service manquant")),IF(IF(A1674="BL",ISNA(MATCH(D1674,cl_code,0)),IF(A1674="BR",ISNA(MATCH(D1674,fo_code,0)),ISNA(MATCH(D1674,p_services,0)))),IF(A1674="BL","Client inconnu",IF(A1674="BR","Fournisseur inconnu","Service inconnu")),IF(H1674="","Article manquant",IF(ISNA(MATCH(H1674,art_ref,0)),"Article inconnu",IF(OR(NOT(ISNUMBER(L1674)),N(L1674)&lt;=0),"Quantité invalide",IF(AND(K1674&lt;&gt;"",OR(NOT(ISNUMBER(K1674)),N(K1674)&lt;=0)),"Qté commandée invalide",IF(AG1674&lt;SUMPRODUCT(MAX((A$6:A1673=A1674)*AG$6:AG1673)),"Date antérieure au bon précédent",IF(AND(A1674&lt;&gt;"BR",ISNUMBER(M1674),N(M1674)&gt;0),IF(A1674="BL","Livré plus que commandé","Sorti plus que demandé"),"OK"))))))))))))</f>
        <v/>
      </c>
      <c r="Y1674" s="57" t="str">
        <f>IF(AND(OR(A1674="BL",A1674="BR",A1674="BS"),AG1674&gt;0,D1674&lt;&gt;""),A1674&amp;"|"&amp;AG1674&amp;"|"&amp;D1674&amp;"|"&amp;F1674,"")</f>
        <v/>
      </c>
      <c r="Z1674" s="57" t="str">
        <f>IF(Y1674="","",IF(COUNTIF(Y$6:Y1673,Y1674)=0,1,0))</f>
        <v/>
      </c>
      <c r="AA1674" s="57" t="str">
        <f>IF(Y1674="","",IF(Z1674=1,COUNTIFS(A$6:A1674,A1674,Z$6:Z1674,1),INDEX(AA$6:AA1673,MATCH(Y1674,Y$6:Y1673,0))))</f>
        <v/>
      </c>
      <c r="AB1674" s="57" t="str">
        <f>IF(B1674="","",COUNTIF(B$6:B1674,B1674))</f>
        <v/>
      </c>
      <c r="AC1674" s="57" t="str">
        <f>IF(B1674="","",B1674&amp;"#"&amp;AB1674)</f>
        <v/>
      </c>
      <c r="AD1674" s="57" t="str">
        <f>IF(Z1674=1,A1674&amp;AA1674,"")</f>
        <v/>
      </c>
      <c r="AE1674" s="57" t="str">
        <f>IF(B1674="","",YEAR(C1674))</f>
        <v/>
      </c>
      <c r="AF1674" s="57" t="str">
        <f>IF(B1674="","",MONTH(C1674))</f>
        <v/>
      </c>
      <c r="AG1674" s="57">
        <f>IF(ISNUMBER(C1674),C1674,0)</f>
        <v>0.0</v>
      </c>
      <c r="AH1674" s="57" t="str">
        <f>IF(N(W1674)&gt;0,COUNTIF(W$6:W1674,"&gt;0"),"")</f>
        <v/>
      </c>
      <c r="AI1674" s="57" t="str">
        <f>IF(Z1674=1,COUNTIF(Z$6:Z1674,1),"")</f>
        <v/>
      </c>
    </row>
    <row r="1675">
      <c r="A1675" s="54" t="n"/>
      <c r="B1675" s="55" t="str">
        <f>IF(AA1675="","",A1675&amp;"-"&amp;RIGHT("000"&amp;AA1675,4))</f>
        <v/>
      </c>
      <c r="C1675" s="56" t="n"/>
      <c r="D1675" s="54" t="n"/>
      <c r="E1675" s="57" t="str">
        <f>IF(D1675="","",IF(A1675="BL",IFERROR(INDEX(cl_name,MATCH(D1675,cl_code,0))&amp;"","Client inconnu"),IF(A1675="BR",IFERROR(INDEX(fo_name,MATCH(D1675,fo_code,0))&amp;"","Fournisseur inconnu"),IF(A1675="BS",IF(ISNA(MATCH(D1675,p_services,0)),"Service inconnu",D1675&amp;""),""))))</f>
        <v/>
      </c>
      <c r="F1675" s="58" t="n"/>
      <c r="G1675" s="58" t="n"/>
      <c r="H1675" s="59" t="n"/>
      <c r="I1675" s="57" t="str">
        <f>IF(H1675="","",IFERROR(INDEX(art_des,MATCH(H1675,art_ref,0))&amp;"","Article inconnu"))</f>
        <v/>
      </c>
      <c r="J1675" s="60" t="str">
        <f>IF(H1675="","",IFERROR(INDEX(art_unit,MATCH(H1675,art_ref,0))&amp;"",""))</f>
        <v/>
      </c>
      <c r="K1675" s="59" t="n"/>
      <c r="L1675" s="59" t="n"/>
      <c r="M1675" s="61" t="str">
        <f>IF(OR(B1675="",NOT(ISNUMBER(K1675)),NOT(ISNUMBER(L1675))),"",IF(OR(K1675&lt;=0,L1675&lt;=0),"",ROUND(L1675-K1675,6)))</f>
        <v/>
      </c>
      <c r="N1675" s="58" t="n"/>
      <c r="O1675" s="62" t="n"/>
      <c r="P1675" s="63" t="str">
        <f>IF(OR(B1675="",NOT(ISNUMBER(L1675))),"",IF(L1675&lt;=0,"",IFERROR(ROUND(L1675*N(INDEX(art_w,MATCH(H1675,art_ref,0))),3),"")))</f>
        <v/>
      </c>
      <c r="Q1675" s="59" t="n"/>
      <c r="R1675" s="54" t="n"/>
      <c r="S1675" s="59" t="n"/>
      <c r="T1675" s="59" t="n"/>
      <c r="U1675" s="64" t="str">
        <f>IF(OR(B1675="",H1675=""),"",IFERROR(IF(A1675="BL",IF(N(INDEX(art_price,MATCH(H1675,art_ref,0)))=0,"",N(INDEX(art_price,MATCH(H1675,art_ref,0)))),IF(N(INDEX(art_cost,MATCH(H1675,art_ref,0)))=0,"",N(INDEX(art_cost,MATCH(H1675,art_ref,0))))),""))</f>
        <v/>
      </c>
      <c r="V1675" s="64" t="str">
        <f>IF(OR(U1675="",NOT(ISNUMBER(L1675))),"",IF(L1675&lt;=0,"",ROUND(L1675*U1675,2)))</f>
        <v/>
      </c>
      <c r="W1675" s="60" t="str">
        <f>IF(AND(B1675&lt;&gt;"",A1675&lt;&gt;"BS",F1675&lt;&gt;"",H1675&lt;&gt;"",ISNUMBER(K1675),ISNUMBER(L1675)),IF(AND(K1675&gt;0,L1675&gt;0,K1675-L1675&gt;0,COUNTIFS(A1676:A$2005,A1675,F1676:F$2005,F1675,H1676:H$2005,H1675,AA1676:AA$2005,"&gt;0")=0),ROUND(K1675-L1675,6),""),"")</f>
        <v/>
      </c>
      <c r="X1675" s="60" t="str">
        <f>IF(AND(A1675="",C1675="",D1675="",H1675="",L1675=""),"",IF(A1675="","Type manquant",IF(AND(A1675&lt;&gt;"BL",A1675&lt;&gt;"BR",A1675&lt;&gt;"BS"),"Type inconnu (BL, BR ou BS)",IF(AG1675=0,"Date manquante ou invalide",IF(D1675="",IF(A1675="BL","Client manquant",IF(A1675="BR","Fournisseur manquant","Service manquant")),IF(IF(A1675="BL",ISNA(MATCH(D1675,cl_code,0)),IF(A1675="BR",ISNA(MATCH(D1675,fo_code,0)),ISNA(MATCH(D1675,p_services,0)))),IF(A1675="BL","Client inconnu",IF(A1675="BR","Fournisseur inconnu","Service inconnu")),IF(H1675="","Article manquant",IF(ISNA(MATCH(H1675,art_ref,0)),"Article inconnu",IF(OR(NOT(ISNUMBER(L1675)),N(L1675)&lt;=0),"Quantité invalide",IF(AND(K1675&lt;&gt;"",OR(NOT(ISNUMBER(K1675)),N(K1675)&lt;=0)),"Qté commandée invalide",IF(AG1675&lt;SUMPRODUCT(MAX((A$6:A1674=A1675)*AG$6:AG1674)),"Date antérieure au bon précédent",IF(AND(A1675&lt;&gt;"BR",ISNUMBER(M1675),N(M1675)&gt;0),IF(A1675="BL","Livré plus que commandé","Sorti plus que demandé"),"OK"))))))))))))</f>
        <v/>
      </c>
      <c r="Y1675" s="57" t="str">
        <f>IF(AND(OR(A1675="BL",A1675="BR",A1675="BS"),AG1675&gt;0,D1675&lt;&gt;""),A1675&amp;"|"&amp;AG1675&amp;"|"&amp;D1675&amp;"|"&amp;F1675,"")</f>
        <v/>
      </c>
      <c r="Z1675" s="57" t="str">
        <f>IF(Y1675="","",IF(COUNTIF(Y$6:Y1674,Y1675)=0,1,0))</f>
        <v/>
      </c>
      <c r="AA1675" s="57" t="str">
        <f>IF(Y1675="","",IF(Z1675=1,COUNTIFS(A$6:A1675,A1675,Z$6:Z1675,1),INDEX(AA$6:AA1674,MATCH(Y1675,Y$6:Y1674,0))))</f>
        <v/>
      </c>
      <c r="AB1675" s="57" t="str">
        <f>IF(B1675="","",COUNTIF(B$6:B1675,B1675))</f>
        <v/>
      </c>
      <c r="AC1675" s="57" t="str">
        <f>IF(B1675="","",B1675&amp;"#"&amp;AB1675)</f>
        <v/>
      </c>
      <c r="AD1675" s="57" t="str">
        <f>IF(Z1675=1,A1675&amp;AA1675,"")</f>
        <v/>
      </c>
      <c r="AE1675" s="57" t="str">
        <f>IF(B1675="","",YEAR(C1675))</f>
        <v/>
      </c>
      <c r="AF1675" s="57" t="str">
        <f>IF(B1675="","",MONTH(C1675))</f>
        <v/>
      </c>
      <c r="AG1675" s="57">
        <f>IF(ISNUMBER(C1675),C1675,0)</f>
        <v>0.0</v>
      </c>
      <c r="AH1675" s="57" t="str">
        <f>IF(N(W1675)&gt;0,COUNTIF(W$6:W1675,"&gt;0"),"")</f>
        <v/>
      </c>
      <c r="AI1675" s="57" t="str">
        <f>IF(Z1675=1,COUNTIF(Z$6:Z1675,1),"")</f>
        <v/>
      </c>
    </row>
    <row r="1676">
      <c r="A1676" s="54" t="n"/>
      <c r="B1676" s="55" t="str">
        <f>IF(AA1676="","",A1676&amp;"-"&amp;RIGHT("000"&amp;AA1676,4))</f>
        <v/>
      </c>
      <c r="C1676" s="56" t="n"/>
      <c r="D1676" s="54" t="n"/>
      <c r="E1676" s="57" t="str">
        <f>IF(D1676="","",IF(A1676="BL",IFERROR(INDEX(cl_name,MATCH(D1676,cl_code,0))&amp;"","Client inconnu"),IF(A1676="BR",IFERROR(INDEX(fo_name,MATCH(D1676,fo_code,0))&amp;"","Fournisseur inconnu"),IF(A1676="BS",IF(ISNA(MATCH(D1676,p_services,0)),"Service inconnu",D1676&amp;""),""))))</f>
        <v/>
      </c>
      <c r="F1676" s="58" t="n"/>
      <c r="G1676" s="58" t="n"/>
      <c r="H1676" s="59" t="n"/>
      <c r="I1676" s="57" t="str">
        <f>IF(H1676="","",IFERROR(INDEX(art_des,MATCH(H1676,art_ref,0))&amp;"","Article inconnu"))</f>
        <v/>
      </c>
      <c r="J1676" s="60" t="str">
        <f>IF(H1676="","",IFERROR(INDEX(art_unit,MATCH(H1676,art_ref,0))&amp;"",""))</f>
        <v/>
      </c>
      <c r="K1676" s="59" t="n"/>
      <c r="L1676" s="59" t="n"/>
      <c r="M1676" s="61" t="str">
        <f>IF(OR(B1676="",NOT(ISNUMBER(K1676)),NOT(ISNUMBER(L1676))),"",IF(OR(K1676&lt;=0,L1676&lt;=0),"",ROUND(L1676-K1676,6)))</f>
        <v/>
      </c>
      <c r="N1676" s="58" t="n"/>
      <c r="O1676" s="62" t="n"/>
      <c r="P1676" s="63" t="str">
        <f>IF(OR(B1676="",NOT(ISNUMBER(L1676))),"",IF(L1676&lt;=0,"",IFERROR(ROUND(L1676*N(INDEX(art_w,MATCH(H1676,art_ref,0))),3),"")))</f>
        <v/>
      </c>
      <c r="Q1676" s="59" t="n"/>
      <c r="R1676" s="54" t="n"/>
      <c r="S1676" s="59" t="n"/>
      <c r="T1676" s="59" t="n"/>
      <c r="U1676" s="64" t="str">
        <f>IF(OR(B1676="",H1676=""),"",IFERROR(IF(A1676="BL",IF(N(INDEX(art_price,MATCH(H1676,art_ref,0)))=0,"",N(INDEX(art_price,MATCH(H1676,art_ref,0)))),IF(N(INDEX(art_cost,MATCH(H1676,art_ref,0)))=0,"",N(INDEX(art_cost,MATCH(H1676,art_ref,0))))),""))</f>
        <v/>
      </c>
      <c r="V1676" s="64" t="str">
        <f>IF(OR(U1676="",NOT(ISNUMBER(L1676))),"",IF(L1676&lt;=0,"",ROUND(L1676*U1676,2)))</f>
        <v/>
      </c>
      <c r="W1676" s="60" t="str">
        <f>IF(AND(B1676&lt;&gt;"",A1676&lt;&gt;"BS",F1676&lt;&gt;"",H1676&lt;&gt;"",ISNUMBER(K1676),ISNUMBER(L1676)),IF(AND(K1676&gt;0,L1676&gt;0,K1676-L1676&gt;0,COUNTIFS(A1677:A$2005,A1676,F1677:F$2005,F1676,H1677:H$2005,H1676,AA1677:AA$2005,"&gt;0")=0),ROUND(K1676-L1676,6),""),"")</f>
        <v/>
      </c>
      <c r="X1676" s="60" t="str">
        <f>IF(AND(A1676="",C1676="",D1676="",H1676="",L1676=""),"",IF(A1676="","Type manquant",IF(AND(A1676&lt;&gt;"BL",A1676&lt;&gt;"BR",A1676&lt;&gt;"BS"),"Type inconnu (BL, BR ou BS)",IF(AG1676=0,"Date manquante ou invalide",IF(D1676="",IF(A1676="BL","Client manquant",IF(A1676="BR","Fournisseur manquant","Service manquant")),IF(IF(A1676="BL",ISNA(MATCH(D1676,cl_code,0)),IF(A1676="BR",ISNA(MATCH(D1676,fo_code,0)),ISNA(MATCH(D1676,p_services,0)))),IF(A1676="BL","Client inconnu",IF(A1676="BR","Fournisseur inconnu","Service inconnu")),IF(H1676="","Article manquant",IF(ISNA(MATCH(H1676,art_ref,0)),"Article inconnu",IF(OR(NOT(ISNUMBER(L1676)),N(L1676)&lt;=0),"Quantité invalide",IF(AND(K1676&lt;&gt;"",OR(NOT(ISNUMBER(K1676)),N(K1676)&lt;=0)),"Qté commandée invalide",IF(AG1676&lt;SUMPRODUCT(MAX((A$6:A1675=A1676)*AG$6:AG1675)),"Date antérieure au bon précédent",IF(AND(A1676&lt;&gt;"BR",ISNUMBER(M1676),N(M1676)&gt;0),IF(A1676="BL","Livré plus que commandé","Sorti plus que demandé"),"OK"))))))))))))</f>
        <v/>
      </c>
      <c r="Y1676" s="57" t="str">
        <f>IF(AND(OR(A1676="BL",A1676="BR",A1676="BS"),AG1676&gt;0,D1676&lt;&gt;""),A1676&amp;"|"&amp;AG1676&amp;"|"&amp;D1676&amp;"|"&amp;F1676,"")</f>
        <v/>
      </c>
      <c r="Z1676" s="57" t="str">
        <f>IF(Y1676="","",IF(COUNTIF(Y$6:Y1675,Y1676)=0,1,0))</f>
        <v/>
      </c>
      <c r="AA1676" s="57" t="str">
        <f>IF(Y1676="","",IF(Z1676=1,COUNTIFS(A$6:A1676,A1676,Z$6:Z1676,1),INDEX(AA$6:AA1675,MATCH(Y1676,Y$6:Y1675,0))))</f>
        <v/>
      </c>
      <c r="AB1676" s="57" t="str">
        <f>IF(B1676="","",COUNTIF(B$6:B1676,B1676))</f>
        <v/>
      </c>
      <c r="AC1676" s="57" t="str">
        <f>IF(B1676="","",B1676&amp;"#"&amp;AB1676)</f>
        <v/>
      </c>
      <c r="AD1676" s="57" t="str">
        <f>IF(Z1676=1,A1676&amp;AA1676,"")</f>
        <v/>
      </c>
      <c r="AE1676" s="57" t="str">
        <f>IF(B1676="","",YEAR(C1676))</f>
        <v/>
      </c>
      <c r="AF1676" s="57" t="str">
        <f>IF(B1676="","",MONTH(C1676))</f>
        <v/>
      </c>
      <c r="AG1676" s="57">
        <f>IF(ISNUMBER(C1676),C1676,0)</f>
        <v>0.0</v>
      </c>
      <c r="AH1676" s="57" t="str">
        <f>IF(N(W1676)&gt;0,COUNTIF(W$6:W1676,"&gt;0"),"")</f>
        <v/>
      </c>
      <c r="AI1676" s="57" t="str">
        <f>IF(Z1676=1,COUNTIF(Z$6:Z1676,1),"")</f>
        <v/>
      </c>
    </row>
    <row r="1677">
      <c r="A1677" s="54" t="n"/>
      <c r="B1677" s="55" t="str">
        <f>IF(AA1677="","",A1677&amp;"-"&amp;RIGHT("000"&amp;AA1677,4))</f>
        <v/>
      </c>
      <c r="C1677" s="56" t="n"/>
      <c r="D1677" s="54" t="n"/>
      <c r="E1677" s="57" t="str">
        <f>IF(D1677="","",IF(A1677="BL",IFERROR(INDEX(cl_name,MATCH(D1677,cl_code,0))&amp;"","Client inconnu"),IF(A1677="BR",IFERROR(INDEX(fo_name,MATCH(D1677,fo_code,0))&amp;"","Fournisseur inconnu"),IF(A1677="BS",IF(ISNA(MATCH(D1677,p_services,0)),"Service inconnu",D1677&amp;""),""))))</f>
        <v/>
      </c>
      <c r="F1677" s="58" t="n"/>
      <c r="G1677" s="58" t="n"/>
      <c r="H1677" s="59" t="n"/>
      <c r="I1677" s="57" t="str">
        <f>IF(H1677="","",IFERROR(INDEX(art_des,MATCH(H1677,art_ref,0))&amp;"","Article inconnu"))</f>
        <v/>
      </c>
      <c r="J1677" s="60" t="str">
        <f>IF(H1677="","",IFERROR(INDEX(art_unit,MATCH(H1677,art_ref,0))&amp;"",""))</f>
        <v/>
      </c>
      <c r="K1677" s="59" t="n"/>
      <c r="L1677" s="59" t="n"/>
      <c r="M1677" s="61" t="str">
        <f>IF(OR(B1677="",NOT(ISNUMBER(K1677)),NOT(ISNUMBER(L1677))),"",IF(OR(K1677&lt;=0,L1677&lt;=0),"",ROUND(L1677-K1677,6)))</f>
        <v/>
      </c>
      <c r="N1677" s="58" t="n"/>
      <c r="O1677" s="62" t="n"/>
      <c r="P1677" s="63" t="str">
        <f>IF(OR(B1677="",NOT(ISNUMBER(L1677))),"",IF(L1677&lt;=0,"",IFERROR(ROUND(L1677*N(INDEX(art_w,MATCH(H1677,art_ref,0))),3),"")))</f>
        <v/>
      </c>
      <c r="Q1677" s="59" t="n"/>
      <c r="R1677" s="54" t="n"/>
      <c r="S1677" s="59" t="n"/>
      <c r="T1677" s="59" t="n"/>
      <c r="U1677" s="64" t="str">
        <f>IF(OR(B1677="",H1677=""),"",IFERROR(IF(A1677="BL",IF(N(INDEX(art_price,MATCH(H1677,art_ref,0)))=0,"",N(INDEX(art_price,MATCH(H1677,art_ref,0)))),IF(N(INDEX(art_cost,MATCH(H1677,art_ref,0)))=0,"",N(INDEX(art_cost,MATCH(H1677,art_ref,0))))),""))</f>
        <v/>
      </c>
      <c r="V1677" s="64" t="str">
        <f>IF(OR(U1677="",NOT(ISNUMBER(L1677))),"",IF(L1677&lt;=0,"",ROUND(L1677*U1677,2)))</f>
        <v/>
      </c>
      <c r="W1677" s="60" t="str">
        <f>IF(AND(B1677&lt;&gt;"",A1677&lt;&gt;"BS",F1677&lt;&gt;"",H1677&lt;&gt;"",ISNUMBER(K1677),ISNUMBER(L1677)),IF(AND(K1677&gt;0,L1677&gt;0,K1677-L1677&gt;0,COUNTIFS(A1678:A$2005,A1677,F1678:F$2005,F1677,H1678:H$2005,H1677,AA1678:AA$2005,"&gt;0")=0),ROUND(K1677-L1677,6),""),"")</f>
        <v/>
      </c>
      <c r="X1677" s="60" t="str">
        <f>IF(AND(A1677="",C1677="",D1677="",H1677="",L1677=""),"",IF(A1677="","Type manquant",IF(AND(A1677&lt;&gt;"BL",A1677&lt;&gt;"BR",A1677&lt;&gt;"BS"),"Type inconnu (BL, BR ou BS)",IF(AG1677=0,"Date manquante ou invalide",IF(D1677="",IF(A1677="BL","Client manquant",IF(A1677="BR","Fournisseur manquant","Service manquant")),IF(IF(A1677="BL",ISNA(MATCH(D1677,cl_code,0)),IF(A1677="BR",ISNA(MATCH(D1677,fo_code,0)),ISNA(MATCH(D1677,p_services,0)))),IF(A1677="BL","Client inconnu",IF(A1677="BR","Fournisseur inconnu","Service inconnu")),IF(H1677="","Article manquant",IF(ISNA(MATCH(H1677,art_ref,0)),"Article inconnu",IF(OR(NOT(ISNUMBER(L1677)),N(L1677)&lt;=0),"Quantité invalide",IF(AND(K1677&lt;&gt;"",OR(NOT(ISNUMBER(K1677)),N(K1677)&lt;=0)),"Qté commandée invalide",IF(AG1677&lt;SUMPRODUCT(MAX((A$6:A1676=A1677)*AG$6:AG1676)),"Date antérieure au bon précédent",IF(AND(A1677&lt;&gt;"BR",ISNUMBER(M1677),N(M1677)&gt;0),IF(A1677="BL","Livré plus que commandé","Sorti plus que demandé"),"OK"))))))))))))</f>
        <v/>
      </c>
      <c r="Y1677" s="57" t="str">
        <f>IF(AND(OR(A1677="BL",A1677="BR",A1677="BS"),AG1677&gt;0,D1677&lt;&gt;""),A1677&amp;"|"&amp;AG1677&amp;"|"&amp;D1677&amp;"|"&amp;F1677,"")</f>
        <v/>
      </c>
      <c r="Z1677" s="57" t="str">
        <f>IF(Y1677="","",IF(COUNTIF(Y$6:Y1676,Y1677)=0,1,0))</f>
        <v/>
      </c>
      <c r="AA1677" s="57" t="str">
        <f>IF(Y1677="","",IF(Z1677=1,COUNTIFS(A$6:A1677,A1677,Z$6:Z1677,1),INDEX(AA$6:AA1676,MATCH(Y1677,Y$6:Y1676,0))))</f>
        <v/>
      </c>
      <c r="AB1677" s="57" t="str">
        <f>IF(B1677="","",COUNTIF(B$6:B1677,B1677))</f>
        <v/>
      </c>
      <c r="AC1677" s="57" t="str">
        <f>IF(B1677="","",B1677&amp;"#"&amp;AB1677)</f>
        <v/>
      </c>
      <c r="AD1677" s="57" t="str">
        <f>IF(Z1677=1,A1677&amp;AA1677,"")</f>
        <v/>
      </c>
      <c r="AE1677" s="57" t="str">
        <f>IF(B1677="","",YEAR(C1677))</f>
        <v/>
      </c>
      <c r="AF1677" s="57" t="str">
        <f>IF(B1677="","",MONTH(C1677))</f>
        <v/>
      </c>
      <c r="AG1677" s="57">
        <f>IF(ISNUMBER(C1677),C1677,0)</f>
        <v>0.0</v>
      </c>
      <c r="AH1677" s="57" t="str">
        <f>IF(N(W1677)&gt;0,COUNTIF(W$6:W1677,"&gt;0"),"")</f>
        <v/>
      </c>
      <c r="AI1677" s="57" t="str">
        <f>IF(Z1677=1,COUNTIF(Z$6:Z1677,1),"")</f>
        <v/>
      </c>
    </row>
    <row r="1678">
      <c r="A1678" s="54" t="n"/>
      <c r="B1678" s="55" t="str">
        <f>IF(AA1678="","",A1678&amp;"-"&amp;RIGHT("000"&amp;AA1678,4))</f>
        <v/>
      </c>
      <c r="C1678" s="56" t="n"/>
      <c r="D1678" s="54" t="n"/>
      <c r="E1678" s="57" t="str">
        <f>IF(D1678="","",IF(A1678="BL",IFERROR(INDEX(cl_name,MATCH(D1678,cl_code,0))&amp;"","Client inconnu"),IF(A1678="BR",IFERROR(INDEX(fo_name,MATCH(D1678,fo_code,0))&amp;"","Fournisseur inconnu"),IF(A1678="BS",IF(ISNA(MATCH(D1678,p_services,0)),"Service inconnu",D1678&amp;""),""))))</f>
        <v/>
      </c>
      <c r="F1678" s="58" t="n"/>
      <c r="G1678" s="58" t="n"/>
      <c r="H1678" s="59" t="n"/>
      <c r="I1678" s="57" t="str">
        <f>IF(H1678="","",IFERROR(INDEX(art_des,MATCH(H1678,art_ref,0))&amp;"","Article inconnu"))</f>
        <v/>
      </c>
      <c r="J1678" s="60" t="str">
        <f>IF(H1678="","",IFERROR(INDEX(art_unit,MATCH(H1678,art_ref,0))&amp;"",""))</f>
        <v/>
      </c>
      <c r="K1678" s="59" t="n"/>
      <c r="L1678" s="59" t="n"/>
      <c r="M1678" s="61" t="str">
        <f>IF(OR(B1678="",NOT(ISNUMBER(K1678)),NOT(ISNUMBER(L1678))),"",IF(OR(K1678&lt;=0,L1678&lt;=0),"",ROUND(L1678-K1678,6)))</f>
        <v/>
      </c>
      <c r="N1678" s="58" t="n"/>
      <c r="O1678" s="62" t="n"/>
      <c r="P1678" s="63" t="str">
        <f>IF(OR(B1678="",NOT(ISNUMBER(L1678))),"",IF(L1678&lt;=0,"",IFERROR(ROUND(L1678*N(INDEX(art_w,MATCH(H1678,art_ref,0))),3),"")))</f>
        <v/>
      </c>
      <c r="Q1678" s="59" t="n"/>
      <c r="R1678" s="54" t="n"/>
      <c r="S1678" s="59" t="n"/>
      <c r="T1678" s="59" t="n"/>
      <c r="U1678" s="64" t="str">
        <f>IF(OR(B1678="",H1678=""),"",IFERROR(IF(A1678="BL",IF(N(INDEX(art_price,MATCH(H1678,art_ref,0)))=0,"",N(INDEX(art_price,MATCH(H1678,art_ref,0)))),IF(N(INDEX(art_cost,MATCH(H1678,art_ref,0)))=0,"",N(INDEX(art_cost,MATCH(H1678,art_ref,0))))),""))</f>
        <v/>
      </c>
      <c r="V1678" s="64" t="str">
        <f>IF(OR(U1678="",NOT(ISNUMBER(L1678))),"",IF(L1678&lt;=0,"",ROUND(L1678*U1678,2)))</f>
        <v/>
      </c>
      <c r="W1678" s="60" t="str">
        <f>IF(AND(B1678&lt;&gt;"",A1678&lt;&gt;"BS",F1678&lt;&gt;"",H1678&lt;&gt;"",ISNUMBER(K1678),ISNUMBER(L1678)),IF(AND(K1678&gt;0,L1678&gt;0,K1678-L1678&gt;0,COUNTIFS(A1679:A$2005,A1678,F1679:F$2005,F1678,H1679:H$2005,H1678,AA1679:AA$2005,"&gt;0")=0),ROUND(K1678-L1678,6),""),"")</f>
        <v/>
      </c>
      <c r="X1678" s="60" t="str">
        <f>IF(AND(A1678="",C1678="",D1678="",H1678="",L1678=""),"",IF(A1678="","Type manquant",IF(AND(A1678&lt;&gt;"BL",A1678&lt;&gt;"BR",A1678&lt;&gt;"BS"),"Type inconnu (BL, BR ou BS)",IF(AG1678=0,"Date manquante ou invalide",IF(D1678="",IF(A1678="BL","Client manquant",IF(A1678="BR","Fournisseur manquant","Service manquant")),IF(IF(A1678="BL",ISNA(MATCH(D1678,cl_code,0)),IF(A1678="BR",ISNA(MATCH(D1678,fo_code,0)),ISNA(MATCH(D1678,p_services,0)))),IF(A1678="BL","Client inconnu",IF(A1678="BR","Fournisseur inconnu","Service inconnu")),IF(H1678="","Article manquant",IF(ISNA(MATCH(H1678,art_ref,0)),"Article inconnu",IF(OR(NOT(ISNUMBER(L1678)),N(L1678)&lt;=0),"Quantité invalide",IF(AND(K1678&lt;&gt;"",OR(NOT(ISNUMBER(K1678)),N(K1678)&lt;=0)),"Qté commandée invalide",IF(AG1678&lt;SUMPRODUCT(MAX((A$6:A1677=A1678)*AG$6:AG1677)),"Date antérieure au bon précédent",IF(AND(A1678&lt;&gt;"BR",ISNUMBER(M1678),N(M1678)&gt;0),IF(A1678="BL","Livré plus que commandé","Sorti plus que demandé"),"OK"))))))))))))</f>
        <v/>
      </c>
      <c r="Y1678" s="57" t="str">
        <f>IF(AND(OR(A1678="BL",A1678="BR",A1678="BS"),AG1678&gt;0,D1678&lt;&gt;""),A1678&amp;"|"&amp;AG1678&amp;"|"&amp;D1678&amp;"|"&amp;F1678,"")</f>
        <v/>
      </c>
      <c r="Z1678" s="57" t="str">
        <f>IF(Y1678="","",IF(COUNTIF(Y$6:Y1677,Y1678)=0,1,0))</f>
        <v/>
      </c>
      <c r="AA1678" s="57" t="str">
        <f>IF(Y1678="","",IF(Z1678=1,COUNTIFS(A$6:A1678,A1678,Z$6:Z1678,1),INDEX(AA$6:AA1677,MATCH(Y1678,Y$6:Y1677,0))))</f>
        <v/>
      </c>
      <c r="AB1678" s="57" t="str">
        <f>IF(B1678="","",COUNTIF(B$6:B1678,B1678))</f>
        <v/>
      </c>
      <c r="AC1678" s="57" t="str">
        <f>IF(B1678="","",B1678&amp;"#"&amp;AB1678)</f>
        <v/>
      </c>
      <c r="AD1678" s="57" t="str">
        <f>IF(Z1678=1,A1678&amp;AA1678,"")</f>
        <v/>
      </c>
      <c r="AE1678" s="57" t="str">
        <f>IF(B1678="","",YEAR(C1678))</f>
        <v/>
      </c>
      <c r="AF1678" s="57" t="str">
        <f>IF(B1678="","",MONTH(C1678))</f>
        <v/>
      </c>
      <c r="AG1678" s="57">
        <f>IF(ISNUMBER(C1678),C1678,0)</f>
        <v>0.0</v>
      </c>
      <c r="AH1678" s="57" t="str">
        <f>IF(N(W1678)&gt;0,COUNTIF(W$6:W1678,"&gt;0"),"")</f>
        <v/>
      </c>
      <c r="AI1678" s="57" t="str">
        <f>IF(Z1678=1,COUNTIF(Z$6:Z1678,1),"")</f>
        <v/>
      </c>
    </row>
    <row r="1679">
      <c r="A1679" s="54" t="n"/>
      <c r="B1679" s="55" t="str">
        <f>IF(AA1679="","",A1679&amp;"-"&amp;RIGHT("000"&amp;AA1679,4))</f>
        <v/>
      </c>
      <c r="C1679" s="56" t="n"/>
      <c r="D1679" s="54" t="n"/>
      <c r="E1679" s="57" t="str">
        <f>IF(D1679="","",IF(A1679="BL",IFERROR(INDEX(cl_name,MATCH(D1679,cl_code,0))&amp;"","Client inconnu"),IF(A1679="BR",IFERROR(INDEX(fo_name,MATCH(D1679,fo_code,0))&amp;"","Fournisseur inconnu"),IF(A1679="BS",IF(ISNA(MATCH(D1679,p_services,0)),"Service inconnu",D1679&amp;""),""))))</f>
        <v/>
      </c>
      <c r="F1679" s="58" t="n"/>
      <c r="G1679" s="58" t="n"/>
      <c r="H1679" s="59" t="n"/>
      <c r="I1679" s="57" t="str">
        <f>IF(H1679="","",IFERROR(INDEX(art_des,MATCH(H1679,art_ref,0))&amp;"","Article inconnu"))</f>
        <v/>
      </c>
      <c r="J1679" s="60" t="str">
        <f>IF(H1679="","",IFERROR(INDEX(art_unit,MATCH(H1679,art_ref,0))&amp;"",""))</f>
        <v/>
      </c>
      <c r="K1679" s="59" t="n"/>
      <c r="L1679" s="59" t="n"/>
      <c r="M1679" s="61" t="str">
        <f>IF(OR(B1679="",NOT(ISNUMBER(K1679)),NOT(ISNUMBER(L1679))),"",IF(OR(K1679&lt;=0,L1679&lt;=0),"",ROUND(L1679-K1679,6)))</f>
        <v/>
      </c>
      <c r="N1679" s="58" t="n"/>
      <c r="O1679" s="62" t="n"/>
      <c r="P1679" s="63" t="str">
        <f>IF(OR(B1679="",NOT(ISNUMBER(L1679))),"",IF(L1679&lt;=0,"",IFERROR(ROUND(L1679*N(INDEX(art_w,MATCH(H1679,art_ref,0))),3),"")))</f>
        <v/>
      </c>
      <c r="Q1679" s="59" t="n"/>
      <c r="R1679" s="54" t="n"/>
      <c r="S1679" s="59" t="n"/>
      <c r="T1679" s="59" t="n"/>
      <c r="U1679" s="64" t="str">
        <f>IF(OR(B1679="",H1679=""),"",IFERROR(IF(A1679="BL",IF(N(INDEX(art_price,MATCH(H1679,art_ref,0)))=0,"",N(INDEX(art_price,MATCH(H1679,art_ref,0)))),IF(N(INDEX(art_cost,MATCH(H1679,art_ref,0)))=0,"",N(INDEX(art_cost,MATCH(H1679,art_ref,0))))),""))</f>
        <v/>
      </c>
      <c r="V1679" s="64" t="str">
        <f>IF(OR(U1679="",NOT(ISNUMBER(L1679))),"",IF(L1679&lt;=0,"",ROUND(L1679*U1679,2)))</f>
        <v/>
      </c>
      <c r="W1679" s="60" t="str">
        <f>IF(AND(B1679&lt;&gt;"",A1679&lt;&gt;"BS",F1679&lt;&gt;"",H1679&lt;&gt;"",ISNUMBER(K1679),ISNUMBER(L1679)),IF(AND(K1679&gt;0,L1679&gt;0,K1679-L1679&gt;0,COUNTIFS(A1680:A$2005,A1679,F1680:F$2005,F1679,H1680:H$2005,H1679,AA1680:AA$2005,"&gt;0")=0),ROUND(K1679-L1679,6),""),"")</f>
        <v/>
      </c>
      <c r="X1679" s="60" t="str">
        <f>IF(AND(A1679="",C1679="",D1679="",H1679="",L1679=""),"",IF(A1679="","Type manquant",IF(AND(A1679&lt;&gt;"BL",A1679&lt;&gt;"BR",A1679&lt;&gt;"BS"),"Type inconnu (BL, BR ou BS)",IF(AG1679=0,"Date manquante ou invalide",IF(D1679="",IF(A1679="BL","Client manquant",IF(A1679="BR","Fournisseur manquant","Service manquant")),IF(IF(A1679="BL",ISNA(MATCH(D1679,cl_code,0)),IF(A1679="BR",ISNA(MATCH(D1679,fo_code,0)),ISNA(MATCH(D1679,p_services,0)))),IF(A1679="BL","Client inconnu",IF(A1679="BR","Fournisseur inconnu","Service inconnu")),IF(H1679="","Article manquant",IF(ISNA(MATCH(H1679,art_ref,0)),"Article inconnu",IF(OR(NOT(ISNUMBER(L1679)),N(L1679)&lt;=0),"Quantité invalide",IF(AND(K1679&lt;&gt;"",OR(NOT(ISNUMBER(K1679)),N(K1679)&lt;=0)),"Qté commandée invalide",IF(AG1679&lt;SUMPRODUCT(MAX((A$6:A1678=A1679)*AG$6:AG1678)),"Date antérieure au bon précédent",IF(AND(A1679&lt;&gt;"BR",ISNUMBER(M1679),N(M1679)&gt;0),IF(A1679="BL","Livré plus que commandé","Sorti plus que demandé"),"OK"))))))))))))</f>
        <v/>
      </c>
      <c r="Y1679" s="57" t="str">
        <f>IF(AND(OR(A1679="BL",A1679="BR",A1679="BS"),AG1679&gt;0,D1679&lt;&gt;""),A1679&amp;"|"&amp;AG1679&amp;"|"&amp;D1679&amp;"|"&amp;F1679,"")</f>
        <v/>
      </c>
      <c r="Z1679" s="57" t="str">
        <f>IF(Y1679="","",IF(COUNTIF(Y$6:Y1678,Y1679)=0,1,0))</f>
        <v/>
      </c>
      <c r="AA1679" s="57" t="str">
        <f>IF(Y1679="","",IF(Z1679=1,COUNTIFS(A$6:A1679,A1679,Z$6:Z1679,1),INDEX(AA$6:AA1678,MATCH(Y1679,Y$6:Y1678,0))))</f>
        <v/>
      </c>
      <c r="AB1679" s="57" t="str">
        <f>IF(B1679="","",COUNTIF(B$6:B1679,B1679))</f>
        <v/>
      </c>
      <c r="AC1679" s="57" t="str">
        <f>IF(B1679="","",B1679&amp;"#"&amp;AB1679)</f>
        <v/>
      </c>
      <c r="AD1679" s="57" t="str">
        <f>IF(Z1679=1,A1679&amp;AA1679,"")</f>
        <v/>
      </c>
      <c r="AE1679" s="57" t="str">
        <f>IF(B1679="","",YEAR(C1679))</f>
        <v/>
      </c>
      <c r="AF1679" s="57" t="str">
        <f>IF(B1679="","",MONTH(C1679))</f>
        <v/>
      </c>
      <c r="AG1679" s="57">
        <f>IF(ISNUMBER(C1679),C1679,0)</f>
        <v>0.0</v>
      </c>
      <c r="AH1679" s="57" t="str">
        <f>IF(N(W1679)&gt;0,COUNTIF(W$6:W1679,"&gt;0"),"")</f>
        <v/>
      </c>
      <c r="AI1679" s="57" t="str">
        <f>IF(Z1679=1,COUNTIF(Z$6:Z1679,1),"")</f>
        <v/>
      </c>
    </row>
    <row r="1680">
      <c r="A1680" s="54" t="n"/>
      <c r="B1680" s="55" t="str">
        <f>IF(AA1680="","",A1680&amp;"-"&amp;RIGHT("000"&amp;AA1680,4))</f>
        <v/>
      </c>
      <c r="C1680" s="56" t="n"/>
      <c r="D1680" s="54" t="n"/>
      <c r="E1680" s="57" t="str">
        <f>IF(D1680="","",IF(A1680="BL",IFERROR(INDEX(cl_name,MATCH(D1680,cl_code,0))&amp;"","Client inconnu"),IF(A1680="BR",IFERROR(INDEX(fo_name,MATCH(D1680,fo_code,0))&amp;"","Fournisseur inconnu"),IF(A1680="BS",IF(ISNA(MATCH(D1680,p_services,0)),"Service inconnu",D1680&amp;""),""))))</f>
        <v/>
      </c>
      <c r="F1680" s="58" t="n"/>
      <c r="G1680" s="58" t="n"/>
      <c r="H1680" s="59" t="n"/>
      <c r="I1680" s="57" t="str">
        <f>IF(H1680="","",IFERROR(INDEX(art_des,MATCH(H1680,art_ref,0))&amp;"","Article inconnu"))</f>
        <v/>
      </c>
      <c r="J1680" s="60" t="str">
        <f>IF(H1680="","",IFERROR(INDEX(art_unit,MATCH(H1680,art_ref,0))&amp;"",""))</f>
        <v/>
      </c>
      <c r="K1680" s="59" t="n"/>
      <c r="L1680" s="59" t="n"/>
      <c r="M1680" s="61" t="str">
        <f>IF(OR(B1680="",NOT(ISNUMBER(K1680)),NOT(ISNUMBER(L1680))),"",IF(OR(K1680&lt;=0,L1680&lt;=0),"",ROUND(L1680-K1680,6)))</f>
        <v/>
      </c>
      <c r="N1680" s="58" t="n"/>
      <c r="O1680" s="62" t="n"/>
      <c r="P1680" s="63" t="str">
        <f>IF(OR(B1680="",NOT(ISNUMBER(L1680))),"",IF(L1680&lt;=0,"",IFERROR(ROUND(L1680*N(INDEX(art_w,MATCH(H1680,art_ref,0))),3),"")))</f>
        <v/>
      </c>
      <c r="Q1680" s="59" t="n"/>
      <c r="R1680" s="54" t="n"/>
      <c r="S1680" s="59" t="n"/>
      <c r="T1680" s="59" t="n"/>
      <c r="U1680" s="64" t="str">
        <f>IF(OR(B1680="",H1680=""),"",IFERROR(IF(A1680="BL",IF(N(INDEX(art_price,MATCH(H1680,art_ref,0)))=0,"",N(INDEX(art_price,MATCH(H1680,art_ref,0)))),IF(N(INDEX(art_cost,MATCH(H1680,art_ref,0)))=0,"",N(INDEX(art_cost,MATCH(H1680,art_ref,0))))),""))</f>
        <v/>
      </c>
      <c r="V1680" s="64" t="str">
        <f>IF(OR(U1680="",NOT(ISNUMBER(L1680))),"",IF(L1680&lt;=0,"",ROUND(L1680*U1680,2)))</f>
        <v/>
      </c>
      <c r="W1680" s="60" t="str">
        <f>IF(AND(B1680&lt;&gt;"",A1680&lt;&gt;"BS",F1680&lt;&gt;"",H1680&lt;&gt;"",ISNUMBER(K1680),ISNUMBER(L1680)),IF(AND(K1680&gt;0,L1680&gt;0,K1680-L1680&gt;0,COUNTIFS(A1681:A$2005,A1680,F1681:F$2005,F1680,H1681:H$2005,H1680,AA1681:AA$2005,"&gt;0")=0),ROUND(K1680-L1680,6),""),"")</f>
        <v/>
      </c>
      <c r="X1680" s="60" t="str">
        <f>IF(AND(A1680="",C1680="",D1680="",H1680="",L1680=""),"",IF(A1680="","Type manquant",IF(AND(A1680&lt;&gt;"BL",A1680&lt;&gt;"BR",A1680&lt;&gt;"BS"),"Type inconnu (BL, BR ou BS)",IF(AG1680=0,"Date manquante ou invalide",IF(D1680="",IF(A1680="BL","Client manquant",IF(A1680="BR","Fournisseur manquant","Service manquant")),IF(IF(A1680="BL",ISNA(MATCH(D1680,cl_code,0)),IF(A1680="BR",ISNA(MATCH(D1680,fo_code,0)),ISNA(MATCH(D1680,p_services,0)))),IF(A1680="BL","Client inconnu",IF(A1680="BR","Fournisseur inconnu","Service inconnu")),IF(H1680="","Article manquant",IF(ISNA(MATCH(H1680,art_ref,0)),"Article inconnu",IF(OR(NOT(ISNUMBER(L1680)),N(L1680)&lt;=0),"Quantité invalide",IF(AND(K1680&lt;&gt;"",OR(NOT(ISNUMBER(K1680)),N(K1680)&lt;=0)),"Qté commandée invalide",IF(AG1680&lt;SUMPRODUCT(MAX((A$6:A1679=A1680)*AG$6:AG1679)),"Date antérieure au bon précédent",IF(AND(A1680&lt;&gt;"BR",ISNUMBER(M1680),N(M1680)&gt;0),IF(A1680="BL","Livré plus que commandé","Sorti plus que demandé"),"OK"))))))))))))</f>
        <v/>
      </c>
      <c r="Y1680" s="57" t="str">
        <f>IF(AND(OR(A1680="BL",A1680="BR",A1680="BS"),AG1680&gt;0,D1680&lt;&gt;""),A1680&amp;"|"&amp;AG1680&amp;"|"&amp;D1680&amp;"|"&amp;F1680,"")</f>
        <v/>
      </c>
      <c r="Z1680" s="57" t="str">
        <f>IF(Y1680="","",IF(COUNTIF(Y$6:Y1679,Y1680)=0,1,0))</f>
        <v/>
      </c>
      <c r="AA1680" s="57" t="str">
        <f>IF(Y1680="","",IF(Z1680=1,COUNTIFS(A$6:A1680,A1680,Z$6:Z1680,1),INDEX(AA$6:AA1679,MATCH(Y1680,Y$6:Y1679,0))))</f>
        <v/>
      </c>
      <c r="AB1680" s="57" t="str">
        <f>IF(B1680="","",COUNTIF(B$6:B1680,B1680))</f>
        <v/>
      </c>
      <c r="AC1680" s="57" t="str">
        <f>IF(B1680="","",B1680&amp;"#"&amp;AB1680)</f>
        <v/>
      </c>
      <c r="AD1680" s="57" t="str">
        <f>IF(Z1680=1,A1680&amp;AA1680,"")</f>
        <v/>
      </c>
      <c r="AE1680" s="57" t="str">
        <f>IF(B1680="","",YEAR(C1680))</f>
        <v/>
      </c>
      <c r="AF1680" s="57" t="str">
        <f>IF(B1680="","",MONTH(C1680))</f>
        <v/>
      </c>
      <c r="AG1680" s="57">
        <f>IF(ISNUMBER(C1680),C1680,0)</f>
        <v>0.0</v>
      </c>
      <c r="AH1680" s="57" t="str">
        <f>IF(N(W1680)&gt;0,COUNTIF(W$6:W1680,"&gt;0"),"")</f>
        <v/>
      </c>
      <c r="AI1680" s="57" t="str">
        <f>IF(Z1680=1,COUNTIF(Z$6:Z1680,1),"")</f>
        <v/>
      </c>
    </row>
    <row r="1681">
      <c r="A1681" s="54" t="n"/>
      <c r="B1681" s="55" t="str">
        <f>IF(AA1681="","",A1681&amp;"-"&amp;RIGHT("000"&amp;AA1681,4))</f>
        <v/>
      </c>
      <c r="C1681" s="56" t="n"/>
      <c r="D1681" s="54" t="n"/>
      <c r="E1681" s="57" t="str">
        <f>IF(D1681="","",IF(A1681="BL",IFERROR(INDEX(cl_name,MATCH(D1681,cl_code,0))&amp;"","Client inconnu"),IF(A1681="BR",IFERROR(INDEX(fo_name,MATCH(D1681,fo_code,0))&amp;"","Fournisseur inconnu"),IF(A1681="BS",IF(ISNA(MATCH(D1681,p_services,0)),"Service inconnu",D1681&amp;""),""))))</f>
        <v/>
      </c>
      <c r="F1681" s="58" t="n"/>
      <c r="G1681" s="58" t="n"/>
      <c r="H1681" s="59" t="n"/>
      <c r="I1681" s="57" t="str">
        <f>IF(H1681="","",IFERROR(INDEX(art_des,MATCH(H1681,art_ref,0))&amp;"","Article inconnu"))</f>
        <v/>
      </c>
      <c r="J1681" s="60" t="str">
        <f>IF(H1681="","",IFERROR(INDEX(art_unit,MATCH(H1681,art_ref,0))&amp;"",""))</f>
        <v/>
      </c>
      <c r="K1681" s="59" t="n"/>
      <c r="L1681" s="59" t="n"/>
      <c r="M1681" s="61" t="str">
        <f>IF(OR(B1681="",NOT(ISNUMBER(K1681)),NOT(ISNUMBER(L1681))),"",IF(OR(K1681&lt;=0,L1681&lt;=0),"",ROUND(L1681-K1681,6)))</f>
        <v/>
      </c>
      <c r="N1681" s="58" t="n"/>
      <c r="O1681" s="62" t="n"/>
      <c r="P1681" s="63" t="str">
        <f>IF(OR(B1681="",NOT(ISNUMBER(L1681))),"",IF(L1681&lt;=0,"",IFERROR(ROUND(L1681*N(INDEX(art_w,MATCH(H1681,art_ref,0))),3),"")))</f>
        <v/>
      </c>
      <c r="Q1681" s="59" t="n"/>
      <c r="R1681" s="54" t="n"/>
      <c r="S1681" s="59" t="n"/>
      <c r="T1681" s="59" t="n"/>
      <c r="U1681" s="64" t="str">
        <f>IF(OR(B1681="",H1681=""),"",IFERROR(IF(A1681="BL",IF(N(INDEX(art_price,MATCH(H1681,art_ref,0)))=0,"",N(INDEX(art_price,MATCH(H1681,art_ref,0)))),IF(N(INDEX(art_cost,MATCH(H1681,art_ref,0)))=0,"",N(INDEX(art_cost,MATCH(H1681,art_ref,0))))),""))</f>
        <v/>
      </c>
      <c r="V1681" s="64" t="str">
        <f>IF(OR(U1681="",NOT(ISNUMBER(L1681))),"",IF(L1681&lt;=0,"",ROUND(L1681*U1681,2)))</f>
        <v/>
      </c>
      <c r="W1681" s="60" t="str">
        <f>IF(AND(B1681&lt;&gt;"",A1681&lt;&gt;"BS",F1681&lt;&gt;"",H1681&lt;&gt;"",ISNUMBER(K1681),ISNUMBER(L1681)),IF(AND(K1681&gt;0,L1681&gt;0,K1681-L1681&gt;0,COUNTIFS(A1682:A$2005,A1681,F1682:F$2005,F1681,H1682:H$2005,H1681,AA1682:AA$2005,"&gt;0")=0),ROUND(K1681-L1681,6),""),"")</f>
        <v/>
      </c>
      <c r="X1681" s="60" t="str">
        <f>IF(AND(A1681="",C1681="",D1681="",H1681="",L1681=""),"",IF(A1681="","Type manquant",IF(AND(A1681&lt;&gt;"BL",A1681&lt;&gt;"BR",A1681&lt;&gt;"BS"),"Type inconnu (BL, BR ou BS)",IF(AG1681=0,"Date manquante ou invalide",IF(D1681="",IF(A1681="BL","Client manquant",IF(A1681="BR","Fournisseur manquant","Service manquant")),IF(IF(A1681="BL",ISNA(MATCH(D1681,cl_code,0)),IF(A1681="BR",ISNA(MATCH(D1681,fo_code,0)),ISNA(MATCH(D1681,p_services,0)))),IF(A1681="BL","Client inconnu",IF(A1681="BR","Fournisseur inconnu","Service inconnu")),IF(H1681="","Article manquant",IF(ISNA(MATCH(H1681,art_ref,0)),"Article inconnu",IF(OR(NOT(ISNUMBER(L1681)),N(L1681)&lt;=0),"Quantité invalide",IF(AND(K1681&lt;&gt;"",OR(NOT(ISNUMBER(K1681)),N(K1681)&lt;=0)),"Qté commandée invalide",IF(AG1681&lt;SUMPRODUCT(MAX((A$6:A1680=A1681)*AG$6:AG1680)),"Date antérieure au bon précédent",IF(AND(A1681&lt;&gt;"BR",ISNUMBER(M1681),N(M1681)&gt;0),IF(A1681="BL","Livré plus que commandé","Sorti plus que demandé"),"OK"))))))))))))</f>
        <v/>
      </c>
      <c r="Y1681" s="57" t="str">
        <f>IF(AND(OR(A1681="BL",A1681="BR",A1681="BS"),AG1681&gt;0,D1681&lt;&gt;""),A1681&amp;"|"&amp;AG1681&amp;"|"&amp;D1681&amp;"|"&amp;F1681,"")</f>
        <v/>
      </c>
      <c r="Z1681" s="57" t="str">
        <f>IF(Y1681="","",IF(COUNTIF(Y$6:Y1680,Y1681)=0,1,0))</f>
        <v/>
      </c>
      <c r="AA1681" s="57" t="str">
        <f>IF(Y1681="","",IF(Z1681=1,COUNTIFS(A$6:A1681,A1681,Z$6:Z1681,1),INDEX(AA$6:AA1680,MATCH(Y1681,Y$6:Y1680,0))))</f>
        <v/>
      </c>
      <c r="AB1681" s="57" t="str">
        <f>IF(B1681="","",COUNTIF(B$6:B1681,B1681))</f>
        <v/>
      </c>
      <c r="AC1681" s="57" t="str">
        <f>IF(B1681="","",B1681&amp;"#"&amp;AB1681)</f>
        <v/>
      </c>
      <c r="AD1681" s="57" t="str">
        <f>IF(Z1681=1,A1681&amp;AA1681,"")</f>
        <v/>
      </c>
      <c r="AE1681" s="57" t="str">
        <f>IF(B1681="","",YEAR(C1681))</f>
        <v/>
      </c>
      <c r="AF1681" s="57" t="str">
        <f>IF(B1681="","",MONTH(C1681))</f>
        <v/>
      </c>
      <c r="AG1681" s="57">
        <f>IF(ISNUMBER(C1681),C1681,0)</f>
        <v>0.0</v>
      </c>
      <c r="AH1681" s="57" t="str">
        <f>IF(N(W1681)&gt;0,COUNTIF(W$6:W1681,"&gt;0"),"")</f>
        <v/>
      </c>
      <c r="AI1681" s="57" t="str">
        <f>IF(Z1681=1,COUNTIF(Z$6:Z1681,1),"")</f>
        <v/>
      </c>
    </row>
    <row r="1682">
      <c r="A1682" s="54" t="n"/>
      <c r="B1682" s="55" t="str">
        <f>IF(AA1682="","",A1682&amp;"-"&amp;RIGHT("000"&amp;AA1682,4))</f>
        <v/>
      </c>
      <c r="C1682" s="56" t="n"/>
      <c r="D1682" s="54" t="n"/>
      <c r="E1682" s="57" t="str">
        <f>IF(D1682="","",IF(A1682="BL",IFERROR(INDEX(cl_name,MATCH(D1682,cl_code,0))&amp;"","Client inconnu"),IF(A1682="BR",IFERROR(INDEX(fo_name,MATCH(D1682,fo_code,0))&amp;"","Fournisseur inconnu"),IF(A1682="BS",IF(ISNA(MATCH(D1682,p_services,0)),"Service inconnu",D1682&amp;""),""))))</f>
        <v/>
      </c>
      <c r="F1682" s="58" t="n"/>
      <c r="G1682" s="58" t="n"/>
      <c r="H1682" s="59" t="n"/>
      <c r="I1682" s="57" t="str">
        <f>IF(H1682="","",IFERROR(INDEX(art_des,MATCH(H1682,art_ref,0))&amp;"","Article inconnu"))</f>
        <v/>
      </c>
      <c r="J1682" s="60" t="str">
        <f>IF(H1682="","",IFERROR(INDEX(art_unit,MATCH(H1682,art_ref,0))&amp;"",""))</f>
        <v/>
      </c>
      <c r="K1682" s="59" t="n"/>
      <c r="L1682" s="59" t="n"/>
      <c r="M1682" s="61" t="str">
        <f>IF(OR(B1682="",NOT(ISNUMBER(K1682)),NOT(ISNUMBER(L1682))),"",IF(OR(K1682&lt;=0,L1682&lt;=0),"",ROUND(L1682-K1682,6)))</f>
        <v/>
      </c>
      <c r="N1682" s="58" t="n"/>
      <c r="O1682" s="62" t="n"/>
      <c r="P1682" s="63" t="str">
        <f>IF(OR(B1682="",NOT(ISNUMBER(L1682))),"",IF(L1682&lt;=0,"",IFERROR(ROUND(L1682*N(INDEX(art_w,MATCH(H1682,art_ref,0))),3),"")))</f>
        <v/>
      </c>
      <c r="Q1682" s="59" t="n"/>
      <c r="R1682" s="54" t="n"/>
      <c r="S1682" s="59" t="n"/>
      <c r="T1682" s="59" t="n"/>
      <c r="U1682" s="64" t="str">
        <f>IF(OR(B1682="",H1682=""),"",IFERROR(IF(A1682="BL",IF(N(INDEX(art_price,MATCH(H1682,art_ref,0)))=0,"",N(INDEX(art_price,MATCH(H1682,art_ref,0)))),IF(N(INDEX(art_cost,MATCH(H1682,art_ref,0)))=0,"",N(INDEX(art_cost,MATCH(H1682,art_ref,0))))),""))</f>
        <v/>
      </c>
      <c r="V1682" s="64" t="str">
        <f>IF(OR(U1682="",NOT(ISNUMBER(L1682))),"",IF(L1682&lt;=0,"",ROUND(L1682*U1682,2)))</f>
        <v/>
      </c>
      <c r="W1682" s="60" t="str">
        <f>IF(AND(B1682&lt;&gt;"",A1682&lt;&gt;"BS",F1682&lt;&gt;"",H1682&lt;&gt;"",ISNUMBER(K1682),ISNUMBER(L1682)),IF(AND(K1682&gt;0,L1682&gt;0,K1682-L1682&gt;0,COUNTIFS(A1683:A$2005,A1682,F1683:F$2005,F1682,H1683:H$2005,H1682,AA1683:AA$2005,"&gt;0")=0),ROUND(K1682-L1682,6),""),"")</f>
        <v/>
      </c>
      <c r="X1682" s="60" t="str">
        <f>IF(AND(A1682="",C1682="",D1682="",H1682="",L1682=""),"",IF(A1682="","Type manquant",IF(AND(A1682&lt;&gt;"BL",A1682&lt;&gt;"BR",A1682&lt;&gt;"BS"),"Type inconnu (BL, BR ou BS)",IF(AG1682=0,"Date manquante ou invalide",IF(D1682="",IF(A1682="BL","Client manquant",IF(A1682="BR","Fournisseur manquant","Service manquant")),IF(IF(A1682="BL",ISNA(MATCH(D1682,cl_code,0)),IF(A1682="BR",ISNA(MATCH(D1682,fo_code,0)),ISNA(MATCH(D1682,p_services,0)))),IF(A1682="BL","Client inconnu",IF(A1682="BR","Fournisseur inconnu","Service inconnu")),IF(H1682="","Article manquant",IF(ISNA(MATCH(H1682,art_ref,0)),"Article inconnu",IF(OR(NOT(ISNUMBER(L1682)),N(L1682)&lt;=0),"Quantité invalide",IF(AND(K1682&lt;&gt;"",OR(NOT(ISNUMBER(K1682)),N(K1682)&lt;=0)),"Qté commandée invalide",IF(AG1682&lt;SUMPRODUCT(MAX((A$6:A1681=A1682)*AG$6:AG1681)),"Date antérieure au bon précédent",IF(AND(A1682&lt;&gt;"BR",ISNUMBER(M1682),N(M1682)&gt;0),IF(A1682="BL","Livré plus que commandé","Sorti plus que demandé"),"OK"))))))))))))</f>
        <v/>
      </c>
      <c r="Y1682" s="57" t="str">
        <f>IF(AND(OR(A1682="BL",A1682="BR",A1682="BS"),AG1682&gt;0,D1682&lt;&gt;""),A1682&amp;"|"&amp;AG1682&amp;"|"&amp;D1682&amp;"|"&amp;F1682,"")</f>
        <v/>
      </c>
      <c r="Z1682" s="57" t="str">
        <f>IF(Y1682="","",IF(COUNTIF(Y$6:Y1681,Y1682)=0,1,0))</f>
        <v/>
      </c>
      <c r="AA1682" s="57" t="str">
        <f>IF(Y1682="","",IF(Z1682=1,COUNTIFS(A$6:A1682,A1682,Z$6:Z1682,1),INDEX(AA$6:AA1681,MATCH(Y1682,Y$6:Y1681,0))))</f>
        <v/>
      </c>
      <c r="AB1682" s="57" t="str">
        <f>IF(B1682="","",COUNTIF(B$6:B1682,B1682))</f>
        <v/>
      </c>
      <c r="AC1682" s="57" t="str">
        <f>IF(B1682="","",B1682&amp;"#"&amp;AB1682)</f>
        <v/>
      </c>
      <c r="AD1682" s="57" t="str">
        <f>IF(Z1682=1,A1682&amp;AA1682,"")</f>
        <v/>
      </c>
      <c r="AE1682" s="57" t="str">
        <f>IF(B1682="","",YEAR(C1682))</f>
        <v/>
      </c>
      <c r="AF1682" s="57" t="str">
        <f>IF(B1682="","",MONTH(C1682))</f>
        <v/>
      </c>
      <c r="AG1682" s="57">
        <f>IF(ISNUMBER(C1682),C1682,0)</f>
        <v>0.0</v>
      </c>
      <c r="AH1682" s="57" t="str">
        <f>IF(N(W1682)&gt;0,COUNTIF(W$6:W1682,"&gt;0"),"")</f>
        <v/>
      </c>
      <c r="AI1682" s="57" t="str">
        <f>IF(Z1682=1,COUNTIF(Z$6:Z1682,1),"")</f>
        <v/>
      </c>
    </row>
    <row r="1683">
      <c r="A1683" s="54" t="n"/>
      <c r="B1683" s="55" t="str">
        <f>IF(AA1683="","",A1683&amp;"-"&amp;RIGHT("000"&amp;AA1683,4))</f>
        <v/>
      </c>
      <c r="C1683" s="56" t="n"/>
      <c r="D1683" s="54" t="n"/>
      <c r="E1683" s="57" t="str">
        <f>IF(D1683="","",IF(A1683="BL",IFERROR(INDEX(cl_name,MATCH(D1683,cl_code,0))&amp;"","Client inconnu"),IF(A1683="BR",IFERROR(INDEX(fo_name,MATCH(D1683,fo_code,0))&amp;"","Fournisseur inconnu"),IF(A1683="BS",IF(ISNA(MATCH(D1683,p_services,0)),"Service inconnu",D1683&amp;""),""))))</f>
        <v/>
      </c>
      <c r="F1683" s="58" t="n"/>
      <c r="G1683" s="58" t="n"/>
      <c r="H1683" s="59" t="n"/>
      <c r="I1683" s="57" t="str">
        <f>IF(H1683="","",IFERROR(INDEX(art_des,MATCH(H1683,art_ref,0))&amp;"","Article inconnu"))</f>
        <v/>
      </c>
      <c r="J1683" s="60" t="str">
        <f>IF(H1683="","",IFERROR(INDEX(art_unit,MATCH(H1683,art_ref,0))&amp;"",""))</f>
        <v/>
      </c>
      <c r="K1683" s="59" t="n"/>
      <c r="L1683" s="59" t="n"/>
      <c r="M1683" s="61" t="str">
        <f>IF(OR(B1683="",NOT(ISNUMBER(K1683)),NOT(ISNUMBER(L1683))),"",IF(OR(K1683&lt;=0,L1683&lt;=0),"",ROUND(L1683-K1683,6)))</f>
        <v/>
      </c>
      <c r="N1683" s="58" t="n"/>
      <c r="O1683" s="62" t="n"/>
      <c r="P1683" s="63" t="str">
        <f>IF(OR(B1683="",NOT(ISNUMBER(L1683))),"",IF(L1683&lt;=0,"",IFERROR(ROUND(L1683*N(INDEX(art_w,MATCH(H1683,art_ref,0))),3),"")))</f>
        <v/>
      </c>
      <c r="Q1683" s="59" t="n"/>
      <c r="R1683" s="54" t="n"/>
      <c r="S1683" s="59" t="n"/>
      <c r="T1683" s="59" t="n"/>
      <c r="U1683" s="64" t="str">
        <f>IF(OR(B1683="",H1683=""),"",IFERROR(IF(A1683="BL",IF(N(INDEX(art_price,MATCH(H1683,art_ref,0)))=0,"",N(INDEX(art_price,MATCH(H1683,art_ref,0)))),IF(N(INDEX(art_cost,MATCH(H1683,art_ref,0)))=0,"",N(INDEX(art_cost,MATCH(H1683,art_ref,0))))),""))</f>
        <v/>
      </c>
      <c r="V1683" s="64" t="str">
        <f>IF(OR(U1683="",NOT(ISNUMBER(L1683))),"",IF(L1683&lt;=0,"",ROUND(L1683*U1683,2)))</f>
        <v/>
      </c>
      <c r="W1683" s="60" t="str">
        <f>IF(AND(B1683&lt;&gt;"",A1683&lt;&gt;"BS",F1683&lt;&gt;"",H1683&lt;&gt;"",ISNUMBER(K1683),ISNUMBER(L1683)),IF(AND(K1683&gt;0,L1683&gt;0,K1683-L1683&gt;0,COUNTIFS(A1684:A$2005,A1683,F1684:F$2005,F1683,H1684:H$2005,H1683,AA1684:AA$2005,"&gt;0")=0),ROUND(K1683-L1683,6),""),"")</f>
        <v/>
      </c>
      <c r="X1683" s="60" t="str">
        <f>IF(AND(A1683="",C1683="",D1683="",H1683="",L1683=""),"",IF(A1683="","Type manquant",IF(AND(A1683&lt;&gt;"BL",A1683&lt;&gt;"BR",A1683&lt;&gt;"BS"),"Type inconnu (BL, BR ou BS)",IF(AG1683=0,"Date manquante ou invalide",IF(D1683="",IF(A1683="BL","Client manquant",IF(A1683="BR","Fournisseur manquant","Service manquant")),IF(IF(A1683="BL",ISNA(MATCH(D1683,cl_code,0)),IF(A1683="BR",ISNA(MATCH(D1683,fo_code,0)),ISNA(MATCH(D1683,p_services,0)))),IF(A1683="BL","Client inconnu",IF(A1683="BR","Fournisseur inconnu","Service inconnu")),IF(H1683="","Article manquant",IF(ISNA(MATCH(H1683,art_ref,0)),"Article inconnu",IF(OR(NOT(ISNUMBER(L1683)),N(L1683)&lt;=0),"Quantité invalide",IF(AND(K1683&lt;&gt;"",OR(NOT(ISNUMBER(K1683)),N(K1683)&lt;=0)),"Qté commandée invalide",IF(AG1683&lt;SUMPRODUCT(MAX((A$6:A1682=A1683)*AG$6:AG1682)),"Date antérieure au bon précédent",IF(AND(A1683&lt;&gt;"BR",ISNUMBER(M1683),N(M1683)&gt;0),IF(A1683="BL","Livré plus que commandé","Sorti plus que demandé"),"OK"))))))))))))</f>
        <v/>
      </c>
      <c r="Y1683" s="57" t="str">
        <f>IF(AND(OR(A1683="BL",A1683="BR",A1683="BS"),AG1683&gt;0,D1683&lt;&gt;""),A1683&amp;"|"&amp;AG1683&amp;"|"&amp;D1683&amp;"|"&amp;F1683,"")</f>
        <v/>
      </c>
      <c r="Z1683" s="57" t="str">
        <f>IF(Y1683="","",IF(COUNTIF(Y$6:Y1682,Y1683)=0,1,0))</f>
        <v/>
      </c>
      <c r="AA1683" s="57" t="str">
        <f>IF(Y1683="","",IF(Z1683=1,COUNTIFS(A$6:A1683,A1683,Z$6:Z1683,1),INDEX(AA$6:AA1682,MATCH(Y1683,Y$6:Y1682,0))))</f>
        <v/>
      </c>
      <c r="AB1683" s="57" t="str">
        <f>IF(B1683="","",COUNTIF(B$6:B1683,B1683))</f>
        <v/>
      </c>
      <c r="AC1683" s="57" t="str">
        <f>IF(B1683="","",B1683&amp;"#"&amp;AB1683)</f>
        <v/>
      </c>
      <c r="AD1683" s="57" t="str">
        <f>IF(Z1683=1,A1683&amp;AA1683,"")</f>
        <v/>
      </c>
      <c r="AE1683" s="57" t="str">
        <f>IF(B1683="","",YEAR(C1683))</f>
        <v/>
      </c>
      <c r="AF1683" s="57" t="str">
        <f>IF(B1683="","",MONTH(C1683))</f>
        <v/>
      </c>
      <c r="AG1683" s="57">
        <f>IF(ISNUMBER(C1683),C1683,0)</f>
        <v>0.0</v>
      </c>
      <c r="AH1683" s="57" t="str">
        <f>IF(N(W1683)&gt;0,COUNTIF(W$6:W1683,"&gt;0"),"")</f>
        <v/>
      </c>
      <c r="AI1683" s="57" t="str">
        <f>IF(Z1683=1,COUNTIF(Z$6:Z1683,1),"")</f>
        <v/>
      </c>
    </row>
    <row r="1684">
      <c r="A1684" s="54" t="n"/>
      <c r="B1684" s="55" t="str">
        <f>IF(AA1684="","",A1684&amp;"-"&amp;RIGHT("000"&amp;AA1684,4))</f>
        <v/>
      </c>
      <c r="C1684" s="56" t="n"/>
      <c r="D1684" s="54" t="n"/>
      <c r="E1684" s="57" t="str">
        <f>IF(D1684="","",IF(A1684="BL",IFERROR(INDEX(cl_name,MATCH(D1684,cl_code,0))&amp;"","Client inconnu"),IF(A1684="BR",IFERROR(INDEX(fo_name,MATCH(D1684,fo_code,0))&amp;"","Fournisseur inconnu"),IF(A1684="BS",IF(ISNA(MATCH(D1684,p_services,0)),"Service inconnu",D1684&amp;""),""))))</f>
        <v/>
      </c>
      <c r="F1684" s="58" t="n"/>
      <c r="G1684" s="58" t="n"/>
      <c r="H1684" s="59" t="n"/>
      <c r="I1684" s="57" t="str">
        <f>IF(H1684="","",IFERROR(INDEX(art_des,MATCH(H1684,art_ref,0))&amp;"","Article inconnu"))</f>
        <v/>
      </c>
      <c r="J1684" s="60" t="str">
        <f>IF(H1684="","",IFERROR(INDEX(art_unit,MATCH(H1684,art_ref,0))&amp;"",""))</f>
        <v/>
      </c>
      <c r="K1684" s="59" t="n"/>
      <c r="L1684" s="59" t="n"/>
      <c r="M1684" s="61" t="str">
        <f>IF(OR(B1684="",NOT(ISNUMBER(K1684)),NOT(ISNUMBER(L1684))),"",IF(OR(K1684&lt;=0,L1684&lt;=0),"",ROUND(L1684-K1684,6)))</f>
        <v/>
      </c>
      <c r="N1684" s="58" t="n"/>
      <c r="O1684" s="62" t="n"/>
      <c r="P1684" s="63" t="str">
        <f>IF(OR(B1684="",NOT(ISNUMBER(L1684))),"",IF(L1684&lt;=0,"",IFERROR(ROUND(L1684*N(INDEX(art_w,MATCH(H1684,art_ref,0))),3),"")))</f>
        <v/>
      </c>
      <c r="Q1684" s="59" t="n"/>
      <c r="R1684" s="54" t="n"/>
      <c r="S1684" s="59" t="n"/>
      <c r="T1684" s="59" t="n"/>
      <c r="U1684" s="64" t="str">
        <f>IF(OR(B1684="",H1684=""),"",IFERROR(IF(A1684="BL",IF(N(INDEX(art_price,MATCH(H1684,art_ref,0)))=0,"",N(INDEX(art_price,MATCH(H1684,art_ref,0)))),IF(N(INDEX(art_cost,MATCH(H1684,art_ref,0)))=0,"",N(INDEX(art_cost,MATCH(H1684,art_ref,0))))),""))</f>
        <v/>
      </c>
      <c r="V1684" s="64" t="str">
        <f>IF(OR(U1684="",NOT(ISNUMBER(L1684))),"",IF(L1684&lt;=0,"",ROUND(L1684*U1684,2)))</f>
        <v/>
      </c>
      <c r="W1684" s="60" t="str">
        <f>IF(AND(B1684&lt;&gt;"",A1684&lt;&gt;"BS",F1684&lt;&gt;"",H1684&lt;&gt;"",ISNUMBER(K1684),ISNUMBER(L1684)),IF(AND(K1684&gt;0,L1684&gt;0,K1684-L1684&gt;0,COUNTIFS(A1685:A$2005,A1684,F1685:F$2005,F1684,H1685:H$2005,H1684,AA1685:AA$2005,"&gt;0")=0),ROUND(K1684-L1684,6),""),"")</f>
        <v/>
      </c>
      <c r="X1684" s="60" t="str">
        <f>IF(AND(A1684="",C1684="",D1684="",H1684="",L1684=""),"",IF(A1684="","Type manquant",IF(AND(A1684&lt;&gt;"BL",A1684&lt;&gt;"BR",A1684&lt;&gt;"BS"),"Type inconnu (BL, BR ou BS)",IF(AG1684=0,"Date manquante ou invalide",IF(D1684="",IF(A1684="BL","Client manquant",IF(A1684="BR","Fournisseur manquant","Service manquant")),IF(IF(A1684="BL",ISNA(MATCH(D1684,cl_code,0)),IF(A1684="BR",ISNA(MATCH(D1684,fo_code,0)),ISNA(MATCH(D1684,p_services,0)))),IF(A1684="BL","Client inconnu",IF(A1684="BR","Fournisseur inconnu","Service inconnu")),IF(H1684="","Article manquant",IF(ISNA(MATCH(H1684,art_ref,0)),"Article inconnu",IF(OR(NOT(ISNUMBER(L1684)),N(L1684)&lt;=0),"Quantité invalide",IF(AND(K1684&lt;&gt;"",OR(NOT(ISNUMBER(K1684)),N(K1684)&lt;=0)),"Qté commandée invalide",IF(AG1684&lt;SUMPRODUCT(MAX((A$6:A1683=A1684)*AG$6:AG1683)),"Date antérieure au bon précédent",IF(AND(A1684&lt;&gt;"BR",ISNUMBER(M1684),N(M1684)&gt;0),IF(A1684="BL","Livré plus que commandé","Sorti plus que demandé"),"OK"))))))))))))</f>
        <v/>
      </c>
      <c r="Y1684" s="57" t="str">
        <f>IF(AND(OR(A1684="BL",A1684="BR",A1684="BS"),AG1684&gt;0,D1684&lt;&gt;""),A1684&amp;"|"&amp;AG1684&amp;"|"&amp;D1684&amp;"|"&amp;F1684,"")</f>
        <v/>
      </c>
      <c r="Z1684" s="57" t="str">
        <f>IF(Y1684="","",IF(COUNTIF(Y$6:Y1683,Y1684)=0,1,0))</f>
        <v/>
      </c>
      <c r="AA1684" s="57" t="str">
        <f>IF(Y1684="","",IF(Z1684=1,COUNTIFS(A$6:A1684,A1684,Z$6:Z1684,1),INDEX(AA$6:AA1683,MATCH(Y1684,Y$6:Y1683,0))))</f>
        <v/>
      </c>
      <c r="AB1684" s="57" t="str">
        <f>IF(B1684="","",COUNTIF(B$6:B1684,B1684))</f>
        <v/>
      </c>
      <c r="AC1684" s="57" t="str">
        <f>IF(B1684="","",B1684&amp;"#"&amp;AB1684)</f>
        <v/>
      </c>
      <c r="AD1684" s="57" t="str">
        <f>IF(Z1684=1,A1684&amp;AA1684,"")</f>
        <v/>
      </c>
      <c r="AE1684" s="57" t="str">
        <f>IF(B1684="","",YEAR(C1684))</f>
        <v/>
      </c>
      <c r="AF1684" s="57" t="str">
        <f>IF(B1684="","",MONTH(C1684))</f>
        <v/>
      </c>
      <c r="AG1684" s="57">
        <f>IF(ISNUMBER(C1684),C1684,0)</f>
        <v>0.0</v>
      </c>
      <c r="AH1684" s="57" t="str">
        <f>IF(N(W1684)&gt;0,COUNTIF(W$6:W1684,"&gt;0"),"")</f>
        <v/>
      </c>
      <c r="AI1684" s="57" t="str">
        <f>IF(Z1684=1,COUNTIF(Z$6:Z1684,1),"")</f>
        <v/>
      </c>
    </row>
    <row r="1685">
      <c r="A1685" s="54" t="n"/>
      <c r="B1685" s="55" t="str">
        <f>IF(AA1685="","",A1685&amp;"-"&amp;RIGHT("000"&amp;AA1685,4))</f>
        <v/>
      </c>
      <c r="C1685" s="56" t="n"/>
      <c r="D1685" s="54" t="n"/>
      <c r="E1685" s="57" t="str">
        <f>IF(D1685="","",IF(A1685="BL",IFERROR(INDEX(cl_name,MATCH(D1685,cl_code,0))&amp;"","Client inconnu"),IF(A1685="BR",IFERROR(INDEX(fo_name,MATCH(D1685,fo_code,0))&amp;"","Fournisseur inconnu"),IF(A1685="BS",IF(ISNA(MATCH(D1685,p_services,0)),"Service inconnu",D1685&amp;""),""))))</f>
        <v/>
      </c>
      <c r="F1685" s="58" t="n"/>
      <c r="G1685" s="58" t="n"/>
      <c r="H1685" s="59" t="n"/>
      <c r="I1685" s="57" t="str">
        <f>IF(H1685="","",IFERROR(INDEX(art_des,MATCH(H1685,art_ref,0))&amp;"","Article inconnu"))</f>
        <v/>
      </c>
      <c r="J1685" s="60" t="str">
        <f>IF(H1685="","",IFERROR(INDEX(art_unit,MATCH(H1685,art_ref,0))&amp;"",""))</f>
        <v/>
      </c>
      <c r="K1685" s="59" t="n"/>
      <c r="L1685" s="59" t="n"/>
      <c r="M1685" s="61" t="str">
        <f>IF(OR(B1685="",NOT(ISNUMBER(K1685)),NOT(ISNUMBER(L1685))),"",IF(OR(K1685&lt;=0,L1685&lt;=0),"",ROUND(L1685-K1685,6)))</f>
        <v/>
      </c>
      <c r="N1685" s="58" t="n"/>
      <c r="O1685" s="62" t="n"/>
      <c r="P1685" s="63" t="str">
        <f>IF(OR(B1685="",NOT(ISNUMBER(L1685))),"",IF(L1685&lt;=0,"",IFERROR(ROUND(L1685*N(INDEX(art_w,MATCH(H1685,art_ref,0))),3),"")))</f>
        <v/>
      </c>
      <c r="Q1685" s="59" t="n"/>
      <c r="R1685" s="54" t="n"/>
      <c r="S1685" s="59" t="n"/>
      <c r="T1685" s="59" t="n"/>
      <c r="U1685" s="64" t="str">
        <f>IF(OR(B1685="",H1685=""),"",IFERROR(IF(A1685="BL",IF(N(INDEX(art_price,MATCH(H1685,art_ref,0)))=0,"",N(INDEX(art_price,MATCH(H1685,art_ref,0)))),IF(N(INDEX(art_cost,MATCH(H1685,art_ref,0)))=0,"",N(INDEX(art_cost,MATCH(H1685,art_ref,0))))),""))</f>
        <v/>
      </c>
      <c r="V1685" s="64" t="str">
        <f>IF(OR(U1685="",NOT(ISNUMBER(L1685))),"",IF(L1685&lt;=0,"",ROUND(L1685*U1685,2)))</f>
        <v/>
      </c>
      <c r="W1685" s="60" t="str">
        <f>IF(AND(B1685&lt;&gt;"",A1685&lt;&gt;"BS",F1685&lt;&gt;"",H1685&lt;&gt;"",ISNUMBER(K1685),ISNUMBER(L1685)),IF(AND(K1685&gt;0,L1685&gt;0,K1685-L1685&gt;0,COUNTIFS(A1686:A$2005,A1685,F1686:F$2005,F1685,H1686:H$2005,H1685,AA1686:AA$2005,"&gt;0")=0),ROUND(K1685-L1685,6),""),"")</f>
        <v/>
      </c>
      <c r="X1685" s="60" t="str">
        <f>IF(AND(A1685="",C1685="",D1685="",H1685="",L1685=""),"",IF(A1685="","Type manquant",IF(AND(A1685&lt;&gt;"BL",A1685&lt;&gt;"BR",A1685&lt;&gt;"BS"),"Type inconnu (BL, BR ou BS)",IF(AG1685=0,"Date manquante ou invalide",IF(D1685="",IF(A1685="BL","Client manquant",IF(A1685="BR","Fournisseur manquant","Service manquant")),IF(IF(A1685="BL",ISNA(MATCH(D1685,cl_code,0)),IF(A1685="BR",ISNA(MATCH(D1685,fo_code,0)),ISNA(MATCH(D1685,p_services,0)))),IF(A1685="BL","Client inconnu",IF(A1685="BR","Fournisseur inconnu","Service inconnu")),IF(H1685="","Article manquant",IF(ISNA(MATCH(H1685,art_ref,0)),"Article inconnu",IF(OR(NOT(ISNUMBER(L1685)),N(L1685)&lt;=0),"Quantité invalide",IF(AND(K1685&lt;&gt;"",OR(NOT(ISNUMBER(K1685)),N(K1685)&lt;=0)),"Qté commandée invalide",IF(AG1685&lt;SUMPRODUCT(MAX((A$6:A1684=A1685)*AG$6:AG1684)),"Date antérieure au bon précédent",IF(AND(A1685&lt;&gt;"BR",ISNUMBER(M1685),N(M1685)&gt;0),IF(A1685="BL","Livré plus que commandé","Sorti plus que demandé"),"OK"))))))))))))</f>
        <v/>
      </c>
      <c r="Y1685" s="57" t="str">
        <f>IF(AND(OR(A1685="BL",A1685="BR",A1685="BS"),AG1685&gt;0,D1685&lt;&gt;""),A1685&amp;"|"&amp;AG1685&amp;"|"&amp;D1685&amp;"|"&amp;F1685,"")</f>
        <v/>
      </c>
      <c r="Z1685" s="57" t="str">
        <f>IF(Y1685="","",IF(COUNTIF(Y$6:Y1684,Y1685)=0,1,0))</f>
        <v/>
      </c>
      <c r="AA1685" s="57" t="str">
        <f>IF(Y1685="","",IF(Z1685=1,COUNTIFS(A$6:A1685,A1685,Z$6:Z1685,1),INDEX(AA$6:AA1684,MATCH(Y1685,Y$6:Y1684,0))))</f>
        <v/>
      </c>
      <c r="AB1685" s="57" t="str">
        <f>IF(B1685="","",COUNTIF(B$6:B1685,B1685))</f>
        <v/>
      </c>
      <c r="AC1685" s="57" t="str">
        <f>IF(B1685="","",B1685&amp;"#"&amp;AB1685)</f>
        <v/>
      </c>
      <c r="AD1685" s="57" t="str">
        <f>IF(Z1685=1,A1685&amp;AA1685,"")</f>
        <v/>
      </c>
      <c r="AE1685" s="57" t="str">
        <f>IF(B1685="","",YEAR(C1685))</f>
        <v/>
      </c>
      <c r="AF1685" s="57" t="str">
        <f>IF(B1685="","",MONTH(C1685))</f>
        <v/>
      </c>
      <c r="AG1685" s="57">
        <f>IF(ISNUMBER(C1685),C1685,0)</f>
        <v>0.0</v>
      </c>
      <c r="AH1685" s="57" t="str">
        <f>IF(N(W1685)&gt;0,COUNTIF(W$6:W1685,"&gt;0"),"")</f>
        <v/>
      </c>
      <c r="AI1685" s="57" t="str">
        <f>IF(Z1685=1,COUNTIF(Z$6:Z1685,1),"")</f>
        <v/>
      </c>
    </row>
    <row r="1686">
      <c r="A1686" s="54" t="n"/>
      <c r="B1686" s="55" t="str">
        <f>IF(AA1686="","",A1686&amp;"-"&amp;RIGHT("000"&amp;AA1686,4))</f>
        <v/>
      </c>
      <c r="C1686" s="56" t="n"/>
      <c r="D1686" s="54" t="n"/>
      <c r="E1686" s="57" t="str">
        <f>IF(D1686="","",IF(A1686="BL",IFERROR(INDEX(cl_name,MATCH(D1686,cl_code,0))&amp;"","Client inconnu"),IF(A1686="BR",IFERROR(INDEX(fo_name,MATCH(D1686,fo_code,0))&amp;"","Fournisseur inconnu"),IF(A1686="BS",IF(ISNA(MATCH(D1686,p_services,0)),"Service inconnu",D1686&amp;""),""))))</f>
        <v/>
      </c>
      <c r="F1686" s="58" t="n"/>
      <c r="G1686" s="58" t="n"/>
      <c r="H1686" s="59" t="n"/>
      <c r="I1686" s="57" t="str">
        <f>IF(H1686="","",IFERROR(INDEX(art_des,MATCH(H1686,art_ref,0))&amp;"","Article inconnu"))</f>
        <v/>
      </c>
      <c r="J1686" s="60" t="str">
        <f>IF(H1686="","",IFERROR(INDEX(art_unit,MATCH(H1686,art_ref,0))&amp;"",""))</f>
        <v/>
      </c>
      <c r="K1686" s="59" t="n"/>
      <c r="L1686" s="59" t="n"/>
      <c r="M1686" s="61" t="str">
        <f>IF(OR(B1686="",NOT(ISNUMBER(K1686)),NOT(ISNUMBER(L1686))),"",IF(OR(K1686&lt;=0,L1686&lt;=0),"",ROUND(L1686-K1686,6)))</f>
        <v/>
      </c>
      <c r="N1686" s="58" t="n"/>
      <c r="O1686" s="62" t="n"/>
      <c r="P1686" s="63" t="str">
        <f>IF(OR(B1686="",NOT(ISNUMBER(L1686))),"",IF(L1686&lt;=0,"",IFERROR(ROUND(L1686*N(INDEX(art_w,MATCH(H1686,art_ref,0))),3),"")))</f>
        <v/>
      </c>
      <c r="Q1686" s="59" t="n"/>
      <c r="R1686" s="54" t="n"/>
      <c r="S1686" s="59" t="n"/>
      <c r="T1686" s="59" t="n"/>
      <c r="U1686" s="64" t="str">
        <f>IF(OR(B1686="",H1686=""),"",IFERROR(IF(A1686="BL",IF(N(INDEX(art_price,MATCH(H1686,art_ref,0)))=0,"",N(INDEX(art_price,MATCH(H1686,art_ref,0)))),IF(N(INDEX(art_cost,MATCH(H1686,art_ref,0)))=0,"",N(INDEX(art_cost,MATCH(H1686,art_ref,0))))),""))</f>
        <v/>
      </c>
      <c r="V1686" s="64" t="str">
        <f>IF(OR(U1686="",NOT(ISNUMBER(L1686))),"",IF(L1686&lt;=0,"",ROUND(L1686*U1686,2)))</f>
        <v/>
      </c>
      <c r="W1686" s="60" t="str">
        <f>IF(AND(B1686&lt;&gt;"",A1686&lt;&gt;"BS",F1686&lt;&gt;"",H1686&lt;&gt;"",ISNUMBER(K1686),ISNUMBER(L1686)),IF(AND(K1686&gt;0,L1686&gt;0,K1686-L1686&gt;0,COUNTIFS(A1687:A$2005,A1686,F1687:F$2005,F1686,H1687:H$2005,H1686,AA1687:AA$2005,"&gt;0")=0),ROUND(K1686-L1686,6),""),"")</f>
        <v/>
      </c>
      <c r="X1686" s="60" t="str">
        <f>IF(AND(A1686="",C1686="",D1686="",H1686="",L1686=""),"",IF(A1686="","Type manquant",IF(AND(A1686&lt;&gt;"BL",A1686&lt;&gt;"BR",A1686&lt;&gt;"BS"),"Type inconnu (BL, BR ou BS)",IF(AG1686=0,"Date manquante ou invalide",IF(D1686="",IF(A1686="BL","Client manquant",IF(A1686="BR","Fournisseur manquant","Service manquant")),IF(IF(A1686="BL",ISNA(MATCH(D1686,cl_code,0)),IF(A1686="BR",ISNA(MATCH(D1686,fo_code,0)),ISNA(MATCH(D1686,p_services,0)))),IF(A1686="BL","Client inconnu",IF(A1686="BR","Fournisseur inconnu","Service inconnu")),IF(H1686="","Article manquant",IF(ISNA(MATCH(H1686,art_ref,0)),"Article inconnu",IF(OR(NOT(ISNUMBER(L1686)),N(L1686)&lt;=0),"Quantité invalide",IF(AND(K1686&lt;&gt;"",OR(NOT(ISNUMBER(K1686)),N(K1686)&lt;=0)),"Qté commandée invalide",IF(AG1686&lt;SUMPRODUCT(MAX((A$6:A1685=A1686)*AG$6:AG1685)),"Date antérieure au bon précédent",IF(AND(A1686&lt;&gt;"BR",ISNUMBER(M1686),N(M1686)&gt;0),IF(A1686="BL","Livré plus que commandé","Sorti plus que demandé"),"OK"))))))))))))</f>
        <v/>
      </c>
      <c r="Y1686" s="57" t="str">
        <f>IF(AND(OR(A1686="BL",A1686="BR",A1686="BS"),AG1686&gt;0,D1686&lt;&gt;""),A1686&amp;"|"&amp;AG1686&amp;"|"&amp;D1686&amp;"|"&amp;F1686,"")</f>
        <v/>
      </c>
      <c r="Z1686" s="57" t="str">
        <f>IF(Y1686="","",IF(COUNTIF(Y$6:Y1685,Y1686)=0,1,0))</f>
        <v/>
      </c>
      <c r="AA1686" s="57" t="str">
        <f>IF(Y1686="","",IF(Z1686=1,COUNTIFS(A$6:A1686,A1686,Z$6:Z1686,1),INDEX(AA$6:AA1685,MATCH(Y1686,Y$6:Y1685,0))))</f>
        <v/>
      </c>
      <c r="AB1686" s="57" t="str">
        <f>IF(B1686="","",COUNTIF(B$6:B1686,B1686))</f>
        <v/>
      </c>
      <c r="AC1686" s="57" t="str">
        <f>IF(B1686="","",B1686&amp;"#"&amp;AB1686)</f>
        <v/>
      </c>
      <c r="AD1686" s="57" t="str">
        <f>IF(Z1686=1,A1686&amp;AA1686,"")</f>
        <v/>
      </c>
      <c r="AE1686" s="57" t="str">
        <f>IF(B1686="","",YEAR(C1686))</f>
        <v/>
      </c>
      <c r="AF1686" s="57" t="str">
        <f>IF(B1686="","",MONTH(C1686))</f>
        <v/>
      </c>
      <c r="AG1686" s="57">
        <f>IF(ISNUMBER(C1686),C1686,0)</f>
        <v>0.0</v>
      </c>
      <c r="AH1686" s="57" t="str">
        <f>IF(N(W1686)&gt;0,COUNTIF(W$6:W1686,"&gt;0"),"")</f>
        <v/>
      </c>
      <c r="AI1686" s="57" t="str">
        <f>IF(Z1686=1,COUNTIF(Z$6:Z1686,1),"")</f>
        <v/>
      </c>
    </row>
    <row r="1687">
      <c r="A1687" s="54" t="n"/>
      <c r="B1687" s="55" t="str">
        <f>IF(AA1687="","",A1687&amp;"-"&amp;RIGHT("000"&amp;AA1687,4))</f>
        <v/>
      </c>
      <c r="C1687" s="56" t="n"/>
      <c r="D1687" s="54" t="n"/>
      <c r="E1687" s="57" t="str">
        <f>IF(D1687="","",IF(A1687="BL",IFERROR(INDEX(cl_name,MATCH(D1687,cl_code,0))&amp;"","Client inconnu"),IF(A1687="BR",IFERROR(INDEX(fo_name,MATCH(D1687,fo_code,0))&amp;"","Fournisseur inconnu"),IF(A1687="BS",IF(ISNA(MATCH(D1687,p_services,0)),"Service inconnu",D1687&amp;""),""))))</f>
        <v/>
      </c>
      <c r="F1687" s="58" t="n"/>
      <c r="G1687" s="58" t="n"/>
      <c r="H1687" s="59" t="n"/>
      <c r="I1687" s="57" t="str">
        <f>IF(H1687="","",IFERROR(INDEX(art_des,MATCH(H1687,art_ref,0))&amp;"","Article inconnu"))</f>
        <v/>
      </c>
      <c r="J1687" s="60" t="str">
        <f>IF(H1687="","",IFERROR(INDEX(art_unit,MATCH(H1687,art_ref,0))&amp;"",""))</f>
        <v/>
      </c>
      <c r="K1687" s="59" t="n"/>
      <c r="L1687" s="59" t="n"/>
      <c r="M1687" s="61" t="str">
        <f>IF(OR(B1687="",NOT(ISNUMBER(K1687)),NOT(ISNUMBER(L1687))),"",IF(OR(K1687&lt;=0,L1687&lt;=0),"",ROUND(L1687-K1687,6)))</f>
        <v/>
      </c>
      <c r="N1687" s="58" t="n"/>
      <c r="O1687" s="62" t="n"/>
      <c r="P1687" s="63" t="str">
        <f>IF(OR(B1687="",NOT(ISNUMBER(L1687))),"",IF(L1687&lt;=0,"",IFERROR(ROUND(L1687*N(INDEX(art_w,MATCH(H1687,art_ref,0))),3),"")))</f>
        <v/>
      </c>
      <c r="Q1687" s="59" t="n"/>
      <c r="R1687" s="54" t="n"/>
      <c r="S1687" s="59" t="n"/>
      <c r="T1687" s="59" t="n"/>
      <c r="U1687" s="64" t="str">
        <f>IF(OR(B1687="",H1687=""),"",IFERROR(IF(A1687="BL",IF(N(INDEX(art_price,MATCH(H1687,art_ref,0)))=0,"",N(INDEX(art_price,MATCH(H1687,art_ref,0)))),IF(N(INDEX(art_cost,MATCH(H1687,art_ref,0)))=0,"",N(INDEX(art_cost,MATCH(H1687,art_ref,0))))),""))</f>
        <v/>
      </c>
      <c r="V1687" s="64" t="str">
        <f>IF(OR(U1687="",NOT(ISNUMBER(L1687))),"",IF(L1687&lt;=0,"",ROUND(L1687*U1687,2)))</f>
        <v/>
      </c>
      <c r="W1687" s="60" t="str">
        <f>IF(AND(B1687&lt;&gt;"",A1687&lt;&gt;"BS",F1687&lt;&gt;"",H1687&lt;&gt;"",ISNUMBER(K1687),ISNUMBER(L1687)),IF(AND(K1687&gt;0,L1687&gt;0,K1687-L1687&gt;0,COUNTIFS(A1688:A$2005,A1687,F1688:F$2005,F1687,H1688:H$2005,H1687,AA1688:AA$2005,"&gt;0")=0),ROUND(K1687-L1687,6),""),"")</f>
        <v/>
      </c>
      <c r="X1687" s="60" t="str">
        <f>IF(AND(A1687="",C1687="",D1687="",H1687="",L1687=""),"",IF(A1687="","Type manquant",IF(AND(A1687&lt;&gt;"BL",A1687&lt;&gt;"BR",A1687&lt;&gt;"BS"),"Type inconnu (BL, BR ou BS)",IF(AG1687=0,"Date manquante ou invalide",IF(D1687="",IF(A1687="BL","Client manquant",IF(A1687="BR","Fournisseur manquant","Service manquant")),IF(IF(A1687="BL",ISNA(MATCH(D1687,cl_code,0)),IF(A1687="BR",ISNA(MATCH(D1687,fo_code,0)),ISNA(MATCH(D1687,p_services,0)))),IF(A1687="BL","Client inconnu",IF(A1687="BR","Fournisseur inconnu","Service inconnu")),IF(H1687="","Article manquant",IF(ISNA(MATCH(H1687,art_ref,0)),"Article inconnu",IF(OR(NOT(ISNUMBER(L1687)),N(L1687)&lt;=0),"Quantité invalide",IF(AND(K1687&lt;&gt;"",OR(NOT(ISNUMBER(K1687)),N(K1687)&lt;=0)),"Qté commandée invalide",IF(AG1687&lt;SUMPRODUCT(MAX((A$6:A1686=A1687)*AG$6:AG1686)),"Date antérieure au bon précédent",IF(AND(A1687&lt;&gt;"BR",ISNUMBER(M1687),N(M1687)&gt;0),IF(A1687="BL","Livré plus que commandé","Sorti plus que demandé"),"OK"))))))))))))</f>
        <v/>
      </c>
      <c r="Y1687" s="57" t="str">
        <f>IF(AND(OR(A1687="BL",A1687="BR",A1687="BS"),AG1687&gt;0,D1687&lt;&gt;""),A1687&amp;"|"&amp;AG1687&amp;"|"&amp;D1687&amp;"|"&amp;F1687,"")</f>
        <v/>
      </c>
      <c r="Z1687" s="57" t="str">
        <f>IF(Y1687="","",IF(COUNTIF(Y$6:Y1686,Y1687)=0,1,0))</f>
        <v/>
      </c>
      <c r="AA1687" s="57" t="str">
        <f>IF(Y1687="","",IF(Z1687=1,COUNTIFS(A$6:A1687,A1687,Z$6:Z1687,1),INDEX(AA$6:AA1686,MATCH(Y1687,Y$6:Y1686,0))))</f>
        <v/>
      </c>
      <c r="AB1687" s="57" t="str">
        <f>IF(B1687="","",COUNTIF(B$6:B1687,B1687))</f>
        <v/>
      </c>
      <c r="AC1687" s="57" t="str">
        <f>IF(B1687="","",B1687&amp;"#"&amp;AB1687)</f>
        <v/>
      </c>
      <c r="AD1687" s="57" t="str">
        <f>IF(Z1687=1,A1687&amp;AA1687,"")</f>
        <v/>
      </c>
      <c r="AE1687" s="57" t="str">
        <f>IF(B1687="","",YEAR(C1687))</f>
        <v/>
      </c>
      <c r="AF1687" s="57" t="str">
        <f>IF(B1687="","",MONTH(C1687))</f>
        <v/>
      </c>
      <c r="AG1687" s="57">
        <f>IF(ISNUMBER(C1687),C1687,0)</f>
        <v>0.0</v>
      </c>
      <c r="AH1687" s="57" t="str">
        <f>IF(N(W1687)&gt;0,COUNTIF(W$6:W1687,"&gt;0"),"")</f>
        <v/>
      </c>
      <c r="AI1687" s="57" t="str">
        <f>IF(Z1687=1,COUNTIF(Z$6:Z1687,1),"")</f>
        <v/>
      </c>
    </row>
    <row r="1688">
      <c r="A1688" s="54" t="n"/>
      <c r="B1688" s="55" t="str">
        <f>IF(AA1688="","",A1688&amp;"-"&amp;RIGHT("000"&amp;AA1688,4))</f>
        <v/>
      </c>
      <c r="C1688" s="56" t="n"/>
      <c r="D1688" s="54" t="n"/>
      <c r="E1688" s="57" t="str">
        <f>IF(D1688="","",IF(A1688="BL",IFERROR(INDEX(cl_name,MATCH(D1688,cl_code,0))&amp;"","Client inconnu"),IF(A1688="BR",IFERROR(INDEX(fo_name,MATCH(D1688,fo_code,0))&amp;"","Fournisseur inconnu"),IF(A1688="BS",IF(ISNA(MATCH(D1688,p_services,0)),"Service inconnu",D1688&amp;""),""))))</f>
        <v/>
      </c>
      <c r="F1688" s="58" t="n"/>
      <c r="G1688" s="58" t="n"/>
      <c r="H1688" s="59" t="n"/>
      <c r="I1688" s="57" t="str">
        <f>IF(H1688="","",IFERROR(INDEX(art_des,MATCH(H1688,art_ref,0))&amp;"","Article inconnu"))</f>
        <v/>
      </c>
      <c r="J1688" s="60" t="str">
        <f>IF(H1688="","",IFERROR(INDEX(art_unit,MATCH(H1688,art_ref,0))&amp;"",""))</f>
        <v/>
      </c>
      <c r="K1688" s="59" t="n"/>
      <c r="L1688" s="59" t="n"/>
      <c r="M1688" s="61" t="str">
        <f>IF(OR(B1688="",NOT(ISNUMBER(K1688)),NOT(ISNUMBER(L1688))),"",IF(OR(K1688&lt;=0,L1688&lt;=0),"",ROUND(L1688-K1688,6)))</f>
        <v/>
      </c>
      <c r="N1688" s="58" t="n"/>
      <c r="O1688" s="62" t="n"/>
      <c r="P1688" s="63" t="str">
        <f>IF(OR(B1688="",NOT(ISNUMBER(L1688))),"",IF(L1688&lt;=0,"",IFERROR(ROUND(L1688*N(INDEX(art_w,MATCH(H1688,art_ref,0))),3),"")))</f>
        <v/>
      </c>
      <c r="Q1688" s="59" t="n"/>
      <c r="R1688" s="54" t="n"/>
      <c r="S1688" s="59" t="n"/>
      <c r="T1688" s="59" t="n"/>
      <c r="U1688" s="64" t="str">
        <f>IF(OR(B1688="",H1688=""),"",IFERROR(IF(A1688="BL",IF(N(INDEX(art_price,MATCH(H1688,art_ref,0)))=0,"",N(INDEX(art_price,MATCH(H1688,art_ref,0)))),IF(N(INDEX(art_cost,MATCH(H1688,art_ref,0)))=0,"",N(INDEX(art_cost,MATCH(H1688,art_ref,0))))),""))</f>
        <v/>
      </c>
      <c r="V1688" s="64" t="str">
        <f>IF(OR(U1688="",NOT(ISNUMBER(L1688))),"",IF(L1688&lt;=0,"",ROUND(L1688*U1688,2)))</f>
        <v/>
      </c>
      <c r="W1688" s="60" t="str">
        <f>IF(AND(B1688&lt;&gt;"",A1688&lt;&gt;"BS",F1688&lt;&gt;"",H1688&lt;&gt;"",ISNUMBER(K1688),ISNUMBER(L1688)),IF(AND(K1688&gt;0,L1688&gt;0,K1688-L1688&gt;0,COUNTIFS(A1689:A$2005,A1688,F1689:F$2005,F1688,H1689:H$2005,H1688,AA1689:AA$2005,"&gt;0")=0),ROUND(K1688-L1688,6),""),"")</f>
        <v/>
      </c>
      <c r="X1688" s="60" t="str">
        <f>IF(AND(A1688="",C1688="",D1688="",H1688="",L1688=""),"",IF(A1688="","Type manquant",IF(AND(A1688&lt;&gt;"BL",A1688&lt;&gt;"BR",A1688&lt;&gt;"BS"),"Type inconnu (BL, BR ou BS)",IF(AG1688=0,"Date manquante ou invalide",IF(D1688="",IF(A1688="BL","Client manquant",IF(A1688="BR","Fournisseur manquant","Service manquant")),IF(IF(A1688="BL",ISNA(MATCH(D1688,cl_code,0)),IF(A1688="BR",ISNA(MATCH(D1688,fo_code,0)),ISNA(MATCH(D1688,p_services,0)))),IF(A1688="BL","Client inconnu",IF(A1688="BR","Fournisseur inconnu","Service inconnu")),IF(H1688="","Article manquant",IF(ISNA(MATCH(H1688,art_ref,0)),"Article inconnu",IF(OR(NOT(ISNUMBER(L1688)),N(L1688)&lt;=0),"Quantité invalide",IF(AND(K1688&lt;&gt;"",OR(NOT(ISNUMBER(K1688)),N(K1688)&lt;=0)),"Qté commandée invalide",IF(AG1688&lt;SUMPRODUCT(MAX((A$6:A1687=A1688)*AG$6:AG1687)),"Date antérieure au bon précédent",IF(AND(A1688&lt;&gt;"BR",ISNUMBER(M1688),N(M1688)&gt;0),IF(A1688="BL","Livré plus que commandé","Sorti plus que demandé"),"OK"))))))))))))</f>
        <v/>
      </c>
      <c r="Y1688" s="57" t="str">
        <f>IF(AND(OR(A1688="BL",A1688="BR",A1688="BS"),AG1688&gt;0,D1688&lt;&gt;""),A1688&amp;"|"&amp;AG1688&amp;"|"&amp;D1688&amp;"|"&amp;F1688,"")</f>
        <v/>
      </c>
      <c r="Z1688" s="57" t="str">
        <f>IF(Y1688="","",IF(COUNTIF(Y$6:Y1687,Y1688)=0,1,0))</f>
        <v/>
      </c>
      <c r="AA1688" s="57" t="str">
        <f>IF(Y1688="","",IF(Z1688=1,COUNTIFS(A$6:A1688,A1688,Z$6:Z1688,1),INDEX(AA$6:AA1687,MATCH(Y1688,Y$6:Y1687,0))))</f>
        <v/>
      </c>
      <c r="AB1688" s="57" t="str">
        <f>IF(B1688="","",COUNTIF(B$6:B1688,B1688))</f>
        <v/>
      </c>
      <c r="AC1688" s="57" t="str">
        <f>IF(B1688="","",B1688&amp;"#"&amp;AB1688)</f>
        <v/>
      </c>
      <c r="AD1688" s="57" t="str">
        <f>IF(Z1688=1,A1688&amp;AA1688,"")</f>
        <v/>
      </c>
      <c r="AE1688" s="57" t="str">
        <f>IF(B1688="","",YEAR(C1688))</f>
        <v/>
      </c>
      <c r="AF1688" s="57" t="str">
        <f>IF(B1688="","",MONTH(C1688))</f>
        <v/>
      </c>
      <c r="AG1688" s="57">
        <f>IF(ISNUMBER(C1688),C1688,0)</f>
        <v>0.0</v>
      </c>
      <c r="AH1688" s="57" t="str">
        <f>IF(N(W1688)&gt;0,COUNTIF(W$6:W1688,"&gt;0"),"")</f>
        <v/>
      </c>
      <c r="AI1688" s="57" t="str">
        <f>IF(Z1688=1,COUNTIF(Z$6:Z1688,1),"")</f>
        <v/>
      </c>
    </row>
    <row r="1689">
      <c r="A1689" s="54" t="n"/>
      <c r="B1689" s="55" t="str">
        <f>IF(AA1689="","",A1689&amp;"-"&amp;RIGHT("000"&amp;AA1689,4))</f>
        <v/>
      </c>
      <c r="C1689" s="56" t="n"/>
      <c r="D1689" s="54" t="n"/>
      <c r="E1689" s="57" t="str">
        <f>IF(D1689="","",IF(A1689="BL",IFERROR(INDEX(cl_name,MATCH(D1689,cl_code,0))&amp;"","Client inconnu"),IF(A1689="BR",IFERROR(INDEX(fo_name,MATCH(D1689,fo_code,0))&amp;"","Fournisseur inconnu"),IF(A1689="BS",IF(ISNA(MATCH(D1689,p_services,0)),"Service inconnu",D1689&amp;""),""))))</f>
        <v/>
      </c>
      <c r="F1689" s="58" t="n"/>
      <c r="G1689" s="58" t="n"/>
      <c r="H1689" s="59" t="n"/>
      <c r="I1689" s="57" t="str">
        <f>IF(H1689="","",IFERROR(INDEX(art_des,MATCH(H1689,art_ref,0))&amp;"","Article inconnu"))</f>
        <v/>
      </c>
      <c r="J1689" s="60" t="str">
        <f>IF(H1689="","",IFERROR(INDEX(art_unit,MATCH(H1689,art_ref,0))&amp;"",""))</f>
        <v/>
      </c>
      <c r="K1689" s="59" t="n"/>
      <c r="L1689" s="59" t="n"/>
      <c r="M1689" s="61" t="str">
        <f>IF(OR(B1689="",NOT(ISNUMBER(K1689)),NOT(ISNUMBER(L1689))),"",IF(OR(K1689&lt;=0,L1689&lt;=0),"",ROUND(L1689-K1689,6)))</f>
        <v/>
      </c>
      <c r="N1689" s="58" t="n"/>
      <c r="O1689" s="62" t="n"/>
      <c r="P1689" s="63" t="str">
        <f>IF(OR(B1689="",NOT(ISNUMBER(L1689))),"",IF(L1689&lt;=0,"",IFERROR(ROUND(L1689*N(INDEX(art_w,MATCH(H1689,art_ref,0))),3),"")))</f>
        <v/>
      </c>
      <c r="Q1689" s="59" t="n"/>
      <c r="R1689" s="54" t="n"/>
      <c r="S1689" s="59" t="n"/>
      <c r="T1689" s="59" t="n"/>
      <c r="U1689" s="64" t="str">
        <f>IF(OR(B1689="",H1689=""),"",IFERROR(IF(A1689="BL",IF(N(INDEX(art_price,MATCH(H1689,art_ref,0)))=0,"",N(INDEX(art_price,MATCH(H1689,art_ref,0)))),IF(N(INDEX(art_cost,MATCH(H1689,art_ref,0)))=0,"",N(INDEX(art_cost,MATCH(H1689,art_ref,0))))),""))</f>
        <v/>
      </c>
      <c r="V1689" s="64" t="str">
        <f>IF(OR(U1689="",NOT(ISNUMBER(L1689))),"",IF(L1689&lt;=0,"",ROUND(L1689*U1689,2)))</f>
        <v/>
      </c>
      <c r="W1689" s="60" t="str">
        <f>IF(AND(B1689&lt;&gt;"",A1689&lt;&gt;"BS",F1689&lt;&gt;"",H1689&lt;&gt;"",ISNUMBER(K1689),ISNUMBER(L1689)),IF(AND(K1689&gt;0,L1689&gt;0,K1689-L1689&gt;0,COUNTIFS(A1690:A$2005,A1689,F1690:F$2005,F1689,H1690:H$2005,H1689,AA1690:AA$2005,"&gt;0")=0),ROUND(K1689-L1689,6),""),"")</f>
        <v/>
      </c>
      <c r="X1689" s="60" t="str">
        <f>IF(AND(A1689="",C1689="",D1689="",H1689="",L1689=""),"",IF(A1689="","Type manquant",IF(AND(A1689&lt;&gt;"BL",A1689&lt;&gt;"BR",A1689&lt;&gt;"BS"),"Type inconnu (BL, BR ou BS)",IF(AG1689=0,"Date manquante ou invalide",IF(D1689="",IF(A1689="BL","Client manquant",IF(A1689="BR","Fournisseur manquant","Service manquant")),IF(IF(A1689="BL",ISNA(MATCH(D1689,cl_code,0)),IF(A1689="BR",ISNA(MATCH(D1689,fo_code,0)),ISNA(MATCH(D1689,p_services,0)))),IF(A1689="BL","Client inconnu",IF(A1689="BR","Fournisseur inconnu","Service inconnu")),IF(H1689="","Article manquant",IF(ISNA(MATCH(H1689,art_ref,0)),"Article inconnu",IF(OR(NOT(ISNUMBER(L1689)),N(L1689)&lt;=0),"Quantité invalide",IF(AND(K1689&lt;&gt;"",OR(NOT(ISNUMBER(K1689)),N(K1689)&lt;=0)),"Qté commandée invalide",IF(AG1689&lt;SUMPRODUCT(MAX((A$6:A1688=A1689)*AG$6:AG1688)),"Date antérieure au bon précédent",IF(AND(A1689&lt;&gt;"BR",ISNUMBER(M1689),N(M1689)&gt;0),IF(A1689="BL","Livré plus que commandé","Sorti plus que demandé"),"OK"))))))))))))</f>
        <v/>
      </c>
      <c r="Y1689" s="57" t="str">
        <f>IF(AND(OR(A1689="BL",A1689="BR",A1689="BS"),AG1689&gt;0,D1689&lt;&gt;""),A1689&amp;"|"&amp;AG1689&amp;"|"&amp;D1689&amp;"|"&amp;F1689,"")</f>
        <v/>
      </c>
      <c r="Z1689" s="57" t="str">
        <f>IF(Y1689="","",IF(COUNTIF(Y$6:Y1688,Y1689)=0,1,0))</f>
        <v/>
      </c>
      <c r="AA1689" s="57" t="str">
        <f>IF(Y1689="","",IF(Z1689=1,COUNTIFS(A$6:A1689,A1689,Z$6:Z1689,1),INDEX(AA$6:AA1688,MATCH(Y1689,Y$6:Y1688,0))))</f>
        <v/>
      </c>
      <c r="AB1689" s="57" t="str">
        <f>IF(B1689="","",COUNTIF(B$6:B1689,B1689))</f>
        <v/>
      </c>
      <c r="AC1689" s="57" t="str">
        <f>IF(B1689="","",B1689&amp;"#"&amp;AB1689)</f>
        <v/>
      </c>
      <c r="AD1689" s="57" t="str">
        <f>IF(Z1689=1,A1689&amp;AA1689,"")</f>
        <v/>
      </c>
      <c r="AE1689" s="57" t="str">
        <f>IF(B1689="","",YEAR(C1689))</f>
        <v/>
      </c>
      <c r="AF1689" s="57" t="str">
        <f>IF(B1689="","",MONTH(C1689))</f>
        <v/>
      </c>
      <c r="AG1689" s="57">
        <f>IF(ISNUMBER(C1689),C1689,0)</f>
        <v>0.0</v>
      </c>
      <c r="AH1689" s="57" t="str">
        <f>IF(N(W1689)&gt;0,COUNTIF(W$6:W1689,"&gt;0"),"")</f>
        <v/>
      </c>
      <c r="AI1689" s="57" t="str">
        <f>IF(Z1689=1,COUNTIF(Z$6:Z1689,1),"")</f>
        <v/>
      </c>
    </row>
    <row r="1690">
      <c r="A1690" s="54" t="n"/>
      <c r="B1690" s="55" t="str">
        <f>IF(AA1690="","",A1690&amp;"-"&amp;RIGHT("000"&amp;AA1690,4))</f>
        <v/>
      </c>
      <c r="C1690" s="56" t="n"/>
      <c r="D1690" s="54" t="n"/>
      <c r="E1690" s="57" t="str">
        <f>IF(D1690="","",IF(A1690="BL",IFERROR(INDEX(cl_name,MATCH(D1690,cl_code,0))&amp;"","Client inconnu"),IF(A1690="BR",IFERROR(INDEX(fo_name,MATCH(D1690,fo_code,0))&amp;"","Fournisseur inconnu"),IF(A1690="BS",IF(ISNA(MATCH(D1690,p_services,0)),"Service inconnu",D1690&amp;""),""))))</f>
        <v/>
      </c>
      <c r="F1690" s="58" t="n"/>
      <c r="G1690" s="58" t="n"/>
      <c r="H1690" s="59" t="n"/>
      <c r="I1690" s="57" t="str">
        <f>IF(H1690="","",IFERROR(INDEX(art_des,MATCH(H1690,art_ref,0))&amp;"","Article inconnu"))</f>
        <v/>
      </c>
      <c r="J1690" s="60" t="str">
        <f>IF(H1690="","",IFERROR(INDEX(art_unit,MATCH(H1690,art_ref,0))&amp;"",""))</f>
        <v/>
      </c>
      <c r="K1690" s="59" t="n"/>
      <c r="L1690" s="59" t="n"/>
      <c r="M1690" s="61" t="str">
        <f>IF(OR(B1690="",NOT(ISNUMBER(K1690)),NOT(ISNUMBER(L1690))),"",IF(OR(K1690&lt;=0,L1690&lt;=0),"",ROUND(L1690-K1690,6)))</f>
        <v/>
      </c>
      <c r="N1690" s="58" t="n"/>
      <c r="O1690" s="62" t="n"/>
      <c r="P1690" s="63" t="str">
        <f>IF(OR(B1690="",NOT(ISNUMBER(L1690))),"",IF(L1690&lt;=0,"",IFERROR(ROUND(L1690*N(INDEX(art_w,MATCH(H1690,art_ref,0))),3),"")))</f>
        <v/>
      </c>
      <c r="Q1690" s="59" t="n"/>
      <c r="R1690" s="54" t="n"/>
      <c r="S1690" s="59" t="n"/>
      <c r="T1690" s="59" t="n"/>
      <c r="U1690" s="64" t="str">
        <f>IF(OR(B1690="",H1690=""),"",IFERROR(IF(A1690="BL",IF(N(INDEX(art_price,MATCH(H1690,art_ref,0)))=0,"",N(INDEX(art_price,MATCH(H1690,art_ref,0)))),IF(N(INDEX(art_cost,MATCH(H1690,art_ref,0)))=0,"",N(INDEX(art_cost,MATCH(H1690,art_ref,0))))),""))</f>
        <v/>
      </c>
      <c r="V1690" s="64" t="str">
        <f>IF(OR(U1690="",NOT(ISNUMBER(L1690))),"",IF(L1690&lt;=0,"",ROUND(L1690*U1690,2)))</f>
        <v/>
      </c>
      <c r="W1690" s="60" t="str">
        <f>IF(AND(B1690&lt;&gt;"",A1690&lt;&gt;"BS",F1690&lt;&gt;"",H1690&lt;&gt;"",ISNUMBER(K1690),ISNUMBER(L1690)),IF(AND(K1690&gt;0,L1690&gt;0,K1690-L1690&gt;0,COUNTIFS(A1691:A$2005,A1690,F1691:F$2005,F1690,H1691:H$2005,H1690,AA1691:AA$2005,"&gt;0")=0),ROUND(K1690-L1690,6),""),"")</f>
        <v/>
      </c>
      <c r="X1690" s="60" t="str">
        <f>IF(AND(A1690="",C1690="",D1690="",H1690="",L1690=""),"",IF(A1690="","Type manquant",IF(AND(A1690&lt;&gt;"BL",A1690&lt;&gt;"BR",A1690&lt;&gt;"BS"),"Type inconnu (BL, BR ou BS)",IF(AG1690=0,"Date manquante ou invalide",IF(D1690="",IF(A1690="BL","Client manquant",IF(A1690="BR","Fournisseur manquant","Service manquant")),IF(IF(A1690="BL",ISNA(MATCH(D1690,cl_code,0)),IF(A1690="BR",ISNA(MATCH(D1690,fo_code,0)),ISNA(MATCH(D1690,p_services,0)))),IF(A1690="BL","Client inconnu",IF(A1690="BR","Fournisseur inconnu","Service inconnu")),IF(H1690="","Article manquant",IF(ISNA(MATCH(H1690,art_ref,0)),"Article inconnu",IF(OR(NOT(ISNUMBER(L1690)),N(L1690)&lt;=0),"Quantité invalide",IF(AND(K1690&lt;&gt;"",OR(NOT(ISNUMBER(K1690)),N(K1690)&lt;=0)),"Qté commandée invalide",IF(AG1690&lt;SUMPRODUCT(MAX((A$6:A1689=A1690)*AG$6:AG1689)),"Date antérieure au bon précédent",IF(AND(A1690&lt;&gt;"BR",ISNUMBER(M1690),N(M1690)&gt;0),IF(A1690="BL","Livré plus que commandé","Sorti plus que demandé"),"OK"))))))))))))</f>
        <v/>
      </c>
      <c r="Y1690" s="57" t="str">
        <f>IF(AND(OR(A1690="BL",A1690="BR",A1690="BS"),AG1690&gt;0,D1690&lt;&gt;""),A1690&amp;"|"&amp;AG1690&amp;"|"&amp;D1690&amp;"|"&amp;F1690,"")</f>
        <v/>
      </c>
      <c r="Z1690" s="57" t="str">
        <f>IF(Y1690="","",IF(COUNTIF(Y$6:Y1689,Y1690)=0,1,0))</f>
        <v/>
      </c>
      <c r="AA1690" s="57" t="str">
        <f>IF(Y1690="","",IF(Z1690=1,COUNTIFS(A$6:A1690,A1690,Z$6:Z1690,1),INDEX(AA$6:AA1689,MATCH(Y1690,Y$6:Y1689,0))))</f>
        <v/>
      </c>
      <c r="AB1690" s="57" t="str">
        <f>IF(B1690="","",COUNTIF(B$6:B1690,B1690))</f>
        <v/>
      </c>
      <c r="AC1690" s="57" t="str">
        <f>IF(B1690="","",B1690&amp;"#"&amp;AB1690)</f>
        <v/>
      </c>
      <c r="AD1690" s="57" t="str">
        <f>IF(Z1690=1,A1690&amp;AA1690,"")</f>
        <v/>
      </c>
      <c r="AE1690" s="57" t="str">
        <f>IF(B1690="","",YEAR(C1690))</f>
        <v/>
      </c>
      <c r="AF1690" s="57" t="str">
        <f>IF(B1690="","",MONTH(C1690))</f>
        <v/>
      </c>
      <c r="AG1690" s="57">
        <f>IF(ISNUMBER(C1690),C1690,0)</f>
        <v>0.0</v>
      </c>
      <c r="AH1690" s="57" t="str">
        <f>IF(N(W1690)&gt;0,COUNTIF(W$6:W1690,"&gt;0"),"")</f>
        <v/>
      </c>
      <c r="AI1690" s="57" t="str">
        <f>IF(Z1690=1,COUNTIF(Z$6:Z1690,1),"")</f>
        <v/>
      </c>
    </row>
    <row r="1691">
      <c r="A1691" s="54" t="n"/>
      <c r="B1691" s="55" t="str">
        <f>IF(AA1691="","",A1691&amp;"-"&amp;RIGHT("000"&amp;AA1691,4))</f>
        <v/>
      </c>
      <c r="C1691" s="56" t="n"/>
      <c r="D1691" s="54" t="n"/>
      <c r="E1691" s="57" t="str">
        <f>IF(D1691="","",IF(A1691="BL",IFERROR(INDEX(cl_name,MATCH(D1691,cl_code,0))&amp;"","Client inconnu"),IF(A1691="BR",IFERROR(INDEX(fo_name,MATCH(D1691,fo_code,0))&amp;"","Fournisseur inconnu"),IF(A1691="BS",IF(ISNA(MATCH(D1691,p_services,0)),"Service inconnu",D1691&amp;""),""))))</f>
        <v/>
      </c>
      <c r="F1691" s="58" t="n"/>
      <c r="G1691" s="58" t="n"/>
      <c r="H1691" s="59" t="n"/>
      <c r="I1691" s="57" t="str">
        <f>IF(H1691="","",IFERROR(INDEX(art_des,MATCH(H1691,art_ref,0))&amp;"","Article inconnu"))</f>
        <v/>
      </c>
      <c r="J1691" s="60" t="str">
        <f>IF(H1691="","",IFERROR(INDEX(art_unit,MATCH(H1691,art_ref,0))&amp;"",""))</f>
        <v/>
      </c>
      <c r="K1691" s="59" t="n"/>
      <c r="L1691" s="59" t="n"/>
      <c r="M1691" s="61" t="str">
        <f>IF(OR(B1691="",NOT(ISNUMBER(K1691)),NOT(ISNUMBER(L1691))),"",IF(OR(K1691&lt;=0,L1691&lt;=0),"",ROUND(L1691-K1691,6)))</f>
        <v/>
      </c>
      <c r="N1691" s="58" t="n"/>
      <c r="O1691" s="62" t="n"/>
      <c r="P1691" s="63" t="str">
        <f>IF(OR(B1691="",NOT(ISNUMBER(L1691))),"",IF(L1691&lt;=0,"",IFERROR(ROUND(L1691*N(INDEX(art_w,MATCH(H1691,art_ref,0))),3),"")))</f>
        <v/>
      </c>
      <c r="Q1691" s="59" t="n"/>
      <c r="R1691" s="54" t="n"/>
      <c r="S1691" s="59" t="n"/>
      <c r="T1691" s="59" t="n"/>
      <c r="U1691" s="64" t="str">
        <f>IF(OR(B1691="",H1691=""),"",IFERROR(IF(A1691="BL",IF(N(INDEX(art_price,MATCH(H1691,art_ref,0)))=0,"",N(INDEX(art_price,MATCH(H1691,art_ref,0)))),IF(N(INDEX(art_cost,MATCH(H1691,art_ref,0)))=0,"",N(INDEX(art_cost,MATCH(H1691,art_ref,0))))),""))</f>
        <v/>
      </c>
      <c r="V1691" s="64" t="str">
        <f>IF(OR(U1691="",NOT(ISNUMBER(L1691))),"",IF(L1691&lt;=0,"",ROUND(L1691*U1691,2)))</f>
        <v/>
      </c>
      <c r="W1691" s="60" t="str">
        <f>IF(AND(B1691&lt;&gt;"",A1691&lt;&gt;"BS",F1691&lt;&gt;"",H1691&lt;&gt;"",ISNUMBER(K1691),ISNUMBER(L1691)),IF(AND(K1691&gt;0,L1691&gt;0,K1691-L1691&gt;0,COUNTIFS(A1692:A$2005,A1691,F1692:F$2005,F1691,H1692:H$2005,H1691,AA1692:AA$2005,"&gt;0")=0),ROUND(K1691-L1691,6),""),"")</f>
        <v/>
      </c>
      <c r="X1691" s="60" t="str">
        <f>IF(AND(A1691="",C1691="",D1691="",H1691="",L1691=""),"",IF(A1691="","Type manquant",IF(AND(A1691&lt;&gt;"BL",A1691&lt;&gt;"BR",A1691&lt;&gt;"BS"),"Type inconnu (BL, BR ou BS)",IF(AG1691=0,"Date manquante ou invalide",IF(D1691="",IF(A1691="BL","Client manquant",IF(A1691="BR","Fournisseur manquant","Service manquant")),IF(IF(A1691="BL",ISNA(MATCH(D1691,cl_code,0)),IF(A1691="BR",ISNA(MATCH(D1691,fo_code,0)),ISNA(MATCH(D1691,p_services,0)))),IF(A1691="BL","Client inconnu",IF(A1691="BR","Fournisseur inconnu","Service inconnu")),IF(H1691="","Article manquant",IF(ISNA(MATCH(H1691,art_ref,0)),"Article inconnu",IF(OR(NOT(ISNUMBER(L1691)),N(L1691)&lt;=0),"Quantité invalide",IF(AND(K1691&lt;&gt;"",OR(NOT(ISNUMBER(K1691)),N(K1691)&lt;=0)),"Qté commandée invalide",IF(AG1691&lt;SUMPRODUCT(MAX((A$6:A1690=A1691)*AG$6:AG1690)),"Date antérieure au bon précédent",IF(AND(A1691&lt;&gt;"BR",ISNUMBER(M1691),N(M1691)&gt;0),IF(A1691="BL","Livré plus que commandé","Sorti plus que demandé"),"OK"))))))))))))</f>
        <v/>
      </c>
      <c r="Y1691" s="57" t="str">
        <f>IF(AND(OR(A1691="BL",A1691="BR",A1691="BS"),AG1691&gt;0,D1691&lt;&gt;""),A1691&amp;"|"&amp;AG1691&amp;"|"&amp;D1691&amp;"|"&amp;F1691,"")</f>
        <v/>
      </c>
      <c r="Z1691" s="57" t="str">
        <f>IF(Y1691="","",IF(COUNTIF(Y$6:Y1690,Y1691)=0,1,0))</f>
        <v/>
      </c>
      <c r="AA1691" s="57" t="str">
        <f>IF(Y1691="","",IF(Z1691=1,COUNTIFS(A$6:A1691,A1691,Z$6:Z1691,1),INDEX(AA$6:AA1690,MATCH(Y1691,Y$6:Y1690,0))))</f>
        <v/>
      </c>
      <c r="AB1691" s="57" t="str">
        <f>IF(B1691="","",COUNTIF(B$6:B1691,B1691))</f>
        <v/>
      </c>
      <c r="AC1691" s="57" t="str">
        <f>IF(B1691="","",B1691&amp;"#"&amp;AB1691)</f>
        <v/>
      </c>
      <c r="AD1691" s="57" t="str">
        <f>IF(Z1691=1,A1691&amp;AA1691,"")</f>
        <v/>
      </c>
      <c r="AE1691" s="57" t="str">
        <f>IF(B1691="","",YEAR(C1691))</f>
        <v/>
      </c>
      <c r="AF1691" s="57" t="str">
        <f>IF(B1691="","",MONTH(C1691))</f>
        <v/>
      </c>
      <c r="AG1691" s="57">
        <f>IF(ISNUMBER(C1691),C1691,0)</f>
        <v>0.0</v>
      </c>
      <c r="AH1691" s="57" t="str">
        <f>IF(N(W1691)&gt;0,COUNTIF(W$6:W1691,"&gt;0"),"")</f>
        <v/>
      </c>
      <c r="AI1691" s="57" t="str">
        <f>IF(Z1691=1,COUNTIF(Z$6:Z1691,1),"")</f>
        <v/>
      </c>
    </row>
    <row r="1692">
      <c r="A1692" s="54" t="n"/>
      <c r="B1692" s="55" t="str">
        <f>IF(AA1692="","",A1692&amp;"-"&amp;RIGHT("000"&amp;AA1692,4))</f>
        <v/>
      </c>
      <c r="C1692" s="56" t="n"/>
      <c r="D1692" s="54" t="n"/>
      <c r="E1692" s="57" t="str">
        <f>IF(D1692="","",IF(A1692="BL",IFERROR(INDEX(cl_name,MATCH(D1692,cl_code,0))&amp;"","Client inconnu"),IF(A1692="BR",IFERROR(INDEX(fo_name,MATCH(D1692,fo_code,0))&amp;"","Fournisseur inconnu"),IF(A1692="BS",IF(ISNA(MATCH(D1692,p_services,0)),"Service inconnu",D1692&amp;""),""))))</f>
        <v/>
      </c>
      <c r="F1692" s="58" t="n"/>
      <c r="G1692" s="58" t="n"/>
      <c r="H1692" s="59" t="n"/>
      <c r="I1692" s="57" t="str">
        <f>IF(H1692="","",IFERROR(INDEX(art_des,MATCH(H1692,art_ref,0))&amp;"","Article inconnu"))</f>
        <v/>
      </c>
      <c r="J1692" s="60" t="str">
        <f>IF(H1692="","",IFERROR(INDEX(art_unit,MATCH(H1692,art_ref,0))&amp;"",""))</f>
        <v/>
      </c>
      <c r="K1692" s="59" t="n"/>
      <c r="L1692" s="59" t="n"/>
      <c r="M1692" s="61" t="str">
        <f>IF(OR(B1692="",NOT(ISNUMBER(K1692)),NOT(ISNUMBER(L1692))),"",IF(OR(K1692&lt;=0,L1692&lt;=0),"",ROUND(L1692-K1692,6)))</f>
        <v/>
      </c>
      <c r="N1692" s="58" t="n"/>
      <c r="O1692" s="62" t="n"/>
      <c r="P1692" s="63" t="str">
        <f>IF(OR(B1692="",NOT(ISNUMBER(L1692))),"",IF(L1692&lt;=0,"",IFERROR(ROUND(L1692*N(INDEX(art_w,MATCH(H1692,art_ref,0))),3),"")))</f>
        <v/>
      </c>
      <c r="Q1692" s="59" t="n"/>
      <c r="R1692" s="54" t="n"/>
      <c r="S1692" s="59" t="n"/>
      <c r="T1692" s="59" t="n"/>
      <c r="U1692" s="64" t="str">
        <f>IF(OR(B1692="",H1692=""),"",IFERROR(IF(A1692="BL",IF(N(INDEX(art_price,MATCH(H1692,art_ref,0)))=0,"",N(INDEX(art_price,MATCH(H1692,art_ref,0)))),IF(N(INDEX(art_cost,MATCH(H1692,art_ref,0)))=0,"",N(INDEX(art_cost,MATCH(H1692,art_ref,0))))),""))</f>
        <v/>
      </c>
      <c r="V1692" s="64" t="str">
        <f>IF(OR(U1692="",NOT(ISNUMBER(L1692))),"",IF(L1692&lt;=0,"",ROUND(L1692*U1692,2)))</f>
        <v/>
      </c>
      <c r="W1692" s="60" t="str">
        <f>IF(AND(B1692&lt;&gt;"",A1692&lt;&gt;"BS",F1692&lt;&gt;"",H1692&lt;&gt;"",ISNUMBER(K1692),ISNUMBER(L1692)),IF(AND(K1692&gt;0,L1692&gt;0,K1692-L1692&gt;0,COUNTIFS(A1693:A$2005,A1692,F1693:F$2005,F1692,H1693:H$2005,H1692,AA1693:AA$2005,"&gt;0")=0),ROUND(K1692-L1692,6),""),"")</f>
        <v/>
      </c>
      <c r="X1692" s="60" t="str">
        <f>IF(AND(A1692="",C1692="",D1692="",H1692="",L1692=""),"",IF(A1692="","Type manquant",IF(AND(A1692&lt;&gt;"BL",A1692&lt;&gt;"BR",A1692&lt;&gt;"BS"),"Type inconnu (BL, BR ou BS)",IF(AG1692=0,"Date manquante ou invalide",IF(D1692="",IF(A1692="BL","Client manquant",IF(A1692="BR","Fournisseur manquant","Service manquant")),IF(IF(A1692="BL",ISNA(MATCH(D1692,cl_code,0)),IF(A1692="BR",ISNA(MATCH(D1692,fo_code,0)),ISNA(MATCH(D1692,p_services,0)))),IF(A1692="BL","Client inconnu",IF(A1692="BR","Fournisseur inconnu","Service inconnu")),IF(H1692="","Article manquant",IF(ISNA(MATCH(H1692,art_ref,0)),"Article inconnu",IF(OR(NOT(ISNUMBER(L1692)),N(L1692)&lt;=0),"Quantité invalide",IF(AND(K1692&lt;&gt;"",OR(NOT(ISNUMBER(K1692)),N(K1692)&lt;=0)),"Qté commandée invalide",IF(AG1692&lt;SUMPRODUCT(MAX((A$6:A1691=A1692)*AG$6:AG1691)),"Date antérieure au bon précédent",IF(AND(A1692&lt;&gt;"BR",ISNUMBER(M1692),N(M1692)&gt;0),IF(A1692="BL","Livré plus que commandé","Sorti plus que demandé"),"OK"))))))))))))</f>
        <v/>
      </c>
      <c r="Y1692" s="57" t="str">
        <f>IF(AND(OR(A1692="BL",A1692="BR",A1692="BS"),AG1692&gt;0,D1692&lt;&gt;""),A1692&amp;"|"&amp;AG1692&amp;"|"&amp;D1692&amp;"|"&amp;F1692,"")</f>
        <v/>
      </c>
      <c r="Z1692" s="57" t="str">
        <f>IF(Y1692="","",IF(COUNTIF(Y$6:Y1691,Y1692)=0,1,0))</f>
        <v/>
      </c>
      <c r="AA1692" s="57" t="str">
        <f>IF(Y1692="","",IF(Z1692=1,COUNTIFS(A$6:A1692,A1692,Z$6:Z1692,1),INDEX(AA$6:AA1691,MATCH(Y1692,Y$6:Y1691,0))))</f>
        <v/>
      </c>
      <c r="AB1692" s="57" t="str">
        <f>IF(B1692="","",COUNTIF(B$6:B1692,B1692))</f>
        <v/>
      </c>
      <c r="AC1692" s="57" t="str">
        <f>IF(B1692="","",B1692&amp;"#"&amp;AB1692)</f>
        <v/>
      </c>
      <c r="AD1692" s="57" t="str">
        <f>IF(Z1692=1,A1692&amp;AA1692,"")</f>
        <v/>
      </c>
      <c r="AE1692" s="57" t="str">
        <f>IF(B1692="","",YEAR(C1692))</f>
        <v/>
      </c>
      <c r="AF1692" s="57" t="str">
        <f>IF(B1692="","",MONTH(C1692))</f>
        <v/>
      </c>
      <c r="AG1692" s="57">
        <f>IF(ISNUMBER(C1692),C1692,0)</f>
        <v>0.0</v>
      </c>
      <c r="AH1692" s="57" t="str">
        <f>IF(N(W1692)&gt;0,COUNTIF(W$6:W1692,"&gt;0"),"")</f>
        <v/>
      </c>
      <c r="AI1692" s="57" t="str">
        <f>IF(Z1692=1,COUNTIF(Z$6:Z1692,1),"")</f>
        <v/>
      </c>
    </row>
    <row r="1693">
      <c r="A1693" s="54" t="n"/>
      <c r="B1693" s="55" t="str">
        <f>IF(AA1693="","",A1693&amp;"-"&amp;RIGHT("000"&amp;AA1693,4))</f>
        <v/>
      </c>
      <c r="C1693" s="56" t="n"/>
      <c r="D1693" s="54" t="n"/>
      <c r="E1693" s="57" t="str">
        <f>IF(D1693="","",IF(A1693="BL",IFERROR(INDEX(cl_name,MATCH(D1693,cl_code,0))&amp;"","Client inconnu"),IF(A1693="BR",IFERROR(INDEX(fo_name,MATCH(D1693,fo_code,0))&amp;"","Fournisseur inconnu"),IF(A1693="BS",IF(ISNA(MATCH(D1693,p_services,0)),"Service inconnu",D1693&amp;""),""))))</f>
        <v/>
      </c>
      <c r="F1693" s="58" t="n"/>
      <c r="G1693" s="58" t="n"/>
      <c r="H1693" s="59" t="n"/>
      <c r="I1693" s="57" t="str">
        <f>IF(H1693="","",IFERROR(INDEX(art_des,MATCH(H1693,art_ref,0))&amp;"","Article inconnu"))</f>
        <v/>
      </c>
      <c r="J1693" s="60" t="str">
        <f>IF(H1693="","",IFERROR(INDEX(art_unit,MATCH(H1693,art_ref,0))&amp;"",""))</f>
        <v/>
      </c>
      <c r="K1693" s="59" t="n"/>
      <c r="L1693" s="59" t="n"/>
      <c r="M1693" s="61" t="str">
        <f>IF(OR(B1693="",NOT(ISNUMBER(K1693)),NOT(ISNUMBER(L1693))),"",IF(OR(K1693&lt;=0,L1693&lt;=0),"",ROUND(L1693-K1693,6)))</f>
        <v/>
      </c>
      <c r="N1693" s="58" t="n"/>
      <c r="O1693" s="62" t="n"/>
      <c r="P1693" s="63" t="str">
        <f>IF(OR(B1693="",NOT(ISNUMBER(L1693))),"",IF(L1693&lt;=0,"",IFERROR(ROUND(L1693*N(INDEX(art_w,MATCH(H1693,art_ref,0))),3),"")))</f>
        <v/>
      </c>
      <c r="Q1693" s="59" t="n"/>
      <c r="R1693" s="54" t="n"/>
      <c r="S1693" s="59" t="n"/>
      <c r="T1693" s="59" t="n"/>
      <c r="U1693" s="64" t="str">
        <f>IF(OR(B1693="",H1693=""),"",IFERROR(IF(A1693="BL",IF(N(INDEX(art_price,MATCH(H1693,art_ref,0)))=0,"",N(INDEX(art_price,MATCH(H1693,art_ref,0)))),IF(N(INDEX(art_cost,MATCH(H1693,art_ref,0)))=0,"",N(INDEX(art_cost,MATCH(H1693,art_ref,0))))),""))</f>
        <v/>
      </c>
      <c r="V1693" s="64" t="str">
        <f>IF(OR(U1693="",NOT(ISNUMBER(L1693))),"",IF(L1693&lt;=0,"",ROUND(L1693*U1693,2)))</f>
        <v/>
      </c>
      <c r="W1693" s="60" t="str">
        <f>IF(AND(B1693&lt;&gt;"",A1693&lt;&gt;"BS",F1693&lt;&gt;"",H1693&lt;&gt;"",ISNUMBER(K1693),ISNUMBER(L1693)),IF(AND(K1693&gt;0,L1693&gt;0,K1693-L1693&gt;0,COUNTIFS(A1694:A$2005,A1693,F1694:F$2005,F1693,H1694:H$2005,H1693,AA1694:AA$2005,"&gt;0")=0),ROUND(K1693-L1693,6),""),"")</f>
        <v/>
      </c>
      <c r="X1693" s="60" t="str">
        <f>IF(AND(A1693="",C1693="",D1693="",H1693="",L1693=""),"",IF(A1693="","Type manquant",IF(AND(A1693&lt;&gt;"BL",A1693&lt;&gt;"BR",A1693&lt;&gt;"BS"),"Type inconnu (BL, BR ou BS)",IF(AG1693=0,"Date manquante ou invalide",IF(D1693="",IF(A1693="BL","Client manquant",IF(A1693="BR","Fournisseur manquant","Service manquant")),IF(IF(A1693="BL",ISNA(MATCH(D1693,cl_code,0)),IF(A1693="BR",ISNA(MATCH(D1693,fo_code,0)),ISNA(MATCH(D1693,p_services,0)))),IF(A1693="BL","Client inconnu",IF(A1693="BR","Fournisseur inconnu","Service inconnu")),IF(H1693="","Article manquant",IF(ISNA(MATCH(H1693,art_ref,0)),"Article inconnu",IF(OR(NOT(ISNUMBER(L1693)),N(L1693)&lt;=0),"Quantité invalide",IF(AND(K1693&lt;&gt;"",OR(NOT(ISNUMBER(K1693)),N(K1693)&lt;=0)),"Qté commandée invalide",IF(AG1693&lt;SUMPRODUCT(MAX((A$6:A1692=A1693)*AG$6:AG1692)),"Date antérieure au bon précédent",IF(AND(A1693&lt;&gt;"BR",ISNUMBER(M1693),N(M1693)&gt;0),IF(A1693="BL","Livré plus que commandé","Sorti plus que demandé"),"OK"))))))))))))</f>
        <v/>
      </c>
      <c r="Y1693" s="57" t="str">
        <f>IF(AND(OR(A1693="BL",A1693="BR",A1693="BS"),AG1693&gt;0,D1693&lt;&gt;""),A1693&amp;"|"&amp;AG1693&amp;"|"&amp;D1693&amp;"|"&amp;F1693,"")</f>
        <v/>
      </c>
      <c r="Z1693" s="57" t="str">
        <f>IF(Y1693="","",IF(COUNTIF(Y$6:Y1692,Y1693)=0,1,0))</f>
        <v/>
      </c>
      <c r="AA1693" s="57" t="str">
        <f>IF(Y1693="","",IF(Z1693=1,COUNTIFS(A$6:A1693,A1693,Z$6:Z1693,1),INDEX(AA$6:AA1692,MATCH(Y1693,Y$6:Y1692,0))))</f>
        <v/>
      </c>
      <c r="AB1693" s="57" t="str">
        <f>IF(B1693="","",COUNTIF(B$6:B1693,B1693))</f>
        <v/>
      </c>
      <c r="AC1693" s="57" t="str">
        <f>IF(B1693="","",B1693&amp;"#"&amp;AB1693)</f>
        <v/>
      </c>
      <c r="AD1693" s="57" t="str">
        <f>IF(Z1693=1,A1693&amp;AA1693,"")</f>
        <v/>
      </c>
      <c r="AE1693" s="57" t="str">
        <f>IF(B1693="","",YEAR(C1693))</f>
        <v/>
      </c>
      <c r="AF1693" s="57" t="str">
        <f>IF(B1693="","",MONTH(C1693))</f>
        <v/>
      </c>
      <c r="AG1693" s="57">
        <f>IF(ISNUMBER(C1693),C1693,0)</f>
        <v>0.0</v>
      </c>
      <c r="AH1693" s="57" t="str">
        <f>IF(N(W1693)&gt;0,COUNTIF(W$6:W1693,"&gt;0"),"")</f>
        <v/>
      </c>
      <c r="AI1693" s="57" t="str">
        <f>IF(Z1693=1,COUNTIF(Z$6:Z1693,1),"")</f>
        <v/>
      </c>
    </row>
    <row r="1694">
      <c r="A1694" s="54" t="n"/>
      <c r="B1694" s="55" t="str">
        <f>IF(AA1694="","",A1694&amp;"-"&amp;RIGHT("000"&amp;AA1694,4))</f>
        <v/>
      </c>
      <c r="C1694" s="56" t="n"/>
      <c r="D1694" s="54" t="n"/>
      <c r="E1694" s="57" t="str">
        <f>IF(D1694="","",IF(A1694="BL",IFERROR(INDEX(cl_name,MATCH(D1694,cl_code,0))&amp;"","Client inconnu"),IF(A1694="BR",IFERROR(INDEX(fo_name,MATCH(D1694,fo_code,0))&amp;"","Fournisseur inconnu"),IF(A1694="BS",IF(ISNA(MATCH(D1694,p_services,0)),"Service inconnu",D1694&amp;""),""))))</f>
        <v/>
      </c>
      <c r="F1694" s="58" t="n"/>
      <c r="G1694" s="58" t="n"/>
      <c r="H1694" s="59" t="n"/>
      <c r="I1694" s="57" t="str">
        <f>IF(H1694="","",IFERROR(INDEX(art_des,MATCH(H1694,art_ref,0))&amp;"","Article inconnu"))</f>
        <v/>
      </c>
      <c r="J1694" s="60" t="str">
        <f>IF(H1694="","",IFERROR(INDEX(art_unit,MATCH(H1694,art_ref,0))&amp;"",""))</f>
        <v/>
      </c>
      <c r="K1694" s="59" t="n"/>
      <c r="L1694" s="59" t="n"/>
      <c r="M1694" s="61" t="str">
        <f>IF(OR(B1694="",NOT(ISNUMBER(K1694)),NOT(ISNUMBER(L1694))),"",IF(OR(K1694&lt;=0,L1694&lt;=0),"",ROUND(L1694-K1694,6)))</f>
        <v/>
      </c>
      <c r="N1694" s="58" t="n"/>
      <c r="O1694" s="62" t="n"/>
      <c r="P1694" s="63" t="str">
        <f>IF(OR(B1694="",NOT(ISNUMBER(L1694))),"",IF(L1694&lt;=0,"",IFERROR(ROUND(L1694*N(INDEX(art_w,MATCH(H1694,art_ref,0))),3),"")))</f>
        <v/>
      </c>
      <c r="Q1694" s="59" t="n"/>
      <c r="R1694" s="54" t="n"/>
      <c r="S1694" s="59" t="n"/>
      <c r="T1694" s="59" t="n"/>
      <c r="U1694" s="64" t="str">
        <f>IF(OR(B1694="",H1694=""),"",IFERROR(IF(A1694="BL",IF(N(INDEX(art_price,MATCH(H1694,art_ref,0)))=0,"",N(INDEX(art_price,MATCH(H1694,art_ref,0)))),IF(N(INDEX(art_cost,MATCH(H1694,art_ref,0)))=0,"",N(INDEX(art_cost,MATCH(H1694,art_ref,0))))),""))</f>
        <v/>
      </c>
      <c r="V1694" s="64" t="str">
        <f>IF(OR(U1694="",NOT(ISNUMBER(L1694))),"",IF(L1694&lt;=0,"",ROUND(L1694*U1694,2)))</f>
        <v/>
      </c>
      <c r="W1694" s="60" t="str">
        <f>IF(AND(B1694&lt;&gt;"",A1694&lt;&gt;"BS",F1694&lt;&gt;"",H1694&lt;&gt;"",ISNUMBER(K1694),ISNUMBER(L1694)),IF(AND(K1694&gt;0,L1694&gt;0,K1694-L1694&gt;0,COUNTIFS(A1695:A$2005,A1694,F1695:F$2005,F1694,H1695:H$2005,H1694,AA1695:AA$2005,"&gt;0")=0),ROUND(K1694-L1694,6),""),"")</f>
        <v/>
      </c>
      <c r="X1694" s="60" t="str">
        <f>IF(AND(A1694="",C1694="",D1694="",H1694="",L1694=""),"",IF(A1694="","Type manquant",IF(AND(A1694&lt;&gt;"BL",A1694&lt;&gt;"BR",A1694&lt;&gt;"BS"),"Type inconnu (BL, BR ou BS)",IF(AG1694=0,"Date manquante ou invalide",IF(D1694="",IF(A1694="BL","Client manquant",IF(A1694="BR","Fournisseur manquant","Service manquant")),IF(IF(A1694="BL",ISNA(MATCH(D1694,cl_code,0)),IF(A1694="BR",ISNA(MATCH(D1694,fo_code,0)),ISNA(MATCH(D1694,p_services,0)))),IF(A1694="BL","Client inconnu",IF(A1694="BR","Fournisseur inconnu","Service inconnu")),IF(H1694="","Article manquant",IF(ISNA(MATCH(H1694,art_ref,0)),"Article inconnu",IF(OR(NOT(ISNUMBER(L1694)),N(L1694)&lt;=0),"Quantité invalide",IF(AND(K1694&lt;&gt;"",OR(NOT(ISNUMBER(K1694)),N(K1694)&lt;=0)),"Qté commandée invalide",IF(AG1694&lt;SUMPRODUCT(MAX((A$6:A1693=A1694)*AG$6:AG1693)),"Date antérieure au bon précédent",IF(AND(A1694&lt;&gt;"BR",ISNUMBER(M1694),N(M1694)&gt;0),IF(A1694="BL","Livré plus que commandé","Sorti plus que demandé"),"OK"))))))))))))</f>
        <v/>
      </c>
      <c r="Y1694" s="57" t="str">
        <f>IF(AND(OR(A1694="BL",A1694="BR",A1694="BS"),AG1694&gt;0,D1694&lt;&gt;""),A1694&amp;"|"&amp;AG1694&amp;"|"&amp;D1694&amp;"|"&amp;F1694,"")</f>
        <v/>
      </c>
      <c r="Z1694" s="57" t="str">
        <f>IF(Y1694="","",IF(COUNTIF(Y$6:Y1693,Y1694)=0,1,0))</f>
        <v/>
      </c>
      <c r="AA1694" s="57" t="str">
        <f>IF(Y1694="","",IF(Z1694=1,COUNTIFS(A$6:A1694,A1694,Z$6:Z1694,1),INDEX(AA$6:AA1693,MATCH(Y1694,Y$6:Y1693,0))))</f>
        <v/>
      </c>
      <c r="AB1694" s="57" t="str">
        <f>IF(B1694="","",COUNTIF(B$6:B1694,B1694))</f>
        <v/>
      </c>
      <c r="AC1694" s="57" t="str">
        <f>IF(B1694="","",B1694&amp;"#"&amp;AB1694)</f>
        <v/>
      </c>
      <c r="AD1694" s="57" t="str">
        <f>IF(Z1694=1,A1694&amp;AA1694,"")</f>
        <v/>
      </c>
      <c r="AE1694" s="57" t="str">
        <f>IF(B1694="","",YEAR(C1694))</f>
        <v/>
      </c>
      <c r="AF1694" s="57" t="str">
        <f>IF(B1694="","",MONTH(C1694))</f>
        <v/>
      </c>
      <c r="AG1694" s="57">
        <f>IF(ISNUMBER(C1694),C1694,0)</f>
        <v>0.0</v>
      </c>
      <c r="AH1694" s="57" t="str">
        <f>IF(N(W1694)&gt;0,COUNTIF(W$6:W1694,"&gt;0"),"")</f>
        <v/>
      </c>
      <c r="AI1694" s="57" t="str">
        <f>IF(Z1694=1,COUNTIF(Z$6:Z1694,1),"")</f>
        <v/>
      </c>
    </row>
    <row r="1695">
      <c r="A1695" s="54" t="n"/>
      <c r="B1695" s="55" t="str">
        <f>IF(AA1695="","",A1695&amp;"-"&amp;RIGHT("000"&amp;AA1695,4))</f>
        <v/>
      </c>
      <c r="C1695" s="56" t="n"/>
      <c r="D1695" s="54" t="n"/>
      <c r="E1695" s="57" t="str">
        <f>IF(D1695="","",IF(A1695="BL",IFERROR(INDEX(cl_name,MATCH(D1695,cl_code,0))&amp;"","Client inconnu"),IF(A1695="BR",IFERROR(INDEX(fo_name,MATCH(D1695,fo_code,0))&amp;"","Fournisseur inconnu"),IF(A1695="BS",IF(ISNA(MATCH(D1695,p_services,0)),"Service inconnu",D1695&amp;""),""))))</f>
        <v/>
      </c>
      <c r="F1695" s="58" t="n"/>
      <c r="G1695" s="58" t="n"/>
      <c r="H1695" s="59" t="n"/>
      <c r="I1695" s="57" t="str">
        <f>IF(H1695="","",IFERROR(INDEX(art_des,MATCH(H1695,art_ref,0))&amp;"","Article inconnu"))</f>
        <v/>
      </c>
      <c r="J1695" s="60" t="str">
        <f>IF(H1695="","",IFERROR(INDEX(art_unit,MATCH(H1695,art_ref,0))&amp;"",""))</f>
        <v/>
      </c>
      <c r="K1695" s="59" t="n"/>
      <c r="L1695" s="59" t="n"/>
      <c r="M1695" s="61" t="str">
        <f>IF(OR(B1695="",NOT(ISNUMBER(K1695)),NOT(ISNUMBER(L1695))),"",IF(OR(K1695&lt;=0,L1695&lt;=0),"",ROUND(L1695-K1695,6)))</f>
        <v/>
      </c>
      <c r="N1695" s="58" t="n"/>
      <c r="O1695" s="62" t="n"/>
      <c r="P1695" s="63" t="str">
        <f>IF(OR(B1695="",NOT(ISNUMBER(L1695))),"",IF(L1695&lt;=0,"",IFERROR(ROUND(L1695*N(INDEX(art_w,MATCH(H1695,art_ref,0))),3),"")))</f>
        <v/>
      </c>
      <c r="Q1695" s="59" t="n"/>
      <c r="R1695" s="54" t="n"/>
      <c r="S1695" s="59" t="n"/>
      <c r="T1695" s="59" t="n"/>
      <c r="U1695" s="64" t="str">
        <f>IF(OR(B1695="",H1695=""),"",IFERROR(IF(A1695="BL",IF(N(INDEX(art_price,MATCH(H1695,art_ref,0)))=0,"",N(INDEX(art_price,MATCH(H1695,art_ref,0)))),IF(N(INDEX(art_cost,MATCH(H1695,art_ref,0)))=0,"",N(INDEX(art_cost,MATCH(H1695,art_ref,0))))),""))</f>
        <v/>
      </c>
      <c r="V1695" s="64" t="str">
        <f>IF(OR(U1695="",NOT(ISNUMBER(L1695))),"",IF(L1695&lt;=0,"",ROUND(L1695*U1695,2)))</f>
        <v/>
      </c>
      <c r="W1695" s="60" t="str">
        <f>IF(AND(B1695&lt;&gt;"",A1695&lt;&gt;"BS",F1695&lt;&gt;"",H1695&lt;&gt;"",ISNUMBER(K1695),ISNUMBER(L1695)),IF(AND(K1695&gt;0,L1695&gt;0,K1695-L1695&gt;0,COUNTIFS(A1696:A$2005,A1695,F1696:F$2005,F1695,H1696:H$2005,H1695,AA1696:AA$2005,"&gt;0")=0),ROUND(K1695-L1695,6),""),"")</f>
        <v/>
      </c>
      <c r="X1695" s="60" t="str">
        <f>IF(AND(A1695="",C1695="",D1695="",H1695="",L1695=""),"",IF(A1695="","Type manquant",IF(AND(A1695&lt;&gt;"BL",A1695&lt;&gt;"BR",A1695&lt;&gt;"BS"),"Type inconnu (BL, BR ou BS)",IF(AG1695=0,"Date manquante ou invalide",IF(D1695="",IF(A1695="BL","Client manquant",IF(A1695="BR","Fournisseur manquant","Service manquant")),IF(IF(A1695="BL",ISNA(MATCH(D1695,cl_code,0)),IF(A1695="BR",ISNA(MATCH(D1695,fo_code,0)),ISNA(MATCH(D1695,p_services,0)))),IF(A1695="BL","Client inconnu",IF(A1695="BR","Fournisseur inconnu","Service inconnu")),IF(H1695="","Article manquant",IF(ISNA(MATCH(H1695,art_ref,0)),"Article inconnu",IF(OR(NOT(ISNUMBER(L1695)),N(L1695)&lt;=0),"Quantité invalide",IF(AND(K1695&lt;&gt;"",OR(NOT(ISNUMBER(K1695)),N(K1695)&lt;=0)),"Qté commandée invalide",IF(AG1695&lt;SUMPRODUCT(MAX((A$6:A1694=A1695)*AG$6:AG1694)),"Date antérieure au bon précédent",IF(AND(A1695&lt;&gt;"BR",ISNUMBER(M1695),N(M1695)&gt;0),IF(A1695="BL","Livré plus que commandé","Sorti plus que demandé"),"OK"))))))))))))</f>
        <v/>
      </c>
      <c r="Y1695" s="57" t="str">
        <f>IF(AND(OR(A1695="BL",A1695="BR",A1695="BS"),AG1695&gt;0,D1695&lt;&gt;""),A1695&amp;"|"&amp;AG1695&amp;"|"&amp;D1695&amp;"|"&amp;F1695,"")</f>
        <v/>
      </c>
      <c r="Z1695" s="57" t="str">
        <f>IF(Y1695="","",IF(COUNTIF(Y$6:Y1694,Y1695)=0,1,0))</f>
        <v/>
      </c>
      <c r="AA1695" s="57" t="str">
        <f>IF(Y1695="","",IF(Z1695=1,COUNTIFS(A$6:A1695,A1695,Z$6:Z1695,1),INDEX(AA$6:AA1694,MATCH(Y1695,Y$6:Y1694,0))))</f>
        <v/>
      </c>
      <c r="AB1695" s="57" t="str">
        <f>IF(B1695="","",COUNTIF(B$6:B1695,B1695))</f>
        <v/>
      </c>
      <c r="AC1695" s="57" t="str">
        <f>IF(B1695="","",B1695&amp;"#"&amp;AB1695)</f>
        <v/>
      </c>
      <c r="AD1695" s="57" t="str">
        <f>IF(Z1695=1,A1695&amp;AA1695,"")</f>
        <v/>
      </c>
      <c r="AE1695" s="57" t="str">
        <f>IF(B1695="","",YEAR(C1695))</f>
        <v/>
      </c>
      <c r="AF1695" s="57" t="str">
        <f>IF(B1695="","",MONTH(C1695))</f>
        <v/>
      </c>
      <c r="AG1695" s="57">
        <f>IF(ISNUMBER(C1695),C1695,0)</f>
        <v>0.0</v>
      </c>
      <c r="AH1695" s="57" t="str">
        <f>IF(N(W1695)&gt;0,COUNTIF(W$6:W1695,"&gt;0"),"")</f>
        <v/>
      </c>
      <c r="AI1695" s="57" t="str">
        <f>IF(Z1695=1,COUNTIF(Z$6:Z1695,1),"")</f>
        <v/>
      </c>
    </row>
    <row r="1696">
      <c r="A1696" s="54" t="n"/>
      <c r="B1696" s="55" t="str">
        <f>IF(AA1696="","",A1696&amp;"-"&amp;RIGHT("000"&amp;AA1696,4))</f>
        <v/>
      </c>
      <c r="C1696" s="56" t="n"/>
      <c r="D1696" s="54" t="n"/>
      <c r="E1696" s="57" t="str">
        <f>IF(D1696="","",IF(A1696="BL",IFERROR(INDEX(cl_name,MATCH(D1696,cl_code,0))&amp;"","Client inconnu"),IF(A1696="BR",IFERROR(INDEX(fo_name,MATCH(D1696,fo_code,0))&amp;"","Fournisseur inconnu"),IF(A1696="BS",IF(ISNA(MATCH(D1696,p_services,0)),"Service inconnu",D1696&amp;""),""))))</f>
        <v/>
      </c>
      <c r="F1696" s="58" t="n"/>
      <c r="G1696" s="58" t="n"/>
      <c r="H1696" s="59" t="n"/>
      <c r="I1696" s="57" t="str">
        <f>IF(H1696="","",IFERROR(INDEX(art_des,MATCH(H1696,art_ref,0))&amp;"","Article inconnu"))</f>
        <v/>
      </c>
      <c r="J1696" s="60" t="str">
        <f>IF(H1696="","",IFERROR(INDEX(art_unit,MATCH(H1696,art_ref,0))&amp;"",""))</f>
        <v/>
      </c>
      <c r="K1696" s="59" t="n"/>
      <c r="L1696" s="59" t="n"/>
      <c r="M1696" s="61" t="str">
        <f>IF(OR(B1696="",NOT(ISNUMBER(K1696)),NOT(ISNUMBER(L1696))),"",IF(OR(K1696&lt;=0,L1696&lt;=0),"",ROUND(L1696-K1696,6)))</f>
        <v/>
      </c>
      <c r="N1696" s="58" t="n"/>
      <c r="O1696" s="62" t="n"/>
      <c r="P1696" s="63" t="str">
        <f>IF(OR(B1696="",NOT(ISNUMBER(L1696))),"",IF(L1696&lt;=0,"",IFERROR(ROUND(L1696*N(INDEX(art_w,MATCH(H1696,art_ref,0))),3),"")))</f>
        <v/>
      </c>
      <c r="Q1696" s="59" t="n"/>
      <c r="R1696" s="54" t="n"/>
      <c r="S1696" s="59" t="n"/>
      <c r="T1696" s="59" t="n"/>
      <c r="U1696" s="64" t="str">
        <f>IF(OR(B1696="",H1696=""),"",IFERROR(IF(A1696="BL",IF(N(INDEX(art_price,MATCH(H1696,art_ref,0)))=0,"",N(INDEX(art_price,MATCH(H1696,art_ref,0)))),IF(N(INDEX(art_cost,MATCH(H1696,art_ref,0)))=0,"",N(INDEX(art_cost,MATCH(H1696,art_ref,0))))),""))</f>
        <v/>
      </c>
      <c r="V1696" s="64" t="str">
        <f>IF(OR(U1696="",NOT(ISNUMBER(L1696))),"",IF(L1696&lt;=0,"",ROUND(L1696*U1696,2)))</f>
        <v/>
      </c>
      <c r="W1696" s="60" t="str">
        <f>IF(AND(B1696&lt;&gt;"",A1696&lt;&gt;"BS",F1696&lt;&gt;"",H1696&lt;&gt;"",ISNUMBER(K1696),ISNUMBER(L1696)),IF(AND(K1696&gt;0,L1696&gt;0,K1696-L1696&gt;0,COUNTIFS(A1697:A$2005,A1696,F1697:F$2005,F1696,H1697:H$2005,H1696,AA1697:AA$2005,"&gt;0")=0),ROUND(K1696-L1696,6),""),"")</f>
        <v/>
      </c>
      <c r="X1696" s="60" t="str">
        <f>IF(AND(A1696="",C1696="",D1696="",H1696="",L1696=""),"",IF(A1696="","Type manquant",IF(AND(A1696&lt;&gt;"BL",A1696&lt;&gt;"BR",A1696&lt;&gt;"BS"),"Type inconnu (BL, BR ou BS)",IF(AG1696=0,"Date manquante ou invalide",IF(D1696="",IF(A1696="BL","Client manquant",IF(A1696="BR","Fournisseur manquant","Service manquant")),IF(IF(A1696="BL",ISNA(MATCH(D1696,cl_code,0)),IF(A1696="BR",ISNA(MATCH(D1696,fo_code,0)),ISNA(MATCH(D1696,p_services,0)))),IF(A1696="BL","Client inconnu",IF(A1696="BR","Fournisseur inconnu","Service inconnu")),IF(H1696="","Article manquant",IF(ISNA(MATCH(H1696,art_ref,0)),"Article inconnu",IF(OR(NOT(ISNUMBER(L1696)),N(L1696)&lt;=0),"Quantité invalide",IF(AND(K1696&lt;&gt;"",OR(NOT(ISNUMBER(K1696)),N(K1696)&lt;=0)),"Qté commandée invalide",IF(AG1696&lt;SUMPRODUCT(MAX((A$6:A1695=A1696)*AG$6:AG1695)),"Date antérieure au bon précédent",IF(AND(A1696&lt;&gt;"BR",ISNUMBER(M1696),N(M1696)&gt;0),IF(A1696="BL","Livré plus que commandé","Sorti plus que demandé"),"OK"))))))))))))</f>
        <v/>
      </c>
      <c r="Y1696" s="57" t="str">
        <f>IF(AND(OR(A1696="BL",A1696="BR",A1696="BS"),AG1696&gt;0,D1696&lt;&gt;""),A1696&amp;"|"&amp;AG1696&amp;"|"&amp;D1696&amp;"|"&amp;F1696,"")</f>
        <v/>
      </c>
      <c r="Z1696" s="57" t="str">
        <f>IF(Y1696="","",IF(COUNTIF(Y$6:Y1695,Y1696)=0,1,0))</f>
        <v/>
      </c>
      <c r="AA1696" s="57" t="str">
        <f>IF(Y1696="","",IF(Z1696=1,COUNTIFS(A$6:A1696,A1696,Z$6:Z1696,1),INDEX(AA$6:AA1695,MATCH(Y1696,Y$6:Y1695,0))))</f>
        <v/>
      </c>
      <c r="AB1696" s="57" t="str">
        <f>IF(B1696="","",COUNTIF(B$6:B1696,B1696))</f>
        <v/>
      </c>
      <c r="AC1696" s="57" t="str">
        <f>IF(B1696="","",B1696&amp;"#"&amp;AB1696)</f>
        <v/>
      </c>
      <c r="AD1696" s="57" t="str">
        <f>IF(Z1696=1,A1696&amp;AA1696,"")</f>
        <v/>
      </c>
      <c r="AE1696" s="57" t="str">
        <f>IF(B1696="","",YEAR(C1696))</f>
        <v/>
      </c>
      <c r="AF1696" s="57" t="str">
        <f>IF(B1696="","",MONTH(C1696))</f>
        <v/>
      </c>
      <c r="AG1696" s="57">
        <f>IF(ISNUMBER(C1696),C1696,0)</f>
        <v>0.0</v>
      </c>
      <c r="AH1696" s="57" t="str">
        <f>IF(N(W1696)&gt;0,COUNTIF(W$6:W1696,"&gt;0"),"")</f>
        <v/>
      </c>
      <c r="AI1696" s="57" t="str">
        <f>IF(Z1696=1,COUNTIF(Z$6:Z1696,1),"")</f>
        <v/>
      </c>
    </row>
    <row r="1697">
      <c r="A1697" s="54" t="n"/>
      <c r="B1697" s="55" t="str">
        <f>IF(AA1697="","",A1697&amp;"-"&amp;RIGHT("000"&amp;AA1697,4))</f>
        <v/>
      </c>
      <c r="C1697" s="56" t="n"/>
      <c r="D1697" s="54" t="n"/>
      <c r="E1697" s="57" t="str">
        <f>IF(D1697="","",IF(A1697="BL",IFERROR(INDEX(cl_name,MATCH(D1697,cl_code,0))&amp;"","Client inconnu"),IF(A1697="BR",IFERROR(INDEX(fo_name,MATCH(D1697,fo_code,0))&amp;"","Fournisseur inconnu"),IF(A1697="BS",IF(ISNA(MATCH(D1697,p_services,0)),"Service inconnu",D1697&amp;""),""))))</f>
        <v/>
      </c>
      <c r="F1697" s="58" t="n"/>
      <c r="G1697" s="58" t="n"/>
      <c r="H1697" s="59" t="n"/>
      <c r="I1697" s="57" t="str">
        <f>IF(H1697="","",IFERROR(INDEX(art_des,MATCH(H1697,art_ref,0))&amp;"","Article inconnu"))</f>
        <v/>
      </c>
      <c r="J1697" s="60" t="str">
        <f>IF(H1697="","",IFERROR(INDEX(art_unit,MATCH(H1697,art_ref,0))&amp;"",""))</f>
        <v/>
      </c>
      <c r="K1697" s="59" t="n"/>
      <c r="L1697" s="59" t="n"/>
      <c r="M1697" s="61" t="str">
        <f>IF(OR(B1697="",NOT(ISNUMBER(K1697)),NOT(ISNUMBER(L1697))),"",IF(OR(K1697&lt;=0,L1697&lt;=0),"",ROUND(L1697-K1697,6)))</f>
        <v/>
      </c>
      <c r="N1697" s="58" t="n"/>
      <c r="O1697" s="62" t="n"/>
      <c r="P1697" s="63" t="str">
        <f>IF(OR(B1697="",NOT(ISNUMBER(L1697))),"",IF(L1697&lt;=0,"",IFERROR(ROUND(L1697*N(INDEX(art_w,MATCH(H1697,art_ref,0))),3),"")))</f>
        <v/>
      </c>
      <c r="Q1697" s="59" t="n"/>
      <c r="R1697" s="54" t="n"/>
      <c r="S1697" s="59" t="n"/>
      <c r="T1697" s="59" t="n"/>
      <c r="U1697" s="64" t="str">
        <f>IF(OR(B1697="",H1697=""),"",IFERROR(IF(A1697="BL",IF(N(INDEX(art_price,MATCH(H1697,art_ref,0)))=0,"",N(INDEX(art_price,MATCH(H1697,art_ref,0)))),IF(N(INDEX(art_cost,MATCH(H1697,art_ref,0)))=0,"",N(INDEX(art_cost,MATCH(H1697,art_ref,0))))),""))</f>
        <v/>
      </c>
      <c r="V1697" s="64" t="str">
        <f>IF(OR(U1697="",NOT(ISNUMBER(L1697))),"",IF(L1697&lt;=0,"",ROUND(L1697*U1697,2)))</f>
        <v/>
      </c>
      <c r="W1697" s="60" t="str">
        <f>IF(AND(B1697&lt;&gt;"",A1697&lt;&gt;"BS",F1697&lt;&gt;"",H1697&lt;&gt;"",ISNUMBER(K1697),ISNUMBER(L1697)),IF(AND(K1697&gt;0,L1697&gt;0,K1697-L1697&gt;0,COUNTIFS(A1698:A$2005,A1697,F1698:F$2005,F1697,H1698:H$2005,H1697,AA1698:AA$2005,"&gt;0")=0),ROUND(K1697-L1697,6),""),"")</f>
        <v/>
      </c>
      <c r="X1697" s="60" t="str">
        <f>IF(AND(A1697="",C1697="",D1697="",H1697="",L1697=""),"",IF(A1697="","Type manquant",IF(AND(A1697&lt;&gt;"BL",A1697&lt;&gt;"BR",A1697&lt;&gt;"BS"),"Type inconnu (BL, BR ou BS)",IF(AG1697=0,"Date manquante ou invalide",IF(D1697="",IF(A1697="BL","Client manquant",IF(A1697="BR","Fournisseur manquant","Service manquant")),IF(IF(A1697="BL",ISNA(MATCH(D1697,cl_code,0)),IF(A1697="BR",ISNA(MATCH(D1697,fo_code,0)),ISNA(MATCH(D1697,p_services,0)))),IF(A1697="BL","Client inconnu",IF(A1697="BR","Fournisseur inconnu","Service inconnu")),IF(H1697="","Article manquant",IF(ISNA(MATCH(H1697,art_ref,0)),"Article inconnu",IF(OR(NOT(ISNUMBER(L1697)),N(L1697)&lt;=0),"Quantité invalide",IF(AND(K1697&lt;&gt;"",OR(NOT(ISNUMBER(K1697)),N(K1697)&lt;=0)),"Qté commandée invalide",IF(AG1697&lt;SUMPRODUCT(MAX((A$6:A1696=A1697)*AG$6:AG1696)),"Date antérieure au bon précédent",IF(AND(A1697&lt;&gt;"BR",ISNUMBER(M1697),N(M1697)&gt;0),IF(A1697="BL","Livré plus que commandé","Sorti plus que demandé"),"OK"))))))))))))</f>
        <v/>
      </c>
      <c r="Y1697" s="57" t="str">
        <f>IF(AND(OR(A1697="BL",A1697="BR",A1697="BS"),AG1697&gt;0,D1697&lt;&gt;""),A1697&amp;"|"&amp;AG1697&amp;"|"&amp;D1697&amp;"|"&amp;F1697,"")</f>
        <v/>
      </c>
      <c r="Z1697" s="57" t="str">
        <f>IF(Y1697="","",IF(COUNTIF(Y$6:Y1696,Y1697)=0,1,0))</f>
        <v/>
      </c>
      <c r="AA1697" s="57" t="str">
        <f>IF(Y1697="","",IF(Z1697=1,COUNTIFS(A$6:A1697,A1697,Z$6:Z1697,1),INDEX(AA$6:AA1696,MATCH(Y1697,Y$6:Y1696,0))))</f>
        <v/>
      </c>
      <c r="AB1697" s="57" t="str">
        <f>IF(B1697="","",COUNTIF(B$6:B1697,B1697))</f>
        <v/>
      </c>
      <c r="AC1697" s="57" t="str">
        <f>IF(B1697="","",B1697&amp;"#"&amp;AB1697)</f>
        <v/>
      </c>
      <c r="AD1697" s="57" t="str">
        <f>IF(Z1697=1,A1697&amp;AA1697,"")</f>
        <v/>
      </c>
      <c r="AE1697" s="57" t="str">
        <f>IF(B1697="","",YEAR(C1697))</f>
        <v/>
      </c>
      <c r="AF1697" s="57" t="str">
        <f>IF(B1697="","",MONTH(C1697))</f>
        <v/>
      </c>
      <c r="AG1697" s="57">
        <f>IF(ISNUMBER(C1697),C1697,0)</f>
        <v>0.0</v>
      </c>
      <c r="AH1697" s="57" t="str">
        <f>IF(N(W1697)&gt;0,COUNTIF(W$6:W1697,"&gt;0"),"")</f>
        <v/>
      </c>
      <c r="AI1697" s="57" t="str">
        <f>IF(Z1697=1,COUNTIF(Z$6:Z1697,1),"")</f>
        <v/>
      </c>
    </row>
    <row r="1698">
      <c r="A1698" s="54" t="n"/>
      <c r="B1698" s="55" t="str">
        <f>IF(AA1698="","",A1698&amp;"-"&amp;RIGHT("000"&amp;AA1698,4))</f>
        <v/>
      </c>
      <c r="C1698" s="56" t="n"/>
      <c r="D1698" s="54" t="n"/>
      <c r="E1698" s="57" t="str">
        <f>IF(D1698="","",IF(A1698="BL",IFERROR(INDEX(cl_name,MATCH(D1698,cl_code,0))&amp;"","Client inconnu"),IF(A1698="BR",IFERROR(INDEX(fo_name,MATCH(D1698,fo_code,0))&amp;"","Fournisseur inconnu"),IF(A1698="BS",IF(ISNA(MATCH(D1698,p_services,0)),"Service inconnu",D1698&amp;""),""))))</f>
        <v/>
      </c>
      <c r="F1698" s="58" t="n"/>
      <c r="G1698" s="58" t="n"/>
      <c r="H1698" s="59" t="n"/>
      <c r="I1698" s="57" t="str">
        <f>IF(H1698="","",IFERROR(INDEX(art_des,MATCH(H1698,art_ref,0))&amp;"","Article inconnu"))</f>
        <v/>
      </c>
      <c r="J1698" s="60" t="str">
        <f>IF(H1698="","",IFERROR(INDEX(art_unit,MATCH(H1698,art_ref,0))&amp;"",""))</f>
        <v/>
      </c>
      <c r="K1698" s="59" t="n"/>
      <c r="L1698" s="59" t="n"/>
      <c r="M1698" s="61" t="str">
        <f>IF(OR(B1698="",NOT(ISNUMBER(K1698)),NOT(ISNUMBER(L1698))),"",IF(OR(K1698&lt;=0,L1698&lt;=0),"",ROUND(L1698-K1698,6)))</f>
        <v/>
      </c>
      <c r="N1698" s="58" t="n"/>
      <c r="O1698" s="62" t="n"/>
      <c r="P1698" s="63" t="str">
        <f>IF(OR(B1698="",NOT(ISNUMBER(L1698))),"",IF(L1698&lt;=0,"",IFERROR(ROUND(L1698*N(INDEX(art_w,MATCH(H1698,art_ref,0))),3),"")))</f>
        <v/>
      </c>
      <c r="Q1698" s="59" t="n"/>
      <c r="R1698" s="54" t="n"/>
      <c r="S1698" s="59" t="n"/>
      <c r="T1698" s="59" t="n"/>
      <c r="U1698" s="64" t="str">
        <f>IF(OR(B1698="",H1698=""),"",IFERROR(IF(A1698="BL",IF(N(INDEX(art_price,MATCH(H1698,art_ref,0)))=0,"",N(INDEX(art_price,MATCH(H1698,art_ref,0)))),IF(N(INDEX(art_cost,MATCH(H1698,art_ref,0)))=0,"",N(INDEX(art_cost,MATCH(H1698,art_ref,0))))),""))</f>
        <v/>
      </c>
      <c r="V1698" s="64" t="str">
        <f>IF(OR(U1698="",NOT(ISNUMBER(L1698))),"",IF(L1698&lt;=0,"",ROUND(L1698*U1698,2)))</f>
        <v/>
      </c>
      <c r="W1698" s="60" t="str">
        <f>IF(AND(B1698&lt;&gt;"",A1698&lt;&gt;"BS",F1698&lt;&gt;"",H1698&lt;&gt;"",ISNUMBER(K1698),ISNUMBER(L1698)),IF(AND(K1698&gt;0,L1698&gt;0,K1698-L1698&gt;0,COUNTIFS(A1699:A$2005,A1698,F1699:F$2005,F1698,H1699:H$2005,H1698,AA1699:AA$2005,"&gt;0")=0),ROUND(K1698-L1698,6),""),"")</f>
        <v/>
      </c>
      <c r="X1698" s="60" t="str">
        <f>IF(AND(A1698="",C1698="",D1698="",H1698="",L1698=""),"",IF(A1698="","Type manquant",IF(AND(A1698&lt;&gt;"BL",A1698&lt;&gt;"BR",A1698&lt;&gt;"BS"),"Type inconnu (BL, BR ou BS)",IF(AG1698=0,"Date manquante ou invalide",IF(D1698="",IF(A1698="BL","Client manquant",IF(A1698="BR","Fournisseur manquant","Service manquant")),IF(IF(A1698="BL",ISNA(MATCH(D1698,cl_code,0)),IF(A1698="BR",ISNA(MATCH(D1698,fo_code,0)),ISNA(MATCH(D1698,p_services,0)))),IF(A1698="BL","Client inconnu",IF(A1698="BR","Fournisseur inconnu","Service inconnu")),IF(H1698="","Article manquant",IF(ISNA(MATCH(H1698,art_ref,0)),"Article inconnu",IF(OR(NOT(ISNUMBER(L1698)),N(L1698)&lt;=0),"Quantité invalide",IF(AND(K1698&lt;&gt;"",OR(NOT(ISNUMBER(K1698)),N(K1698)&lt;=0)),"Qté commandée invalide",IF(AG1698&lt;SUMPRODUCT(MAX((A$6:A1697=A1698)*AG$6:AG1697)),"Date antérieure au bon précédent",IF(AND(A1698&lt;&gt;"BR",ISNUMBER(M1698),N(M1698)&gt;0),IF(A1698="BL","Livré plus que commandé","Sorti plus que demandé"),"OK"))))))))))))</f>
        <v/>
      </c>
      <c r="Y1698" s="57" t="str">
        <f>IF(AND(OR(A1698="BL",A1698="BR",A1698="BS"),AG1698&gt;0,D1698&lt;&gt;""),A1698&amp;"|"&amp;AG1698&amp;"|"&amp;D1698&amp;"|"&amp;F1698,"")</f>
        <v/>
      </c>
      <c r="Z1698" s="57" t="str">
        <f>IF(Y1698="","",IF(COUNTIF(Y$6:Y1697,Y1698)=0,1,0))</f>
        <v/>
      </c>
      <c r="AA1698" s="57" t="str">
        <f>IF(Y1698="","",IF(Z1698=1,COUNTIFS(A$6:A1698,A1698,Z$6:Z1698,1),INDEX(AA$6:AA1697,MATCH(Y1698,Y$6:Y1697,0))))</f>
        <v/>
      </c>
      <c r="AB1698" s="57" t="str">
        <f>IF(B1698="","",COUNTIF(B$6:B1698,B1698))</f>
        <v/>
      </c>
      <c r="AC1698" s="57" t="str">
        <f>IF(B1698="","",B1698&amp;"#"&amp;AB1698)</f>
        <v/>
      </c>
      <c r="AD1698" s="57" t="str">
        <f>IF(Z1698=1,A1698&amp;AA1698,"")</f>
        <v/>
      </c>
      <c r="AE1698" s="57" t="str">
        <f>IF(B1698="","",YEAR(C1698))</f>
        <v/>
      </c>
      <c r="AF1698" s="57" t="str">
        <f>IF(B1698="","",MONTH(C1698))</f>
        <v/>
      </c>
      <c r="AG1698" s="57">
        <f>IF(ISNUMBER(C1698),C1698,0)</f>
        <v>0.0</v>
      </c>
      <c r="AH1698" s="57" t="str">
        <f>IF(N(W1698)&gt;0,COUNTIF(W$6:W1698,"&gt;0"),"")</f>
        <v/>
      </c>
      <c r="AI1698" s="57" t="str">
        <f>IF(Z1698=1,COUNTIF(Z$6:Z1698,1),"")</f>
        <v/>
      </c>
    </row>
    <row r="1699">
      <c r="A1699" s="54" t="n"/>
      <c r="B1699" s="55" t="str">
        <f>IF(AA1699="","",A1699&amp;"-"&amp;RIGHT("000"&amp;AA1699,4))</f>
        <v/>
      </c>
      <c r="C1699" s="56" t="n"/>
      <c r="D1699" s="54" t="n"/>
      <c r="E1699" s="57" t="str">
        <f>IF(D1699="","",IF(A1699="BL",IFERROR(INDEX(cl_name,MATCH(D1699,cl_code,0))&amp;"","Client inconnu"),IF(A1699="BR",IFERROR(INDEX(fo_name,MATCH(D1699,fo_code,0))&amp;"","Fournisseur inconnu"),IF(A1699="BS",IF(ISNA(MATCH(D1699,p_services,0)),"Service inconnu",D1699&amp;""),""))))</f>
        <v/>
      </c>
      <c r="F1699" s="58" t="n"/>
      <c r="G1699" s="58" t="n"/>
      <c r="H1699" s="59" t="n"/>
      <c r="I1699" s="57" t="str">
        <f>IF(H1699="","",IFERROR(INDEX(art_des,MATCH(H1699,art_ref,0))&amp;"","Article inconnu"))</f>
        <v/>
      </c>
      <c r="J1699" s="60" t="str">
        <f>IF(H1699="","",IFERROR(INDEX(art_unit,MATCH(H1699,art_ref,0))&amp;"",""))</f>
        <v/>
      </c>
      <c r="K1699" s="59" t="n"/>
      <c r="L1699" s="59" t="n"/>
      <c r="M1699" s="61" t="str">
        <f>IF(OR(B1699="",NOT(ISNUMBER(K1699)),NOT(ISNUMBER(L1699))),"",IF(OR(K1699&lt;=0,L1699&lt;=0),"",ROUND(L1699-K1699,6)))</f>
        <v/>
      </c>
      <c r="N1699" s="58" t="n"/>
      <c r="O1699" s="62" t="n"/>
      <c r="P1699" s="63" t="str">
        <f>IF(OR(B1699="",NOT(ISNUMBER(L1699))),"",IF(L1699&lt;=0,"",IFERROR(ROUND(L1699*N(INDEX(art_w,MATCH(H1699,art_ref,0))),3),"")))</f>
        <v/>
      </c>
      <c r="Q1699" s="59" t="n"/>
      <c r="R1699" s="54" t="n"/>
      <c r="S1699" s="59" t="n"/>
      <c r="T1699" s="59" t="n"/>
      <c r="U1699" s="64" t="str">
        <f>IF(OR(B1699="",H1699=""),"",IFERROR(IF(A1699="BL",IF(N(INDEX(art_price,MATCH(H1699,art_ref,0)))=0,"",N(INDEX(art_price,MATCH(H1699,art_ref,0)))),IF(N(INDEX(art_cost,MATCH(H1699,art_ref,0)))=0,"",N(INDEX(art_cost,MATCH(H1699,art_ref,0))))),""))</f>
        <v/>
      </c>
      <c r="V1699" s="64" t="str">
        <f>IF(OR(U1699="",NOT(ISNUMBER(L1699))),"",IF(L1699&lt;=0,"",ROUND(L1699*U1699,2)))</f>
        <v/>
      </c>
      <c r="W1699" s="60" t="str">
        <f>IF(AND(B1699&lt;&gt;"",A1699&lt;&gt;"BS",F1699&lt;&gt;"",H1699&lt;&gt;"",ISNUMBER(K1699),ISNUMBER(L1699)),IF(AND(K1699&gt;0,L1699&gt;0,K1699-L1699&gt;0,COUNTIFS(A1700:A$2005,A1699,F1700:F$2005,F1699,H1700:H$2005,H1699,AA1700:AA$2005,"&gt;0")=0),ROUND(K1699-L1699,6),""),"")</f>
        <v/>
      </c>
      <c r="X1699" s="60" t="str">
        <f>IF(AND(A1699="",C1699="",D1699="",H1699="",L1699=""),"",IF(A1699="","Type manquant",IF(AND(A1699&lt;&gt;"BL",A1699&lt;&gt;"BR",A1699&lt;&gt;"BS"),"Type inconnu (BL, BR ou BS)",IF(AG1699=0,"Date manquante ou invalide",IF(D1699="",IF(A1699="BL","Client manquant",IF(A1699="BR","Fournisseur manquant","Service manquant")),IF(IF(A1699="BL",ISNA(MATCH(D1699,cl_code,0)),IF(A1699="BR",ISNA(MATCH(D1699,fo_code,0)),ISNA(MATCH(D1699,p_services,0)))),IF(A1699="BL","Client inconnu",IF(A1699="BR","Fournisseur inconnu","Service inconnu")),IF(H1699="","Article manquant",IF(ISNA(MATCH(H1699,art_ref,0)),"Article inconnu",IF(OR(NOT(ISNUMBER(L1699)),N(L1699)&lt;=0),"Quantité invalide",IF(AND(K1699&lt;&gt;"",OR(NOT(ISNUMBER(K1699)),N(K1699)&lt;=0)),"Qté commandée invalide",IF(AG1699&lt;SUMPRODUCT(MAX((A$6:A1698=A1699)*AG$6:AG1698)),"Date antérieure au bon précédent",IF(AND(A1699&lt;&gt;"BR",ISNUMBER(M1699),N(M1699)&gt;0),IF(A1699="BL","Livré plus que commandé","Sorti plus que demandé"),"OK"))))))))))))</f>
        <v/>
      </c>
      <c r="Y1699" s="57" t="str">
        <f>IF(AND(OR(A1699="BL",A1699="BR",A1699="BS"),AG1699&gt;0,D1699&lt;&gt;""),A1699&amp;"|"&amp;AG1699&amp;"|"&amp;D1699&amp;"|"&amp;F1699,"")</f>
        <v/>
      </c>
      <c r="Z1699" s="57" t="str">
        <f>IF(Y1699="","",IF(COUNTIF(Y$6:Y1698,Y1699)=0,1,0))</f>
        <v/>
      </c>
      <c r="AA1699" s="57" t="str">
        <f>IF(Y1699="","",IF(Z1699=1,COUNTIFS(A$6:A1699,A1699,Z$6:Z1699,1),INDEX(AA$6:AA1698,MATCH(Y1699,Y$6:Y1698,0))))</f>
        <v/>
      </c>
      <c r="AB1699" s="57" t="str">
        <f>IF(B1699="","",COUNTIF(B$6:B1699,B1699))</f>
        <v/>
      </c>
      <c r="AC1699" s="57" t="str">
        <f>IF(B1699="","",B1699&amp;"#"&amp;AB1699)</f>
        <v/>
      </c>
      <c r="AD1699" s="57" t="str">
        <f>IF(Z1699=1,A1699&amp;AA1699,"")</f>
        <v/>
      </c>
      <c r="AE1699" s="57" t="str">
        <f>IF(B1699="","",YEAR(C1699))</f>
        <v/>
      </c>
      <c r="AF1699" s="57" t="str">
        <f>IF(B1699="","",MONTH(C1699))</f>
        <v/>
      </c>
      <c r="AG1699" s="57">
        <f>IF(ISNUMBER(C1699),C1699,0)</f>
        <v>0.0</v>
      </c>
      <c r="AH1699" s="57" t="str">
        <f>IF(N(W1699)&gt;0,COUNTIF(W$6:W1699,"&gt;0"),"")</f>
        <v/>
      </c>
      <c r="AI1699" s="57" t="str">
        <f>IF(Z1699=1,COUNTIF(Z$6:Z1699,1),"")</f>
        <v/>
      </c>
    </row>
    <row r="1700">
      <c r="A1700" s="54" t="n"/>
      <c r="B1700" s="55" t="str">
        <f>IF(AA1700="","",A1700&amp;"-"&amp;RIGHT("000"&amp;AA1700,4))</f>
        <v/>
      </c>
      <c r="C1700" s="56" t="n"/>
      <c r="D1700" s="54" t="n"/>
      <c r="E1700" s="57" t="str">
        <f>IF(D1700="","",IF(A1700="BL",IFERROR(INDEX(cl_name,MATCH(D1700,cl_code,0))&amp;"","Client inconnu"),IF(A1700="BR",IFERROR(INDEX(fo_name,MATCH(D1700,fo_code,0))&amp;"","Fournisseur inconnu"),IF(A1700="BS",IF(ISNA(MATCH(D1700,p_services,0)),"Service inconnu",D1700&amp;""),""))))</f>
        <v/>
      </c>
      <c r="F1700" s="58" t="n"/>
      <c r="G1700" s="58" t="n"/>
      <c r="H1700" s="59" t="n"/>
      <c r="I1700" s="57" t="str">
        <f>IF(H1700="","",IFERROR(INDEX(art_des,MATCH(H1700,art_ref,0))&amp;"","Article inconnu"))</f>
        <v/>
      </c>
      <c r="J1700" s="60" t="str">
        <f>IF(H1700="","",IFERROR(INDEX(art_unit,MATCH(H1700,art_ref,0))&amp;"",""))</f>
        <v/>
      </c>
      <c r="K1700" s="59" t="n"/>
      <c r="L1700" s="59" t="n"/>
      <c r="M1700" s="61" t="str">
        <f>IF(OR(B1700="",NOT(ISNUMBER(K1700)),NOT(ISNUMBER(L1700))),"",IF(OR(K1700&lt;=0,L1700&lt;=0),"",ROUND(L1700-K1700,6)))</f>
        <v/>
      </c>
      <c r="N1700" s="58" t="n"/>
      <c r="O1700" s="62" t="n"/>
      <c r="P1700" s="63" t="str">
        <f>IF(OR(B1700="",NOT(ISNUMBER(L1700))),"",IF(L1700&lt;=0,"",IFERROR(ROUND(L1700*N(INDEX(art_w,MATCH(H1700,art_ref,0))),3),"")))</f>
        <v/>
      </c>
      <c r="Q1700" s="59" t="n"/>
      <c r="R1700" s="54" t="n"/>
      <c r="S1700" s="59" t="n"/>
      <c r="T1700" s="59" t="n"/>
      <c r="U1700" s="64" t="str">
        <f>IF(OR(B1700="",H1700=""),"",IFERROR(IF(A1700="BL",IF(N(INDEX(art_price,MATCH(H1700,art_ref,0)))=0,"",N(INDEX(art_price,MATCH(H1700,art_ref,0)))),IF(N(INDEX(art_cost,MATCH(H1700,art_ref,0)))=0,"",N(INDEX(art_cost,MATCH(H1700,art_ref,0))))),""))</f>
        <v/>
      </c>
      <c r="V1700" s="64" t="str">
        <f>IF(OR(U1700="",NOT(ISNUMBER(L1700))),"",IF(L1700&lt;=0,"",ROUND(L1700*U1700,2)))</f>
        <v/>
      </c>
      <c r="W1700" s="60" t="str">
        <f>IF(AND(B1700&lt;&gt;"",A1700&lt;&gt;"BS",F1700&lt;&gt;"",H1700&lt;&gt;"",ISNUMBER(K1700),ISNUMBER(L1700)),IF(AND(K1700&gt;0,L1700&gt;0,K1700-L1700&gt;0,COUNTIFS(A1701:A$2005,A1700,F1701:F$2005,F1700,H1701:H$2005,H1700,AA1701:AA$2005,"&gt;0")=0),ROUND(K1700-L1700,6),""),"")</f>
        <v/>
      </c>
      <c r="X1700" s="60" t="str">
        <f>IF(AND(A1700="",C1700="",D1700="",H1700="",L1700=""),"",IF(A1700="","Type manquant",IF(AND(A1700&lt;&gt;"BL",A1700&lt;&gt;"BR",A1700&lt;&gt;"BS"),"Type inconnu (BL, BR ou BS)",IF(AG1700=0,"Date manquante ou invalide",IF(D1700="",IF(A1700="BL","Client manquant",IF(A1700="BR","Fournisseur manquant","Service manquant")),IF(IF(A1700="BL",ISNA(MATCH(D1700,cl_code,0)),IF(A1700="BR",ISNA(MATCH(D1700,fo_code,0)),ISNA(MATCH(D1700,p_services,0)))),IF(A1700="BL","Client inconnu",IF(A1700="BR","Fournisseur inconnu","Service inconnu")),IF(H1700="","Article manquant",IF(ISNA(MATCH(H1700,art_ref,0)),"Article inconnu",IF(OR(NOT(ISNUMBER(L1700)),N(L1700)&lt;=0),"Quantité invalide",IF(AND(K1700&lt;&gt;"",OR(NOT(ISNUMBER(K1700)),N(K1700)&lt;=0)),"Qté commandée invalide",IF(AG1700&lt;SUMPRODUCT(MAX((A$6:A1699=A1700)*AG$6:AG1699)),"Date antérieure au bon précédent",IF(AND(A1700&lt;&gt;"BR",ISNUMBER(M1700),N(M1700)&gt;0),IF(A1700="BL","Livré plus que commandé","Sorti plus que demandé"),"OK"))))))))))))</f>
        <v/>
      </c>
      <c r="Y1700" s="57" t="str">
        <f>IF(AND(OR(A1700="BL",A1700="BR",A1700="BS"),AG1700&gt;0,D1700&lt;&gt;""),A1700&amp;"|"&amp;AG1700&amp;"|"&amp;D1700&amp;"|"&amp;F1700,"")</f>
        <v/>
      </c>
      <c r="Z1700" s="57" t="str">
        <f>IF(Y1700="","",IF(COUNTIF(Y$6:Y1699,Y1700)=0,1,0))</f>
        <v/>
      </c>
      <c r="AA1700" s="57" t="str">
        <f>IF(Y1700="","",IF(Z1700=1,COUNTIFS(A$6:A1700,A1700,Z$6:Z1700,1),INDEX(AA$6:AA1699,MATCH(Y1700,Y$6:Y1699,0))))</f>
        <v/>
      </c>
      <c r="AB1700" s="57" t="str">
        <f>IF(B1700="","",COUNTIF(B$6:B1700,B1700))</f>
        <v/>
      </c>
      <c r="AC1700" s="57" t="str">
        <f>IF(B1700="","",B1700&amp;"#"&amp;AB1700)</f>
        <v/>
      </c>
      <c r="AD1700" s="57" t="str">
        <f>IF(Z1700=1,A1700&amp;AA1700,"")</f>
        <v/>
      </c>
      <c r="AE1700" s="57" t="str">
        <f>IF(B1700="","",YEAR(C1700))</f>
        <v/>
      </c>
      <c r="AF1700" s="57" t="str">
        <f>IF(B1700="","",MONTH(C1700))</f>
        <v/>
      </c>
      <c r="AG1700" s="57">
        <f>IF(ISNUMBER(C1700),C1700,0)</f>
        <v>0.0</v>
      </c>
      <c r="AH1700" s="57" t="str">
        <f>IF(N(W1700)&gt;0,COUNTIF(W$6:W1700,"&gt;0"),"")</f>
        <v/>
      </c>
      <c r="AI1700" s="57" t="str">
        <f>IF(Z1700=1,COUNTIF(Z$6:Z1700,1),"")</f>
        <v/>
      </c>
    </row>
    <row r="1701">
      <c r="A1701" s="54" t="n"/>
      <c r="B1701" s="55" t="str">
        <f>IF(AA1701="","",A1701&amp;"-"&amp;RIGHT("000"&amp;AA1701,4))</f>
        <v/>
      </c>
      <c r="C1701" s="56" t="n"/>
      <c r="D1701" s="54" t="n"/>
      <c r="E1701" s="57" t="str">
        <f>IF(D1701="","",IF(A1701="BL",IFERROR(INDEX(cl_name,MATCH(D1701,cl_code,0))&amp;"","Client inconnu"),IF(A1701="BR",IFERROR(INDEX(fo_name,MATCH(D1701,fo_code,0))&amp;"","Fournisseur inconnu"),IF(A1701="BS",IF(ISNA(MATCH(D1701,p_services,0)),"Service inconnu",D1701&amp;""),""))))</f>
        <v/>
      </c>
      <c r="F1701" s="58" t="n"/>
      <c r="G1701" s="58" t="n"/>
      <c r="H1701" s="59" t="n"/>
      <c r="I1701" s="57" t="str">
        <f>IF(H1701="","",IFERROR(INDEX(art_des,MATCH(H1701,art_ref,0))&amp;"","Article inconnu"))</f>
        <v/>
      </c>
      <c r="J1701" s="60" t="str">
        <f>IF(H1701="","",IFERROR(INDEX(art_unit,MATCH(H1701,art_ref,0))&amp;"",""))</f>
        <v/>
      </c>
      <c r="K1701" s="59" t="n"/>
      <c r="L1701" s="59" t="n"/>
      <c r="M1701" s="61" t="str">
        <f>IF(OR(B1701="",NOT(ISNUMBER(K1701)),NOT(ISNUMBER(L1701))),"",IF(OR(K1701&lt;=0,L1701&lt;=0),"",ROUND(L1701-K1701,6)))</f>
        <v/>
      </c>
      <c r="N1701" s="58" t="n"/>
      <c r="O1701" s="62" t="n"/>
      <c r="P1701" s="63" t="str">
        <f>IF(OR(B1701="",NOT(ISNUMBER(L1701))),"",IF(L1701&lt;=0,"",IFERROR(ROUND(L1701*N(INDEX(art_w,MATCH(H1701,art_ref,0))),3),"")))</f>
        <v/>
      </c>
      <c r="Q1701" s="59" t="n"/>
      <c r="R1701" s="54" t="n"/>
      <c r="S1701" s="59" t="n"/>
      <c r="T1701" s="59" t="n"/>
      <c r="U1701" s="64" t="str">
        <f>IF(OR(B1701="",H1701=""),"",IFERROR(IF(A1701="BL",IF(N(INDEX(art_price,MATCH(H1701,art_ref,0)))=0,"",N(INDEX(art_price,MATCH(H1701,art_ref,0)))),IF(N(INDEX(art_cost,MATCH(H1701,art_ref,0)))=0,"",N(INDEX(art_cost,MATCH(H1701,art_ref,0))))),""))</f>
        <v/>
      </c>
      <c r="V1701" s="64" t="str">
        <f>IF(OR(U1701="",NOT(ISNUMBER(L1701))),"",IF(L1701&lt;=0,"",ROUND(L1701*U1701,2)))</f>
        <v/>
      </c>
      <c r="W1701" s="60" t="str">
        <f>IF(AND(B1701&lt;&gt;"",A1701&lt;&gt;"BS",F1701&lt;&gt;"",H1701&lt;&gt;"",ISNUMBER(K1701),ISNUMBER(L1701)),IF(AND(K1701&gt;0,L1701&gt;0,K1701-L1701&gt;0,COUNTIFS(A1702:A$2005,A1701,F1702:F$2005,F1701,H1702:H$2005,H1701,AA1702:AA$2005,"&gt;0")=0),ROUND(K1701-L1701,6),""),"")</f>
        <v/>
      </c>
      <c r="X1701" s="60" t="str">
        <f>IF(AND(A1701="",C1701="",D1701="",H1701="",L1701=""),"",IF(A1701="","Type manquant",IF(AND(A1701&lt;&gt;"BL",A1701&lt;&gt;"BR",A1701&lt;&gt;"BS"),"Type inconnu (BL, BR ou BS)",IF(AG1701=0,"Date manquante ou invalide",IF(D1701="",IF(A1701="BL","Client manquant",IF(A1701="BR","Fournisseur manquant","Service manquant")),IF(IF(A1701="BL",ISNA(MATCH(D1701,cl_code,0)),IF(A1701="BR",ISNA(MATCH(D1701,fo_code,0)),ISNA(MATCH(D1701,p_services,0)))),IF(A1701="BL","Client inconnu",IF(A1701="BR","Fournisseur inconnu","Service inconnu")),IF(H1701="","Article manquant",IF(ISNA(MATCH(H1701,art_ref,0)),"Article inconnu",IF(OR(NOT(ISNUMBER(L1701)),N(L1701)&lt;=0),"Quantité invalide",IF(AND(K1701&lt;&gt;"",OR(NOT(ISNUMBER(K1701)),N(K1701)&lt;=0)),"Qté commandée invalide",IF(AG1701&lt;SUMPRODUCT(MAX((A$6:A1700=A1701)*AG$6:AG1700)),"Date antérieure au bon précédent",IF(AND(A1701&lt;&gt;"BR",ISNUMBER(M1701),N(M1701)&gt;0),IF(A1701="BL","Livré plus que commandé","Sorti plus que demandé"),"OK"))))))))))))</f>
        <v/>
      </c>
      <c r="Y1701" s="57" t="str">
        <f>IF(AND(OR(A1701="BL",A1701="BR",A1701="BS"),AG1701&gt;0,D1701&lt;&gt;""),A1701&amp;"|"&amp;AG1701&amp;"|"&amp;D1701&amp;"|"&amp;F1701,"")</f>
        <v/>
      </c>
      <c r="Z1701" s="57" t="str">
        <f>IF(Y1701="","",IF(COUNTIF(Y$6:Y1700,Y1701)=0,1,0))</f>
        <v/>
      </c>
      <c r="AA1701" s="57" t="str">
        <f>IF(Y1701="","",IF(Z1701=1,COUNTIFS(A$6:A1701,A1701,Z$6:Z1701,1),INDEX(AA$6:AA1700,MATCH(Y1701,Y$6:Y1700,0))))</f>
        <v/>
      </c>
      <c r="AB1701" s="57" t="str">
        <f>IF(B1701="","",COUNTIF(B$6:B1701,B1701))</f>
        <v/>
      </c>
      <c r="AC1701" s="57" t="str">
        <f>IF(B1701="","",B1701&amp;"#"&amp;AB1701)</f>
        <v/>
      </c>
      <c r="AD1701" s="57" t="str">
        <f>IF(Z1701=1,A1701&amp;AA1701,"")</f>
        <v/>
      </c>
      <c r="AE1701" s="57" t="str">
        <f>IF(B1701="","",YEAR(C1701))</f>
        <v/>
      </c>
      <c r="AF1701" s="57" t="str">
        <f>IF(B1701="","",MONTH(C1701))</f>
        <v/>
      </c>
      <c r="AG1701" s="57">
        <f>IF(ISNUMBER(C1701),C1701,0)</f>
        <v>0.0</v>
      </c>
      <c r="AH1701" s="57" t="str">
        <f>IF(N(W1701)&gt;0,COUNTIF(W$6:W1701,"&gt;0"),"")</f>
        <v/>
      </c>
      <c r="AI1701" s="57" t="str">
        <f>IF(Z1701=1,COUNTIF(Z$6:Z1701,1),"")</f>
        <v/>
      </c>
    </row>
    <row r="1702">
      <c r="A1702" s="54" t="n"/>
      <c r="B1702" s="55" t="str">
        <f>IF(AA1702="","",A1702&amp;"-"&amp;RIGHT("000"&amp;AA1702,4))</f>
        <v/>
      </c>
      <c r="C1702" s="56" t="n"/>
      <c r="D1702" s="54" t="n"/>
      <c r="E1702" s="57" t="str">
        <f>IF(D1702="","",IF(A1702="BL",IFERROR(INDEX(cl_name,MATCH(D1702,cl_code,0))&amp;"","Client inconnu"),IF(A1702="BR",IFERROR(INDEX(fo_name,MATCH(D1702,fo_code,0))&amp;"","Fournisseur inconnu"),IF(A1702="BS",IF(ISNA(MATCH(D1702,p_services,0)),"Service inconnu",D1702&amp;""),""))))</f>
        <v/>
      </c>
      <c r="F1702" s="58" t="n"/>
      <c r="G1702" s="58" t="n"/>
      <c r="H1702" s="59" t="n"/>
      <c r="I1702" s="57" t="str">
        <f>IF(H1702="","",IFERROR(INDEX(art_des,MATCH(H1702,art_ref,0))&amp;"","Article inconnu"))</f>
        <v/>
      </c>
      <c r="J1702" s="60" t="str">
        <f>IF(H1702="","",IFERROR(INDEX(art_unit,MATCH(H1702,art_ref,0))&amp;"",""))</f>
        <v/>
      </c>
      <c r="K1702" s="59" t="n"/>
      <c r="L1702" s="59" t="n"/>
      <c r="M1702" s="61" t="str">
        <f>IF(OR(B1702="",NOT(ISNUMBER(K1702)),NOT(ISNUMBER(L1702))),"",IF(OR(K1702&lt;=0,L1702&lt;=0),"",ROUND(L1702-K1702,6)))</f>
        <v/>
      </c>
      <c r="N1702" s="58" t="n"/>
      <c r="O1702" s="62" t="n"/>
      <c r="P1702" s="63" t="str">
        <f>IF(OR(B1702="",NOT(ISNUMBER(L1702))),"",IF(L1702&lt;=0,"",IFERROR(ROUND(L1702*N(INDEX(art_w,MATCH(H1702,art_ref,0))),3),"")))</f>
        <v/>
      </c>
      <c r="Q1702" s="59" t="n"/>
      <c r="R1702" s="54" t="n"/>
      <c r="S1702" s="59" t="n"/>
      <c r="T1702" s="59" t="n"/>
      <c r="U1702" s="64" t="str">
        <f>IF(OR(B1702="",H1702=""),"",IFERROR(IF(A1702="BL",IF(N(INDEX(art_price,MATCH(H1702,art_ref,0)))=0,"",N(INDEX(art_price,MATCH(H1702,art_ref,0)))),IF(N(INDEX(art_cost,MATCH(H1702,art_ref,0)))=0,"",N(INDEX(art_cost,MATCH(H1702,art_ref,0))))),""))</f>
        <v/>
      </c>
      <c r="V1702" s="64" t="str">
        <f>IF(OR(U1702="",NOT(ISNUMBER(L1702))),"",IF(L1702&lt;=0,"",ROUND(L1702*U1702,2)))</f>
        <v/>
      </c>
      <c r="W1702" s="60" t="str">
        <f>IF(AND(B1702&lt;&gt;"",A1702&lt;&gt;"BS",F1702&lt;&gt;"",H1702&lt;&gt;"",ISNUMBER(K1702),ISNUMBER(L1702)),IF(AND(K1702&gt;0,L1702&gt;0,K1702-L1702&gt;0,COUNTIFS(A1703:A$2005,A1702,F1703:F$2005,F1702,H1703:H$2005,H1702,AA1703:AA$2005,"&gt;0")=0),ROUND(K1702-L1702,6),""),"")</f>
        <v/>
      </c>
      <c r="X1702" s="60" t="str">
        <f>IF(AND(A1702="",C1702="",D1702="",H1702="",L1702=""),"",IF(A1702="","Type manquant",IF(AND(A1702&lt;&gt;"BL",A1702&lt;&gt;"BR",A1702&lt;&gt;"BS"),"Type inconnu (BL, BR ou BS)",IF(AG1702=0,"Date manquante ou invalide",IF(D1702="",IF(A1702="BL","Client manquant",IF(A1702="BR","Fournisseur manquant","Service manquant")),IF(IF(A1702="BL",ISNA(MATCH(D1702,cl_code,0)),IF(A1702="BR",ISNA(MATCH(D1702,fo_code,0)),ISNA(MATCH(D1702,p_services,0)))),IF(A1702="BL","Client inconnu",IF(A1702="BR","Fournisseur inconnu","Service inconnu")),IF(H1702="","Article manquant",IF(ISNA(MATCH(H1702,art_ref,0)),"Article inconnu",IF(OR(NOT(ISNUMBER(L1702)),N(L1702)&lt;=0),"Quantité invalide",IF(AND(K1702&lt;&gt;"",OR(NOT(ISNUMBER(K1702)),N(K1702)&lt;=0)),"Qté commandée invalide",IF(AG1702&lt;SUMPRODUCT(MAX((A$6:A1701=A1702)*AG$6:AG1701)),"Date antérieure au bon précédent",IF(AND(A1702&lt;&gt;"BR",ISNUMBER(M1702),N(M1702)&gt;0),IF(A1702="BL","Livré plus que commandé","Sorti plus que demandé"),"OK"))))))))))))</f>
        <v/>
      </c>
      <c r="Y1702" s="57" t="str">
        <f>IF(AND(OR(A1702="BL",A1702="BR",A1702="BS"),AG1702&gt;0,D1702&lt;&gt;""),A1702&amp;"|"&amp;AG1702&amp;"|"&amp;D1702&amp;"|"&amp;F1702,"")</f>
        <v/>
      </c>
      <c r="Z1702" s="57" t="str">
        <f>IF(Y1702="","",IF(COUNTIF(Y$6:Y1701,Y1702)=0,1,0))</f>
        <v/>
      </c>
      <c r="AA1702" s="57" t="str">
        <f>IF(Y1702="","",IF(Z1702=1,COUNTIFS(A$6:A1702,A1702,Z$6:Z1702,1),INDEX(AA$6:AA1701,MATCH(Y1702,Y$6:Y1701,0))))</f>
        <v/>
      </c>
      <c r="AB1702" s="57" t="str">
        <f>IF(B1702="","",COUNTIF(B$6:B1702,B1702))</f>
        <v/>
      </c>
      <c r="AC1702" s="57" t="str">
        <f>IF(B1702="","",B1702&amp;"#"&amp;AB1702)</f>
        <v/>
      </c>
      <c r="AD1702" s="57" t="str">
        <f>IF(Z1702=1,A1702&amp;AA1702,"")</f>
        <v/>
      </c>
      <c r="AE1702" s="57" t="str">
        <f>IF(B1702="","",YEAR(C1702))</f>
        <v/>
      </c>
      <c r="AF1702" s="57" t="str">
        <f>IF(B1702="","",MONTH(C1702))</f>
        <v/>
      </c>
      <c r="AG1702" s="57">
        <f>IF(ISNUMBER(C1702),C1702,0)</f>
        <v>0.0</v>
      </c>
      <c r="AH1702" s="57" t="str">
        <f>IF(N(W1702)&gt;0,COUNTIF(W$6:W1702,"&gt;0"),"")</f>
        <v/>
      </c>
      <c r="AI1702" s="57" t="str">
        <f>IF(Z1702=1,COUNTIF(Z$6:Z1702,1),"")</f>
        <v/>
      </c>
    </row>
    <row r="1703">
      <c r="A1703" s="54" t="n"/>
      <c r="B1703" s="55" t="str">
        <f>IF(AA1703="","",A1703&amp;"-"&amp;RIGHT("000"&amp;AA1703,4))</f>
        <v/>
      </c>
      <c r="C1703" s="56" t="n"/>
      <c r="D1703" s="54" t="n"/>
      <c r="E1703" s="57" t="str">
        <f>IF(D1703="","",IF(A1703="BL",IFERROR(INDEX(cl_name,MATCH(D1703,cl_code,0))&amp;"","Client inconnu"),IF(A1703="BR",IFERROR(INDEX(fo_name,MATCH(D1703,fo_code,0))&amp;"","Fournisseur inconnu"),IF(A1703="BS",IF(ISNA(MATCH(D1703,p_services,0)),"Service inconnu",D1703&amp;""),""))))</f>
        <v/>
      </c>
      <c r="F1703" s="58" t="n"/>
      <c r="G1703" s="58" t="n"/>
      <c r="H1703" s="59" t="n"/>
      <c r="I1703" s="57" t="str">
        <f>IF(H1703="","",IFERROR(INDEX(art_des,MATCH(H1703,art_ref,0))&amp;"","Article inconnu"))</f>
        <v/>
      </c>
      <c r="J1703" s="60" t="str">
        <f>IF(H1703="","",IFERROR(INDEX(art_unit,MATCH(H1703,art_ref,0))&amp;"",""))</f>
        <v/>
      </c>
      <c r="K1703" s="59" t="n"/>
      <c r="L1703" s="59" t="n"/>
      <c r="M1703" s="61" t="str">
        <f>IF(OR(B1703="",NOT(ISNUMBER(K1703)),NOT(ISNUMBER(L1703))),"",IF(OR(K1703&lt;=0,L1703&lt;=0),"",ROUND(L1703-K1703,6)))</f>
        <v/>
      </c>
      <c r="N1703" s="58" t="n"/>
      <c r="O1703" s="62" t="n"/>
      <c r="P1703" s="63" t="str">
        <f>IF(OR(B1703="",NOT(ISNUMBER(L1703))),"",IF(L1703&lt;=0,"",IFERROR(ROUND(L1703*N(INDEX(art_w,MATCH(H1703,art_ref,0))),3),"")))</f>
        <v/>
      </c>
      <c r="Q1703" s="59" t="n"/>
      <c r="R1703" s="54" t="n"/>
      <c r="S1703" s="59" t="n"/>
      <c r="T1703" s="59" t="n"/>
      <c r="U1703" s="64" t="str">
        <f>IF(OR(B1703="",H1703=""),"",IFERROR(IF(A1703="BL",IF(N(INDEX(art_price,MATCH(H1703,art_ref,0)))=0,"",N(INDEX(art_price,MATCH(H1703,art_ref,0)))),IF(N(INDEX(art_cost,MATCH(H1703,art_ref,0)))=0,"",N(INDEX(art_cost,MATCH(H1703,art_ref,0))))),""))</f>
        <v/>
      </c>
      <c r="V1703" s="64" t="str">
        <f>IF(OR(U1703="",NOT(ISNUMBER(L1703))),"",IF(L1703&lt;=0,"",ROUND(L1703*U1703,2)))</f>
        <v/>
      </c>
      <c r="W1703" s="60" t="str">
        <f>IF(AND(B1703&lt;&gt;"",A1703&lt;&gt;"BS",F1703&lt;&gt;"",H1703&lt;&gt;"",ISNUMBER(K1703),ISNUMBER(L1703)),IF(AND(K1703&gt;0,L1703&gt;0,K1703-L1703&gt;0,COUNTIFS(A1704:A$2005,A1703,F1704:F$2005,F1703,H1704:H$2005,H1703,AA1704:AA$2005,"&gt;0")=0),ROUND(K1703-L1703,6),""),"")</f>
        <v/>
      </c>
      <c r="X1703" s="60" t="str">
        <f>IF(AND(A1703="",C1703="",D1703="",H1703="",L1703=""),"",IF(A1703="","Type manquant",IF(AND(A1703&lt;&gt;"BL",A1703&lt;&gt;"BR",A1703&lt;&gt;"BS"),"Type inconnu (BL, BR ou BS)",IF(AG1703=0,"Date manquante ou invalide",IF(D1703="",IF(A1703="BL","Client manquant",IF(A1703="BR","Fournisseur manquant","Service manquant")),IF(IF(A1703="BL",ISNA(MATCH(D1703,cl_code,0)),IF(A1703="BR",ISNA(MATCH(D1703,fo_code,0)),ISNA(MATCH(D1703,p_services,0)))),IF(A1703="BL","Client inconnu",IF(A1703="BR","Fournisseur inconnu","Service inconnu")),IF(H1703="","Article manquant",IF(ISNA(MATCH(H1703,art_ref,0)),"Article inconnu",IF(OR(NOT(ISNUMBER(L1703)),N(L1703)&lt;=0),"Quantité invalide",IF(AND(K1703&lt;&gt;"",OR(NOT(ISNUMBER(K1703)),N(K1703)&lt;=0)),"Qté commandée invalide",IF(AG1703&lt;SUMPRODUCT(MAX((A$6:A1702=A1703)*AG$6:AG1702)),"Date antérieure au bon précédent",IF(AND(A1703&lt;&gt;"BR",ISNUMBER(M1703),N(M1703)&gt;0),IF(A1703="BL","Livré plus que commandé","Sorti plus que demandé"),"OK"))))))))))))</f>
        <v/>
      </c>
      <c r="Y1703" s="57" t="str">
        <f>IF(AND(OR(A1703="BL",A1703="BR",A1703="BS"),AG1703&gt;0,D1703&lt;&gt;""),A1703&amp;"|"&amp;AG1703&amp;"|"&amp;D1703&amp;"|"&amp;F1703,"")</f>
        <v/>
      </c>
      <c r="Z1703" s="57" t="str">
        <f>IF(Y1703="","",IF(COUNTIF(Y$6:Y1702,Y1703)=0,1,0))</f>
        <v/>
      </c>
      <c r="AA1703" s="57" t="str">
        <f>IF(Y1703="","",IF(Z1703=1,COUNTIFS(A$6:A1703,A1703,Z$6:Z1703,1),INDEX(AA$6:AA1702,MATCH(Y1703,Y$6:Y1702,0))))</f>
        <v/>
      </c>
      <c r="AB1703" s="57" t="str">
        <f>IF(B1703="","",COUNTIF(B$6:B1703,B1703))</f>
        <v/>
      </c>
      <c r="AC1703" s="57" t="str">
        <f>IF(B1703="","",B1703&amp;"#"&amp;AB1703)</f>
        <v/>
      </c>
      <c r="AD1703" s="57" t="str">
        <f>IF(Z1703=1,A1703&amp;AA1703,"")</f>
        <v/>
      </c>
      <c r="AE1703" s="57" t="str">
        <f>IF(B1703="","",YEAR(C1703))</f>
        <v/>
      </c>
      <c r="AF1703" s="57" t="str">
        <f>IF(B1703="","",MONTH(C1703))</f>
        <v/>
      </c>
      <c r="AG1703" s="57">
        <f>IF(ISNUMBER(C1703),C1703,0)</f>
        <v>0.0</v>
      </c>
      <c r="AH1703" s="57" t="str">
        <f>IF(N(W1703)&gt;0,COUNTIF(W$6:W1703,"&gt;0"),"")</f>
        <v/>
      </c>
      <c r="AI1703" s="57" t="str">
        <f>IF(Z1703=1,COUNTIF(Z$6:Z1703,1),"")</f>
        <v/>
      </c>
    </row>
    <row r="1704">
      <c r="A1704" s="54" t="n"/>
      <c r="B1704" s="55" t="str">
        <f>IF(AA1704="","",A1704&amp;"-"&amp;RIGHT("000"&amp;AA1704,4))</f>
        <v/>
      </c>
      <c r="C1704" s="56" t="n"/>
      <c r="D1704" s="54" t="n"/>
      <c r="E1704" s="57" t="str">
        <f>IF(D1704="","",IF(A1704="BL",IFERROR(INDEX(cl_name,MATCH(D1704,cl_code,0))&amp;"","Client inconnu"),IF(A1704="BR",IFERROR(INDEX(fo_name,MATCH(D1704,fo_code,0))&amp;"","Fournisseur inconnu"),IF(A1704="BS",IF(ISNA(MATCH(D1704,p_services,0)),"Service inconnu",D1704&amp;""),""))))</f>
        <v/>
      </c>
      <c r="F1704" s="58" t="n"/>
      <c r="G1704" s="58" t="n"/>
      <c r="H1704" s="59" t="n"/>
      <c r="I1704" s="57" t="str">
        <f>IF(H1704="","",IFERROR(INDEX(art_des,MATCH(H1704,art_ref,0))&amp;"","Article inconnu"))</f>
        <v/>
      </c>
      <c r="J1704" s="60" t="str">
        <f>IF(H1704="","",IFERROR(INDEX(art_unit,MATCH(H1704,art_ref,0))&amp;"",""))</f>
        <v/>
      </c>
      <c r="K1704" s="59" t="n"/>
      <c r="L1704" s="59" t="n"/>
      <c r="M1704" s="61" t="str">
        <f>IF(OR(B1704="",NOT(ISNUMBER(K1704)),NOT(ISNUMBER(L1704))),"",IF(OR(K1704&lt;=0,L1704&lt;=0),"",ROUND(L1704-K1704,6)))</f>
        <v/>
      </c>
      <c r="N1704" s="58" t="n"/>
      <c r="O1704" s="62" t="n"/>
      <c r="P1704" s="63" t="str">
        <f>IF(OR(B1704="",NOT(ISNUMBER(L1704))),"",IF(L1704&lt;=0,"",IFERROR(ROUND(L1704*N(INDEX(art_w,MATCH(H1704,art_ref,0))),3),"")))</f>
        <v/>
      </c>
      <c r="Q1704" s="59" t="n"/>
      <c r="R1704" s="54" t="n"/>
      <c r="S1704" s="59" t="n"/>
      <c r="T1704" s="59" t="n"/>
      <c r="U1704" s="64" t="str">
        <f>IF(OR(B1704="",H1704=""),"",IFERROR(IF(A1704="BL",IF(N(INDEX(art_price,MATCH(H1704,art_ref,0)))=0,"",N(INDEX(art_price,MATCH(H1704,art_ref,0)))),IF(N(INDEX(art_cost,MATCH(H1704,art_ref,0)))=0,"",N(INDEX(art_cost,MATCH(H1704,art_ref,0))))),""))</f>
        <v/>
      </c>
      <c r="V1704" s="64" t="str">
        <f>IF(OR(U1704="",NOT(ISNUMBER(L1704))),"",IF(L1704&lt;=0,"",ROUND(L1704*U1704,2)))</f>
        <v/>
      </c>
      <c r="W1704" s="60" t="str">
        <f>IF(AND(B1704&lt;&gt;"",A1704&lt;&gt;"BS",F1704&lt;&gt;"",H1704&lt;&gt;"",ISNUMBER(K1704),ISNUMBER(L1704)),IF(AND(K1704&gt;0,L1704&gt;0,K1704-L1704&gt;0,COUNTIFS(A1705:A$2005,A1704,F1705:F$2005,F1704,H1705:H$2005,H1704,AA1705:AA$2005,"&gt;0")=0),ROUND(K1704-L1704,6),""),"")</f>
        <v/>
      </c>
      <c r="X1704" s="60" t="str">
        <f>IF(AND(A1704="",C1704="",D1704="",H1704="",L1704=""),"",IF(A1704="","Type manquant",IF(AND(A1704&lt;&gt;"BL",A1704&lt;&gt;"BR",A1704&lt;&gt;"BS"),"Type inconnu (BL, BR ou BS)",IF(AG1704=0,"Date manquante ou invalide",IF(D1704="",IF(A1704="BL","Client manquant",IF(A1704="BR","Fournisseur manquant","Service manquant")),IF(IF(A1704="BL",ISNA(MATCH(D1704,cl_code,0)),IF(A1704="BR",ISNA(MATCH(D1704,fo_code,0)),ISNA(MATCH(D1704,p_services,0)))),IF(A1704="BL","Client inconnu",IF(A1704="BR","Fournisseur inconnu","Service inconnu")),IF(H1704="","Article manquant",IF(ISNA(MATCH(H1704,art_ref,0)),"Article inconnu",IF(OR(NOT(ISNUMBER(L1704)),N(L1704)&lt;=0),"Quantité invalide",IF(AND(K1704&lt;&gt;"",OR(NOT(ISNUMBER(K1704)),N(K1704)&lt;=0)),"Qté commandée invalide",IF(AG1704&lt;SUMPRODUCT(MAX((A$6:A1703=A1704)*AG$6:AG1703)),"Date antérieure au bon précédent",IF(AND(A1704&lt;&gt;"BR",ISNUMBER(M1704),N(M1704)&gt;0),IF(A1704="BL","Livré plus que commandé","Sorti plus que demandé"),"OK"))))))))))))</f>
        <v/>
      </c>
      <c r="Y1704" s="57" t="str">
        <f>IF(AND(OR(A1704="BL",A1704="BR",A1704="BS"),AG1704&gt;0,D1704&lt;&gt;""),A1704&amp;"|"&amp;AG1704&amp;"|"&amp;D1704&amp;"|"&amp;F1704,"")</f>
        <v/>
      </c>
      <c r="Z1704" s="57" t="str">
        <f>IF(Y1704="","",IF(COUNTIF(Y$6:Y1703,Y1704)=0,1,0))</f>
        <v/>
      </c>
      <c r="AA1704" s="57" t="str">
        <f>IF(Y1704="","",IF(Z1704=1,COUNTIFS(A$6:A1704,A1704,Z$6:Z1704,1),INDEX(AA$6:AA1703,MATCH(Y1704,Y$6:Y1703,0))))</f>
        <v/>
      </c>
      <c r="AB1704" s="57" t="str">
        <f>IF(B1704="","",COUNTIF(B$6:B1704,B1704))</f>
        <v/>
      </c>
      <c r="AC1704" s="57" t="str">
        <f>IF(B1704="","",B1704&amp;"#"&amp;AB1704)</f>
        <v/>
      </c>
      <c r="AD1704" s="57" t="str">
        <f>IF(Z1704=1,A1704&amp;AA1704,"")</f>
        <v/>
      </c>
      <c r="AE1704" s="57" t="str">
        <f>IF(B1704="","",YEAR(C1704))</f>
        <v/>
      </c>
      <c r="AF1704" s="57" t="str">
        <f>IF(B1704="","",MONTH(C1704))</f>
        <v/>
      </c>
      <c r="AG1704" s="57">
        <f>IF(ISNUMBER(C1704),C1704,0)</f>
        <v>0.0</v>
      </c>
      <c r="AH1704" s="57" t="str">
        <f>IF(N(W1704)&gt;0,COUNTIF(W$6:W1704,"&gt;0"),"")</f>
        <v/>
      </c>
      <c r="AI1704" s="57" t="str">
        <f>IF(Z1704=1,COUNTIF(Z$6:Z1704,1),"")</f>
        <v/>
      </c>
    </row>
    <row r="1705">
      <c r="A1705" s="54" t="n"/>
      <c r="B1705" s="55" t="str">
        <f>IF(AA1705="","",A1705&amp;"-"&amp;RIGHT("000"&amp;AA1705,4))</f>
        <v/>
      </c>
      <c r="C1705" s="56" t="n"/>
      <c r="D1705" s="54" t="n"/>
      <c r="E1705" s="57" t="str">
        <f>IF(D1705="","",IF(A1705="BL",IFERROR(INDEX(cl_name,MATCH(D1705,cl_code,0))&amp;"","Client inconnu"),IF(A1705="BR",IFERROR(INDEX(fo_name,MATCH(D1705,fo_code,0))&amp;"","Fournisseur inconnu"),IF(A1705="BS",IF(ISNA(MATCH(D1705,p_services,0)),"Service inconnu",D1705&amp;""),""))))</f>
        <v/>
      </c>
      <c r="F1705" s="58" t="n"/>
      <c r="G1705" s="58" t="n"/>
      <c r="H1705" s="59" t="n"/>
      <c r="I1705" s="57" t="str">
        <f>IF(H1705="","",IFERROR(INDEX(art_des,MATCH(H1705,art_ref,0))&amp;"","Article inconnu"))</f>
        <v/>
      </c>
      <c r="J1705" s="60" t="str">
        <f>IF(H1705="","",IFERROR(INDEX(art_unit,MATCH(H1705,art_ref,0))&amp;"",""))</f>
        <v/>
      </c>
      <c r="K1705" s="59" t="n"/>
      <c r="L1705" s="59" t="n"/>
      <c r="M1705" s="61" t="str">
        <f>IF(OR(B1705="",NOT(ISNUMBER(K1705)),NOT(ISNUMBER(L1705))),"",IF(OR(K1705&lt;=0,L1705&lt;=0),"",ROUND(L1705-K1705,6)))</f>
        <v/>
      </c>
      <c r="N1705" s="58" t="n"/>
      <c r="O1705" s="62" t="n"/>
      <c r="P1705" s="63" t="str">
        <f>IF(OR(B1705="",NOT(ISNUMBER(L1705))),"",IF(L1705&lt;=0,"",IFERROR(ROUND(L1705*N(INDEX(art_w,MATCH(H1705,art_ref,0))),3),"")))</f>
        <v/>
      </c>
      <c r="Q1705" s="59" t="n"/>
      <c r="R1705" s="54" t="n"/>
      <c r="S1705" s="59" t="n"/>
      <c r="T1705" s="59" t="n"/>
      <c r="U1705" s="64" t="str">
        <f>IF(OR(B1705="",H1705=""),"",IFERROR(IF(A1705="BL",IF(N(INDEX(art_price,MATCH(H1705,art_ref,0)))=0,"",N(INDEX(art_price,MATCH(H1705,art_ref,0)))),IF(N(INDEX(art_cost,MATCH(H1705,art_ref,0)))=0,"",N(INDEX(art_cost,MATCH(H1705,art_ref,0))))),""))</f>
        <v/>
      </c>
      <c r="V1705" s="64" t="str">
        <f>IF(OR(U1705="",NOT(ISNUMBER(L1705))),"",IF(L1705&lt;=0,"",ROUND(L1705*U1705,2)))</f>
        <v/>
      </c>
      <c r="W1705" s="60" t="str">
        <f>IF(AND(B1705&lt;&gt;"",A1705&lt;&gt;"BS",F1705&lt;&gt;"",H1705&lt;&gt;"",ISNUMBER(K1705),ISNUMBER(L1705)),IF(AND(K1705&gt;0,L1705&gt;0,K1705-L1705&gt;0,COUNTIFS(A1706:A$2005,A1705,F1706:F$2005,F1705,H1706:H$2005,H1705,AA1706:AA$2005,"&gt;0")=0),ROUND(K1705-L1705,6),""),"")</f>
        <v/>
      </c>
      <c r="X1705" s="60" t="str">
        <f>IF(AND(A1705="",C1705="",D1705="",H1705="",L1705=""),"",IF(A1705="","Type manquant",IF(AND(A1705&lt;&gt;"BL",A1705&lt;&gt;"BR",A1705&lt;&gt;"BS"),"Type inconnu (BL, BR ou BS)",IF(AG1705=0,"Date manquante ou invalide",IF(D1705="",IF(A1705="BL","Client manquant",IF(A1705="BR","Fournisseur manquant","Service manquant")),IF(IF(A1705="BL",ISNA(MATCH(D1705,cl_code,0)),IF(A1705="BR",ISNA(MATCH(D1705,fo_code,0)),ISNA(MATCH(D1705,p_services,0)))),IF(A1705="BL","Client inconnu",IF(A1705="BR","Fournisseur inconnu","Service inconnu")),IF(H1705="","Article manquant",IF(ISNA(MATCH(H1705,art_ref,0)),"Article inconnu",IF(OR(NOT(ISNUMBER(L1705)),N(L1705)&lt;=0),"Quantité invalide",IF(AND(K1705&lt;&gt;"",OR(NOT(ISNUMBER(K1705)),N(K1705)&lt;=0)),"Qté commandée invalide",IF(AG1705&lt;SUMPRODUCT(MAX((A$6:A1704=A1705)*AG$6:AG1704)),"Date antérieure au bon précédent",IF(AND(A1705&lt;&gt;"BR",ISNUMBER(M1705),N(M1705)&gt;0),IF(A1705="BL","Livré plus que commandé","Sorti plus que demandé"),"OK"))))))))))))</f>
        <v/>
      </c>
      <c r="Y1705" s="57" t="str">
        <f>IF(AND(OR(A1705="BL",A1705="BR",A1705="BS"),AG1705&gt;0,D1705&lt;&gt;""),A1705&amp;"|"&amp;AG1705&amp;"|"&amp;D1705&amp;"|"&amp;F1705,"")</f>
        <v/>
      </c>
      <c r="Z1705" s="57" t="str">
        <f>IF(Y1705="","",IF(COUNTIF(Y$6:Y1704,Y1705)=0,1,0))</f>
        <v/>
      </c>
      <c r="AA1705" s="57" t="str">
        <f>IF(Y1705="","",IF(Z1705=1,COUNTIFS(A$6:A1705,A1705,Z$6:Z1705,1),INDEX(AA$6:AA1704,MATCH(Y1705,Y$6:Y1704,0))))</f>
        <v/>
      </c>
      <c r="AB1705" s="57" t="str">
        <f>IF(B1705="","",COUNTIF(B$6:B1705,B1705))</f>
        <v/>
      </c>
      <c r="AC1705" s="57" t="str">
        <f>IF(B1705="","",B1705&amp;"#"&amp;AB1705)</f>
        <v/>
      </c>
      <c r="AD1705" s="57" t="str">
        <f>IF(Z1705=1,A1705&amp;AA1705,"")</f>
        <v/>
      </c>
      <c r="AE1705" s="57" t="str">
        <f>IF(B1705="","",YEAR(C1705))</f>
        <v/>
      </c>
      <c r="AF1705" s="57" t="str">
        <f>IF(B1705="","",MONTH(C1705))</f>
        <v/>
      </c>
      <c r="AG1705" s="57">
        <f>IF(ISNUMBER(C1705),C1705,0)</f>
        <v>0.0</v>
      </c>
      <c r="AH1705" s="57" t="str">
        <f>IF(N(W1705)&gt;0,COUNTIF(W$6:W1705,"&gt;0"),"")</f>
        <v/>
      </c>
      <c r="AI1705" s="57" t="str">
        <f>IF(Z1705=1,COUNTIF(Z$6:Z1705,1),"")</f>
        <v/>
      </c>
    </row>
    <row r="1706">
      <c r="A1706" s="54" t="n"/>
      <c r="B1706" s="55" t="str">
        <f>IF(AA1706="","",A1706&amp;"-"&amp;RIGHT("000"&amp;AA1706,4))</f>
        <v/>
      </c>
      <c r="C1706" s="56" t="n"/>
      <c r="D1706" s="54" t="n"/>
      <c r="E1706" s="57" t="str">
        <f>IF(D1706="","",IF(A1706="BL",IFERROR(INDEX(cl_name,MATCH(D1706,cl_code,0))&amp;"","Client inconnu"),IF(A1706="BR",IFERROR(INDEX(fo_name,MATCH(D1706,fo_code,0))&amp;"","Fournisseur inconnu"),IF(A1706="BS",IF(ISNA(MATCH(D1706,p_services,0)),"Service inconnu",D1706&amp;""),""))))</f>
        <v/>
      </c>
      <c r="F1706" s="58" t="n"/>
      <c r="G1706" s="58" t="n"/>
      <c r="H1706" s="59" t="n"/>
      <c r="I1706" s="57" t="str">
        <f>IF(H1706="","",IFERROR(INDEX(art_des,MATCH(H1706,art_ref,0))&amp;"","Article inconnu"))</f>
        <v/>
      </c>
      <c r="J1706" s="60" t="str">
        <f>IF(H1706="","",IFERROR(INDEX(art_unit,MATCH(H1706,art_ref,0))&amp;"",""))</f>
        <v/>
      </c>
      <c r="K1706" s="59" t="n"/>
      <c r="L1706" s="59" t="n"/>
      <c r="M1706" s="61" t="str">
        <f>IF(OR(B1706="",NOT(ISNUMBER(K1706)),NOT(ISNUMBER(L1706))),"",IF(OR(K1706&lt;=0,L1706&lt;=0),"",ROUND(L1706-K1706,6)))</f>
        <v/>
      </c>
      <c r="N1706" s="58" t="n"/>
      <c r="O1706" s="62" t="n"/>
      <c r="P1706" s="63" t="str">
        <f>IF(OR(B1706="",NOT(ISNUMBER(L1706))),"",IF(L1706&lt;=0,"",IFERROR(ROUND(L1706*N(INDEX(art_w,MATCH(H1706,art_ref,0))),3),"")))</f>
        <v/>
      </c>
      <c r="Q1706" s="59" t="n"/>
      <c r="R1706" s="54" t="n"/>
      <c r="S1706" s="59" t="n"/>
      <c r="T1706" s="59" t="n"/>
      <c r="U1706" s="64" t="str">
        <f>IF(OR(B1706="",H1706=""),"",IFERROR(IF(A1706="BL",IF(N(INDEX(art_price,MATCH(H1706,art_ref,0)))=0,"",N(INDEX(art_price,MATCH(H1706,art_ref,0)))),IF(N(INDEX(art_cost,MATCH(H1706,art_ref,0)))=0,"",N(INDEX(art_cost,MATCH(H1706,art_ref,0))))),""))</f>
        <v/>
      </c>
      <c r="V1706" s="64" t="str">
        <f>IF(OR(U1706="",NOT(ISNUMBER(L1706))),"",IF(L1706&lt;=0,"",ROUND(L1706*U1706,2)))</f>
        <v/>
      </c>
      <c r="W1706" s="60" t="str">
        <f>IF(AND(B1706&lt;&gt;"",A1706&lt;&gt;"BS",F1706&lt;&gt;"",H1706&lt;&gt;"",ISNUMBER(K1706),ISNUMBER(L1706)),IF(AND(K1706&gt;0,L1706&gt;0,K1706-L1706&gt;0,COUNTIFS(A1707:A$2005,A1706,F1707:F$2005,F1706,H1707:H$2005,H1706,AA1707:AA$2005,"&gt;0")=0),ROUND(K1706-L1706,6),""),"")</f>
        <v/>
      </c>
      <c r="X1706" s="60" t="str">
        <f>IF(AND(A1706="",C1706="",D1706="",H1706="",L1706=""),"",IF(A1706="","Type manquant",IF(AND(A1706&lt;&gt;"BL",A1706&lt;&gt;"BR",A1706&lt;&gt;"BS"),"Type inconnu (BL, BR ou BS)",IF(AG1706=0,"Date manquante ou invalide",IF(D1706="",IF(A1706="BL","Client manquant",IF(A1706="BR","Fournisseur manquant","Service manquant")),IF(IF(A1706="BL",ISNA(MATCH(D1706,cl_code,0)),IF(A1706="BR",ISNA(MATCH(D1706,fo_code,0)),ISNA(MATCH(D1706,p_services,0)))),IF(A1706="BL","Client inconnu",IF(A1706="BR","Fournisseur inconnu","Service inconnu")),IF(H1706="","Article manquant",IF(ISNA(MATCH(H1706,art_ref,0)),"Article inconnu",IF(OR(NOT(ISNUMBER(L1706)),N(L1706)&lt;=0),"Quantité invalide",IF(AND(K1706&lt;&gt;"",OR(NOT(ISNUMBER(K1706)),N(K1706)&lt;=0)),"Qté commandée invalide",IF(AG1706&lt;SUMPRODUCT(MAX((A$6:A1705=A1706)*AG$6:AG1705)),"Date antérieure au bon précédent",IF(AND(A1706&lt;&gt;"BR",ISNUMBER(M1706),N(M1706)&gt;0),IF(A1706="BL","Livré plus que commandé","Sorti plus que demandé"),"OK"))))))))))))</f>
        <v/>
      </c>
      <c r="Y1706" s="57" t="str">
        <f>IF(AND(OR(A1706="BL",A1706="BR",A1706="BS"),AG1706&gt;0,D1706&lt;&gt;""),A1706&amp;"|"&amp;AG1706&amp;"|"&amp;D1706&amp;"|"&amp;F1706,"")</f>
        <v/>
      </c>
      <c r="Z1706" s="57" t="str">
        <f>IF(Y1706="","",IF(COUNTIF(Y$6:Y1705,Y1706)=0,1,0))</f>
        <v/>
      </c>
      <c r="AA1706" s="57" t="str">
        <f>IF(Y1706="","",IF(Z1706=1,COUNTIFS(A$6:A1706,A1706,Z$6:Z1706,1),INDEX(AA$6:AA1705,MATCH(Y1706,Y$6:Y1705,0))))</f>
        <v/>
      </c>
      <c r="AB1706" s="57" t="str">
        <f>IF(B1706="","",COUNTIF(B$6:B1706,B1706))</f>
        <v/>
      </c>
      <c r="AC1706" s="57" t="str">
        <f>IF(B1706="","",B1706&amp;"#"&amp;AB1706)</f>
        <v/>
      </c>
      <c r="AD1706" s="57" t="str">
        <f>IF(Z1706=1,A1706&amp;AA1706,"")</f>
        <v/>
      </c>
      <c r="AE1706" s="57" t="str">
        <f>IF(B1706="","",YEAR(C1706))</f>
        <v/>
      </c>
      <c r="AF1706" s="57" t="str">
        <f>IF(B1706="","",MONTH(C1706))</f>
        <v/>
      </c>
      <c r="AG1706" s="57">
        <f>IF(ISNUMBER(C1706),C1706,0)</f>
        <v>0.0</v>
      </c>
      <c r="AH1706" s="57" t="str">
        <f>IF(N(W1706)&gt;0,COUNTIF(W$6:W1706,"&gt;0"),"")</f>
        <v/>
      </c>
      <c r="AI1706" s="57" t="str">
        <f>IF(Z1706=1,COUNTIF(Z$6:Z1706,1),"")</f>
        <v/>
      </c>
    </row>
    <row r="1707">
      <c r="A1707" s="54" t="n"/>
      <c r="B1707" s="55" t="str">
        <f>IF(AA1707="","",A1707&amp;"-"&amp;RIGHT("000"&amp;AA1707,4))</f>
        <v/>
      </c>
      <c r="C1707" s="56" t="n"/>
      <c r="D1707" s="54" t="n"/>
      <c r="E1707" s="57" t="str">
        <f>IF(D1707="","",IF(A1707="BL",IFERROR(INDEX(cl_name,MATCH(D1707,cl_code,0))&amp;"","Client inconnu"),IF(A1707="BR",IFERROR(INDEX(fo_name,MATCH(D1707,fo_code,0))&amp;"","Fournisseur inconnu"),IF(A1707="BS",IF(ISNA(MATCH(D1707,p_services,0)),"Service inconnu",D1707&amp;""),""))))</f>
        <v/>
      </c>
      <c r="F1707" s="58" t="n"/>
      <c r="G1707" s="58" t="n"/>
      <c r="H1707" s="59" t="n"/>
      <c r="I1707" s="57" t="str">
        <f>IF(H1707="","",IFERROR(INDEX(art_des,MATCH(H1707,art_ref,0))&amp;"","Article inconnu"))</f>
        <v/>
      </c>
      <c r="J1707" s="60" t="str">
        <f>IF(H1707="","",IFERROR(INDEX(art_unit,MATCH(H1707,art_ref,0))&amp;"",""))</f>
        <v/>
      </c>
      <c r="K1707" s="59" t="n"/>
      <c r="L1707" s="59" t="n"/>
      <c r="M1707" s="61" t="str">
        <f>IF(OR(B1707="",NOT(ISNUMBER(K1707)),NOT(ISNUMBER(L1707))),"",IF(OR(K1707&lt;=0,L1707&lt;=0),"",ROUND(L1707-K1707,6)))</f>
        <v/>
      </c>
      <c r="N1707" s="58" t="n"/>
      <c r="O1707" s="62" t="n"/>
      <c r="P1707" s="63" t="str">
        <f>IF(OR(B1707="",NOT(ISNUMBER(L1707))),"",IF(L1707&lt;=0,"",IFERROR(ROUND(L1707*N(INDEX(art_w,MATCH(H1707,art_ref,0))),3),"")))</f>
        <v/>
      </c>
      <c r="Q1707" s="59" t="n"/>
      <c r="R1707" s="54" t="n"/>
      <c r="S1707" s="59" t="n"/>
      <c r="T1707" s="59" t="n"/>
      <c r="U1707" s="64" t="str">
        <f>IF(OR(B1707="",H1707=""),"",IFERROR(IF(A1707="BL",IF(N(INDEX(art_price,MATCH(H1707,art_ref,0)))=0,"",N(INDEX(art_price,MATCH(H1707,art_ref,0)))),IF(N(INDEX(art_cost,MATCH(H1707,art_ref,0)))=0,"",N(INDEX(art_cost,MATCH(H1707,art_ref,0))))),""))</f>
        <v/>
      </c>
      <c r="V1707" s="64" t="str">
        <f>IF(OR(U1707="",NOT(ISNUMBER(L1707))),"",IF(L1707&lt;=0,"",ROUND(L1707*U1707,2)))</f>
        <v/>
      </c>
      <c r="W1707" s="60" t="str">
        <f>IF(AND(B1707&lt;&gt;"",A1707&lt;&gt;"BS",F1707&lt;&gt;"",H1707&lt;&gt;"",ISNUMBER(K1707),ISNUMBER(L1707)),IF(AND(K1707&gt;0,L1707&gt;0,K1707-L1707&gt;0,COUNTIFS(A1708:A$2005,A1707,F1708:F$2005,F1707,H1708:H$2005,H1707,AA1708:AA$2005,"&gt;0")=0),ROUND(K1707-L1707,6),""),"")</f>
        <v/>
      </c>
      <c r="X1707" s="60" t="str">
        <f>IF(AND(A1707="",C1707="",D1707="",H1707="",L1707=""),"",IF(A1707="","Type manquant",IF(AND(A1707&lt;&gt;"BL",A1707&lt;&gt;"BR",A1707&lt;&gt;"BS"),"Type inconnu (BL, BR ou BS)",IF(AG1707=0,"Date manquante ou invalide",IF(D1707="",IF(A1707="BL","Client manquant",IF(A1707="BR","Fournisseur manquant","Service manquant")),IF(IF(A1707="BL",ISNA(MATCH(D1707,cl_code,0)),IF(A1707="BR",ISNA(MATCH(D1707,fo_code,0)),ISNA(MATCH(D1707,p_services,0)))),IF(A1707="BL","Client inconnu",IF(A1707="BR","Fournisseur inconnu","Service inconnu")),IF(H1707="","Article manquant",IF(ISNA(MATCH(H1707,art_ref,0)),"Article inconnu",IF(OR(NOT(ISNUMBER(L1707)),N(L1707)&lt;=0),"Quantité invalide",IF(AND(K1707&lt;&gt;"",OR(NOT(ISNUMBER(K1707)),N(K1707)&lt;=0)),"Qté commandée invalide",IF(AG1707&lt;SUMPRODUCT(MAX((A$6:A1706=A1707)*AG$6:AG1706)),"Date antérieure au bon précédent",IF(AND(A1707&lt;&gt;"BR",ISNUMBER(M1707),N(M1707)&gt;0),IF(A1707="BL","Livré plus que commandé","Sorti plus que demandé"),"OK"))))))))))))</f>
        <v/>
      </c>
      <c r="Y1707" s="57" t="str">
        <f>IF(AND(OR(A1707="BL",A1707="BR",A1707="BS"),AG1707&gt;0,D1707&lt;&gt;""),A1707&amp;"|"&amp;AG1707&amp;"|"&amp;D1707&amp;"|"&amp;F1707,"")</f>
        <v/>
      </c>
      <c r="Z1707" s="57" t="str">
        <f>IF(Y1707="","",IF(COUNTIF(Y$6:Y1706,Y1707)=0,1,0))</f>
        <v/>
      </c>
      <c r="AA1707" s="57" t="str">
        <f>IF(Y1707="","",IF(Z1707=1,COUNTIFS(A$6:A1707,A1707,Z$6:Z1707,1),INDEX(AA$6:AA1706,MATCH(Y1707,Y$6:Y1706,0))))</f>
        <v/>
      </c>
      <c r="AB1707" s="57" t="str">
        <f>IF(B1707="","",COUNTIF(B$6:B1707,B1707))</f>
        <v/>
      </c>
      <c r="AC1707" s="57" t="str">
        <f>IF(B1707="","",B1707&amp;"#"&amp;AB1707)</f>
        <v/>
      </c>
      <c r="AD1707" s="57" t="str">
        <f>IF(Z1707=1,A1707&amp;AA1707,"")</f>
        <v/>
      </c>
      <c r="AE1707" s="57" t="str">
        <f>IF(B1707="","",YEAR(C1707))</f>
        <v/>
      </c>
      <c r="AF1707" s="57" t="str">
        <f>IF(B1707="","",MONTH(C1707))</f>
        <v/>
      </c>
      <c r="AG1707" s="57">
        <f>IF(ISNUMBER(C1707),C1707,0)</f>
        <v>0.0</v>
      </c>
      <c r="AH1707" s="57" t="str">
        <f>IF(N(W1707)&gt;0,COUNTIF(W$6:W1707,"&gt;0"),"")</f>
        <v/>
      </c>
      <c r="AI1707" s="57" t="str">
        <f>IF(Z1707=1,COUNTIF(Z$6:Z1707,1),"")</f>
        <v/>
      </c>
    </row>
    <row r="1708">
      <c r="A1708" s="54" t="n"/>
      <c r="B1708" s="55" t="str">
        <f>IF(AA1708="","",A1708&amp;"-"&amp;RIGHT("000"&amp;AA1708,4))</f>
        <v/>
      </c>
      <c r="C1708" s="56" t="n"/>
      <c r="D1708" s="54" t="n"/>
      <c r="E1708" s="57" t="str">
        <f>IF(D1708="","",IF(A1708="BL",IFERROR(INDEX(cl_name,MATCH(D1708,cl_code,0))&amp;"","Client inconnu"),IF(A1708="BR",IFERROR(INDEX(fo_name,MATCH(D1708,fo_code,0))&amp;"","Fournisseur inconnu"),IF(A1708="BS",IF(ISNA(MATCH(D1708,p_services,0)),"Service inconnu",D1708&amp;""),""))))</f>
        <v/>
      </c>
      <c r="F1708" s="58" t="n"/>
      <c r="G1708" s="58" t="n"/>
      <c r="H1708" s="59" t="n"/>
      <c r="I1708" s="57" t="str">
        <f>IF(H1708="","",IFERROR(INDEX(art_des,MATCH(H1708,art_ref,0))&amp;"","Article inconnu"))</f>
        <v/>
      </c>
      <c r="J1708" s="60" t="str">
        <f>IF(H1708="","",IFERROR(INDEX(art_unit,MATCH(H1708,art_ref,0))&amp;"",""))</f>
        <v/>
      </c>
      <c r="K1708" s="59" t="n"/>
      <c r="L1708" s="59" t="n"/>
      <c r="M1708" s="61" t="str">
        <f>IF(OR(B1708="",NOT(ISNUMBER(K1708)),NOT(ISNUMBER(L1708))),"",IF(OR(K1708&lt;=0,L1708&lt;=0),"",ROUND(L1708-K1708,6)))</f>
        <v/>
      </c>
      <c r="N1708" s="58" t="n"/>
      <c r="O1708" s="62" t="n"/>
      <c r="P1708" s="63" t="str">
        <f>IF(OR(B1708="",NOT(ISNUMBER(L1708))),"",IF(L1708&lt;=0,"",IFERROR(ROUND(L1708*N(INDEX(art_w,MATCH(H1708,art_ref,0))),3),"")))</f>
        <v/>
      </c>
      <c r="Q1708" s="59" t="n"/>
      <c r="R1708" s="54" t="n"/>
      <c r="S1708" s="59" t="n"/>
      <c r="T1708" s="59" t="n"/>
      <c r="U1708" s="64" t="str">
        <f>IF(OR(B1708="",H1708=""),"",IFERROR(IF(A1708="BL",IF(N(INDEX(art_price,MATCH(H1708,art_ref,0)))=0,"",N(INDEX(art_price,MATCH(H1708,art_ref,0)))),IF(N(INDEX(art_cost,MATCH(H1708,art_ref,0)))=0,"",N(INDEX(art_cost,MATCH(H1708,art_ref,0))))),""))</f>
        <v/>
      </c>
      <c r="V1708" s="64" t="str">
        <f>IF(OR(U1708="",NOT(ISNUMBER(L1708))),"",IF(L1708&lt;=0,"",ROUND(L1708*U1708,2)))</f>
        <v/>
      </c>
      <c r="W1708" s="60" t="str">
        <f>IF(AND(B1708&lt;&gt;"",A1708&lt;&gt;"BS",F1708&lt;&gt;"",H1708&lt;&gt;"",ISNUMBER(K1708),ISNUMBER(L1708)),IF(AND(K1708&gt;0,L1708&gt;0,K1708-L1708&gt;0,COUNTIFS(A1709:A$2005,A1708,F1709:F$2005,F1708,H1709:H$2005,H1708,AA1709:AA$2005,"&gt;0")=0),ROUND(K1708-L1708,6),""),"")</f>
        <v/>
      </c>
      <c r="X1708" s="60" t="str">
        <f>IF(AND(A1708="",C1708="",D1708="",H1708="",L1708=""),"",IF(A1708="","Type manquant",IF(AND(A1708&lt;&gt;"BL",A1708&lt;&gt;"BR",A1708&lt;&gt;"BS"),"Type inconnu (BL, BR ou BS)",IF(AG1708=0,"Date manquante ou invalide",IF(D1708="",IF(A1708="BL","Client manquant",IF(A1708="BR","Fournisseur manquant","Service manquant")),IF(IF(A1708="BL",ISNA(MATCH(D1708,cl_code,0)),IF(A1708="BR",ISNA(MATCH(D1708,fo_code,0)),ISNA(MATCH(D1708,p_services,0)))),IF(A1708="BL","Client inconnu",IF(A1708="BR","Fournisseur inconnu","Service inconnu")),IF(H1708="","Article manquant",IF(ISNA(MATCH(H1708,art_ref,0)),"Article inconnu",IF(OR(NOT(ISNUMBER(L1708)),N(L1708)&lt;=0),"Quantité invalide",IF(AND(K1708&lt;&gt;"",OR(NOT(ISNUMBER(K1708)),N(K1708)&lt;=0)),"Qté commandée invalide",IF(AG1708&lt;SUMPRODUCT(MAX((A$6:A1707=A1708)*AG$6:AG1707)),"Date antérieure au bon précédent",IF(AND(A1708&lt;&gt;"BR",ISNUMBER(M1708),N(M1708)&gt;0),IF(A1708="BL","Livré plus que commandé","Sorti plus que demandé"),"OK"))))))))))))</f>
        <v/>
      </c>
      <c r="Y1708" s="57" t="str">
        <f>IF(AND(OR(A1708="BL",A1708="BR",A1708="BS"),AG1708&gt;0,D1708&lt;&gt;""),A1708&amp;"|"&amp;AG1708&amp;"|"&amp;D1708&amp;"|"&amp;F1708,"")</f>
        <v/>
      </c>
      <c r="Z1708" s="57" t="str">
        <f>IF(Y1708="","",IF(COUNTIF(Y$6:Y1707,Y1708)=0,1,0))</f>
        <v/>
      </c>
      <c r="AA1708" s="57" t="str">
        <f>IF(Y1708="","",IF(Z1708=1,COUNTIFS(A$6:A1708,A1708,Z$6:Z1708,1),INDEX(AA$6:AA1707,MATCH(Y1708,Y$6:Y1707,0))))</f>
        <v/>
      </c>
      <c r="AB1708" s="57" t="str">
        <f>IF(B1708="","",COUNTIF(B$6:B1708,B1708))</f>
        <v/>
      </c>
      <c r="AC1708" s="57" t="str">
        <f>IF(B1708="","",B1708&amp;"#"&amp;AB1708)</f>
        <v/>
      </c>
      <c r="AD1708" s="57" t="str">
        <f>IF(Z1708=1,A1708&amp;AA1708,"")</f>
        <v/>
      </c>
      <c r="AE1708" s="57" t="str">
        <f>IF(B1708="","",YEAR(C1708))</f>
        <v/>
      </c>
      <c r="AF1708" s="57" t="str">
        <f>IF(B1708="","",MONTH(C1708))</f>
        <v/>
      </c>
      <c r="AG1708" s="57">
        <f>IF(ISNUMBER(C1708),C1708,0)</f>
        <v>0.0</v>
      </c>
      <c r="AH1708" s="57" t="str">
        <f>IF(N(W1708)&gt;0,COUNTIF(W$6:W1708,"&gt;0"),"")</f>
        <v/>
      </c>
      <c r="AI1708" s="57" t="str">
        <f>IF(Z1708=1,COUNTIF(Z$6:Z1708,1),"")</f>
        <v/>
      </c>
    </row>
    <row r="1709">
      <c r="A1709" s="54" t="n"/>
      <c r="B1709" s="55" t="str">
        <f>IF(AA1709="","",A1709&amp;"-"&amp;RIGHT("000"&amp;AA1709,4))</f>
        <v/>
      </c>
      <c r="C1709" s="56" t="n"/>
      <c r="D1709" s="54" t="n"/>
      <c r="E1709" s="57" t="str">
        <f>IF(D1709="","",IF(A1709="BL",IFERROR(INDEX(cl_name,MATCH(D1709,cl_code,0))&amp;"","Client inconnu"),IF(A1709="BR",IFERROR(INDEX(fo_name,MATCH(D1709,fo_code,0))&amp;"","Fournisseur inconnu"),IF(A1709="BS",IF(ISNA(MATCH(D1709,p_services,0)),"Service inconnu",D1709&amp;""),""))))</f>
        <v/>
      </c>
      <c r="F1709" s="58" t="n"/>
      <c r="G1709" s="58" t="n"/>
      <c r="H1709" s="59" t="n"/>
      <c r="I1709" s="57" t="str">
        <f>IF(H1709="","",IFERROR(INDEX(art_des,MATCH(H1709,art_ref,0))&amp;"","Article inconnu"))</f>
        <v/>
      </c>
      <c r="J1709" s="60" t="str">
        <f>IF(H1709="","",IFERROR(INDEX(art_unit,MATCH(H1709,art_ref,0))&amp;"",""))</f>
        <v/>
      </c>
      <c r="K1709" s="59" t="n"/>
      <c r="L1709" s="59" t="n"/>
      <c r="M1709" s="61" t="str">
        <f>IF(OR(B1709="",NOT(ISNUMBER(K1709)),NOT(ISNUMBER(L1709))),"",IF(OR(K1709&lt;=0,L1709&lt;=0),"",ROUND(L1709-K1709,6)))</f>
        <v/>
      </c>
      <c r="N1709" s="58" t="n"/>
      <c r="O1709" s="62" t="n"/>
      <c r="P1709" s="63" t="str">
        <f>IF(OR(B1709="",NOT(ISNUMBER(L1709))),"",IF(L1709&lt;=0,"",IFERROR(ROUND(L1709*N(INDEX(art_w,MATCH(H1709,art_ref,0))),3),"")))</f>
        <v/>
      </c>
      <c r="Q1709" s="59" t="n"/>
      <c r="R1709" s="54" t="n"/>
      <c r="S1709" s="59" t="n"/>
      <c r="T1709" s="59" t="n"/>
      <c r="U1709" s="64" t="str">
        <f>IF(OR(B1709="",H1709=""),"",IFERROR(IF(A1709="BL",IF(N(INDEX(art_price,MATCH(H1709,art_ref,0)))=0,"",N(INDEX(art_price,MATCH(H1709,art_ref,0)))),IF(N(INDEX(art_cost,MATCH(H1709,art_ref,0)))=0,"",N(INDEX(art_cost,MATCH(H1709,art_ref,0))))),""))</f>
        <v/>
      </c>
      <c r="V1709" s="64" t="str">
        <f>IF(OR(U1709="",NOT(ISNUMBER(L1709))),"",IF(L1709&lt;=0,"",ROUND(L1709*U1709,2)))</f>
        <v/>
      </c>
      <c r="W1709" s="60" t="str">
        <f>IF(AND(B1709&lt;&gt;"",A1709&lt;&gt;"BS",F1709&lt;&gt;"",H1709&lt;&gt;"",ISNUMBER(K1709),ISNUMBER(L1709)),IF(AND(K1709&gt;0,L1709&gt;0,K1709-L1709&gt;0,COUNTIFS(A1710:A$2005,A1709,F1710:F$2005,F1709,H1710:H$2005,H1709,AA1710:AA$2005,"&gt;0")=0),ROUND(K1709-L1709,6),""),"")</f>
        <v/>
      </c>
      <c r="X1709" s="60" t="str">
        <f>IF(AND(A1709="",C1709="",D1709="",H1709="",L1709=""),"",IF(A1709="","Type manquant",IF(AND(A1709&lt;&gt;"BL",A1709&lt;&gt;"BR",A1709&lt;&gt;"BS"),"Type inconnu (BL, BR ou BS)",IF(AG1709=0,"Date manquante ou invalide",IF(D1709="",IF(A1709="BL","Client manquant",IF(A1709="BR","Fournisseur manquant","Service manquant")),IF(IF(A1709="BL",ISNA(MATCH(D1709,cl_code,0)),IF(A1709="BR",ISNA(MATCH(D1709,fo_code,0)),ISNA(MATCH(D1709,p_services,0)))),IF(A1709="BL","Client inconnu",IF(A1709="BR","Fournisseur inconnu","Service inconnu")),IF(H1709="","Article manquant",IF(ISNA(MATCH(H1709,art_ref,0)),"Article inconnu",IF(OR(NOT(ISNUMBER(L1709)),N(L1709)&lt;=0),"Quantité invalide",IF(AND(K1709&lt;&gt;"",OR(NOT(ISNUMBER(K1709)),N(K1709)&lt;=0)),"Qté commandée invalide",IF(AG1709&lt;SUMPRODUCT(MAX((A$6:A1708=A1709)*AG$6:AG1708)),"Date antérieure au bon précédent",IF(AND(A1709&lt;&gt;"BR",ISNUMBER(M1709),N(M1709)&gt;0),IF(A1709="BL","Livré plus que commandé","Sorti plus que demandé"),"OK"))))))))))))</f>
        <v/>
      </c>
      <c r="Y1709" s="57" t="str">
        <f>IF(AND(OR(A1709="BL",A1709="BR",A1709="BS"),AG1709&gt;0,D1709&lt;&gt;""),A1709&amp;"|"&amp;AG1709&amp;"|"&amp;D1709&amp;"|"&amp;F1709,"")</f>
        <v/>
      </c>
      <c r="Z1709" s="57" t="str">
        <f>IF(Y1709="","",IF(COUNTIF(Y$6:Y1708,Y1709)=0,1,0))</f>
        <v/>
      </c>
      <c r="AA1709" s="57" t="str">
        <f>IF(Y1709="","",IF(Z1709=1,COUNTIFS(A$6:A1709,A1709,Z$6:Z1709,1),INDEX(AA$6:AA1708,MATCH(Y1709,Y$6:Y1708,0))))</f>
        <v/>
      </c>
      <c r="AB1709" s="57" t="str">
        <f>IF(B1709="","",COUNTIF(B$6:B1709,B1709))</f>
        <v/>
      </c>
      <c r="AC1709" s="57" t="str">
        <f>IF(B1709="","",B1709&amp;"#"&amp;AB1709)</f>
        <v/>
      </c>
      <c r="AD1709" s="57" t="str">
        <f>IF(Z1709=1,A1709&amp;AA1709,"")</f>
        <v/>
      </c>
      <c r="AE1709" s="57" t="str">
        <f>IF(B1709="","",YEAR(C1709))</f>
        <v/>
      </c>
      <c r="AF1709" s="57" t="str">
        <f>IF(B1709="","",MONTH(C1709))</f>
        <v/>
      </c>
      <c r="AG1709" s="57">
        <f>IF(ISNUMBER(C1709),C1709,0)</f>
        <v>0.0</v>
      </c>
      <c r="AH1709" s="57" t="str">
        <f>IF(N(W1709)&gt;0,COUNTIF(W$6:W1709,"&gt;0"),"")</f>
        <v/>
      </c>
      <c r="AI1709" s="57" t="str">
        <f>IF(Z1709=1,COUNTIF(Z$6:Z1709,1),"")</f>
        <v/>
      </c>
    </row>
    <row r="1710">
      <c r="A1710" s="54" t="n"/>
      <c r="B1710" s="55" t="str">
        <f>IF(AA1710="","",A1710&amp;"-"&amp;RIGHT("000"&amp;AA1710,4))</f>
        <v/>
      </c>
      <c r="C1710" s="56" t="n"/>
      <c r="D1710" s="54" t="n"/>
      <c r="E1710" s="57" t="str">
        <f>IF(D1710="","",IF(A1710="BL",IFERROR(INDEX(cl_name,MATCH(D1710,cl_code,0))&amp;"","Client inconnu"),IF(A1710="BR",IFERROR(INDEX(fo_name,MATCH(D1710,fo_code,0))&amp;"","Fournisseur inconnu"),IF(A1710="BS",IF(ISNA(MATCH(D1710,p_services,0)),"Service inconnu",D1710&amp;""),""))))</f>
        <v/>
      </c>
      <c r="F1710" s="58" t="n"/>
      <c r="G1710" s="58" t="n"/>
      <c r="H1710" s="59" t="n"/>
      <c r="I1710" s="57" t="str">
        <f>IF(H1710="","",IFERROR(INDEX(art_des,MATCH(H1710,art_ref,0))&amp;"","Article inconnu"))</f>
        <v/>
      </c>
      <c r="J1710" s="60" t="str">
        <f>IF(H1710="","",IFERROR(INDEX(art_unit,MATCH(H1710,art_ref,0))&amp;"",""))</f>
        <v/>
      </c>
      <c r="K1710" s="59" t="n"/>
      <c r="L1710" s="59" t="n"/>
      <c r="M1710" s="61" t="str">
        <f>IF(OR(B1710="",NOT(ISNUMBER(K1710)),NOT(ISNUMBER(L1710))),"",IF(OR(K1710&lt;=0,L1710&lt;=0),"",ROUND(L1710-K1710,6)))</f>
        <v/>
      </c>
      <c r="N1710" s="58" t="n"/>
      <c r="O1710" s="62" t="n"/>
      <c r="P1710" s="63" t="str">
        <f>IF(OR(B1710="",NOT(ISNUMBER(L1710))),"",IF(L1710&lt;=0,"",IFERROR(ROUND(L1710*N(INDEX(art_w,MATCH(H1710,art_ref,0))),3),"")))</f>
        <v/>
      </c>
      <c r="Q1710" s="59" t="n"/>
      <c r="R1710" s="54" t="n"/>
      <c r="S1710" s="59" t="n"/>
      <c r="T1710" s="59" t="n"/>
      <c r="U1710" s="64" t="str">
        <f>IF(OR(B1710="",H1710=""),"",IFERROR(IF(A1710="BL",IF(N(INDEX(art_price,MATCH(H1710,art_ref,0)))=0,"",N(INDEX(art_price,MATCH(H1710,art_ref,0)))),IF(N(INDEX(art_cost,MATCH(H1710,art_ref,0)))=0,"",N(INDEX(art_cost,MATCH(H1710,art_ref,0))))),""))</f>
        <v/>
      </c>
      <c r="V1710" s="64" t="str">
        <f>IF(OR(U1710="",NOT(ISNUMBER(L1710))),"",IF(L1710&lt;=0,"",ROUND(L1710*U1710,2)))</f>
        <v/>
      </c>
      <c r="W1710" s="60" t="str">
        <f>IF(AND(B1710&lt;&gt;"",A1710&lt;&gt;"BS",F1710&lt;&gt;"",H1710&lt;&gt;"",ISNUMBER(K1710),ISNUMBER(L1710)),IF(AND(K1710&gt;0,L1710&gt;0,K1710-L1710&gt;0,COUNTIFS(A1711:A$2005,A1710,F1711:F$2005,F1710,H1711:H$2005,H1710,AA1711:AA$2005,"&gt;0")=0),ROUND(K1710-L1710,6),""),"")</f>
        <v/>
      </c>
      <c r="X1710" s="60" t="str">
        <f>IF(AND(A1710="",C1710="",D1710="",H1710="",L1710=""),"",IF(A1710="","Type manquant",IF(AND(A1710&lt;&gt;"BL",A1710&lt;&gt;"BR",A1710&lt;&gt;"BS"),"Type inconnu (BL, BR ou BS)",IF(AG1710=0,"Date manquante ou invalide",IF(D1710="",IF(A1710="BL","Client manquant",IF(A1710="BR","Fournisseur manquant","Service manquant")),IF(IF(A1710="BL",ISNA(MATCH(D1710,cl_code,0)),IF(A1710="BR",ISNA(MATCH(D1710,fo_code,0)),ISNA(MATCH(D1710,p_services,0)))),IF(A1710="BL","Client inconnu",IF(A1710="BR","Fournisseur inconnu","Service inconnu")),IF(H1710="","Article manquant",IF(ISNA(MATCH(H1710,art_ref,0)),"Article inconnu",IF(OR(NOT(ISNUMBER(L1710)),N(L1710)&lt;=0),"Quantité invalide",IF(AND(K1710&lt;&gt;"",OR(NOT(ISNUMBER(K1710)),N(K1710)&lt;=0)),"Qté commandée invalide",IF(AG1710&lt;SUMPRODUCT(MAX((A$6:A1709=A1710)*AG$6:AG1709)),"Date antérieure au bon précédent",IF(AND(A1710&lt;&gt;"BR",ISNUMBER(M1710),N(M1710)&gt;0),IF(A1710="BL","Livré plus que commandé","Sorti plus que demandé"),"OK"))))))))))))</f>
        <v/>
      </c>
      <c r="Y1710" s="57" t="str">
        <f>IF(AND(OR(A1710="BL",A1710="BR",A1710="BS"),AG1710&gt;0,D1710&lt;&gt;""),A1710&amp;"|"&amp;AG1710&amp;"|"&amp;D1710&amp;"|"&amp;F1710,"")</f>
        <v/>
      </c>
      <c r="Z1710" s="57" t="str">
        <f>IF(Y1710="","",IF(COUNTIF(Y$6:Y1709,Y1710)=0,1,0))</f>
        <v/>
      </c>
      <c r="AA1710" s="57" t="str">
        <f>IF(Y1710="","",IF(Z1710=1,COUNTIFS(A$6:A1710,A1710,Z$6:Z1710,1),INDEX(AA$6:AA1709,MATCH(Y1710,Y$6:Y1709,0))))</f>
        <v/>
      </c>
      <c r="AB1710" s="57" t="str">
        <f>IF(B1710="","",COUNTIF(B$6:B1710,B1710))</f>
        <v/>
      </c>
      <c r="AC1710" s="57" t="str">
        <f>IF(B1710="","",B1710&amp;"#"&amp;AB1710)</f>
        <v/>
      </c>
      <c r="AD1710" s="57" t="str">
        <f>IF(Z1710=1,A1710&amp;AA1710,"")</f>
        <v/>
      </c>
      <c r="AE1710" s="57" t="str">
        <f>IF(B1710="","",YEAR(C1710))</f>
        <v/>
      </c>
      <c r="AF1710" s="57" t="str">
        <f>IF(B1710="","",MONTH(C1710))</f>
        <v/>
      </c>
      <c r="AG1710" s="57">
        <f>IF(ISNUMBER(C1710),C1710,0)</f>
        <v>0.0</v>
      </c>
      <c r="AH1710" s="57" t="str">
        <f>IF(N(W1710)&gt;0,COUNTIF(W$6:W1710,"&gt;0"),"")</f>
        <v/>
      </c>
      <c r="AI1710" s="57" t="str">
        <f>IF(Z1710=1,COUNTIF(Z$6:Z1710,1),"")</f>
        <v/>
      </c>
    </row>
    <row r="1711">
      <c r="A1711" s="54" t="n"/>
      <c r="B1711" s="55" t="str">
        <f>IF(AA1711="","",A1711&amp;"-"&amp;RIGHT("000"&amp;AA1711,4))</f>
        <v/>
      </c>
      <c r="C1711" s="56" t="n"/>
      <c r="D1711" s="54" t="n"/>
      <c r="E1711" s="57" t="str">
        <f>IF(D1711="","",IF(A1711="BL",IFERROR(INDEX(cl_name,MATCH(D1711,cl_code,0))&amp;"","Client inconnu"),IF(A1711="BR",IFERROR(INDEX(fo_name,MATCH(D1711,fo_code,0))&amp;"","Fournisseur inconnu"),IF(A1711="BS",IF(ISNA(MATCH(D1711,p_services,0)),"Service inconnu",D1711&amp;""),""))))</f>
        <v/>
      </c>
      <c r="F1711" s="58" t="n"/>
      <c r="G1711" s="58" t="n"/>
      <c r="H1711" s="59" t="n"/>
      <c r="I1711" s="57" t="str">
        <f>IF(H1711="","",IFERROR(INDEX(art_des,MATCH(H1711,art_ref,0))&amp;"","Article inconnu"))</f>
        <v/>
      </c>
      <c r="J1711" s="60" t="str">
        <f>IF(H1711="","",IFERROR(INDEX(art_unit,MATCH(H1711,art_ref,0))&amp;"",""))</f>
        <v/>
      </c>
      <c r="K1711" s="59" t="n"/>
      <c r="L1711" s="59" t="n"/>
      <c r="M1711" s="61" t="str">
        <f>IF(OR(B1711="",NOT(ISNUMBER(K1711)),NOT(ISNUMBER(L1711))),"",IF(OR(K1711&lt;=0,L1711&lt;=0),"",ROUND(L1711-K1711,6)))</f>
        <v/>
      </c>
      <c r="N1711" s="58" t="n"/>
      <c r="O1711" s="62" t="n"/>
      <c r="P1711" s="63" t="str">
        <f>IF(OR(B1711="",NOT(ISNUMBER(L1711))),"",IF(L1711&lt;=0,"",IFERROR(ROUND(L1711*N(INDEX(art_w,MATCH(H1711,art_ref,0))),3),"")))</f>
        <v/>
      </c>
      <c r="Q1711" s="59" t="n"/>
      <c r="R1711" s="54" t="n"/>
      <c r="S1711" s="59" t="n"/>
      <c r="T1711" s="59" t="n"/>
      <c r="U1711" s="64" t="str">
        <f>IF(OR(B1711="",H1711=""),"",IFERROR(IF(A1711="BL",IF(N(INDEX(art_price,MATCH(H1711,art_ref,0)))=0,"",N(INDEX(art_price,MATCH(H1711,art_ref,0)))),IF(N(INDEX(art_cost,MATCH(H1711,art_ref,0)))=0,"",N(INDEX(art_cost,MATCH(H1711,art_ref,0))))),""))</f>
        <v/>
      </c>
      <c r="V1711" s="64" t="str">
        <f>IF(OR(U1711="",NOT(ISNUMBER(L1711))),"",IF(L1711&lt;=0,"",ROUND(L1711*U1711,2)))</f>
        <v/>
      </c>
      <c r="W1711" s="60" t="str">
        <f>IF(AND(B1711&lt;&gt;"",A1711&lt;&gt;"BS",F1711&lt;&gt;"",H1711&lt;&gt;"",ISNUMBER(K1711),ISNUMBER(L1711)),IF(AND(K1711&gt;0,L1711&gt;0,K1711-L1711&gt;0,COUNTIFS(A1712:A$2005,A1711,F1712:F$2005,F1711,H1712:H$2005,H1711,AA1712:AA$2005,"&gt;0")=0),ROUND(K1711-L1711,6),""),"")</f>
        <v/>
      </c>
      <c r="X1711" s="60" t="str">
        <f>IF(AND(A1711="",C1711="",D1711="",H1711="",L1711=""),"",IF(A1711="","Type manquant",IF(AND(A1711&lt;&gt;"BL",A1711&lt;&gt;"BR",A1711&lt;&gt;"BS"),"Type inconnu (BL, BR ou BS)",IF(AG1711=0,"Date manquante ou invalide",IF(D1711="",IF(A1711="BL","Client manquant",IF(A1711="BR","Fournisseur manquant","Service manquant")),IF(IF(A1711="BL",ISNA(MATCH(D1711,cl_code,0)),IF(A1711="BR",ISNA(MATCH(D1711,fo_code,0)),ISNA(MATCH(D1711,p_services,0)))),IF(A1711="BL","Client inconnu",IF(A1711="BR","Fournisseur inconnu","Service inconnu")),IF(H1711="","Article manquant",IF(ISNA(MATCH(H1711,art_ref,0)),"Article inconnu",IF(OR(NOT(ISNUMBER(L1711)),N(L1711)&lt;=0),"Quantité invalide",IF(AND(K1711&lt;&gt;"",OR(NOT(ISNUMBER(K1711)),N(K1711)&lt;=0)),"Qté commandée invalide",IF(AG1711&lt;SUMPRODUCT(MAX((A$6:A1710=A1711)*AG$6:AG1710)),"Date antérieure au bon précédent",IF(AND(A1711&lt;&gt;"BR",ISNUMBER(M1711),N(M1711)&gt;0),IF(A1711="BL","Livré plus que commandé","Sorti plus que demandé"),"OK"))))))))))))</f>
        <v/>
      </c>
      <c r="Y1711" s="57" t="str">
        <f>IF(AND(OR(A1711="BL",A1711="BR",A1711="BS"),AG1711&gt;0,D1711&lt;&gt;""),A1711&amp;"|"&amp;AG1711&amp;"|"&amp;D1711&amp;"|"&amp;F1711,"")</f>
        <v/>
      </c>
      <c r="Z1711" s="57" t="str">
        <f>IF(Y1711="","",IF(COUNTIF(Y$6:Y1710,Y1711)=0,1,0))</f>
        <v/>
      </c>
      <c r="AA1711" s="57" t="str">
        <f>IF(Y1711="","",IF(Z1711=1,COUNTIFS(A$6:A1711,A1711,Z$6:Z1711,1),INDEX(AA$6:AA1710,MATCH(Y1711,Y$6:Y1710,0))))</f>
        <v/>
      </c>
      <c r="AB1711" s="57" t="str">
        <f>IF(B1711="","",COUNTIF(B$6:B1711,B1711))</f>
        <v/>
      </c>
      <c r="AC1711" s="57" t="str">
        <f>IF(B1711="","",B1711&amp;"#"&amp;AB1711)</f>
        <v/>
      </c>
      <c r="AD1711" s="57" t="str">
        <f>IF(Z1711=1,A1711&amp;AA1711,"")</f>
        <v/>
      </c>
      <c r="AE1711" s="57" t="str">
        <f>IF(B1711="","",YEAR(C1711))</f>
        <v/>
      </c>
      <c r="AF1711" s="57" t="str">
        <f>IF(B1711="","",MONTH(C1711))</f>
        <v/>
      </c>
      <c r="AG1711" s="57">
        <f>IF(ISNUMBER(C1711),C1711,0)</f>
        <v>0.0</v>
      </c>
      <c r="AH1711" s="57" t="str">
        <f>IF(N(W1711)&gt;0,COUNTIF(W$6:W1711,"&gt;0"),"")</f>
        <v/>
      </c>
      <c r="AI1711" s="57" t="str">
        <f>IF(Z1711=1,COUNTIF(Z$6:Z1711,1),"")</f>
        <v/>
      </c>
    </row>
    <row r="1712">
      <c r="A1712" s="54" t="n"/>
      <c r="B1712" s="55" t="str">
        <f>IF(AA1712="","",A1712&amp;"-"&amp;RIGHT("000"&amp;AA1712,4))</f>
        <v/>
      </c>
      <c r="C1712" s="56" t="n"/>
      <c r="D1712" s="54" t="n"/>
      <c r="E1712" s="57" t="str">
        <f>IF(D1712="","",IF(A1712="BL",IFERROR(INDEX(cl_name,MATCH(D1712,cl_code,0))&amp;"","Client inconnu"),IF(A1712="BR",IFERROR(INDEX(fo_name,MATCH(D1712,fo_code,0))&amp;"","Fournisseur inconnu"),IF(A1712="BS",IF(ISNA(MATCH(D1712,p_services,0)),"Service inconnu",D1712&amp;""),""))))</f>
        <v/>
      </c>
      <c r="F1712" s="58" t="n"/>
      <c r="G1712" s="58" t="n"/>
      <c r="H1712" s="59" t="n"/>
      <c r="I1712" s="57" t="str">
        <f>IF(H1712="","",IFERROR(INDEX(art_des,MATCH(H1712,art_ref,0))&amp;"","Article inconnu"))</f>
        <v/>
      </c>
      <c r="J1712" s="60" t="str">
        <f>IF(H1712="","",IFERROR(INDEX(art_unit,MATCH(H1712,art_ref,0))&amp;"",""))</f>
        <v/>
      </c>
      <c r="K1712" s="59" t="n"/>
      <c r="L1712" s="59" t="n"/>
      <c r="M1712" s="61" t="str">
        <f>IF(OR(B1712="",NOT(ISNUMBER(K1712)),NOT(ISNUMBER(L1712))),"",IF(OR(K1712&lt;=0,L1712&lt;=0),"",ROUND(L1712-K1712,6)))</f>
        <v/>
      </c>
      <c r="N1712" s="58" t="n"/>
      <c r="O1712" s="62" t="n"/>
      <c r="P1712" s="63" t="str">
        <f>IF(OR(B1712="",NOT(ISNUMBER(L1712))),"",IF(L1712&lt;=0,"",IFERROR(ROUND(L1712*N(INDEX(art_w,MATCH(H1712,art_ref,0))),3),"")))</f>
        <v/>
      </c>
      <c r="Q1712" s="59" t="n"/>
      <c r="R1712" s="54" t="n"/>
      <c r="S1712" s="59" t="n"/>
      <c r="T1712" s="59" t="n"/>
      <c r="U1712" s="64" t="str">
        <f>IF(OR(B1712="",H1712=""),"",IFERROR(IF(A1712="BL",IF(N(INDEX(art_price,MATCH(H1712,art_ref,0)))=0,"",N(INDEX(art_price,MATCH(H1712,art_ref,0)))),IF(N(INDEX(art_cost,MATCH(H1712,art_ref,0)))=0,"",N(INDEX(art_cost,MATCH(H1712,art_ref,0))))),""))</f>
        <v/>
      </c>
      <c r="V1712" s="64" t="str">
        <f>IF(OR(U1712="",NOT(ISNUMBER(L1712))),"",IF(L1712&lt;=0,"",ROUND(L1712*U1712,2)))</f>
        <v/>
      </c>
      <c r="W1712" s="60" t="str">
        <f>IF(AND(B1712&lt;&gt;"",A1712&lt;&gt;"BS",F1712&lt;&gt;"",H1712&lt;&gt;"",ISNUMBER(K1712),ISNUMBER(L1712)),IF(AND(K1712&gt;0,L1712&gt;0,K1712-L1712&gt;0,COUNTIFS(A1713:A$2005,A1712,F1713:F$2005,F1712,H1713:H$2005,H1712,AA1713:AA$2005,"&gt;0")=0),ROUND(K1712-L1712,6),""),"")</f>
        <v/>
      </c>
      <c r="X1712" s="60" t="str">
        <f>IF(AND(A1712="",C1712="",D1712="",H1712="",L1712=""),"",IF(A1712="","Type manquant",IF(AND(A1712&lt;&gt;"BL",A1712&lt;&gt;"BR",A1712&lt;&gt;"BS"),"Type inconnu (BL, BR ou BS)",IF(AG1712=0,"Date manquante ou invalide",IF(D1712="",IF(A1712="BL","Client manquant",IF(A1712="BR","Fournisseur manquant","Service manquant")),IF(IF(A1712="BL",ISNA(MATCH(D1712,cl_code,0)),IF(A1712="BR",ISNA(MATCH(D1712,fo_code,0)),ISNA(MATCH(D1712,p_services,0)))),IF(A1712="BL","Client inconnu",IF(A1712="BR","Fournisseur inconnu","Service inconnu")),IF(H1712="","Article manquant",IF(ISNA(MATCH(H1712,art_ref,0)),"Article inconnu",IF(OR(NOT(ISNUMBER(L1712)),N(L1712)&lt;=0),"Quantité invalide",IF(AND(K1712&lt;&gt;"",OR(NOT(ISNUMBER(K1712)),N(K1712)&lt;=0)),"Qté commandée invalide",IF(AG1712&lt;SUMPRODUCT(MAX((A$6:A1711=A1712)*AG$6:AG1711)),"Date antérieure au bon précédent",IF(AND(A1712&lt;&gt;"BR",ISNUMBER(M1712),N(M1712)&gt;0),IF(A1712="BL","Livré plus que commandé","Sorti plus que demandé"),"OK"))))))))))))</f>
        <v/>
      </c>
      <c r="Y1712" s="57" t="str">
        <f>IF(AND(OR(A1712="BL",A1712="BR",A1712="BS"),AG1712&gt;0,D1712&lt;&gt;""),A1712&amp;"|"&amp;AG1712&amp;"|"&amp;D1712&amp;"|"&amp;F1712,"")</f>
        <v/>
      </c>
      <c r="Z1712" s="57" t="str">
        <f>IF(Y1712="","",IF(COUNTIF(Y$6:Y1711,Y1712)=0,1,0))</f>
        <v/>
      </c>
      <c r="AA1712" s="57" t="str">
        <f>IF(Y1712="","",IF(Z1712=1,COUNTIFS(A$6:A1712,A1712,Z$6:Z1712,1),INDEX(AA$6:AA1711,MATCH(Y1712,Y$6:Y1711,0))))</f>
        <v/>
      </c>
      <c r="AB1712" s="57" t="str">
        <f>IF(B1712="","",COUNTIF(B$6:B1712,B1712))</f>
        <v/>
      </c>
      <c r="AC1712" s="57" t="str">
        <f>IF(B1712="","",B1712&amp;"#"&amp;AB1712)</f>
        <v/>
      </c>
      <c r="AD1712" s="57" t="str">
        <f>IF(Z1712=1,A1712&amp;AA1712,"")</f>
        <v/>
      </c>
      <c r="AE1712" s="57" t="str">
        <f>IF(B1712="","",YEAR(C1712))</f>
        <v/>
      </c>
      <c r="AF1712" s="57" t="str">
        <f>IF(B1712="","",MONTH(C1712))</f>
        <v/>
      </c>
      <c r="AG1712" s="57">
        <f>IF(ISNUMBER(C1712),C1712,0)</f>
        <v>0.0</v>
      </c>
      <c r="AH1712" s="57" t="str">
        <f>IF(N(W1712)&gt;0,COUNTIF(W$6:W1712,"&gt;0"),"")</f>
        <v/>
      </c>
      <c r="AI1712" s="57" t="str">
        <f>IF(Z1712=1,COUNTIF(Z$6:Z1712,1),"")</f>
        <v/>
      </c>
    </row>
    <row r="1713">
      <c r="A1713" s="54" t="n"/>
      <c r="B1713" s="55" t="str">
        <f>IF(AA1713="","",A1713&amp;"-"&amp;RIGHT("000"&amp;AA1713,4))</f>
        <v/>
      </c>
      <c r="C1713" s="56" t="n"/>
      <c r="D1713" s="54" t="n"/>
      <c r="E1713" s="57" t="str">
        <f>IF(D1713="","",IF(A1713="BL",IFERROR(INDEX(cl_name,MATCH(D1713,cl_code,0))&amp;"","Client inconnu"),IF(A1713="BR",IFERROR(INDEX(fo_name,MATCH(D1713,fo_code,0))&amp;"","Fournisseur inconnu"),IF(A1713="BS",IF(ISNA(MATCH(D1713,p_services,0)),"Service inconnu",D1713&amp;""),""))))</f>
        <v/>
      </c>
      <c r="F1713" s="58" t="n"/>
      <c r="G1713" s="58" t="n"/>
      <c r="H1713" s="59" t="n"/>
      <c r="I1713" s="57" t="str">
        <f>IF(H1713="","",IFERROR(INDEX(art_des,MATCH(H1713,art_ref,0))&amp;"","Article inconnu"))</f>
        <v/>
      </c>
      <c r="J1713" s="60" t="str">
        <f>IF(H1713="","",IFERROR(INDEX(art_unit,MATCH(H1713,art_ref,0))&amp;"",""))</f>
        <v/>
      </c>
      <c r="K1713" s="59" t="n"/>
      <c r="L1713" s="59" t="n"/>
      <c r="M1713" s="61" t="str">
        <f>IF(OR(B1713="",NOT(ISNUMBER(K1713)),NOT(ISNUMBER(L1713))),"",IF(OR(K1713&lt;=0,L1713&lt;=0),"",ROUND(L1713-K1713,6)))</f>
        <v/>
      </c>
      <c r="N1713" s="58" t="n"/>
      <c r="O1713" s="62" t="n"/>
      <c r="P1713" s="63" t="str">
        <f>IF(OR(B1713="",NOT(ISNUMBER(L1713))),"",IF(L1713&lt;=0,"",IFERROR(ROUND(L1713*N(INDEX(art_w,MATCH(H1713,art_ref,0))),3),"")))</f>
        <v/>
      </c>
      <c r="Q1713" s="59" t="n"/>
      <c r="R1713" s="54" t="n"/>
      <c r="S1713" s="59" t="n"/>
      <c r="T1713" s="59" t="n"/>
      <c r="U1713" s="64" t="str">
        <f>IF(OR(B1713="",H1713=""),"",IFERROR(IF(A1713="BL",IF(N(INDEX(art_price,MATCH(H1713,art_ref,0)))=0,"",N(INDEX(art_price,MATCH(H1713,art_ref,0)))),IF(N(INDEX(art_cost,MATCH(H1713,art_ref,0)))=0,"",N(INDEX(art_cost,MATCH(H1713,art_ref,0))))),""))</f>
        <v/>
      </c>
      <c r="V1713" s="64" t="str">
        <f>IF(OR(U1713="",NOT(ISNUMBER(L1713))),"",IF(L1713&lt;=0,"",ROUND(L1713*U1713,2)))</f>
        <v/>
      </c>
      <c r="W1713" s="60" t="str">
        <f>IF(AND(B1713&lt;&gt;"",A1713&lt;&gt;"BS",F1713&lt;&gt;"",H1713&lt;&gt;"",ISNUMBER(K1713),ISNUMBER(L1713)),IF(AND(K1713&gt;0,L1713&gt;0,K1713-L1713&gt;0,COUNTIFS(A1714:A$2005,A1713,F1714:F$2005,F1713,H1714:H$2005,H1713,AA1714:AA$2005,"&gt;0")=0),ROUND(K1713-L1713,6),""),"")</f>
        <v/>
      </c>
      <c r="X1713" s="60" t="str">
        <f>IF(AND(A1713="",C1713="",D1713="",H1713="",L1713=""),"",IF(A1713="","Type manquant",IF(AND(A1713&lt;&gt;"BL",A1713&lt;&gt;"BR",A1713&lt;&gt;"BS"),"Type inconnu (BL, BR ou BS)",IF(AG1713=0,"Date manquante ou invalide",IF(D1713="",IF(A1713="BL","Client manquant",IF(A1713="BR","Fournisseur manquant","Service manquant")),IF(IF(A1713="BL",ISNA(MATCH(D1713,cl_code,0)),IF(A1713="BR",ISNA(MATCH(D1713,fo_code,0)),ISNA(MATCH(D1713,p_services,0)))),IF(A1713="BL","Client inconnu",IF(A1713="BR","Fournisseur inconnu","Service inconnu")),IF(H1713="","Article manquant",IF(ISNA(MATCH(H1713,art_ref,0)),"Article inconnu",IF(OR(NOT(ISNUMBER(L1713)),N(L1713)&lt;=0),"Quantité invalide",IF(AND(K1713&lt;&gt;"",OR(NOT(ISNUMBER(K1713)),N(K1713)&lt;=0)),"Qté commandée invalide",IF(AG1713&lt;SUMPRODUCT(MAX((A$6:A1712=A1713)*AG$6:AG1712)),"Date antérieure au bon précédent",IF(AND(A1713&lt;&gt;"BR",ISNUMBER(M1713),N(M1713)&gt;0),IF(A1713="BL","Livré plus que commandé","Sorti plus que demandé"),"OK"))))))))))))</f>
        <v/>
      </c>
      <c r="Y1713" s="57" t="str">
        <f>IF(AND(OR(A1713="BL",A1713="BR",A1713="BS"),AG1713&gt;0,D1713&lt;&gt;""),A1713&amp;"|"&amp;AG1713&amp;"|"&amp;D1713&amp;"|"&amp;F1713,"")</f>
        <v/>
      </c>
      <c r="Z1713" s="57" t="str">
        <f>IF(Y1713="","",IF(COUNTIF(Y$6:Y1712,Y1713)=0,1,0))</f>
        <v/>
      </c>
      <c r="AA1713" s="57" t="str">
        <f>IF(Y1713="","",IF(Z1713=1,COUNTIFS(A$6:A1713,A1713,Z$6:Z1713,1),INDEX(AA$6:AA1712,MATCH(Y1713,Y$6:Y1712,0))))</f>
        <v/>
      </c>
      <c r="AB1713" s="57" t="str">
        <f>IF(B1713="","",COUNTIF(B$6:B1713,B1713))</f>
        <v/>
      </c>
      <c r="AC1713" s="57" t="str">
        <f>IF(B1713="","",B1713&amp;"#"&amp;AB1713)</f>
        <v/>
      </c>
      <c r="AD1713" s="57" t="str">
        <f>IF(Z1713=1,A1713&amp;AA1713,"")</f>
        <v/>
      </c>
      <c r="AE1713" s="57" t="str">
        <f>IF(B1713="","",YEAR(C1713))</f>
        <v/>
      </c>
      <c r="AF1713" s="57" t="str">
        <f>IF(B1713="","",MONTH(C1713))</f>
        <v/>
      </c>
      <c r="AG1713" s="57">
        <f>IF(ISNUMBER(C1713),C1713,0)</f>
        <v>0.0</v>
      </c>
      <c r="AH1713" s="57" t="str">
        <f>IF(N(W1713)&gt;0,COUNTIF(W$6:W1713,"&gt;0"),"")</f>
        <v/>
      </c>
      <c r="AI1713" s="57" t="str">
        <f>IF(Z1713=1,COUNTIF(Z$6:Z1713,1),"")</f>
        <v/>
      </c>
    </row>
    <row r="1714">
      <c r="A1714" s="54" t="n"/>
      <c r="B1714" s="55" t="str">
        <f>IF(AA1714="","",A1714&amp;"-"&amp;RIGHT("000"&amp;AA1714,4))</f>
        <v/>
      </c>
      <c r="C1714" s="56" t="n"/>
      <c r="D1714" s="54" t="n"/>
      <c r="E1714" s="57" t="str">
        <f>IF(D1714="","",IF(A1714="BL",IFERROR(INDEX(cl_name,MATCH(D1714,cl_code,0))&amp;"","Client inconnu"),IF(A1714="BR",IFERROR(INDEX(fo_name,MATCH(D1714,fo_code,0))&amp;"","Fournisseur inconnu"),IF(A1714="BS",IF(ISNA(MATCH(D1714,p_services,0)),"Service inconnu",D1714&amp;""),""))))</f>
        <v/>
      </c>
      <c r="F1714" s="58" t="n"/>
      <c r="G1714" s="58" t="n"/>
      <c r="H1714" s="59" t="n"/>
      <c r="I1714" s="57" t="str">
        <f>IF(H1714="","",IFERROR(INDEX(art_des,MATCH(H1714,art_ref,0))&amp;"","Article inconnu"))</f>
        <v/>
      </c>
      <c r="J1714" s="60" t="str">
        <f>IF(H1714="","",IFERROR(INDEX(art_unit,MATCH(H1714,art_ref,0))&amp;"",""))</f>
        <v/>
      </c>
      <c r="K1714" s="59" t="n"/>
      <c r="L1714" s="59" t="n"/>
      <c r="M1714" s="61" t="str">
        <f>IF(OR(B1714="",NOT(ISNUMBER(K1714)),NOT(ISNUMBER(L1714))),"",IF(OR(K1714&lt;=0,L1714&lt;=0),"",ROUND(L1714-K1714,6)))</f>
        <v/>
      </c>
      <c r="N1714" s="58" t="n"/>
      <c r="O1714" s="62" t="n"/>
      <c r="P1714" s="63" t="str">
        <f>IF(OR(B1714="",NOT(ISNUMBER(L1714))),"",IF(L1714&lt;=0,"",IFERROR(ROUND(L1714*N(INDEX(art_w,MATCH(H1714,art_ref,0))),3),"")))</f>
        <v/>
      </c>
      <c r="Q1714" s="59" t="n"/>
      <c r="R1714" s="54" t="n"/>
      <c r="S1714" s="59" t="n"/>
      <c r="T1714" s="59" t="n"/>
      <c r="U1714" s="64" t="str">
        <f>IF(OR(B1714="",H1714=""),"",IFERROR(IF(A1714="BL",IF(N(INDEX(art_price,MATCH(H1714,art_ref,0)))=0,"",N(INDEX(art_price,MATCH(H1714,art_ref,0)))),IF(N(INDEX(art_cost,MATCH(H1714,art_ref,0)))=0,"",N(INDEX(art_cost,MATCH(H1714,art_ref,0))))),""))</f>
        <v/>
      </c>
      <c r="V1714" s="64" t="str">
        <f>IF(OR(U1714="",NOT(ISNUMBER(L1714))),"",IF(L1714&lt;=0,"",ROUND(L1714*U1714,2)))</f>
        <v/>
      </c>
      <c r="W1714" s="60" t="str">
        <f>IF(AND(B1714&lt;&gt;"",A1714&lt;&gt;"BS",F1714&lt;&gt;"",H1714&lt;&gt;"",ISNUMBER(K1714),ISNUMBER(L1714)),IF(AND(K1714&gt;0,L1714&gt;0,K1714-L1714&gt;0,COUNTIFS(A1715:A$2005,A1714,F1715:F$2005,F1714,H1715:H$2005,H1714,AA1715:AA$2005,"&gt;0")=0),ROUND(K1714-L1714,6),""),"")</f>
        <v/>
      </c>
      <c r="X1714" s="60" t="str">
        <f>IF(AND(A1714="",C1714="",D1714="",H1714="",L1714=""),"",IF(A1714="","Type manquant",IF(AND(A1714&lt;&gt;"BL",A1714&lt;&gt;"BR",A1714&lt;&gt;"BS"),"Type inconnu (BL, BR ou BS)",IF(AG1714=0,"Date manquante ou invalide",IF(D1714="",IF(A1714="BL","Client manquant",IF(A1714="BR","Fournisseur manquant","Service manquant")),IF(IF(A1714="BL",ISNA(MATCH(D1714,cl_code,0)),IF(A1714="BR",ISNA(MATCH(D1714,fo_code,0)),ISNA(MATCH(D1714,p_services,0)))),IF(A1714="BL","Client inconnu",IF(A1714="BR","Fournisseur inconnu","Service inconnu")),IF(H1714="","Article manquant",IF(ISNA(MATCH(H1714,art_ref,0)),"Article inconnu",IF(OR(NOT(ISNUMBER(L1714)),N(L1714)&lt;=0),"Quantité invalide",IF(AND(K1714&lt;&gt;"",OR(NOT(ISNUMBER(K1714)),N(K1714)&lt;=0)),"Qté commandée invalide",IF(AG1714&lt;SUMPRODUCT(MAX((A$6:A1713=A1714)*AG$6:AG1713)),"Date antérieure au bon précédent",IF(AND(A1714&lt;&gt;"BR",ISNUMBER(M1714),N(M1714)&gt;0),IF(A1714="BL","Livré plus que commandé","Sorti plus que demandé"),"OK"))))))))))))</f>
        <v/>
      </c>
      <c r="Y1714" s="57" t="str">
        <f>IF(AND(OR(A1714="BL",A1714="BR",A1714="BS"),AG1714&gt;0,D1714&lt;&gt;""),A1714&amp;"|"&amp;AG1714&amp;"|"&amp;D1714&amp;"|"&amp;F1714,"")</f>
        <v/>
      </c>
      <c r="Z1714" s="57" t="str">
        <f>IF(Y1714="","",IF(COUNTIF(Y$6:Y1713,Y1714)=0,1,0))</f>
        <v/>
      </c>
      <c r="AA1714" s="57" t="str">
        <f>IF(Y1714="","",IF(Z1714=1,COUNTIFS(A$6:A1714,A1714,Z$6:Z1714,1),INDEX(AA$6:AA1713,MATCH(Y1714,Y$6:Y1713,0))))</f>
        <v/>
      </c>
      <c r="AB1714" s="57" t="str">
        <f>IF(B1714="","",COUNTIF(B$6:B1714,B1714))</f>
        <v/>
      </c>
      <c r="AC1714" s="57" t="str">
        <f>IF(B1714="","",B1714&amp;"#"&amp;AB1714)</f>
        <v/>
      </c>
      <c r="AD1714" s="57" t="str">
        <f>IF(Z1714=1,A1714&amp;AA1714,"")</f>
        <v/>
      </c>
      <c r="AE1714" s="57" t="str">
        <f>IF(B1714="","",YEAR(C1714))</f>
        <v/>
      </c>
      <c r="AF1714" s="57" t="str">
        <f>IF(B1714="","",MONTH(C1714))</f>
        <v/>
      </c>
      <c r="AG1714" s="57">
        <f>IF(ISNUMBER(C1714),C1714,0)</f>
        <v>0.0</v>
      </c>
      <c r="AH1714" s="57" t="str">
        <f>IF(N(W1714)&gt;0,COUNTIF(W$6:W1714,"&gt;0"),"")</f>
        <v/>
      </c>
      <c r="AI1714" s="57" t="str">
        <f>IF(Z1714=1,COUNTIF(Z$6:Z1714,1),"")</f>
        <v/>
      </c>
    </row>
    <row r="1715">
      <c r="A1715" s="54" t="n"/>
      <c r="B1715" s="55" t="str">
        <f>IF(AA1715="","",A1715&amp;"-"&amp;RIGHT("000"&amp;AA1715,4))</f>
        <v/>
      </c>
      <c r="C1715" s="56" t="n"/>
      <c r="D1715" s="54" t="n"/>
      <c r="E1715" s="57" t="str">
        <f>IF(D1715="","",IF(A1715="BL",IFERROR(INDEX(cl_name,MATCH(D1715,cl_code,0))&amp;"","Client inconnu"),IF(A1715="BR",IFERROR(INDEX(fo_name,MATCH(D1715,fo_code,0))&amp;"","Fournisseur inconnu"),IF(A1715="BS",IF(ISNA(MATCH(D1715,p_services,0)),"Service inconnu",D1715&amp;""),""))))</f>
        <v/>
      </c>
      <c r="F1715" s="58" t="n"/>
      <c r="G1715" s="58" t="n"/>
      <c r="H1715" s="59" t="n"/>
      <c r="I1715" s="57" t="str">
        <f>IF(H1715="","",IFERROR(INDEX(art_des,MATCH(H1715,art_ref,0))&amp;"","Article inconnu"))</f>
        <v/>
      </c>
      <c r="J1715" s="60" t="str">
        <f>IF(H1715="","",IFERROR(INDEX(art_unit,MATCH(H1715,art_ref,0))&amp;"",""))</f>
        <v/>
      </c>
      <c r="K1715" s="59" t="n"/>
      <c r="L1715" s="59" t="n"/>
      <c r="M1715" s="61" t="str">
        <f>IF(OR(B1715="",NOT(ISNUMBER(K1715)),NOT(ISNUMBER(L1715))),"",IF(OR(K1715&lt;=0,L1715&lt;=0),"",ROUND(L1715-K1715,6)))</f>
        <v/>
      </c>
      <c r="N1715" s="58" t="n"/>
      <c r="O1715" s="62" t="n"/>
      <c r="P1715" s="63" t="str">
        <f>IF(OR(B1715="",NOT(ISNUMBER(L1715))),"",IF(L1715&lt;=0,"",IFERROR(ROUND(L1715*N(INDEX(art_w,MATCH(H1715,art_ref,0))),3),"")))</f>
        <v/>
      </c>
      <c r="Q1715" s="59" t="n"/>
      <c r="R1715" s="54" t="n"/>
      <c r="S1715" s="59" t="n"/>
      <c r="T1715" s="59" t="n"/>
      <c r="U1715" s="64" t="str">
        <f>IF(OR(B1715="",H1715=""),"",IFERROR(IF(A1715="BL",IF(N(INDEX(art_price,MATCH(H1715,art_ref,0)))=0,"",N(INDEX(art_price,MATCH(H1715,art_ref,0)))),IF(N(INDEX(art_cost,MATCH(H1715,art_ref,0)))=0,"",N(INDEX(art_cost,MATCH(H1715,art_ref,0))))),""))</f>
        <v/>
      </c>
      <c r="V1715" s="64" t="str">
        <f>IF(OR(U1715="",NOT(ISNUMBER(L1715))),"",IF(L1715&lt;=0,"",ROUND(L1715*U1715,2)))</f>
        <v/>
      </c>
      <c r="W1715" s="60" t="str">
        <f>IF(AND(B1715&lt;&gt;"",A1715&lt;&gt;"BS",F1715&lt;&gt;"",H1715&lt;&gt;"",ISNUMBER(K1715),ISNUMBER(L1715)),IF(AND(K1715&gt;0,L1715&gt;0,K1715-L1715&gt;0,COUNTIFS(A1716:A$2005,A1715,F1716:F$2005,F1715,H1716:H$2005,H1715,AA1716:AA$2005,"&gt;0")=0),ROUND(K1715-L1715,6),""),"")</f>
        <v/>
      </c>
      <c r="X1715" s="60" t="str">
        <f>IF(AND(A1715="",C1715="",D1715="",H1715="",L1715=""),"",IF(A1715="","Type manquant",IF(AND(A1715&lt;&gt;"BL",A1715&lt;&gt;"BR",A1715&lt;&gt;"BS"),"Type inconnu (BL, BR ou BS)",IF(AG1715=0,"Date manquante ou invalide",IF(D1715="",IF(A1715="BL","Client manquant",IF(A1715="BR","Fournisseur manquant","Service manquant")),IF(IF(A1715="BL",ISNA(MATCH(D1715,cl_code,0)),IF(A1715="BR",ISNA(MATCH(D1715,fo_code,0)),ISNA(MATCH(D1715,p_services,0)))),IF(A1715="BL","Client inconnu",IF(A1715="BR","Fournisseur inconnu","Service inconnu")),IF(H1715="","Article manquant",IF(ISNA(MATCH(H1715,art_ref,0)),"Article inconnu",IF(OR(NOT(ISNUMBER(L1715)),N(L1715)&lt;=0),"Quantité invalide",IF(AND(K1715&lt;&gt;"",OR(NOT(ISNUMBER(K1715)),N(K1715)&lt;=0)),"Qté commandée invalide",IF(AG1715&lt;SUMPRODUCT(MAX((A$6:A1714=A1715)*AG$6:AG1714)),"Date antérieure au bon précédent",IF(AND(A1715&lt;&gt;"BR",ISNUMBER(M1715),N(M1715)&gt;0),IF(A1715="BL","Livré plus que commandé","Sorti plus que demandé"),"OK"))))))))))))</f>
        <v/>
      </c>
      <c r="Y1715" s="57" t="str">
        <f>IF(AND(OR(A1715="BL",A1715="BR",A1715="BS"),AG1715&gt;0,D1715&lt;&gt;""),A1715&amp;"|"&amp;AG1715&amp;"|"&amp;D1715&amp;"|"&amp;F1715,"")</f>
        <v/>
      </c>
      <c r="Z1715" s="57" t="str">
        <f>IF(Y1715="","",IF(COUNTIF(Y$6:Y1714,Y1715)=0,1,0))</f>
        <v/>
      </c>
      <c r="AA1715" s="57" t="str">
        <f>IF(Y1715="","",IF(Z1715=1,COUNTIFS(A$6:A1715,A1715,Z$6:Z1715,1),INDEX(AA$6:AA1714,MATCH(Y1715,Y$6:Y1714,0))))</f>
        <v/>
      </c>
      <c r="AB1715" s="57" t="str">
        <f>IF(B1715="","",COUNTIF(B$6:B1715,B1715))</f>
        <v/>
      </c>
      <c r="AC1715" s="57" t="str">
        <f>IF(B1715="","",B1715&amp;"#"&amp;AB1715)</f>
        <v/>
      </c>
      <c r="AD1715" s="57" t="str">
        <f>IF(Z1715=1,A1715&amp;AA1715,"")</f>
        <v/>
      </c>
      <c r="AE1715" s="57" t="str">
        <f>IF(B1715="","",YEAR(C1715))</f>
        <v/>
      </c>
      <c r="AF1715" s="57" t="str">
        <f>IF(B1715="","",MONTH(C1715))</f>
        <v/>
      </c>
      <c r="AG1715" s="57">
        <f>IF(ISNUMBER(C1715),C1715,0)</f>
        <v>0.0</v>
      </c>
      <c r="AH1715" s="57" t="str">
        <f>IF(N(W1715)&gt;0,COUNTIF(W$6:W1715,"&gt;0"),"")</f>
        <v/>
      </c>
      <c r="AI1715" s="57" t="str">
        <f>IF(Z1715=1,COUNTIF(Z$6:Z1715,1),"")</f>
        <v/>
      </c>
    </row>
    <row r="1716">
      <c r="A1716" s="54" t="n"/>
      <c r="B1716" s="55" t="str">
        <f>IF(AA1716="","",A1716&amp;"-"&amp;RIGHT("000"&amp;AA1716,4))</f>
        <v/>
      </c>
      <c r="C1716" s="56" t="n"/>
      <c r="D1716" s="54" t="n"/>
      <c r="E1716" s="57" t="str">
        <f>IF(D1716="","",IF(A1716="BL",IFERROR(INDEX(cl_name,MATCH(D1716,cl_code,0))&amp;"","Client inconnu"),IF(A1716="BR",IFERROR(INDEX(fo_name,MATCH(D1716,fo_code,0))&amp;"","Fournisseur inconnu"),IF(A1716="BS",IF(ISNA(MATCH(D1716,p_services,0)),"Service inconnu",D1716&amp;""),""))))</f>
        <v/>
      </c>
      <c r="F1716" s="58" t="n"/>
      <c r="G1716" s="58" t="n"/>
      <c r="H1716" s="59" t="n"/>
      <c r="I1716" s="57" t="str">
        <f>IF(H1716="","",IFERROR(INDEX(art_des,MATCH(H1716,art_ref,0))&amp;"","Article inconnu"))</f>
        <v/>
      </c>
      <c r="J1716" s="60" t="str">
        <f>IF(H1716="","",IFERROR(INDEX(art_unit,MATCH(H1716,art_ref,0))&amp;"",""))</f>
        <v/>
      </c>
      <c r="K1716" s="59" t="n"/>
      <c r="L1716" s="59" t="n"/>
      <c r="M1716" s="61" t="str">
        <f>IF(OR(B1716="",NOT(ISNUMBER(K1716)),NOT(ISNUMBER(L1716))),"",IF(OR(K1716&lt;=0,L1716&lt;=0),"",ROUND(L1716-K1716,6)))</f>
        <v/>
      </c>
      <c r="N1716" s="58" t="n"/>
      <c r="O1716" s="62" t="n"/>
      <c r="P1716" s="63" t="str">
        <f>IF(OR(B1716="",NOT(ISNUMBER(L1716))),"",IF(L1716&lt;=0,"",IFERROR(ROUND(L1716*N(INDEX(art_w,MATCH(H1716,art_ref,0))),3),"")))</f>
        <v/>
      </c>
      <c r="Q1716" s="59" t="n"/>
      <c r="R1716" s="54" t="n"/>
      <c r="S1716" s="59" t="n"/>
      <c r="T1716" s="59" t="n"/>
      <c r="U1716" s="64" t="str">
        <f>IF(OR(B1716="",H1716=""),"",IFERROR(IF(A1716="BL",IF(N(INDEX(art_price,MATCH(H1716,art_ref,0)))=0,"",N(INDEX(art_price,MATCH(H1716,art_ref,0)))),IF(N(INDEX(art_cost,MATCH(H1716,art_ref,0)))=0,"",N(INDEX(art_cost,MATCH(H1716,art_ref,0))))),""))</f>
        <v/>
      </c>
      <c r="V1716" s="64" t="str">
        <f>IF(OR(U1716="",NOT(ISNUMBER(L1716))),"",IF(L1716&lt;=0,"",ROUND(L1716*U1716,2)))</f>
        <v/>
      </c>
      <c r="W1716" s="60" t="str">
        <f>IF(AND(B1716&lt;&gt;"",A1716&lt;&gt;"BS",F1716&lt;&gt;"",H1716&lt;&gt;"",ISNUMBER(K1716),ISNUMBER(L1716)),IF(AND(K1716&gt;0,L1716&gt;0,K1716-L1716&gt;0,COUNTIFS(A1717:A$2005,A1716,F1717:F$2005,F1716,H1717:H$2005,H1716,AA1717:AA$2005,"&gt;0")=0),ROUND(K1716-L1716,6),""),"")</f>
        <v/>
      </c>
      <c r="X1716" s="60" t="str">
        <f>IF(AND(A1716="",C1716="",D1716="",H1716="",L1716=""),"",IF(A1716="","Type manquant",IF(AND(A1716&lt;&gt;"BL",A1716&lt;&gt;"BR",A1716&lt;&gt;"BS"),"Type inconnu (BL, BR ou BS)",IF(AG1716=0,"Date manquante ou invalide",IF(D1716="",IF(A1716="BL","Client manquant",IF(A1716="BR","Fournisseur manquant","Service manquant")),IF(IF(A1716="BL",ISNA(MATCH(D1716,cl_code,0)),IF(A1716="BR",ISNA(MATCH(D1716,fo_code,0)),ISNA(MATCH(D1716,p_services,0)))),IF(A1716="BL","Client inconnu",IF(A1716="BR","Fournisseur inconnu","Service inconnu")),IF(H1716="","Article manquant",IF(ISNA(MATCH(H1716,art_ref,0)),"Article inconnu",IF(OR(NOT(ISNUMBER(L1716)),N(L1716)&lt;=0),"Quantité invalide",IF(AND(K1716&lt;&gt;"",OR(NOT(ISNUMBER(K1716)),N(K1716)&lt;=0)),"Qté commandée invalide",IF(AG1716&lt;SUMPRODUCT(MAX((A$6:A1715=A1716)*AG$6:AG1715)),"Date antérieure au bon précédent",IF(AND(A1716&lt;&gt;"BR",ISNUMBER(M1716),N(M1716)&gt;0),IF(A1716="BL","Livré plus que commandé","Sorti plus que demandé"),"OK"))))))))))))</f>
        <v/>
      </c>
      <c r="Y1716" s="57" t="str">
        <f>IF(AND(OR(A1716="BL",A1716="BR",A1716="BS"),AG1716&gt;0,D1716&lt;&gt;""),A1716&amp;"|"&amp;AG1716&amp;"|"&amp;D1716&amp;"|"&amp;F1716,"")</f>
        <v/>
      </c>
      <c r="Z1716" s="57" t="str">
        <f>IF(Y1716="","",IF(COUNTIF(Y$6:Y1715,Y1716)=0,1,0))</f>
        <v/>
      </c>
      <c r="AA1716" s="57" t="str">
        <f>IF(Y1716="","",IF(Z1716=1,COUNTIFS(A$6:A1716,A1716,Z$6:Z1716,1),INDEX(AA$6:AA1715,MATCH(Y1716,Y$6:Y1715,0))))</f>
        <v/>
      </c>
      <c r="AB1716" s="57" t="str">
        <f>IF(B1716="","",COUNTIF(B$6:B1716,B1716))</f>
        <v/>
      </c>
      <c r="AC1716" s="57" t="str">
        <f>IF(B1716="","",B1716&amp;"#"&amp;AB1716)</f>
        <v/>
      </c>
      <c r="AD1716" s="57" t="str">
        <f>IF(Z1716=1,A1716&amp;AA1716,"")</f>
        <v/>
      </c>
      <c r="AE1716" s="57" t="str">
        <f>IF(B1716="","",YEAR(C1716))</f>
        <v/>
      </c>
      <c r="AF1716" s="57" t="str">
        <f>IF(B1716="","",MONTH(C1716))</f>
        <v/>
      </c>
      <c r="AG1716" s="57">
        <f>IF(ISNUMBER(C1716),C1716,0)</f>
        <v>0.0</v>
      </c>
      <c r="AH1716" s="57" t="str">
        <f>IF(N(W1716)&gt;0,COUNTIF(W$6:W1716,"&gt;0"),"")</f>
        <v/>
      </c>
      <c r="AI1716" s="57" t="str">
        <f>IF(Z1716=1,COUNTIF(Z$6:Z1716,1),"")</f>
        <v/>
      </c>
    </row>
    <row r="1717">
      <c r="A1717" s="54" t="n"/>
      <c r="B1717" s="55" t="str">
        <f>IF(AA1717="","",A1717&amp;"-"&amp;RIGHT("000"&amp;AA1717,4))</f>
        <v/>
      </c>
      <c r="C1717" s="56" t="n"/>
      <c r="D1717" s="54" t="n"/>
      <c r="E1717" s="57" t="str">
        <f>IF(D1717="","",IF(A1717="BL",IFERROR(INDEX(cl_name,MATCH(D1717,cl_code,0))&amp;"","Client inconnu"),IF(A1717="BR",IFERROR(INDEX(fo_name,MATCH(D1717,fo_code,0))&amp;"","Fournisseur inconnu"),IF(A1717="BS",IF(ISNA(MATCH(D1717,p_services,0)),"Service inconnu",D1717&amp;""),""))))</f>
        <v/>
      </c>
      <c r="F1717" s="58" t="n"/>
      <c r="G1717" s="58" t="n"/>
      <c r="H1717" s="59" t="n"/>
      <c r="I1717" s="57" t="str">
        <f>IF(H1717="","",IFERROR(INDEX(art_des,MATCH(H1717,art_ref,0))&amp;"","Article inconnu"))</f>
        <v/>
      </c>
      <c r="J1717" s="60" t="str">
        <f>IF(H1717="","",IFERROR(INDEX(art_unit,MATCH(H1717,art_ref,0))&amp;"",""))</f>
        <v/>
      </c>
      <c r="K1717" s="59" t="n"/>
      <c r="L1717" s="59" t="n"/>
      <c r="M1717" s="61" t="str">
        <f>IF(OR(B1717="",NOT(ISNUMBER(K1717)),NOT(ISNUMBER(L1717))),"",IF(OR(K1717&lt;=0,L1717&lt;=0),"",ROUND(L1717-K1717,6)))</f>
        <v/>
      </c>
      <c r="N1717" s="58" t="n"/>
      <c r="O1717" s="62" t="n"/>
      <c r="P1717" s="63" t="str">
        <f>IF(OR(B1717="",NOT(ISNUMBER(L1717))),"",IF(L1717&lt;=0,"",IFERROR(ROUND(L1717*N(INDEX(art_w,MATCH(H1717,art_ref,0))),3),"")))</f>
        <v/>
      </c>
      <c r="Q1717" s="59" t="n"/>
      <c r="R1717" s="54" t="n"/>
      <c r="S1717" s="59" t="n"/>
      <c r="T1717" s="59" t="n"/>
      <c r="U1717" s="64" t="str">
        <f>IF(OR(B1717="",H1717=""),"",IFERROR(IF(A1717="BL",IF(N(INDEX(art_price,MATCH(H1717,art_ref,0)))=0,"",N(INDEX(art_price,MATCH(H1717,art_ref,0)))),IF(N(INDEX(art_cost,MATCH(H1717,art_ref,0)))=0,"",N(INDEX(art_cost,MATCH(H1717,art_ref,0))))),""))</f>
        <v/>
      </c>
      <c r="V1717" s="64" t="str">
        <f>IF(OR(U1717="",NOT(ISNUMBER(L1717))),"",IF(L1717&lt;=0,"",ROUND(L1717*U1717,2)))</f>
        <v/>
      </c>
      <c r="W1717" s="60" t="str">
        <f>IF(AND(B1717&lt;&gt;"",A1717&lt;&gt;"BS",F1717&lt;&gt;"",H1717&lt;&gt;"",ISNUMBER(K1717),ISNUMBER(L1717)),IF(AND(K1717&gt;0,L1717&gt;0,K1717-L1717&gt;0,COUNTIFS(A1718:A$2005,A1717,F1718:F$2005,F1717,H1718:H$2005,H1717,AA1718:AA$2005,"&gt;0")=0),ROUND(K1717-L1717,6),""),"")</f>
        <v/>
      </c>
      <c r="X1717" s="60" t="str">
        <f>IF(AND(A1717="",C1717="",D1717="",H1717="",L1717=""),"",IF(A1717="","Type manquant",IF(AND(A1717&lt;&gt;"BL",A1717&lt;&gt;"BR",A1717&lt;&gt;"BS"),"Type inconnu (BL, BR ou BS)",IF(AG1717=0,"Date manquante ou invalide",IF(D1717="",IF(A1717="BL","Client manquant",IF(A1717="BR","Fournisseur manquant","Service manquant")),IF(IF(A1717="BL",ISNA(MATCH(D1717,cl_code,0)),IF(A1717="BR",ISNA(MATCH(D1717,fo_code,0)),ISNA(MATCH(D1717,p_services,0)))),IF(A1717="BL","Client inconnu",IF(A1717="BR","Fournisseur inconnu","Service inconnu")),IF(H1717="","Article manquant",IF(ISNA(MATCH(H1717,art_ref,0)),"Article inconnu",IF(OR(NOT(ISNUMBER(L1717)),N(L1717)&lt;=0),"Quantité invalide",IF(AND(K1717&lt;&gt;"",OR(NOT(ISNUMBER(K1717)),N(K1717)&lt;=0)),"Qté commandée invalide",IF(AG1717&lt;SUMPRODUCT(MAX((A$6:A1716=A1717)*AG$6:AG1716)),"Date antérieure au bon précédent",IF(AND(A1717&lt;&gt;"BR",ISNUMBER(M1717),N(M1717)&gt;0),IF(A1717="BL","Livré plus que commandé","Sorti plus que demandé"),"OK"))))))))))))</f>
        <v/>
      </c>
      <c r="Y1717" s="57" t="str">
        <f>IF(AND(OR(A1717="BL",A1717="BR",A1717="BS"),AG1717&gt;0,D1717&lt;&gt;""),A1717&amp;"|"&amp;AG1717&amp;"|"&amp;D1717&amp;"|"&amp;F1717,"")</f>
        <v/>
      </c>
      <c r="Z1717" s="57" t="str">
        <f>IF(Y1717="","",IF(COUNTIF(Y$6:Y1716,Y1717)=0,1,0))</f>
        <v/>
      </c>
      <c r="AA1717" s="57" t="str">
        <f>IF(Y1717="","",IF(Z1717=1,COUNTIFS(A$6:A1717,A1717,Z$6:Z1717,1),INDEX(AA$6:AA1716,MATCH(Y1717,Y$6:Y1716,0))))</f>
        <v/>
      </c>
      <c r="AB1717" s="57" t="str">
        <f>IF(B1717="","",COUNTIF(B$6:B1717,B1717))</f>
        <v/>
      </c>
      <c r="AC1717" s="57" t="str">
        <f>IF(B1717="","",B1717&amp;"#"&amp;AB1717)</f>
        <v/>
      </c>
      <c r="AD1717" s="57" t="str">
        <f>IF(Z1717=1,A1717&amp;AA1717,"")</f>
        <v/>
      </c>
      <c r="AE1717" s="57" t="str">
        <f>IF(B1717="","",YEAR(C1717))</f>
        <v/>
      </c>
      <c r="AF1717" s="57" t="str">
        <f>IF(B1717="","",MONTH(C1717))</f>
        <v/>
      </c>
      <c r="AG1717" s="57">
        <f>IF(ISNUMBER(C1717),C1717,0)</f>
        <v>0.0</v>
      </c>
      <c r="AH1717" s="57" t="str">
        <f>IF(N(W1717)&gt;0,COUNTIF(W$6:W1717,"&gt;0"),"")</f>
        <v/>
      </c>
      <c r="AI1717" s="57" t="str">
        <f>IF(Z1717=1,COUNTIF(Z$6:Z1717,1),"")</f>
        <v/>
      </c>
    </row>
    <row r="1718">
      <c r="A1718" s="54" t="n"/>
      <c r="B1718" s="55" t="str">
        <f>IF(AA1718="","",A1718&amp;"-"&amp;RIGHT("000"&amp;AA1718,4))</f>
        <v/>
      </c>
      <c r="C1718" s="56" t="n"/>
      <c r="D1718" s="54" t="n"/>
      <c r="E1718" s="57" t="str">
        <f>IF(D1718="","",IF(A1718="BL",IFERROR(INDEX(cl_name,MATCH(D1718,cl_code,0))&amp;"","Client inconnu"),IF(A1718="BR",IFERROR(INDEX(fo_name,MATCH(D1718,fo_code,0))&amp;"","Fournisseur inconnu"),IF(A1718="BS",IF(ISNA(MATCH(D1718,p_services,0)),"Service inconnu",D1718&amp;""),""))))</f>
        <v/>
      </c>
      <c r="F1718" s="58" t="n"/>
      <c r="G1718" s="58" t="n"/>
      <c r="H1718" s="59" t="n"/>
      <c r="I1718" s="57" t="str">
        <f>IF(H1718="","",IFERROR(INDEX(art_des,MATCH(H1718,art_ref,0))&amp;"","Article inconnu"))</f>
        <v/>
      </c>
      <c r="J1718" s="60" t="str">
        <f>IF(H1718="","",IFERROR(INDEX(art_unit,MATCH(H1718,art_ref,0))&amp;"",""))</f>
        <v/>
      </c>
      <c r="K1718" s="59" t="n"/>
      <c r="L1718" s="59" t="n"/>
      <c r="M1718" s="61" t="str">
        <f>IF(OR(B1718="",NOT(ISNUMBER(K1718)),NOT(ISNUMBER(L1718))),"",IF(OR(K1718&lt;=0,L1718&lt;=0),"",ROUND(L1718-K1718,6)))</f>
        <v/>
      </c>
      <c r="N1718" s="58" t="n"/>
      <c r="O1718" s="62" t="n"/>
      <c r="P1718" s="63" t="str">
        <f>IF(OR(B1718="",NOT(ISNUMBER(L1718))),"",IF(L1718&lt;=0,"",IFERROR(ROUND(L1718*N(INDEX(art_w,MATCH(H1718,art_ref,0))),3),"")))</f>
        <v/>
      </c>
      <c r="Q1718" s="59" t="n"/>
      <c r="R1718" s="54" t="n"/>
      <c r="S1718" s="59" t="n"/>
      <c r="T1718" s="59" t="n"/>
      <c r="U1718" s="64" t="str">
        <f>IF(OR(B1718="",H1718=""),"",IFERROR(IF(A1718="BL",IF(N(INDEX(art_price,MATCH(H1718,art_ref,0)))=0,"",N(INDEX(art_price,MATCH(H1718,art_ref,0)))),IF(N(INDEX(art_cost,MATCH(H1718,art_ref,0)))=0,"",N(INDEX(art_cost,MATCH(H1718,art_ref,0))))),""))</f>
        <v/>
      </c>
      <c r="V1718" s="64" t="str">
        <f>IF(OR(U1718="",NOT(ISNUMBER(L1718))),"",IF(L1718&lt;=0,"",ROUND(L1718*U1718,2)))</f>
        <v/>
      </c>
      <c r="W1718" s="60" t="str">
        <f>IF(AND(B1718&lt;&gt;"",A1718&lt;&gt;"BS",F1718&lt;&gt;"",H1718&lt;&gt;"",ISNUMBER(K1718),ISNUMBER(L1718)),IF(AND(K1718&gt;0,L1718&gt;0,K1718-L1718&gt;0,COUNTIFS(A1719:A$2005,A1718,F1719:F$2005,F1718,H1719:H$2005,H1718,AA1719:AA$2005,"&gt;0")=0),ROUND(K1718-L1718,6),""),"")</f>
        <v/>
      </c>
      <c r="X1718" s="60" t="str">
        <f>IF(AND(A1718="",C1718="",D1718="",H1718="",L1718=""),"",IF(A1718="","Type manquant",IF(AND(A1718&lt;&gt;"BL",A1718&lt;&gt;"BR",A1718&lt;&gt;"BS"),"Type inconnu (BL, BR ou BS)",IF(AG1718=0,"Date manquante ou invalide",IF(D1718="",IF(A1718="BL","Client manquant",IF(A1718="BR","Fournisseur manquant","Service manquant")),IF(IF(A1718="BL",ISNA(MATCH(D1718,cl_code,0)),IF(A1718="BR",ISNA(MATCH(D1718,fo_code,0)),ISNA(MATCH(D1718,p_services,0)))),IF(A1718="BL","Client inconnu",IF(A1718="BR","Fournisseur inconnu","Service inconnu")),IF(H1718="","Article manquant",IF(ISNA(MATCH(H1718,art_ref,0)),"Article inconnu",IF(OR(NOT(ISNUMBER(L1718)),N(L1718)&lt;=0),"Quantité invalide",IF(AND(K1718&lt;&gt;"",OR(NOT(ISNUMBER(K1718)),N(K1718)&lt;=0)),"Qté commandée invalide",IF(AG1718&lt;SUMPRODUCT(MAX((A$6:A1717=A1718)*AG$6:AG1717)),"Date antérieure au bon précédent",IF(AND(A1718&lt;&gt;"BR",ISNUMBER(M1718),N(M1718)&gt;0),IF(A1718="BL","Livré plus que commandé","Sorti plus que demandé"),"OK"))))))))))))</f>
        <v/>
      </c>
      <c r="Y1718" s="57" t="str">
        <f>IF(AND(OR(A1718="BL",A1718="BR",A1718="BS"),AG1718&gt;0,D1718&lt;&gt;""),A1718&amp;"|"&amp;AG1718&amp;"|"&amp;D1718&amp;"|"&amp;F1718,"")</f>
        <v/>
      </c>
      <c r="Z1718" s="57" t="str">
        <f>IF(Y1718="","",IF(COUNTIF(Y$6:Y1717,Y1718)=0,1,0))</f>
        <v/>
      </c>
      <c r="AA1718" s="57" t="str">
        <f>IF(Y1718="","",IF(Z1718=1,COUNTIFS(A$6:A1718,A1718,Z$6:Z1718,1),INDEX(AA$6:AA1717,MATCH(Y1718,Y$6:Y1717,0))))</f>
        <v/>
      </c>
      <c r="AB1718" s="57" t="str">
        <f>IF(B1718="","",COUNTIF(B$6:B1718,B1718))</f>
        <v/>
      </c>
      <c r="AC1718" s="57" t="str">
        <f>IF(B1718="","",B1718&amp;"#"&amp;AB1718)</f>
        <v/>
      </c>
      <c r="AD1718" s="57" t="str">
        <f>IF(Z1718=1,A1718&amp;AA1718,"")</f>
        <v/>
      </c>
      <c r="AE1718" s="57" t="str">
        <f>IF(B1718="","",YEAR(C1718))</f>
        <v/>
      </c>
      <c r="AF1718" s="57" t="str">
        <f>IF(B1718="","",MONTH(C1718))</f>
        <v/>
      </c>
      <c r="AG1718" s="57">
        <f>IF(ISNUMBER(C1718),C1718,0)</f>
        <v>0.0</v>
      </c>
      <c r="AH1718" s="57" t="str">
        <f>IF(N(W1718)&gt;0,COUNTIF(W$6:W1718,"&gt;0"),"")</f>
        <v/>
      </c>
      <c r="AI1718" s="57" t="str">
        <f>IF(Z1718=1,COUNTIF(Z$6:Z1718,1),"")</f>
        <v/>
      </c>
    </row>
    <row r="1719">
      <c r="A1719" s="54" t="n"/>
      <c r="B1719" s="55" t="str">
        <f>IF(AA1719="","",A1719&amp;"-"&amp;RIGHT("000"&amp;AA1719,4))</f>
        <v/>
      </c>
      <c r="C1719" s="56" t="n"/>
      <c r="D1719" s="54" t="n"/>
      <c r="E1719" s="57" t="str">
        <f>IF(D1719="","",IF(A1719="BL",IFERROR(INDEX(cl_name,MATCH(D1719,cl_code,0))&amp;"","Client inconnu"),IF(A1719="BR",IFERROR(INDEX(fo_name,MATCH(D1719,fo_code,0))&amp;"","Fournisseur inconnu"),IF(A1719="BS",IF(ISNA(MATCH(D1719,p_services,0)),"Service inconnu",D1719&amp;""),""))))</f>
        <v/>
      </c>
      <c r="F1719" s="58" t="n"/>
      <c r="G1719" s="58" t="n"/>
      <c r="H1719" s="59" t="n"/>
      <c r="I1719" s="57" t="str">
        <f>IF(H1719="","",IFERROR(INDEX(art_des,MATCH(H1719,art_ref,0))&amp;"","Article inconnu"))</f>
        <v/>
      </c>
      <c r="J1719" s="60" t="str">
        <f>IF(H1719="","",IFERROR(INDEX(art_unit,MATCH(H1719,art_ref,0))&amp;"",""))</f>
        <v/>
      </c>
      <c r="K1719" s="59" t="n"/>
      <c r="L1719" s="59" t="n"/>
      <c r="M1719" s="61" t="str">
        <f>IF(OR(B1719="",NOT(ISNUMBER(K1719)),NOT(ISNUMBER(L1719))),"",IF(OR(K1719&lt;=0,L1719&lt;=0),"",ROUND(L1719-K1719,6)))</f>
        <v/>
      </c>
      <c r="N1719" s="58" t="n"/>
      <c r="O1719" s="62" t="n"/>
      <c r="P1719" s="63" t="str">
        <f>IF(OR(B1719="",NOT(ISNUMBER(L1719))),"",IF(L1719&lt;=0,"",IFERROR(ROUND(L1719*N(INDEX(art_w,MATCH(H1719,art_ref,0))),3),"")))</f>
        <v/>
      </c>
      <c r="Q1719" s="59" t="n"/>
      <c r="R1719" s="54" t="n"/>
      <c r="S1719" s="59" t="n"/>
      <c r="T1719" s="59" t="n"/>
      <c r="U1719" s="64" t="str">
        <f>IF(OR(B1719="",H1719=""),"",IFERROR(IF(A1719="BL",IF(N(INDEX(art_price,MATCH(H1719,art_ref,0)))=0,"",N(INDEX(art_price,MATCH(H1719,art_ref,0)))),IF(N(INDEX(art_cost,MATCH(H1719,art_ref,0)))=0,"",N(INDEX(art_cost,MATCH(H1719,art_ref,0))))),""))</f>
        <v/>
      </c>
      <c r="V1719" s="64" t="str">
        <f>IF(OR(U1719="",NOT(ISNUMBER(L1719))),"",IF(L1719&lt;=0,"",ROUND(L1719*U1719,2)))</f>
        <v/>
      </c>
      <c r="W1719" s="60" t="str">
        <f>IF(AND(B1719&lt;&gt;"",A1719&lt;&gt;"BS",F1719&lt;&gt;"",H1719&lt;&gt;"",ISNUMBER(K1719),ISNUMBER(L1719)),IF(AND(K1719&gt;0,L1719&gt;0,K1719-L1719&gt;0,COUNTIFS(A1720:A$2005,A1719,F1720:F$2005,F1719,H1720:H$2005,H1719,AA1720:AA$2005,"&gt;0")=0),ROUND(K1719-L1719,6),""),"")</f>
        <v/>
      </c>
      <c r="X1719" s="60" t="str">
        <f>IF(AND(A1719="",C1719="",D1719="",H1719="",L1719=""),"",IF(A1719="","Type manquant",IF(AND(A1719&lt;&gt;"BL",A1719&lt;&gt;"BR",A1719&lt;&gt;"BS"),"Type inconnu (BL, BR ou BS)",IF(AG1719=0,"Date manquante ou invalide",IF(D1719="",IF(A1719="BL","Client manquant",IF(A1719="BR","Fournisseur manquant","Service manquant")),IF(IF(A1719="BL",ISNA(MATCH(D1719,cl_code,0)),IF(A1719="BR",ISNA(MATCH(D1719,fo_code,0)),ISNA(MATCH(D1719,p_services,0)))),IF(A1719="BL","Client inconnu",IF(A1719="BR","Fournisseur inconnu","Service inconnu")),IF(H1719="","Article manquant",IF(ISNA(MATCH(H1719,art_ref,0)),"Article inconnu",IF(OR(NOT(ISNUMBER(L1719)),N(L1719)&lt;=0),"Quantité invalide",IF(AND(K1719&lt;&gt;"",OR(NOT(ISNUMBER(K1719)),N(K1719)&lt;=0)),"Qté commandée invalide",IF(AG1719&lt;SUMPRODUCT(MAX((A$6:A1718=A1719)*AG$6:AG1718)),"Date antérieure au bon précédent",IF(AND(A1719&lt;&gt;"BR",ISNUMBER(M1719),N(M1719)&gt;0),IF(A1719="BL","Livré plus que commandé","Sorti plus que demandé"),"OK"))))))))))))</f>
        <v/>
      </c>
      <c r="Y1719" s="57" t="str">
        <f>IF(AND(OR(A1719="BL",A1719="BR",A1719="BS"),AG1719&gt;0,D1719&lt;&gt;""),A1719&amp;"|"&amp;AG1719&amp;"|"&amp;D1719&amp;"|"&amp;F1719,"")</f>
        <v/>
      </c>
      <c r="Z1719" s="57" t="str">
        <f>IF(Y1719="","",IF(COUNTIF(Y$6:Y1718,Y1719)=0,1,0))</f>
        <v/>
      </c>
      <c r="AA1719" s="57" t="str">
        <f>IF(Y1719="","",IF(Z1719=1,COUNTIFS(A$6:A1719,A1719,Z$6:Z1719,1),INDEX(AA$6:AA1718,MATCH(Y1719,Y$6:Y1718,0))))</f>
        <v/>
      </c>
      <c r="AB1719" s="57" t="str">
        <f>IF(B1719="","",COUNTIF(B$6:B1719,B1719))</f>
        <v/>
      </c>
      <c r="AC1719" s="57" t="str">
        <f>IF(B1719="","",B1719&amp;"#"&amp;AB1719)</f>
        <v/>
      </c>
      <c r="AD1719" s="57" t="str">
        <f>IF(Z1719=1,A1719&amp;AA1719,"")</f>
        <v/>
      </c>
      <c r="AE1719" s="57" t="str">
        <f>IF(B1719="","",YEAR(C1719))</f>
        <v/>
      </c>
      <c r="AF1719" s="57" t="str">
        <f>IF(B1719="","",MONTH(C1719))</f>
        <v/>
      </c>
      <c r="AG1719" s="57">
        <f>IF(ISNUMBER(C1719),C1719,0)</f>
        <v>0.0</v>
      </c>
      <c r="AH1719" s="57" t="str">
        <f>IF(N(W1719)&gt;0,COUNTIF(W$6:W1719,"&gt;0"),"")</f>
        <v/>
      </c>
      <c r="AI1719" s="57" t="str">
        <f>IF(Z1719=1,COUNTIF(Z$6:Z1719,1),"")</f>
        <v/>
      </c>
    </row>
    <row r="1720">
      <c r="A1720" s="54" t="n"/>
      <c r="B1720" s="55" t="str">
        <f>IF(AA1720="","",A1720&amp;"-"&amp;RIGHT("000"&amp;AA1720,4))</f>
        <v/>
      </c>
      <c r="C1720" s="56" t="n"/>
      <c r="D1720" s="54" t="n"/>
      <c r="E1720" s="57" t="str">
        <f>IF(D1720="","",IF(A1720="BL",IFERROR(INDEX(cl_name,MATCH(D1720,cl_code,0))&amp;"","Client inconnu"),IF(A1720="BR",IFERROR(INDEX(fo_name,MATCH(D1720,fo_code,0))&amp;"","Fournisseur inconnu"),IF(A1720="BS",IF(ISNA(MATCH(D1720,p_services,0)),"Service inconnu",D1720&amp;""),""))))</f>
        <v/>
      </c>
      <c r="F1720" s="58" t="n"/>
      <c r="G1720" s="58" t="n"/>
      <c r="H1720" s="59" t="n"/>
      <c r="I1720" s="57" t="str">
        <f>IF(H1720="","",IFERROR(INDEX(art_des,MATCH(H1720,art_ref,0))&amp;"","Article inconnu"))</f>
        <v/>
      </c>
      <c r="J1720" s="60" t="str">
        <f>IF(H1720="","",IFERROR(INDEX(art_unit,MATCH(H1720,art_ref,0))&amp;"",""))</f>
        <v/>
      </c>
      <c r="K1720" s="59" t="n"/>
      <c r="L1720" s="59" t="n"/>
      <c r="M1720" s="61" t="str">
        <f>IF(OR(B1720="",NOT(ISNUMBER(K1720)),NOT(ISNUMBER(L1720))),"",IF(OR(K1720&lt;=0,L1720&lt;=0),"",ROUND(L1720-K1720,6)))</f>
        <v/>
      </c>
      <c r="N1720" s="58" t="n"/>
      <c r="O1720" s="62" t="n"/>
      <c r="P1720" s="63" t="str">
        <f>IF(OR(B1720="",NOT(ISNUMBER(L1720))),"",IF(L1720&lt;=0,"",IFERROR(ROUND(L1720*N(INDEX(art_w,MATCH(H1720,art_ref,0))),3),"")))</f>
        <v/>
      </c>
      <c r="Q1720" s="59" t="n"/>
      <c r="R1720" s="54" t="n"/>
      <c r="S1720" s="59" t="n"/>
      <c r="T1720" s="59" t="n"/>
      <c r="U1720" s="64" t="str">
        <f>IF(OR(B1720="",H1720=""),"",IFERROR(IF(A1720="BL",IF(N(INDEX(art_price,MATCH(H1720,art_ref,0)))=0,"",N(INDEX(art_price,MATCH(H1720,art_ref,0)))),IF(N(INDEX(art_cost,MATCH(H1720,art_ref,0)))=0,"",N(INDEX(art_cost,MATCH(H1720,art_ref,0))))),""))</f>
        <v/>
      </c>
      <c r="V1720" s="64" t="str">
        <f>IF(OR(U1720="",NOT(ISNUMBER(L1720))),"",IF(L1720&lt;=0,"",ROUND(L1720*U1720,2)))</f>
        <v/>
      </c>
      <c r="W1720" s="60" t="str">
        <f>IF(AND(B1720&lt;&gt;"",A1720&lt;&gt;"BS",F1720&lt;&gt;"",H1720&lt;&gt;"",ISNUMBER(K1720),ISNUMBER(L1720)),IF(AND(K1720&gt;0,L1720&gt;0,K1720-L1720&gt;0,COUNTIFS(A1721:A$2005,A1720,F1721:F$2005,F1720,H1721:H$2005,H1720,AA1721:AA$2005,"&gt;0")=0),ROUND(K1720-L1720,6),""),"")</f>
        <v/>
      </c>
      <c r="X1720" s="60" t="str">
        <f>IF(AND(A1720="",C1720="",D1720="",H1720="",L1720=""),"",IF(A1720="","Type manquant",IF(AND(A1720&lt;&gt;"BL",A1720&lt;&gt;"BR",A1720&lt;&gt;"BS"),"Type inconnu (BL, BR ou BS)",IF(AG1720=0,"Date manquante ou invalide",IF(D1720="",IF(A1720="BL","Client manquant",IF(A1720="BR","Fournisseur manquant","Service manquant")),IF(IF(A1720="BL",ISNA(MATCH(D1720,cl_code,0)),IF(A1720="BR",ISNA(MATCH(D1720,fo_code,0)),ISNA(MATCH(D1720,p_services,0)))),IF(A1720="BL","Client inconnu",IF(A1720="BR","Fournisseur inconnu","Service inconnu")),IF(H1720="","Article manquant",IF(ISNA(MATCH(H1720,art_ref,0)),"Article inconnu",IF(OR(NOT(ISNUMBER(L1720)),N(L1720)&lt;=0),"Quantité invalide",IF(AND(K1720&lt;&gt;"",OR(NOT(ISNUMBER(K1720)),N(K1720)&lt;=0)),"Qté commandée invalide",IF(AG1720&lt;SUMPRODUCT(MAX((A$6:A1719=A1720)*AG$6:AG1719)),"Date antérieure au bon précédent",IF(AND(A1720&lt;&gt;"BR",ISNUMBER(M1720),N(M1720)&gt;0),IF(A1720="BL","Livré plus que commandé","Sorti plus que demandé"),"OK"))))))))))))</f>
        <v/>
      </c>
      <c r="Y1720" s="57" t="str">
        <f>IF(AND(OR(A1720="BL",A1720="BR",A1720="BS"),AG1720&gt;0,D1720&lt;&gt;""),A1720&amp;"|"&amp;AG1720&amp;"|"&amp;D1720&amp;"|"&amp;F1720,"")</f>
        <v/>
      </c>
      <c r="Z1720" s="57" t="str">
        <f>IF(Y1720="","",IF(COUNTIF(Y$6:Y1719,Y1720)=0,1,0))</f>
        <v/>
      </c>
      <c r="AA1720" s="57" t="str">
        <f>IF(Y1720="","",IF(Z1720=1,COUNTIFS(A$6:A1720,A1720,Z$6:Z1720,1),INDEX(AA$6:AA1719,MATCH(Y1720,Y$6:Y1719,0))))</f>
        <v/>
      </c>
      <c r="AB1720" s="57" t="str">
        <f>IF(B1720="","",COUNTIF(B$6:B1720,B1720))</f>
        <v/>
      </c>
      <c r="AC1720" s="57" t="str">
        <f>IF(B1720="","",B1720&amp;"#"&amp;AB1720)</f>
        <v/>
      </c>
      <c r="AD1720" s="57" t="str">
        <f>IF(Z1720=1,A1720&amp;AA1720,"")</f>
        <v/>
      </c>
      <c r="AE1720" s="57" t="str">
        <f>IF(B1720="","",YEAR(C1720))</f>
        <v/>
      </c>
      <c r="AF1720" s="57" t="str">
        <f>IF(B1720="","",MONTH(C1720))</f>
        <v/>
      </c>
      <c r="AG1720" s="57">
        <f>IF(ISNUMBER(C1720),C1720,0)</f>
        <v>0.0</v>
      </c>
      <c r="AH1720" s="57" t="str">
        <f>IF(N(W1720)&gt;0,COUNTIF(W$6:W1720,"&gt;0"),"")</f>
        <v/>
      </c>
      <c r="AI1720" s="57" t="str">
        <f>IF(Z1720=1,COUNTIF(Z$6:Z1720,1),"")</f>
        <v/>
      </c>
    </row>
    <row r="1721">
      <c r="A1721" s="54" t="n"/>
      <c r="B1721" s="55" t="str">
        <f>IF(AA1721="","",A1721&amp;"-"&amp;RIGHT("000"&amp;AA1721,4))</f>
        <v/>
      </c>
      <c r="C1721" s="56" t="n"/>
      <c r="D1721" s="54" t="n"/>
      <c r="E1721" s="57" t="str">
        <f>IF(D1721="","",IF(A1721="BL",IFERROR(INDEX(cl_name,MATCH(D1721,cl_code,0))&amp;"","Client inconnu"),IF(A1721="BR",IFERROR(INDEX(fo_name,MATCH(D1721,fo_code,0))&amp;"","Fournisseur inconnu"),IF(A1721="BS",IF(ISNA(MATCH(D1721,p_services,0)),"Service inconnu",D1721&amp;""),""))))</f>
        <v/>
      </c>
      <c r="F1721" s="58" t="n"/>
      <c r="G1721" s="58" t="n"/>
      <c r="H1721" s="59" t="n"/>
      <c r="I1721" s="57" t="str">
        <f>IF(H1721="","",IFERROR(INDEX(art_des,MATCH(H1721,art_ref,0))&amp;"","Article inconnu"))</f>
        <v/>
      </c>
      <c r="J1721" s="60" t="str">
        <f>IF(H1721="","",IFERROR(INDEX(art_unit,MATCH(H1721,art_ref,0))&amp;"",""))</f>
        <v/>
      </c>
      <c r="K1721" s="59" t="n"/>
      <c r="L1721" s="59" t="n"/>
      <c r="M1721" s="61" t="str">
        <f>IF(OR(B1721="",NOT(ISNUMBER(K1721)),NOT(ISNUMBER(L1721))),"",IF(OR(K1721&lt;=0,L1721&lt;=0),"",ROUND(L1721-K1721,6)))</f>
        <v/>
      </c>
      <c r="N1721" s="58" t="n"/>
      <c r="O1721" s="62" t="n"/>
      <c r="P1721" s="63" t="str">
        <f>IF(OR(B1721="",NOT(ISNUMBER(L1721))),"",IF(L1721&lt;=0,"",IFERROR(ROUND(L1721*N(INDEX(art_w,MATCH(H1721,art_ref,0))),3),"")))</f>
        <v/>
      </c>
      <c r="Q1721" s="59" t="n"/>
      <c r="R1721" s="54" t="n"/>
      <c r="S1721" s="59" t="n"/>
      <c r="T1721" s="59" t="n"/>
      <c r="U1721" s="64" t="str">
        <f>IF(OR(B1721="",H1721=""),"",IFERROR(IF(A1721="BL",IF(N(INDEX(art_price,MATCH(H1721,art_ref,0)))=0,"",N(INDEX(art_price,MATCH(H1721,art_ref,0)))),IF(N(INDEX(art_cost,MATCH(H1721,art_ref,0)))=0,"",N(INDEX(art_cost,MATCH(H1721,art_ref,0))))),""))</f>
        <v/>
      </c>
      <c r="V1721" s="64" t="str">
        <f>IF(OR(U1721="",NOT(ISNUMBER(L1721))),"",IF(L1721&lt;=0,"",ROUND(L1721*U1721,2)))</f>
        <v/>
      </c>
      <c r="W1721" s="60" t="str">
        <f>IF(AND(B1721&lt;&gt;"",A1721&lt;&gt;"BS",F1721&lt;&gt;"",H1721&lt;&gt;"",ISNUMBER(K1721),ISNUMBER(L1721)),IF(AND(K1721&gt;0,L1721&gt;0,K1721-L1721&gt;0,COUNTIFS(A1722:A$2005,A1721,F1722:F$2005,F1721,H1722:H$2005,H1721,AA1722:AA$2005,"&gt;0")=0),ROUND(K1721-L1721,6),""),"")</f>
        <v/>
      </c>
      <c r="X1721" s="60" t="str">
        <f>IF(AND(A1721="",C1721="",D1721="",H1721="",L1721=""),"",IF(A1721="","Type manquant",IF(AND(A1721&lt;&gt;"BL",A1721&lt;&gt;"BR",A1721&lt;&gt;"BS"),"Type inconnu (BL, BR ou BS)",IF(AG1721=0,"Date manquante ou invalide",IF(D1721="",IF(A1721="BL","Client manquant",IF(A1721="BR","Fournisseur manquant","Service manquant")),IF(IF(A1721="BL",ISNA(MATCH(D1721,cl_code,0)),IF(A1721="BR",ISNA(MATCH(D1721,fo_code,0)),ISNA(MATCH(D1721,p_services,0)))),IF(A1721="BL","Client inconnu",IF(A1721="BR","Fournisseur inconnu","Service inconnu")),IF(H1721="","Article manquant",IF(ISNA(MATCH(H1721,art_ref,0)),"Article inconnu",IF(OR(NOT(ISNUMBER(L1721)),N(L1721)&lt;=0),"Quantité invalide",IF(AND(K1721&lt;&gt;"",OR(NOT(ISNUMBER(K1721)),N(K1721)&lt;=0)),"Qté commandée invalide",IF(AG1721&lt;SUMPRODUCT(MAX((A$6:A1720=A1721)*AG$6:AG1720)),"Date antérieure au bon précédent",IF(AND(A1721&lt;&gt;"BR",ISNUMBER(M1721),N(M1721)&gt;0),IF(A1721="BL","Livré plus que commandé","Sorti plus que demandé"),"OK"))))))))))))</f>
        <v/>
      </c>
      <c r="Y1721" s="57" t="str">
        <f>IF(AND(OR(A1721="BL",A1721="BR",A1721="BS"),AG1721&gt;0,D1721&lt;&gt;""),A1721&amp;"|"&amp;AG1721&amp;"|"&amp;D1721&amp;"|"&amp;F1721,"")</f>
        <v/>
      </c>
      <c r="Z1721" s="57" t="str">
        <f>IF(Y1721="","",IF(COUNTIF(Y$6:Y1720,Y1721)=0,1,0))</f>
        <v/>
      </c>
      <c r="AA1721" s="57" t="str">
        <f>IF(Y1721="","",IF(Z1721=1,COUNTIFS(A$6:A1721,A1721,Z$6:Z1721,1),INDEX(AA$6:AA1720,MATCH(Y1721,Y$6:Y1720,0))))</f>
        <v/>
      </c>
      <c r="AB1721" s="57" t="str">
        <f>IF(B1721="","",COUNTIF(B$6:B1721,B1721))</f>
        <v/>
      </c>
      <c r="AC1721" s="57" t="str">
        <f>IF(B1721="","",B1721&amp;"#"&amp;AB1721)</f>
        <v/>
      </c>
      <c r="AD1721" s="57" t="str">
        <f>IF(Z1721=1,A1721&amp;AA1721,"")</f>
        <v/>
      </c>
      <c r="AE1721" s="57" t="str">
        <f>IF(B1721="","",YEAR(C1721))</f>
        <v/>
      </c>
      <c r="AF1721" s="57" t="str">
        <f>IF(B1721="","",MONTH(C1721))</f>
        <v/>
      </c>
      <c r="AG1721" s="57">
        <f>IF(ISNUMBER(C1721),C1721,0)</f>
        <v>0.0</v>
      </c>
      <c r="AH1721" s="57" t="str">
        <f>IF(N(W1721)&gt;0,COUNTIF(W$6:W1721,"&gt;0"),"")</f>
        <v/>
      </c>
      <c r="AI1721" s="57" t="str">
        <f>IF(Z1721=1,COUNTIF(Z$6:Z1721,1),"")</f>
        <v/>
      </c>
    </row>
    <row r="1722">
      <c r="A1722" s="54" t="n"/>
      <c r="B1722" s="55" t="str">
        <f>IF(AA1722="","",A1722&amp;"-"&amp;RIGHT("000"&amp;AA1722,4))</f>
        <v/>
      </c>
      <c r="C1722" s="56" t="n"/>
      <c r="D1722" s="54" t="n"/>
      <c r="E1722" s="57" t="str">
        <f>IF(D1722="","",IF(A1722="BL",IFERROR(INDEX(cl_name,MATCH(D1722,cl_code,0))&amp;"","Client inconnu"),IF(A1722="BR",IFERROR(INDEX(fo_name,MATCH(D1722,fo_code,0))&amp;"","Fournisseur inconnu"),IF(A1722="BS",IF(ISNA(MATCH(D1722,p_services,0)),"Service inconnu",D1722&amp;""),""))))</f>
        <v/>
      </c>
      <c r="F1722" s="58" t="n"/>
      <c r="G1722" s="58" t="n"/>
      <c r="H1722" s="59" t="n"/>
      <c r="I1722" s="57" t="str">
        <f>IF(H1722="","",IFERROR(INDEX(art_des,MATCH(H1722,art_ref,0))&amp;"","Article inconnu"))</f>
        <v/>
      </c>
      <c r="J1722" s="60" t="str">
        <f>IF(H1722="","",IFERROR(INDEX(art_unit,MATCH(H1722,art_ref,0))&amp;"",""))</f>
        <v/>
      </c>
      <c r="K1722" s="59" t="n"/>
      <c r="L1722" s="59" t="n"/>
      <c r="M1722" s="61" t="str">
        <f>IF(OR(B1722="",NOT(ISNUMBER(K1722)),NOT(ISNUMBER(L1722))),"",IF(OR(K1722&lt;=0,L1722&lt;=0),"",ROUND(L1722-K1722,6)))</f>
        <v/>
      </c>
      <c r="N1722" s="58" t="n"/>
      <c r="O1722" s="62" t="n"/>
      <c r="P1722" s="63" t="str">
        <f>IF(OR(B1722="",NOT(ISNUMBER(L1722))),"",IF(L1722&lt;=0,"",IFERROR(ROUND(L1722*N(INDEX(art_w,MATCH(H1722,art_ref,0))),3),"")))</f>
        <v/>
      </c>
      <c r="Q1722" s="59" t="n"/>
      <c r="R1722" s="54" t="n"/>
      <c r="S1722" s="59" t="n"/>
      <c r="T1722" s="59" t="n"/>
      <c r="U1722" s="64" t="str">
        <f>IF(OR(B1722="",H1722=""),"",IFERROR(IF(A1722="BL",IF(N(INDEX(art_price,MATCH(H1722,art_ref,0)))=0,"",N(INDEX(art_price,MATCH(H1722,art_ref,0)))),IF(N(INDEX(art_cost,MATCH(H1722,art_ref,0)))=0,"",N(INDEX(art_cost,MATCH(H1722,art_ref,0))))),""))</f>
        <v/>
      </c>
      <c r="V1722" s="64" t="str">
        <f>IF(OR(U1722="",NOT(ISNUMBER(L1722))),"",IF(L1722&lt;=0,"",ROUND(L1722*U1722,2)))</f>
        <v/>
      </c>
      <c r="W1722" s="60" t="str">
        <f>IF(AND(B1722&lt;&gt;"",A1722&lt;&gt;"BS",F1722&lt;&gt;"",H1722&lt;&gt;"",ISNUMBER(K1722),ISNUMBER(L1722)),IF(AND(K1722&gt;0,L1722&gt;0,K1722-L1722&gt;0,COUNTIFS(A1723:A$2005,A1722,F1723:F$2005,F1722,H1723:H$2005,H1722,AA1723:AA$2005,"&gt;0")=0),ROUND(K1722-L1722,6),""),"")</f>
        <v/>
      </c>
      <c r="X1722" s="60" t="str">
        <f>IF(AND(A1722="",C1722="",D1722="",H1722="",L1722=""),"",IF(A1722="","Type manquant",IF(AND(A1722&lt;&gt;"BL",A1722&lt;&gt;"BR",A1722&lt;&gt;"BS"),"Type inconnu (BL, BR ou BS)",IF(AG1722=0,"Date manquante ou invalide",IF(D1722="",IF(A1722="BL","Client manquant",IF(A1722="BR","Fournisseur manquant","Service manquant")),IF(IF(A1722="BL",ISNA(MATCH(D1722,cl_code,0)),IF(A1722="BR",ISNA(MATCH(D1722,fo_code,0)),ISNA(MATCH(D1722,p_services,0)))),IF(A1722="BL","Client inconnu",IF(A1722="BR","Fournisseur inconnu","Service inconnu")),IF(H1722="","Article manquant",IF(ISNA(MATCH(H1722,art_ref,0)),"Article inconnu",IF(OR(NOT(ISNUMBER(L1722)),N(L1722)&lt;=0),"Quantité invalide",IF(AND(K1722&lt;&gt;"",OR(NOT(ISNUMBER(K1722)),N(K1722)&lt;=0)),"Qté commandée invalide",IF(AG1722&lt;SUMPRODUCT(MAX((A$6:A1721=A1722)*AG$6:AG1721)),"Date antérieure au bon précédent",IF(AND(A1722&lt;&gt;"BR",ISNUMBER(M1722),N(M1722)&gt;0),IF(A1722="BL","Livré plus que commandé","Sorti plus que demandé"),"OK"))))))))))))</f>
        <v/>
      </c>
      <c r="Y1722" s="57" t="str">
        <f>IF(AND(OR(A1722="BL",A1722="BR",A1722="BS"),AG1722&gt;0,D1722&lt;&gt;""),A1722&amp;"|"&amp;AG1722&amp;"|"&amp;D1722&amp;"|"&amp;F1722,"")</f>
        <v/>
      </c>
      <c r="Z1722" s="57" t="str">
        <f>IF(Y1722="","",IF(COUNTIF(Y$6:Y1721,Y1722)=0,1,0))</f>
        <v/>
      </c>
      <c r="AA1722" s="57" t="str">
        <f>IF(Y1722="","",IF(Z1722=1,COUNTIFS(A$6:A1722,A1722,Z$6:Z1722,1),INDEX(AA$6:AA1721,MATCH(Y1722,Y$6:Y1721,0))))</f>
        <v/>
      </c>
      <c r="AB1722" s="57" t="str">
        <f>IF(B1722="","",COUNTIF(B$6:B1722,B1722))</f>
        <v/>
      </c>
      <c r="AC1722" s="57" t="str">
        <f>IF(B1722="","",B1722&amp;"#"&amp;AB1722)</f>
        <v/>
      </c>
      <c r="AD1722" s="57" t="str">
        <f>IF(Z1722=1,A1722&amp;AA1722,"")</f>
        <v/>
      </c>
      <c r="AE1722" s="57" t="str">
        <f>IF(B1722="","",YEAR(C1722))</f>
        <v/>
      </c>
      <c r="AF1722" s="57" t="str">
        <f>IF(B1722="","",MONTH(C1722))</f>
        <v/>
      </c>
      <c r="AG1722" s="57">
        <f>IF(ISNUMBER(C1722),C1722,0)</f>
        <v>0.0</v>
      </c>
      <c r="AH1722" s="57" t="str">
        <f>IF(N(W1722)&gt;0,COUNTIF(W$6:W1722,"&gt;0"),"")</f>
        <v/>
      </c>
      <c r="AI1722" s="57" t="str">
        <f>IF(Z1722=1,COUNTIF(Z$6:Z1722,1),"")</f>
        <v/>
      </c>
    </row>
    <row r="1723">
      <c r="A1723" s="54" t="n"/>
      <c r="B1723" s="55" t="str">
        <f>IF(AA1723="","",A1723&amp;"-"&amp;RIGHT("000"&amp;AA1723,4))</f>
        <v/>
      </c>
      <c r="C1723" s="56" t="n"/>
      <c r="D1723" s="54" t="n"/>
      <c r="E1723" s="57" t="str">
        <f>IF(D1723="","",IF(A1723="BL",IFERROR(INDEX(cl_name,MATCH(D1723,cl_code,0))&amp;"","Client inconnu"),IF(A1723="BR",IFERROR(INDEX(fo_name,MATCH(D1723,fo_code,0))&amp;"","Fournisseur inconnu"),IF(A1723="BS",IF(ISNA(MATCH(D1723,p_services,0)),"Service inconnu",D1723&amp;""),""))))</f>
        <v/>
      </c>
      <c r="F1723" s="58" t="n"/>
      <c r="G1723" s="58" t="n"/>
      <c r="H1723" s="59" t="n"/>
      <c r="I1723" s="57" t="str">
        <f>IF(H1723="","",IFERROR(INDEX(art_des,MATCH(H1723,art_ref,0))&amp;"","Article inconnu"))</f>
        <v/>
      </c>
      <c r="J1723" s="60" t="str">
        <f>IF(H1723="","",IFERROR(INDEX(art_unit,MATCH(H1723,art_ref,0))&amp;"",""))</f>
        <v/>
      </c>
      <c r="K1723" s="59" t="n"/>
      <c r="L1723" s="59" t="n"/>
      <c r="M1723" s="61" t="str">
        <f>IF(OR(B1723="",NOT(ISNUMBER(K1723)),NOT(ISNUMBER(L1723))),"",IF(OR(K1723&lt;=0,L1723&lt;=0),"",ROUND(L1723-K1723,6)))</f>
        <v/>
      </c>
      <c r="N1723" s="58" t="n"/>
      <c r="O1723" s="62" t="n"/>
      <c r="P1723" s="63" t="str">
        <f>IF(OR(B1723="",NOT(ISNUMBER(L1723))),"",IF(L1723&lt;=0,"",IFERROR(ROUND(L1723*N(INDEX(art_w,MATCH(H1723,art_ref,0))),3),"")))</f>
        <v/>
      </c>
      <c r="Q1723" s="59" t="n"/>
      <c r="R1723" s="54" t="n"/>
      <c r="S1723" s="59" t="n"/>
      <c r="T1723" s="59" t="n"/>
      <c r="U1723" s="64" t="str">
        <f>IF(OR(B1723="",H1723=""),"",IFERROR(IF(A1723="BL",IF(N(INDEX(art_price,MATCH(H1723,art_ref,0)))=0,"",N(INDEX(art_price,MATCH(H1723,art_ref,0)))),IF(N(INDEX(art_cost,MATCH(H1723,art_ref,0)))=0,"",N(INDEX(art_cost,MATCH(H1723,art_ref,0))))),""))</f>
        <v/>
      </c>
      <c r="V1723" s="64" t="str">
        <f>IF(OR(U1723="",NOT(ISNUMBER(L1723))),"",IF(L1723&lt;=0,"",ROUND(L1723*U1723,2)))</f>
        <v/>
      </c>
      <c r="W1723" s="60" t="str">
        <f>IF(AND(B1723&lt;&gt;"",A1723&lt;&gt;"BS",F1723&lt;&gt;"",H1723&lt;&gt;"",ISNUMBER(K1723),ISNUMBER(L1723)),IF(AND(K1723&gt;0,L1723&gt;0,K1723-L1723&gt;0,COUNTIFS(A1724:A$2005,A1723,F1724:F$2005,F1723,H1724:H$2005,H1723,AA1724:AA$2005,"&gt;0")=0),ROUND(K1723-L1723,6),""),"")</f>
        <v/>
      </c>
      <c r="X1723" s="60" t="str">
        <f>IF(AND(A1723="",C1723="",D1723="",H1723="",L1723=""),"",IF(A1723="","Type manquant",IF(AND(A1723&lt;&gt;"BL",A1723&lt;&gt;"BR",A1723&lt;&gt;"BS"),"Type inconnu (BL, BR ou BS)",IF(AG1723=0,"Date manquante ou invalide",IF(D1723="",IF(A1723="BL","Client manquant",IF(A1723="BR","Fournisseur manquant","Service manquant")),IF(IF(A1723="BL",ISNA(MATCH(D1723,cl_code,0)),IF(A1723="BR",ISNA(MATCH(D1723,fo_code,0)),ISNA(MATCH(D1723,p_services,0)))),IF(A1723="BL","Client inconnu",IF(A1723="BR","Fournisseur inconnu","Service inconnu")),IF(H1723="","Article manquant",IF(ISNA(MATCH(H1723,art_ref,0)),"Article inconnu",IF(OR(NOT(ISNUMBER(L1723)),N(L1723)&lt;=0),"Quantité invalide",IF(AND(K1723&lt;&gt;"",OR(NOT(ISNUMBER(K1723)),N(K1723)&lt;=0)),"Qté commandée invalide",IF(AG1723&lt;SUMPRODUCT(MAX((A$6:A1722=A1723)*AG$6:AG1722)),"Date antérieure au bon précédent",IF(AND(A1723&lt;&gt;"BR",ISNUMBER(M1723),N(M1723)&gt;0),IF(A1723="BL","Livré plus que commandé","Sorti plus que demandé"),"OK"))))))))))))</f>
        <v/>
      </c>
      <c r="Y1723" s="57" t="str">
        <f>IF(AND(OR(A1723="BL",A1723="BR",A1723="BS"),AG1723&gt;0,D1723&lt;&gt;""),A1723&amp;"|"&amp;AG1723&amp;"|"&amp;D1723&amp;"|"&amp;F1723,"")</f>
        <v/>
      </c>
      <c r="Z1723" s="57" t="str">
        <f>IF(Y1723="","",IF(COUNTIF(Y$6:Y1722,Y1723)=0,1,0))</f>
        <v/>
      </c>
      <c r="AA1723" s="57" t="str">
        <f>IF(Y1723="","",IF(Z1723=1,COUNTIFS(A$6:A1723,A1723,Z$6:Z1723,1),INDEX(AA$6:AA1722,MATCH(Y1723,Y$6:Y1722,0))))</f>
        <v/>
      </c>
      <c r="AB1723" s="57" t="str">
        <f>IF(B1723="","",COUNTIF(B$6:B1723,B1723))</f>
        <v/>
      </c>
      <c r="AC1723" s="57" t="str">
        <f>IF(B1723="","",B1723&amp;"#"&amp;AB1723)</f>
        <v/>
      </c>
      <c r="AD1723" s="57" t="str">
        <f>IF(Z1723=1,A1723&amp;AA1723,"")</f>
        <v/>
      </c>
      <c r="AE1723" s="57" t="str">
        <f>IF(B1723="","",YEAR(C1723))</f>
        <v/>
      </c>
      <c r="AF1723" s="57" t="str">
        <f>IF(B1723="","",MONTH(C1723))</f>
        <v/>
      </c>
      <c r="AG1723" s="57">
        <f>IF(ISNUMBER(C1723),C1723,0)</f>
        <v>0.0</v>
      </c>
      <c r="AH1723" s="57" t="str">
        <f>IF(N(W1723)&gt;0,COUNTIF(W$6:W1723,"&gt;0"),"")</f>
        <v/>
      </c>
      <c r="AI1723" s="57" t="str">
        <f>IF(Z1723=1,COUNTIF(Z$6:Z1723,1),"")</f>
        <v/>
      </c>
    </row>
    <row r="1724">
      <c r="A1724" s="54" t="n"/>
      <c r="B1724" s="55" t="str">
        <f>IF(AA1724="","",A1724&amp;"-"&amp;RIGHT("000"&amp;AA1724,4))</f>
        <v/>
      </c>
      <c r="C1724" s="56" t="n"/>
      <c r="D1724" s="54" t="n"/>
      <c r="E1724" s="57" t="str">
        <f>IF(D1724="","",IF(A1724="BL",IFERROR(INDEX(cl_name,MATCH(D1724,cl_code,0))&amp;"","Client inconnu"),IF(A1724="BR",IFERROR(INDEX(fo_name,MATCH(D1724,fo_code,0))&amp;"","Fournisseur inconnu"),IF(A1724="BS",IF(ISNA(MATCH(D1724,p_services,0)),"Service inconnu",D1724&amp;""),""))))</f>
        <v/>
      </c>
      <c r="F1724" s="58" t="n"/>
      <c r="G1724" s="58" t="n"/>
      <c r="H1724" s="59" t="n"/>
      <c r="I1724" s="57" t="str">
        <f>IF(H1724="","",IFERROR(INDEX(art_des,MATCH(H1724,art_ref,0))&amp;"","Article inconnu"))</f>
        <v/>
      </c>
      <c r="J1724" s="60" t="str">
        <f>IF(H1724="","",IFERROR(INDEX(art_unit,MATCH(H1724,art_ref,0))&amp;"",""))</f>
        <v/>
      </c>
      <c r="K1724" s="59" t="n"/>
      <c r="L1724" s="59" t="n"/>
      <c r="M1724" s="61" t="str">
        <f>IF(OR(B1724="",NOT(ISNUMBER(K1724)),NOT(ISNUMBER(L1724))),"",IF(OR(K1724&lt;=0,L1724&lt;=0),"",ROUND(L1724-K1724,6)))</f>
        <v/>
      </c>
      <c r="N1724" s="58" t="n"/>
      <c r="O1724" s="62" t="n"/>
      <c r="P1724" s="63" t="str">
        <f>IF(OR(B1724="",NOT(ISNUMBER(L1724))),"",IF(L1724&lt;=0,"",IFERROR(ROUND(L1724*N(INDEX(art_w,MATCH(H1724,art_ref,0))),3),"")))</f>
        <v/>
      </c>
      <c r="Q1724" s="59" t="n"/>
      <c r="R1724" s="54" t="n"/>
      <c r="S1724" s="59" t="n"/>
      <c r="T1724" s="59" t="n"/>
      <c r="U1724" s="64" t="str">
        <f>IF(OR(B1724="",H1724=""),"",IFERROR(IF(A1724="BL",IF(N(INDEX(art_price,MATCH(H1724,art_ref,0)))=0,"",N(INDEX(art_price,MATCH(H1724,art_ref,0)))),IF(N(INDEX(art_cost,MATCH(H1724,art_ref,0)))=0,"",N(INDEX(art_cost,MATCH(H1724,art_ref,0))))),""))</f>
        <v/>
      </c>
      <c r="V1724" s="64" t="str">
        <f>IF(OR(U1724="",NOT(ISNUMBER(L1724))),"",IF(L1724&lt;=0,"",ROUND(L1724*U1724,2)))</f>
        <v/>
      </c>
      <c r="W1724" s="60" t="str">
        <f>IF(AND(B1724&lt;&gt;"",A1724&lt;&gt;"BS",F1724&lt;&gt;"",H1724&lt;&gt;"",ISNUMBER(K1724),ISNUMBER(L1724)),IF(AND(K1724&gt;0,L1724&gt;0,K1724-L1724&gt;0,COUNTIFS(A1725:A$2005,A1724,F1725:F$2005,F1724,H1725:H$2005,H1724,AA1725:AA$2005,"&gt;0")=0),ROUND(K1724-L1724,6),""),"")</f>
        <v/>
      </c>
      <c r="X1724" s="60" t="str">
        <f>IF(AND(A1724="",C1724="",D1724="",H1724="",L1724=""),"",IF(A1724="","Type manquant",IF(AND(A1724&lt;&gt;"BL",A1724&lt;&gt;"BR",A1724&lt;&gt;"BS"),"Type inconnu (BL, BR ou BS)",IF(AG1724=0,"Date manquante ou invalide",IF(D1724="",IF(A1724="BL","Client manquant",IF(A1724="BR","Fournisseur manquant","Service manquant")),IF(IF(A1724="BL",ISNA(MATCH(D1724,cl_code,0)),IF(A1724="BR",ISNA(MATCH(D1724,fo_code,0)),ISNA(MATCH(D1724,p_services,0)))),IF(A1724="BL","Client inconnu",IF(A1724="BR","Fournisseur inconnu","Service inconnu")),IF(H1724="","Article manquant",IF(ISNA(MATCH(H1724,art_ref,0)),"Article inconnu",IF(OR(NOT(ISNUMBER(L1724)),N(L1724)&lt;=0),"Quantité invalide",IF(AND(K1724&lt;&gt;"",OR(NOT(ISNUMBER(K1724)),N(K1724)&lt;=0)),"Qté commandée invalide",IF(AG1724&lt;SUMPRODUCT(MAX((A$6:A1723=A1724)*AG$6:AG1723)),"Date antérieure au bon précédent",IF(AND(A1724&lt;&gt;"BR",ISNUMBER(M1724),N(M1724)&gt;0),IF(A1724="BL","Livré plus que commandé","Sorti plus que demandé"),"OK"))))))))))))</f>
        <v/>
      </c>
      <c r="Y1724" s="57" t="str">
        <f>IF(AND(OR(A1724="BL",A1724="BR",A1724="BS"),AG1724&gt;0,D1724&lt;&gt;""),A1724&amp;"|"&amp;AG1724&amp;"|"&amp;D1724&amp;"|"&amp;F1724,"")</f>
        <v/>
      </c>
      <c r="Z1724" s="57" t="str">
        <f>IF(Y1724="","",IF(COUNTIF(Y$6:Y1723,Y1724)=0,1,0))</f>
        <v/>
      </c>
      <c r="AA1724" s="57" t="str">
        <f>IF(Y1724="","",IF(Z1724=1,COUNTIFS(A$6:A1724,A1724,Z$6:Z1724,1),INDEX(AA$6:AA1723,MATCH(Y1724,Y$6:Y1723,0))))</f>
        <v/>
      </c>
      <c r="AB1724" s="57" t="str">
        <f>IF(B1724="","",COUNTIF(B$6:B1724,B1724))</f>
        <v/>
      </c>
      <c r="AC1724" s="57" t="str">
        <f>IF(B1724="","",B1724&amp;"#"&amp;AB1724)</f>
        <v/>
      </c>
      <c r="AD1724" s="57" t="str">
        <f>IF(Z1724=1,A1724&amp;AA1724,"")</f>
        <v/>
      </c>
      <c r="AE1724" s="57" t="str">
        <f>IF(B1724="","",YEAR(C1724))</f>
        <v/>
      </c>
      <c r="AF1724" s="57" t="str">
        <f>IF(B1724="","",MONTH(C1724))</f>
        <v/>
      </c>
      <c r="AG1724" s="57">
        <f>IF(ISNUMBER(C1724),C1724,0)</f>
        <v>0.0</v>
      </c>
      <c r="AH1724" s="57" t="str">
        <f>IF(N(W1724)&gt;0,COUNTIF(W$6:W1724,"&gt;0"),"")</f>
        <v/>
      </c>
      <c r="AI1724" s="57" t="str">
        <f>IF(Z1724=1,COUNTIF(Z$6:Z1724,1),"")</f>
        <v/>
      </c>
    </row>
    <row r="1725">
      <c r="A1725" s="54" t="n"/>
      <c r="B1725" s="55" t="str">
        <f>IF(AA1725="","",A1725&amp;"-"&amp;RIGHT("000"&amp;AA1725,4))</f>
        <v/>
      </c>
      <c r="C1725" s="56" t="n"/>
      <c r="D1725" s="54" t="n"/>
      <c r="E1725" s="57" t="str">
        <f>IF(D1725="","",IF(A1725="BL",IFERROR(INDEX(cl_name,MATCH(D1725,cl_code,0))&amp;"","Client inconnu"),IF(A1725="BR",IFERROR(INDEX(fo_name,MATCH(D1725,fo_code,0))&amp;"","Fournisseur inconnu"),IF(A1725="BS",IF(ISNA(MATCH(D1725,p_services,0)),"Service inconnu",D1725&amp;""),""))))</f>
        <v/>
      </c>
      <c r="F1725" s="58" t="n"/>
      <c r="G1725" s="58" t="n"/>
      <c r="H1725" s="59" t="n"/>
      <c r="I1725" s="57" t="str">
        <f>IF(H1725="","",IFERROR(INDEX(art_des,MATCH(H1725,art_ref,0))&amp;"","Article inconnu"))</f>
        <v/>
      </c>
      <c r="J1725" s="60" t="str">
        <f>IF(H1725="","",IFERROR(INDEX(art_unit,MATCH(H1725,art_ref,0))&amp;"",""))</f>
        <v/>
      </c>
      <c r="K1725" s="59" t="n"/>
      <c r="L1725" s="59" t="n"/>
      <c r="M1725" s="61" t="str">
        <f>IF(OR(B1725="",NOT(ISNUMBER(K1725)),NOT(ISNUMBER(L1725))),"",IF(OR(K1725&lt;=0,L1725&lt;=0),"",ROUND(L1725-K1725,6)))</f>
        <v/>
      </c>
      <c r="N1725" s="58" t="n"/>
      <c r="O1725" s="62" t="n"/>
      <c r="P1725" s="63" t="str">
        <f>IF(OR(B1725="",NOT(ISNUMBER(L1725))),"",IF(L1725&lt;=0,"",IFERROR(ROUND(L1725*N(INDEX(art_w,MATCH(H1725,art_ref,0))),3),"")))</f>
        <v/>
      </c>
      <c r="Q1725" s="59" t="n"/>
      <c r="R1725" s="54" t="n"/>
      <c r="S1725" s="59" t="n"/>
      <c r="T1725" s="59" t="n"/>
      <c r="U1725" s="64" t="str">
        <f>IF(OR(B1725="",H1725=""),"",IFERROR(IF(A1725="BL",IF(N(INDEX(art_price,MATCH(H1725,art_ref,0)))=0,"",N(INDEX(art_price,MATCH(H1725,art_ref,0)))),IF(N(INDEX(art_cost,MATCH(H1725,art_ref,0)))=0,"",N(INDEX(art_cost,MATCH(H1725,art_ref,0))))),""))</f>
        <v/>
      </c>
      <c r="V1725" s="64" t="str">
        <f>IF(OR(U1725="",NOT(ISNUMBER(L1725))),"",IF(L1725&lt;=0,"",ROUND(L1725*U1725,2)))</f>
        <v/>
      </c>
      <c r="W1725" s="60" t="str">
        <f>IF(AND(B1725&lt;&gt;"",A1725&lt;&gt;"BS",F1725&lt;&gt;"",H1725&lt;&gt;"",ISNUMBER(K1725),ISNUMBER(L1725)),IF(AND(K1725&gt;0,L1725&gt;0,K1725-L1725&gt;0,COUNTIFS(A1726:A$2005,A1725,F1726:F$2005,F1725,H1726:H$2005,H1725,AA1726:AA$2005,"&gt;0")=0),ROUND(K1725-L1725,6),""),"")</f>
        <v/>
      </c>
      <c r="X1725" s="60" t="str">
        <f>IF(AND(A1725="",C1725="",D1725="",H1725="",L1725=""),"",IF(A1725="","Type manquant",IF(AND(A1725&lt;&gt;"BL",A1725&lt;&gt;"BR",A1725&lt;&gt;"BS"),"Type inconnu (BL, BR ou BS)",IF(AG1725=0,"Date manquante ou invalide",IF(D1725="",IF(A1725="BL","Client manquant",IF(A1725="BR","Fournisseur manquant","Service manquant")),IF(IF(A1725="BL",ISNA(MATCH(D1725,cl_code,0)),IF(A1725="BR",ISNA(MATCH(D1725,fo_code,0)),ISNA(MATCH(D1725,p_services,0)))),IF(A1725="BL","Client inconnu",IF(A1725="BR","Fournisseur inconnu","Service inconnu")),IF(H1725="","Article manquant",IF(ISNA(MATCH(H1725,art_ref,0)),"Article inconnu",IF(OR(NOT(ISNUMBER(L1725)),N(L1725)&lt;=0),"Quantité invalide",IF(AND(K1725&lt;&gt;"",OR(NOT(ISNUMBER(K1725)),N(K1725)&lt;=0)),"Qté commandée invalide",IF(AG1725&lt;SUMPRODUCT(MAX((A$6:A1724=A1725)*AG$6:AG1724)),"Date antérieure au bon précédent",IF(AND(A1725&lt;&gt;"BR",ISNUMBER(M1725),N(M1725)&gt;0),IF(A1725="BL","Livré plus que commandé","Sorti plus que demandé"),"OK"))))))))))))</f>
        <v/>
      </c>
      <c r="Y1725" s="57" t="str">
        <f>IF(AND(OR(A1725="BL",A1725="BR",A1725="BS"),AG1725&gt;0,D1725&lt;&gt;""),A1725&amp;"|"&amp;AG1725&amp;"|"&amp;D1725&amp;"|"&amp;F1725,"")</f>
        <v/>
      </c>
      <c r="Z1725" s="57" t="str">
        <f>IF(Y1725="","",IF(COUNTIF(Y$6:Y1724,Y1725)=0,1,0))</f>
        <v/>
      </c>
      <c r="AA1725" s="57" t="str">
        <f>IF(Y1725="","",IF(Z1725=1,COUNTIFS(A$6:A1725,A1725,Z$6:Z1725,1),INDEX(AA$6:AA1724,MATCH(Y1725,Y$6:Y1724,0))))</f>
        <v/>
      </c>
      <c r="AB1725" s="57" t="str">
        <f>IF(B1725="","",COUNTIF(B$6:B1725,B1725))</f>
        <v/>
      </c>
      <c r="AC1725" s="57" t="str">
        <f>IF(B1725="","",B1725&amp;"#"&amp;AB1725)</f>
        <v/>
      </c>
      <c r="AD1725" s="57" t="str">
        <f>IF(Z1725=1,A1725&amp;AA1725,"")</f>
        <v/>
      </c>
      <c r="AE1725" s="57" t="str">
        <f>IF(B1725="","",YEAR(C1725))</f>
        <v/>
      </c>
      <c r="AF1725" s="57" t="str">
        <f>IF(B1725="","",MONTH(C1725))</f>
        <v/>
      </c>
      <c r="AG1725" s="57">
        <f>IF(ISNUMBER(C1725),C1725,0)</f>
        <v>0.0</v>
      </c>
      <c r="AH1725" s="57" t="str">
        <f>IF(N(W1725)&gt;0,COUNTIF(W$6:W1725,"&gt;0"),"")</f>
        <v/>
      </c>
      <c r="AI1725" s="57" t="str">
        <f>IF(Z1725=1,COUNTIF(Z$6:Z1725,1),"")</f>
        <v/>
      </c>
    </row>
    <row r="1726">
      <c r="A1726" s="54" t="n"/>
      <c r="B1726" s="55" t="str">
        <f>IF(AA1726="","",A1726&amp;"-"&amp;RIGHT("000"&amp;AA1726,4))</f>
        <v/>
      </c>
      <c r="C1726" s="56" t="n"/>
      <c r="D1726" s="54" t="n"/>
      <c r="E1726" s="57" t="str">
        <f>IF(D1726="","",IF(A1726="BL",IFERROR(INDEX(cl_name,MATCH(D1726,cl_code,0))&amp;"","Client inconnu"),IF(A1726="BR",IFERROR(INDEX(fo_name,MATCH(D1726,fo_code,0))&amp;"","Fournisseur inconnu"),IF(A1726="BS",IF(ISNA(MATCH(D1726,p_services,0)),"Service inconnu",D1726&amp;""),""))))</f>
        <v/>
      </c>
      <c r="F1726" s="58" t="n"/>
      <c r="G1726" s="58" t="n"/>
      <c r="H1726" s="59" t="n"/>
      <c r="I1726" s="57" t="str">
        <f>IF(H1726="","",IFERROR(INDEX(art_des,MATCH(H1726,art_ref,0))&amp;"","Article inconnu"))</f>
        <v/>
      </c>
      <c r="J1726" s="60" t="str">
        <f>IF(H1726="","",IFERROR(INDEX(art_unit,MATCH(H1726,art_ref,0))&amp;"",""))</f>
        <v/>
      </c>
      <c r="K1726" s="59" t="n"/>
      <c r="L1726" s="59" t="n"/>
      <c r="M1726" s="61" t="str">
        <f>IF(OR(B1726="",NOT(ISNUMBER(K1726)),NOT(ISNUMBER(L1726))),"",IF(OR(K1726&lt;=0,L1726&lt;=0),"",ROUND(L1726-K1726,6)))</f>
        <v/>
      </c>
      <c r="N1726" s="58" t="n"/>
      <c r="O1726" s="62" t="n"/>
      <c r="P1726" s="63" t="str">
        <f>IF(OR(B1726="",NOT(ISNUMBER(L1726))),"",IF(L1726&lt;=0,"",IFERROR(ROUND(L1726*N(INDEX(art_w,MATCH(H1726,art_ref,0))),3),"")))</f>
        <v/>
      </c>
      <c r="Q1726" s="59" t="n"/>
      <c r="R1726" s="54" t="n"/>
      <c r="S1726" s="59" t="n"/>
      <c r="T1726" s="59" t="n"/>
      <c r="U1726" s="64" t="str">
        <f>IF(OR(B1726="",H1726=""),"",IFERROR(IF(A1726="BL",IF(N(INDEX(art_price,MATCH(H1726,art_ref,0)))=0,"",N(INDEX(art_price,MATCH(H1726,art_ref,0)))),IF(N(INDEX(art_cost,MATCH(H1726,art_ref,0)))=0,"",N(INDEX(art_cost,MATCH(H1726,art_ref,0))))),""))</f>
        <v/>
      </c>
      <c r="V1726" s="64" t="str">
        <f>IF(OR(U1726="",NOT(ISNUMBER(L1726))),"",IF(L1726&lt;=0,"",ROUND(L1726*U1726,2)))</f>
        <v/>
      </c>
      <c r="W1726" s="60" t="str">
        <f>IF(AND(B1726&lt;&gt;"",A1726&lt;&gt;"BS",F1726&lt;&gt;"",H1726&lt;&gt;"",ISNUMBER(K1726),ISNUMBER(L1726)),IF(AND(K1726&gt;0,L1726&gt;0,K1726-L1726&gt;0,COUNTIFS(A1727:A$2005,A1726,F1727:F$2005,F1726,H1727:H$2005,H1726,AA1727:AA$2005,"&gt;0")=0),ROUND(K1726-L1726,6),""),"")</f>
        <v/>
      </c>
      <c r="X1726" s="60" t="str">
        <f>IF(AND(A1726="",C1726="",D1726="",H1726="",L1726=""),"",IF(A1726="","Type manquant",IF(AND(A1726&lt;&gt;"BL",A1726&lt;&gt;"BR",A1726&lt;&gt;"BS"),"Type inconnu (BL, BR ou BS)",IF(AG1726=0,"Date manquante ou invalide",IF(D1726="",IF(A1726="BL","Client manquant",IF(A1726="BR","Fournisseur manquant","Service manquant")),IF(IF(A1726="BL",ISNA(MATCH(D1726,cl_code,0)),IF(A1726="BR",ISNA(MATCH(D1726,fo_code,0)),ISNA(MATCH(D1726,p_services,0)))),IF(A1726="BL","Client inconnu",IF(A1726="BR","Fournisseur inconnu","Service inconnu")),IF(H1726="","Article manquant",IF(ISNA(MATCH(H1726,art_ref,0)),"Article inconnu",IF(OR(NOT(ISNUMBER(L1726)),N(L1726)&lt;=0),"Quantité invalide",IF(AND(K1726&lt;&gt;"",OR(NOT(ISNUMBER(K1726)),N(K1726)&lt;=0)),"Qté commandée invalide",IF(AG1726&lt;SUMPRODUCT(MAX((A$6:A1725=A1726)*AG$6:AG1725)),"Date antérieure au bon précédent",IF(AND(A1726&lt;&gt;"BR",ISNUMBER(M1726),N(M1726)&gt;0),IF(A1726="BL","Livré plus que commandé","Sorti plus que demandé"),"OK"))))))))))))</f>
        <v/>
      </c>
      <c r="Y1726" s="57" t="str">
        <f>IF(AND(OR(A1726="BL",A1726="BR",A1726="BS"),AG1726&gt;0,D1726&lt;&gt;""),A1726&amp;"|"&amp;AG1726&amp;"|"&amp;D1726&amp;"|"&amp;F1726,"")</f>
        <v/>
      </c>
      <c r="Z1726" s="57" t="str">
        <f>IF(Y1726="","",IF(COUNTIF(Y$6:Y1725,Y1726)=0,1,0))</f>
        <v/>
      </c>
      <c r="AA1726" s="57" t="str">
        <f>IF(Y1726="","",IF(Z1726=1,COUNTIFS(A$6:A1726,A1726,Z$6:Z1726,1),INDEX(AA$6:AA1725,MATCH(Y1726,Y$6:Y1725,0))))</f>
        <v/>
      </c>
      <c r="AB1726" s="57" t="str">
        <f>IF(B1726="","",COUNTIF(B$6:B1726,B1726))</f>
        <v/>
      </c>
      <c r="AC1726" s="57" t="str">
        <f>IF(B1726="","",B1726&amp;"#"&amp;AB1726)</f>
        <v/>
      </c>
      <c r="AD1726" s="57" t="str">
        <f>IF(Z1726=1,A1726&amp;AA1726,"")</f>
        <v/>
      </c>
      <c r="AE1726" s="57" t="str">
        <f>IF(B1726="","",YEAR(C1726))</f>
        <v/>
      </c>
      <c r="AF1726" s="57" t="str">
        <f>IF(B1726="","",MONTH(C1726))</f>
        <v/>
      </c>
      <c r="AG1726" s="57">
        <f>IF(ISNUMBER(C1726),C1726,0)</f>
        <v>0.0</v>
      </c>
      <c r="AH1726" s="57" t="str">
        <f>IF(N(W1726)&gt;0,COUNTIF(W$6:W1726,"&gt;0"),"")</f>
        <v/>
      </c>
      <c r="AI1726" s="57" t="str">
        <f>IF(Z1726=1,COUNTIF(Z$6:Z1726,1),"")</f>
        <v/>
      </c>
    </row>
    <row r="1727">
      <c r="A1727" s="54" t="n"/>
      <c r="B1727" s="55" t="str">
        <f>IF(AA1727="","",A1727&amp;"-"&amp;RIGHT("000"&amp;AA1727,4))</f>
        <v/>
      </c>
      <c r="C1727" s="56" t="n"/>
      <c r="D1727" s="54" t="n"/>
      <c r="E1727" s="57" t="str">
        <f>IF(D1727="","",IF(A1727="BL",IFERROR(INDEX(cl_name,MATCH(D1727,cl_code,0))&amp;"","Client inconnu"),IF(A1727="BR",IFERROR(INDEX(fo_name,MATCH(D1727,fo_code,0))&amp;"","Fournisseur inconnu"),IF(A1727="BS",IF(ISNA(MATCH(D1727,p_services,0)),"Service inconnu",D1727&amp;""),""))))</f>
        <v/>
      </c>
      <c r="F1727" s="58" t="n"/>
      <c r="G1727" s="58" t="n"/>
      <c r="H1727" s="59" t="n"/>
      <c r="I1727" s="57" t="str">
        <f>IF(H1727="","",IFERROR(INDEX(art_des,MATCH(H1727,art_ref,0))&amp;"","Article inconnu"))</f>
        <v/>
      </c>
      <c r="J1727" s="60" t="str">
        <f>IF(H1727="","",IFERROR(INDEX(art_unit,MATCH(H1727,art_ref,0))&amp;"",""))</f>
        <v/>
      </c>
      <c r="K1727" s="59" t="n"/>
      <c r="L1727" s="59" t="n"/>
      <c r="M1727" s="61" t="str">
        <f>IF(OR(B1727="",NOT(ISNUMBER(K1727)),NOT(ISNUMBER(L1727))),"",IF(OR(K1727&lt;=0,L1727&lt;=0),"",ROUND(L1727-K1727,6)))</f>
        <v/>
      </c>
      <c r="N1727" s="58" t="n"/>
      <c r="O1727" s="62" t="n"/>
      <c r="P1727" s="63" t="str">
        <f>IF(OR(B1727="",NOT(ISNUMBER(L1727))),"",IF(L1727&lt;=0,"",IFERROR(ROUND(L1727*N(INDEX(art_w,MATCH(H1727,art_ref,0))),3),"")))</f>
        <v/>
      </c>
      <c r="Q1727" s="59" t="n"/>
      <c r="R1727" s="54" t="n"/>
      <c r="S1727" s="59" t="n"/>
      <c r="T1727" s="59" t="n"/>
      <c r="U1727" s="64" t="str">
        <f>IF(OR(B1727="",H1727=""),"",IFERROR(IF(A1727="BL",IF(N(INDEX(art_price,MATCH(H1727,art_ref,0)))=0,"",N(INDEX(art_price,MATCH(H1727,art_ref,0)))),IF(N(INDEX(art_cost,MATCH(H1727,art_ref,0)))=0,"",N(INDEX(art_cost,MATCH(H1727,art_ref,0))))),""))</f>
        <v/>
      </c>
      <c r="V1727" s="64" t="str">
        <f>IF(OR(U1727="",NOT(ISNUMBER(L1727))),"",IF(L1727&lt;=0,"",ROUND(L1727*U1727,2)))</f>
        <v/>
      </c>
      <c r="W1727" s="60" t="str">
        <f>IF(AND(B1727&lt;&gt;"",A1727&lt;&gt;"BS",F1727&lt;&gt;"",H1727&lt;&gt;"",ISNUMBER(K1727),ISNUMBER(L1727)),IF(AND(K1727&gt;0,L1727&gt;0,K1727-L1727&gt;0,COUNTIFS(A1728:A$2005,A1727,F1728:F$2005,F1727,H1728:H$2005,H1727,AA1728:AA$2005,"&gt;0")=0),ROUND(K1727-L1727,6),""),"")</f>
        <v/>
      </c>
      <c r="X1727" s="60" t="str">
        <f>IF(AND(A1727="",C1727="",D1727="",H1727="",L1727=""),"",IF(A1727="","Type manquant",IF(AND(A1727&lt;&gt;"BL",A1727&lt;&gt;"BR",A1727&lt;&gt;"BS"),"Type inconnu (BL, BR ou BS)",IF(AG1727=0,"Date manquante ou invalide",IF(D1727="",IF(A1727="BL","Client manquant",IF(A1727="BR","Fournisseur manquant","Service manquant")),IF(IF(A1727="BL",ISNA(MATCH(D1727,cl_code,0)),IF(A1727="BR",ISNA(MATCH(D1727,fo_code,0)),ISNA(MATCH(D1727,p_services,0)))),IF(A1727="BL","Client inconnu",IF(A1727="BR","Fournisseur inconnu","Service inconnu")),IF(H1727="","Article manquant",IF(ISNA(MATCH(H1727,art_ref,0)),"Article inconnu",IF(OR(NOT(ISNUMBER(L1727)),N(L1727)&lt;=0),"Quantité invalide",IF(AND(K1727&lt;&gt;"",OR(NOT(ISNUMBER(K1727)),N(K1727)&lt;=0)),"Qté commandée invalide",IF(AG1727&lt;SUMPRODUCT(MAX((A$6:A1726=A1727)*AG$6:AG1726)),"Date antérieure au bon précédent",IF(AND(A1727&lt;&gt;"BR",ISNUMBER(M1727),N(M1727)&gt;0),IF(A1727="BL","Livré plus que commandé","Sorti plus que demandé"),"OK"))))))))))))</f>
        <v/>
      </c>
      <c r="Y1727" s="57" t="str">
        <f>IF(AND(OR(A1727="BL",A1727="BR",A1727="BS"),AG1727&gt;0,D1727&lt;&gt;""),A1727&amp;"|"&amp;AG1727&amp;"|"&amp;D1727&amp;"|"&amp;F1727,"")</f>
        <v/>
      </c>
      <c r="Z1727" s="57" t="str">
        <f>IF(Y1727="","",IF(COUNTIF(Y$6:Y1726,Y1727)=0,1,0))</f>
        <v/>
      </c>
      <c r="AA1727" s="57" t="str">
        <f>IF(Y1727="","",IF(Z1727=1,COUNTIFS(A$6:A1727,A1727,Z$6:Z1727,1),INDEX(AA$6:AA1726,MATCH(Y1727,Y$6:Y1726,0))))</f>
        <v/>
      </c>
      <c r="AB1727" s="57" t="str">
        <f>IF(B1727="","",COUNTIF(B$6:B1727,B1727))</f>
        <v/>
      </c>
      <c r="AC1727" s="57" t="str">
        <f>IF(B1727="","",B1727&amp;"#"&amp;AB1727)</f>
        <v/>
      </c>
      <c r="AD1727" s="57" t="str">
        <f>IF(Z1727=1,A1727&amp;AA1727,"")</f>
        <v/>
      </c>
      <c r="AE1727" s="57" t="str">
        <f>IF(B1727="","",YEAR(C1727))</f>
        <v/>
      </c>
      <c r="AF1727" s="57" t="str">
        <f>IF(B1727="","",MONTH(C1727))</f>
        <v/>
      </c>
      <c r="AG1727" s="57">
        <f>IF(ISNUMBER(C1727),C1727,0)</f>
        <v>0.0</v>
      </c>
      <c r="AH1727" s="57" t="str">
        <f>IF(N(W1727)&gt;0,COUNTIF(W$6:W1727,"&gt;0"),"")</f>
        <v/>
      </c>
      <c r="AI1727" s="57" t="str">
        <f>IF(Z1727=1,COUNTIF(Z$6:Z1727,1),"")</f>
        <v/>
      </c>
    </row>
    <row r="1728">
      <c r="A1728" s="54" t="n"/>
      <c r="B1728" s="55" t="str">
        <f>IF(AA1728="","",A1728&amp;"-"&amp;RIGHT("000"&amp;AA1728,4))</f>
        <v/>
      </c>
      <c r="C1728" s="56" t="n"/>
      <c r="D1728" s="54" t="n"/>
      <c r="E1728" s="57" t="str">
        <f>IF(D1728="","",IF(A1728="BL",IFERROR(INDEX(cl_name,MATCH(D1728,cl_code,0))&amp;"","Client inconnu"),IF(A1728="BR",IFERROR(INDEX(fo_name,MATCH(D1728,fo_code,0))&amp;"","Fournisseur inconnu"),IF(A1728="BS",IF(ISNA(MATCH(D1728,p_services,0)),"Service inconnu",D1728&amp;""),""))))</f>
        <v/>
      </c>
      <c r="F1728" s="58" t="n"/>
      <c r="G1728" s="58" t="n"/>
      <c r="H1728" s="59" t="n"/>
      <c r="I1728" s="57" t="str">
        <f>IF(H1728="","",IFERROR(INDEX(art_des,MATCH(H1728,art_ref,0))&amp;"","Article inconnu"))</f>
        <v/>
      </c>
      <c r="J1728" s="60" t="str">
        <f>IF(H1728="","",IFERROR(INDEX(art_unit,MATCH(H1728,art_ref,0))&amp;"",""))</f>
        <v/>
      </c>
      <c r="K1728" s="59" t="n"/>
      <c r="L1728" s="59" t="n"/>
      <c r="M1728" s="61" t="str">
        <f>IF(OR(B1728="",NOT(ISNUMBER(K1728)),NOT(ISNUMBER(L1728))),"",IF(OR(K1728&lt;=0,L1728&lt;=0),"",ROUND(L1728-K1728,6)))</f>
        <v/>
      </c>
      <c r="N1728" s="58" t="n"/>
      <c r="O1728" s="62" t="n"/>
      <c r="P1728" s="63" t="str">
        <f>IF(OR(B1728="",NOT(ISNUMBER(L1728))),"",IF(L1728&lt;=0,"",IFERROR(ROUND(L1728*N(INDEX(art_w,MATCH(H1728,art_ref,0))),3),"")))</f>
        <v/>
      </c>
      <c r="Q1728" s="59" t="n"/>
      <c r="R1728" s="54" t="n"/>
      <c r="S1728" s="59" t="n"/>
      <c r="T1728" s="59" t="n"/>
      <c r="U1728" s="64" t="str">
        <f>IF(OR(B1728="",H1728=""),"",IFERROR(IF(A1728="BL",IF(N(INDEX(art_price,MATCH(H1728,art_ref,0)))=0,"",N(INDEX(art_price,MATCH(H1728,art_ref,0)))),IF(N(INDEX(art_cost,MATCH(H1728,art_ref,0)))=0,"",N(INDEX(art_cost,MATCH(H1728,art_ref,0))))),""))</f>
        <v/>
      </c>
      <c r="V1728" s="64" t="str">
        <f>IF(OR(U1728="",NOT(ISNUMBER(L1728))),"",IF(L1728&lt;=0,"",ROUND(L1728*U1728,2)))</f>
        <v/>
      </c>
      <c r="W1728" s="60" t="str">
        <f>IF(AND(B1728&lt;&gt;"",A1728&lt;&gt;"BS",F1728&lt;&gt;"",H1728&lt;&gt;"",ISNUMBER(K1728),ISNUMBER(L1728)),IF(AND(K1728&gt;0,L1728&gt;0,K1728-L1728&gt;0,COUNTIFS(A1729:A$2005,A1728,F1729:F$2005,F1728,H1729:H$2005,H1728,AA1729:AA$2005,"&gt;0")=0),ROUND(K1728-L1728,6),""),"")</f>
        <v/>
      </c>
      <c r="X1728" s="60" t="str">
        <f>IF(AND(A1728="",C1728="",D1728="",H1728="",L1728=""),"",IF(A1728="","Type manquant",IF(AND(A1728&lt;&gt;"BL",A1728&lt;&gt;"BR",A1728&lt;&gt;"BS"),"Type inconnu (BL, BR ou BS)",IF(AG1728=0,"Date manquante ou invalide",IF(D1728="",IF(A1728="BL","Client manquant",IF(A1728="BR","Fournisseur manquant","Service manquant")),IF(IF(A1728="BL",ISNA(MATCH(D1728,cl_code,0)),IF(A1728="BR",ISNA(MATCH(D1728,fo_code,0)),ISNA(MATCH(D1728,p_services,0)))),IF(A1728="BL","Client inconnu",IF(A1728="BR","Fournisseur inconnu","Service inconnu")),IF(H1728="","Article manquant",IF(ISNA(MATCH(H1728,art_ref,0)),"Article inconnu",IF(OR(NOT(ISNUMBER(L1728)),N(L1728)&lt;=0),"Quantité invalide",IF(AND(K1728&lt;&gt;"",OR(NOT(ISNUMBER(K1728)),N(K1728)&lt;=0)),"Qté commandée invalide",IF(AG1728&lt;SUMPRODUCT(MAX((A$6:A1727=A1728)*AG$6:AG1727)),"Date antérieure au bon précédent",IF(AND(A1728&lt;&gt;"BR",ISNUMBER(M1728),N(M1728)&gt;0),IF(A1728="BL","Livré plus que commandé","Sorti plus que demandé"),"OK"))))))))))))</f>
        <v/>
      </c>
      <c r="Y1728" s="57" t="str">
        <f>IF(AND(OR(A1728="BL",A1728="BR",A1728="BS"),AG1728&gt;0,D1728&lt;&gt;""),A1728&amp;"|"&amp;AG1728&amp;"|"&amp;D1728&amp;"|"&amp;F1728,"")</f>
        <v/>
      </c>
      <c r="Z1728" s="57" t="str">
        <f>IF(Y1728="","",IF(COUNTIF(Y$6:Y1727,Y1728)=0,1,0))</f>
        <v/>
      </c>
      <c r="AA1728" s="57" t="str">
        <f>IF(Y1728="","",IF(Z1728=1,COUNTIFS(A$6:A1728,A1728,Z$6:Z1728,1),INDEX(AA$6:AA1727,MATCH(Y1728,Y$6:Y1727,0))))</f>
        <v/>
      </c>
      <c r="AB1728" s="57" t="str">
        <f>IF(B1728="","",COUNTIF(B$6:B1728,B1728))</f>
        <v/>
      </c>
      <c r="AC1728" s="57" t="str">
        <f>IF(B1728="","",B1728&amp;"#"&amp;AB1728)</f>
        <v/>
      </c>
      <c r="AD1728" s="57" t="str">
        <f>IF(Z1728=1,A1728&amp;AA1728,"")</f>
        <v/>
      </c>
      <c r="AE1728" s="57" t="str">
        <f>IF(B1728="","",YEAR(C1728))</f>
        <v/>
      </c>
      <c r="AF1728" s="57" t="str">
        <f>IF(B1728="","",MONTH(C1728))</f>
        <v/>
      </c>
      <c r="AG1728" s="57">
        <f>IF(ISNUMBER(C1728),C1728,0)</f>
        <v>0.0</v>
      </c>
      <c r="AH1728" s="57" t="str">
        <f>IF(N(W1728)&gt;0,COUNTIF(W$6:W1728,"&gt;0"),"")</f>
        <v/>
      </c>
      <c r="AI1728" s="57" t="str">
        <f>IF(Z1728=1,COUNTIF(Z$6:Z1728,1),"")</f>
        <v/>
      </c>
    </row>
    <row r="1729">
      <c r="A1729" s="54" t="n"/>
      <c r="B1729" s="55" t="str">
        <f>IF(AA1729="","",A1729&amp;"-"&amp;RIGHT("000"&amp;AA1729,4))</f>
        <v/>
      </c>
      <c r="C1729" s="56" t="n"/>
      <c r="D1729" s="54" t="n"/>
      <c r="E1729" s="57" t="str">
        <f>IF(D1729="","",IF(A1729="BL",IFERROR(INDEX(cl_name,MATCH(D1729,cl_code,0))&amp;"","Client inconnu"),IF(A1729="BR",IFERROR(INDEX(fo_name,MATCH(D1729,fo_code,0))&amp;"","Fournisseur inconnu"),IF(A1729="BS",IF(ISNA(MATCH(D1729,p_services,0)),"Service inconnu",D1729&amp;""),""))))</f>
        <v/>
      </c>
      <c r="F1729" s="58" t="n"/>
      <c r="G1729" s="58" t="n"/>
      <c r="H1729" s="59" t="n"/>
      <c r="I1729" s="57" t="str">
        <f>IF(H1729="","",IFERROR(INDEX(art_des,MATCH(H1729,art_ref,0))&amp;"","Article inconnu"))</f>
        <v/>
      </c>
      <c r="J1729" s="60" t="str">
        <f>IF(H1729="","",IFERROR(INDEX(art_unit,MATCH(H1729,art_ref,0))&amp;"",""))</f>
        <v/>
      </c>
      <c r="K1729" s="59" t="n"/>
      <c r="L1729" s="59" t="n"/>
      <c r="M1729" s="61" t="str">
        <f>IF(OR(B1729="",NOT(ISNUMBER(K1729)),NOT(ISNUMBER(L1729))),"",IF(OR(K1729&lt;=0,L1729&lt;=0),"",ROUND(L1729-K1729,6)))</f>
        <v/>
      </c>
      <c r="N1729" s="58" t="n"/>
      <c r="O1729" s="62" t="n"/>
      <c r="P1729" s="63" t="str">
        <f>IF(OR(B1729="",NOT(ISNUMBER(L1729))),"",IF(L1729&lt;=0,"",IFERROR(ROUND(L1729*N(INDEX(art_w,MATCH(H1729,art_ref,0))),3),"")))</f>
        <v/>
      </c>
      <c r="Q1729" s="59" t="n"/>
      <c r="R1729" s="54" t="n"/>
      <c r="S1729" s="59" t="n"/>
      <c r="T1729" s="59" t="n"/>
      <c r="U1729" s="64" t="str">
        <f>IF(OR(B1729="",H1729=""),"",IFERROR(IF(A1729="BL",IF(N(INDEX(art_price,MATCH(H1729,art_ref,0)))=0,"",N(INDEX(art_price,MATCH(H1729,art_ref,0)))),IF(N(INDEX(art_cost,MATCH(H1729,art_ref,0)))=0,"",N(INDEX(art_cost,MATCH(H1729,art_ref,0))))),""))</f>
        <v/>
      </c>
      <c r="V1729" s="64" t="str">
        <f>IF(OR(U1729="",NOT(ISNUMBER(L1729))),"",IF(L1729&lt;=0,"",ROUND(L1729*U1729,2)))</f>
        <v/>
      </c>
      <c r="W1729" s="60" t="str">
        <f>IF(AND(B1729&lt;&gt;"",A1729&lt;&gt;"BS",F1729&lt;&gt;"",H1729&lt;&gt;"",ISNUMBER(K1729),ISNUMBER(L1729)),IF(AND(K1729&gt;0,L1729&gt;0,K1729-L1729&gt;0,COUNTIFS(A1730:A$2005,A1729,F1730:F$2005,F1729,H1730:H$2005,H1729,AA1730:AA$2005,"&gt;0")=0),ROUND(K1729-L1729,6),""),"")</f>
        <v/>
      </c>
      <c r="X1729" s="60" t="str">
        <f>IF(AND(A1729="",C1729="",D1729="",H1729="",L1729=""),"",IF(A1729="","Type manquant",IF(AND(A1729&lt;&gt;"BL",A1729&lt;&gt;"BR",A1729&lt;&gt;"BS"),"Type inconnu (BL, BR ou BS)",IF(AG1729=0,"Date manquante ou invalide",IF(D1729="",IF(A1729="BL","Client manquant",IF(A1729="BR","Fournisseur manquant","Service manquant")),IF(IF(A1729="BL",ISNA(MATCH(D1729,cl_code,0)),IF(A1729="BR",ISNA(MATCH(D1729,fo_code,0)),ISNA(MATCH(D1729,p_services,0)))),IF(A1729="BL","Client inconnu",IF(A1729="BR","Fournisseur inconnu","Service inconnu")),IF(H1729="","Article manquant",IF(ISNA(MATCH(H1729,art_ref,0)),"Article inconnu",IF(OR(NOT(ISNUMBER(L1729)),N(L1729)&lt;=0),"Quantité invalide",IF(AND(K1729&lt;&gt;"",OR(NOT(ISNUMBER(K1729)),N(K1729)&lt;=0)),"Qté commandée invalide",IF(AG1729&lt;SUMPRODUCT(MAX((A$6:A1728=A1729)*AG$6:AG1728)),"Date antérieure au bon précédent",IF(AND(A1729&lt;&gt;"BR",ISNUMBER(M1729),N(M1729)&gt;0),IF(A1729="BL","Livré plus que commandé","Sorti plus que demandé"),"OK"))))))))))))</f>
        <v/>
      </c>
      <c r="Y1729" s="57" t="str">
        <f>IF(AND(OR(A1729="BL",A1729="BR",A1729="BS"),AG1729&gt;0,D1729&lt;&gt;""),A1729&amp;"|"&amp;AG1729&amp;"|"&amp;D1729&amp;"|"&amp;F1729,"")</f>
        <v/>
      </c>
      <c r="Z1729" s="57" t="str">
        <f>IF(Y1729="","",IF(COUNTIF(Y$6:Y1728,Y1729)=0,1,0))</f>
        <v/>
      </c>
      <c r="AA1729" s="57" t="str">
        <f>IF(Y1729="","",IF(Z1729=1,COUNTIFS(A$6:A1729,A1729,Z$6:Z1729,1),INDEX(AA$6:AA1728,MATCH(Y1729,Y$6:Y1728,0))))</f>
        <v/>
      </c>
      <c r="AB1729" s="57" t="str">
        <f>IF(B1729="","",COUNTIF(B$6:B1729,B1729))</f>
        <v/>
      </c>
      <c r="AC1729" s="57" t="str">
        <f>IF(B1729="","",B1729&amp;"#"&amp;AB1729)</f>
        <v/>
      </c>
      <c r="AD1729" s="57" t="str">
        <f>IF(Z1729=1,A1729&amp;AA1729,"")</f>
        <v/>
      </c>
      <c r="AE1729" s="57" t="str">
        <f>IF(B1729="","",YEAR(C1729))</f>
        <v/>
      </c>
      <c r="AF1729" s="57" t="str">
        <f>IF(B1729="","",MONTH(C1729))</f>
        <v/>
      </c>
      <c r="AG1729" s="57">
        <f>IF(ISNUMBER(C1729),C1729,0)</f>
        <v>0.0</v>
      </c>
      <c r="AH1729" s="57" t="str">
        <f>IF(N(W1729)&gt;0,COUNTIF(W$6:W1729,"&gt;0"),"")</f>
        <v/>
      </c>
      <c r="AI1729" s="57" t="str">
        <f>IF(Z1729=1,COUNTIF(Z$6:Z1729,1),"")</f>
        <v/>
      </c>
    </row>
    <row r="1730">
      <c r="A1730" s="54" t="n"/>
      <c r="B1730" s="55" t="str">
        <f>IF(AA1730="","",A1730&amp;"-"&amp;RIGHT("000"&amp;AA1730,4))</f>
        <v/>
      </c>
      <c r="C1730" s="56" t="n"/>
      <c r="D1730" s="54" t="n"/>
      <c r="E1730" s="57" t="str">
        <f>IF(D1730="","",IF(A1730="BL",IFERROR(INDEX(cl_name,MATCH(D1730,cl_code,0))&amp;"","Client inconnu"),IF(A1730="BR",IFERROR(INDEX(fo_name,MATCH(D1730,fo_code,0))&amp;"","Fournisseur inconnu"),IF(A1730="BS",IF(ISNA(MATCH(D1730,p_services,0)),"Service inconnu",D1730&amp;""),""))))</f>
        <v/>
      </c>
      <c r="F1730" s="58" t="n"/>
      <c r="G1730" s="58" t="n"/>
      <c r="H1730" s="59" t="n"/>
      <c r="I1730" s="57" t="str">
        <f>IF(H1730="","",IFERROR(INDEX(art_des,MATCH(H1730,art_ref,0))&amp;"","Article inconnu"))</f>
        <v/>
      </c>
      <c r="J1730" s="60" t="str">
        <f>IF(H1730="","",IFERROR(INDEX(art_unit,MATCH(H1730,art_ref,0))&amp;"",""))</f>
        <v/>
      </c>
      <c r="K1730" s="59" t="n"/>
      <c r="L1730" s="59" t="n"/>
      <c r="M1730" s="61" t="str">
        <f>IF(OR(B1730="",NOT(ISNUMBER(K1730)),NOT(ISNUMBER(L1730))),"",IF(OR(K1730&lt;=0,L1730&lt;=0),"",ROUND(L1730-K1730,6)))</f>
        <v/>
      </c>
      <c r="N1730" s="58" t="n"/>
      <c r="O1730" s="62" t="n"/>
      <c r="P1730" s="63" t="str">
        <f>IF(OR(B1730="",NOT(ISNUMBER(L1730))),"",IF(L1730&lt;=0,"",IFERROR(ROUND(L1730*N(INDEX(art_w,MATCH(H1730,art_ref,0))),3),"")))</f>
        <v/>
      </c>
      <c r="Q1730" s="59" t="n"/>
      <c r="R1730" s="54" t="n"/>
      <c r="S1730" s="59" t="n"/>
      <c r="T1730" s="59" t="n"/>
      <c r="U1730" s="64" t="str">
        <f>IF(OR(B1730="",H1730=""),"",IFERROR(IF(A1730="BL",IF(N(INDEX(art_price,MATCH(H1730,art_ref,0)))=0,"",N(INDEX(art_price,MATCH(H1730,art_ref,0)))),IF(N(INDEX(art_cost,MATCH(H1730,art_ref,0)))=0,"",N(INDEX(art_cost,MATCH(H1730,art_ref,0))))),""))</f>
        <v/>
      </c>
      <c r="V1730" s="64" t="str">
        <f>IF(OR(U1730="",NOT(ISNUMBER(L1730))),"",IF(L1730&lt;=0,"",ROUND(L1730*U1730,2)))</f>
        <v/>
      </c>
      <c r="W1730" s="60" t="str">
        <f>IF(AND(B1730&lt;&gt;"",A1730&lt;&gt;"BS",F1730&lt;&gt;"",H1730&lt;&gt;"",ISNUMBER(K1730),ISNUMBER(L1730)),IF(AND(K1730&gt;0,L1730&gt;0,K1730-L1730&gt;0,COUNTIFS(A1731:A$2005,A1730,F1731:F$2005,F1730,H1731:H$2005,H1730,AA1731:AA$2005,"&gt;0")=0),ROUND(K1730-L1730,6),""),"")</f>
        <v/>
      </c>
      <c r="X1730" s="60" t="str">
        <f>IF(AND(A1730="",C1730="",D1730="",H1730="",L1730=""),"",IF(A1730="","Type manquant",IF(AND(A1730&lt;&gt;"BL",A1730&lt;&gt;"BR",A1730&lt;&gt;"BS"),"Type inconnu (BL, BR ou BS)",IF(AG1730=0,"Date manquante ou invalide",IF(D1730="",IF(A1730="BL","Client manquant",IF(A1730="BR","Fournisseur manquant","Service manquant")),IF(IF(A1730="BL",ISNA(MATCH(D1730,cl_code,0)),IF(A1730="BR",ISNA(MATCH(D1730,fo_code,0)),ISNA(MATCH(D1730,p_services,0)))),IF(A1730="BL","Client inconnu",IF(A1730="BR","Fournisseur inconnu","Service inconnu")),IF(H1730="","Article manquant",IF(ISNA(MATCH(H1730,art_ref,0)),"Article inconnu",IF(OR(NOT(ISNUMBER(L1730)),N(L1730)&lt;=0),"Quantité invalide",IF(AND(K1730&lt;&gt;"",OR(NOT(ISNUMBER(K1730)),N(K1730)&lt;=0)),"Qté commandée invalide",IF(AG1730&lt;SUMPRODUCT(MAX((A$6:A1729=A1730)*AG$6:AG1729)),"Date antérieure au bon précédent",IF(AND(A1730&lt;&gt;"BR",ISNUMBER(M1730),N(M1730)&gt;0),IF(A1730="BL","Livré plus que commandé","Sorti plus que demandé"),"OK"))))))))))))</f>
        <v/>
      </c>
      <c r="Y1730" s="57" t="str">
        <f>IF(AND(OR(A1730="BL",A1730="BR",A1730="BS"),AG1730&gt;0,D1730&lt;&gt;""),A1730&amp;"|"&amp;AG1730&amp;"|"&amp;D1730&amp;"|"&amp;F1730,"")</f>
        <v/>
      </c>
      <c r="Z1730" s="57" t="str">
        <f>IF(Y1730="","",IF(COUNTIF(Y$6:Y1729,Y1730)=0,1,0))</f>
        <v/>
      </c>
      <c r="AA1730" s="57" t="str">
        <f>IF(Y1730="","",IF(Z1730=1,COUNTIFS(A$6:A1730,A1730,Z$6:Z1730,1),INDEX(AA$6:AA1729,MATCH(Y1730,Y$6:Y1729,0))))</f>
        <v/>
      </c>
      <c r="AB1730" s="57" t="str">
        <f>IF(B1730="","",COUNTIF(B$6:B1730,B1730))</f>
        <v/>
      </c>
      <c r="AC1730" s="57" t="str">
        <f>IF(B1730="","",B1730&amp;"#"&amp;AB1730)</f>
        <v/>
      </c>
      <c r="AD1730" s="57" t="str">
        <f>IF(Z1730=1,A1730&amp;AA1730,"")</f>
        <v/>
      </c>
      <c r="AE1730" s="57" t="str">
        <f>IF(B1730="","",YEAR(C1730))</f>
        <v/>
      </c>
      <c r="AF1730" s="57" t="str">
        <f>IF(B1730="","",MONTH(C1730))</f>
        <v/>
      </c>
      <c r="AG1730" s="57">
        <f>IF(ISNUMBER(C1730),C1730,0)</f>
        <v>0.0</v>
      </c>
      <c r="AH1730" s="57" t="str">
        <f>IF(N(W1730)&gt;0,COUNTIF(W$6:W1730,"&gt;0"),"")</f>
        <v/>
      </c>
      <c r="AI1730" s="57" t="str">
        <f>IF(Z1730=1,COUNTIF(Z$6:Z1730,1),"")</f>
        <v/>
      </c>
    </row>
    <row r="1731">
      <c r="A1731" s="54" t="n"/>
      <c r="B1731" s="55" t="str">
        <f>IF(AA1731="","",A1731&amp;"-"&amp;RIGHT("000"&amp;AA1731,4))</f>
        <v/>
      </c>
      <c r="C1731" s="56" t="n"/>
      <c r="D1731" s="54" t="n"/>
      <c r="E1731" s="57" t="str">
        <f>IF(D1731="","",IF(A1731="BL",IFERROR(INDEX(cl_name,MATCH(D1731,cl_code,0))&amp;"","Client inconnu"),IF(A1731="BR",IFERROR(INDEX(fo_name,MATCH(D1731,fo_code,0))&amp;"","Fournisseur inconnu"),IF(A1731="BS",IF(ISNA(MATCH(D1731,p_services,0)),"Service inconnu",D1731&amp;""),""))))</f>
        <v/>
      </c>
      <c r="F1731" s="58" t="n"/>
      <c r="G1731" s="58" t="n"/>
      <c r="H1731" s="59" t="n"/>
      <c r="I1731" s="57" t="str">
        <f>IF(H1731="","",IFERROR(INDEX(art_des,MATCH(H1731,art_ref,0))&amp;"","Article inconnu"))</f>
        <v/>
      </c>
      <c r="J1731" s="60" t="str">
        <f>IF(H1731="","",IFERROR(INDEX(art_unit,MATCH(H1731,art_ref,0))&amp;"",""))</f>
        <v/>
      </c>
      <c r="K1731" s="59" t="n"/>
      <c r="L1731" s="59" t="n"/>
      <c r="M1731" s="61" t="str">
        <f>IF(OR(B1731="",NOT(ISNUMBER(K1731)),NOT(ISNUMBER(L1731))),"",IF(OR(K1731&lt;=0,L1731&lt;=0),"",ROUND(L1731-K1731,6)))</f>
        <v/>
      </c>
      <c r="N1731" s="58" t="n"/>
      <c r="O1731" s="62" t="n"/>
      <c r="P1731" s="63" t="str">
        <f>IF(OR(B1731="",NOT(ISNUMBER(L1731))),"",IF(L1731&lt;=0,"",IFERROR(ROUND(L1731*N(INDEX(art_w,MATCH(H1731,art_ref,0))),3),"")))</f>
        <v/>
      </c>
      <c r="Q1731" s="59" t="n"/>
      <c r="R1731" s="54" t="n"/>
      <c r="S1731" s="59" t="n"/>
      <c r="T1731" s="59" t="n"/>
      <c r="U1731" s="64" t="str">
        <f>IF(OR(B1731="",H1731=""),"",IFERROR(IF(A1731="BL",IF(N(INDEX(art_price,MATCH(H1731,art_ref,0)))=0,"",N(INDEX(art_price,MATCH(H1731,art_ref,0)))),IF(N(INDEX(art_cost,MATCH(H1731,art_ref,0)))=0,"",N(INDEX(art_cost,MATCH(H1731,art_ref,0))))),""))</f>
        <v/>
      </c>
      <c r="V1731" s="64" t="str">
        <f>IF(OR(U1731="",NOT(ISNUMBER(L1731))),"",IF(L1731&lt;=0,"",ROUND(L1731*U1731,2)))</f>
        <v/>
      </c>
      <c r="W1731" s="60" t="str">
        <f>IF(AND(B1731&lt;&gt;"",A1731&lt;&gt;"BS",F1731&lt;&gt;"",H1731&lt;&gt;"",ISNUMBER(K1731),ISNUMBER(L1731)),IF(AND(K1731&gt;0,L1731&gt;0,K1731-L1731&gt;0,COUNTIFS(A1732:A$2005,A1731,F1732:F$2005,F1731,H1732:H$2005,H1731,AA1732:AA$2005,"&gt;0")=0),ROUND(K1731-L1731,6),""),"")</f>
        <v/>
      </c>
      <c r="X1731" s="60" t="str">
        <f>IF(AND(A1731="",C1731="",D1731="",H1731="",L1731=""),"",IF(A1731="","Type manquant",IF(AND(A1731&lt;&gt;"BL",A1731&lt;&gt;"BR",A1731&lt;&gt;"BS"),"Type inconnu (BL, BR ou BS)",IF(AG1731=0,"Date manquante ou invalide",IF(D1731="",IF(A1731="BL","Client manquant",IF(A1731="BR","Fournisseur manquant","Service manquant")),IF(IF(A1731="BL",ISNA(MATCH(D1731,cl_code,0)),IF(A1731="BR",ISNA(MATCH(D1731,fo_code,0)),ISNA(MATCH(D1731,p_services,0)))),IF(A1731="BL","Client inconnu",IF(A1731="BR","Fournisseur inconnu","Service inconnu")),IF(H1731="","Article manquant",IF(ISNA(MATCH(H1731,art_ref,0)),"Article inconnu",IF(OR(NOT(ISNUMBER(L1731)),N(L1731)&lt;=0),"Quantité invalide",IF(AND(K1731&lt;&gt;"",OR(NOT(ISNUMBER(K1731)),N(K1731)&lt;=0)),"Qté commandée invalide",IF(AG1731&lt;SUMPRODUCT(MAX((A$6:A1730=A1731)*AG$6:AG1730)),"Date antérieure au bon précédent",IF(AND(A1731&lt;&gt;"BR",ISNUMBER(M1731),N(M1731)&gt;0),IF(A1731="BL","Livré plus que commandé","Sorti plus que demandé"),"OK"))))))))))))</f>
        <v/>
      </c>
      <c r="Y1731" s="57" t="str">
        <f>IF(AND(OR(A1731="BL",A1731="BR",A1731="BS"),AG1731&gt;0,D1731&lt;&gt;""),A1731&amp;"|"&amp;AG1731&amp;"|"&amp;D1731&amp;"|"&amp;F1731,"")</f>
        <v/>
      </c>
      <c r="Z1731" s="57" t="str">
        <f>IF(Y1731="","",IF(COUNTIF(Y$6:Y1730,Y1731)=0,1,0))</f>
        <v/>
      </c>
      <c r="AA1731" s="57" t="str">
        <f>IF(Y1731="","",IF(Z1731=1,COUNTIFS(A$6:A1731,A1731,Z$6:Z1731,1),INDEX(AA$6:AA1730,MATCH(Y1731,Y$6:Y1730,0))))</f>
        <v/>
      </c>
      <c r="AB1731" s="57" t="str">
        <f>IF(B1731="","",COUNTIF(B$6:B1731,B1731))</f>
        <v/>
      </c>
      <c r="AC1731" s="57" t="str">
        <f>IF(B1731="","",B1731&amp;"#"&amp;AB1731)</f>
        <v/>
      </c>
      <c r="AD1731" s="57" t="str">
        <f>IF(Z1731=1,A1731&amp;AA1731,"")</f>
        <v/>
      </c>
      <c r="AE1731" s="57" t="str">
        <f>IF(B1731="","",YEAR(C1731))</f>
        <v/>
      </c>
      <c r="AF1731" s="57" t="str">
        <f>IF(B1731="","",MONTH(C1731))</f>
        <v/>
      </c>
      <c r="AG1731" s="57">
        <f>IF(ISNUMBER(C1731),C1731,0)</f>
        <v>0.0</v>
      </c>
      <c r="AH1731" s="57" t="str">
        <f>IF(N(W1731)&gt;0,COUNTIF(W$6:W1731,"&gt;0"),"")</f>
        <v/>
      </c>
      <c r="AI1731" s="57" t="str">
        <f>IF(Z1731=1,COUNTIF(Z$6:Z1731,1),"")</f>
        <v/>
      </c>
    </row>
    <row r="1732">
      <c r="A1732" s="54" t="n"/>
      <c r="B1732" s="55" t="str">
        <f>IF(AA1732="","",A1732&amp;"-"&amp;RIGHT("000"&amp;AA1732,4))</f>
        <v/>
      </c>
      <c r="C1732" s="56" t="n"/>
      <c r="D1732" s="54" t="n"/>
      <c r="E1732" s="57" t="str">
        <f>IF(D1732="","",IF(A1732="BL",IFERROR(INDEX(cl_name,MATCH(D1732,cl_code,0))&amp;"","Client inconnu"),IF(A1732="BR",IFERROR(INDEX(fo_name,MATCH(D1732,fo_code,0))&amp;"","Fournisseur inconnu"),IF(A1732="BS",IF(ISNA(MATCH(D1732,p_services,0)),"Service inconnu",D1732&amp;""),""))))</f>
        <v/>
      </c>
      <c r="F1732" s="58" t="n"/>
      <c r="G1732" s="58" t="n"/>
      <c r="H1732" s="59" t="n"/>
      <c r="I1732" s="57" t="str">
        <f>IF(H1732="","",IFERROR(INDEX(art_des,MATCH(H1732,art_ref,0))&amp;"","Article inconnu"))</f>
        <v/>
      </c>
      <c r="J1732" s="60" t="str">
        <f>IF(H1732="","",IFERROR(INDEX(art_unit,MATCH(H1732,art_ref,0))&amp;"",""))</f>
        <v/>
      </c>
      <c r="K1732" s="59" t="n"/>
      <c r="L1732" s="59" t="n"/>
      <c r="M1732" s="61" t="str">
        <f>IF(OR(B1732="",NOT(ISNUMBER(K1732)),NOT(ISNUMBER(L1732))),"",IF(OR(K1732&lt;=0,L1732&lt;=0),"",ROUND(L1732-K1732,6)))</f>
        <v/>
      </c>
      <c r="N1732" s="58" t="n"/>
      <c r="O1732" s="62" t="n"/>
      <c r="P1732" s="63" t="str">
        <f>IF(OR(B1732="",NOT(ISNUMBER(L1732))),"",IF(L1732&lt;=0,"",IFERROR(ROUND(L1732*N(INDEX(art_w,MATCH(H1732,art_ref,0))),3),"")))</f>
        <v/>
      </c>
      <c r="Q1732" s="59" t="n"/>
      <c r="R1732" s="54" t="n"/>
      <c r="S1732" s="59" t="n"/>
      <c r="T1732" s="59" t="n"/>
      <c r="U1732" s="64" t="str">
        <f>IF(OR(B1732="",H1732=""),"",IFERROR(IF(A1732="BL",IF(N(INDEX(art_price,MATCH(H1732,art_ref,0)))=0,"",N(INDEX(art_price,MATCH(H1732,art_ref,0)))),IF(N(INDEX(art_cost,MATCH(H1732,art_ref,0)))=0,"",N(INDEX(art_cost,MATCH(H1732,art_ref,0))))),""))</f>
        <v/>
      </c>
      <c r="V1732" s="64" t="str">
        <f>IF(OR(U1732="",NOT(ISNUMBER(L1732))),"",IF(L1732&lt;=0,"",ROUND(L1732*U1732,2)))</f>
        <v/>
      </c>
      <c r="W1732" s="60" t="str">
        <f>IF(AND(B1732&lt;&gt;"",A1732&lt;&gt;"BS",F1732&lt;&gt;"",H1732&lt;&gt;"",ISNUMBER(K1732),ISNUMBER(L1732)),IF(AND(K1732&gt;0,L1732&gt;0,K1732-L1732&gt;0,COUNTIFS(A1733:A$2005,A1732,F1733:F$2005,F1732,H1733:H$2005,H1732,AA1733:AA$2005,"&gt;0")=0),ROUND(K1732-L1732,6),""),"")</f>
        <v/>
      </c>
      <c r="X1732" s="60" t="str">
        <f>IF(AND(A1732="",C1732="",D1732="",H1732="",L1732=""),"",IF(A1732="","Type manquant",IF(AND(A1732&lt;&gt;"BL",A1732&lt;&gt;"BR",A1732&lt;&gt;"BS"),"Type inconnu (BL, BR ou BS)",IF(AG1732=0,"Date manquante ou invalide",IF(D1732="",IF(A1732="BL","Client manquant",IF(A1732="BR","Fournisseur manquant","Service manquant")),IF(IF(A1732="BL",ISNA(MATCH(D1732,cl_code,0)),IF(A1732="BR",ISNA(MATCH(D1732,fo_code,0)),ISNA(MATCH(D1732,p_services,0)))),IF(A1732="BL","Client inconnu",IF(A1732="BR","Fournisseur inconnu","Service inconnu")),IF(H1732="","Article manquant",IF(ISNA(MATCH(H1732,art_ref,0)),"Article inconnu",IF(OR(NOT(ISNUMBER(L1732)),N(L1732)&lt;=0),"Quantité invalide",IF(AND(K1732&lt;&gt;"",OR(NOT(ISNUMBER(K1732)),N(K1732)&lt;=0)),"Qté commandée invalide",IF(AG1732&lt;SUMPRODUCT(MAX((A$6:A1731=A1732)*AG$6:AG1731)),"Date antérieure au bon précédent",IF(AND(A1732&lt;&gt;"BR",ISNUMBER(M1732),N(M1732)&gt;0),IF(A1732="BL","Livré plus que commandé","Sorti plus que demandé"),"OK"))))))))))))</f>
        <v/>
      </c>
      <c r="Y1732" s="57" t="str">
        <f>IF(AND(OR(A1732="BL",A1732="BR",A1732="BS"),AG1732&gt;0,D1732&lt;&gt;""),A1732&amp;"|"&amp;AG1732&amp;"|"&amp;D1732&amp;"|"&amp;F1732,"")</f>
        <v/>
      </c>
      <c r="Z1732" s="57" t="str">
        <f>IF(Y1732="","",IF(COUNTIF(Y$6:Y1731,Y1732)=0,1,0))</f>
        <v/>
      </c>
      <c r="AA1732" s="57" t="str">
        <f>IF(Y1732="","",IF(Z1732=1,COUNTIFS(A$6:A1732,A1732,Z$6:Z1732,1),INDEX(AA$6:AA1731,MATCH(Y1732,Y$6:Y1731,0))))</f>
        <v/>
      </c>
      <c r="AB1732" s="57" t="str">
        <f>IF(B1732="","",COUNTIF(B$6:B1732,B1732))</f>
        <v/>
      </c>
      <c r="AC1732" s="57" t="str">
        <f>IF(B1732="","",B1732&amp;"#"&amp;AB1732)</f>
        <v/>
      </c>
      <c r="AD1732" s="57" t="str">
        <f>IF(Z1732=1,A1732&amp;AA1732,"")</f>
        <v/>
      </c>
      <c r="AE1732" s="57" t="str">
        <f>IF(B1732="","",YEAR(C1732))</f>
        <v/>
      </c>
      <c r="AF1732" s="57" t="str">
        <f>IF(B1732="","",MONTH(C1732))</f>
        <v/>
      </c>
      <c r="AG1732" s="57">
        <f>IF(ISNUMBER(C1732),C1732,0)</f>
        <v>0.0</v>
      </c>
      <c r="AH1732" s="57" t="str">
        <f>IF(N(W1732)&gt;0,COUNTIF(W$6:W1732,"&gt;0"),"")</f>
        <v/>
      </c>
      <c r="AI1732" s="57" t="str">
        <f>IF(Z1732=1,COUNTIF(Z$6:Z1732,1),"")</f>
        <v/>
      </c>
    </row>
    <row r="1733">
      <c r="A1733" s="54" t="n"/>
      <c r="B1733" s="55" t="str">
        <f>IF(AA1733="","",A1733&amp;"-"&amp;RIGHT("000"&amp;AA1733,4))</f>
        <v/>
      </c>
      <c r="C1733" s="56" t="n"/>
      <c r="D1733" s="54" t="n"/>
      <c r="E1733" s="57" t="str">
        <f>IF(D1733="","",IF(A1733="BL",IFERROR(INDEX(cl_name,MATCH(D1733,cl_code,0))&amp;"","Client inconnu"),IF(A1733="BR",IFERROR(INDEX(fo_name,MATCH(D1733,fo_code,0))&amp;"","Fournisseur inconnu"),IF(A1733="BS",IF(ISNA(MATCH(D1733,p_services,0)),"Service inconnu",D1733&amp;""),""))))</f>
        <v/>
      </c>
      <c r="F1733" s="58" t="n"/>
      <c r="G1733" s="58" t="n"/>
      <c r="H1733" s="59" t="n"/>
      <c r="I1733" s="57" t="str">
        <f>IF(H1733="","",IFERROR(INDEX(art_des,MATCH(H1733,art_ref,0))&amp;"","Article inconnu"))</f>
        <v/>
      </c>
      <c r="J1733" s="60" t="str">
        <f>IF(H1733="","",IFERROR(INDEX(art_unit,MATCH(H1733,art_ref,0))&amp;"",""))</f>
        <v/>
      </c>
      <c r="K1733" s="59" t="n"/>
      <c r="L1733" s="59" t="n"/>
      <c r="M1733" s="61" t="str">
        <f>IF(OR(B1733="",NOT(ISNUMBER(K1733)),NOT(ISNUMBER(L1733))),"",IF(OR(K1733&lt;=0,L1733&lt;=0),"",ROUND(L1733-K1733,6)))</f>
        <v/>
      </c>
      <c r="N1733" s="58" t="n"/>
      <c r="O1733" s="62" t="n"/>
      <c r="P1733" s="63" t="str">
        <f>IF(OR(B1733="",NOT(ISNUMBER(L1733))),"",IF(L1733&lt;=0,"",IFERROR(ROUND(L1733*N(INDEX(art_w,MATCH(H1733,art_ref,0))),3),"")))</f>
        <v/>
      </c>
      <c r="Q1733" s="59" t="n"/>
      <c r="R1733" s="54" t="n"/>
      <c r="S1733" s="59" t="n"/>
      <c r="T1733" s="59" t="n"/>
      <c r="U1733" s="64" t="str">
        <f>IF(OR(B1733="",H1733=""),"",IFERROR(IF(A1733="BL",IF(N(INDEX(art_price,MATCH(H1733,art_ref,0)))=0,"",N(INDEX(art_price,MATCH(H1733,art_ref,0)))),IF(N(INDEX(art_cost,MATCH(H1733,art_ref,0)))=0,"",N(INDEX(art_cost,MATCH(H1733,art_ref,0))))),""))</f>
        <v/>
      </c>
      <c r="V1733" s="64" t="str">
        <f>IF(OR(U1733="",NOT(ISNUMBER(L1733))),"",IF(L1733&lt;=0,"",ROUND(L1733*U1733,2)))</f>
        <v/>
      </c>
      <c r="W1733" s="60" t="str">
        <f>IF(AND(B1733&lt;&gt;"",A1733&lt;&gt;"BS",F1733&lt;&gt;"",H1733&lt;&gt;"",ISNUMBER(K1733),ISNUMBER(L1733)),IF(AND(K1733&gt;0,L1733&gt;0,K1733-L1733&gt;0,COUNTIFS(A1734:A$2005,A1733,F1734:F$2005,F1733,H1734:H$2005,H1733,AA1734:AA$2005,"&gt;0")=0),ROUND(K1733-L1733,6),""),"")</f>
        <v/>
      </c>
      <c r="X1733" s="60" t="str">
        <f>IF(AND(A1733="",C1733="",D1733="",H1733="",L1733=""),"",IF(A1733="","Type manquant",IF(AND(A1733&lt;&gt;"BL",A1733&lt;&gt;"BR",A1733&lt;&gt;"BS"),"Type inconnu (BL, BR ou BS)",IF(AG1733=0,"Date manquante ou invalide",IF(D1733="",IF(A1733="BL","Client manquant",IF(A1733="BR","Fournisseur manquant","Service manquant")),IF(IF(A1733="BL",ISNA(MATCH(D1733,cl_code,0)),IF(A1733="BR",ISNA(MATCH(D1733,fo_code,0)),ISNA(MATCH(D1733,p_services,0)))),IF(A1733="BL","Client inconnu",IF(A1733="BR","Fournisseur inconnu","Service inconnu")),IF(H1733="","Article manquant",IF(ISNA(MATCH(H1733,art_ref,0)),"Article inconnu",IF(OR(NOT(ISNUMBER(L1733)),N(L1733)&lt;=0),"Quantité invalide",IF(AND(K1733&lt;&gt;"",OR(NOT(ISNUMBER(K1733)),N(K1733)&lt;=0)),"Qté commandée invalide",IF(AG1733&lt;SUMPRODUCT(MAX((A$6:A1732=A1733)*AG$6:AG1732)),"Date antérieure au bon précédent",IF(AND(A1733&lt;&gt;"BR",ISNUMBER(M1733),N(M1733)&gt;0),IF(A1733="BL","Livré plus que commandé","Sorti plus que demandé"),"OK"))))))))))))</f>
        <v/>
      </c>
      <c r="Y1733" s="57" t="str">
        <f>IF(AND(OR(A1733="BL",A1733="BR",A1733="BS"),AG1733&gt;0,D1733&lt;&gt;""),A1733&amp;"|"&amp;AG1733&amp;"|"&amp;D1733&amp;"|"&amp;F1733,"")</f>
        <v/>
      </c>
      <c r="Z1733" s="57" t="str">
        <f>IF(Y1733="","",IF(COUNTIF(Y$6:Y1732,Y1733)=0,1,0))</f>
        <v/>
      </c>
      <c r="AA1733" s="57" t="str">
        <f>IF(Y1733="","",IF(Z1733=1,COUNTIFS(A$6:A1733,A1733,Z$6:Z1733,1),INDEX(AA$6:AA1732,MATCH(Y1733,Y$6:Y1732,0))))</f>
        <v/>
      </c>
      <c r="AB1733" s="57" t="str">
        <f>IF(B1733="","",COUNTIF(B$6:B1733,B1733))</f>
        <v/>
      </c>
      <c r="AC1733" s="57" t="str">
        <f>IF(B1733="","",B1733&amp;"#"&amp;AB1733)</f>
        <v/>
      </c>
      <c r="AD1733" s="57" t="str">
        <f>IF(Z1733=1,A1733&amp;AA1733,"")</f>
        <v/>
      </c>
      <c r="AE1733" s="57" t="str">
        <f>IF(B1733="","",YEAR(C1733))</f>
        <v/>
      </c>
      <c r="AF1733" s="57" t="str">
        <f>IF(B1733="","",MONTH(C1733))</f>
        <v/>
      </c>
      <c r="AG1733" s="57">
        <f>IF(ISNUMBER(C1733),C1733,0)</f>
        <v>0.0</v>
      </c>
      <c r="AH1733" s="57" t="str">
        <f>IF(N(W1733)&gt;0,COUNTIF(W$6:W1733,"&gt;0"),"")</f>
        <v/>
      </c>
      <c r="AI1733" s="57" t="str">
        <f>IF(Z1733=1,COUNTIF(Z$6:Z1733,1),"")</f>
        <v/>
      </c>
    </row>
    <row r="1734">
      <c r="A1734" s="54" t="n"/>
      <c r="B1734" s="55" t="str">
        <f>IF(AA1734="","",A1734&amp;"-"&amp;RIGHT("000"&amp;AA1734,4))</f>
        <v/>
      </c>
      <c r="C1734" s="56" t="n"/>
      <c r="D1734" s="54" t="n"/>
      <c r="E1734" s="57" t="str">
        <f>IF(D1734="","",IF(A1734="BL",IFERROR(INDEX(cl_name,MATCH(D1734,cl_code,0))&amp;"","Client inconnu"),IF(A1734="BR",IFERROR(INDEX(fo_name,MATCH(D1734,fo_code,0))&amp;"","Fournisseur inconnu"),IF(A1734="BS",IF(ISNA(MATCH(D1734,p_services,0)),"Service inconnu",D1734&amp;""),""))))</f>
        <v/>
      </c>
      <c r="F1734" s="58" t="n"/>
      <c r="G1734" s="58" t="n"/>
      <c r="H1734" s="59" t="n"/>
      <c r="I1734" s="57" t="str">
        <f>IF(H1734="","",IFERROR(INDEX(art_des,MATCH(H1734,art_ref,0))&amp;"","Article inconnu"))</f>
        <v/>
      </c>
      <c r="J1734" s="60" t="str">
        <f>IF(H1734="","",IFERROR(INDEX(art_unit,MATCH(H1734,art_ref,0))&amp;"",""))</f>
        <v/>
      </c>
      <c r="K1734" s="59" t="n"/>
      <c r="L1734" s="59" t="n"/>
      <c r="M1734" s="61" t="str">
        <f>IF(OR(B1734="",NOT(ISNUMBER(K1734)),NOT(ISNUMBER(L1734))),"",IF(OR(K1734&lt;=0,L1734&lt;=0),"",ROUND(L1734-K1734,6)))</f>
        <v/>
      </c>
      <c r="N1734" s="58" t="n"/>
      <c r="O1734" s="62" t="n"/>
      <c r="P1734" s="63" t="str">
        <f>IF(OR(B1734="",NOT(ISNUMBER(L1734))),"",IF(L1734&lt;=0,"",IFERROR(ROUND(L1734*N(INDEX(art_w,MATCH(H1734,art_ref,0))),3),"")))</f>
        <v/>
      </c>
      <c r="Q1734" s="59" t="n"/>
      <c r="R1734" s="54" t="n"/>
      <c r="S1734" s="59" t="n"/>
      <c r="T1734" s="59" t="n"/>
      <c r="U1734" s="64" t="str">
        <f>IF(OR(B1734="",H1734=""),"",IFERROR(IF(A1734="BL",IF(N(INDEX(art_price,MATCH(H1734,art_ref,0)))=0,"",N(INDEX(art_price,MATCH(H1734,art_ref,0)))),IF(N(INDEX(art_cost,MATCH(H1734,art_ref,0)))=0,"",N(INDEX(art_cost,MATCH(H1734,art_ref,0))))),""))</f>
        <v/>
      </c>
      <c r="V1734" s="64" t="str">
        <f>IF(OR(U1734="",NOT(ISNUMBER(L1734))),"",IF(L1734&lt;=0,"",ROUND(L1734*U1734,2)))</f>
        <v/>
      </c>
      <c r="W1734" s="60" t="str">
        <f>IF(AND(B1734&lt;&gt;"",A1734&lt;&gt;"BS",F1734&lt;&gt;"",H1734&lt;&gt;"",ISNUMBER(K1734),ISNUMBER(L1734)),IF(AND(K1734&gt;0,L1734&gt;0,K1734-L1734&gt;0,COUNTIFS(A1735:A$2005,A1734,F1735:F$2005,F1734,H1735:H$2005,H1734,AA1735:AA$2005,"&gt;0")=0),ROUND(K1734-L1734,6),""),"")</f>
        <v/>
      </c>
      <c r="X1734" s="60" t="str">
        <f>IF(AND(A1734="",C1734="",D1734="",H1734="",L1734=""),"",IF(A1734="","Type manquant",IF(AND(A1734&lt;&gt;"BL",A1734&lt;&gt;"BR",A1734&lt;&gt;"BS"),"Type inconnu (BL, BR ou BS)",IF(AG1734=0,"Date manquante ou invalide",IF(D1734="",IF(A1734="BL","Client manquant",IF(A1734="BR","Fournisseur manquant","Service manquant")),IF(IF(A1734="BL",ISNA(MATCH(D1734,cl_code,0)),IF(A1734="BR",ISNA(MATCH(D1734,fo_code,0)),ISNA(MATCH(D1734,p_services,0)))),IF(A1734="BL","Client inconnu",IF(A1734="BR","Fournisseur inconnu","Service inconnu")),IF(H1734="","Article manquant",IF(ISNA(MATCH(H1734,art_ref,0)),"Article inconnu",IF(OR(NOT(ISNUMBER(L1734)),N(L1734)&lt;=0),"Quantité invalide",IF(AND(K1734&lt;&gt;"",OR(NOT(ISNUMBER(K1734)),N(K1734)&lt;=0)),"Qté commandée invalide",IF(AG1734&lt;SUMPRODUCT(MAX((A$6:A1733=A1734)*AG$6:AG1733)),"Date antérieure au bon précédent",IF(AND(A1734&lt;&gt;"BR",ISNUMBER(M1734),N(M1734)&gt;0),IF(A1734="BL","Livré plus que commandé","Sorti plus que demandé"),"OK"))))))))))))</f>
        <v/>
      </c>
      <c r="Y1734" s="57" t="str">
        <f>IF(AND(OR(A1734="BL",A1734="BR",A1734="BS"),AG1734&gt;0,D1734&lt;&gt;""),A1734&amp;"|"&amp;AG1734&amp;"|"&amp;D1734&amp;"|"&amp;F1734,"")</f>
        <v/>
      </c>
      <c r="Z1734" s="57" t="str">
        <f>IF(Y1734="","",IF(COUNTIF(Y$6:Y1733,Y1734)=0,1,0))</f>
        <v/>
      </c>
      <c r="AA1734" s="57" t="str">
        <f>IF(Y1734="","",IF(Z1734=1,COUNTIFS(A$6:A1734,A1734,Z$6:Z1734,1),INDEX(AA$6:AA1733,MATCH(Y1734,Y$6:Y1733,0))))</f>
        <v/>
      </c>
      <c r="AB1734" s="57" t="str">
        <f>IF(B1734="","",COUNTIF(B$6:B1734,B1734))</f>
        <v/>
      </c>
      <c r="AC1734" s="57" t="str">
        <f>IF(B1734="","",B1734&amp;"#"&amp;AB1734)</f>
        <v/>
      </c>
      <c r="AD1734" s="57" t="str">
        <f>IF(Z1734=1,A1734&amp;AA1734,"")</f>
        <v/>
      </c>
      <c r="AE1734" s="57" t="str">
        <f>IF(B1734="","",YEAR(C1734))</f>
        <v/>
      </c>
      <c r="AF1734" s="57" t="str">
        <f>IF(B1734="","",MONTH(C1734))</f>
        <v/>
      </c>
      <c r="AG1734" s="57">
        <f>IF(ISNUMBER(C1734),C1734,0)</f>
        <v>0.0</v>
      </c>
      <c r="AH1734" s="57" t="str">
        <f>IF(N(W1734)&gt;0,COUNTIF(W$6:W1734,"&gt;0"),"")</f>
        <v/>
      </c>
      <c r="AI1734" s="57" t="str">
        <f>IF(Z1734=1,COUNTIF(Z$6:Z1734,1),"")</f>
        <v/>
      </c>
    </row>
    <row r="1735">
      <c r="A1735" s="54" t="n"/>
      <c r="B1735" s="55" t="str">
        <f>IF(AA1735="","",A1735&amp;"-"&amp;RIGHT("000"&amp;AA1735,4))</f>
        <v/>
      </c>
      <c r="C1735" s="56" t="n"/>
      <c r="D1735" s="54" t="n"/>
      <c r="E1735" s="57" t="str">
        <f>IF(D1735="","",IF(A1735="BL",IFERROR(INDEX(cl_name,MATCH(D1735,cl_code,0))&amp;"","Client inconnu"),IF(A1735="BR",IFERROR(INDEX(fo_name,MATCH(D1735,fo_code,0))&amp;"","Fournisseur inconnu"),IF(A1735="BS",IF(ISNA(MATCH(D1735,p_services,0)),"Service inconnu",D1735&amp;""),""))))</f>
        <v/>
      </c>
      <c r="F1735" s="58" t="n"/>
      <c r="G1735" s="58" t="n"/>
      <c r="H1735" s="59" t="n"/>
      <c r="I1735" s="57" t="str">
        <f>IF(H1735="","",IFERROR(INDEX(art_des,MATCH(H1735,art_ref,0))&amp;"","Article inconnu"))</f>
        <v/>
      </c>
      <c r="J1735" s="60" t="str">
        <f>IF(H1735="","",IFERROR(INDEX(art_unit,MATCH(H1735,art_ref,0))&amp;"",""))</f>
        <v/>
      </c>
      <c r="K1735" s="59" t="n"/>
      <c r="L1735" s="59" t="n"/>
      <c r="M1735" s="61" t="str">
        <f>IF(OR(B1735="",NOT(ISNUMBER(K1735)),NOT(ISNUMBER(L1735))),"",IF(OR(K1735&lt;=0,L1735&lt;=0),"",ROUND(L1735-K1735,6)))</f>
        <v/>
      </c>
      <c r="N1735" s="58" t="n"/>
      <c r="O1735" s="62" t="n"/>
      <c r="P1735" s="63" t="str">
        <f>IF(OR(B1735="",NOT(ISNUMBER(L1735))),"",IF(L1735&lt;=0,"",IFERROR(ROUND(L1735*N(INDEX(art_w,MATCH(H1735,art_ref,0))),3),"")))</f>
        <v/>
      </c>
      <c r="Q1735" s="59" t="n"/>
      <c r="R1735" s="54" t="n"/>
      <c r="S1735" s="59" t="n"/>
      <c r="T1735" s="59" t="n"/>
      <c r="U1735" s="64" t="str">
        <f>IF(OR(B1735="",H1735=""),"",IFERROR(IF(A1735="BL",IF(N(INDEX(art_price,MATCH(H1735,art_ref,0)))=0,"",N(INDEX(art_price,MATCH(H1735,art_ref,0)))),IF(N(INDEX(art_cost,MATCH(H1735,art_ref,0)))=0,"",N(INDEX(art_cost,MATCH(H1735,art_ref,0))))),""))</f>
        <v/>
      </c>
      <c r="V1735" s="64" t="str">
        <f>IF(OR(U1735="",NOT(ISNUMBER(L1735))),"",IF(L1735&lt;=0,"",ROUND(L1735*U1735,2)))</f>
        <v/>
      </c>
      <c r="W1735" s="60" t="str">
        <f>IF(AND(B1735&lt;&gt;"",A1735&lt;&gt;"BS",F1735&lt;&gt;"",H1735&lt;&gt;"",ISNUMBER(K1735),ISNUMBER(L1735)),IF(AND(K1735&gt;0,L1735&gt;0,K1735-L1735&gt;0,COUNTIFS(A1736:A$2005,A1735,F1736:F$2005,F1735,H1736:H$2005,H1735,AA1736:AA$2005,"&gt;0")=0),ROUND(K1735-L1735,6),""),"")</f>
        <v/>
      </c>
      <c r="X1735" s="60" t="str">
        <f>IF(AND(A1735="",C1735="",D1735="",H1735="",L1735=""),"",IF(A1735="","Type manquant",IF(AND(A1735&lt;&gt;"BL",A1735&lt;&gt;"BR",A1735&lt;&gt;"BS"),"Type inconnu (BL, BR ou BS)",IF(AG1735=0,"Date manquante ou invalide",IF(D1735="",IF(A1735="BL","Client manquant",IF(A1735="BR","Fournisseur manquant","Service manquant")),IF(IF(A1735="BL",ISNA(MATCH(D1735,cl_code,0)),IF(A1735="BR",ISNA(MATCH(D1735,fo_code,0)),ISNA(MATCH(D1735,p_services,0)))),IF(A1735="BL","Client inconnu",IF(A1735="BR","Fournisseur inconnu","Service inconnu")),IF(H1735="","Article manquant",IF(ISNA(MATCH(H1735,art_ref,0)),"Article inconnu",IF(OR(NOT(ISNUMBER(L1735)),N(L1735)&lt;=0),"Quantité invalide",IF(AND(K1735&lt;&gt;"",OR(NOT(ISNUMBER(K1735)),N(K1735)&lt;=0)),"Qté commandée invalide",IF(AG1735&lt;SUMPRODUCT(MAX((A$6:A1734=A1735)*AG$6:AG1734)),"Date antérieure au bon précédent",IF(AND(A1735&lt;&gt;"BR",ISNUMBER(M1735),N(M1735)&gt;0),IF(A1735="BL","Livré plus que commandé","Sorti plus que demandé"),"OK"))))))))))))</f>
        <v/>
      </c>
      <c r="Y1735" s="57" t="str">
        <f>IF(AND(OR(A1735="BL",A1735="BR",A1735="BS"),AG1735&gt;0,D1735&lt;&gt;""),A1735&amp;"|"&amp;AG1735&amp;"|"&amp;D1735&amp;"|"&amp;F1735,"")</f>
        <v/>
      </c>
      <c r="Z1735" s="57" t="str">
        <f>IF(Y1735="","",IF(COUNTIF(Y$6:Y1734,Y1735)=0,1,0))</f>
        <v/>
      </c>
      <c r="AA1735" s="57" t="str">
        <f>IF(Y1735="","",IF(Z1735=1,COUNTIFS(A$6:A1735,A1735,Z$6:Z1735,1),INDEX(AA$6:AA1734,MATCH(Y1735,Y$6:Y1734,0))))</f>
        <v/>
      </c>
      <c r="AB1735" s="57" t="str">
        <f>IF(B1735="","",COUNTIF(B$6:B1735,B1735))</f>
        <v/>
      </c>
      <c r="AC1735" s="57" t="str">
        <f>IF(B1735="","",B1735&amp;"#"&amp;AB1735)</f>
        <v/>
      </c>
      <c r="AD1735" s="57" t="str">
        <f>IF(Z1735=1,A1735&amp;AA1735,"")</f>
        <v/>
      </c>
      <c r="AE1735" s="57" t="str">
        <f>IF(B1735="","",YEAR(C1735))</f>
        <v/>
      </c>
      <c r="AF1735" s="57" t="str">
        <f>IF(B1735="","",MONTH(C1735))</f>
        <v/>
      </c>
      <c r="AG1735" s="57">
        <f>IF(ISNUMBER(C1735),C1735,0)</f>
        <v>0.0</v>
      </c>
      <c r="AH1735" s="57" t="str">
        <f>IF(N(W1735)&gt;0,COUNTIF(W$6:W1735,"&gt;0"),"")</f>
        <v/>
      </c>
      <c r="AI1735" s="57" t="str">
        <f>IF(Z1735=1,COUNTIF(Z$6:Z1735,1),"")</f>
        <v/>
      </c>
    </row>
    <row r="1736">
      <c r="A1736" s="54" t="n"/>
      <c r="B1736" s="55" t="str">
        <f>IF(AA1736="","",A1736&amp;"-"&amp;RIGHT("000"&amp;AA1736,4))</f>
        <v/>
      </c>
      <c r="C1736" s="56" t="n"/>
      <c r="D1736" s="54" t="n"/>
      <c r="E1736" s="57" t="str">
        <f>IF(D1736="","",IF(A1736="BL",IFERROR(INDEX(cl_name,MATCH(D1736,cl_code,0))&amp;"","Client inconnu"),IF(A1736="BR",IFERROR(INDEX(fo_name,MATCH(D1736,fo_code,0))&amp;"","Fournisseur inconnu"),IF(A1736="BS",IF(ISNA(MATCH(D1736,p_services,0)),"Service inconnu",D1736&amp;""),""))))</f>
        <v/>
      </c>
      <c r="F1736" s="58" t="n"/>
      <c r="G1736" s="58" t="n"/>
      <c r="H1736" s="59" t="n"/>
      <c r="I1736" s="57" t="str">
        <f>IF(H1736="","",IFERROR(INDEX(art_des,MATCH(H1736,art_ref,0))&amp;"","Article inconnu"))</f>
        <v/>
      </c>
      <c r="J1736" s="60" t="str">
        <f>IF(H1736="","",IFERROR(INDEX(art_unit,MATCH(H1736,art_ref,0))&amp;"",""))</f>
        <v/>
      </c>
      <c r="K1736" s="59" t="n"/>
      <c r="L1736" s="59" t="n"/>
      <c r="M1736" s="61" t="str">
        <f>IF(OR(B1736="",NOT(ISNUMBER(K1736)),NOT(ISNUMBER(L1736))),"",IF(OR(K1736&lt;=0,L1736&lt;=0),"",ROUND(L1736-K1736,6)))</f>
        <v/>
      </c>
      <c r="N1736" s="58" t="n"/>
      <c r="O1736" s="62" t="n"/>
      <c r="P1736" s="63" t="str">
        <f>IF(OR(B1736="",NOT(ISNUMBER(L1736))),"",IF(L1736&lt;=0,"",IFERROR(ROUND(L1736*N(INDEX(art_w,MATCH(H1736,art_ref,0))),3),"")))</f>
        <v/>
      </c>
      <c r="Q1736" s="59" t="n"/>
      <c r="R1736" s="54" t="n"/>
      <c r="S1736" s="59" t="n"/>
      <c r="T1736" s="59" t="n"/>
      <c r="U1736" s="64" t="str">
        <f>IF(OR(B1736="",H1736=""),"",IFERROR(IF(A1736="BL",IF(N(INDEX(art_price,MATCH(H1736,art_ref,0)))=0,"",N(INDEX(art_price,MATCH(H1736,art_ref,0)))),IF(N(INDEX(art_cost,MATCH(H1736,art_ref,0)))=0,"",N(INDEX(art_cost,MATCH(H1736,art_ref,0))))),""))</f>
        <v/>
      </c>
      <c r="V1736" s="64" t="str">
        <f>IF(OR(U1736="",NOT(ISNUMBER(L1736))),"",IF(L1736&lt;=0,"",ROUND(L1736*U1736,2)))</f>
        <v/>
      </c>
      <c r="W1736" s="60" t="str">
        <f>IF(AND(B1736&lt;&gt;"",A1736&lt;&gt;"BS",F1736&lt;&gt;"",H1736&lt;&gt;"",ISNUMBER(K1736),ISNUMBER(L1736)),IF(AND(K1736&gt;0,L1736&gt;0,K1736-L1736&gt;0,COUNTIFS(A1737:A$2005,A1736,F1737:F$2005,F1736,H1737:H$2005,H1736,AA1737:AA$2005,"&gt;0")=0),ROUND(K1736-L1736,6),""),"")</f>
        <v/>
      </c>
      <c r="X1736" s="60" t="str">
        <f>IF(AND(A1736="",C1736="",D1736="",H1736="",L1736=""),"",IF(A1736="","Type manquant",IF(AND(A1736&lt;&gt;"BL",A1736&lt;&gt;"BR",A1736&lt;&gt;"BS"),"Type inconnu (BL, BR ou BS)",IF(AG1736=0,"Date manquante ou invalide",IF(D1736="",IF(A1736="BL","Client manquant",IF(A1736="BR","Fournisseur manquant","Service manquant")),IF(IF(A1736="BL",ISNA(MATCH(D1736,cl_code,0)),IF(A1736="BR",ISNA(MATCH(D1736,fo_code,0)),ISNA(MATCH(D1736,p_services,0)))),IF(A1736="BL","Client inconnu",IF(A1736="BR","Fournisseur inconnu","Service inconnu")),IF(H1736="","Article manquant",IF(ISNA(MATCH(H1736,art_ref,0)),"Article inconnu",IF(OR(NOT(ISNUMBER(L1736)),N(L1736)&lt;=0),"Quantité invalide",IF(AND(K1736&lt;&gt;"",OR(NOT(ISNUMBER(K1736)),N(K1736)&lt;=0)),"Qté commandée invalide",IF(AG1736&lt;SUMPRODUCT(MAX((A$6:A1735=A1736)*AG$6:AG1735)),"Date antérieure au bon précédent",IF(AND(A1736&lt;&gt;"BR",ISNUMBER(M1736),N(M1736)&gt;0),IF(A1736="BL","Livré plus que commandé","Sorti plus que demandé"),"OK"))))))))))))</f>
        <v/>
      </c>
      <c r="Y1736" s="57" t="str">
        <f>IF(AND(OR(A1736="BL",A1736="BR",A1736="BS"),AG1736&gt;0,D1736&lt;&gt;""),A1736&amp;"|"&amp;AG1736&amp;"|"&amp;D1736&amp;"|"&amp;F1736,"")</f>
        <v/>
      </c>
      <c r="Z1736" s="57" t="str">
        <f>IF(Y1736="","",IF(COUNTIF(Y$6:Y1735,Y1736)=0,1,0))</f>
        <v/>
      </c>
      <c r="AA1736" s="57" t="str">
        <f>IF(Y1736="","",IF(Z1736=1,COUNTIFS(A$6:A1736,A1736,Z$6:Z1736,1),INDEX(AA$6:AA1735,MATCH(Y1736,Y$6:Y1735,0))))</f>
        <v/>
      </c>
      <c r="AB1736" s="57" t="str">
        <f>IF(B1736="","",COUNTIF(B$6:B1736,B1736))</f>
        <v/>
      </c>
      <c r="AC1736" s="57" t="str">
        <f>IF(B1736="","",B1736&amp;"#"&amp;AB1736)</f>
        <v/>
      </c>
      <c r="AD1736" s="57" t="str">
        <f>IF(Z1736=1,A1736&amp;AA1736,"")</f>
        <v/>
      </c>
      <c r="AE1736" s="57" t="str">
        <f>IF(B1736="","",YEAR(C1736))</f>
        <v/>
      </c>
      <c r="AF1736" s="57" t="str">
        <f>IF(B1736="","",MONTH(C1736))</f>
        <v/>
      </c>
      <c r="AG1736" s="57">
        <f>IF(ISNUMBER(C1736),C1736,0)</f>
        <v>0.0</v>
      </c>
      <c r="AH1736" s="57" t="str">
        <f>IF(N(W1736)&gt;0,COUNTIF(W$6:W1736,"&gt;0"),"")</f>
        <v/>
      </c>
      <c r="AI1736" s="57" t="str">
        <f>IF(Z1736=1,COUNTIF(Z$6:Z1736,1),"")</f>
        <v/>
      </c>
    </row>
    <row r="1737">
      <c r="A1737" s="54" t="n"/>
      <c r="B1737" s="55" t="str">
        <f>IF(AA1737="","",A1737&amp;"-"&amp;RIGHT("000"&amp;AA1737,4))</f>
        <v/>
      </c>
      <c r="C1737" s="56" t="n"/>
      <c r="D1737" s="54" t="n"/>
      <c r="E1737" s="57" t="str">
        <f>IF(D1737="","",IF(A1737="BL",IFERROR(INDEX(cl_name,MATCH(D1737,cl_code,0))&amp;"","Client inconnu"),IF(A1737="BR",IFERROR(INDEX(fo_name,MATCH(D1737,fo_code,0))&amp;"","Fournisseur inconnu"),IF(A1737="BS",IF(ISNA(MATCH(D1737,p_services,0)),"Service inconnu",D1737&amp;""),""))))</f>
        <v/>
      </c>
      <c r="F1737" s="58" t="n"/>
      <c r="G1737" s="58" t="n"/>
      <c r="H1737" s="59" t="n"/>
      <c r="I1737" s="57" t="str">
        <f>IF(H1737="","",IFERROR(INDEX(art_des,MATCH(H1737,art_ref,0))&amp;"","Article inconnu"))</f>
        <v/>
      </c>
      <c r="J1737" s="60" t="str">
        <f>IF(H1737="","",IFERROR(INDEX(art_unit,MATCH(H1737,art_ref,0))&amp;"",""))</f>
        <v/>
      </c>
      <c r="K1737" s="59" t="n"/>
      <c r="L1737" s="59" t="n"/>
      <c r="M1737" s="61" t="str">
        <f>IF(OR(B1737="",NOT(ISNUMBER(K1737)),NOT(ISNUMBER(L1737))),"",IF(OR(K1737&lt;=0,L1737&lt;=0),"",ROUND(L1737-K1737,6)))</f>
        <v/>
      </c>
      <c r="N1737" s="58" t="n"/>
      <c r="O1737" s="62" t="n"/>
      <c r="P1737" s="63" t="str">
        <f>IF(OR(B1737="",NOT(ISNUMBER(L1737))),"",IF(L1737&lt;=0,"",IFERROR(ROUND(L1737*N(INDEX(art_w,MATCH(H1737,art_ref,0))),3),"")))</f>
        <v/>
      </c>
      <c r="Q1737" s="59" t="n"/>
      <c r="R1737" s="54" t="n"/>
      <c r="S1737" s="59" t="n"/>
      <c r="T1737" s="59" t="n"/>
      <c r="U1737" s="64" t="str">
        <f>IF(OR(B1737="",H1737=""),"",IFERROR(IF(A1737="BL",IF(N(INDEX(art_price,MATCH(H1737,art_ref,0)))=0,"",N(INDEX(art_price,MATCH(H1737,art_ref,0)))),IF(N(INDEX(art_cost,MATCH(H1737,art_ref,0)))=0,"",N(INDEX(art_cost,MATCH(H1737,art_ref,0))))),""))</f>
        <v/>
      </c>
      <c r="V1737" s="64" t="str">
        <f>IF(OR(U1737="",NOT(ISNUMBER(L1737))),"",IF(L1737&lt;=0,"",ROUND(L1737*U1737,2)))</f>
        <v/>
      </c>
      <c r="W1737" s="60" t="str">
        <f>IF(AND(B1737&lt;&gt;"",A1737&lt;&gt;"BS",F1737&lt;&gt;"",H1737&lt;&gt;"",ISNUMBER(K1737),ISNUMBER(L1737)),IF(AND(K1737&gt;0,L1737&gt;0,K1737-L1737&gt;0,COUNTIFS(A1738:A$2005,A1737,F1738:F$2005,F1737,H1738:H$2005,H1737,AA1738:AA$2005,"&gt;0")=0),ROUND(K1737-L1737,6),""),"")</f>
        <v/>
      </c>
      <c r="X1737" s="60" t="str">
        <f>IF(AND(A1737="",C1737="",D1737="",H1737="",L1737=""),"",IF(A1737="","Type manquant",IF(AND(A1737&lt;&gt;"BL",A1737&lt;&gt;"BR",A1737&lt;&gt;"BS"),"Type inconnu (BL, BR ou BS)",IF(AG1737=0,"Date manquante ou invalide",IF(D1737="",IF(A1737="BL","Client manquant",IF(A1737="BR","Fournisseur manquant","Service manquant")),IF(IF(A1737="BL",ISNA(MATCH(D1737,cl_code,0)),IF(A1737="BR",ISNA(MATCH(D1737,fo_code,0)),ISNA(MATCH(D1737,p_services,0)))),IF(A1737="BL","Client inconnu",IF(A1737="BR","Fournisseur inconnu","Service inconnu")),IF(H1737="","Article manquant",IF(ISNA(MATCH(H1737,art_ref,0)),"Article inconnu",IF(OR(NOT(ISNUMBER(L1737)),N(L1737)&lt;=0),"Quantité invalide",IF(AND(K1737&lt;&gt;"",OR(NOT(ISNUMBER(K1737)),N(K1737)&lt;=0)),"Qté commandée invalide",IF(AG1737&lt;SUMPRODUCT(MAX((A$6:A1736=A1737)*AG$6:AG1736)),"Date antérieure au bon précédent",IF(AND(A1737&lt;&gt;"BR",ISNUMBER(M1737),N(M1737)&gt;0),IF(A1737="BL","Livré plus que commandé","Sorti plus que demandé"),"OK"))))))))))))</f>
        <v/>
      </c>
      <c r="Y1737" s="57" t="str">
        <f>IF(AND(OR(A1737="BL",A1737="BR",A1737="BS"),AG1737&gt;0,D1737&lt;&gt;""),A1737&amp;"|"&amp;AG1737&amp;"|"&amp;D1737&amp;"|"&amp;F1737,"")</f>
        <v/>
      </c>
      <c r="Z1737" s="57" t="str">
        <f>IF(Y1737="","",IF(COUNTIF(Y$6:Y1736,Y1737)=0,1,0))</f>
        <v/>
      </c>
      <c r="AA1737" s="57" t="str">
        <f>IF(Y1737="","",IF(Z1737=1,COUNTIFS(A$6:A1737,A1737,Z$6:Z1737,1),INDEX(AA$6:AA1736,MATCH(Y1737,Y$6:Y1736,0))))</f>
        <v/>
      </c>
      <c r="AB1737" s="57" t="str">
        <f>IF(B1737="","",COUNTIF(B$6:B1737,B1737))</f>
        <v/>
      </c>
      <c r="AC1737" s="57" t="str">
        <f>IF(B1737="","",B1737&amp;"#"&amp;AB1737)</f>
        <v/>
      </c>
      <c r="AD1737" s="57" t="str">
        <f>IF(Z1737=1,A1737&amp;AA1737,"")</f>
        <v/>
      </c>
      <c r="AE1737" s="57" t="str">
        <f>IF(B1737="","",YEAR(C1737))</f>
        <v/>
      </c>
      <c r="AF1737" s="57" t="str">
        <f>IF(B1737="","",MONTH(C1737))</f>
        <v/>
      </c>
      <c r="AG1737" s="57">
        <f>IF(ISNUMBER(C1737),C1737,0)</f>
        <v>0.0</v>
      </c>
      <c r="AH1737" s="57" t="str">
        <f>IF(N(W1737)&gt;0,COUNTIF(W$6:W1737,"&gt;0"),"")</f>
        <v/>
      </c>
      <c r="AI1737" s="57" t="str">
        <f>IF(Z1737=1,COUNTIF(Z$6:Z1737,1),"")</f>
        <v/>
      </c>
    </row>
    <row r="1738">
      <c r="A1738" s="54" t="n"/>
      <c r="B1738" s="55" t="str">
        <f>IF(AA1738="","",A1738&amp;"-"&amp;RIGHT("000"&amp;AA1738,4))</f>
        <v/>
      </c>
      <c r="C1738" s="56" t="n"/>
      <c r="D1738" s="54" t="n"/>
      <c r="E1738" s="57" t="str">
        <f>IF(D1738="","",IF(A1738="BL",IFERROR(INDEX(cl_name,MATCH(D1738,cl_code,0))&amp;"","Client inconnu"),IF(A1738="BR",IFERROR(INDEX(fo_name,MATCH(D1738,fo_code,0))&amp;"","Fournisseur inconnu"),IF(A1738="BS",IF(ISNA(MATCH(D1738,p_services,0)),"Service inconnu",D1738&amp;""),""))))</f>
        <v/>
      </c>
      <c r="F1738" s="58" t="n"/>
      <c r="G1738" s="58" t="n"/>
      <c r="H1738" s="59" t="n"/>
      <c r="I1738" s="57" t="str">
        <f>IF(H1738="","",IFERROR(INDEX(art_des,MATCH(H1738,art_ref,0))&amp;"","Article inconnu"))</f>
        <v/>
      </c>
      <c r="J1738" s="60" t="str">
        <f>IF(H1738="","",IFERROR(INDEX(art_unit,MATCH(H1738,art_ref,0))&amp;"",""))</f>
        <v/>
      </c>
      <c r="K1738" s="59" t="n"/>
      <c r="L1738" s="59" t="n"/>
      <c r="M1738" s="61" t="str">
        <f>IF(OR(B1738="",NOT(ISNUMBER(K1738)),NOT(ISNUMBER(L1738))),"",IF(OR(K1738&lt;=0,L1738&lt;=0),"",ROUND(L1738-K1738,6)))</f>
        <v/>
      </c>
      <c r="N1738" s="58" t="n"/>
      <c r="O1738" s="62" t="n"/>
      <c r="P1738" s="63" t="str">
        <f>IF(OR(B1738="",NOT(ISNUMBER(L1738))),"",IF(L1738&lt;=0,"",IFERROR(ROUND(L1738*N(INDEX(art_w,MATCH(H1738,art_ref,0))),3),"")))</f>
        <v/>
      </c>
      <c r="Q1738" s="59" t="n"/>
      <c r="R1738" s="54" t="n"/>
      <c r="S1738" s="59" t="n"/>
      <c r="T1738" s="59" t="n"/>
      <c r="U1738" s="64" t="str">
        <f>IF(OR(B1738="",H1738=""),"",IFERROR(IF(A1738="BL",IF(N(INDEX(art_price,MATCH(H1738,art_ref,0)))=0,"",N(INDEX(art_price,MATCH(H1738,art_ref,0)))),IF(N(INDEX(art_cost,MATCH(H1738,art_ref,0)))=0,"",N(INDEX(art_cost,MATCH(H1738,art_ref,0))))),""))</f>
        <v/>
      </c>
      <c r="V1738" s="64" t="str">
        <f>IF(OR(U1738="",NOT(ISNUMBER(L1738))),"",IF(L1738&lt;=0,"",ROUND(L1738*U1738,2)))</f>
        <v/>
      </c>
      <c r="W1738" s="60" t="str">
        <f>IF(AND(B1738&lt;&gt;"",A1738&lt;&gt;"BS",F1738&lt;&gt;"",H1738&lt;&gt;"",ISNUMBER(K1738),ISNUMBER(L1738)),IF(AND(K1738&gt;0,L1738&gt;0,K1738-L1738&gt;0,COUNTIFS(A1739:A$2005,A1738,F1739:F$2005,F1738,H1739:H$2005,H1738,AA1739:AA$2005,"&gt;0")=0),ROUND(K1738-L1738,6),""),"")</f>
        <v/>
      </c>
      <c r="X1738" s="60" t="str">
        <f>IF(AND(A1738="",C1738="",D1738="",H1738="",L1738=""),"",IF(A1738="","Type manquant",IF(AND(A1738&lt;&gt;"BL",A1738&lt;&gt;"BR",A1738&lt;&gt;"BS"),"Type inconnu (BL, BR ou BS)",IF(AG1738=0,"Date manquante ou invalide",IF(D1738="",IF(A1738="BL","Client manquant",IF(A1738="BR","Fournisseur manquant","Service manquant")),IF(IF(A1738="BL",ISNA(MATCH(D1738,cl_code,0)),IF(A1738="BR",ISNA(MATCH(D1738,fo_code,0)),ISNA(MATCH(D1738,p_services,0)))),IF(A1738="BL","Client inconnu",IF(A1738="BR","Fournisseur inconnu","Service inconnu")),IF(H1738="","Article manquant",IF(ISNA(MATCH(H1738,art_ref,0)),"Article inconnu",IF(OR(NOT(ISNUMBER(L1738)),N(L1738)&lt;=0),"Quantité invalide",IF(AND(K1738&lt;&gt;"",OR(NOT(ISNUMBER(K1738)),N(K1738)&lt;=0)),"Qté commandée invalide",IF(AG1738&lt;SUMPRODUCT(MAX((A$6:A1737=A1738)*AG$6:AG1737)),"Date antérieure au bon précédent",IF(AND(A1738&lt;&gt;"BR",ISNUMBER(M1738),N(M1738)&gt;0),IF(A1738="BL","Livré plus que commandé","Sorti plus que demandé"),"OK"))))))))))))</f>
        <v/>
      </c>
      <c r="Y1738" s="57" t="str">
        <f>IF(AND(OR(A1738="BL",A1738="BR",A1738="BS"),AG1738&gt;0,D1738&lt;&gt;""),A1738&amp;"|"&amp;AG1738&amp;"|"&amp;D1738&amp;"|"&amp;F1738,"")</f>
        <v/>
      </c>
      <c r="Z1738" s="57" t="str">
        <f>IF(Y1738="","",IF(COUNTIF(Y$6:Y1737,Y1738)=0,1,0))</f>
        <v/>
      </c>
      <c r="AA1738" s="57" t="str">
        <f>IF(Y1738="","",IF(Z1738=1,COUNTIFS(A$6:A1738,A1738,Z$6:Z1738,1),INDEX(AA$6:AA1737,MATCH(Y1738,Y$6:Y1737,0))))</f>
        <v/>
      </c>
      <c r="AB1738" s="57" t="str">
        <f>IF(B1738="","",COUNTIF(B$6:B1738,B1738))</f>
        <v/>
      </c>
      <c r="AC1738" s="57" t="str">
        <f>IF(B1738="","",B1738&amp;"#"&amp;AB1738)</f>
        <v/>
      </c>
      <c r="AD1738" s="57" t="str">
        <f>IF(Z1738=1,A1738&amp;AA1738,"")</f>
        <v/>
      </c>
      <c r="AE1738" s="57" t="str">
        <f>IF(B1738="","",YEAR(C1738))</f>
        <v/>
      </c>
      <c r="AF1738" s="57" t="str">
        <f>IF(B1738="","",MONTH(C1738))</f>
        <v/>
      </c>
      <c r="AG1738" s="57">
        <f>IF(ISNUMBER(C1738),C1738,0)</f>
        <v>0.0</v>
      </c>
      <c r="AH1738" s="57" t="str">
        <f>IF(N(W1738)&gt;0,COUNTIF(W$6:W1738,"&gt;0"),"")</f>
        <v/>
      </c>
      <c r="AI1738" s="57" t="str">
        <f>IF(Z1738=1,COUNTIF(Z$6:Z1738,1),"")</f>
        <v/>
      </c>
    </row>
    <row r="1739">
      <c r="A1739" s="54" t="n"/>
      <c r="B1739" s="55" t="str">
        <f>IF(AA1739="","",A1739&amp;"-"&amp;RIGHT("000"&amp;AA1739,4))</f>
        <v/>
      </c>
      <c r="C1739" s="56" t="n"/>
      <c r="D1739" s="54" t="n"/>
      <c r="E1739" s="57" t="str">
        <f>IF(D1739="","",IF(A1739="BL",IFERROR(INDEX(cl_name,MATCH(D1739,cl_code,0))&amp;"","Client inconnu"),IF(A1739="BR",IFERROR(INDEX(fo_name,MATCH(D1739,fo_code,0))&amp;"","Fournisseur inconnu"),IF(A1739="BS",IF(ISNA(MATCH(D1739,p_services,0)),"Service inconnu",D1739&amp;""),""))))</f>
        <v/>
      </c>
      <c r="F1739" s="58" t="n"/>
      <c r="G1739" s="58" t="n"/>
      <c r="H1739" s="59" t="n"/>
      <c r="I1739" s="57" t="str">
        <f>IF(H1739="","",IFERROR(INDEX(art_des,MATCH(H1739,art_ref,0))&amp;"","Article inconnu"))</f>
        <v/>
      </c>
      <c r="J1739" s="60" t="str">
        <f>IF(H1739="","",IFERROR(INDEX(art_unit,MATCH(H1739,art_ref,0))&amp;"",""))</f>
        <v/>
      </c>
      <c r="K1739" s="59" t="n"/>
      <c r="L1739" s="59" t="n"/>
      <c r="M1739" s="61" t="str">
        <f>IF(OR(B1739="",NOT(ISNUMBER(K1739)),NOT(ISNUMBER(L1739))),"",IF(OR(K1739&lt;=0,L1739&lt;=0),"",ROUND(L1739-K1739,6)))</f>
        <v/>
      </c>
      <c r="N1739" s="58" t="n"/>
      <c r="O1739" s="62" t="n"/>
      <c r="P1739" s="63" t="str">
        <f>IF(OR(B1739="",NOT(ISNUMBER(L1739))),"",IF(L1739&lt;=0,"",IFERROR(ROUND(L1739*N(INDEX(art_w,MATCH(H1739,art_ref,0))),3),"")))</f>
        <v/>
      </c>
      <c r="Q1739" s="59" t="n"/>
      <c r="R1739" s="54" t="n"/>
      <c r="S1739" s="59" t="n"/>
      <c r="T1739" s="59" t="n"/>
      <c r="U1739" s="64" t="str">
        <f>IF(OR(B1739="",H1739=""),"",IFERROR(IF(A1739="BL",IF(N(INDEX(art_price,MATCH(H1739,art_ref,0)))=0,"",N(INDEX(art_price,MATCH(H1739,art_ref,0)))),IF(N(INDEX(art_cost,MATCH(H1739,art_ref,0)))=0,"",N(INDEX(art_cost,MATCH(H1739,art_ref,0))))),""))</f>
        <v/>
      </c>
      <c r="V1739" s="64" t="str">
        <f>IF(OR(U1739="",NOT(ISNUMBER(L1739))),"",IF(L1739&lt;=0,"",ROUND(L1739*U1739,2)))</f>
        <v/>
      </c>
      <c r="W1739" s="60" t="str">
        <f>IF(AND(B1739&lt;&gt;"",A1739&lt;&gt;"BS",F1739&lt;&gt;"",H1739&lt;&gt;"",ISNUMBER(K1739),ISNUMBER(L1739)),IF(AND(K1739&gt;0,L1739&gt;0,K1739-L1739&gt;0,COUNTIFS(A1740:A$2005,A1739,F1740:F$2005,F1739,H1740:H$2005,H1739,AA1740:AA$2005,"&gt;0")=0),ROUND(K1739-L1739,6),""),"")</f>
        <v/>
      </c>
      <c r="X1739" s="60" t="str">
        <f>IF(AND(A1739="",C1739="",D1739="",H1739="",L1739=""),"",IF(A1739="","Type manquant",IF(AND(A1739&lt;&gt;"BL",A1739&lt;&gt;"BR",A1739&lt;&gt;"BS"),"Type inconnu (BL, BR ou BS)",IF(AG1739=0,"Date manquante ou invalide",IF(D1739="",IF(A1739="BL","Client manquant",IF(A1739="BR","Fournisseur manquant","Service manquant")),IF(IF(A1739="BL",ISNA(MATCH(D1739,cl_code,0)),IF(A1739="BR",ISNA(MATCH(D1739,fo_code,0)),ISNA(MATCH(D1739,p_services,0)))),IF(A1739="BL","Client inconnu",IF(A1739="BR","Fournisseur inconnu","Service inconnu")),IF(H1739="","Article manquant",IF(ISNA(MATCH(H1739,art_ref,0)),"Article inconnu",IF(OR(NOT(ISNUMBER(L1739)),N(L1739)&lt;=0),"Quantité invalide",IF(AND(K1739&lt;&gt;"",OR(NOT(ISNUMBER(K1739)),N(K1739)&lt;=0)),"Qté commandée invalide",IF(AG1739&lt;SUMPRODUCT(MAX((A$6:A1738=A1739)*AG$6:AG1738)),"Date antérieure au bon précédent",IF(AND(A1739&lt;&gt;"BR",ISNUMBER(M1739),N(M1739)&gt;0),IF(A1739="BL","Livré plus que commandé","Sorti plus que demandé"),"OK"))))))))))))</f>
        <v/>
      </c>
      <c r="Y1739" s="57" t="str">
        <f>IF(AND(OR(A1739="BL",A1739="BR",A1739="BS"),AG1739&gt;0,D1739&lt;&gt;""),A1739&amp;"|"&amp;AG1739&amp;"|"&amp;D1739&amp;"|"&amp;F1739,"")</f>
        <v/>
      </c>
      <c r="Z1739" s="57" t="str">
        <f>IF(Y1739="","",IF(COUNTIF(Y$6:Y1738,Y1739)=0,1,0))</f>
        <v/>
      </c>
      <c r="AA1739" s="57" t="str">
        <f>IF(Y1739="","",IF(Z1739=1,COUNTIFS(A$6:A1739,A1739,Z$6:Z1739,1),INDEX(AA$6:AA1738,MATCH(Y1739,Y$6:Y1738,0))))</f>
        <v/>
      </c>
      <c r="AB1739" s="57" t="str">
        <f>IF(B1739="","",COUNTIF(B$6:B1739,B1739))</f>
        <v/>
      </c>
      <c r="AC1739" s="57" t="str">
        <f>IF(B1739="","",B1739&amp;"#"&amp;AB1739)</f>
        <v/>
      </c>
      <c r="AD1739" s="57" t="str">
        <f>IF(Z1739=1,A1739&amp;AA1739,"")</f>
        <v/>
      </c>
      <c r="AE1739" s="57" t="str">
        <f>IF(B1739="","",YEAR(C1739))</f>
        <v/>
      </c>
      <c r="AF1739" s="57" t="str">
        <f>IF(B1739="","",MONTH(C1739))</f>
        <v/>
      </c>
      <c r="AG1739" s="57">
        <f>IF(ISNUMBER(C1739),C1739,0)</f>
        <v>0.0</v>
      </c>
      <c r="AH1739" s="57" t="str">
        <f>IF(N(W1739)&gt;0,COUNTIF(W$6:W1739,"&gt;0"),"")</f>
        <v/>
      </c>
      <c r="AI1739" s="57" t="str">
        <f>IF(Z1739=1,COUNTIF(Z$6:Z1739,1),"")</f>
        <v/>
      </c>
    </row>
    <row r="1740">
      <c r="A1740" s="54" t="n"/>
      <c r="B1740" s="55" t="str">
        <f>IF(AA1740="","",A1740&amp;"-"&amp;RIGHT("000"&amp;AA1740,4))</f>
        <v/>
      </c>
      <c r="C1740" s="56" t="n"/>
      <c r="D1740" s="54" t="n"/>
      <c r="E1740" s="57" t="str">
        <f>IF(D1740="","",IF(A1740="BL",IFERROR(INDEX(cl_name,MATCH(D1740,cl_code,0))&amp;"","Client inconnu"),IF(A1740="BR",IFERROR(INDEX(fo_name,MATCH(D1740,fo_code,0))&amp;"","Fournisseur inconnu"),IF(A1740="BS",IF(ISNA(MATCH(D1740,p_services,0)),"Service inconnu",D1740&amp;""),""))))</f>
        <v/>
      </c>
      <c r="F1740" s="58" t="n"/>
      <c r="G1740" s="58" t="n"/>
      <c r="H1740" s="59" t="n"/>
      <c r="I1740" s="57" t="str">
        <f>IF(H1740="","",IFERROR(INDEX(art_des,MATCH(H1740,art_ref,0))&amp;"","Article inconnu"))</f>
        <v/>
      </c>
      <c r="J1740" s="60" t="str">
        <f>IF(H1740="","",IFERROR(INDEX(art_unit,MATCH(H1740,art_ref,0))&amp;"",""))</f>
        <v/>
      </c>
      <c r="K1740" s="59" t="n"/>
      <c r="L1740" s="59" t="n"/>
      <c r="M1740" s="61" t="str">
        <f>IF(OR(B1740="",NOT(ISNUMBER(K1740)),NOT(ISNUMBER(L1740))),"",IF(OR(K1740&lt;=0,L1740&lt;=0),"",ROUND(L1740-K1740,6)))</f>
        <v/>
      </c>
      <c r="N1740" s="58" t="n"/>
      <c r="O1740" s="62" t="n"/>
      <c r="P1740" s="63" t="str">
        <f>IF(OR(B1740="",NOT(ISNUMBER(L1740))),"",IF(L1740&lt;=0,"",IFERROR(ROUND(L1740*N(INDEX(art_w,MATCH(H1740,art_ref,0))),3),"")))</f>
        <v/>
      </c>
      <c r="Q1740" s="59" t="n"/>
      <c r="R1740" s="54" t="n"/>
      <c r="S1740" s="59" t="n"/>
      <c r="T1740" s="59" t="n"/>
      <c r="U1740" s="64" t="str">
        <f>IF(OR(B1740="",H1740=""),"",IFERROR(IF(A1740="BL",IF(N(INDEX(art_price,MATCH(H1740,art_ref,0)))=0,"",N(INDEX(art_price,MATCH(H1740,art_ref,0)))),IF(N(INDEX(art_cost,MATCH(H1740,art_ref,0)))=0,"",N(INDEX(art_cost,MATCH(H1740,art_ref,0))))),""))</f>
        <v/>
      </c>
      <c r="V1740" s="64" t="str">
        <f>IF(OR(U1740="",NOT(ISNUMBER(L1740))),"",IF(L1740&lt;=0,"",ROUND(L1740*U1740,2)))</f>
        <v/>
      </c>
      <c r="W1740" s="60" t="str">
        <f>IF(AND(B1740&lt;&gt;"",A1740&lt;&gt;"BS",F1740&lt;&gt;"",H1740&lt;&gt;"",ISNUMBER(K1740),ISNUMBER(L1740)),IF(AND(K1740&gt;0,L1740&gt;0,K1740-L1740&gt;0,COUNTIFS(A1741:A$2005,A1740,F1741:F$2005,F1740,H1741:H$2005,H1740,AA1741:AA$2005,"&gt;0")=0),ROUND(K1740-L1740,6),""),"")</f>
        <v/>
      </c>
      <c r="X1740" s="60" t="str">
        <f>IF(AND(A1740="",C1740="",D1740="",H1740="",L1740=""),"",IF(A1740="","Type manquant",IF(AND(A1740&lt;&gt;"BL",A1740&lt;&gt;"BR",A1740&lt;&gt;"BS"),"Type inconnu (BL, BR ou BS)",IF(AG1740=0,"Date manquante ou invalide",IF(D1740="",IF(A1740="BL","Client manquant",IF(A1740="BR","Fournisseur manquant","Service manquant")),IF(IF(A1740="BL",ISNA(MATCH(D1740,cl_code,0)),IF(A1740="BR",ISNA(MATCH(D1740,fo_code,0)),ISNA(MATCH(D1740,p_services,0)))),IF(A1740="BL","Client inconnu",IF(A1740="BR","Fournisseur inconnu","Service inconnu")),IF(H1740="","Article manquant",IF(ISNA(MATCH(H1740,art_ref,0)),"Article inconnu",IF(OR(NOT(ISNUMBER(L1740)),N(L1740)&lt;=0),"Quantité invalide",IF(AND(K1740&lt;&gt;"",OR(NOT(ISNUMBER(K1740)),N(K1740)&lt;=0)),"Qté commandée invalide",IF(AG1740&lt;SUMPRODUCT(MAX((A$6:A1739=A1740)*AG$6:AG1739)),"Date antérieure au bon précédent",IF(AND(A1740&lt;&gt;"BR",ISNUMBER(M1740),N(M1740)&gt;0),IF(A1740="BL","Livré plus que commandé","Sorti plus que demandé"),"OK"))))))))))))</f>
        <v/>
      </c>
      <c r="Y1740" s="57" t="str">
        <f>IF(AND(OR(A1740="BL",A1740="BR",A1740="BS"),AG1740&gt;0,D1740&lt;&gt;""),A1740&amp;"|"&amp;AG1740&amp;"|"&amp;D1740&amp;"|"&amp;F1740,"")</f>
        <v/>
      </c>
      <c r="Z1740" s="57" t="str">
        <f>IF(Y1740="","",IF(COUNTIF(Y$6:Y1739,Y1740)=0,1,0))</f>
        <v/>
      </c>
      <c r="AA1740" s="57" t="str">
        <f>IF(Y1740="","",IF(Z1740=1,COUNTIFS(A$6:A1740,A1740,Z$6:Z1740,1),INDEX(AA$6:AA1739,MATCH(Y1740,Y$6:Y1739,0))))</f>
        <v/>
      </c>
      <c r="AB1740" s="57" t="str">
        <f>IF(B1740="","",COUNTIF(B$6:B1740,B1740))</f>
        <v/>
      </c>
      <c r="AC1740" s="57" t="str">
        <f>IF(B1740="","",B1740&amp;"#"&amp;AB1740)</f>
        <v/>
      </c>
      <c r="AD1740" s="57" t="str">
        <f>IF(Z1740=1,A1740&amp;AA1740,"")</f>
        <v/>
      </c>
      <c r="AE1740" s="57" t="str">
        <f>IF(B1740="","",YEAR(C1740))</f>
        <v/>
      </c>
      <c r="AF1740" s="57" t="str">
        <f>IF(B1740="","",MONTH(C1740))</f>
        <v/>
      </c>
      <c r="AG1740" s="57">
        <f>IF(ISNUMBER(C1740),C1740,0)</f>
        <v>0.0</v>
      </c>
      <c r="AH1740" s="57" t="str">
        <f>IF(N(W1740)&gt;0,COUNTIF(W$6:W1740,"&gt;0"),"")</f>
        <v/>
      </c>
      <c r="AI1740" s="57" t="str">
        <f>IF(Z1740=1,COUNTIF(Z$6:Z1740,1),"")</f>
        <v/>
      </c>
    </row>
    <row r="1741">
      <c r="A1741" s="54" t="n"/>
      <c r="B1741" s="55" t="str">
        <f>IF(AA1741="","",A1741&amp;"-"&amp;RIGHT("000"&amp;AA1741,4))</f>
        <v/>
      </c>
      <c r="C1741" s="56" t="n"/>
      <c r="D1741" s="54" t="n"/>
      <c r="E1741" s="57" t="str">
        <f>IF(D1741="","",IF(A1741="BL",IFERROR(INDEX(cl_name,MATCH(D1741,cl_code,0))&amp;"","Client inconnu"),IF(A1741="BR",IFERROR(INDEX(fo_name,MATCH(D1741,fo_code,0))&amp;"","Fournisseur inconnu"),IF(A1741="BS",IF(ISNA(MATCH(D1741,p_services,0)),"Service inconnu",D1741&amp;""),""))))</f>
        <v/>
      </c>
      <c r="F1741" s="58" t="n"/>
      <c r="G1741" s="58" t="n"/>
      <c r="H1741" s="59" t="n"/>
      <c r="I1741" s="57" t="str">
        <f>IF(H1741="","",IFERROR(INDEX(art_des,MATCH(H1741,art_ref,0))&amp;"","Article inconnu"))</f>
        <v/>
      </c>
      <c r="J1741" s="60" t="str">
        <f>IF(H1741="","",IFERROR(INDEX(art_unit,MATCH(H1741,art_ref,0))&amp;"",""))</f>
        <v/>
      </c>
      <c r="K1741" s="59" t="n"/>
      <c r="L1741" s="59" t="n"/>
      <c r="M1741" s="61" t="str">
        <f>IF(OR(B1741="",NOT(ISNUMBER(K1741)),NOT(ISNUMBER(L1741))),"",IF(OR(K1741&lt;=0,L1741&lt;=0),"",ROUND(L1741-K1741,6)))</f>
        <v/>
      </c>
      <c r="N1741" s="58" t="n"/>
      <c r="O1741" s="62" t="n"/>
      <c r="P1741" s="63" t="str">
        <f>IF(OR(B1741="",NOT(ISNUMBER(L1741))),"",IF(L1741&lt;=0,"",IFERROR(ROUND(L1741*N(INDEX(art_w,MATCH(H1741,art_ref,0))),3),"")))</f>
        <v/>
      </c>
      <c r="Q1741" s="59" t="n"/>
      <c r="R1741" s="54" t="n"/>
      <c r="S1741" s="59" t="n"/>
      <c r="T1741" s="59" t="n"/>
      <c r="U1741" s="64" t="str">
        <f>IF(OR(B1741="",H1741=""),"",IFERROR(IF(A1741="BL",IF(N(INDEX(art_price,MATCH(H1741,art_ref,0)))=0,"",N(INDEX(art_price,MATCH(H1741,art_ref,0)))),IF(N(INDEX(art_cost,MATCH(H1741,art_ref,0)))=0,"",N(INDEX(art_cost,MATCH(H1741,art_ref,0))))),""))</f>
        <v/>
      </c>
      <c r="V1741" s="64" t="str">
        <f>IF(OR(U1741="",NOT(ISNUMBER(L1741))),"",IF(L1741&lt;=0,"",ROUND(L1741*U1741,2)))</f>
        <v/>
      </c>
      <c r="W1741" s="60" t="str">
        <f>IF(AND(B1741&lt;&gt;"",A1741&lt;&gt;"BS",F1741&lt;&gt;"",H1741&lt;&gt;"",ISNUMBER(K1741),ISNUMBER(L1741)),IF(AND(K1741&gt;0,L1741&gt;0,K1741-L1741&gt;0,COUNTIFS(A1742:A$2005,A1741,F1742:F$2005,F1741,H1742:H$2005,H1741,AA1742:AA$2005,"&gt;0")=0),ROUND(K1741-L1741,6),""),"")</f>
        <v/>
      </c>
      <c r="X1741" s="60" t="str">
        <f>IF(AND(A1741="",C1741="",D1741="",H1741="",L1741=""),"",IF(A1741="","Type manquant",IF(AND(A1741&lt;&gt;"BL",A1741&lt;&gt;"BR",A1741&lt;&gt;"BS"),"Type inconnu (BL, BR ou BS)",IF(AG1741=0,"Date manquante ou invalide",IF(D1741="",IF(A1741="BL","Client manquant",IF(A1741="BR","Fournisseur manquant","Service manquant")),IF(IF(A1741="BL",ISNA(MATCH(D1741,cl_code,0)),IF(A1741="BR",ISNA(MATCH(D1741,fo_code,0)),ISNA(MATCH(D1741,p_services,0)))),IF(A1741="BL","Client inconnu",IF(A1741="BR","Fournisseur inconnu","Service inconnu")),IF(H1741="","Article manquant",IF(ISNA(MATCH(H1741,art_ref,0)),"Article inconnu",IF(OR(NOT(ISNUMBER(L1741)),N(L1741)&lt;=0),"Quantité invalide",IF(AND(K1741&lt;&gt;"",OR(NOT(ISNUMBER(K1741)),N(K1741)&lt;=0)),"Qté commandée invalide",IF(AG1741&lt;SUMPRODUCT(MAX((A$6:A1740=A1741)*AG$6:AG1740)),"Date antérieure au bon précédent",IF(AND(A1741&lt;&gt;"BR",ISNUMBER(M1741),N(M1741)&gt;0),IF(A1741="BL","Livré plus que commandé","Sorti plus que demandé"),"OK"))))))))))))</f>
        <v/>
      </c>
      <c r="Y1741" s="57" t="str">
        <f>IF(AND(OR(A1741="BL",A1741="BR",A1741="BS"),AG1741&gt;0,D1741&lt;&gt;""),A1741&amp;"|"&amp;AG1741&amp;"|"&amp;D1741&amp;"|"&amp;F1741,"")</f>
        <v/>
      </c>
      <c r="Z1741" s="57" t="str">
        <f>IF(Y1741="","",IF(COUNTIF(Y$6:Y1740,Y1741)=0,1,0))</f>
        <v/>
      </c>
      <c r="AA1741" s="57" t="str">
        <f>IF(Y1741="","",IF(Z1741=1,COUNTIFS(A$6:A1741,A1741,Z$6:Z1741,1),INDEX(AA$6:AA1740,MATCH(Y1741,Y$6:Y1740,0))))</f>
        <v/>
      </c>
      <c r="AB1741" s="57" t="str">
        <f>IF(B1741="","",COUNTIF(B$6:B1741,B1741))</f>
        <v/>
      </c>
      <c r="AC1741" s="57" t="str">
        <f>IF(B1741="","",B1741&amp;"#"&amp;AB1741)</f>
        <v/>
      </c>
      <c r="AD1741" s="57" t="str">
        <f>IF(Z1741=1,A1741&amp;AA1741,"")</f>
        <v/>
      </c>
      <c r="AE1741" s="57" t="str">
        <f>IF(B1741="","",YEAR(C1741))</f>
        <v/>
      </c>
      <c r="AF1741" s="57" t="str">
        <f>IF(B1741="","",MONTH(C1741))</f>
        <v/>
      </c>
      <c r="AG1741" s="57">
        <f>IF(ISNUMBER(C1741),C1741,0)</f>
        <v>0.0</v>
      </c>
      <c r="AH1741" s="57" t="str">
        <f>IF(N(W1741)&gt;0,COUNTIF(W$6:W1741,"&gt;0"),"")</f>
        <v/>
      </c>
      <c r="AI1741" s="57" t="str">
        <f>IF(Z1741=1,COUNTIF(Z$6:Z1741,1),"")</f>
        <v/>
      </c>
    </row>
    <row r="1742">
      <c r="A1742" s="54" t="n"/>
      <c r="B1742" s="55" t="str">
        <f>IF(AA1742="","",A1742&amp;"-"&amp;RIGHT("000"&amp;AA1742,4))</f>
        <v/>
      </c>
      <c r="C1742" s="56" t="n"/>
      <c r="D1742" s="54" t="n"/>
      <c r="E1742" s="57" t="str">
        <f>IF(D1742="","",IF(A1742="BL",IFERROR(INDEX(cl_name,MATCH(D1742,cl_code,0))&amp;"","Client inconnu"),IF(A1742="BR",IFERROR(INDEX(fo_name,MATCH(D1742,fo_code,0))&amp;"","Fournisseur inconnu"),IF(A1742="BS",IF(ISNA(MATCH(D1742,p_services,0)),"Service inconnu",D1742&amp;""),""))))</f>
        <v/>
      </c>
      <c r="F1742" s="58" t="n"/>
      <c r="G1742" s="58" t="n"/>
      <c r="H1742" s="59" t="n"/>
      <c r="I1742" s="57" t="str">
        <f>IF(H1742="","",IFERROR(INDEX(art_des,MATCH(H1742,art_ref,0))&amp;"","Article inconnu"))</f>
        <v/>
      </c>
      <c r="J1742" s="60" t="str">
        <f>IF(H1742="","",IFERROR(INDEX(art_unit,MATCH(H1742,art_ref,0))&amp;"",""))</f>
        <v/>
      </c>
      <c r="K1742" s="59" t="n"/>
      <c r="L1742" s="59" t="n"/>
      <c r="M1742" s="61" t="str">
        <f>IF(OR(B1742="",NOT(ISNUMBER(K1742)),NOT(ISNUMBER(L1742))),"",IF(OR(K1742&lt;=0,L1742&lt;=0),"",ROUND(L1742-K1742,6)))</f>
        <v/>
      </c>
      <c r="N1742" s="58" t="n"/>
      <c r="O1742" s="62" t="n"/>
      <c r="P1742" s="63" t="str">
        <f>IF(OR(B1742="",NOT(ISNUMBER(L1742))),"",IF(L1742&lt;=0,"",IFERROR(ROUND(L1742*N(INDEX(art_w,MATCH(H1742,art_ref,0))),3),"")))</f>
        <v/>
      </c>
      <c r="Q1742" s="59" t="n"/>
      <c r="R1742" s="54" t="n"/>
      <c r="S1742" s="59" t="n"/>
      <c r="T1742" s="59" t="n"/>
      <c r="U1742" s="64" t="str">
        <f>IF(OR(B1742="",H1742=""),"",IFERROR(IF(A1742="BL",IF(N(INDEX(art_price,MATCH(H1742,art_ref,0)))=0,"",N(INDEX(art_price,MATCH(H1742,art_ref,0)))),IF(N(INDEX(art_cost,MATCH(H1742,art_ref,0)))=0,"",N(INDEX(art_cost,MATCH(H1742,art_ref,0))))),""))</f>
        <v/>
      </c>
      <c r="V1742" s="64" t="str">
        <f>IF(OR(U1742="",NOT(ISNUMBER(L1742))),"",IF(L1742&lt;=0,"",ROUND(L1742*U1742,2)))</f>
        <v/>
      </c>
      <c r="W1742" s="60" t="str">
        <f>IF(AND(B1742&lt;&gt;"",A1742&lt;&gt;"BS",F1742&lt;&gt;"",H1742&lt;&gt;"",ISNUMBER(K1742),ISNUMBER(L1742)),IF(AND(K1742&gt;0,L1742&gt;0,K1742-L1742&gt;0,COUNTIFS(A1743:A$2005,A1742,F1743:F$2005,F1742,H1743:H$2005,H1742,AA1743:AA$2005,"&gt;0")=0),ROUND(K1742-L1742,6),""),"")</f>
        <v/>
      </c>
      <c r="X1742" s="60" t="str">
        <f>IF(AND(A1742="",C1742="",D1742="",H1742="",L1742=""),"",IF(A1742="","Type manquant",IF(AND(A1742&lt;&gt;"BL",A1742&lt;&gt;"BR",A1742&lt;&gt;"BS"),"Type inconnu (BL, BR ou BS)",IF(AG1742=0,"Date manquante ou invalide",IF(D1742="",IF(A1742="BL","Client manquant",IF(A1742="BR","Fournisseur manquant","Service manquant")),IF(IF(A1742="BL",ISNA(MATCH(D1742,cl_code,0)),IF(A1742="BR",ISNA(MATCH(D1742,fo_code,0)),ISNA(MATCH(D1742,p_services,0)))),IF(A1742="BL","Client inconnu",IF(A1742="BR","Fournisseur inconnu","Service inconnu")),IF(H1742="","Article manquant",IF(ISNA(MATCH(H1742,art_ref,0)),"Article inconnu",IF(OR(NOT(ISNUMBER(L1742)),N(L1742)&lt;=0),"Quantité invalide",IF(AND(K1742&lt;&gt;"",OR(NOT(ISNUMBER(K1742)),N(K1742)&lt;=0)),"Qté commandée invalide",IF(AG1742&lt;SUMPRODUCT(MAX((A$6:A1741=A1742)*AG$6:AG1741)),"Date antérieure au bon précédent",IF(AND(A1742&lt;&gt;"BR",ISNUMBER(M1742),N(M1742)&gt;0),IF(A1742="BL","Livré plus que commandé","Sorti plus que demandé"),"OK"))))))))))))</f>
        <v/>
      </c>
      <c r="Y1742" s="57" t="str">
        <f>IF(AND(OR(A1742="BL",A1742="BR",A1742="BS"),AG1742&gt;0,D1742&lt;&gt;""),A1742&amp;"|"&amp;AG1742&amp;"|"&amp;D1742&amp;"|"&amp;F1742,"")</f>
        <v/>
      </c>
      <c r="Z1742" s="57" t="str">
        <f>IF(Y1742="","",IF(COUNTIF(Y$6:Y1741,Y1742)=0,1,0))</f>
        <v/>
      </c>
      <c r="AA1742" s="57" t="str">
        <f>IF(Y1742="","",IF(Z1742=1,COUNTIFS(A$6:A1742,A1742,Z$6:Z1742,1),INDEX(AA$6:AA1741,MATCH(Y1742,Y$6:Y1741,0))))</f>
        <v/>
      </c>
      <c r="AB1742" s="57" t="str">
        <f>IF(B1742="","",COUNTIF(B$6:B1742,B1742))</f>
        <v/>
      </c>
      <c r="AC1742" s="57" t="str">
        <f>IF(B1742="","",B1742&amp;"#"&amp;AB1742)</f>
        <v/>
      </c>
      <c r="AD1742" s="57" t="str">
        <f>IF(Z1742=1,A1742&amp;AA1742,"")</f>
        <v/>
      </c>
      <c r="AE1742" s="57" t="str">
        <f>IF(B1742="","",YEAR(C1742))</f>
        <v/>
      </c>
      <c r="AF1742" s="57" t="str">
        <f>IF(B1742="","",MONTH(C1742))</f>
        <v/>
      </c>
      <c r="AG1742" s="57">
        <f>IF(ISNUMBER(C1742),C1742,0)</f>
        <v>0.0</v>
      </c>
      <c r="AH1742" s="57" t="str">
        <f>IF(N(W1742)&gt;0,COUNTIF(W$6:W1742,"&gt;0"),"")</f>
        <v/>
      </c>
      <c r="AI1742" s="57" t="str">
        <f>IF(Z1742=1,COUNTIF(Z$6:Z1742,1),"")</f>
        <v/>
      </c>
    </row>
    <row r="1743">
      <c r="A1743" s="54" t="n"/>
      <c r="B1743" s="55" t="str">
        <f>IF(AA1743="","",A1743&amp;"-"&amp;RIGHT("000"&amp;AA1743,4))</f>
        <v/>
      </c>
      <c r="C1743" s="56" t="n"/>
      <c r="D1743" s="54" t="n"/>
      <c r="E1743" s="57" t="str">
        <f>IF(D1743="","",IF(A1743="BL",IFERROR(INDEX(cl_name,MATCH(D1743,cl_code,0))&amp;"","Client inconnu"),IF(A1743="BR",IFERROR(INDEX(fo_name,MATCH(D1743,fo_code,0))&amp;"","Fournisseur inconnu"),IF(A1743="BS",IF(ISNA(MATCH(D1743,p_services,0)),"Service inconnu",D1743&amp;""),""))))</f>
        <v/>
      </c>
      <c r="F1743" s="58" t="n"/>
      <c r="G1743" s="58" t="n"/>
      <c r="H1743" s="59" t="n"/>
      <c r="I1743" s="57" t="str">
        <f>IF(H1743="","",IFERROR(INDEX(art_des,MATCH(H1743,art_ref,0))&amp;"","Article inconnu"))</f>
        <v/>
      </c>
      <c r="J1743" s="60" t="str">
        <f>IF(H1743="","",IFERROR(INDEX(art_unit,MATCH(H1743,art_ref,0))&amp;"",""))</f>
        <v/>
      </c>
      <c r="K1743" s="59" t="n"/>
      <c r="L1743" s="59" t="n"/>
      <c r="M1743" s="61" t="str">
        <f>IF(OR(B1743="",NOT(ISNUMBER(K1743)),NOT(ISNUMBER(L1743))),"",IF(OR(K1743&lt;=0,L1743&lt;=0),"",ROUND(L1743-K1743,6)))</f>
        <v/>
      </c>
      <c r="N1743" s="58" t="n"/>
      <c r="O1743" s="62" t="n"/>
      <c r="P1743" s="63" t="str">
        <f>IF(OR(B1743="",NOT(ISNUMBER(L1743))),"",IF(L1743&lt;=0,"",IFERROR(ROUND(L1743*N(INDEX(art_w,MATCH(H1743,art_ref,0))),3),"")))</f>
        <v/>
      </c>
      <c r="Q1743" s="59" t="n"/>
      <c r="R1743" s="54" t="n"/>
      <c r="S1743" s="59" t="n"/>
      <c r="T1743" s="59" t="n"/>
      <c r="U1743" s="64" t="str">
        <f>IF(OR(B1743="",H1743=""),"",IFERROR(IF(A1743="BL",IF(N(INDEX(art_price,MATCH(H1743,art_ref,0)))=0,"",N(INDEX(art_price,MATCH(H1743,art_ref,0)))),IF(N(INDEX(art_cost,MATCH(H1743,art_ref,0)))=0,"",N(INDEX(art_cost,MATCH(H1743,art_ref,0))))),""))</f>
        <v/>
      </c>
      <c r="V1743" s="64" t="str">
        <f>IF(OR(U1743="",NOT(ISNUMBER(L1743))),"",IF(L1743&lt;=0,"",ROUND(L1743*U1743,2)))</f>
        <v/>
      </c>
      <c r="W1743" s="60" t="str">
        <f>IF(AND(B1743&lt;&gt;"",A1743&lt;&gt;"BS",F1743&lt;&gt;"",H1743&lt;&gt;"",ISNUMBER(K1743),ISNUMBER(L1743)),IF(AND(K1743&gt;0,L1743&gt;0,K1743-L1743&gt;0,COUNTIFS(A1744:A$2005,A1743,F1744:F$2005,F1743,H1744:H$2005,H1743,AA1744:AA$2005,"&gt;0")=0),ROUND(K1743-L1743,6),""),"")</f>
        <v/>
      </c>
      <c r="X1743" s="60" t="str">
        <f>IF(AND(A1743="",C1743="",D1743="",H1743="",L1743=""),"",IF(A1743="","Type manquant",IF(AND(A1743&lt;&gt;"BL",A1743&lt;&gt;"BR",A1743&lt;&gt;"BS"),"Type inconnu (BL, BR ou BS)",IF(AG1743=0,"Date manquante ou invalide",IF(D1743="",IF(A1743="BL","Client manquant",IF(A1743="BR","Fournisseur manquant","Service manquant")),IF(IF(A1743="BL",ISNA(MATCH(D1743,cl_code,0)),IF(A1743="BR",ISNA(MATCH(D1743,fo_code,0)),ISNA(MATCH(D1743,p_services,0)))),IF(A1743="BL","Client inconnu",IF(A1743="BR","Fournisseur inconnu","Service inconnu")),IF(H1743="","Article manquant",IF(ISNA(MATCH(H1743,art_ref,0)),"Article inconnu",IF(OR(NOT(ISNUMBER(L1743)),N(L1743)&lt;=0),"Quantité invalide",IF(AND(K1743&lt;&gt;"",OR(NOT(ISNUMBER(K1743)),N(K1743)&lt;=0)),"Qté commandée invalide",IF(AG1743&lt;SUMPRODUCT(MAX((A$6:A1742=A1743)*AG$6:AG1742)),"Date antérieure au bon précédent",IF(AND(A1743&lt;&gt;"BR",ISNUMBER(M1743),N(M1743)&gt;0),IF(A1743="BL","Livré plus que commandé","Sorti plus que demandé"),"OK"))))))))))))</f>
        <v/>
      </c>
      <c r="Y1743" s="57" t="str">
        <f>IF(AND(OR(A1743="BL",A1743="BR",A1743="BS"),AG1743&gt;0,D1743&lt;&gt;""),A1743&amp;"|"&amp;AG1743&amp;"|"&amp;D1743&amp;"|"&amp;F1743,"")</f>
        <v/>
      </c>
      <c r="Z1743" s="57" t="str">
        <f>IF(Y1743="","",IF(COUNTIF(Y$6:Y1742,Y1743)=0,1,0))</f>
        <v/>
      </c>
      <c r="AA1743" s="57" t="str">
        <f>IF(Y1743="","",IF(Z1743=1,COUNTIFS(A$6:A1743,A1743,Z$6:Z1743,1),INDEX(AA$6:AA1742,MATCH(Y1743,Y$6:Y1742,0))))</f>
        <v/>
      </c>
      <c r="AB1743" s="57" t="str">
        <f>IF(B1743="","",COUNTIF(B$6:B1743,B1743))</f>
        <v/>
      </c>
      <c r="AC1743" s="57" t="str">
        <f>IF(B1743="","",B1743&amp;"#"&amp;AB1743)</f>
        <v/>
      </c>
      <c r="AD1743" s="57" t="str">
        <f>IF(Z1743=1,A1743&amp;AA1743,"")</f>
        <v/>
      </c>
      <c r="AE1743" s="57" t="str">
        <f>IF(B1743="","",YEAR(C1743))</f>
        <v/>
      </c>
      <c r="AF1743" s="57" t="str">
        <f>IF(B1743="","",MONTH(C1743))</f>
        <v/>
      </c>
      <c r="AG1743" s="57">
        <f>IF(ISNUMBER(C1743),C1743,0)</f>
        <v>0.0</v>
      </c>
      <c r="AH1743" s="57" t="str">
        <f>IF(N(W1743)&gt;0,COUNTIF(W$6:W1743,"&gt;0"),"")</f>
        <v/>
      </c>
      <c r="AI1743" s="57" t="str">
        <f>IF(Z1743=1,COUNTIF(Z$6:Z1743,1),"")</f>
        <v/>
      </c>
    </row>
    <row r="1744">
      <c r="A1744" s="54" t="n"/>
      <c r="B1744" s="55" t="str">
        <f>IF(AA1744="","",A1744&amp;"-"&amp;RIGHT("000"&amp;AA1744,4))</f>
        <v/>
      </c>
      <c r="C1744" s="56" t="n"/>
      <c r="D1744" s="54" t="n"/>
      <c r="E1744" s="57" t="str">
        <f>IF(D1744="","",IF(A1744="BL",IFERROR(INDEX(cl_name,MATCH(D1744,cl_code,0))&amp;"","Client inconnu"),IF(A1744="BR",IFERROR(INDEX(fo_name,MATCH(D1744,fo_code,0))&amp;"","Fournisseur inconnu"),IF(A1744="BS",IF(ISNA(MATCH(D1744,p_services,0)),"Service inconnu",D1744&amp;""),""))))</f>
        <v/>
      </c>
      <c r="F1744" s="58" t="n"/>
      <c r="G1744" s="58" t="n"/>
      <c r="H1744" s="59" t="n"/>
      <c r="I1744" s="57" t="str">
        <f>IF(H1744="","",IFERROR(INDEX(art_des,MATCH(H1744,art_ref,0))&amp;"","Article inconnu"))</f>
        <v/>
      </c>
      <c r="J1744" s="60" t="str">
        <f>IF(H1744="","",IFERROR(INDEX(art_unit,MATCH(H1744,art_ref,0))&amp;"",""))</f>
        <v/>
      </c>
      <c r="K1744" s="59" t="n"/>
      <c r="L1744" s="59" t="n"/>
      <c r="M1744" s="61" t="str">
        <f>IF(OR(B1744="",NOT(ISNUMBER(K1744)),NOT(ISNUMBER(L1744))),"",IF(OR(K1744&lt;=0,L1744&lt;=0),"",ROUND(L1744-K1744,6)))</f>
        <v/>
      </c>
      <c r="N1744" s="58" t="n"/>
      <c r="O1744" s="62" t="n"/>
      <c r="P1744" s="63" t="str">
        <f>IF(OR(B1744="",NOT(ISNUMBER(L1744))),"",IF(L1744&lt;=0,"",IFERROR(ROUND(L1744*N(INDEX(art_w,MATCH(H1744,art_ref,0))),3),"")))</f>
        <v/>
      </c>
      <c r="Q1744" s="59" t="n"/>
      <c r="R1744" s="54" t="n"/>
      <c r="S1744" s="59" t="n"/>
      <c r="T1744" s="59" t="n"/>
      <c r="U1744" s="64" t="str">
        <f>IF(OR(B1744="",H1744=""),"",IFERROR(IF(A1744="BL",IF(N(INDEX(art_price,MATCH(H1744,art_ref,0)))=0,"",N(INDEX(art_price,MATCH(H1744,art_ref,0)))),IF(N(INDEX(art_cost,MATCH(H1744,art_ref,0)))=0,"",N(INDEX(art_cost,MATCH(H1744,art_ref,0))))),""))</f>
        <v/>
      </c>
      <c r="V1744" s="64" t="str">
        <f>IF(OR(U1744="",NOT(ISNUMBER(L1744))),"",IF(L1744&lt;=0,"",ROUND(L1744*U1744,2)))</f>
        <v/>
      </c>
      <c r="W1744" s="60" t="str">
        <f>IF(AND(B1744&lt;&gt;"",A1744&lt;&gt;"BS",F1744&lt;&gt;"",H1744&lt;&gt;"",ISNUMBER(K1744),ISNUMBER(L1744)),IF(AND(K1744&gt;0,L1744&gt;0,K1744-L1744&gt;0,COUNTIFS(A1745:A$2005,A1744,F1745:F$2005,F1744,H1745:H$2005,H1744,AA1745:AA$2005,"&gt;0")=0),ROUND(K1744-L1744,6),""),"")</f>
        <v/>
      </c>
      <c r="X1744" s="60" t="str">
        <f>IF(AND(A1744="",C1744="",D1744="",H1744="",L1744=""),"",IF(A1744="","Type manquant",IF(AND(A1744&lt;&gt;"BL",A1744&lt;&gt;"BR",A1744&lt;&gt;"BS"),"Type inconnu (BL, BR ou BS)",IF(AG1744=0,"Date manquante ou invalide",IF(D1744="",IF(A1744="BL","Client manquant",IF(A1744="BR","Fournisseur manquant","Service manquant")),IF(IF(A1744="BL",ISNA(MATCH(D1744,cl_code,0)),IF(A1744="BR",ISNA(MATCH(D1744,fo_code,0)),ISNA(MATCH(D1744,p_services,0)))),IF(A1744="BL","Client inconnu",IF(A1744="BR","Fournisseur inconnu","Service inconnu")),IF(H1744="","Article manquant",IF(ISNA(MATCH(H1744,art_ref,0)),"Article inconnu",IF(OR(NOT(ISNUMBER(L1744)),N(L1744)&lt;=0),"Quantité invalide",IF(AND(K1744&lt;&gt;"",OR(NOT(ISNUMBER(K1744)),N(K1744)&lt;=0)),"Qté commandée invalide",IF(AG1744&lt;SUMPRODUCT(MAX((A$6:A1743=A1744)*AG$6:AG1743)),"Date antérieure au bon précédent",IF(AND(A1744&lt;&gt;"BR",ISNUMBER(M1744),N(M1744)&gt;0),IF(A1744="BL","Livré plus que commandé","Sorti plus que demandé"),"OK"))))))))))))</f>
        <v/>
      </c>
      <c r="Y1744" s="57" t="str">
        <f>IF(AND(OR(A1744="BL",A1744="BR",A1744="BS"),AG1744&gt;0,D1744&lt;&gt;""),A1744&amp;"|"&amp;AG1744&amp;"|"&amp;D1744&amp;"|"&amp;F1744,"")</f>
        <v/>
      </c>
      <c r="Z1744" s="57" t="str">
        <f>IF(Y1744="","",IF(COUNTIF(Y$6:Y1743,Y1744)=0,1,0))</f>
        <v/>
      </c>
      <c r="AA1744" s="57" t="str">
        <f>IF(Y1744="","",IF(Z1744=1,COUNTIFS(A$6:A1744,A1744,Z$6:Z1744,1),INDEX(AA$6:AA1743,MATCH(Y1744,Y$6:Y1743,0))))</f>
        <v/>
      </c>
      <c r="AB1744" s="57" t="str">
        <f>IF(B1744="","",COUNTIF(B$6:B1744,B1744))</f>
        <v/>
      </c>
      <c r="AC1744" s="57" t="str">
        <f>IF(B1744="","",B1744&amp;"#"&amp;AB1744)</f>
        <v/>
      </c>
      <c r="AD1744" s="57" t="str">
        <f>IF(Z1744=1,A1744&amp;AA1744,"")</f>
        <v/>
      </c>
      <c r="AE1744" s="57" t="str">
        <f>IF(B1744="","",YEAR(C1744))</f>
        <v/>
      </c>
      <c r="AF1744" s="57" t="str">
        <f>IF(B1744="","",MONTH(C1744))</f>
        <v/>
      </c>
      <c r="AG1744" s="57">
        <f>IF(ISNUMBER(C1744),C1744,0)</f>
        <v>0.0</v>
      </c>
      <c r="AH1744" s="57" t="str">
        <f>IF(N(W1744)&gt;0,COUNTIF(W$6:W1744,"&gt;0"),"")</f>
        <v/>
      </c>
      <c r="AI1744" s="57" t="str">
        <f>IF(Z1744=1,COUNTIF(Z$6:Z1744,1),"")</f>
        <v/>
      </c>
    </row>
    <row r="1745">
      <c r="A1745" s="54" t="n"/>
      <c r="B1745" s="55" t="str">
        <f>IF(AA1745="","",A1745&amp;"-"&amp;RIGHT("000"&amp;AA1745,4))</f>
        <v/>
      </c>
      <c r="C1745" s="56" t="n"/>
      <c r="D1745" s="54" t="n"/>
      <c r="E1745" s="57" t="str">
        <f>IF(D1745="","",IF(A1745="BL",IFERROR(INDEX(cl_name,MATCH(D1745,cl_code,0))&amp;"","Client inconnu"),IF(A1745="BR",IFERROR(INDEX(fo_name,MATCH(D1745,fo_code,0))&amp;"","Fournisseur inconnu"),IF(A1745="BS",IF(ISNA(MATCH(D1745,p_services,0)),"Service inconnu",D1745&amp;""),""))))</f>
        <v/>
      </c>
      <c r="F1745" s="58" t="n"/>
      <c r="G1745" s="58" t="n"/>
      <c r="H1745" s="59" t="n"/>
      <c r="I1745" s="57" t="str">
        <f>IF(H1745="","",IFERROR(INDEX(art_des,MATCH(H1745,art_ref,0))&amp;"","Article inconnu"))</f>
        <v/>
      </c>
      <c r="J1745" s="60" t="str">
        <f>IF(H1745="","",IFERROR(INDEX(art_unit,MATCH(H1745,art_ref,0))&amp;"",""))</f>
        <v/>
      </c>
      <c r="K1745" s="59" t="n"/>
      <c r="L1745" s="59" t="n"/>
      <c r="M1745" s="61" t="str">
        <f>IF(OR(B1745="",NOT(ISNUMBER(K1745)),NOT(ISNUMBER(L1745))),"",IF(OR(K1745&lt;=0,L1745&lt;=0),"",ROUND(L1745-K1745,6)))</f>
        <v/>
      </c>
      <c r="N1745" s="58" t="n"/>
      <c r="O1745" s="62" t="n"/>
      <c r="P1745" s="63" t="str">
        <f>IF(OR(B1745="",NOT(ISNUMBER(L1745))),"",IF(L1745&lt;=0,"",IFERROR(ROUND(L1745*N(INDEX(art_w,MATCH(H1745,art_ref,0))),3),"")))</f>
        <v/>
      </c>
      <c r="Q1745" s="59" t="n"/>
      <c r="R1745" s="54" t="n"/>
      <c r="S1745" s="59" t="n"/>
      <c r="T1745" s="59" t="n"/>
      <c r="U1745" s="64" t="str">
        <f>IF(OR(B1745="",H1745=""),"",IFERROR(IF(A1745="BL",IF(N(INDEX(art_price,MATCH(H1745,art_ref,0)))=0,"",N(INDEX(art_price,MATCH(H1745,art_ref,0)))),IF(N(INDEX(art_cost,MATCH(H1745,art_ref,0)))=0,"",N(INDEX(art_cost,MATCH(H1745,art_ref,0))))),""))</f>
        <v/>
      </c>
      <c r="V1745" s="64" t="str">
        <f>IF(OR(U1745="",NOT(ISNUMBER(L1745))),"",IF(L1745&lt;=0,"",ROUND(L1745*U1745,2)))</f>
        <v/>
      </c>
      <c r="W1745" s="60" t="str">
        <f>IF(AND(B1745&lt;&gt;"",A1745&lt;&gt;"BS",F1745&lt;&gt;"",H1745&lt;&gt;"",ISNUMBER(K1745),ISNUMBER(L1745)),IF(AND(K1745&gt;0,L1745&gt;0,K1745-L1745&gt;0,COUNTIFS(A1746:A$2005,A1745,F1746:F$2005,F1745,H1746:H$2005,H1745,AA1746:AA$2005,"&gt;0")=0),ROUND(K1745-L1745,6),""),"")</f>
        <v/>
      </c>
      <c r="X1745" s="60" t="str">
        <f>IF(AND(A1745="",C1745="",D1745="",H1745="",L1745=""),"",IF(A1745="","Type manquant",IF(AND(A1745&lt;&gt;"BL",A1745&lt;&gt;"BR",A1745&lt;&gt;"BS"),"Type inconnu (BL, BR ou BS)",IF(AG1745=0,"Date manquante ou invalide",IF(D1745="",IF(A1745="BL","Client manquant",IF(A1745="BR","Fournisseur manquant","Service manquant")),IF(IF(A1745="BL",ISNA(MATCH(D1745,cl_code,0)),IF(A1745="BR",ISNA(MATCH(D1745,fo_code,0)),ISNA(MATCH(D1745,p_services,0)))),IF(A1745="BL","Client inconnu",IF(A1745="BR","Fournisseur inconnu","Service inconnu")),IF(H1745="","Article manquant",IF(ISNA(MATCH(H1745,art_ref,0)),"Article inconnu",IF(OR(NOT(ISNUMBER(L1745)),N(L1745)&lt;=0),"Quantité invalide",IF(AND(K1745&lt;&gt;"",OR(NOT(ISNUMBER(K1745)),N(K1745)&lt;=0)),"Qté commandée invalide",IF(AG1745&lt;SUMPRODUCT(MAX((A$6:A1744=A1745)*AG$6:AG1744)),"Date antérieure au bon précédent",IF(AND(A1745&lt;&gt;"BR",ISNUMBER(M1745),N(M1745)&gt;0),IF(A1745="BL","Livré plus que commandé","Sorti plus que demandé"),"OK"))))))))))))</f>
        <v/>
      </c>
      <c r="Y1745" s="57" t="str">
        <f>IF(AND(OR(A1745="BL",A1745="BR",A1745="BS"),AG1745&gt;0,D1745&lt;&gt;""),A1745&amp;"|"&amp;AG1745&amp;"|"&amp;D1745&amp;"|"&amp;F1745,"")</f>
        <v/>
      </c>
      <c r="Z1745" s="57" t="str">
        <f>IF(Y1745="","",IF(COUNTIF(Y$6:Y1744,Y1745)=0,1,0))</f>
        <v/>
      </c>
      <c r="AA1745" s="57" t="str">
        <f>IF(Y1745="","",IF(Z1745=1,COUNTIFS(A$6:A1745,A1745,Z$6:Z1745,1),INDEX(AA$6:AA1744,MATCH(Y1745,Y$6:Y1744,0))))</f>
        <v/>
      </c>
      <c r="AB1745" s="57" t="str">
        <f>IF(B1745="","",COUNTIF(B$6:B1745,B1745))</f>
        <v/>
      </c>
      <c r="AC1745" s="57" t="str">
        <f>IF(B1745="","",B1745&amp;"#"&amp;AB1745)</f>
        <v/>
      </c>
      <c r="AD1745" s="57" t="str">
        <f>IF(Z1745=1,A1745&amp;AA1745,"")</f>
        <v/>
      </c>
      <c r="AE1745" s="57" t="str">
        <f>IF(B1745="","",YEAR(C1745))</f>
        <v/>
      </c>
      <c r="AF1745" s="57" t="str">
        <f>IF(B1745="","",MONTH(C1745))</f>
        <v/>
      </c>
      <c r="AG1745" s="57">
        <f>IF(ISNUMBER(C1745),C1745,0)</f>
        <v>0.0</v>
      </c>
      <c r="AH1745" s="57" t="str">
        <f>IF(N(W1745)&gt;0,COUNTIF(W$6:W1745,"&gt;0"),"")</f>
        <v/>
      </c>
      <c r="AI1745" s="57" t="str">
        <f>IF(Z1745=1,COUNTIF(Z$6:Z1745,1),"")</f>
        <v/>
      </c>
    </row>
    <row r="1746">
      <c r="A1746" s="54" t="n"/>
      <c r="B1746" s="55" t="str">
        <f>IF(AA1746="","",A1746&amp;"-"&amp;RIGHT("000"&amp;AA1746,4))</f>
        <v/>
      </c>
      <c r="C1746" s="56" t="n"/>
      <c r="D1746" s="54" t="n"/>
      <c r="E1746" s="57" t="str">
        <f>IF(D1746="","",IF(A1746="BL",IFERROR(INDEX(cl_name,MATCH(D1746,cl_code,0))&amp;"","Client inconnu"),IF(A1746="BR",IFERROR(INDEX(fo_name,MATCH(D1746,fo_code,0))&amp;"","Fournisseur inconnu"),IF(A1746="BS",IF(ISNA(MATCH(D1746,p_services,0)),"Service inconnu",D1746&amp;""),""))))</f>
        <v/>
      </c>
      <c r="F1746" s="58" t="n"/>
      <c r="G1746" s="58" t="n"/>
      <c r="H1746" s="59" t="n"/>
      <c r="I1746" s="57" t="str">
        <f>IF(H1746="","",IFERROR(INDEX(art_des,MATCH(H1746,art_ref,0))&amp;"","Article inconnu"))</f>
        <v/>
      </c>
      <c r="J1746" s="60" t="str">
        <f>IF(H1746="","",IFERROR(INDEX(art_unit,MATCH(H1746,art_ref,0))&amp;"",""))</f>
        <v/>
      </c>
      <c r="K1746" s="59" t="n"/>
      <c r="L1746" s="59" t="n"/>
      <c r="M1746" s="61" t="str">
        <f>IF(OR(B1746="",NOT(ISNUMBER(K1746)),NOT(ISNUMBER(L1746))),"",IF(OR(K1746&lt;=0,L1746&lt;=0),"",ROUND(L1746-K1746,6)))</f>
        <v/>
      </c>
      <c r="N1746" s="58" t="n"/>
      <c r="O1746" s="62" t="n"/>
      <c r="P1746" s="63" t="str">
        <f>IF(OR(B1746="",NOT(ISNUMBER(L1746))),"",IF(L1746&lt;=0,"",IFERROR(ROUND(L1746*N(INDEX(art_w,MATCH(H1746,art_ref,0))),3),"")))</f>
        <v/>
      </c>
      <c r="Q1746" s="59" t="n"/>
      <c r="R1746" s="54" t="n"/>
      <c r="S1746" s="59" t="n"/>
      <c r="T1746" s="59" t="n"/>
      <c r="U1746" s="64" t="str">
        <f>IF(OR(B1746="",H1746=""),"",IFERROR(IF(A1746="BL",IF(N(INDEX(art_price,MATCH(H1746,art_ref,0)))=0,"",N(INDEX(art_price,MATCH(H1746,art_ref,0)))),IF(N(INDEX(art_cost,MATCH(H1746,art_ref,0)))=0,"",N(INDEX(art_cost,MATCH(H1746,art_ref,0))))),""))</f>
        <v/>
      </c>
      <c r="V1746" s="64" t="str">
        <f>IF(OR(U1746="",NOT(ISNUMBER(L1746))),"",IF(L1746&lt;=0,"",ROUND(L1746*U1746,2)))</f>
        <v/>
      </c>
      <c r="W1746" s="60" t="str">
        <f>IF(AND(B1746&lt;&gt;"",A1746&lt;&gt;"BS",F1746&lt;&gt;"",H1746&lt;&gt;"",ISNUMBER(K1746),ISNUMBER(L1746)),IF(AND(K1746&gt;0,L1746&gt;0,K1746-L1746&gt;0,COUNTIFS(A1747:A$2005,A1746,F1747:F$2005,F1746,H1747:H$2005,H1746,AA1747:AA$2005,"&gt;0")=0),ROUND(K1746-L1746,6),""),"")</f>
        <v/>
      </c>
      <c r="X1746" s="60" t="str">
        <f>IF(AND(A1746="",C1746="",D1746="",H1746="",L1746=""),"",IF(A1746="","Type manquant",IF(AND(A1746&lt;&gt;"BL",A1746&lt;&gt;"BR",A1746&lt;&gt;"BS"),"Type inconnu (BL, BR ou BS)",IF(AG1746=0,"Date manquante ou invalide",IF(D1746="",IF(A1746="BL","Client manquant",IF(A1746="BR","Fournisseur manquant","Service manquant")),IF(IF(A1746="BL",ISNA(MATCH(D1746,cl_code,0)),IF(A1746="BR",ISNA(MATCH(D1746,fo_code,0)),ISNA(MATCH(D1746,p_services,0)))),IF(A1746="BL","Client inconnu",IF(A1746="BR","Fournisseur inconnu","Service inconnu")),IF(H1746="","Article manquant",IF(ISNA(MATCH(H1746,art_ref,0)),"Article inconnu",IF(OR(NOT(ISNUMBER(L1746)),N(L1746)&lt;=0),"Quantité invalide",IF(AND(K1746&lt;&gt;"",OR(NOT(ISNUMBER(K1746)),N(K1746)&lt;=0)),"Qté commandée invalide",IF(AG1746&lt;SUMPRODUCT(MAX((A$6:A1745=A1746)*AG$6:AG1745)),"Date antérieure au bon précédent",IF(AND(A1746&lt;&gt;"BR",ISNUMBER(M1746),N(M1746)&gt;0),IF(A1746="BL","Livré plus que commandé","Sorti plus que demandé"),"OK"))))))))))))</f>
        <v/>
      </c>
      <c r="Y1746" s="57" t="str">
        <f>IF(AND(OR(A1746="BL",A1746="BR",A1746="BS"),AG1746&gt;0,D1746&lt;&gt;""),A1746&amp;"|"&amp;AG1746&amp;"|"&amp;D1746&amp;"|"&amp;F1746,"")</f>
        <v/>
      </c>
      <c r="Z1746" s="57" t="str">
        <f>IF(Y1746="","",IF(COUNTIF(Y$6:Y1745,Y1746)=0,1,0))</f>
        <v/>
      </c>
      <c r="AA1746" s="57" t="str">
        <f>IF(Y1746="","",IF(Z1746=1,COUNTIFS(A$6:A1746,A1746,Z$6:Z1746,1),INDEX(AA$6:AA1745,MATCH(Y1746,Y$6:Y1745,0))))</f>
        <v/>
      </c>
      <c r="AB1746" s="57" t="str">
        <f>IF(B1746="","",COUNTIF(B$6:B1746,B1746))</f>
        <v/>
      </c>
      <c r="AC1746" s="57" t="str">
        <f>IF(B1746="","",B1746&amp;"#"&amp;AB1746)</f>
        <v/>
      </c>
      <c r="AD1746" s="57" t="str">
        <f>IF(Z1746=1,A1746&amp;AA1746,"")</f>
        <v/>
      </c>
      <c r="AE1746" s="57" t="str">
        <f>IF(B1746="","",YEAR(C1746))</f>
        <v/>
      </c>
      <c r="AF1746" s="57" t="str">
        <f>IF(B1746="","",MONTH(C1746))</f>
        <v/>
      </c>
      <c r="AG1746" s="57">
        <f>IF(ISNUMBER(C1746),C1746,0)</f>
        <v>0.0</v>
      </c>
      <c r="AH1746" s="57" t="str">
        <f>IF(N(W1746)&gt;0,COUNTIF(W$6:W1746,"&gt;0"),"")</f>
        <v/>
      </c>
      <c r="AI1746" s="57" t="str">
        <f>IF(Z1746=1,COUNTIF(Z$6:Z1746,1),"")</f>
        <v/>
      </c>
    </row>
    <row r="1747">
      <c r="A1747" s="54" t="n"/>
      <c r="B1747" s="55" t="str">
        <f>IF(AA1747="","",A1747&amp;"-"&amp;RIGHT("000"&amp;AA1747,4))</f>
        <v/>
      </c>
      <c r="C1747" s="56" t="n"/>
      <c r="D1747" s="54" t="n"/>
      <c r="E1747" s="57" t="str">
        <f>IF(D1747="","",IF(A1747="BL",IFERROR(INDEX(cl_name,MATCH(D1747,cl_code,0))&amp;"","Client inconnu"),IF(A1747="BR",IFERROR(INDEX(fo_name,MATCH(D1747,fo_code,0))&amp;"","Fournisseur inconnu"),IF(A1747="BS",IF(ISNA(MATCH(D1747,p_services,0)),"Service inconnu",D1747&amp;""),""))))</f>
        <v/>
      </c>
      <c r="F1747" s="58" t="n"/>
      <c r="G1747" s="58" t="n"/>
      <c r="H1747" s="59" t="n"/>
      <c r="I1747" s="57" t="str">
        <f>IF(H1747="","",IFERROR(INDEX(art_des,MATCH(H1747,art_ref,0))&amp;"","Article inconnu"))</f>
        <v/>
      </c>
      <c r="J1747" s="60" t="str">
        <f>IF(H1747="","",IFERROR(INDEX(art_unit,MATCH(H1747,art_ref,0))&amp;"",""))</f>
        <v/>
      </c>
      <c r="K1747" s="59" t="n"/>
      <c r="L1747" s="59" t="n"/>
      <c r="M1747" s="61" t="str">
        <f>IF(OR(B1747="",NOT(ISNUMBER(K1747)),NOT(ISNUMBER(L1747))),"",IF(OR(K1747&lt;=0,L1747&lt;=0),"",ROUND(L1747-K1747,6)))</f>
        <v/>
      </c>
      <c r="N1747" s="58" t="n"/>
      <c r="O1747" s="62" t="n"/>
      <c r="P1747" s="63" t="str">
        <f>IF(OR(B1747="",NOT(ISNUMBER(L1747))),"",IF(L1747&lt;=0,"",IFERROR(ROUND(L1747*N(INDEX(art_w,MATCH(H1747,art_ref,0))),3),"")))</f>
        <v/>
      </c>
      <c r="Q1747" s="59" t="n"/>
      <c r="R1747" s="54" t="n"/>
      <c r="S1747" s="59" t="n"/>
      <c r="T1747" s="59" t="n"/>
      <c r="U1747" s="64" t="str">
        <f>IF(OR(B1747="",H1747=""),"",IFERROR(IF(A1747="BL",IF(N(INDEX(art_price,MATCH(H1747,art_ref,0)))=0,"",N(INDEX(art_price,MATCH(H1747,art_ref,0)))),IF(N(INDEX(art_cost,MATCH(H1747,art_ref,0)))=0,"",N(INDEX(art_cost,MATCH(H1747,art_ref,0))))),""))</f>
        <v/>
      </c>
      <c r="V1747" s="64" t="str">
        <f>IF(OR(U1747="",NOT(ISNUMBER(L1747))),"",IF(L1747&lt;=0,"",ROUND(L1747*U1747,2)))</f>
        <v/>
      </c>
      <c r="W1747" s="60" t="str">
        <f>IF(AND(B1747&lt;&gt;"",A1747&lt;&gt;"BS",F1747&lt;&gt;"",H1747&lt;&gt;"",ISNUMBER(K1747),ISNUMBER(L1747)),IF(AND(K1747&gt;0,L1747&gt;0,K1747-L1747&gt;0,COUNTIFS(A1748:A$2005,A1747,F1748:F$2005,F1747,H1748:H$2005,H1747,AA1748:AA$2005,"&gt;0")=0),ROUND(K1747-L1747,6),""),"")</f>
        <v/>
      </c>
      <c r="X1747" s="60" t="str">
        <f>IF(AND(A1747="",C1747="",D1747="",H1747="",L1747=""),"",IF(A1747="","Type manquant",IF(AND(A1747&lt;&gt;"BL",A1747&lt;&gt;"BR",A1747&lt;&gt;"BS"),"Type inconnu (BL, BR ou BS)",IF(AG1747=0,"Date manquante ou invalide",IF(D1747="",IF(A1747="BL","Client manquant",IF(A1747="BR","Fournisseur manquant","Service manquant")),IF(IF(A1747="BL",ISNA(MATCH(D1747,cl_code,0)),IF(A1747="BR",ISNA(MATCH(D1747,fo_code,0)),ISNA(MATCH(D1747,p_services,0)))),IF(A1747="BL","Client inconnu",IF(A1747="BR","Fournisseur inconnu","Service inconnu")),IF(H1747="","Article manquant",IF(ISNA(MATCH(H1747,art_ref,0)),"Article inconnu",IF(OR(NOT(ISNUMBER(L1747)),N(L1747)&lt;=0),"Quantité invalide",IF(AND(K1747&lt;&gt;"",OR(NOT(ISNUMBER(K1747)),N(K1747)&lt;=0)),"Qté commandée invalide",IF(AG1747&lt;SUMPRODUCT(MAX((A$6:A1746=A1747)*AG$6:AG1746)),"Date antérieure au bon précédent",IF(AND(A1747&lt;&gt;"BR",ISNUMBER(M1747),N(M1747)&gt;0),IF(A1747="BL","Livré plus que commandé","Sorti plus que demandé"),"OK"))))))))))))</f>
        <v/>
      </c>
      <c r="Y1747" s="57" t="str">
        <f>IF(AND(OR(A1747="BL",A1747="BR",A1747="BS"),AG1747&gt;0,D1747&lt;&gt;""),A1747&amp;"|"&amp;AG1747&amp;"|"&amp;D1747&amp;"|"&amp;F1747,"")</f>
        <v/>
      </c>
      <c r="Z1747" s="57" t="str">
        <f>IF(Y1747="","",IF(COUNTIF(Y$6:Y1746,Y1747)=0,1,0))</f>
        <v/>
      </c>
      <c r="AA1747" s="57" t="str">
        <f>IF(Y1747="","",IF(Z1747=1,COUNTIFS(A$6:A1747,A1747,Z$6:Z1747,1),INDEX(AA$6:AA1746,MATCH(Y1747,Y$6:Y1746,0))))</f>
        <v/>
      </c>
      <c r="AB1747" s="57" t="str">
        <f>IF(B1747="","",COUNTIF(B$6:B1747,B1747))</f>
        <v/>
      </c>
      <c r="AC1747" s="57" t="str">
        <f>IF(B1747="","",B1747&amp;"#"&amp;AB1747)</f>
        <v/>
      </c>
      <c r="AD1747" s="57" t="str">
        <f>IF(Z1747=1,A1747&amp;AA1747,"")</f>
        <v/>
      </c>
      <c r="AE1747" s="57" t="str">
        <f>IF(B1747="","",YEAR(C1747))</f>
        <v/>
      </c>
      <c r="AF1747" s="57" t="str">
        <f>IF(B1747="","",MONTH(C1747))</f>
        <v/>
      </c>
      <c r="AG1747" s="57">
        <f>IF(ISNUMBER(C1747),C1747,0)</f>
        <v>0.0</v>
      </c>
      <c r="AH1747" s="57" t="str">
        <f>IF(N(W1747)&gt;0,COUNTIF(W$6:W1747,"&gt;0"),"")</f>
        <v/>
      </c>
      <c r="AI1747" s="57" t="str">
        <f>IF(Z1747=1,COUNTIF(Z$6:Z1747,1),"")</f>
        <v/>
      </c>
    </row>
    <row r="1748">
      <c r="A1748" s="54" t="n"/>
      <c r="B1748" s="55" t="str">
        <f>IF(AA1748="","",A1748&amp;"-"&amp;RIGHT("000"&amp;AA1748,4))</f>
        <v/>
      </c>
      <c r="C1748" s="56" t="n"/>
      <c r="D1748" s="54" t="n"/>
      <c r="E1748" s="57" t="str">
        <f>IF(D1748="","",IF(A1748="BL",IFERROR(INDEX(cl_name,MATCH(D1748,cl_code,0))&amp;"","Client inconnu"),IF(A1748="BR",IFERROR(INDEX(fo_name,MATCH(D1748,fo_code,0))&amp;"","Fournisseur inconnu"),IF(A1748="BS",IF(ISNA(MATCH(D1748,p_services,0)),"Service inconnu",D1748&amp;""),""))))</f>
        <v/>
      </c>
      <c r="F1748" s="58" t="n"/>
      <c r="G1748" s="58" t="n"/>
      <c r="H1748" s="59" t="n"/>
      <c r="I1748" s="57" t="str">
        <f>IF(H1748="","",IFERROR(INDEX(art_des,MATCH(H1748,art_ref,0))&amp;"","Article inconnu"))</f>
        <v/>
      </c>
      <c r="J1748" s="60" t="str">
        <f>IF(H1748="","",IFERROR(INDEX(art_unit,MATCH(H1748,art_ref,0))&amp;"",""))</f>
        <v/>
      </c>
      <c r="K1748" s="59" t="n"/>
      <c r="L1748" s="59" t="n"/>
      <c r="M1748" s="61" t="str">
        <f>IF(OR(B1748="",NOT(ISNUMBER(K1748)),NOT(ISNUMBER(L1748))),"",IF(OR(K1748&lt;=0,L1748&lt;=0),"",ROUND(L1748-K1748,6)))</f>
        <v/>
      </c>
      <c r="N1748" s="58" t="n"/>
      <c r="O1748" s="62" t="n"/>
      <c r="P1748" s="63" t="str">
        <f>IF(OR(B1748="",NOT(ISNUMBER(L1748))),"",IF(L1748&lt;=0,"",IFERROR(ROUND(L1748*N(INDEX(art_w,MATCH(H1748,art_ref,0))),3),"")))</f>
        <v/>
      </c>
      <c r="Q1748" s="59" t="n"/>
      <c r="R1748" s="54" t="n"/>
      <c r="S1748" s="59" t="n"/>
      <c r="T1748" s="59" t="n"/>
      <c r="U1748" s="64" t="str">
        <f>IF(OR(B1748="",H1748=""),"",IFERROR(IF(A1748="BL",IF(N(INDEX(art_price,MATCH(H1748,art_ref,0)))=0,"",N(INDEX(art_price,MATCH(H1748,art_ref,0)))),IF(N(INDEX(art_cost,MATCH(H1748,art_ref,0)))=0,"",N(INDEX(art_cost,MATCH(H1748,art_ref,0))))),""))</f>
        <v/>
      </c>
      <c r="V1748" s="64" t="str">
        <f>IF(OR(U1748="",NOT(ISNUMBER(L1748))),"",IF(L1748&lt;=0,"",ROUND(L1748*U1748,2)))</f>
        <v/>
      </c>
      <c r="W1748" s="60" t="str">
        <f>IF(AND(B1748&lt;&gt;"",A1748&lt;&gt;"BS",F1748&lt;&gt;"",H1748&lt;&gt;"",ISNUMBER(K1748),ISNUMBER(L1748)),IF(AND(K1748&gt;0,L1748&gt;0,K1748-L1748&gt;0,COUNTIFS(A1749:A$2005,A1748,F1749:F$2005,F1748,H1749:H$2005,H1748,AA1749:AA$2005,"&gt;0")=0),ROUND(K1748-L1748,6),""),"")</f>
        <v/>
      </c>
      <c r="X1748" s="60" t="str">
        <f>IF(AND(A1748="",C1748="",D1748="",H1748="",L1748=""),"",IF(A1748="","Type manquant",IF(AND(A1748&lt;&gt;"BL",A1748&lt;&gt;"BR",A1748&lt;&gt;"BS"),"Type inconnu (BL, BR ou BS)",IF(AG1748=0,"Date manquante ou invalide",IF(D1748="",IF(A1748="BL","Client manquant",IF(A1748="BR","Fournisseur manquant","Service manquant")),IF(IF(A1748="BL",ISNA(MATCH(D1748,cl_code,0)),IF(A1748="BR",ISNA(MATCH(D1748,fo_code,0)),ISNA(MATCH(D1748,p_services,0)))),IF(A1748="BL","Client inconnu",IF(A1748="BR","Fournisseur inconnu","Service inconnu")),IF(H1748="","Article manquant",IF(ISNA(MATCH(H1748,art_ref,0)),"Article inconnu",IF(OR(NOT(ISNUMBER(L1748)),N(L1748)&lt;=0),"Quantité invalide",IF(AND(K1748&lt;&gt;"",OR(NOT(ISNUMBER(K1748)),N(K1748)&lt;=0)),"Qté commandée invalide",IF(AG1748&lt;SUMPRODUCT(MAX((A$6:A1747=A1748)*AG$6:AG1747)),"Date antérieure au bon précédent",IF(AND(A1748&lt;&gt;"BR",ISNUMBER(M1748),N(M1748)&gt;0),IF(A1748="BL","Livré plus que commandé","Sorti plus que demandé"),"OK"))))))))))))</f>
        <v/>
      </c>
      <c r="Y1748" s="57" t="str">
        <f>IF(AND(OR(A1748="BL",A1748="BR",A1748="BS"),AG1748&gt;0,D1748&lt;&gt;""),A1748&amp;"|"&amp;AG1748&amp;"|"&amp;D1748&amp;"|"&amp;F1748,"")</f>
        <v/>
      </c>
      <c r="Z1748" s="57" t="str">
        <f>IF(Y1748="","",IF(COUNTIF(Y$6:Y1747,Y1748)=0,1,0))</f>
        <v/>
      </c>
      <c r="AA1748" s="57" t="str">
        <f>IF(Y1748="","",IF(Z1748=1,COUNTIFS(A$6:A1748,A1748,Z$6:Z1748,1),INDEX(AA$6:AA1747,MATCH(Y1748,Y$6:Y1747,0))))</f>
        <v/>
      </c>
      <c r="AB1748" s="57" t="str">
        <f>IF(B1748="","",COUNTIF(B$6:B1748,B1748))</f>
        <v/>
      </c>
      <c r="AC1748" s="57" t="str">
        <f>IF(B1748="","",B1748&amp;"#"&amp;AB1748)</f>
        <v/>
      </c>
      <c r="AD1748" s="57" t="str">
        <f>IF(Z1748=1,A1748&amp;AA1748,"")</f>
        <v/>
      </c>
      <c r="AE1748" s="57" t="str">
        <f>IF(B1748="","",YEAR(C1748))</f>
        <v/>
      </c>
      <c r="AF1748" s="57" t="str">
        <f>IF(B1748="","",MONTH(C1748))</f>
        <v/>
      </c>
      <c r="AG1748" s="57">
        <f>IF(ISNUMBER(C1748),C1748,0)</f>
        <v>0.0</v>
      </c>
      <c r="AH1748" s="57" t="str">
        <f>IF(N(W1748)&gt;0,COUNTIF(W$6:W1748,"&gt;0"),"")</f>
        <v/>
      </c>
      <c r="AI1748" s="57" t="str">
        <f>IF(Z1748=1,COUNTIF(Z$6:Z1748,1),"")</f>
        <v/>
      </c>
    </row>
    <row r="1749">
      <c r="A1749" s="54" t="n"/>
      <c r="B1749" s="55" t="str">
        <f>IF(AA1749="","",A1749&amp;"-"&amp;RIGHT("000"&amp;AA1749,4))</f>
        <v/>
      </c>
      <c r="C1749" s="56" t="n"/>
      <c r="D1749" s="54" t="n"/>
      <c r="E1749" s="57" t="str">
        <f>IF(D1749="","",IF(A1749="BL",IFERROR(INDEX(cl_name,MATCH(D1749,cl_code,0))&amp;"","Client inconnu"),IF(A1749="BR",IFERROR(INDEX(fo_name,MATCH(D1749,fo_code,0))&amp;"","Fournisseur inconnu"),IF(A1749="BS",IF(ISNA(MATCH(D1749,p_services,0)),"Service inconnu",D1749&amp;""),""))))</f>
        <v/>
      </c>
      <c r="F1749" s="58" t="n"/>
      <c r="G1749" s="58" t="n"/>
      <c r="H1749" s="59" t="n"/>
      <c r="I1749" s="57" t="str">
        <f>IF(H1749="","",IFERROR(INDEX(art_des,MATCH(H1749,art_ref,0))&amp;"","Article inconnu"))</f>
        <v/>
      </c>
      <c r="J1749" s="60" t="str">
        <f>IF(H1749="","",IFERROR(INDEX(art_unit,MATCH(H1749,art_ref,0))&amp;"",""))</f>
        <v/>
      </c>
      <c r="K1749" s="59" t="n"/>
      <c r="L1749" s="59" t="n"/>
      <c r="M1749" s="61" t="str">
        <f>IF(OR(B1749="",NOT(ISNUMBER(K1749)),NOT(ISNUMBER(L1749))),"",IF(OR(K1749&lt;=0,L1749&lt;=0),"",ROUND(L1749-K1749,6)))</f>
        <v/>
      </c>
      <c r="N1749" s="58" t="n"/>
      <c r="O1749" s="62" t="n"/>
      <c r="P1749" s="63" t="str">
        <f>IF(OR(B1749="",NOT(ISNUMBER(L1749))),"",IF(L1749&lt;=0,"",IFERROR(ROUND(L1749*N(INDEX(art_w,MATCH(H1749,art_ref,0))),3),"")))</f>
        <v/>
      </c>
      <c r="Q1749" s="59" t="n"/>
      <c r="R1749" s="54" t="n"/>
      <c r="S1749" s="59" t="n"/>
      <c r="T1749" s="59" t="n"/>
      <c r="U1749" s="64" t="str">
        <f>IF(OR(B1749="",H1749=""),"",IFERROR(IF(A1749="BL",IF(N(INDEX(art_price,MATCH(H1749,art_ref,0)))=0,"",N(INDEX(art_price,MATCH(H1749,art_ref,0)))),IF(N(INDEX(art_cost,MATCH(H1749,art_ref,0)))=0,"",N(INDEX(art_cost,MATCH(H1749,art_ref,0))))),""))</f>
        <v/>
      </c>
      <c r="V1749" s="64" t="str">
        <f>IF(OR(U1749="",NOT(ISNUMBER(L1749))),"",IF(L1749&lt;=0,"",ROUND(L1749*U1749,2)))</f>
        <v/>
      </c>
      <c r="W1749" s="60" t="str">
        <f>IF(AND(B1749&lt;&gt;"",A1749&lt;&gt;"BS",F1749&lt;&gt;"",H1749&lt;&gt;"",ISNUMBER(K1749),ISNUMBER(L1749)),IF(AND(K1749&gt;0,L1749&gt;0,K1749-L1749&gt;0,COUNTIFS(A1750:A$2005,A1749,F1750:F$2005,F1749,H1750:H$2005,H1749,AA1750:AA$2005,"&gt;0")=0),ROUND(K1749-L1749,6),""),"")</f>
        <v/>
      </c>
      <c r="X1749" s="60" t="str">
        <f>IF(AND(A1749="",C1749="",D1749="",H1749="",L1749=""),"",IF(A1749="","Type manquant",IF(AND(A1749&lt;&gt;"BL",A1749&lt;&gt;"BR",A1749&lt;&gt;"BS"),"Type inconnu (BL, BR ou BS)",IF(AG1749=0,"Date manquante ou invalide",IF(D1749="",IF(A1749="BL","Client manquant",IF(A1749="BR","Fournisseur manquant","Service manquant")),IF(IF(A1749="BL",ISNA(MATCH(D1749,cl_code,0)),IF(A1749="BR",ISNA(MATCH(D1749,fo_code,0)),ISNA(MATCH(D1749,p_services,0)))),IF(A1749="BL","Client inconnu",IF(A1749="BR","Fournisseur inconnu","Service inconnu")),IF(H1749="","Article manquant",IF(ISNA(MATCH(H1749,art_ref,0)),"Article inconnu",IF(OR(NOT(ISNUMBER(L1749)),N(L1749)&lt;=0),"Quantité invalide",IF(AND(K1749&lt;&gt;"",OR(NOT(ISNUMBER(K1749)),N(K1749)&lt;=0)),"Qté commandée invalide",IF(AG1749&lt;SUMPRODUCT(MAX((A$6:A1748=A1749)*AG$6:AG1748)),"Date antérieure au bon précédent",IF(AND(A1749&lt;&gt;"BR",ISNUMBER(M1749),N(M1749)&gt;0),IF(A1749="BL","Livré plus que commandé","Sorti plus que demandé"),"OK"))))))))))))</f>
        <v/>
      </c>
      <c r="Y1749" s="57" t="str">
        <f>IF(AND(OR(A1749="BL",A1749="BR",A1749="BS"),AG1749&gt;0,D1749&lt;&gt;""),A1749&amp;"|"&amp;AG1749&amp;"|"&amp;D1749&amp;"|"&amp;F1749,"")</f>
        <v/>
      </c>
      <c r="Z1749" s="57" t="str">
        <f>IF(Y1749="","",IF(COUNTIF(Y$6:Y1748,Y1749)=0,1,0))</f>
        <v/>
      </c>
      <c r="AA1749" s="57" t="str">
        <f>IF(Y1749="","",IF(Z1749=1,COUNTIFS(A$6:A1749,A1749,Z$6:Z1749,1),INDEX(AA$6:AA1748,MATCH(Y1749,Y$6:Y1748,0))))</f>
        <v/>
      </c>
      <c r="AB1749" s="57" t="str">
        <f>IF(B1749="","",COUNTIF(B$6:B1749,B1749))</f>
        <v/>
      </c>
      <c r="AC1749" s="57" t="str">
        <f>IF(B1749="","",B1749&amp;"#"&amp;AB1749)</f>
        <v/>
      </c>
      <c r="AD1749" s="57" t="str">
        <f>IF(Z1749=1,A1749&amp;AA1749,"")</f>
        <v/>
      </c>
      <c r="AE1749" s="57" t="str">
        <f>IF(B1749="","",YEAR(C1749))</f>
        <v/>
      </c>
      <c r="AF1749" s="57" t="str">
        <f>IF(B1749="","",MONTH(C1749))</f>
        <v/>
      </c>
      <c r="AG1749" s="57">
        <f>IF(ISNUMBER(C1749),C1749,0)</f>
        <v>0.0</v>
      </c>
      <c r="AH1749" s="57" t="str">
        <f>IF(N(W1749)&gt;0,COUNTIF(W$6:W1749,"&gt;0"),"")</f>
        <v/>
      </c>
      <c r="AI1749" s="57" t="str">
        <f>IF(Z1749=1,COUNTIF(Z$6:Z1749,1),"")</f>
        <v/>
      </c>
    </row>
    <row r="1750">
      <c r="A1750" s="54" t="n"/>
      <c r="B1750" s="55" t="str">
        <f>IF(AA1750="","",A1750&amp;"-"&amp;RIGHT("000"&amp;AA1750,4))</f>
        <v/>
      </c>
      <c r="C1750" s="56" t="n"/>
      <c r="D1750" s="54" t="n"/>
      <c r="E1750" s="57" t="str">
        <f>IF(D1750="","",IF(A1750="BL",IFERROR(INDEX(cl_name,MATCH(D1750,cl_code,0))&amp;"","Client inconnu"),IF(A1750="BR",IFERROR(INDEX(fo_name,MATCH(D1750,fo_code,0))&amp;"","Fournisseur inconnu"),IF(A1750="BS",IF(ISNA(MATCH(D1750,p_services,0)),"Service inconnu",D1750&amp;""),""))))</f>
        <v/>
      </c>
      <c r="F1750" s="58" t="n"/>
      <c r="G1750" s="58" t="n"/>
      <c r="H1750" s="59" t="n"/>
      <c r="I1750" s="57" t="str">
        <f>IF(H1750="","",IFERROR(INDEX(art_des,MATCH(H1750,art_ref,0))&amp;"","Article inconnu"))</f>
        <v/>
      </c>
      <c r="J1750" s="60" t="str">
        <f>IF(H1750="","",IFERROR(INDEX(art_unit,MATCH(H1750,art_ref,0))&amp;"",""))</f>
        <v/>
      </c>
      <c r="K1750" s="59" t="n"/>
      <c r="L1750" s="59" t="n"/>
      <c r="M1750" s="61" t="str">
        <f>IF(OR(B1750="",NOT(ISNUMBER(K1750)),NOT(ISNUMBER(L1750))),"",IF(OR(K1750&lt;=0,L1750&lt;=0),"",ROUND(L1750-K1750,6)))</f>
        <v/>
      </c>
      <c r="N1750" s="58" t="n"/>
      <c r="O1750" s="62" t="n"/>
      <c r="P1750" s="63" t="str">
        <f>IF(OR(B1750="",NOT(ISNUMBER(L1750))),"",IF(L1750&lt;=0,"",IFERROR(ROUND(L1750*N(INDEX(art_w,MATCH(H1750,art_ref,0))),3),"")))</f>
        <v/>
      </c>
      <c r="Q1750" s="59" t="n"/>
      <c r="R1750" s="54" t="n"/>
      <c r="S1750" s="59" t="n"/>
      <c r="T1750" s="59" t="n"/>
      <c r="U1750" s="64" t="str">
        <f>IF(OR(B1750="",H1750=""),"",IFERROR(IF(A1750="BL",IF(N(INDEX(art_price,MATCH(H1750,art_ref,0)))=0,"",N(INDEX(art_price,MATCH(H1750,art_ref,0)))),IF(N(INDEX(art_cost,MATCH(H1750,art_ref,0)))=0,"",N(INDEX(art_cost,MATCH(H1750,art_ref,0))))),""))</f>
        <v/>
      </c>
      <c r="V1750" s="64" t="str">
        <f>IF(OR(U1750="",NOT(ISNUMBER(L1750))),"",IF(L1750&lt;=0,"",ROUND(L1750*U1750,2)))</f>
        <v/>
      </c>
      <c r="W1750" s="60" t="str">
        <f>IF(AND(B1750&lt;&gt;"",A1750&lt;&gt;"BS",F1750&lt;&gt;"",H1750&lt;&gt;"",ISNUMBER(K1750),ISNUMBER(L1750)),IF(AND(K1750&gt;0,L1750&gt;0,K1750-L1750&gt;0,COUNTIFS(A1751:A$2005,A1750,F1751:F$2005,F1750,H1751:H$2005,H1750,AA1751:AA$2005,"&gt;0")=0),ROUND(K1750-L1750,6),""),"")</f>
        <v/>
      </c>
      <c r="X1750" s="60" t="str">
        <f>IF(AND(A1750="",C1750="",D1750="",H1750="",L1750=""),"",IF(A1750="","Type manquant",IF(AND(A1750&lt;&gt;"BL",A1750&lt;&gt;"BR",A1750&lt;&gt;"BS"),"Type inconnu (BL, BR ou BS)",IF(AG1750=0,"Date manquante ou invalide",IF(D1750="",IF(A1750="BL","Client manquant",IF(A1750="BR","Fournisseur manquant","Service manquant")),IF(IF(A1750="BL",ISNA(MATCH(D1750,cl_code,0)),IF(A1750="BR",ISNA(MATCH(D1750,fo_code,0)),ISNA(MATCH(D1750,p_services,0)))),IF(A1750="BL","Client inconnu",IF(A1750="BR","Fournisseur inconnu","Service inconnu")),IF(H1750="","Article manquant",IF(ISNA(MATCH(H1750,art_ref,0)),"Article inconnu",IF(OR(NOT(ISNUMBER(L1750)),N(L1750)&lt;=0),"Quantité invalide",IF(AND(K1750&lt;&gt;"",OR(NOT(ISNUMBER(K1750)),N(K1750)&lt;=0)),"Qté commandée invalide",IF(AG1750&lt;SUMPRODUCT(MAX((A$6:A1749=A1750)*AG$6:AG1749)),"Date antérieure au bon précédent",IF(AND(A1750&lt;&gt;"BR",ISNUMBER(M1750),N(M1750)&gt;0),IF(A1750="BL","Livré plus que commandé","Sorti plus que demandé"),"OK"))))))))))))</f>
        <v/>
      </c>
      <c r="Y1750" s="57" t="str">
        <f>IF(AND(OR(A1750="BL",A1750="BR",A1750="BS"),AG1750&gt;0,D1750&lt;&gt;""),A1750&amp;"|"&amp;AG1750&amp;"|"&amp;D1750&amp;"|"&amp;F1750,"")</f>
        <v/>
      </c>
      <c r="Z1750" s="57" t="str">
        <f>IF(Y1750="","",IF(COUNTIF(Y$6:Y1749,Y1750)=0,1,0))</f>
        <v/>
      </c>
      <c r="AA1750" s="57" t="str">
        <f>IF(Y1750="","",IF(Z1750=1,COUNTIFS(A$6:A1750,A1750,Z$6:Z1750,1),INDEX(AA$6:AA1749,MATCH(Y1750,Y$6:Y1749,0))))</f>
        <v/>
      </c>
      <c r="AB1750" s="57" t="str">
        <f>IF(B1750="","",COUNTIF(B$6:B1750,B1750))</f>
        <v/>
      </c>
      <c r="AC1750" s="57" t="str">
        <f>IF(B1750="","",B1750&amp;"#"&amp;AB1750)</f>
        <v/>
      </c>
      <c r="AD1750" s="57" t="str">
        <f>IF(Z1750=1,A1750&amp;AA1750,"")</f>
        <v/>
      </c>
      <c r="AE1750" s="57" t="str">
        <f>IF(B1750="","",YEAR(C1750))</f>
        <v/>
      </c>
      <c r="AF1750" s="57" t="str">
        <f>IF(B1750="","",MONTH(C1750))</f>
        <v/>
      </c>
      <c r="AG1750" s="57">
        <f>IF(ISNUMBER(C1750),C1750,0)</f>
        <v>0.0</v>
      </c>
      <c r="AH1750" s="57" t="str">
        <f>IF(N(W1750)&gt;0,COUNTIF(W$6:W1750,"&gt;0"),"")</f>
        <v/>
      </c>
      <c r="AI1750" s="57" t="str">
        <f>IF(Z1750=1,COUNTIF(Z$6:Z1750,1),"")</f>
        <v/>
      </c>
    </row>
    <row r="1751">
      <c r="A1751" s="54" t="n"/>
      <c r="B1751" s="55" t="str">
        <f>IF(AA1751="","",A1751&amp;"-"&amp;RIGHT("000"&amp;AA1751,4))</f>
        <v/>
      </c>
      <c r="C1751" s="56" t="n"/>
      <c r="D1751" s="54" t="n"/>
      <c r="E1751" s="57" t="str">
        <f>IF(D1751="","",IF(A1751="BL",IFERROR(INDEX(cl_name,MATCH(D1751,cl_code,0))&amp;"","Client inconnu"),IF(A1751="BR",IFERROR(INDEX(fo_name,MATCH(D1751,fo_code,0))&amp;"","Fournisseur inconnu"),IF(A1751="BS",IF(ISNA(MATCH(D1751,p_services,0)),"Service inconnu",D1751&amp;""),""))))</f>
        <v/>
      </c>
      <c r="F1751" s="58" t="n"/>
      <c r="G1751" s="58" t="n"/>
      <c r="H1751" s="59" t="n"/>
      <c r="I1751" s="57" t="str">
        <f>IF(H1751="","",IFERROR(INDEX(art_des,MATCH(H1751,art_ref,0))&amp;"","Article inconnu"))</f>
        <v/>
      </c>
      <c r="J1751" s="60" t="str">
        <f>IF(H1751="","",IFERROR(INDEX(art_unit,MATCH(H1751,art_ref,0))&amp;"",""))</f>
        <v/>
      </c>
      <c r="K1751" s="59" t="n"/>
      <c r="L1751" s="59" t="n"/>
      <c r="M1751" s="61" t="str">
        <f>IF(OR(B1751="",NOT(ISNUMBER(K1751)),NOT(ISNUMBER(L1751))),"",IF(OR(K1751&lt;=0,L1751&lt;=0),"",ROUND(L1751-K1751,6)))</f>
        <v/>
      </c>
      <c r="N1751" s="58" t="n"/>
      <c r="O1751" s="62" t="n"/>
      <c r="P1751" s="63" t="str">
        <f>IF(OR(B1751="",NOT(ISNUMBER(L1751))),"",IF(L1751&lt;=0,"",IFERROR(ROUND(L1751*N(INDEX(art_w,MATCH(H1751,art_ref,0))),3),"")))</f>
        <v/>
      </c>
      <c r="Q1751" s="59" t="n"/>
      <c r="R1751" s="54" t="n"/>
      <c r="S1751" s="59" t="n"/>
      <c r="T1751" s="59" t="n"/>
      <c r="U1751" s="64" t="str">
        <f>IF(OR(B1751="",H1751=""),"",IFERROR(IF(A1751="BL",IF(N(INDEX(art_price,MATCH(H1751,art_ref,0)))=0,"",N(INDEX(art_price,MATCH(H1751,art_ref,0)))),IF(N(INDEX(art_cost,MATCH(H1751,art_ref,0)))=0,"",N(INDEX(art_cost,MATCH(H1751,art_ref,0))))),""))</f>
        <v/>
      </c>
      <c r="V1751" s="64" t="str">
        <f>IF(OR(U1751="",NOT(ISNUMBER(L1751))),"",IF(L1751&lt;=0,"",ROUND(L1751*U1751,2)))</f>
        <v/>
      </c>
      <c r="W1751" s="60" t="str">
        <f>IF(AND(B1751&lt;&gt;"",A1751&lt;&gt;"BS",F1751&lt;&gt;"",H1751&lt;&gt;"",ISNUMBER(K1751),ISNUMBER(L1751)),IF(AND(K1751&gt;0,L1751&gt;0,K1751-L1751&gt;0,COUNTIFS(A1752:A$2005,A1751,F1752:F$2005,F1751,H1752:H$2005,H1751,AA1752:AA$2005,"&gt;0")=0),ROUND(K1751-L1751,6),""),"")</f>
        <v/>
      </c>
      <c r="X1751" s="60" t="str">
        <f>IF(AND(A1751="",C1751="",D1751="",H1751="",L1751=""),"",IF(A1751="","Type manquant",IF(AND(A1751&lt;&gt;"BL",A1751&lt;&gt;"BR",A1751&lt;&gt;"BS"),"Type inconnu (BL, BR ou BS)",IF(AG1751=0,"Date manquante ou invalide",IF(D1751="",IF(A1751="BL","Client manquant",IF(A1751="BR","Fournisseur manquant","Service manquant")),IF(IF(A1751="BL",ISNA(MATCH(D1751,cl_code,0)),IF(A1751="BR",ISNA(MATCH(D1751,fo_code,0)),ISNA(MATCH(D1751,p_services,0)))),IF(A1751="BL","Client inconnu",IF(A1751="BR","Fournisseur inconnu","Service inconnu")),IF(H1751="","Article manquant",IF(ISNA(MATCH(H1751,art_ref,0)),"Article inconnu",IF(OR(NOT(ISNUMBER(L1751)),N(L1751)&lt;=0),"Quantité invalide",IF(AND(K1751&lt;&gt;"",OR(NOT(ISNUMBER(K1751)),N(K1751)&lt;=0)),"Qté commandée invalide",IF(AG1751&lt;SUMPRODUCT(MAX((A$6:A1750=A1751)*AG$6:AG1750)),"Date antérieure au bon précédent",IF(AND(A1751&lt;&gt;"BR",ISNUMBER(M1751),N(M1751)&gt;0),IF(A1751="BL","Livré plus que commandé","Sorti plus que demandé"),"OK"))))))))))))</f>
        <v/>
      </c>
      <c r="Y1751" s="57" t="str">
        <f>IF(AND(OR(A1751="BL",A1751="BR",A1751="BS"),AG1751&gt;0,D1751&lt;&gt;""),A1751&amp;"|"&amp;AG1751&amp;"|"&amp;D1751&amp;"|"&amp;F1751,"")</f>
        <v/>
      </c>
      <c r="Z1751" s="57" t="str">
        <f>IF(Y1751="","",IF(COUNTIF(Y$6:Y1750,Y1751)=0,1,0))</f>
        <v/>
      </c>
      <c r="AA1751" s="57" t="str">
        <f>IF(Y1751="","",IF(Z1751=1,COUNTIFS(A$6:A1751,A1751,Z$6:Z1751,1),INDEX(AA$6:AA1750,MATCH(Y1751,Y$6:Y1750,0))))</f>
        <v/>
      </c>
      <c r="AB1751" s="57" t="str">
        <f>IF(B1751="","",COUNTIF(B$6:B1751,B1751))</f>
        <v/>
      </c>
      <c r="AC1751" s="57" t="str">
        <f>IF(B1751="","",B1751&amp;"#"&amp;AB1751)</f>
        <v/>
      </c>
      <c r="AD1751" s="57" t="str">
        <f>IF(Z1751=1,A1751&amp;AA1751,"")</f>
        <v/>
      </c>
      <c r="AE1751" s="57" t="str">
        <f>IF(B1751="","",YEAR(C1751))</f>
        <v/>
      </c>
      <c r="AF1751" s="57" t="str">
        <f>IF(B1751="","",MONTH(C1751))</f>
        <v/>
      </c>
      <c r="AG1751" s="57">
        <f>IF(ISNUMBER(C1751),C1751,0)</f>
        <v>0.0</v>
      </c>
      <c r="AH1751" s="57" t="str">
        <f>IF(N(W1751)&gt;0,COUNTIF(W$6:W1751,"&gt;0"),"")</f>
        <v/>
      </c>
      <c r="AI1751" s="57" t="str">
        <f>IF(Z1751=1,COUNTIF(Z$6:Z1751,1),"")</f>
        <v/>
      </c>
    </row>
    <row r="1752">
      <c r="A1752" s="54" t="n"/>
      <c r="B1752" s="55" t="str">
        <f>IF(AA1752="","",A1752&amp;"-"&amp;RIGHT("000"&amp;AA1752,4))</f>
        <v/>
      </c>
      <c r="C1752" s="56" t="n"/>
      <c r="D1752" s="54" t="n"/>
      <c r="E1752" s="57" t="str">
        <f>IF(D1752="","",IF(A1752="BL",IFERROR(INDEX(cl_name,MATCH(D1752,cl_code,0))&amp;"","Client inconnu"),IF(A1752="BR",IFERROR(INDEX(fo_name,MATCH(D1752,fo_code,0))&amp;"","Fournisseur inconnu"),IF(A1752="BS",IF(ISNA(MATCH(D1752,p_services,0)),"Service inconnu",D1752&amp;""),""))))</f>
        <v/>
      </c>
      <c r="F1752" s="58" t="n"/>
      <c r="G1752" s="58" t="n"/>
      <c r="H1752" s="59" t="n"/>
      <c r="I1752" s="57" t="str">
        <f>IF(H1752="","",IFERROR(INDEX(art_des,MATCH(H1752,art_ref,0))&amp;"","Article inconnu"))</f>
        <v/>
      </c>
      <c r="J1752" s="60" t="str">
        <f>IF(H1752="","",IFERROR(INDEX(art_unit,MATCH(H1752,art_ref,0))&amp;"",""))</f>
        <v/>
      </c>
      <c r="K1752" s="59" t="n"/>
      <c r="L1752" s="59" t="n"/>
      <c r="M1752" s="61" t="str">
        <f>IF(OR(B1752="",NOT(ISNUMBER(K1752)),NOT(ISNUMBER(L1752))),"",IF(OR(K1752&lt;=0,L1752&lt;=0),"",ROUND(L1752-K1752,6)))</f>
        <v/>
      </c>
      <c r="N1752" s="58" t="n"/>
      <c r="O1752" s="62" t="n"/>
      <c r="P1752" s="63" t="str">
        <f>IF(OR(B1752="",NOT(ISNUMBER(L1752))),"",IF(L1752&lt;=0,"",IFERROR(ROUND(L1752*N(INDEX(art_w,MATCH(H1752,art_ref,0))),3),"")))</f>
        <v/>
      </c>
      <c r="Q1752" s="59" t="n"/>
      <c r="R1752" s="54" t="n"/>
      <c r="S1752" s="59" t="n"/>
      <c r="T1752" s="59" t="n"/>
      <c r="U1752" s="64" t="str">
        <f>IF(OR(B1752="",H1752=""),"",IFERROR(IF(A1752="BL",IF(N(INDEX(art_price,MATCH(H1752,art_ref,0)))=0,"",N(INDEX(art_price,MATCH(H1752,art_ref,0)))),IF(N(INDEX(art_cost,MATCH(H1752,art_ref,0)))=0,"",N(INDEX(art_cost,MATCH(H1752,art_ref,0))))),""))</f>
        <v/>
      </c>
      <c r="V1752" s="64" t="str">
        <f>IF(OR(U1752="",NOT(ISNUMBER(L1752))),"",IF(L1752&lt;=0,"",ROUND(L1752*U1752,2)))</f>
        <v/>
      </c>
      <c r="W1752" s="60" t="str">
        <f>IF(AND(B1752&lt;&gt;"",A1752&lt;&gt;"BS",F1752&lt;&gt;"",H1752&lt;&gt;"",ISNUMBER(K1752),ISNUMBER(L1752)),IF(AND(K1752&gt;0,L1752&gt;0,K1752-L1752&gt;0,COUNTIFS(A1753:A$2005,A1752,F1753:F$2005,F1752,H1753:H$2005,H1752,AA1753:AA$2005,"&gt;0")=0),ROUND(K1752-L1752,6),""),"")</f>
        <v/>
      </c>
      <c r="X1752" s="60" t="str">
        <f>IF(AND(A1752="",C1752="",D1752="",H1752="",L1752=""),"",IF(A1752="","Type manquant",IF(AND(A1752&lt;&gt;"BL",A1752&lt;&gt;"BR",A1752&lt;&gt;"BS"),"Type inconnu (BL, BR ou BS)",IF(AG1752=0,"Date manquante ou invalide",IF(D1752="",IF(A1752="BL","Client manquant",IF(A1752="BR","Fournisseur manquant","Service manquant")),IF(IF(A1752="BL",ISNA(MATCH(D1752,cl_code,0)),IF(A1752="BR",ISNA(MATCH(D1752,fo_code,0)),ISNA(MATCH(D1752,p_services,0)))),IF(A1752="BL","Client inconnu",IF(A1752="BR","Fournisseur inconnu","Service inconnu")),IF(H1752="","Article manquant",IF(ISNA(MATCH(H1752,art_ref,0)),"Article inconnu",IF(OR(NOT(ISNUMBER(L1752)),N(L1752)&lt;=0),"Quantité invalide",IF(AND(K1752&lt;&gt;"",OR(NOT(ISNUMBER(K1752)),N(K1752)&lt;=0)),"Qté commandée invalide",IF(AG1752&lt;SUMPRODUCT(MAX((A$6:A1751=A1752)*AG$6:AG1751)),"Date antérieure au bon précédent",IF(AND(A1752&lt;&gt;"BR",ISNUMBER(M1752),N(M1752)&gt;0),IF(A1752="BL","Livré plus que commandé","Sorti plus que demandé"),"OK"))))))))))))</f>
        <v/>
      </c>
      <c r="Y1752" s="57" t="str">
        <f>IF(AND(OR(A1752="BL",A1752="BR",A1752="BS"),AG1752&gt;0,D1752&lt;&gt;""),A1752&amp;"|"&amp;AG1752&amp;"|"&amp;D1752&amp;"|"&amp;F1752,"")</f>
        <v/>
      </c>
      <c r="Z1752" s="57" t="str">
        <f>IF(Y1752="","",IF(COUNTIF(Y$6:Y1751,Y1752)=0,1,0))</f>
        <v/>
      </c>
      <c r="AA1752" s="57" t="str">
        <f>IF(Y1752="","",IF(Z1752=1,COUNTIFS(A$6:A1752,A1752,Z$6:Z1752,1),INDEX(AA$6:AA1751,MATCH(Y1752,Y$6:Y1751,0))))</f>
        <v/>
      </c>
      <c r="AB1752" s="57" t="str">
        <f>IF(B1752="","",COUNTIF(B$6:B1752,B1752))</f>
        <v/>
      </c>
      <c r="AC1752" s="57" t="str">
        <f>IF(B1752="","",B1752&amp;"#"&amp;AB1752)</f>
        <v/>
      </c>
      <c r="AD1752" s="57" t="str">
        <f>IF(Z1752=1,A1752&amp;AA1752,"")</f>
        <v/>
      </c>
      <c r="AE1752" s="57" t="str">
        <f>IF(B1752="","",YEAR(C1752))</f>
        <v/>
      </c>
      <c r="AF1752" s="57" t="str">
        <f>IF(B1752="","",MONTH(C1752))</f>
        <v/>
      </c>
      <c r="AG1752" s="57">
        <f>IF(ISNUMBER(C1752),C1752,0)</f>
        <v>0.0</v>
      </c>
      <c r="AH1752" s="57" t="str">
        <f>IF(N(W1752)&gt;0,COUNTIF(W$6:W1752,"&gt;0"),"")</f>
        <v/>
      </c>
      <c r="AI1752" s="57" t="str">
        <f>IF(Z1752=1,COUNTIF(Z$6:Z1752,1),"")</f>
        <v/>
      </c>
    </row>
    <row r="1753">
      <c r="A1753" s="54" t="n"/>
      <c r="B1753" s="55" t="str">
        <f>IF(AA1753="","",A1753&amp;"-"&amp;RIGHT("000"&amp;AA1753,4))</f>
        <v/>
      </c>
      <c r="C1753" s="56" t="n"/>
      <c r="D1753" s="54" t="n"/>
      <c r="E1753" s="57" t="str">
        <f>IF(D1753="","",IF(A1753="BL",IFERROR(INDEX(cl_name,MATCH(D1753,cl_code,0))&amp;"","Client inconnu"),IF(A1753="BR",IFERROR(INDEX(fo_name,MATCH(D1753,fo_code,0))&amp;"","Fournisseur inconnu"),IF(A1753="BS",IF(ISNA(MATCH(D1753,p_services,0)),"Service inconnu",D1753&amp;""),""))))</f>
        <v/>
      </c>
      <c r="F1753" s="58" t="n"/>
      <c r="G1753" s="58" t="n"/>
      <c r="H1753" s="59" t="n"/>
      <c r="I1753" s="57" t="str">
        <f>IF(H1753="","",IFERROR(INDEX(art_des,MATCH(H1753,art_ref,0))&amp;"","Article inconnu"))</f>
        <v/>
      </c>
      <c r="J1753" s="60" t="str">
        <f>IF(H1753="","",IFERROR(INDEX(art_unit,MATCH(H1753,art_ref,0))&amp;"",""))</f>
        <v/>
      </c>
      <c r="K1753" s="59" t="n"/>
      <c r="L1753" s="59" t="n"/>
      <c r="M1753" s="61" t="str">
        <f>IF(OR(B1753="",NOT(ISNUMBER(K1753)),NOT(ISNUMBER(L1753))),"",IF(OR(K1753&lt;=0,L1753&lt;=0),"",ROUND(L1753-K1753,6)))</f>
        <v/>
      </c>
      <c r="N1753" s="58" t="n"/>
      <c r="O1753" s="62" t="n"/>
      <c r="P1753" s="63" t="str">
        <f>IF(OR(B1753="",NOT(ISNUMBER(L1753))),"",IF(L1753&lt;=0,"",IFERROR(ROUND(L1753*N(INDEX(art_w,MATCH(H1753,art_ref,0))),3),"")))</f>
        <v/>
      </c>
      <c r="Q1753" s="59" t="n"/>
      <c r="R1753" s="54" t="n"/>
      <c r="S1753" s="59" t="n"/>
      <c r="T1753" s="59" t="n"/>
      <c r="U1753" s="64" t="str">
        <f>IF(OR(B1753="",H1753=""),"",IFERROR(IF(A1753="BL",IF(N(INDEX(art_price,MATCH(H1753,art_ref,0)))=0,"",N(INDEX(art_price,MATCH(H1753,art_ref,0)))),IF(N(INDEX(art_cost,MATCH(H1753,art_ref,0)))=0,"",N(INDEX(art_cost,MATCH(H1753,art_ref,0))))),""))</f>
        <v/>
      </c>
      <c r="V1753" s="64" t="str">
        <f>IF(OR(U1753="",NOT(ISNUMBER(L1753))),"",IF(L1753&lt;=0,"",ROUND(L1753*U1753,2)))</f>
        <v/>
      </c>
      <c r="W1753" s="60" t="str">
        <f>IF(AND(B1753&lt;&gt;"",A1753&lt;&gt;"BS",F1753&lt;&gt;"",H1753&lt;&gt;"",ISNUMBER(K1753),ISNUMBER(L1753)),IF(AND(K1753&gt;0,L1753&gt;0,K1753-L1753&gt;0,COUNTIFS(A1754:A$2005,A1753,F1754:F$2005,F1753,H1754:H$2005,H1753,AA1754:AA$2005,"&gt;0")=0),ROUND(K1753-L1753,6),""),"")</f>
        <v/>
      </c>
      <c r="X1753" s="60" t="str">
        <f>IF(AND(A1753="",C1753="",D1753="",H1753="",L1753=""),"",IF(A1753="","Type manquant",IF(AND(A1753&lt;&gt;"BL",A1753&lt;&gt;"BR",A1753&lt;&gt;"BS"),"Type inconnu (BL, BR ou BS)",IF(AG1753=0,"Date manquante ou invalide",IF(D1753="",IF(A1753="BL","Client manquant",IF(A1753="BR","Fournisseur manquant","Service manquant")),IF(IF(A1753="BL",ISNA(MATCH(D1753,cl_code,0)),IF(A1753="BR",ISNA(MATCH(D1753,fo_code,0)),ISNA(MATCH(D1753,p_services,0)))),IF(A1753="BL","Client inconnu",IF(A1753="BR","Fournisseur inconnu","Service inconnu")),IF(H1753="","Article manquant",IF(ISNA(MATCH(H1753,art_ref,0)),"Article inconnu",IF(OR(NOT(ISNUMBER(L1753)),N(L1753)&lt;=0),"Quantité invalide",IF(AND(K1753&lt;&gt;"",OR(NOT(ISNUMBER(K1753)),N(K1753)&lt;=0)),"Qté commandée invalide",IF(AG1753&lt;SUMPRODUCT(MAX((A$6:A1752=A1753)*AG$6:AG1752)),"Date antérieure au bon précédent",IF(AND(A1753&lt;&gt;"BR",ISNUMBER(M1753),N(M1753)&gt;0),IF(A1753="BL","Livré plus que commandé","Sorti plus que demandé"),"OK"))))))))))))</f>
        <v/>
      </c>
      <c r="Y1753" s="57" t="str">
        <f>IF(AND(OR(A1753="BL",A1753="BR",A1753="BS"),AG1753&gt;0,D1753&lt;&gt;""),A1753&amp;"|"&amp;AG1753&amp;"|"&amp;D1753&amp;"|"&amp;F1753,"")</f>
        <v/>
      </c>
      <c r="Z1753" s="57" t="str">
        <f>IF(Y1753="","",IF(COUNTIF(Y$6:Y1752,Y1753)=0,1,0))</f>
        <v/>
      </c>
      <c r="AA1753" s="57" t="str">
        <f>IF(Y1753="","",IF(Z1753=1,COUNTIFS(A$6:A1753,A1753,Z$6:Z1753,1),INDEX(AA$6:AA1752,MATCH(Y1753,Y$6:Y1752,0))))</f>
        <v/>
      </c>
      <c r="AB1753" s="57" t="str">
        <f>IF(B1753="","",COUNTIF(B$6:B1753,B1753))</f>
        <v/>
      </c>
      <c r="AC1753" s="57" t="str">
        <f>IF(B1753="","",B1753&amp;"#"&amp;AB1753)</f>
        <v/>
      </c>
      <c r="AD1753" s="57" t="str">
        <f>IF(Z1753=1,A1753&amp;AA1753,"")</f>
        <v/>
      </c>
      <c r="AE1753" s="57" t="str">
        <f>IF(B1753="","",YEAR(C1753))</f>
        <v/>
      </c>
      <c r="AF1753" s="57" t="str">
        <f>IF(B1753="","",MONTH(C1753))</f>
        <v/>
      </c>
      <c r="AG1753" s="57">
        <f>IF(ISNUMBER(C1753),C1753,0)</f>
        <v>0.0</v>
      </c>
      <c r="AH1753" s="57" t="str">
        <f>IF(N(W1753)&gt;0,COUNTIF(W$6:W1753,"&gt;0"),"")</f>
        <v/>
      </c>
      <c r="AI1753" s="57" t="str">
        <f>IF(Z1753=1,COUNTIF(Z$6:Z1753,1),"")</f>
        <v/>
      </c>
    </row>
    <row r="1754">
      <c r="A1754" s="54" t="n"/>
      <c r="B1754" s="55" t="str">
        <f>IF(AA1754="","",A1754&amp;"-"&amp;RIGHT("000"&amp;AA1754,4))</f>
        <v/>
      </c>
      <c r="C1754" s="56" t="n"/>
      <c r="D1754" s="54" t="n"/>
      <c r="E1754" s="57" t="str">
        <f>IF(D1754="","",IF(A1754="BL",IFERROR(INDEX(cl_name,MATCH(D1754,cl_code,0))&amp;"","Client inconnu"),IF(A1754="BR",IFERROR(INDEX(fo_name,MATCH(D1754,fo_code,0))&amp;"","Fournisseur inconnu"),IF(A1754="BS",IF(ISNA(MATCH(D1754,p_services,0)),"Service inconnu",D1754&amp;""),""))))</f>
        <v/>
      </c>
      <c r="F1754" s="58" t="n"/>
      <c r="G1754" s="58" t="n"/>
      <c r="H1754" s="59" t="n"/>
      <c r="I1754" s="57" t="str">
        <f>IF(H1754="","",IFERROR(INDEX(art_des,MATCH(H1754,art_ref,0))&amp;"","Article inconnu"))</f>
        <v/>
      </c>
      <c r="J1754" s="60" t="str">
        <f>IF(H1754="","",IFERROR(INDEX(art_unit,MATCH(H1754,art_ref,0))&amp;"",""))</f>
        <v/>
      </c>
      <c r="K1754" s="59" t="n"/>
      <c r="L1754" s="59" t="n"/>
      <c r="M1754" s="61" t="str">
        <f>IF(OR(B1754="",NOT(ISNUMBER(K1754)),NOT(ISNUMBER(L1754))),"",IF(OR(K1754&lt;=0,L1754&lt;=0),"",ROUND(L1754-K1754,6)))</f>
        <v/>
      </c>
      <c r="N1754" s="58" t="n"/>
      <c r="O1754" s="62" t="n"/>
      <c r="P1754" s="63" t="str">
        <f>IF(OR(B1754="",NOT(ISNUMBER(L1754))),"",IF(L1754&lt;=0,"",IFERROR(ROUND(L1754*N(INDEX(art_w,MATCH(H1754,art_ref,0))),3),"")))</f>
        <v/>
      </c>
      <c r="Q1754" s="59" t="n"/>
      <c r="R1754" s="54" t="n"/>
      <c r="S1754" s="59" t="n"/>
      <c r="T1754" s="59" t="n"/>
      <c r="U1754" s="64" t="str">
        <f>IF(OR(B1754="",H1754=""),"",IFERROR(IF(A1754="BL",IF(N(INDEX(art_price,MATCH(H1754,art_ref,0)))=0,"",N(INDEX(art_price,MATCH(H1754,art_ref,0)))),IF(N(INDEX(art_cost,MATCH(H1754,art_ref,0)))=0,"",N(INDEX(art_cost,MATCH(H1754,art_ref,0))))),""))</f>
        <v/>
      </c>
      <c r="V1754" s="64" t="str">
        <f>IF(OR(U1754="",NOT(ISNUMBER(L1754))),"",IF(L1754&lt;=0,"",ROUND(L1754*U1754,2)))</f>
        <v/>
      </c>
      <c r="W1754" s="60" t="str">
        <f>IF(AND(B1754&lt;&gt;"",A1754&lt;&gt;"BS",F1754&lt;&gt;"",H1754&lt;&gt;"",ISNUMBER(K1754),ISNUMBER(L1754)),IF(AND(K1754&gt;0,L1754&gt;0,K1754-L1754&gt;0,COUNTIFS(A1755:A$2005,A1754,F1755:F$2005,F1754,H1755:H$2005,H1754,AA1755:AA$2005,"&gt;0")=0),ROUND(K1754-L1754,6),""),"")</f>
        <v/>
      </c>
      <c r="X1754" s="60" t="str">
        <f>IF(AND(A1754="",C1754="",D1754="",H1754="",L1754=""),"",IF(A1754="","Type manquant",IF(AND(A1754&lt;&gt;"BL",A1754&lt;&gt;"BR",A1754&lt;&gt;"BS"),"Type inconnu (BL, BR ou BS)",IF(AG1754=0,"Date manquante ou invalide",IF(D1754="",IF(A1754="BL","Client manquant",IF(A1754="BR","Fournisseur manquant","Service manquant")),IF(IF(A1754="BL",ISNA(MATCH(D1754,cl_code,0)),IF(A1754="BR",ISNA(MATCH(D1754,fo_code,0)),ISNA(MATCH(D1754,p_services,0)))),IF(A1754="BL","Client inconnu",IF(A1754="BR","Fournisseur inconnu","Service inconnu")),IF(H1754="","Article manquant",IF(ISNA(MATCH(H1754,art_ref,0)),"Article inconnu",IF(OR(NOT(ISNUMBER(L1754)),N(L1754)&lt;=0),"Quantité invalide",IF(AND(K1754&lt;&gt;"",OR(NOT(ISNUMBER(K1754)),N(K1754)&lt;=0)),"Qté commandée invalide",IF(AG1754&lt;SUMPRODUCT(MAX((A$6:A1753=A1754)*AG$6:AG1753)),"Date antérieure au bon précédent",IF(AND(A1754&lt;&gt;"BR",ISNUMBER(M1754),N(M1754)&gt;0),IF(A1754="BL","Livré plus que commandé","Sorti plus que demandé"),"OK"))))))))))))</f>
        <v/>
      </c>
      <c r="Y1754" s="57" t="str">
        <f>IF(AND(OR(A1754="BL",A1754="BR",A1754="BS"),AG1754&gt;0,D1754&lt;&gt;""),A1754&amp;"|"&amp;AG1754&amp;"|"&amp;D1754&amp;"|"&amp;F1754,"")</f>
        <v/>
      </c>
      <c r="Z1754" s="57" t="str">
        <f>IF(Y1754="","",IF(COUNTIF(Y$6:Y1753,Y1754)=0,1,0))</f>
        <v/>
      </c>
      <c r="AA1754" s="57" t="str">
        <f>IF(Y1754="","",IF(Z1754=1,COUNTIFS(A$6:A1754,A1754,Z$6:Z1754,1),INDEX(AA$6:AA1753,MATCH(Y1754,Y$6:Y1753,0))))</f>
        <v/>
      </c>
      <c r="AB1754" s="57" t="str">
        <f>IF(B1754="","",COUNTIF(B$6:B1754,B1754))</f>
        <v/>
      </c>
      <c r="AC1754" s="57" t="str">
        <f>IF(B1754="","",B1754&amp;"#"&amp;AB1754)</f>
        <v/>
      </c>
      <c r="AD1754" s="57" t="str">
        <f>IF(Z1754=1,A1754&amp;AA1754,"")</f>
        <v/>
      </c>
      <c r="AE1754" s="57" t="str">
        <f>IF(B1754="","",YEAR(C1754))</f>
        <v/>
      </c>
      <c r="AF1754" s="57" t="str">
        <f>IF(B1754="","",MONTH(C1754))</f>
        <v/>
      </c>
      <c r="AG1754" s="57">
        <f>IF(ISNUMBER(C1754),C1754,0)</f>
        <v>0.0</v>
      </c>
      <c r="AH1754" s="57" t="str">
        <f>IF(N(W1754)&gt;0,COUNTIF(W$6:W1754,"&gt;0"),"")</f>
        <v/>
      </c>
      <c r="AI1754" s="57" t="str">
        <f>IF(Z1754=1,COUNTIF(Z$6:Z1754,1),"")</f>
        <v/>
      </c>
    </row>
    <row r="1755">
      <c r="A1755" s="54" t="n"/>
      <c r="B1755" s="55" t="str">
        <f>IF(AA1755="","",A1755&amp;"-"&amp;RIGHT("000"&amp;AA1755,4))</f>
        <v/>
      </c>
      <c r="C1755" s="56" t="n"/>
      <c r="D1755" s="54" t="n"/>
      <c r="E1755" s="57" t="str">
        <f>IF(D1755="","",IF(A1755="BL",IFERROR(INDEX(cl_name,MATCH(D1755,cl_code,0))&amp;"","Client inconnu"),IF(A1755="BR",IFERROR(INDEX(fo_name,MATCH(D1755,fo_code,0))&amp;"","Fournisseur inconnu"),IF(A1755="BS",IF(ISNA(MATCH(D1755,p_services,0)),"Service inconnu",D1755&amp;""),""))))</f>
        <v/>
      </c>
      <c r="F1755" s="58" t="n"/>
      <c r="G1755" s="58" t="n"/>
      <c r="H1755" s="59" t="n"/>
      <c r="I1755" s="57" t="str">
        <f>IF(H1755="","",IFERROR(INDEX(art_des,MATCH(H1755,art_ref,0))&amp;"","Article inconnu"))</f>
        <v/>
      </c>
      <c r="J1755" s="60" t="str">
        <f>IF(H1755="","",IFERROR(INDEX(art_unit,MATCH(H1755,art_ref,0))&amp;"",""))</f>
        <v/>
      </c>
      <c r="K1755" s="59" t="n"/>
      <c r="L1755" s="59" t="n"/>
      <c r="M1755" s="61" t="str">
        <f>IF(OR(B1755="",NOT(ISNUMBER(K1755)),NOT(ISNUMBER(L1755))),"",IF(OR(K1755&lt;=0,L1755&lt;=0),"",ROUND(L1755-K1755,6)))</f>
        <v/>
      </c>
      <c r="N1755" s="58" t="n"/>
      <c r="O1755" s="62" t="n"/>
      <c r="P1755" s="63" t="str">
        <f>IF(OR(B1755="",NOT(ISNUMBER(L1755))),"",IF(L1755&lt;=0,"",IFERROR(ROUND(L1755*N(INDEX(art_w,MATCH(H1755,art_ref,0))),3),"")))</f>
        <v/>
      </c>
      <c r="Q1755" s="59" t="n"/>
      <c r="R1755" s="54" t="n"/>
      <c r="S1755" s="59" t="n"/>
      <c r="T1755" s="59" t="n"/>
      <c r="U1755" s="64" t="str">
        <f>IF(OR(B1755="",H1755=""),"",IFERROR(IF(A1755="BL",IF(N(INDEX(art_price,MATCH(H1755,art_ref,0)))=0,"",N(INDEX(art_price,MATCH(H1755,art_ref,0)))),IF(N(INDEX(art_cost,MATCH(H1755,art_ref,0)))=0,"",N(INDEX(art_cost,MATCH(H1755,art_ref,0))))),""))</f>
        <v/>
      </c>
      <c r="V1755" s="64" t="str">
        <f>IF(OR(U1755="",NOT(ISNUMBER(L1755))),"",IF(L1755&lt;=0,"",ROUND(L1755*U1755,2)))</f>
        <v/>
      </c>
      <c r="W1755" s="60" t="str">
        <f>IF(AND(B1755&lt;&gt;"",A1755&lt;&gt;"BS",F1755&lt;&gt;"",H1755&lt;&gt;"",ISNUMBER(K1755),ISNUMBER(L1755)),IF(AND(K1755&gt;0,L1755&gt;0,K1755-L1755&gt;0,COUNTIFS(A1756:A$2005,A1755,F1756:F$2005,F1755,H1756:H$2005,H1755,AA1756:AA$2005,"&gt;0")=0),ROUND(K1755-L1755,6),""),"")</f>
        <v/>
      </c>
      <c r="X1755" s="60" t="str">
        <f>IF(AND(A1755="",C1755="",D1755="",H1755="",L1755=""),"",IF(A1755="","Type manquant",IF(AND(A1755&lt;&gt;"BL",A1755&lt;&gt;"BR",A1755&lt;&gt;"BS"),"Type inconnu (BL, BR ou BS)",IF(AG1755=0,"Date manquante ou invalide",IF(D1755="",IF(A1755="BL","Client manquant",IF(A1755="BR","Fournisseur manquant","Service manquant")),IF(IF(A1755="BL",ISNA(MATCH(D1755,cl_code,0)),IF(A1755="BR",ISNA(MATCH(D1755,fo_code,0)),ISNA(MATCH(D1755,p_services,0)))),IF(A1755="BL","Client inconnu",IF(A1755="BR","Fournisseur inconnu","Service inconnu")),IF(H1755="","Article manquant",IF(ISNA(MATCH(H1755,art_ref,0)),"Article inconnu",IF(OR(NOT(ISNUMBER(L1755)),N(L1755)&lt;=0),"Quantité invalide",IF(AND(K1755&lt;&gt;"",OR(NOT(ISNUMBER(K1755)),N(K1755)&lt;=0)),"Qté commandée invalide",IF(AG1755&lt;SUMPRODUCT(MAX((A$6:A1754=A1755)*AG$6:AG1754)),"Date antérieure au bon précédent",IF(AND(A1755&lt;&gt;"BR",ISNUMBER(M1755),N(M1755)&gt;0),IF(A1755="BL","Livré plus que commandé","Sorti plus que demandé"),"OK"))))))))))))</f>
        <v/>
      </c>
      <c r="Y1755" s="57" t="str">
        <f>IF(AND(OR(A1755="BL",A1755="BR",A1755="BS"),AG1755&gt;0,D1755&lt;&gt;""),A1755&amp;"|"&amp;AG1755&amp;"|"&amp;D1755&amp;"|"&amp;F1755,"")</f>
        <v/>
      </c>
      <c r="Z1755" s="57" t="str">
        <f>IF(Y1755="","",IF(COUNTIF(Y$6:Y1754,Y1755)=0,1,0))</f>
        <v/>
      </c>
      <c r="AA1755" s="57" t="str">
        <f>IF(Y1755="","",IF(Z1755=1,COUNTIFS(A$6:A1755,A1755,Z$6:Z1755,1),INDEX(AA$6:AA1754,MATCH(Y1755,Y$6:Y1754,0))))</f>
        <v/>
      </c>
      <c r="AB1755" s="57" t="str">
        <f>IF(B1755="","",COUNTIF(B$6:B1755,B1755))</f>
        <v/>
      </c>
      <c r="AC1755" s="57" t="str">
        <f>IF(B1755="","",B1755&amp;"#"&amp;AB1755)</f>
        <v/>
      </c>
      <c r="AD1755" s="57" t="str">
        <f>IF(Z1755=1,A1755&amp;AA1755,"")</f>
        <v/>
      </c>
      <c r="AE1755" s="57" t="str">
        <f>IF(B1755="","",YEAR(C1755))</f>
        <v/>
      </c>
      <c r="AF1755" s="57" t="str">
        <f>IF(B1755="","",MONTH(C1755))</f>
        <v/>
      </c>
      <c r="AG1755" s="57">
        <f>IF(ISNUMBER(C1755),C1755,0)</f>
        <v>0.0</v>
      </c>
      <c r="AH1755" s="57" t="str">
        <f>IF(N(W1755)&gt;0,COUNTIF(W$6:W1755,"&gt;0"),"")</f>
        <v/>
      </c>
      <c r="AI1755" s="57" t="str">
        <f>IF(Z1755=1,COUNTIF(Z$6:Z1755,1),"")</f>
        <v/>
      </c>
    </row>
    <row r="1756">
      <c r="A1756" s="54" t="n"/>
      <c r="B1756" s="55" t="str">
        <f>IF(AA1756="","",A1756&amp;"-"&amp;RIGHT("000"&amp;AA1756,4))</f>
        <v/>
      </c>
      <c r="C1756" s="56" t="n"/>
      <c r="D1756" s="54" t="n"/>
      <c r="E1756" s="57" t="str">
        <f>IF(D1756="","",IF(A1756="BL",IFERROR(INDEX(cl_name,MATCH(D1756,cl_code,0))&amp;"","Client inconnu"),IF(A1756="BR",IFERROR(INDEX(fo_name,MATCH(D1756,fo_code,0))&amp;"","Fournisseur inconnu"),IF(A1756="BS",IF(ISNA(MATCH(D1756,p_services,0)),"Service inconnu",D1756&amp;""),""))))</f>
        <v/>
      </c>
      <c r="F1756" s="58" t="n"/>
      <c r="G1756" s="58" t="n"/>
      <c r="H1756" s="59" t="n"/>
      <c r="I1756" s="57" t="str">
        <f>IF(H1756="","",IFERROR(INDEX(art_des,MATCH(H1756,art_ref,0))&amp;"","Article inconnu"))</f>
        <v/>
      </c>
      <c r="J1756" s="60" t="str">
        <f>IF(H1756="","",IFERROR(INDEX(art_unit,MATCH(H1756,art_ref,0))&amp;"",""))</f>
        <v/>
      </c>
      <c r="K1756" s="59" t="n"/>
      <c r="L1756" s="59" t="n"/>
      <c r="M1756" s="61" t="str">
        <f>IF(OR(B1756="",NOT(ISNUMBER(K1756)),NOT(ISNUMBER(L1756))),"",IF(OR(K1756&lt;=0,L1756&lt;=0),"",ROUND(L1756-K1756,6)))</f>
        <v/>
      </c>
      <c r="N1756" s="58" t="n"/>
      <c r="O1756" s="62" t="n"/>
      <c r="P1756" s="63" t="str">
        <f>IF(OR(B1756="",NOT(ISNUMBER(L1756))),"",IF(L1756&lt;=0,"",IFERROR(ROUND(L1756*N(INDEX(art_w,MATCH(H1756,art_ref,0))),3),"")))</f>
        <v/>
      </c>
      <c r="Q1756" s="59" t="n"/>
      <c r="R1756" s="54" t="n"/>
      <c r="S1756" s="59" t="n"/>
      <c r="T1756" s="59" t="n"/>
      <c r="U1756" s="64" t="str">
        <f>IF(OR(B1756="",H1756=""),"",IFERROR(IF(A1756="BL",IF(N(INDEX(art_price,MATCH(H1756,art_ref,0)))=0,"",N(INDEX(art_price,MATCH(H1756,art_ref,0)))),IF(N(INDEX(art_cost,MATCH(H1756,art_ref,0)))=0,"",N(INDEX(art_cost,MATCH(H1756,art_ref,0))))),""))</f>
        <v/>
      </c>
      <c r="V1756" s="64" t="str">
        <f>IF(OR(U1756="",NOT(ISNUMBER(L1756))),"",IF(L1756&lt;=0,"",ROUND(L1756*U1756,2)))</f>
        <v/>
      </c>
      <c r="W1756" s="60" t="str">
        <f>IF(AND(B1756&lt;&gt;"",A1756&lt;&gt;"BS",F1756&lt;&gt;"",H1756&lt;&gt;"",ISNUMBER(K1756),ISNUMBER(L1756)),IF(AND(K1756&gt;0,L1756&gt;0,K1756-L1756&gt;0,COUNTIFS(A1757:A$2005,A1756,F1757:F$2005,F1756,H1757:H$2005,H1756,AA1757:AA$2005,"&gt;0")=0),ROUND(K1756-L1756,6),""),"")</f>
        <v/>
      </c>
      <c r="X1756" s="60" t="str">
        <f>IF(AND(A1756="",C1756="",D1756="",H1756="",L1756=""),"",IF(A1756="","Type manquant",IF(AND(A1756&lt;&gt;"BL",A1756&lt;&gt;"BR",A1756&lt;&gt;"BS"),"Type inconnu (BL, BR ou BS)",IF(AG1756=0,"Date manquante ou invalide",IF(D1756="",IF(A1756="BL","Client manquant",IF(A1756="BR","Fournisseur manquant","Service manquant")),IF(IF(A1756="BL",ISNA(MATCH(D1756,cl_code,0)),IF(A1756="BR",ISNA(MATCH(D1756,fo_code,0)),ISNA(MATCH(D1756,p_services,0)))),IF(A1756="BL","Client inconnu",IF(A1756="BR","Fournisseur inconnu","Service inconnu")),IF(H1756="","Article manquant",IF(ISNA(MATCH(H1756,art_ref,0)),"Article inconnu",IF(OR(NOT(ISNUMBER(L1756)),N(L1756)&lt;=0),"Quantité invalide",IF(AND(K1756&lt;&gt;"",OR(NOT(ISNUMBER(K1756)),N(K1756)&lt;=0)),"Qté commandée invalide",IF(AG1756&lt;SUMPRODUCT(MAX((A$6:A1755=A1756)*AG$6:AG1755)),"Date antérieure au bon précédent",IF(AND(A1756&lt;&gt;"BR",ISNUMBER(M1756),N(M1756)&gt;0),IF(A1756="BL","Livré plus que commandé","Sorti plus que demandé"),"OK"))))))))))))</f>
        <v/>
      </c>
      <c r="Y1756" s="57" t="str">
        <f>IF(AND(OR(A1756="BL",A1756="BR",A1756="BS"),AG1756&gt;0,D1756&lt;&gt;""),A1756&amp;"|"&amp;AG1756&amp;"|"&amp;D1756&amp;"|"&amp;F1756,"")</f>
        <v/>
      </c>
      <c r="Z1756" s="57" t="str">
        <f>IF(Y1756="","",IF(COUNTIF(Y$6:Y1755,Y1756)=0,1,0))</f>
        <v/>
      </c>
      <c r="AA1756" s="57" t="str">
        <f>IF(Y1756="","",IF(Z1756=1,COUNTIFS(A$6:A1756,A1756,Z$6:Z1756,1),INDEX(AA$6:AA1755,MATCH(Y1756,Y$6:Y1755,0))))</f>
        <v/>
      </c>
      <c r="AB1756" s="57" t="str">
        <f>IF(B1756="","",COUNTIF(B$6:B1756,B1756))</f>
        <v/>
      </c>
      <c r="AC1756" s="57" t="str">
        <f>IF(B1756="","",B1756&amp;"#"&amp;AB1756)</f>
        <v/>
      </c>
      <c r="AD1756" s="57" t="str">
        <f>IF(Z1756=1,A1756&amp;AA1756,"")</f>
        <v/>
      </c>
      <c r="AE1756" s="57" t="str">
        <f>IF(B1756="","",YEAR(C1756))</f>
        <v/>
      </c>
      <c r="AF1756" s="57" t="str">
        <f>IF(B1756="","",MONTH(C1756))</f>
        <v/>
      </c>
      <c r="AG1756" s="57">
        <f>IF(ISNUMBER(C1756),C1756,0)</f>
        <v>0.0</v>
      </c>
      <c r="AH1756" s="57" t="str">
        <f>IF(N(W1756)&gt;0,COUNTIF(W$6:W1756,"&gt;0"),"")</f>
        <v/>
      </c>
      <c r="AI1756" s="57" t="str">
        <f>IF(Z1756=1,COUNTIF(Z$6:Z1756,1),"")</f>
        <v/>
      </c>
    </row>
    <row r="1757">
      <c r="A1757" s="54" t="n"/>
      <c r="B1757" s="55" t="str">
        <f>IF(AA1757="","",A1757&amp;"-"&amp;RIGHT("000"&amp;AA1757,4))</f>
        <v/>
      </c>
      <c r="C1757" s="56" t="n"/>
      <c r="D1757" s="54" t="n"/>
      <c r="E1757" s="57" t="str">
        <f>IF(D1757="","",IF(A1757="BL",IFERROR(INDEX(cl_name,MATCH(D1757,cl_code,0))&amp;"","Client inconnu"),IF(A1757="BR",IFERROR(INDEX(fo_name,MATCH(D1757,fo_code,0))&amp;"","Fournisseur inconnu"),IF(A1757="BS",IF(ISNA(MATCH(D1757,p_services,0)),"Service inconnu",D1757&amp;""),""))))</f>
        <v/>
      </c>
      <c r="F1757" s="58" t="n"/>
      <c r="G1757" s="58" t="n"/>
      <c r="H1757" s="59" t="n"/>
      <c r="I1757" s="57" t="str">
        <f>IF(H1757="","",IFERROR(INDEX(art_des,MATCH(H1757,art_ref,0))&amp;"","Article inconnu"))</f>
        <v/>
      </c>
      <c r="J1757" s="60" t="str">
        <f>IF(H1757="","",IFERROR(INDEX(art_unit,MATCH(H1757,art_ref,0))&amp;"",""))</f>
        <v/>
      </c>
      <c r="K1757" s="59" t="n"/>
      <c r="L1757" s="59" t="n"/>
      <c r="M1757" s="61" t="str">
        <f>IF(OR(B1757="",NOT(ISNUMBER(K1757)),NOT(ISNUMBER(L1757))),"",IF(OR(K1757&lt;=0,L1757&lt;=0),"",ROUND(L1757-K1757,6)))</f>
        <v/>
      </c>
      <c r="N1757" s="58" t="n"/>
      <c r="O1757" s="62" t="n"/>
      <c r="P1757" s="63" t="str">
        <f>IF(OR(B1757="",NOT(ISNUMBER(L1757))),"",IF(L1757&lt;=0,"",IFERROR(ROUND(L1757*N(INDEX(art_w,MATCH(H1757,art_ref,0))),3),"")))</f>
        <v/>
      </c>
      <c r="Q1757" s="59" t="n"/>
      <c r="R1757" s="54" t="n"/>
      <c r="S1757" s="59" t="n"/>
      <c r="T1757" s="59" t="n"/>
      <c r="U1757" s="64" t="str">
        <f>IF(OR(B1757="",H1757=""),"",IFERROR(IF(A1757="BL",IF(N(INDEX(art_price,MATCH(H1757,art_ref,0)))=0,"",N(INDEX(art_price,MATCH(H1757,art_ref,0)))),IF(N(INDEX(art_cost,MATCH(H1757,art_ref,0)))=0,"",N(INDEX(art_cost,MATCH(H1757,art_ref,0))))),""))</f>
        <v/>
      </c>
      <c r="V1757" s="64" t="str">
        <f>IF(OR(U1757="",NOT(ISNUMBER(L1757))),"",IF(L1757&lt;=0,"",ROUND(L1757*U1757,2)))</f>
        <v/>
      </c>
      <c r="W1757" s="60" t="str">
        <f>IF(AND(B1757&lt;&gt;"",A1757&lt;&gt;"BS",F1757&lt;&gt;"",H1757&lt;&gt;"",ISNUMBER(K1757),ISNUMBER(L1757)),IF(AND(K1757&gt;0,L1757&gt;0,K1757-L1757&gt;0,COUNTIFS(A1758:A$2005,A1757,F1758:F$2005,F1757,H1758:H$2005,H1757,AA1758:AA$2005,"&gt;0")=0),ROUND(K1757-L1757,6),""),"")</f>
        <v/>
      </c>
      <c r="X1757" s="60" t="str">
        <f>IF(AND(A1757="",C1757="",D1757="",H1757="",L1757=""),"",IF(A1757="","Type manquant",IF(AND(A1757&lt;&gt;"BL",A1757&lt;&gt;"BR",A1757&lt;&gt;"BS"),"Type inconnu (BL, BR ou BS)",IF(AG1757=0,"Date manquante ou invalide",IF(D1757="",IF(A1757="BL","Client manquant",IF(A1757="BR","Fournisseur manquant","Service manquant")),IF(IF(A1757="BL",ISNA(MATCH(D1757,cl_code,0)),IF(A1757="BR",ISNA(MATCH(D1757,fo_code,0)),ISNA(MATCH(D1757,p_services,0)))),IF(A1757="BL","Client inconnu",IF(A1757="BR","Fournisseur inconnu","Service inconnu")),IF(H1757="","Article manquant",IF(ISNA(MATCH(H1757,art_ref,0)),"Article inconnu",IF(OR(NOT(ISNUMBER(L1757)),N(L1757)&lt;=0),"Quantité invalide",IF(AND(K1757&lt;&gt;"",OR(NOT(ISNUMBER(K1757)),N(K1757)&lt;=0)),"Qté commandée invalide",IF(AG1757&lt;SUMPRODUCT(MAX((A$6:A1756=A1757)*AG$6:AG1756)),"Date antérieure au bon précédent",IF(AND(A1757&lt;&gt;"BR",ISNUMBER(M1757),N(M1757)&gt;0),IF(A1757="BL","Livré plus que commandé","Sorti plus que demandé"),"OK"))))))))))))</f>
        <v/>
      </c>
      <c r="Y1757" s="57" t="str">
        <f>IF(AND(OR(A1757="BL",A1757="BR",A1757="BS"),AG1757&gt;0,D1757&lt;&gt;""),A1757&amp;"|"&amp;AG1757&amp;"|"&amp;D1757&amp;"|"&amp;F1757,"")</f>
        <v/>
      </c>
      <c r="Z1757" s="57" t="str">
        <f>IF(Y1757="","",IF(COUNTIF(Y$6:Y1756,Y1757)=0,1,0))</f>
        <v/>
      </c>
      <c r="AA1757" s="57" t="str">
        <f>IF(Y1757="","",IF(Z1757=1,COUNTIFS(A$6:A1757,A1757,Z$6:Z1757,1),INDEX(AA$6:AA1756,MATCH(Y1757,Y$6:Y1756,0))))</f>
        <v/>
      </c>
      <c r="AB1757" s="57" t="str">
        <f>IF(B1757="","",COUNTIF(B$6:B1757,B1757))</f>
        <v/>
      </c>
      <c r="AC1757" s="57" t="str">
        <f>IF(B1757="","",B1757&amp;"#"&amp;AB1757)</f>
        <v/>
      </c>
      <c r="AD1757" s="57" t="str">
        <f>IF(Z1757=1,A1757&amp;AA1757,"")</f>
        <v/>
      </c>
      <c r="AE1757" s="57" t="str">
        <f>IF(B1757="","",YEAR(C1757))</f>
        <v/>
      </c>
      <c r="AF1757" s="57" t="str">
        <f>IF(B1757="","",MONTH(C1757))</f>
        <v/>
      </c>
      <c r="AG1757" s="57">
        <f>IF(ISNUMBER(C1757),C1757,0)</f>
        <v>0.0</v>
      </c>
      <c r="AH1757" s="57" t="str">
        <f>IF(N(W1757)&gt;0,COUNTIF(W$6:W1757,"&gt;0"),"")</f>
        <v/>
      </c>
      <c r="AI1757" s="57" t="str">
        <f>IF(Z1757=1,COUNTIF(Z$6:Z1757,1),"")</f>
        <v/>
      </c>
    </row>
    <row r="1758">
      <c r="A1758" s="54" t="n"/>
      <c r="B1758" s="55" t="str">
        <f>IF(AA1758="","",A1758&amp;"-"&amp;RIGHT("000"&amp;AA1758,4))</f>
        <v/>
      </c>
      <c r="C1758" s="56" t="n"/>
      <c r="D1758" s="54" t="n"/>
      <c r="E1758" s="57" t="str">
        <f>IF(D1758="","",IF(A1758="BL",IFERROR(INDEX(cl_name,MATCH(D1758,cl_code,0))&amp;"","Client inconnu"),IF(A1758="BR",IFERROR(INDEX(fo_name,MATCH(D1758,fo_code,0))&amp;"","Fournisseur inconnu"),IF(A1758="BS",IF(ISNA(MATCH(D1758,p_services,0)),"Service inconnu",D1758&amp;""),""))))</f>
        <v/>
      </c>
      <c r="F1758" s="58" t="n"/>
      <c r="G1758" s="58" t="n"/>
      <c r="H1758" s="59" t="n"/>
      <c r="I1758" s="57" t="str">
        <f>IF(H1758="","",IFERROR(INDEX(art_des,MATCH(H1758,art_ref,0))&amp;"","Article inconnu"))</f>
        <v/>
      </c>
      <c r="J1758" s="60" t="str">
        <f>IF(H1758="","",IFERROR(INDEX(art_unit,MATCH(H1758,art_ref,0))&amp;"",""))</f>
        <v/>
      </c>
      <c r="K1758" s="59" t="n"/>
      <c r="L1758" s="59" t="n"/>
      <c r="M1758" s="61" t="str">
        <f>IF(OR(B1758="",NOT(ISNUMBER(K1758)),NOT(ISNUMBER(L1758))),"",IF(OR(K1758&lt;=0,L1758&lt;=0),"",ROUND(L1758-K1758,6)))</f>
        <v/>
      </c>
      <c r="N1758" s="58" t="n"/>
      <c r="O1758" s="62" t="n"/>
      <c r="P1758" s="63" t="str">
        <f>IF(OR(B1758="",NOT(ISNUMBER(L1758))),"",IF(L1758&lt;=0,"",IFERROR(ROUND(L1758*N(INDEX(art_w,MATCH(H1758,art_ref,0))),3),"")))</f>
        <v/>
      </c>
      <c r="Q1758" s="59" t="n"/>
      <c r="R1758" s="54" t="n"/>
      <c r="S1758" s="59" t="n"/>
      <c r="T1758" s="59" t="n"/>
      <c r="U1758" s="64" t="str">
        <f>IF(OR(B1758="",H1758=""),"",IFERROR(IF(A1758="BL",IF(N(INDEX(art_price,MATCH(H1758,art_ref,0)))=0,"",N(INDEX(art_price,MATCH(H1758,art_ref,0)))),IF(N(INDEX(art_cost,MATCH(H1758,art_ref,0)))=0,"",N(INDEX(art_cost,MATCH(H1758,art_ref,0))))),""))</f>
        <v/>
      </c>
      <c r="V1758" s="64" t="str">
        <f>IF(OR(U1758="",NOT(ISNUMBER(L1758))),"",IF(L1758&lt;=0,"",ROUND(L1758*U1758,2)))</f>
        <v/>
      </c>
      <c r="W1758" s="60" t="str">
        <f>IF(AND(B1758&lt;&gt;"",A1758&lt;&gt;"BS",F1758&lt;&gt;"",H1758&lt;&gt;"",ISNUMBER(K1758),ISNUMBER(L1758)),IF(AND(K1758&gt;0,L1758&gt;0,K1758-L1758&gt;0,COUNTIFS(A1759:A$2005,A1758,F1759:F$2005,F1758,H1759:H$2005,H1758,AA1759:AA$2005,"&gt;0")=0),ROUND(K1758-L1758,6),""),"")</f>
        <v/>
      </c>
      <c r="X1758" s="60" t="str">
        <f>IF(AND(A1758="",C1758="",D1758="",H1758="",L1758=""),"",IF(A1758="","Type manquant",IF(AND(A1758&lt;&gt;"BL",A1758&lt;&gt;"BR",A1758&lt;&gt;"BS"),"Type inconnu (BL, BR ou BS)",IF(AG1758=0,"Date manquante ou invalide",IF(D1758="",IF(A1758="BL","Client manquant",IF(A1758="BR","Fournisseur manquant","Service manquant")),IF(IF(A1758="BL",ISNA(MATCH(D1758,cl_code,0)),IF(A1758="BR",ISNA(MATCH(D1758,fo_code,0)),ISNA(MATCH(D1758,p_services,0)))),IF(A1758="BL","Client inconnu",IF(A1758="BR","Fournisseur inconnu","Service inconnu")),IF(H1758="","Article manquant",IF(ISNA(MATCH(H1758,art_ref,0)),"Article inconnu",IF(OR(NOT(ISNUMBER(L1758)),N(L1758)&lt;=0),"Quantité invalide",IF(AND(K1758&lt;&gt;"",OR(NOT(ISNUMBER(K1758)),N(K1758)&lt;=0)),"Qté commandée invalide",IF(AG1758&lt;SUMPRODUCT(MAX((A$6:A1757=A1758)*AG$6:AG1757)),"Date antérieure au bon précédent",IF(AND(A1758&lt;&gt;"BR",ISNUMBER(M1758),N(M1758)&gt;0),IF(A1758="BL","Livré plus que commandé","Sorti plus que demandé"),"OK"))))))))))))</f>
        <v/>
      </c>
      <c r="Y1758" s="57" t="str">
        <f>IF(AND(OR(A1758="BL",A1758="BR",A1758="BS"),AG1758&gt;0,D1758&lt;&gt;""),A1758&amp;"|"&amp;AG1758&amp;"|"&amp;D1758&amp;"|"&amp;F1758,"")</f>
        <v/>
      </c>
      <c r="Z1758" s="57" t="str">
        <f>IF(Y1758="","",IF(COUNTIF(Y$6:Y1757,Y1758)=0,1,0))</f>
        <v/>
      </c>
      <c r="AA1758" s="57" t="str">
        <f>IF(Y1758="","",IF(Z1758=1,COUNTIFS(A$6:A1758,A1758,Z$6:Z1758,1),INDEX(AA$6:AA1757,MATCH(Y1758,Y$6:Y1757,0))))</f>
        <v/>
      </c>
      <c r="AB1758" s="57" t="str">
        <f>IF(B1758="","",COUNTIF(B$6:B1758,B1758))</f>
        <v/>
      </c>
      <c r="AC1758" s="57" t="str">
        <f>IF(B1758="","",B1758&amp;"#"&amp;AB1758)</f>
        <v/>
      </c>
      <c r="AD1758" s="57" t="str">
        <f>IF(Z1758=1,A1758&amp;AA1758,"")</f>
        <v/>
      </c>
      <c r="AE1758" s="57" t="str">
        <f>IF(B1758="","",YEAR(C1758))</f>
        <v/>
      </c>
      <c r="AF1758" s="57" t="str">
        <f>IF(B1758="","",MONTH(C1758))</f>
        <v/>
      </c>
      <c r="AG1758" s="57">
        <f>IF(ISNUMBER(C1758),C1758,0)</f>
        <v>0.0</v>
      </c>
      <c r="AH1758" s="57" t="str">
        <f>IF(N(W1758)&gt;0,COUNTIF(W$6:W1758,"&gt;0"),"")</f>
        <v/>
      </c>
      <c r="AI1758" s="57" t="str">
        <f>IF(Z1758=1,COUNTIF(Z$6:Z1758,1),"")</f>
        <v/>
      </c>
    </row>
    <row r="1759">
      <c r="A1759" s="54" t="n"/>
      <c r="B1759" s="55" t="str">
        <f>IF(AA1759="","",A1759&amp;"-"&amp;RIGHT("000"&amp;AA1759,4))</f>
        <v/>
      </c>
      <c r="C1759" s="56" t="n"/>
      <c r="D1759" s="54" t="n"/>
      <c r="E1759" s="57" t="str">
        <f>IF(D1759="","",IF(A1759="BL",IFERROR(INDEX(cl_name,MATCH(D1759,cl_code,0))&amp;"","Client inconnu"),IF(A1759="BR",IFERROR(INDEX(fo_name,MATCH(D1759,fo_code,0))&amp;"","Fournisseur inconnu"),IF(A1759="BS",IF(ISNA(MATCH(D1759,p_services,0)),"Service inconnu",D1759&amp;""),""))))</f>
        <v/>
      </c>
      <c r="F1759" s="58" t="n"/>
      <c r="G1759" s="58" t="n"/>
      <c r="H1759" s="59" t="n"/>
      <c r="I1759" s="57" t="str">
        <f>IF(H1759="","",IFERROR(INDEX(art_des,MATCH(H1759,art_ref,0))&amp;"","Article inconnu"))</f>
        <v/>
      </c>
      <c r="J1759" s="60" t="str">
        <f>IF(H1759="","",IFERROR(INDEX(art_unit,MATCH(H1759,art_ref,0))&amp;"",""))</f>
        <v/>
      </c>
      <c r="K1759" s="59" t="n"/>
      <c r="L1759" s="59" t="n"/>
      <c r="M1759" s="61" t="str">
        <f>IF(OR(B1759="",NOT(ISNUMBER(K1759)),NOT(ISNUMBER(L1759))),"",IF(OR(K1759&lt;=0,L1759&lt;=0),"",ROUND(L1759-K1759,6)))</f>
        <v/>
      </c>
      <c r="N1759" s="58" t="n"/>
      <c r="O1759" s="62" t="n"/>
      <c r="P1759" s="63" t="str">
        <f>IF(OR(B1759="",NOT(ISNUMBER(L1759))),"",IF(L1759&lt;=0,"",IFERROR(ROUND(L1759*N(INDEX(art_w,MATCH(H1759,art_ref,0))),3),"")))</f>
        <v/>
      </c>
      <c r="Q1759" s="59" t="n"/>
      <c r="R1759" s="54" t="n"/>
      <c r="S1759" s="59" t="n"/>
      <c r="T1759" s="59" t="n"/>
      <c r="U1759" s="64" t="str">
        <f>IF(OR(B1759="",H1759=""),"",IFERROR(IF(A1759="BL",IF(N(INDEX(art_price,MATCH(H1759,art_ref,0)))=0,"",N(INDEX(art_price,MATCH(H1759,art_ref,0)))),IF(N(INDEX(art_cost,MATCH(H1759,art_ref,0)))=0,"",N(INDEX(art_cost,MATCH(H1759,art_ref,0))))),""))</f>
        <v/>
      </c>
      <c r="V1759" s="64" t="str">
        <f>IF(OR(U1759="",NOT(ISNUMBER(L1759))),"",IF(L1759&lt;=0,"",ROUND(L1759*U1759,2)))</f>
        <v/>
      </c>
      <c r="W1759" s="60" t="str">
        <f>IF(AND(B1759&lt;&gt;"",A1759&lt;&gt;"BS",F1759&lt;&gt;"",H1759&lt;&gt;"",ISNUMBER(K1759),ISNUMBER(L1759)),IF(AND(K1759&gt;0,L1759&gt;0,K1759-L1759&gt;0,COUNTIFS(A1760:A$2005,A1759,F1760:F$2005,F1759,H1760:H$2005,H1759,AA1760:AA$2005,"&gt;0")=0),ROUND(K1759-L1759,6),""),"")</f>
        <v/>
      </c>
      <c r="X1759" s="60" t="str">
        <f>IF(AND(A1759="",C1759="",D1759="",H1759="",L1759=""),"",IF(A1759="","Type manquant",IF(AND(A1759&lt;&gt;"BL",A1759&lt;&gt;"BR",A1759&lt;&gt;"BS"),"Type inconnu (BL, BR ou BS)",IF(AG1759=0,"Date manquante ou invalide",IF(D1759="",IF(A1759="BL","Client manquant",IF(A1759="BR","Fournisseur manquant","Service manquant")),IF(IF(A1759="BL",ISNA(MATCH(D1759,cl_code,0)),IF(A1759="BR",ISNA(MATCH(D1759,fo_code,0)),ISNA(MATCH(D1759,p_services,0)))),IF(A1759="BL","Client inconnu",IF(A1759="BR","Fournisseur inconnu","Service inconnu")),IF(H1759="","Article manquant",IF(ISNA(MATCH(H1759,art_ref,0)),"Article inconnu",IF(OR(NOT(ISNUMBER(L1759)),N(L1759)&lt;=0),"Quantité invalide",IF(AND(K1759&lt;&gt;"",OR(NOT(ISNUMBER(K1759)),N(K1759)&lt;=0)),"Qté commandée invalide",IF(AG1759&lt;SUMPRODUCT(MAX((A$6:A1758=A1759)*AG$6:AG1758)),"Date antérieure au bon précédent",IF(AND(A1759&lt;&gt;"BR",ISNUMBER(M1759),N(M1759)&gt;0),IF(A1759="BL","Livré plus que commandé","Sorti plus que demandé"),"OK"))))))))))))</f>
        <v/>
      </c>
      <c r="Y1759" s="57" t="str">
        <f>IF(AND(OR(A1759="BL",A1759="BR",A1759="BS"),AG1759&gt;0,D1759&lt;&gt;""),A1759&amp;"|"&amp;AG1759&amp;"|"&amp;D1759&amp;"|"&amp;F1759,"")</f>
        <v/>
      </c>
      <c r="Z1759" s="57" t="str">
        <f>IF(Y1759="","",IF(COUNTIF(Y$6:Y1758,Y1759)=0,1,0))</f>
        <v/>
      </c>
      <c r="AA1759" s="57" t="str">
        <f>IF(Y1759="","",IF(Z1759=1,COUNTIFS(A$6:A1759,A1759,Z$6:Z1759,1),INDEX(AA$6:AA1758,MATCH(Y1759,Y$6:Y1758,0))))</f>
        <v/>
      </c>
      <c r="AB1759" s="57" t="str">
        <f>IF(B1759="","",COUNTIF(B$6:B1759,B1759))</f>
        <v/>
      </c>
      <c r="AC1759" s="57" t="str">
        <f>IF(B1759="","",B1759&amp;"#"&amp;AB1759)</f>
        <v/>
      </c>
      <c r="AD1759" s="57" t="str">
        <f>IF(Z1759=1,A1759&amp;AA1759,"")</f>
        <v/>
      </c>
      <c r="AE1759" s="57" t="str">
        <f>IF(B1759="","",YEAR(C1759))</f>
        <v/>
      </c>
      <c r="AF1759" s="57" t="str">
        <f>IF(B1759="","",MONTH(C1759))</f>
        <v/>
      </c>
      <c r="AG1759" s="57">
        <f>IF(ISNUMBER(C1759),C1759,0)</f>
        <v>0.0</v>
      </c>
      <c r="AH1759" s="57" t="str">
        <f>IF(N(W1759)&gt;0,COUNTIF(W$6:W1759,"&gt;0"),"")</f>
        <v/>
      </c>
      <c r="AI1759" s="57" t="str">
        <f>IF(Z1759=1,COUNTIF(Z$6:Z1759,1),"")</f>
        <v/>
      </c>
    </row>
    <row r="1760">
      <c r="A1760" s="54" t="n"/>
      <c r="B1760" s="55" t="str">
        <f>IF(AA1760="","",A1760&amp;"-"&amp;RIGHT("000"&amp;AA1760,4))</f>
        <v/>
      </c>
      <c r="C1760" s="56" t="n"/>
      <c r="D1760" s="54" t="n"/>
      <c r="E1760" s="57" t="str">
        <f>IF(D1760="","",IF(A1760="BL",IFERROR(INDEX(cl_name,MATCH(D1760,cl_code,0))&amp;"","Client inconnu"),IF(A1760="BR",IFERROR(INDEX(fo_name,MATCH(D1760,fo_code,0))&amp;"","Fournisseur inconnu"),IF(A1760="BS",IF(ISNA(MATCH(D1760,p_services,0)),"Service inconnu",D1760&amp;""),""))))</f>
        <v/>
      </c>
      <c r="F1760" s="58" t="n"/>
      <c r="G1760" s="58" t="n"/>
      <c r="H1760" s="59" t="n"/>
      <c r="I1760" s="57" t="str">
        <f>IF(H1760="","",IFERROR(INDEX(art_des,MATCH(H1760,art_ref,0))&amp;"","Article inconnu"))</f>
        <v/>
      </c>
      <c r="J1760" s="60" t="str">
        <f>IF(H1760="","",IFERROR(INDEX(art_unit,MATCH(H1760,art_ref,0))&amp;"",""))</f>
        <v/>
      </c>
      <c r="K1760" s="59" t="n"/>
      <c r="L1760" s="59" t="n"/>
      <c r="M1760" s="61" t="str">
        <f>IF(OR(B1760="",NOT(ISNUMBER(K1760)),NOT(ISNUMBER(L1760))),"",IF(OR(K1760&lt;=0,L1760&lt;=0),"",ROUND(L1760-K1760,6)))</f>
        <v/>
      </c>
      <c r="N1760" s="58" t="n"/>
      <c r="O1760" s="62" t="n"/>
      <c r="P1760" s="63" t="str">
        <f>IF(OR(B1760="",NOT(ISNUMBER(L1760))),"",IF(L1760&lt;=0,"",IFERROR(ROUND(L1760*N(INDEX(art_w,MATCH(H1760,art_ref,0))),3),"")))</f>
        <v/>
      </c>
      <c r="Q1760" s="59" t="n"/>
      <c r="R1760" s="54" t="n"/>
      <c r="S1760" s="59" t="n"/>
      <c r="T1760" s="59" t="n"/>
      <c r="U1760" s="64" t="str">
        <f>IF(OR(B1760="",H1760=""),"",IFERROR(IF(A1760="BL",IF(N(INDEX(art_price,MATCH(H1760,art_ref,0)))=0,"",N(INDEX(art_price,MATCH(H1760,art_ref,0)))),IF(N(INDEX(art_cost,MATCH(H1760,art_ref,0)))=0,"",N(INDEX(art_cost,MATCH(H1760,art_ref,0))))),""))</f>
        <v/>
      </c>
      <c r="V1760" s="64" t="str">
        <f>IF(OR(U1760="",NOT(ISNUMBER(L1760))),"",IF(L1760&lt;=0,"",ROUND(L1760*U1760,2)))</f>
        <v/>
      </c>
      <c r="W1760" s="60" t="str">
        <f>IF(AND(B1760&lt;&gt;"",A1760&lt;&gt;"BS",F1760&lt;&gt;"",H1760&lt;&gt;"",ISNUMBER(K1760),ISNUMBER(L1760)),IF(AND(K1760&gt;0,L1760&gt;0,K1760-L1760&gt;0,COUNTIFS(A1761:A$2005,A1760,F1761:F$2005,F1760,H1761:H$2005,H1760,AA1761:AA$2005,"&gt;0")=0),ROUND(K1760-L1760,6),""),"")</f>
        <v/>
      </c>
      <c r="X1760" s="60" t="str">
        <f>IF(AND(A1760="",C1760="",D1760="",H1760="",L1760=""),"",IF(A1760="","Type manquant",IF(AND(A1760&lt;&gt;"BL",A1760&lt;&gt;"BR",A1760&lt;&gt;"BS"),"Type inconnu (BL, BR ou BS)",IF(AG1760=0,"Date manquante ou invalide",IF(D1760="",IF(A1760="BL","Client manquant",IF(A1760="BR","Fournisseur manquant","Service manquant")),IF(IF(A1760="BL",ISNA(MATCH(D1760,cl_code,0)),IF(A1760="BR",ISNA(MATCH(D1760,fo_code,0)),ISNA(MATCH(D1760,p_services,0)))),IF(A1760="BL","Client inconnu",IF(A1760="BR","Fournisseur inconnu","Service inconnu")),IF(H1760="","Article manquant",IF(ISNA(MATCH(H1760,art_ref,0)),"Article inconnu",IF(OR(NOT(ISNUMBER(L1760)),N(L1760)&lt;=0),"Quantité invalide",IF(AND(K1760&lt;&gt;"",OR(NOT(ISNUMBER(K1760)),N(K1760)&lt;=0)),"Qté commandée invalide",IF(AG1760&lt;SUMPRODUCT(MAX((A$6:A1759=A1760)*AG$6:AG1759)),"Date antérieure au bon précédent",IF(AND(A1760&lt;&gt;"BR",ISNUMBER(M1760),N(M1760)&gt;0),IF(A1760="BL","Livré plus que commandé","Sorti plus que demandé"),"OK"))))))))))))</f>
        <v/>
      </c>
      <c r="Y1760" s="57" t="str">
        <f>IF(AND(OR(A1760="BL",A1760="BR",A1760="BS"),AG1760&gt;0,D1760&lt;&gt;""),A1760&amp;"|"&amp;AG1760&amp;"|"&amp;D1760&amp;"|"&amp;F1760,"")</f>
        <v/>
      </c>
      <c r="Z1760" s="57" t="str">
        <f>IF(Y1760="","",IF(COUNTIF(Y$6:Y1759,Y1760)=0,1,0))</f>
        <v/>
      </c>
      <c r="AA1760" s="57" t="str">
        <f>IF(Y1760="","",IF(Z1760=1,COUNTIFS(A$6:A1760,A1760,Z$6:Z1760,1),INDEX(AA$6:AA1759,MATCH(Y1760,Y$6:Y1759,0))))</f>
        <v/>
      </c>
      <c r="AB1760" s="57" t="str">
        <f>IF(B1760="","",COUNTIF(B$6:B1760,B1760))</f>
        <v/>
      </c>
      <c r="AC1760" s="57" t="str">
        <f>IF(B1760="","",B1760&amp;"#"&amp;AB1760)</f>
        <v/>
      </c>
      <c r="AD1760" s="57" t="str">
        <f>IF(Z1760=1,A1760&amp;AA1760,"")</f>
        <v/>
      </c>
      <c r="AE1760" s="57" t="str">
        <f>IF(B1760="","",YEAR(C1760))</f>
        <v/>
      </c>
      <c r="AF1760" s="57" t="str">
        <f>IF(B1760="","",MONTH(C1760))</f>
        <v/>
      </c>
      <c r="AG1760" s="57">
        <f>IF(ISNUMBER(C1760),C1760,0)</f>
        <v>0.0</v>
      </c>
      <c r="AH1760" s="57" t="str">
        <f>IF(N(W1760)&gt;0,COUNTIF(W$6:W1760,"&gt;0"),"")</f>
        <v/>
      </c>
      <c r="AI1760" s="57" t="str">
        <f>IF(Z1760=1,COUNTIF(Z$6:Z1760,1),"")</f>
        <v/>
      </c>
    </row>
    <row r="1761">
      <c r="A1761" s="54" t="n"/>
      <c r="B1761" s="55" t="str">
        <f>IF(AA1761="","",A1761&amp;"-"&amp;RIGHT("000"&amp;AA1761,4))</f>
        <v/>
      </c>
      <c r="C1761" s="56" t="n"/>
      <c r="D1761" s="54" t="n"/>
      <c r="E1761" s="57" t="str">
        <f>IF(D1761="","",IF(A1761="BL",IFERROR(INDEX(cl_name,MATCH(D1761,cl_code,0))&amp;"","Client inconnu"),IF(A1761="BR",IFERROR(INDEX(fo_name,MATCH(D1761,fo_code,0))&amp;"","Fournisseur inconnu"),IF(A1761="BS",IF(ISNA(MATCH(D1761,p_services,0)),"Service inconnu",D1761&amp;""),""))))</f>
        <v/>
      </c>
      <c r="F1761" s="58" t="n"/>
      <c r="G1761" s="58" t="n"/>
      <c r="H1761" s="59" t="n"/>
      <c r="I1761" s="57" t="str">
        <f>IF(H1761="","",IFERROR(INDEX(art_des,MATCH(H1761,art_ref,0))&amp;"","Article inconnu"))</f>
        <v/>
      </c>
      <c r="J1761" s="60" t="str">
        <f>IF(H1761="","",IFERROR(INDEX(art_unit,MATCH(H1761,art_ref,0))&amp;"",""))</f>
        <v/>
      </c>
      <c r="K1761" s="59" t="n"/>
      <c r="L1761" s="59" t="n"/>
      <c r="M1761" s="61" t="str">
        <f>IF(OR(B1761="",NOT(ISNUMBER(K1761)),NOT(ISNUMBER(L1761))),"",IF(OR(K1761&lt;=0,L1761&lt;=0),"",ROUND(L1761-K1761,6)))</f>
        <v/>
      </c>
      <c r="N1761" s="58" t="n"/>
      <c r="O1761" s="62" t="n"/>
      <c r="P1761" s="63" t="str">
        <f>IF(OR(B1761="",NOT(ISNUMBER(L1761))),"",IF(L1761&lt;=0,"",IFERROR(ROUND(L1761*N(INDEX(art_w,MATCH(H1761,art_ref,0))),3),"")))</f>
        <v/>
      </c>
      <c r="Q1761" s="59" t="n"/>
      <c r="R1761" s="54" t="n"/>
      <c r="S1761" s="59" t="n"/>
      <c r="T1761" s="59" t="n"/>
      <c r="U1761" s="64" t="str">
        <f>IF(OR(B1761="",H1761=""),"",IFERROR(IF(A1761="BL",IF(N(INDEX(art_price,MATCH(H1761,art_ref,0)))=0,"",N(INDEX(art_price,MATCH(H1761,art_ref,0)))),IF(N(INDEX(art_cost,MATCH(H1761,art_ref,0)))=0,"",N(INDEX(art_cost,MATCH(H1761,art_ref,0))))),""))</f>
        <v/>
      </c>
      <c r="V1761" s="64" t="str">
        <f>IF(OR(U1761="",NOT(ISNUMBER(L1761))),"",IF(L1761&lt;=0,"",ROUND(L1761*U1761,2)))</f>
        <v/>
      </c>
      <c r="W1761" s="60" t="str">
        <f>IF(AND(B1761&lt;&gt;"",A1761&lt;&gt;"BS",F1761&lt;&gt;"",H1761&lt;&gt;"",ISNUMBER(K1761),ISNUMBER(L1761)),IF(AND(K1761&gt;0,L1761&gt;0,K1761-L1761&gt;0,COUNTIFS(A1762:A$2005,A1761,F1762:F$2005,F1761,H1762:H$2005,H1761,AA1762:AA$2005,"&gt;0")=0),ROUND(K1761-L1761,6),""),"")</f>
        <v/>
      </c>
      <c r="X1761" s="60" t="str">
        <f>IF(AND(A1761="",C1761="",D1761="",H1761="",L1761=""),"",IF(A1761="","Type manquant",IF(AND(A1761&lt;&gt;"BL",A1761&lt;&gt;"BR",A1761&lt;&gt;"BS"),"Type inconnu (BL, BR ou BS)",IF(AG1761=0,"Date manquante ou invalide",IF(D1761="",IF(A1761="BL","Client manquant",IF(A1761="BR","Fournisseur manquant","Service manquant")),IF(IF(A1761="BL",ISNA(MATCH(D1761,cl_code,0)),IF(A1761="BR",ISNA(MATCH(D1761,fo_code,0)),ISNA(MATCH(D1761,p_services,0)))),IF(A1761="BL","Client inconnu",IF(A1761="BR","Fournisseur inconnu","Service inconnu")),IF(H1761="","Article manquant",IF(ISNA(MATCH(H1761,art_ref,0)),"Article inconnu",IF(OR(NOT(ISNUMBER(L1761)),N(L1761)&lt;=0),"Quantité invalide",IF(AND(K1761&lt;&gt;"",OR(NOT(ISNUMBER(K1761)),N(K1761)&lt;=0)),"Qté commandée invalide",IF(AG1761&lt;SUMPRODUCT(MAX((A$6:A1760=A1761)*AG$6:AG1760)),"Date antérieure au bon précédent",IF(AND(A1761&lt;&gt;"BR",ISNUMBER(M1761),N(M1761)&gt;0),IF(A1761="BL","Livré plus que commandé","Sorti plus que demandé"),"OK"))))))))))))</f>
        <v/>
      </c>
      <c r="Y1761" s="57" t="str">
        <f>IF(AND(OR(A1761="BL",A1761="BR",A1761="BS"),AG1761&gt;0,D1761&lt;&gt;""),A1761&amp;"|"&amp;AG1761&amp;"|"&amp;D1761&amp;"|"&amp;F1761,"")</f>
        <v/>
      </c>
      <c r="Z1761" s="57" t="str">
        <f>IF(Y1761="","",IF(COUNTIF(Y$6:Y1760,Y1761)=0,1,0))</f>
        <v/>
      </c>
      <c r="AA1761" s="57" t="str">
        <f>IF(Y1761="","",IF(Z1761=1,COUNTIFS(A$6:A1761,A1761,Z$6:Z1761,1),INDEX(AA$6:AA1760,MATCH(Y1761,Y$6:Y1760,0))))</f>
        <v/>
      </c>
      <c r="AB1761" s="57" t="str">
        <f>IF(B1761="","",COUNTIF(B$6:B1761,B1761))</f>
        <v/>
      </c>
      <c r="AC1761" s="57" t="str">
        <f>IF(B1761="","",B1761&amp;"#"&amp;AB1761)</f>
        <v/>
      </c>
      <c r="AD1761" s="57" t="str">
        <f>IF(Z1761=1,A1761&amp;AA1761,"")</f>
        <v/>
      </c>
      <c r="AE1761" s="57" t="str">
        <f>IF(B1761="","",YEAR(C1761))</f>
        <v/>
      </c>
      <c r="AF1761" s="57" t="str">
        <f>IF(B1761="","",MONTH(C1761))</f>
        <v/>
      </c>
      <c r="AG1761" s="57">
        <f>IF(ISNUMBER(C1761),C1761,0)</f>
        <v>0.0</v>
      </c>
      <c r="AH1761" s="57" t="str">
        <f>IF(N(W1761)&gt;0,COUNTIF(W$6:W1761,"&gt;0"),"")</f>
        <v/>
      </c>
      <c r="AI1761" s="57" t="str">
        <f>IF(Z1761=1,COUNTIF(Z$6:Z1761,1),"")</f>
        <v/>
      </c>
    </row>
    <row r="1762">
      <c r="A1762" s="54" t="n"/>
      <c r="B1762" s="55" t="str">
        <f>IF(AA1762="","",A1762&amp;"-"&amp;RIGHT("000"&amp;AA1762,4))</f>
        <v/>
      </c>
      <c r="C1762" s="56" t="n"/>
      <c r="D1762" s="54" t="n"/>
      <c r="E1762" s="57" t="str">
        <f>IF(D1762="","",IF(A1762="BL",IFERROR(INDEX(cl_name,MATCH(D1762,cl_code,0))&amp;"","Client inconnu"),IF(A1762="BR",IFERROR(INDEX(fo_name,MATCH(D1762,fo_code,0))&amp;"","Fournisseur inconnu"),IF(A1762="BS",IF(ISNA(MATCH(D1762,p_services,0)),"Service inconnu",D1762&amp;""),""))))</f>
        <v/>
      </c>
      <c r="F1762" s="58" t="n"/>
      <c r="G1762" s="58" t="n"/>
      <c r="H1762" s="59" t="n"/>
      <c r="I1762" s="57" t="str">
        <f>IF(H1762="","",IFERROR(INDEX(art_des,MATCH(H1762,art_ref,0))&amp;"","Article inconnu"))</f>
        <v/>
      </c>
      <c r="J1762" s="60" t="str">
        <f>IF(H1762="","",IFERROR(INDEX(art_unit,MATCH(H1762,art_ref,0))&amp;"",""))</f>
        <v/>
      </c>
      <c r="K1762" s="59" t="n"/>
      <c r="L1762" s="59" t="n"/>
      <c r="M1762" s="61" t="str">
        <f>IF(OR(B1762="",NOT(ISNUMBER(K1762)),NOT(ISNUMBER(L1762))),"",IF(OR(K1762&lt;=0,L1762&lt;=0),"",ROUND(L1762-K1762,6)))</f>
        <v/>
      </c>
      <c r="N1762" s="58" t="n"/>
      <c r="O1762" s="62" t="n"/>
      <c r="P1762" s="63" t="str">
        <f>IF(OR(B1762="",NOT(ISNUMBER(L1762))),"",IF(L1762&lt;=0,"",IFERROR(ROUND(L1762*N(INDEX(art_w,MATCH(H1762,art_ref,0))),3),"")))</f>
        <v/>
      </c>
      <c r="Q1762" s="59" t="n"/>
      <c r="R1762" s="54" t="n"/>
      <c r="S1762" s="59" t="n"/>
      <c r="T1762" s="59" t="n"/>
      <c r="U1762" s="64" t="str">
        <f>IF(OR(B1762="",H1762=""),"",IFERROR(IF(A1762="BL",IF(N(INDEX(art_price,MATCH(H1762,art_ref,0)))=0,"",N(INDEX(art_price,MATCH(H1762,art_ref,0)))),IF(N(INDEX(art_cost,MATCH(H1762,art_ref,0)))=0,"",N(INDEX(art_cost,MATCH(H1762,art_ref,0))))),""))</f>
        <v/>
      </c>
      <c r="V1762" s="64" t="str">
        <f>IF(OR(U1762="",NOT(ISNUMBER(L1762))),"",IF(L1762&lt;=0,"",ROUND(L1762*U1762,2)))</f>
        <v/>
      </c>
      <c r="W1762" s="60" t="str">
        <f>IF(AND(B1762&lt;&gt;"",A1762&lt;&gt;"BS",F1762&lt;&gt;"",H1762&lt;&gt;"",ISNUMBER(K1762),ISNUMBER(L1762)),IF(AND(K1762&gt;0,L1762&gt;0,K1762-L1762&gt;0,COUNTIFS(A1763:A$2005,A1762,F1763:F$2005,F1762,H1763:H$2005,H1762,AA1763:AA$2005,"&gt;0")=0),ROUND(K1762-L1762,6),""),"")</f>
        <v/>
      </c>
      <c r="X1762" s="60" t="str">
        <f>IF(AND(A1762="",C1762="",D1762="",H1762="",L1762=""),"",IF(A1762="","Type manquant",IF(AND(A1762&lt;&gt;"BL",A1762&lt;&gt;"BR",A1762&lt;&gt;"BS"),"Type inconnu (BL, BR ou BS)",IF(AG1762=0,"Date manquante ou invalide",IF(D1762="",IF(A1762="BL","Client manquant",IF(A1762="BR","Fournisseur manquant","Service manquant")),IF(IF(A1762="BL",ISNA(MATCH(D1762,cl_code,0)),IF(A1762="BR",ISNA(MATCH(D1762,fo_code,0)),ISNA(MATCH(D1762,p_services,0)))),IF(A1762="BL","Client inconnu",IF(A1762="BR","Fournisseur inconnu","Service inconnu")),IF(H1762="","Article manquant",IF(ISNA(MATCH(H1762,art_ref,0)),"Article inconnu",IF(OR(NOT(ISNUMBER(L1762)),N(L1762)&lt;=0),"Quantité invalide",IF(AND(K1762&lt;&gt;"",OR(NOT(ISNUMBER(K1762)),N(K1762)&lt;=0)),"Qté commandée invalide",IF(AG1762&lt;SUMPRODUCT(MAX((A$6:A1761=A1762)*AG$6:AG1761)),"Date antérieure au bon précédent",IF(AND(A1762&lt;&gt;"BR",ISNUMBER(M1762),N(M1762)&gt;0),IF(A1762="BL","Livré plus que commandé","Sorti plus que demandé"),"OK"))))))))))))</f>
        <v/>
      </c>
      <c r="Y1762" s="57" t="str">
        <f>IF(AND(OR(A1762="BL",A1762="BR",A1762="BS"),AG1762&gt;0,D1762&lt;&gt;""),A1762&amp;"|"&amp;AG1762&amp;"|"&amp;D1762&amp;"|"&amp;F1762,"")</f>
        <v/>
      </c>
      <c r="Z1762" s="57" t="str">
        <f>IF(Y1762="","",IF(COUNTIF(Y$6:Y1761,Y1762)=0,1,0))</f>
        <v/>
      </c>
      <c r="AA1762" s="57" t="str">
        <f>IF(Y1762="","",IF(Z1762=1,COUNTIFS(A$6:A1762,A1762,Z$6:Z1762,1),INDEX(AA$6:AA1761,MATCH(Y1762,Y$6:Y1761,0))))</f>
        <v/>
      </c>
      <c r="AB1762" s="57" t="str">
        <f>IF(B1762="","",COUNTIF(B$6:B1762,B1762))</f>
        <v/>
      </c>
      <c r="AC1762" s="57" t="str">
        <f>IF(B1762="","",B1762&amp;"#"&amp;AB1762)</f>
        <v/>
      </c>
      <c r="AD1762" s="57" t="str">
        <f>IF(Z1762=1,A1762&amp;AA1762,"")</f>
        <v/>
      </c>
      <c r="AE1762" s="57" t="str">
        <f>IF(B1762="","",YEAR(C1762))</f>
        <v/>
      </c>
      <c r="AF1762" s="57" t="str">
        <f>IF(B1762="","",MONTH(C1762))</f>
        <v/>
      </c>
      <c r="AG1762" s="57">
        <f>IF(ISNUMBER(C1762),C1762,0)</f>
        <v>0.0</v>
      </c>
      <c r="AH1762" s="57" t="str">
        <f>IF(N(W1762)&gt;0,COUNTIF(W$6:W1762,"&gt;0"),"")</f>
        <v/>
      </c>
      <c r="AI1762" s="57" t="str">
        <f>IF(Z1762=1,COUNTIF(Z$6:Z1762,1),"")</f>
        <v/>
      </c>
    </row>
    <row r="1763">
      <c r="A1763" s="54" t="n"/>
      <c r="B1763" s="55" t="str">
        <f>IF(AA1763="","",A1763&amp;"-"&amp;RIGHT("000"&amp;AA1763,4))</f>
        <v/>
      </c>
      <c r="C1763" s="56" t="n"/>
      <c r="D1763" s="54" t="n"/>
      <c r="E1763" s="57" t="str">
        <f>IF(D1763="","",IF(A1763="BL",IFERROR(INDEX(cl_name,MATCH(D1763,cl_code,0))&amp;"","Client inconnu"),IF(A1763="BR",IFERROR(INDEX(fo_name,MATCH(D1763,fo_code,0))&amp;"","Fournisseur inconnu"),IF(A1763="BS",IF(ISNA(MATCH(D1763,p_services,0)),"Service inconnu",D1763&amp;""),""))))</f>
        <v/>
      </c>
      <c r="F1763" s="58" t="n"/>
      <c r="G1763" s="58" t="n"/>
      <c r="H1763" s="59" t="n"/>
      <c r="I1763" s="57" t="str">
        <f>IF(H1763="","",IFERROR(INDEX(art_des,MATCH(H1763,art_ref,0))&amp;"","Article inconnu"))</f>
        <v/>
      </c>
      <c r="J1763" s="60" t="str">
        <f>IF(H1763="","",IFERROR(INDEX(art_unit,MATCH(H1763,art_ref,0))&amp;"",""))</f>
        <v/>
      </c>
      <c r="K1763" s="59" t="n"/>
      <c r="L1763" s="59" t="n"/>
      <c r="M1763" s="61" t="str">
        <f>IF(OR(B1763="",NOT(ISNUMBER(K1763)),NOT(ISNUMBER(L1763))),"",IF(OR(K1763&lt;=0,L1763&lt;=0),"",ROUND(L1763-K1763,6)))</f>
        <v/>
      </c>
      <c r="N1763" s="58" t="n"/>
      <c r="O1763" s="62" t="n"/>
      <c r="P1763" s="63" t="str">
        <f>IF(OR(B1763="",NOT(ISNUMBER(L1763))),"",IF(L1763&lt;=0,"",IFERROR(ROUND(L1763*N(INDEX(art_w,MATCH(H1763,art_ref,0))),3),"")))</f>
        <v/>
      </c>
      <c r="Q1763" s="59" t="n"/>
      <c r="R1763" s="54" t="n"/>
      <c r="S1763" s="59" t="n"/>
      <c r="T1763" s="59" t="n"/>
      <c r="U1763" s="64" t="str">
        <f>IF(OR(B1763="",H1763=""),"",IFERROR(IF(A1763="BL",IF(N(INDEX(art_price,MATCH(H1763,art_ref,0)))=0,"",N(INDEX(art_price,MATCH(H1763,art_ref,0)))),IF(N(INDEX(art_cost,MATCH(H1763,art_ref,0)))=0,"",N(INDEX(art_cost,MATCH(H1763,art_ref,0))))),""))</f>
        <v/>
      </c>
      <c r="V1763" s="64" t="str">
        <f>IF(OR(U1763="",NOT(ISNUMBER(L1763))),"",IF(L1763&lt;=0,"",ROUND(L1763*U1763,2)))</f>
        <v/>
      </c>
      <c r="W1763" s="60" t="str">
        <f>IF(AND(B1763&lt;&gt;"",A1763&lt;&gt;"BS",F1763&lt;&gt;"",H1763&lt;&gt;"",ISNUMBER(K1763),ISNUMBER(L1763)),IF(AND(K1763&gt;0,L1763&gt;0,K1763-L1763&gt;0,COUNTIFS(A1764:A$2005,A1763,F1764:F$2005,F1763,H1764:H$2005,H1763,AA1764:AA$2005,"&gt;0")=0),ROUND(K1763-L1763,6),""),"")</f>
        <v/>
      </c>
      <c r="X1763" s="60" t="str">
        <f>IF(AND(A1763="",C1763="",D1763="",H1763="",L1763=""),"",IF(A1763="","Type manquant",IF(AND(A1763&lt;&gt;"BL",A1763&lt;&gt;"BR",A1763&lt;&gt;"BS"),"Type inconnu (BL, BR ou BS)",IF(AG1763=0,"Date manquante ou invalide",IF(D1763="",IF(A1763="BL","Client manquant",IF(A1763="BR","Fournisseur manquant","Service manquant")),IF(IF(A1763="BL",ISNA(MATCH(D1763,cl_code,0)),IF(A1763="BR",ISNA(MATCH(D1763,fo_code,0)),ISNA(MATCH(D1763,p_services,0)))),IF(A1763="BL","Client inconnu",IF(A1763="BR","Fournisseur inconnu","Service inconnu")),IF(H1763="","Article manquant",IF(ISNA(MATCH(H1763,art_ref,0)),"Article inconnu",IF(OR(NOT(ISNUMBER(L1763)),N(L1763)&lt;=0),"Quantité invalide",IF(AND(K1763&lt;&gt;"",OR(NOT(ISNUMBER(K1763)),N(K1763)&lt;=0)),"Qté commandée invalide",IF(AG1763&lt;SUMPRODUCT(MAX((A$6:A1762=A1763)*AG$6:AG1762)),"Date antérieure au bon précédent",IF(AND(A1763&lt;&gt;"BR",ISNUMBER(M1763),N(M1763)&gt;0),IF(A1763="BL","Livré plus que commandé","Sorti plus que demandé"),"OK"))))))))))))</f>
        <v/>
      </c>
      <c r="Y1763" s="57" t="str">
        <f>IF(AND(OR(A1763="BL",A1763="BR",A1763="BS"),AG1763&gt;0,D1763&lt;&gt;""),A1763&amp;"|"&amp;AG1763&amp;"|"&amp;D1763&amp;"|"&amp;F1763,"")</f>
        <v/>
      </c>
      <c r="Z1763" s="57" t="str">
        <f>IF(Y1763="","",IF(COUNTIF(Y$6:Y1762,Y1763)=0,1,0))</f>
        <v/>
      </c>
      <c r="AA1763" s="57" t="str">
        <f>IF(Y1763="","",IF(Z1763=1,COUNTIFS(A$6:A1763,A1763,Z$6:Z1763,1),INDEX(AA$6:AA1762,MATCH(Y1763,Y$6:Y1762,0))))</f>
        <v/>
      </c>
      <c r="AB1763" s="57" t="str">
        <f>IF(B1763="","",COUNTIF(B$6:B1763,B1763))</f>
        <v/>
      </c>
      <c r="AC1763" s="57" t="str">
        <f>IF(B1763="","",B1763&amp;"#"&amp;AB1763)</f>
        <v/>
      </c>
      <c r="AD1763" s="57" t="str">
        <f>IF(Z1763=1,A1763&amp;AA1763,"")</f>
        <v/>
      </c>
      <c r="AE1763" s="57" t="str">
        <f>IF(B1763="","",YEAR(C1763))</f>
        <v/>
      </c>
      <c r="AF1763" s="57" t="str">
        <f>IF(B1763="","",MONTH(C1763))</f>
        <v/>
      </c>
      <c r="AG1763" s="57">
        <f>IF(ISNUMBER(C1763),C1763,0)</f>
        <v>0.0</v>
      </c>
      <c r="AH1763" s="57" t="str">
        <f>IF(N(W1763)&gt;0,COUNTIF(W$6:W1763,"&gt;0"),"")</f>
        <v/>
      </c>
      <c r="AI1763" s="57" t="str">
        <f>IF(Z1763=1,COUNTIF(Z$6:Z1763,1),"")</f>
        <v/>
      </c>
    </row>
    <row r="1764">
      <c r="A1764" s="54" t="n"/>
      <c r="B1764" s="55" t="str">
        <f>IF(AA1764="","",A1764&amp;"-"&amp;RIGHT("000"&amp;AA1764,4))</f>
        <v/>
      </c>
      <c r="C1764" s="56" t="n"/>
      <c r="D1764" s="54" t="n"/>
      <c r="E1764" s="57" t="str">
        <f>IF(D1764="","",IF(A1764="BL",IFERROR(INDEX(cl_name,MATCH(D1764,cl_code,0))&amp;"","Client inconnu"),IF(A1764="BR",IFERROR(INDEX(fo_name,MATCH(D1764,fo_code,0))&amp;"","Fournisseur inconnu"),IF(A1764="BS",IF(ISNA(MATCH(D1764,p_services,0)),"Service inconnu",D1764&amp;""),""))))</f>
        <v/>
      </c>
      <c r="F1764" s="58" t="n"/>
      <c r="G1764" s="58" t="n"/>
      <c r="H1764" s="59" t="n"/>
      <c r="I1764" s="57" t="str">
        <f>IF(H1764="","",IFERROR(INDEX(art_des,MATCH(H1764,art_ref,0))&amp;"","Article inconnu"))</f>
        <v/>
      </c>
      <c r="J1764" s="60" t="str">
        <f>IF(H1764="","",IFERROR(INDEX(art_unit,MATCH(H1764,art_ref,0))&amp;"",""))</f>
        <v/>
      </c>
      <c r="K1764" s="59" t="n"/>
      <c r="L1764" s="59" t="n"/>
      <c r="M1764" s="61" t="str">
        <f>IF(OR(B1764="",NOT(ISNUMBER(K1764)),NOT(ISNUMBER(L1764))),"",IF(OR(K1764&lt;=0,L1764&lt;=0),"",ROUND(L1764-K1764,6)))</f>
        <v/>
      </c>
      <c r="N1764" s="58" t="n"/>
      <c r="O1764" s="62" t="n"/>
      <c r="P1764" s="63" t="str">
        <f>IF(OR(B1764="",NOT(ISNUMBER(L1764))),"",IF(L1764&lt;=0,"",IFERROR(ROUND(L1764*N(INDEX(art_w,MATCH(H1764,art_ref,0))),3),"")))</f>
        <v/>
      </c>
      <c r="Q1764" s="59" t="n"/>
      <c r="R1764" s="54" t="n"/>
      <c r="S1764" s="59" t="n"/>
      <c r="T1764" s="59" t="n"/>
      <c r="U1764" s="64" t="str">
        <f>IF(OR(B1764="",H1764=""),"",IFERROR(IF(A1764="BL",IF(N(INDEX(art_price,MATCH(H1764,art_ref,0)))=0,"",N(INDEX(art_price,MATCH(H1764,art_ref,0)))),IF(N(INDEX(art_cost,MATCH(H1764,art_ref,0)))=0,"",N(INDEX(art_cost,MATCH(H1764,art_ref,0))))),""))</f>
        <v/>
      </c>
      <c r="V1764" s="64" t="str">
        <f>IF(OR(U1764="",NOT(ISNUMBER(L1764))),"",IF(L1764&lt;=0,"",ROUND(L1764*U1764,2)))</f>
        <v/>
      </c>
      <c r="W1764" s="60" t="str">
        <f>IF(AND(B1764&lt;&gt;"",A1764&lt;&gt;"BS",F1764&lt;&gt;"",H1764&lt;&gt;"",ISNUMBER(K1764),ISNUMBER(L1764)),IF(AND(K1764&gt;0,L1764&gt;0,K1764-L1764&gt;0,COUNTIFS(A1765:A$2005,A1764,F1765:F$2005,F1764,H1765:H$2005,H1764,AA1765:AA$2005,"&gt;0")=0),ROUND(K1764-L1764,6),""),"")</f>
        <v/>
      </c>
      <c r="X1764" s="60" t="str">
        <f>IF(AND(A1764="",C1764="",D1764="",H1764="",L1764=""),"",IF(A1764="","Type manquant",IF(AND(A1764&lt;&gt;"BL",A1764&lt;&gt;"BR",A1764&lt;&gt;"BS"),"Type inconnu (BL, BR ou BS)",IF(AG1764=0,"Date manquante ou invalide",IF(D1764="",IF(A1764="BL","Client manquant",IF(A1764="BR","Fournisseur manquant","Service manquant")),IF(IF(A1764="BL",ISNA(MATCH(D1764,cl_code,0)),IF(A1764="BR",ISNA(MATCH(D1764,fo_code,0)),ISNA(MATCH(D1764,p_services,0)))),IF(A1764="BL","Client inconnu",IF(A1764="BR","Fournisseur inconnu","Service inconnu")),IF(H1764="","Article manquant",IF(ISNA(MATCH(H1764,art_ref,0)),"Article inconnu",IF(OR(NOT(ISNUMBER(L1764)),N(L1764)&lt;=0),"Quantité invalide",IF(AND(K1764&lt;&gt;"",OR(NOT(ISNUMBER(K1764)),N(K1764)&lt;=0)),"Qté commandée invalide",IF(AG1764&lt;SUMPRODUCT(MAX((A$6:A1763=A1764)*AG$6:AG1763)),"Date antérieure au bon précédent",IF(AND(A1764&lt;&gt;"BR",ISNUMBER(M1764),N(M1764)&gt;0),IF(A1764="BL","Livré plus que commandé","Sorti plus que demandé"),"OK"))))))))))))</f>
        <v/>
      </c>
      <c r="Y1764" s="57" t="str">
        <f>IF(AND(OR(A1764="BL",A1764="BR",A1764="BS"),AG1764&gt;0,D1764&lt;&gt;""),A1764&amp;"|"&amp;AG1764&amp;"|"&amp;D1764&amp;"|"&amp;F1764,"")</f>
        <v/>
      </c>
      <c r="Z1764" s="57" t="str">
        <f>IF(Y1764="","",IF(COUNTIF(Y$6:Y1763,Y1764)=0,1,0))</f>
        <v/>
      </c>
      <c r="AA1764" s="57" t="str">
        <f>IF(Y1764="","",IF(Z1764=1,COUNTIFS(A$6:A1764,A1764,Z$6:Z1764,1),INDEX(AA$6:AA1763,MATCH(Y1764,Y$6:Y1763,0))))</f>
        <v/>
      </c>
      <c r="AB1764" s="57" t="str">
        <f>IF(B1764="","",COUNTIF(B$6:B1764,B1764))</f>
        <v/>
      </c>
      <c r="AC1764" s="57" t="str">
        <f>IF(B1764="","",B1764&amp;"#"&amp;AB1764)</f>
        <v/>
      </c>
      <c r="AD1764" s="57" t="str">
        <f>IF(Z1764=1,A1764&amp;AA1764,"")</f>
        <v/>
      </c>
      <c r="AE1764" s="57" t="str">
        <f>IF(B1764="","",YEAR(C1764))</f>
        <v/>
      </c>
      <c r="AF1764" s="57" t="str">
        <f>IF(B1764="","",MONTH(C1764))</f>
        <v/>
      </c>
      <c r="AG1764" s="57">
        <f>IF(ISNUMBER(C1764),C1764,0)</f>
        <v>0.0</v>
      </c>
      <c r="AH1764" s="57" t="str">
        <f>IF(N(W1764)&gt;0,COUNTIF(W$6:W1764,"&gt;0"),"")</f>
        <v/>
      </c>
      <c r="AI1764" s="57" t="str">
        <f>IF(Z1764=1,COUNTIF(Z$6:Z1764,1),"")</f>
        <v/>
      </c>
    </row>
    <row r="1765">
      <c r="A1765" s="54" t="n"/>
      <c r="B1765" s="55" t="str">
        <f>IF(AA1765="","",A1765&amp;"-"&amp;RIGHT("000"&amp;AA1765,4))</f>
        <v/>
      </c>
      <c r="C1765" s="56" t="n"/>
      <c r="D1765" s="54" t="n"/>
      <c r="E1765" s="57" t="str">
        <f>IF(D1765="","",IF(A1765="BL",IFERROR(INDEX(cl_name,MATCH(D1765,cl_code,0))&amp;"","Client inconnu"),IF(A1765="BR",IFERROR(INDEX(fo_name,MATCH(D1765,fo_code,0))&amp;"","Fournisseur inconnu"),IF(A1765="BS",IF(ISNA(MATCH(D1765,p_services,0)),"Service inconnu",D1765&amp;""),""))))</f>
        <v/>
      </c>
      <c r="F1765" s="58" t="n"/>
      <c r="G1765" s="58" t="n"/>
      <c r="H1765" s="59" t="n"/>
      <c r="I1765" s="57" t="str">
        <f>IF(H1765="","",IFERROR(INDEX(art_des,MATCH(H1765,art_ref,0))&amp;"","Article inconnu"))</f>
        <v/>
      </c>
      <c r="J1765" s="60" t="str">
        <f>IF(H1765="","",IFERROR(INDEX(art_unit,MATCH(H1765,art_ref,0))&amp;"",""))</f>
        <v/>
      </c>
      <c r="K1765" s="59" t="n"/>
      <c r="L1765" s="59" t="n"/>
      <c r="M1765" s="61" t="str">
        <f>IF(OR(B1765="",NOT(ISNUMBER(K1765)),NOT(ISNUMBER(L1765))),"",IF(OR(K1765&lt;=0,L1765&lt;=0),"",ROUND(L1765-K1765,6)))</f>
        <v/>
      </c>
      <c r="N1765" s="58" t="n"/>
      <c r="O1765" s="62" t="n"/>
      <c r="P1765" s="63" t="str">
        <f>IF(OR(B1765="",NOT(ISNUMBER(L1765))),"",IF(L1765&lt;=0,"",IFERROR(ROUND(L1765*N(INDEX(art_w,MATCH(H1765,art_ref,0))),3),"")))</f>
        <v/>
      </c>
      <c r="Q1765" s="59" t="n"/>
      <c r="R1765" s="54" t="n"/>
      <c r="S1765" s="59" t="n"/>
      <c r="T1765" s="59" t="n"/>
      <c r="U1765" s="64" t="str">
        <f>IF(OR(B1765="",H1765=""),"",IFERROR(IF(A1765="BL",IF(N(INDEX(art_price,MATCH(H1765,art_ref,0)))=0,"",N(INDEX(art_price,MATCH(H1765,art_ref,0)))),IF(N(INDEX(art_cost,MATCH(H1765,art_ref,0)))=0,"",N(INDEX(art_cost,MATCH(H1765,art_ref,0))))),""))</f>
        <v/>
      </c>
      <c r="V1765" s="64" t="str">
        <f>IF(OR(U1765="",NOT(ISNUMBER(L1765))),"",IF(L1765&lt;=0,"",ROUND(L1765*U1765,2)))</f>
        <v/>
      </c>
      <c r="W1765" s="60" t="str">
        <f>IF(AND(B1765&lt;&gt;"",A1765&lt;&gt;"BS",F1765&lt;&gt;"",H1765&lt;&gt;"",ISNUMBER(K1765),ISNUMBER(L1765)),IF(AND(K1765&gt;0,L1765&gt;0,K1765-L1765&gt;0,COUNTIFS(A1766:A$2005,A1765,F1766:F$2005,F1765,H1766:H$2005,H1765,AA1766:AA$2005,"&gt;0")=0),ROUND(K1765-L1765,6),""),"")</f>
        <v/>
      </c>
      <c r="X1765" s="60" t="str">
        <f>IF(AND(A1765="",C1765="",D1765="",H1765="",L1765=""),"",IF(A1765="","Type manquant",IF(AND(A1765&lt;&gt;"BL",A1765&lt;&gt;"BR",A1765&lt;&gt;"BS"),"Type inconnu (BL, BR ou BS)",IF(AG1765=0,"Date manquante ou invalide",IF(D1765="",IF(A1765="BL","Client manquant",IF(A1765="BR","Fournisseur manquant","Service manquant")),IF(IF(A1765="BL",ISNA(MATCH(D1765,cl_code,0)),IF(A1765="BR",ISNA(MATCH(D1765,fo_code,0)),ISNA(MATCH(D1765,p_services,0)))),IF(A1765="BL","Client inconnu",IF(A1765="BR","Fournisseur inconnu","Service inconnu")),IF(H1765="","Article manquant",IF(ISNA(MATCH(H1765,art_ref,0)),"Article inconnu",IF(OR(NOT(ISNUMBER(L1765)),N(L1765)&lt;=0),"Quantité invalide",IF(AND(K1765&lt;&gt;"",OR(NOT(ISNUMBER(K1765)),N(K1765)&lt;=0)),"Qté commandée invalide",IF(AG1765&lt;SUMPRODUCT(MAX((A$6:A1764=A1765)*AG$6:AG1764)),"Date antérieure au bon précédent",IF(AND(A1765&lt;&gt;"BR",ISNUMBER(M1765),N(M1765)&gt;0),IF(A1765="BL","Livré plus que commandé","Sorti plus que demandé"),"OK"))))))))))))</f>
        <v/>
      </c>
      <c r="Y1765" s="57" t="str">
        <f>IF(AND(OR(A1765="BL",A1765="BR",A1765="BS"),AG1765&gt;0,D1765&lt;&gt;""),A1765&amp;"|"&amp;AG1765&amp;"|"&amp;D1765&amp;"|"&amp;F1765,"")</f>
        <v/>
      </c>
      <c r="Z1765" s="57" t="str">
        <f>IF(Y1765="","",IF(COUNTIF(Y$6:Y1764,Y1765)=0,1,0))</f>
        <v/>
      </c>
      <c r="AA1765" s="57" t="str">
        <f>IF(Y1765="","",IF(Z1765=1,COUNTIFS(A$6:A1765,A1765,Z$6:Z1765,1),INDEX(AA$6:AA1764,MATCH(Y1765,Y$6:Y1764,0))))</f>
        <v/>
      </c>
      <c r="AB1765" s="57" t="str">
        <f>IF(B1765="","",COUNTIF(B$6:B1765,B1765))</f>
        <v/>
      </c>
      <c r="AC1765" s="57" t="str">
        <f>IF(B1765="","",B1765&amp;"#"&amp;AB1765)</f>
        <v/>
      </c>
      <c r="AD1765" s="57" t="str">
        <f>IF(Z1765=1,A1765&amp;AA1765,"")</f>
        <v/>
      </c>
      <c r="AE1765" s="57" t="str">
        <f>IF(B1765="","",YEAR(C1765))</f>
        <v/>
      </c>
      <c r="AF1765" s="57" t="str">
        <f>IF(B1765="","",MONTH(C1765))</f>
        <v/>
      </c>
      <c r="AG1765" s="57">
        <f>IF(ISNUMBER(C1765),C1765,0)</f>
        <v>0.0</v>
      </c>
      <c r="AH1765" s="57" t="str">
        <f>IF(N(W1765)&gt;0,COUNTIF(W$6:W1765,"&gt;0"),"")</f>
        <v/>
      </c>
      <c r="AI1765" s="57" t="str">
        <f>IF(Z1765=1,COUNTIF(Z$6:Z1765,1),"")</f>
        <v/>
      </c>
    </row>
    <row r="1766">
      <c r="A1766" s="54" t="n"/>
      <c r="B1766" s="55" t="str">
        <f>IF(AA1766="","",A1766&amp;"-"&amp;RIGHT("000"&amp;AA1766,4))</f>
        <v/>
      </c>
      <c r="C1766" s="56" t="n"/>
      <c r="D1766" s="54" t="n"/>
      <c r="E1766" s="57" t="str">
        <f>IF(D1766="","",IF(A1766="BL",IFERROR(INDEX(cl_name,MATCH(D1766,cl_code,0))&amp;"","Client inconnu"),IF(A1766="BR",IFERROR(INDEX(fo_name,MATCH(D1766,fo_code,0))&amp;"","Fournisseur inconnu"),IF(A1766="BS",IF(ISNA(MATCH(D1766,p_services,0)),"Service inconnu",D1766&amp;""),""))))</f>
        <v/>
      </c>
      <c r="F1766" s="58" t="n"/>
      <c r="G1766" s="58" t="n"/>
      <c r="H1766" s="59" t="n"/>
      <c r="I1766" s="57" t="str">
        <f>IF(H1766="","",IFERROR(INDEX(art_des,MATCH(H1766,art_ref,0))&amp;"","Article inconnu"))</f>
        <v/>
      </c>
      <c r="J1766" s="60" t="str">
        <f>IF(H1766="","",IFERROR(INDEX(art_unit,MATCH(H1766,art_ref,0))&amp;"",""))</f>
        <v/>
      </c>
      <c r="K1766" s="59" t="n"/>
      <c r="L1766" s="59" t="n"/>
      <c r="M1766" s="61" t="str">
        <f>IF(OR(B1766="",NOT(ISNUMBER(K1766)),NOT(ISNUMBER(L1766))),"",IF(OR(K1766&lt;=0,L1766&lt;=0),"",ROUND(L1766-K1766,6)))</f>
        <v/>
      </c>
      <c r="N1766" s="58" t="n"/>
      <c r="O1766" s="62" t="n"/>
      <c r="P1766" s="63" t="str">
        <f>IF(OR(B1766="",NOT(ISNUMBER(L1766))),"",IF(L1766&lt;=0,"",IFERROR(ROUND(L1766*N(INDEX(art_w,MATCH(H1766,art_ref,0))),3),"")))</f>
        <v/>
      </c>
      <c r="Q1766" s="59" t="n"/>
      <c r="R1766" s="54" t="n"/>
      <c r="S1766" s="59" t="n"/>
      <c r="T1766" s="59" t="n"/>
      <c r="U1766" s="64" t="str">
        <f>IF(OR(B1766="",H1766=""),"",IFERROR(IF(A1766="BL",IF(N(INDEX(art_price,MATCH(H1766,art_ref,0)))=0,"",N(INDEX(art_price,MATCH(H1766,art_ref,0)))),IF(N(INDEX(art_cost,MATCH(H1766,art_ref,0)))=0,"",N(INDEX(art_cost,MATCH(H1766,art_ref,0))))),""))</f>
        <v/>
      </c>
      <c r="V1766" s="64" t="str">
        <f>IF(OR(U1766="",NOT(ISNUMBER(L1766))),"",IF(L1766&lt;=0,"",ROUND(L1766*U1766,2)))</f>
        <v/>
      </c>
      <c r="W1766" s="60" t="str">
        <f>IF(AND(B1766&lt;&gt;"",A1766&lt;&gt;"BS",F1766&lt;&gt;"",H1766&lt;&gt;"",ISNUMBER(K1766),ISNUMBER(L1766)),IF(AND(K1766&gt;0,L1766&gt;0,K1766-L1766&gt;0,COUNTIFS(A1767:A$2005,A1766,F1767:F$2005,F1766,H1767:H$2005,H1766,AA1767:AA$2005,"&gt;0")=0),ROUND(K1766-L1766,6),""),"")</f>
        <v/>
      </c>
      <c r="X1766" s="60" t="str">
        <f>IF(AND(A1766="",C1766="",D1766="",H1766="",L1766=""),"",IF(A1766="","Type manquant",IF(AND(A1766&lt;&gt;"BL",A1766&lt;&gt;"BR",A1766&lt;&gt;"BS"),"Type inconnu (BL, BR ou BS)",IF(AG1766=0,"Date manquante ou invalide",IF(D1766="",IF(A1766="BL","Client manquant",IF(A1766="BR","Fournisseur manquant","Service manquant")),IF(IF(A1766="BL",ISNA(MATCH(D1766,cl_code,0)),IF(A1766="BR",ISNA(MATCH(D1766,fo_code,0)),ISNA(MATCH(D1766,p_services,0)))),IF(A1766="BL","Client inconnu",IF(A1766="BR","Fournisseur inconnu","Service inconnu")),IF(H1766="","Article manquant",IF(ISNA(MATCH(H1766,art_ref,0)),"Article inconnu",IF(OR(NOT(ISNUMBER(L1766)),N(L1766)&lt;=0),"Quantité invalide",IF(AND(K1766&lt;&gt;"",OR(NOT(ISNUMBER(K1766)),N(K1766)&lt;=0)),"Qté commandée invalide",IF(AG1766&lt;SUMPRODUCT(MAX((A$6:A1765=A1766)*AG$6:AG1765)),"Date antérieure au bon précédent",IF(AND(A1766&lt;&gt;"BR",ISNUMBER(M1766),N(M1766)&gt;0),IF(A1766="BL","Livré plus que commandé","Sorti plus que demandé"),"OK"))))))))))))</f>
        <v/>
      </c>
      <c r="Y1766" s="57" t="str">
        <f>IF(AND(OR(A1766="BL",A1766="BR",A1766="BS"),AG1766&gt;0,D1766&lt;&gt;""),A1766&amp;"|"&amp;AG1766&amp;"|"&amp;D1766&amp;"|"&amp;F1766,"")</f>
        <v/>
      </c>
      <c r="Z1766" s="57" t="str">
        <f>IF(Y1766="","",IF(COUNTIF(Y$6:Y1765,Y1766)=0,1,0))</f>
        <v/>
      </c>
      <c r="AA1766" s="57" t="str">
        <f>IF(Y1766="","",IF(Z1766=1,COUNTIFS(A$6:A1766,A1766,Z$6:Z1766,1),INDEX(AA$6:AA1765,MATCH(Y1766,Y$6:Y1765,0))))</f>
        <v/>
      </c>
      <c r="AB1766" s="57" t="str">
        <f>IF(B1766="","",COUNTIF(B$6:B1766,B1766))</f>
        <v/>
      </c>
      <c r="AC1766" s="57" t="str">
        <f>IF(B1766="","",B1766&amp;"#"&amp;AB1766)</f>
        <v/>
      </c>
      <c r="AD1766" s="57" t="str">
        <f>IF(Z1766=1,A1766&amp;AA1766,"")</f>
        <v/>
      </c>
      <c r="AE1766" s="57" t="str">
        <f>IF(B1766="","",YEAR(C1766))</f>
        <v/>
      </c>
      <c r="AF1766" s="57" t="str">
        <f>IF(B1766="","",MONTH(C1766))</f>
        <v/>
      </c>
      <c r="AG1766" s="57">
        <f>IF(ISNUMBER(C1766),C1766,0)</f>
        <v>0.0</v>
      </c>
      <c r="AH1766" s="57" t="str">
        <f>IF(N(W1766)&gt;0,COUNTIF(W$6:W1766,"&gt;0"),"")</f>
        <v/>
      </c>
      <c r="AI1766" s="57" t="str">
        <f>IF(Z1766=1,COUNTIF(Z$6:Z1766,1),"")</f>
        <v/>
      </c>
    </row>
    <row r="1767">
      <c r="A1767" s="54" t="n"/>
      <c r="B1767" s="55" t="str">
        <f>IF(AA1767="","",A1767&amp;"-"&amp;RIGHT("000"&amp;AA1767,4))</f>
        <v/>
      </c>
      <c r="C1767" s="56" t="n"/>
      <c r="D1767" s="54" t="n"/>
      <c r="E1767" s="57" t="str">
        <f>IF(D1767="","",IF(A1767="BL",IFERROR(INDEX(cl_name,MATCH(D1767,cl_code,0))&amp;"","Client inconnu"),IF(A1767="BR",IFERROR(INDEX(fo_name,MATCH(D1767,fo_code,0))&amp;"","Fournisseur inconnu"),IF(A1767="BS",IF(ISNA(MATCH(D1767,p_services,0)),"Service inconnu",D1767&amp;""),""))))</f>
        <v/>
      </c>
      <c r="F1767" s="58" t="n"/>
      <c r="G1767" s="58" t="n"/>
      <c r="H1767" s="59" t="n"/>
      <c r="I1767" s="57" t="str">
        <f>IF(H1767="","",IFERROR(INDEX(art_des,MATCH(H1767,art_ref,0))&amp;"","Article inconnu"))</f>
        <v/>
      </c>
      <c r="J1767" s="60" t="str">
        <f>IF(H1767="","",IFERROR(INDEX(art_unit,MATCH(H1767,art_ref,0))&amp;"",""))</f>
        <v/>
      </c>
      <c r="K1767" s="59" t="n"/>
      <c r="L1767" s="59" t="n"/>
      <c r="M1767" s="61" t="str">
        <f>IF(OR(B1767="",NOT(ISNUMBER(K1767)),NOT(ISNUMBER(L1767))),"",IF(OR(K1767&lt;=0,L1767&lt;=0),"",ROUND(L1767-K1767,6)))</f>
        <v/>
      </c>
      <c r="N1767" s="58" t="n"/>
      <c r="O1767" s="62" t="n"/>
      <c r="P1767" s="63" t="str">
        <f>IF(OR(B1767="",NOT(ISNUMBER(L1767))),"",IF(L1767&lt;=0,"",IFERROR(ROUND(L1767*N(INDEX(art_w,MATCH(H1767,art_ref,0))),3),"")))</f>
        <v/>
      </c>
      <c r="Q1767" s="59" t="n"/>
      <c r="R1767" s="54" t="n"/>
      <c r="S1767" s="59" t="n"/>
      <c r="T1767" s="59" t="n"/>
      <c r="U1767" s="64" t="str">
        <f>IF(OR(B1767="",H1767=""),"",IFERROR(IF(A1767="BL",IF(N(INDEX(art_price,MATCH(H1767,art_ref,0)))=0,"",N(INDEX(art_price,MATCH(H1767,art_ref,0)))),IF(N(INDEX(art_cost,MATCH(H1767,art_ref,0)))=0,"",N(INDEX(art_cost,MATCH(H1767,art_ref,0))))),""))</f>
        <v/>
      </c>
      <c r="V1767" s="64" t="str">
        <f>IF(OR(U1767="",NOT(ISNUMBER(L1767))),"",IF(L1767&lt;=0,"",ROUND(L1767*U1767,2)))</f>
        <v/>
      </c>
      <c r="W1767" s="60" t="str">
        <f>IF(AND(B1767&lt;&gt;"",A1767&lt;&gt;"BS",F1767&lt;&gt;"",H1767&lt;&gt;"",ISNUMBER(K1767),ISNUMBER(L1767)),IF(AND(K1767&gt;0,L1767&gt;0,K1767-L1767&gt;0,COUNTIFS(A1768:A$2005,A1767,F1768:F$2005,F1767,H1768:H$2005,H1767,AA1768:AA$2005,"&gt;0")=0),ROUND(K1767-L1767,6),""),"")</f>
        <v/>
      </c>
      <c r="X1767" s="60" t="str">
        <f>IF(AND(A1767="",C1767="",D1767="",H1767="",L1767=""),"",IF(A1767="","Type manquant",IF(AND(A1767&lt;&gt;"BL",A1767&lt;&gt;"BR",A1767&lt;&gt;"BS"),"Type inconnu (BL, BR ou BS)",IF(AG1767=0,"Date manquante ou invalide",IF(D1767="",IF(A1767="BL","Client manquant",IF(A1767="BR","Fournisseur manquant","Service manquant")),IF(IF(A1767="BL",ISNA(MATCH(D1767,cl_code,0)),IF(A1767="BR",ISNA(MATCH(D1767,fo_code,0)),ISNA(MATCH(D1767,p_services,0)))),IF(A1767="BL","Client inconnu",IF(A1767="BR","Fournisseur inconnu","Service inconnu")),IF(H1767="","Article manquant",IF(ISNA(MATCH(H1767,art_ref,0)),"Article inconnu",IF(OR(NOT(ISNUMBER(L1767)),N(L1767)&lt;=0),"Quantité invalide",IF(AND(K1767&lt;&gt;"",OR(NOT(ISNUMBER(K1767)),N(K1767)&lt;=0)),"Qté commandée invalide",IF(AG1767&lt;SUMPRODUCT(MAX((A$6:A1766=A1767)*AG$6:AG1766)),"Date antérieure au bon précédent",IF(AND(A1767&lt;&gt;"BR",ISNUMBER(M1767),N(M1767)&gt;0),IF(A1767="BL","Livré plus que commandé","Sorti plus que demandé"),"OK"))))))))))))</f>
        <v/>
      </c>
      <c r="Y1767" s="57" t="str">
        <f>IF(AND(OR(A1767="BL",A1767="BR",A1767="BS"),AG1767&gt;0,D1767&lt;&gt;""),A1767&amp;"|"&amp;AG1767&amp;"|"&amp;D1767&amp;"|"&amp;F1767,"")</f>
        <v/>
      </c>
      <c r="Z1767" s="57" t="str">
        <f>IF(Y1767="","",IF(COUNTIF(Y$6:Y1766,Y1767)=0,1,0))</f>
        <v/>
      </c>
      <c r="AA1767" s="57" t="str">
        <f>IF(Y1767="","",IF(Z1767=1,COUNTIFS(A$6:A1767,A1767,Z$6:Z1767,1),INDEX(AA$6:AA1766,MATCH(Y1767,Y$6:Y1766,0))))</f>
        <v/>
      </c>
      <c r="AB1767" s="57" t="str">
        <f>IF(B1767="","",COUNTIF(B$6:B1767,B1767))</f>
        <v/>
      </c>
      <c r="AC1767" s="57" t="str">
        <f>IF(B1767="","",B1767&amp;"#"&amp;AB1767)</f>
        <v/>
      </c>
      <c r="AD1767" s="57" t="str">
        <f>IF(Z1767=1,A1767&amp;AA1767,"")</f>
        <v/>
      </c>
      <c r="AE1767" s="57" t="str">
        <f>IF(B1767="","",YEAR(C1767))</f>
        <v/>
      </c>
      <c r="AF1767" s="57" t="str">
        <f>IF(B1767="","",MONTH(C1767))</f>
        <v/>
      </c>
      <c r="AG1767" s="57">
        <f>IF(ISNUMBER(C1767),C1767,0)</f>
        <v>0.0</v>
      </c>
      <c r="AH1767" s="57" t="str">
        <f>IF(N(W1767)&gt;0,COUNTIF(W$6:W1767,"&gt;0"),"")</f>
        <v/>
      </c>
      <c r="AI1767" s="57" t="str">
        <f>IF(Z1767=1,COUNTIF(Z$6:Z1767,1),"")</f>
        <v/>
      </c>
    </row>
    <row r="1768">
      <c r="A1768" s="54" t="n"/>
      <c r="B1768" s="55" t="str">
        <f>IF(AA1768="","",A1768&amp;"-"&amp;RIGHT("000"&amp;AA1768,4))</f>
        <v/>
      </c>
      <c r="C1768" s="56" t="n"/>
      <c r="D1768" s="54" t="n"/>
      <c r="E1768" s="57" t="str">
        <f>IF(D1768="","",IF(A1768="BL",IFERROR(INDEX(cl_name,MATCH(D1768,cl_code,0))&amp;"","Client inconnu"),IF(A1768="BR",IFERROR(INDEX(fo_name,MATCH(D1768,fo_code,0))&amp;"","Fournisseur inconnu"),IF(A1768="BS",IF(ISNA(MATCH(D1768,p_services,0)),"Service inconnu",D1768&amp;""),""))))</f>
        <v/>
      </c>
      <c r="F1768" s="58" t="n"/>
      <c r="G1768" s="58" t="n"/>
      <c r="H1768" s="59" t="n"/>
      <c r="I1768" s="57" t="str">
        <f>IF(H1768="","",IFERROR(INDEX(art_des,MATCH(H1768,art_ref,0))&amp;"","Article inconnu"))</f>
        <v/>
      </c>
      <c r="J1768" s="60" t="str">
        <f>IF(H1768="","",IFERROR(INDEX(art_unit,MATCH(H1768,art_ref,0))&amp;"",""))</f>
        <v/>
      </c>
      <c r="K1768" s="59" t="n"/>
      <c r="L1768" s="59" t="n"/>
      <c r="M1768" s="61" t="str">
        <f>IF(OR(B1768="",NOT(ISNUMBER(K1768)),NOT(ISNUMBER(L1768))),"",IF(OR(K1768&lt;=0,L1768&lt;=0),"",ROUND(L1768-K1768,6)))</f>
        <v/>
      </c>
      <c r="N1768" s="58" t="n"/>
      <c r="O1768" s="62" t="n"/>
      <c r="P1768" s="63" t="str">
        <f>IF(OR(B1768="",NOT(ISNUMBER(L1768))),"",IF(L1768&lt;=0,"",IFERROR(ROUND(L1768*N(INDEX(art_w,MATCH(H1768,art_ref,0))),3),"")))</f>
        <v/>
      </c>
      <c r="Q1768" s="59" t="n"/>
      <c r="R1768" s="54" t="n"/>
      <c r="S1768" s="59" t="n"/>
      <c r="T1768" s="59" t="n"/>
      <c r="U1768" s="64" t="str">
        <f>IF(OR(B1768="",H1768=""),"",IFERROR(IF(A1768="BL",IF(N(INDEX(art_price,MATCH(H1768,art_ref,0)))=0,"",N(INDEX(art_price,MATCH(H1768,art_ref,0)))),IF(N(INDEX(art_cost,MATCH(H1768,art_ref,0)))=0,"",N(INDEX(art_cost,MATCH(H1768,art_ref,0))))),""))</f>
        <v/>
      </c>
      <c r="V1768" s="64" t="str">
        <f>IF(OR(U1768="",NOT(ISNUMBER(L1768))),"",IF(L1768&lt;=0,"",ROUND(L1768*U1768,2)))</f>
        <v/>
      </c>
      <c r="W1768" s="60" t="str">
        <f>IF(AND(B1768&lt;&gt;"",A1768&lt;&gt;"BS",F1768&lt;&gt;"",H1768&lt;&gt;"",ISNUMBER(K1768),ISNUMBER(L1768)),IF(AND(K1768&gt;0,L1768&gt;0,K1768-L1768&gt;0,COUNTIFS(A1769:A$2005,A1768,F1769:F$2005,F1768,H1769:H$2005,H1768,AA1769:AA$2005,"&gt;0")=0),ROUND(K1768-L1768,6),""),"")</f>
        <v/>
      </c>
      <c r="X1768" s="60" t="str">
        <f>IF(AND(A1768="",C1768="",D1768="",H1768="",L1768=""),"",IF(A1768="","Type manquant",IF(AND(A1768&lt;&gt;"BL",A1768&lt;&gt;"BR",A1768&lt;&gt;"BS"),"Type inconnu (BL, BR ou BS)",IF(AG1768=0,"Date manquante ou invalide",IF(D1768="",IF(A1768="BL","Client manquant",IF(A1768="BR","Fournisseur manquant","Service manquant")),IF(IF(A1768="BL",ISNA(MATCH(D1768,cl_code,0)),IF(A1768="BR",ISNA(MATCH(D1768,fo_code,0)),ISNA(MATCH(D1768,p_services,0)))),IF(A1768="BL","Client inconnu",IF(A1768="BR","Fournisseur inconnu","Service inconnu")),IF(H1768="","Article manquant",IF(ISNA(MATCH(H1768,art_ref,0)),"Article inconnu",IF(OR(NOT(ISNUMBER(L1768)),N(L1768)&lt;=0),"Quantité invalide",IF(AND(K1768&lt;&gt;"",OR(NOT(ISNUMBER(K1768)),N(K1768)&lt;=0)),"Qté commandée invalide",IF(AG1768&lt;SUMPRODUCT(MAX((A$6:A1767=A1768)*AG$6:AG1767)),"Date antérieure au bon précédent",IF(AND(A1768&lt;&gt;"BR",ISNUMBER(M1768),N(M1768)&gt;0),IF(A1768="BL","Livré plus que commandé","Sorti plus que demandé"),"OK"))))))))))))</f>
        <v/>
      </c>
      <c r="Y1768" s="57" t="str">
        <f>IF(AND(OR(A1768="BL",A1768="BR",A1768="BS"),AG1768&gt;0,D1768&lt;&gt;""),A1768&amp;"|"&amp;AG1768&amp;"|"&amp;D1768&amp;"|"&amp;F1768,"")</f>
        <v/>
      </c>
      <c r="Z1768" s="57" t="str">
        <f>IF(Y1768="","",IF(COUNTIF(Y$6:Y1767,Y1768)=0,1,0))</f>
        <v/>
      </c>
      <c r="AA1768" s="57" t="str">
        <f>IF(Y1768="","",IF(Z1768=1,COUNTIFS(A$6:A1768,A1768,Z$6:Z1768,1),INDEX(AA$6:AA1767,MATCH(Y1768,Y$6:Y1767,0))))</f>
        <v/>
      </c>
      <c r="AB1768" s="57" t="str">
        <f>IF(B1768="","",COUNTIF(B$6:B1768,B1768))</f>
        <v/>
      </c>
      <c r="AC1768" s="57" t="str">
        <f>IF(B1768="","",B1768&amp;"#"&amp;AB1768)</f>
        <v/>
      </c>
      <c r="AD1768" s="57" t="str">
        <f>IF(Z1768=1,A1768&amp;AA1768,"")</f>
        <v/>
      </c>
      <c r="AE1768" s="57" t="str">
        <f>IF(B1768="","",YEAR(C1768))</f>
        <v/>
      </c>
      <c r="AF1768" s="57" t="str">
        <f>IF(B1768="","",MONTH(C1768))</f>
        <v/>
      </c>
      <c r="AG1768" s="57">
        <f>IF(ISNUMBER(C1768),C1768,0)</f>
        <v>0.0</v>
      </c>
      <c r="AH1768" s="57" t="str">
        <f>IF(N(W1768)&gt;0,COUNTIF(W$6:W1768,"&gt;0"),"")</f>
        <v/>
      </c>
      <c r="AI1768" s="57" t="str">
        <f>IF(Z1768=1,COUNTIF(Z$6:Z1768,1),"")</f>
        <v/>
      </c>
    </row>
    <row r="1769">
      <c r="A1769" s="54" t="n"/>
      <c r="B1769" s="55" t="str">
        <f>IF(AA1769="","",A1769&amp;"-"&amp;RIGHT("000"&amp;AA1769,4))</f>
        <v/>
      </c>
      <c r="C1769" s="56" t="n"/>
      <c r="D1769" s="54" t="n"/>
      <c r="E1769" s="57" t="str">
        <f>IF(D1769="","",IF(A1769="BL",IFERROR(INDEX(cl_name,MATCH(D1769,cl_code,0))&amp;"","Client inconnu"),IF(A1769="BR",IFERROR(INDEX(fo_name,MATCH(D1769,fo_code,0))&amp;"","Fournisseur inconnu"),IF(A1769="BS",IF(ISNA(MATCH(D1769,p_services,0)),"Service inconnu",D1769&amp;""),""))))</f>
        <v/>
      </c>
      <c r="F1769" s="58" t="n"/>
      <c r="G1769" s="58" t="n"/>
      <c r="H1769" s="59" t="n"/>
      <c r="I1769" s="57" t="str">
        <f>IF(H1769="","",IFERROR(INDEX(art_des,MATCH(H1769,art_ref,0))&amp;"","Article inconnu"))</f>
        <v/>
      </c>
      <c r="J1769" s="60" t="str">
        <f>IF(H1769="","",IFERROR(INDEX(art_unit,MATCH(H1769,art_ref,0))&amp;"",""))</f>
        <v/>
      </c>
      <c r="K1769" s="59" t="n"/>
      <c r="L1769" s="59" t="n"/>
      <c r="M1769" s="61" t="str">
        <f>IF(OR(B1769="",NOT(ISNUMBER(K1769)),NOT(ISNUMBER(L1769))),"",IF(OR(K1769&lt;=0,L1769&lt;=0),"",ROUND(L1769-K1769,6)))</f>
        <v/>
      </c>
      <c r="N1769" s="58" t="n"/>
      <c r="O1769" s="62" t="n"/>
      <c r="P1769" s="63" t="str">
        <f>IF(OR(B1769="",NOT(ISNUMBER(L1769))),"",IF(L1769&lt;=0,"",IFERROR(ROUND(L1769*N(INDEX(art_w,MATCH(H1769,art_ref,0))),3),"")))</f>
        <v/>
      </c>
      <c r="Q1769" s="59" t="n"/>
      <c r="R1769" s="54" t="n"/>
      <c r="S1769" s="59" t="n"/>
      <c r="T1769" s="59" t="n"/>
      <c r="U1769" s="64" t="str">
        <f>IF(OR(B1769="",H1769=""),"",IFERROR(IF(A1769="BL",IF(N(INDEX(art_price,MATCH(H1769,art_ref,0)))=0,"",N(INDEX(art_price,MATCH(H1769,art_ref,0)))),IF(N(INDEX(art_cost,MATCH(H1769,art_ref,0)))=0,"",N(INDEX(art_cost,MATCH(H1769,art_ref,0))))),""))</f>
        <v/>
      </c>
      <c r="V1769" s="64" t="str">
        <f>IF(OR(U1769="",NOT(ISNUMBER(L1769))),"",IF(L1769&lt;=0,"",ROUND(L1769*U1769,2)))</f>
        <v/>
      </c>
      <c r="W1769" s="60" t="str">
        <f>IF(AND(B1769&lt;&gt;"",A1769&lt;&gt;"BS",F1769&lt;&gt;"",H1769&lt;&gt;"",ISNUMBER(K1769),ISNUMBER(L1769)),IF(AND(K1769&gt;0,L1769&gt;0,K1769-L1769&gt;0,COUNTIFS(A1770:A$2005,A1769,F1770:F$2005,F1769,H1770:H$2005,H1769,AA1770:AA$2005,"&gt;0")=0),ROUND(K1769-L1769,6),""),"")</f>
        <v/>
      </c>
      <c r="X1769" s="60" t="str">
        <f>IF(AND(A1769="",C1769="",D1769="",H1769="",L1769=""),"",IF(A1769="","Type manquant",IF(AND(A1769&lt;&gt;"BL",A1769&lt;&gt;"BR",A1769&lt;&gt;"BS"),"Type inconnu (BL, BR ou BS)",IF(AG1769=0,"Date manquante ou invalide",IF(D1769="",IF(A1769="BL","Client manquant",IF(A1769="BR","Fournisseur manquant","Service manquant")),IF(IF(A1769="BL",ISNA(MATCH(D1769,cl_code,0)),IF(A1769="BR",ISNA(MATCH(D1769,fo_code,0)),ISNA(MATCH(D1769,p_services,0)))),IF(A1769="BL","Client inconnu",IF(A1769="BR","Fournisseur inconnu","Service inconnu")),IF(H1769="","Article manquant",IF(ISNA(MATCH(H1769,art_ref,0)),"Article inconnu",IF(OR(NOT(ISNUMBER(L1769)),N(L1769)&lt;=0),"Quantité invalide",IF(AND(K1769&lt;&gt;"",OR(NOT(ISNUMBER(K1769)),N(K1769)&lt;=0)),"Qté commandée invalide",IF(AG1769&lt;SUMPRODUCT(MAX((A$6:A1768=A1769)*AG$6:AG1768)),"Date antérieure au bon précédent",IF(AND(A1769&lt;&gt;"BR",ISNUMBER(M1769),N(M1769)&gt;0),IF(A1769="BL","Livré plus que commandé","Sorti plus que demandé"),"OK"))))))))))))</f>
        <v/>
      </c>
      <c r="Y1769" s="57" t="str">
        <f>IF(AND(OR(A1769="BL",A1769="BR",A1769="BS"),AG1769&gt;0,D1769&lt;&gt;""),A1769&amp;"|"&amp;AG1769&amp;"|"&amp;D1769&amp;"|"&amp;F1769,"")</f>
        <v/>
      </c>
      <c r="Z1769" s="57" t="str">
        <f>IF(Y1769="","",IF(COUNTIF(Y$6:Y1768,Y1769)=0,1,0))</f>
        <v/>
      </c>
      <c r="AA1769" s="57" t="str">
        <f>IF(Y1769="","",IF(Z1769=1,COUNTIFS(A$6:A1769,A1769,Z$6:Z1769,1),INDEX(AA$6:AA1768,MATCH(Y1769,Y$6:Y1768,0))))</f>
        <v/>
      </c>
      <c r="AB1769" s="57" t="str">
        <f>IF(B1769="","",COUNTIF(B$6:B1769,B1769))</f>
        <v/>
      </c>
      <c r="AC1769" s="57" t="str">
        <f>IF(B1769="","",B1769&amp;"#"&amp;AB1769)</f>
        <v/>
      </c>
      <c r="AD1769" s="57" t="str">
        <f>IF(Z1769=1,A1769&amp;AA1769,"")</f>
        <v/>
      </c>
      <c r="AE1769" s="57" t="str">
        <f>IF(B1769="","",YEAR(C1769))</f>
        <v/>
      </c>
      <c r="AF1769" s="57" t="str">
        <f>IF(B1769="","",MONTH(C1769))</f>
        <v/>
      </c>
      <c r="AG1769" s="57">
        <f>IF(ISNUMBER(C1769),C1769,0)</f>
        <v>0.0</v>
      </c>
      <c r="AH1769" s="57" t="str">
        <f>IF(N(W1769)&gt;0,COUNTIF(W$6:W1769,"&gt;0"),"")</f>
        <v/>
      </c>
      <c r="AI1769" s="57" t="str">
        <f>IF(Z1769=1,COUNTIF(Z$6:Z1769,1),"")</f>
        <v/>
      </c>
    </row>
    <row r="1770">
      <c r="A1770" s="54" t="n"/>
      <c r="B1770" s="55" t="str">
        <f>IF(AA1770="","",A1770&amp;"-"&amp;RIGHT("000"&amp;AA1770,4))</f>
        <v/>
      </c>
      <c r="C1770" s="56" t="n"/>
      <c r="D1770" s="54" t="n"/>
      <c r="E1770" s="57" t="str">
        <f>IF(D1770="","",IF(A1770="BL",IFERROR(INDEX(cl_name,MATCH(D1770,cl_code,0))&amp;"","Client inconnu"),IF(A1770="BR",IFERROR(INDEX(fo_name,MATCH(D1770,fo_code,0))&amp;"","Fournisseur inconnu"),IF(A1770="BS",IF(ISNA(MATCH(D1770,p_services,0)),"Service inconnu",D1770&amp;""),""))))</f>
        <v/>
      </c>
      <c r="F1770" s="58" t="n"/>
      <c r="G1770" s="58" t="n"/>
      <c r="H1770" s="59" t="n"/>
      <c r="I1770" s="57" t="str">
        <f>IF(H1770="","",IFERROR(INDEX(art_des,MATCH(H1770,art_ref,0))&amp;"","Article inconnu"))</f>
        <v/>
      </c>
      <c r="J1770" s="60" t="str">
        <f>IF(H1770="","",IFERROR(INDEX(art_unit,MATCH(H1770,art_ref,0))&amp;"",""))</f>
        <v/>
      </c>
      <c r="K1770" s="59" t="n"/>
      <c r="L1770" s="59" t="n"/>
      <c r="M1770" s="61" t="str">
        <f>IF(OR(B1770="",NOT(ISNUMBER(K1770)),NOT(ISNUMBER(L1770))),"",IF(OR(K1770&lt;=0,L1770&lt;=0),"",ROUND(L1770-K1770,6)))</f>
        <v/>
      </c>
      <c r="N1770" s="58" t="n"/>
      <c r="O1770" s="62" t="n"/>
      <c r="P1770" s="63" t="str">
        <f>IF(OR(B1770="",NOT(ISNUMBER(L1770))),"",IF(L1770&lt;=0,"",IFERROR(ROUND(L1770*N(INDEX(art_w,MATCH(H1770,art_ref,0))),3),"")))</f>
        <v/>
      </c>
      <c r="Q1770" s="59" t="n"/>
      <c r="R1770" s="54" t="n"/>
      <c r="S1770" s="59" t="n"/>
      <c r="T1770" s="59" t="n"/>
      <c r="U1770" s="64" t="str">
        <f>IF(OR(B1770="",H1770=""),"",IFERROR(IF(A1770="BL",IF(N(INDEX(art_price,MATCH(H1770,art_ref,0)))=0,"",N(INDEX(art_price,MATCH(H1770,art_ref,0)))),IF(N(INDEX(art_cost,MATCH(H1770,art_ref,0)))=0,"",N(INDEX(art_cost,MATCH(H1770,art_ref,0))))),""))</f>
        <v/>
      </c>
      <c r="V1770" s="64" t="str">
        <f>IF(OR(U1770="",NOT(ISNUMBER(L1770))),"",IF(L1770&lt;=0,"",ROUND(L1770*U1770,2)))</f>
        <v/>
      </c>
      <c r="W1770" s="60" t="str">
        <f>IF(AND(B1770&lt;&gt;"",A1770&lt;&gt;"BS",F1770&lt;&gt;"",H1770&lt;&gt;"",ISNUMBER(K1770),ISNUMBER(L1770)),IF(AND(K1770&gt;0,L1770&gt;0,K1770-L1770&gt;0,COUNTIFS(A1771:A$2005,A1770,F1771:F$2005,F1770,H1771:H$2005,H1770,AA1771:AA$2005,"&gt;0")=0),ROUND(K1770-L1770,6),""),"")</f>
        <v/>
      </c>
      <c r="X1770" s="60" t="str">
        <f>IF(AND(A1770="",C1770="",D1770="",H1770="",L1770=""),"",IF(A1770="","Type manquant",IF(AND(A1770&lt;&gt;"BL",A1770&lt;&gt;"BR",A1770&lt;&gt;"BS"),"Type inconnu (BL, BR ou BS)",IF(AG1770=0,"Date manquante ou invalide",IF(D1770="",IF(A1770="BL","Client manquant",IF(A1770="BR","Fournisseur manquant","Service manquant")),IF(IF(A1770="BL",ISNA(MATCH(D1770,cl_code,0)),IF(A1770="BR",ISNA(MATCH(D1770,fo_code,0)),ISNA(MATCH(D1770,p_services,0)))),IF(A1770="BL","Client inconnu",IF(A1770="BR","Fournisseur inconnu","Service inconnu")),IF(H1770="","Article manquant",IF(ISNA(MATCH(H1770,art_ref,0)),"Article inconnu",IF(OR(NOT(ISNUMBER(L1770)),N(L1770)&lt;=0),"Quantité invalide",IF(AND(K1770&lt;&gt;"",OR(NOT(ISNUMBER(K1770)),N(K1770)&lt;=0)),"Qté commandée invalide",IF(AG1770&lt;SUMPRODUCT(MAX((A$6:A1769=A1770)*AG$6:AG1769)),"Date antérieure au bon précédent",IF(AND(A1770&lt;&gt;"BR",ISNUMBER(M1770),N(M1770)&gt;0),IF(A1770="BL","Livré plus que commandé","Sorti plus que demandé"),"OK"))))))))))))</f>
        <v/>
      </c>
      <c r="Y1770" s="57" t="str">
        <f>IF(AND(OR(A1770="BL",A1770="BR",A1770="BS"),AG1770&gt;0,D1770&lt;&gt;""),A1770&amp;"|"&amp;AG1770&amp;"|"&amp;D1770&amp;"|"&amp;F1770,"")</f>
        <v/>
      </c>
      <c r="Z1770" s="57" t="str">
        <f>IF(Y1770="","",IF(COUNTIF(Y$6:Y1769,Y1770)=0,1,0))</f>
        <v/>
      </c>
      <c r="AA1770" s="57" t="str">
        <f>IF(Y1770="","",IF(Z1770=1,COUNTIFS(A$6:A1770,A1770,Z$6:Z1770,1),INDEX(AA$6:AA1769,MATCH(Y1770,Y$6:Y1769,0))))</f>
        <v/>
      </c>
      <c r="AB1770" s="57" t="str">
        <f>IF(B1770="","",COUNTIF(B$6:B1770,B1770))</f>
        <v/>
      </c>
      <c r="AC1770" s="57" t="str">
        <f>IF(B1770="","",B1770&amp;"#"&amp;AB1770)</f>
        <v/>
      </c>
      <c r="AD1770" s="57" t="str">
        <f>IF(Z1770=1,A1770&amp;AA1770,"")</f>
        <v/>
      </c>
      <c r="AE1770" s="57" t="str">
        <f>IF(B1770="","",YEAR(C1770))</f>
        <v/>
      </c>
      <c r="AF1770" s="57" t="str">
        <f>IF(B1770="","",MONTH(C1770))</f>
        <v/>
      </c>
      <c r="AG1770" s="57">
        <f>IF(ISNUMBER(C1770),C1770,0)</f>
        <v>0.0</v>
      </c>
      <c r="AH1770" s="57" t="str">
        <f>IF(N(W1770)&gt;0,COUNTIF(W$6:W1770,"&gt;0"),"")</f>
        <v/>
      </c>
      <c r="AI1770" s="57" t="str">
        <f>IF(Z1770=1,COUNTIF(Z$6:Z1770,1),"")</f>
        <v/>
      </c>
    </row>
    <row r="1771">
      <c r="A1771" s="54" t="n"/>
      <c r="B1771" s="55" t="str">
        <f>IF(AA1771="","",A1771&amp;"-"&amp;RIGHT("000"&amp;AA1771,4))</f>
        <v/>
      </c>
      <c r="C1771" s="56" t="n"/>
      <c r="D1771" s="54" t="n"/>
      <c r="E1771" s="57" t="str">
        <f>IF(D1771="","",IF(A1771="BL",IFERROR(INDEX(cl_name,MATCH(D1771,cl_code,0))&amp;"","Client inconnu"),IF(A1771="BR",IFERROR(INDEX(fo_name,MATCH(D1771,fo_code,0))&amp;"","Fournisseur inconnu"),IF(A1771="BS",IF(ISNA(MATCH(D1771,p_services,0)),"Service inconnu",D1771&amp;""),""))))</f>
        <v/>
      </c>
      <c r="F1771" s="58" t="n"/>
      <c r="G1771" s="58" t="n"/>
      <c r="H1771" s="59" t="n"/>
      <c r="I1771" s="57" t="str">
        <f>IF(H1771="","",IFERROR(INDEX(art_des,MATCH(H1771,art_ref,0))&amp;"","Article inconnu"))</f>
        <v/>
      </c>
      <c r="J1771" s="60" t="str">
        <f>IF(H1771="","",IFERROR(INDEX(art_unit,MATCH(H1771,art_ref,0))&amp;"",""))</f>
        <v/>
      </c>
      <c r="K1771" s="59" t="n"/>
      <c r="L1771" s="59" t="n"/>
      <c r="M1771" s="61" t="str">
        <f>IF(OR(B1771="",NOT(ISNUMBER(K1771)),NOT(ISNUMBER(L1771))),"",IF(OR(K1771&lt;=0,L1771&lt;=0),"",ROUND(L1771-K1771,6)))</f>
        <v/>
      </c>
      <c r="N1771" s="58" t="n"/>
      <c r="O1771" s="62" t="n"/>
      <c r="P1771" s="63" t="str">
        <f>IF(OR(B1771="",NOT(ISNUMBER(L1771))),"",IF(L1771&lt;=0,"",IFERROR(ROUND(L1771*N(INDEX(art_w,MATCH(H1771,art_ref,0))),3),"")))</f>
        <v/>
      </c>
      <c r="Q1771" s="59" t="n"/>
      <c r="R1771" s="54" t="n"/>
      <c r="S1771" s="59" t="n"/>
      <c r="T1771" s="59" t="n"/>
      <c r="U1771" s="64" t="str">
        <f>IF(OR(B1771="",H1771=""),"",IFERROR(IF(A1771="BL",IF(N(INDEX(art_price,MATCH(H1771,art_ref,0)))=0,"",N(INDEX(art_price,MATCH(H1771,art_ref,0)))),IF(N(INDEX(art_cost,MATCH(H1771,art_ref,0)))=0,"",N(INDEX(art_cost,MATCH(H1771,art_ref,0))))),""))</f>
        <v/>
      </c>
      <c r="V1771" s="64" t="str">
        <f>IF(OR(U1771="",NOT(ISNUMBER(L1771))),"",IF(L1771&lt;=0,"",ROUND(L1771*U1771,2)))</f>
        <v/>
      </c>
      <c r="W1771" s="60" t="str">
        <f>IF(AND(B1771&lt;&gt;"",A1771&lt;&gt;"BS",F1771&lt;&gt;"",H1771&lt;&gt;"",ISNUMBER(K1771),ISNUMBER(L1771)),IF(AND(K1771&gt;0,L1771&gt;0,K1771-L1771&gt;0,COUNTIFS(A1772:A$2005,A1771,F1772:F$2005,F1771,H1772:H$2005,H1771,AA1772:AA$2005,"&gt;0")=0),ROUND(K1771-L1771,6),""),"")</f>
        <v/>
      </c>
      <c r="X1771" s="60" t="str">
        <f>IF(AND(A1771="",C1771="",D1771="",H1771="",L1771=""),"",IF(A1771="","Type manquant",IF(AND(A1771&lt;&gt;"BL",A1771&lt;&gt;"BR",A1771&lt;&gt;"BS"),"Type inconnu (BL, BR ou BS)",IF(AG1771=0,"Date manquante ou invalide",IF(D1771="",IF(A1771="BL","Client manquant",IF(A1771="BR","Fournisseur manquant","Service manquant")),IF(IF(A1771="BL",ISNA(MATCH(D1771,cl_code,0)),IF(A1771="BR",ISNA(MATCH(D1771,fo_code,0)),ISNA(MATCH(D1771,p_services,0)))),IF(A1771="BL","Client inconnu",IF(A1771="BR","Fournisseur inconnu","Service inconnu")),IF(H1771="","Article manquant",IF(ISNA(MATCH(H1771,art_ref,0)),"Article inconnu",IF(OR(NOT(ISNUMBER(L1771)),N(L1771)&lt;=0),"Quantité invalide",IF(AND(K1771&lt;&gt;"",OR(NOT(ISNUMBER(K1771)),N(K1771)&lt;=0)),"Qté commandée invalide",IF(AG1771&lt;SUMPRODUCT(MAX((A$6:A1770=A1771)*AG$6:AG1770)),"Date antérieure au bon précédent",IF(AND(A1771&lt;&gt;"BR",ISNUMBER(M1771),N(M1771)&gt;0),IF(A1771="BL","Livré plus que commandé","Sorti plus que demandé"),"OK"))))))))))))</f>
        <v/>
      </c>
      <c r="Y1771" s="57" t="str">
        <f>IF(AND(OR(A1771="BL",A1771="BR",A1771="BS"),AG1771&gt;0,D1771&lt;&gt;""),A1771&amp;"|"&amp;AG1771&amp;"|"&amp;D1771&amp;"|"&amp;F1771,"")</f>
        <v/>
      </c>
      <c r="Z1771" s="57" t="str">
        <f>IF(Y1771="","",IF(COUNTIF(Y$6:Y1770,Y1771)=0,1,0))</f>
        <v/>
      </c>
      <c r="AA1771" s="57" t="str">
        <f>IF(Y1771="","",IF(Z1771=1,COUNTIFS(A$6:A1771,A1771,Z$6:Z1771,1),INDEX(AA$6:AA1770,MATCH(Y1771,Y$6:Y1770,0))))</f>
        <v/>
      </c>
      <c r="AB1771" s="57" t="str">
        <f>IF(B1771="","",COUNTIF(B$6:B1771,B1771))</f>
        <v/>
      </c>
      <c r="AC1771" s="57" t="str">
        <f>IF(B1771="","",B1771&amp;"#"&amp;AB1771)</f>
        <v/>
      </c>
      <c r="AD1771" s="57" t="str">
        <f>IF(Z1771=1,A1771&amp;AA1771,"")</f>
        <v/>
      </c>
      <c r="AE1771" s="57" t="str">
        <f>IF(B1771="","",YEAR(C1771))</f>
        <v/>
      </c>
      <c r="AF1771" s="57" t="str">
        <f>IF(B1771="","",MONTH(C1771))</f>
        <v/>
      </c>
      <c r="AG1771" s="57">
        <f>IF(ISNUMBER(C1771),C1771,0)</f>
        <v>0.0</v>
      </c>
      <c r="AH1771" s="57" t="str">
        <f>IF(N(W1771)&gt;0,COUNTIF(W$6:W1771,"&gt;0"),"")</f>
        <v/>
      </c>
      <c r="AI1771" s="57" t="str">
        <f>IF(Z1771=1,COUNTIF(Z$6:Z1771,1),"")</f>
        <v/>
      </c>
    </row>
    <row r="1772">
      <c r="A1772" s="54" t="n"/>
      <c r="B1772" s="55" t="str">
        <f>IF(AA1772="","",A1772&amp;"-"&amp;RIGHT("000"&amp;AA1772,4))</f>
        <v/>
      </c>
      <c r="C1772" s="56" t="n"/>
      <c r="D1772" s="54" t="n"/>
      <c r="E1772" s="57" t="str">
        <f>IF(D1772="","",IF(A1772="BL",IFERROR(INDEX(cl_name,MATCH(D1772,cl_code,0))&amp;"","Client inconnu"),IF(A1772="BR",IFERROR(INDEX(fo_name,MATCH(D1772,fo_code,0))&amp;"","Fournisseur inconnu"),IF(A1772="BS",IF(ISNA(MATCH(D1772,p_services,0)),"Service inconnu",D1772&amp;""),""))))</f>
        <v/>
      </c>
      <c r="F1772" s="58" t="n"/>
      <c r="G1772" s="58" t="n"/>
      <c r="H1772" s="59" t="n"/>
      <c r="I1772" s="57" t="str">
        <f>IF(H1772="","",IFERROR(INDEX(art_des,MATCH(H1772,art_ref,0))&amp;"","Article inconnu"))</f>
        <v/>
      </c>
      <c r="J1772" s="60" t="str">
        <f>IF(H1772="","",IFERROR(INDEX(art_unit,MATCH(H1772,art_ref,0))&amp;"",""))</f>
        <v/>
      </c>
      <c r="K1772" s="59" t="n"/>
      <c r="L1772" s="59" t="n"/>
      <c r="M1772" s="61" t="str">
        <f>IF(OR(B1772="",NOT(ISNUMBER(K1772)),NOT(ISNUMBER(L1772))),"",IF(OR(K1772&lt;=0,L1772&lt;=0),"",ROUND(L1772-K1772,6)))</f>
        <v/>
      </c>
      <c r="N1772" s="58" t="n"/>
      <c r="O1772" s="62" t="n"/>
      <c r="P1772" s="63" t="str">
        <f>IF(OR(B1772="",NOT(ISNUMBER(L1772))),"",IF(L1772&lt;=0,"",IFERROR(ROUND(L1772*N(INDEX(art_w,MATCH(H1772,art_ref,0))),3),"")))</f>
        <v/>
      </c>
      <c r="Q1772" s="59" t="n"/>
      <c r="R1772" s="54" t="n"/>
      <c r="S1772" s="59" t="n"/>
      <c r="T1772" s="59" t="n"/>
      <c r="U1772" s="64" t="str">
        <f>IF(OR(B1772="",H1772=""),"",IFERROR(IF(A1772="BL",IF(N(INDEX(art_price,MATCH(H1772,art_ref,0)))=0,"",N(INDEX(art_price,MATCH(H1772,art_ref,0)))),IF(N(INDEX(art_cost,MATCH(H1772,art_ref,0)))=0,"",N(INDEX(art_cost,MATCH(H1772,art_ref,0))))),""))</f>
        <v/>
      </c>
      <c r="V1772" s="64" t="str">
        <f>IF(OR(U1772="",NOT(ISNUMBER(L1772))),"",IF(L1772&lt;=0,"",ROUND(L1772*U1772,2)))</f>
        <v/>
      </c>
      <c r="W1772" s="60" t="str">
        <f>IF(AND(B1772&lt;&gt;"",A1772&lt;&gt;"BS",F1772&lt;&gt;"",H1772&lt;&gt;"",ISNUMBER(K1772),ISNUMBER(L1772)),IF(AND(K1772&gt;0,L1772&gt;0,K1772-L1772&gt;0,COUNTIFS(A1773:A$2005,A1772,F1773:F$2005,F1772,H1773:H$2005,H1772,AA1773:AA$2005,"&gt;0")=0),ROUND(K1772-L1772,6),""),"")</f>
        <v/>
      </c>
      <c r="X1772" s="60" t="str">
        <f>IF(AND(A1772="",C1772="",D1772="",H1772="",L1772=""),"",IF(A1772="","Type manquant",IF(AND(A1772&lt;&gt;"BL",A1772&lt;&gt;"BR",A1772&lt;&gt;"BS"),"Type inconnu (BL, BR ou BS)",IF(AG1772=0,"Date manquante ou invalide",IF(D1772="",IF(A1772="BL","Client manquant",IF(A1772="BR","Fournisseur manquant","Service manquant")),IF(IF(A1772="BL",ISNA(MATCH(D1772,cl_code,0)),IF(A1772="BR",ISNA(MATCH(D1772,fo_code,0)),ISNA(MATCH(D1772,p_services,0)))),IF(A1772="BL","Client inconnu",IF(A1772="BR","Fournisseur inconnu","Service inconnu")),IF(H1772="","Article manquant",IF(ISNA(MATCH(H1772,art_ref,0)),"Article inconnu",IF(OR(NOT(ISNUMBER(L1772)),N(L1772)&lt;=0),"Quantité invalide",IF(AND(K1772&lt;&gt;"",OR(NOT(ISNUMBER(K1772)),N(K1772)&lt;=0)),"Qté commandée invalide",IF(AG1772&lt;SUMPRODUCT(MAX((A$6:A1771=A1772)*AG$6:AG1771)),"Date antérieure au bon précédent",IF(AND(A1772&lt;&gt;"BR",ISNUMBER(M1772),N(M1772)&gt;0),IF(A1772="BL","Livré plus que commandé","Sorti plus que demandé"),"OK"))))))))))))</f>
        <v/>
      </c>
      <c r="Y1772" s="57" t="str">
        <f>IF(AND(OR(A1772="BL",A1772="BR",A1772="BS"),AG1772&gt;0,D1772&lt;&gt;""),A1772&amp;"|"&amp;AG1772&amp;"|"&amp;D1772&amp;"|"&amp;F1772,"")</f>
        <v/>
      </c>
      <c r="Z1772" s="57" t="str">
        <f>IF(Y1772="","",IF(COUNTIF(Y$6:Y1771,Y1772)=0,1,0))</f>
        <v/>
      </c>
      <c r="AA1772" s="57" t="str">
        <f>IF(Y1772="","",IF(Z1772=1,COUNTIFS(A$6:A1772,A1772,Z$6:Z1772,1),INDEX(AA$6:AA1771,MATCH(Y1772,Y$6:Y1771,0))))</f>
        <v/>
      </c>
      <c r="AB1772" s="57" t="str">
        <f>IF(B1772="","",COUNTIF(B$6:B1772,B1772))</f>
        <v/>
      </c>
      <c r="AC1772" s="57" t="str">
        <f>IF(B1772="","",B1772&amp;"#"&amp;AB1772)</f>
        <v/>
      </c>
      <c r="AD1772" s="57" t="str">
        <f>IF(Z1772=1,A1772&amp;AA1772,"")</f>
        <v/>
      </c>
      <c r="AE1772" s="57" t="str">
        <f>IF(B1772="","",YEAR(C1772))</f>
        <v/>
      </c>
      <c r="AF1772" s="57" t="str">
        <f>IF(B1772="","",MONTH(C1772))</f>
        <v/>
      </c>
      <c r="AG1772" s="57">
        <f>IF(ISNUMBER(C1772),C1772,0)</f>
        <v>0.0</v>
      </c>
      <c r="AH1772" s="57" t="str">
        <f>IF(N(W1772)&gt;0,COUNTIF(W$6:W1772,"&gt;0"),"")</f>
        <v/>
      </c>
      <c r="AI1772" s="57" t="str">
        <f>IF(Z1772=1,COUNTIF(Z$6:Z1772,1),"")</f>
        <v/>
      </c>
    </row>
    <row r="1773">
      <c r="A1773" s="54" t="n"/>
      <c r="B1773" s="55" t="str">
        <f>IF(AA1773="","",A1773&amp;"-"&amp;RIGHT("000"&amp;AA1773,4))</f>
        <v/>
      </c>
      <c r="C1773" s="56" t="n"/>
      <c r="D1773" s="54" t="n"/>
      <c r="E1773" s="57" t="str">
        <f>IF(D1773="","",IF(A1773="BL",IFERROR(INDEX(cl_name,MATCH(D1773,cl_code,0))&amp;"","Client inconnu"),IF(A1773="BR",IFERROR(INDEX(fo_name,MATCH(D1773,fo_code,0))&amp;"","Fournisseur inconnu"),IF(A1773="BS",IF(ISNA(MATCH(D1773,p_services,0)),"Service inconnu",D1773&amp;""),""))))</f>
        <v/>
      </c>
      <c r="F1773" s="58" t="n"/>
      <c r="G1773" s="58" t="n"/>
      <c r="H1773" s="59" t="n"/>
      <c r="I1773" s="57" t="str">
        <f>IF(H1773="","",IFERROR(INDEX(art_des,MATCH(H1773,art_ref,0))&amp;"","Article inconnu"))</f>
        <v/>
      </c>
      <c r="J1773" s="60" t="str">
        <f>IF(H1773="","",IFERROR(INDEX(art_unit,MATCH(H1773,art_ref,0))&amp;"",""))</f>
        <v/>
      </c>
      <c r="K1773" s="59" t="n"/>
      <c r="L1773" s="59" t="n"/>
      <c r="M1773" s="61" t="str">
        <f>IF(OR(B1773="",NOT(ISNUMBER(K1773)),NOT(ISNUMBER(L1773))),"",IF(OR(K1773&lt;=0,L1773&lt;=0),"",ROUND(L1773-K1773,6)))</f>
        <v/>
      </c>
      <c r="N1773" s="58" t="n"/>
      <c r="O1773" s="62" t="n"/>
      <c r="P1773" s="63" t="str">
        <f>IF(OR(B1773="",NOT(ISNUMBER(L1773))),"",IF(L1773&lt;=0,"",IFERROR(ROUND(L1773*N(INDEX(art_w,MATCH(H1773,art_ref,0))),3),"")))</f>
        <v/>
      </c>
      <c r="Q1773" s="59" t="n"/>
      <c r="R1773" s="54" t="n"/>
      <c r="S1773" s="59" t="n"/>
      <c r="T1773" s="59" t="n"/>
      <c r="U1773" s="64" t="str">
        <f>IF(OR(B1773="",H1773=""),"",IFERROR(IF(A1773="BL",IF(N(INDEX(art_price,MATCH(H1773,art_ref,0)))=0,"",N(INDEX(art_price,MATCH(H1773,art_ref,0)))),IF(N(INDEX(art_cost,MATCH(H1773,art_ref,0)))=0,"",N(INDEX(art_cost,MATCH(H1773,art_ref,0))))),""))</f>
        <v/>
      </c>
      <c r="V1773" s="64" t="str">
        <f>IF(OR(U1773="",NOT(ISNUMBER(L1773))),"",IF(L1773&lt;=0,"",ROUND(L1773*U1773,2)))</f>
        <v/>
      </c>
      <c r="W1773" s="60" t="str">
        <f>IF(AND(B1773&lt;&gt;"",A1773&lt;&gt;"BS",F1773&lt;&gt;"",H1773&lt;&gt;"",ISNUMBER(K1773),ISNUMBER(L1773)),IF(AND(K1773&gt;0,L1773&gt;0,K1773-L1773&gt;0,COUNTIFS(A1774:A$2005,A1773,F1774:F$2005,F1773,H1774:H$2005,H1773,AA1774:AA$2005,"&gt;0")=0),ROUND(K1773-L1773,6),""),"")</f>
        <v/>
      </c>
      <c r="X1773" s="60" t="str">
        <f>IF(AND(A1773="",C1773="",D1773="",H1773="",L1773=""),"",IF(A1773="","Type manquant",IF(AND(A1773&lt;&gt;"BL",A1773&lt;&gt;"BR",A1773&lt;&gt;"BS"),"Type inconnu (BL, BR ou BS)",IF(AG1773=0,"Date manquante ou invalide",IF(D1773="",IF(A1773="BL","Client manquant",IF(A1773="BR","Fournisseur manquant","Service manquant")),IF(IF(A1773="BL",ISNA(MATCH(D1773,cl_code,0)),IF(A1773="BR",ISNA(MATCH(D1773,fo_code,0)),ISNA(MATCH(D1773,p_services,0)))),IF(A1773="BL","Client inconnu",IF(A1773="BR","Fournisseur inconnu","Service inconnu")),IF(H1773="","Article manquant",IF(ISNA(MATCH(H1773,art_ref,0)),"Article inconnu",IF(OR(NOT(ISNUMBER(L1773)),N(L1773)&lt;=0),"Quantité invalide",IF(AND(K1773&lt;&gt;"",OR(NOT(ISNUMBER(K1773)),N(K1773)&lt;=0)),"Qté commandée invalide",IF(AG1773&lt;SUMPRODUCT(MAX((A$6:A1772=A1773)*AG$6:AG1772)),"Date antérieure au bon précédent",IF(AND(A1773&lt;&gt;"BR",ISNUMBER(M1773),N(M1773)&gt;0),IF(A1773="BL","Livré plus que commandé","Sorti plus que demandé"),"OK"))))))))))))</f>
        <v/>
      </c>
      <c r="Y1773" s="57" t="str">
        <f>IF(AND(OR(A1773="BL",A1773="BR",A1773="BS"),AG1773&gt;0,D1773&lt;&gt;""),A1773&amp;"|"&amp;AG1773&amp;"|"&amp;D1773&amp;"|"&amp;F1773,"")</f>
        <v/>
      </c>
      <c r="Z1773" s="57" t="str">
        <f>IF(Y1773="","",IF(COUNTIF(Y$6:Y1772,Y1773)=0,1,0))</f>
        <v/>
      </c>
      <c r="AA1773" s="57" t="str">
        <f>IF(Y1773="","",IF(Z1773=1,COUNTIFS(A$6:A1773,A1773,Z$6:Z1773,1),INDEX(AA$6:AA1772,MATCH(Y1773,Y$6:Y1772,0))))</f>
        <v/>
      </c>
      <c r="AB1773" s="57" t="str">
        <f>IF(B1773="","",COUNTIF(B$6:B1773,B1773))</f>
        <v/>
      </c>
      <c r="AC1773" s="57" t="str">
        <f>IF(B1773="","",B1773&amp;"#"&amp;AB1773)</f>
        <v/>
      </c>
      <c r="AD1773" s="57" t="str">
        <f>IF(Z1773=1,A1773&amp;AA1773,"")</f>
        <v/>
      </c>
      <c r="AE1773" s="57" t="str">
        <f>IF(B1773="","",YEAR(C1773))</f>
        <v/>
      </c>
      <c r="AF1773" s="57" t="str">
        <f>IF(B1773="","",MONTH(C1773))</f>
        <v/>
      </c>
      <c r="AG1773" s="57">
        <f>IF(ISNUMBER(C1773),C1773,0)</f>
        <v>0.0</v>
      </c>
      <c r="AH1773" s="57" t="str">
        <f>IF(N(W1773)&gt;0,COUNTIF(W$6:W1773,"&gt;0"),"")</f>
        <v/>
      </c>
      <c r="AI1773" s="57" t="str">
        <f>IF(Z1773=1,COUNTIF(Z$6:Z1773,1),"")</f>
        <v/>
      </c>
    </row>
    <row r="1774">
      <c r="A1774" s="54" t="n"/>
      <c r="B1774" s="55" t="str">
        <f>IF(AA1774="","",A1774&amp;"-"&amp;RIGHT("000"&amp;AA1774,4))</f>
        <v/>
      </c>
      <c r="C1774" s="56" t="n"/>
      <c r="D1774" s="54" t="n"/>
      <c r="E1774" s="57" t="str">
        <f>IF(D1774="","",IF(A1774="BL",IFERROR(INDEX(cl_name,MATCH(D1774,cl_code,0))&amp;"","Client inconnu"),IF(A1774="BR",IFERROR(INDEX(fo_name,MATCH(D1774,fo_code,0))&amp;"","Fournisseur inconnu"),IF(A1774="BS",IF(ISNA(MATCH(D1774,p_services,0)),"Service inconnu",D1774&amp;""),""))))</f>
        <v/>
      </c>
      <c r="F1774" s="58" t="n"/>
      <c r="G1774" s="58" t="n"/>
      <c r="H1774" s="59" t="n"/>
      <c r="I1774" s="57" t="str">
        <f>IF(H1774="","",IFERROR(INDEX(art_des,MATCH(H1774,art_ref,0))&amp;"","Article inconnu"))</f>
        <v/>
      </c>
      <c r="J1774" s="60" t="str">
        <f>IF(H1774="","",IFERROR(INDEX(art_unit,MATCH(H1774,art_ref,0))&amp;"",""))</f>
        <v/>
      </c>
      <c r="K1774" s="59" t="n"/>
      <c r="L1774" s="59" t="n"/>
      <c r="M1774" s="61" t="str">
        <f>IF(OR(B1774="",NOT(ISNUMBER(K1774)),NOT(ISNUMBER(L1774))),"",IF(OR(K1774&lt;=0,L1774&lt;=0),"",ROUND(L1774-K1774,6)))</f>
        <v/>
      </c>
      <c r="N1774" s="58" t="n"/>
      <c r="O1774" s="62" t="n"/>
      <c r="P1774" s="63" t="str">
        <f>IF(OR(B1774="",NOT(ISNUMBER(L1774))),"",IF(L1774&lt;=0,"",IFERROR(ROUND(L1774*N(INDEX(art_w,MATCH(H1774,art_ref,0))),3),"")))</f>
        <v/>
      </c>
      <c r="Q1774" s="59" t="n"/>
      <c r="R1774" s="54" t="n"/>
      <c r="S1774" s="59" t="n"/>
      <c r="T1774" s="59" t="n"/>
      <c r="U1774" s="64" t="str">
        <f>IF(OR(B1774="",H1774=""),"",IFERROR(IF(A1774="BL",IF(N(INDEX(art_price,MATCH(H1774,art_ref,0)))=0,"",N(INDEX(art_price,MATCH(H1774,art_ref,0)))),IF(N(INDEX(art_cost,MATCH(H1774,art_ref,0)))=0,"",N(INDEX(art_cost,MATCH(H1774,art_ref,0))))),""))</f>
        <v/>
      </c>
      <c r="V1774" s="64" t="str">
        <f>IF(OR(U1774="",NOT(ISNUMBER(L1774))),"",IF(L1774&lt;=0,"",ROUND(L1774*U1774,2)))</f>
        <v/>
      </c>
      <c r="W1774" s="60" t="str">
        <f>IF(AND(B1774&lt;&gt;"",A1774&lt;&gt;"BS",F1774&lt;&gt;"",H1774&lt;&gt;"",ISNUMBER(K1774),ISNUMBER(L1774)),IF(AND(K1774&gt;0,L1774&gt;0,K1774-L1774&gt;0,COUNTIFS(A1775:A$2005,A1774,F1775:F$2005,F1774,H1775:H$2005,H1774,AA1775:AA$2005,"&gt;0")=0),ROUND(K1774-L1774,6),""),"")</f>
        <v/>
      </c>
      <c r="X1774" s="60" t="str">
        <f>IF(AND(A1774="",C1774="",D1774="",H1774="",L1774=""),"",IF(A1774="","Type manquant",IF(AND(A1774&lt;&gt;"BL",A1774&lt;&gt;"BR",A1774&lt;&gt;"BS"),"Type inconnu (BL, BR ou BS)",IF(AG1774=0,"Date manquante ou invalide",IF(D1774="",IF(A1774="BL","Client manquant",IF(A1774="BR","Fournisseur manquant","Service manquant")),IF(IF(A1774="BL",ISNA(MATCH(D1774,cl_code,0)),IF(A1774="BR",ISNA(MATCH(D1774,fo_code,0)),ISNA(MATCH(D1774,p_services,0)))),IF(A1774="BL","Client inconnu",IF(A1774="BR","Fournisseur inconnu","Service inconnu")),IF(H1774="","Article manquant",IF(ISNA(MATCH(H1774,art_ref,0)),"Article inconnu",IF(OR(NOT(ISNUMBER(L1774)),N(L1774)&lt;=0),"Quantité invalide",IF(AND(K1774&lt;&gt;"",OR(NOT(ISNUMBER(K1774)),N(K1774)&lt;=0)),"Qté commandée invalide",IF(AG1774&lt;SUMPRODUCT(MAX((A$6:A1773=A1774)*AG$6:AG1773)),"Date antérieure au bon précédent",IF(AND(A1774&lt;&gt;"BR",ISNUMBER(M1774),N(M1774)&gt;0),IF(A1774="BL","Livré plus que commandé","Sorti plus que demandé"),"OK"))))))))))))</f>
        <v/>
      </c>
      <c r="Y1774" s="57" t="str">
        <f>IF(AND(OR(A1774="BL",A1774="BR",A1774="BS"),AG1774&gt;0,D1774&lt;&gt;""),A1774&amp;"|"&amp;AG1774&amp;"|"&amp;D1774&amp;"|"&amp;F1774,"")</f>
        <v/>
      </c>
      <c r="Z1774" s="57" t="str">
        <f>IF(Y1774="","",IF(COUNTIF(Y$6:Y1773,Y1774)=0,1,0))</f>
        <v/>
      </c>
      <c r="AA1774" s="57" t="str">
        <f>IF(Y1774="","",IF(Z1774=1,COUNTIFS(A$6:A1774,A1774,Z$6:Z1774,1),INDEX(AA$6:AA1773,MATCH(Y1774,Y$6:Y1773,0))))</f>
        <v/>
      </c>
      <c r="AB1774" s="57" t="str">
        <f>IF(B1774="","",COUNTIF(B$6:B1774,B1774))</f>
        <v/>
      </c>
      <c r="AC1774" s="57" t="str">
        <f>IF(B1774="","",B1774&amp;"#"&amp;AB1774)</f>
        <v/>
      </c>
      <c r="AD1774" s="57" t="str">
        <f>IF(Z1774=1,A1774&amp;AA1774,"")</f>
        <v/>
      </c>
      <c r="AE1774" s="57" t="str">
        <f>IF(B1774="","",YEAR(C1774))</f>
        <v/>
      </c>
      <c r="AF1774" s="57" t="str">
        <f>IF(B1774="","",MONTH(C1774))</f>
        <v/>
      </c>
      <c r="AG1774" s="57">
        <f>IF(ISNUMBER(C1774),C1774,0)</f>
        <v>0.0</v>
      </c>
      <c r="AH1774" s="57" t="str">
        <f>IF(N(W1774)&gt;0,COUNTIF(W$6:W1774,"&gt;0"),"")</f>
        <v/>
      </c>
      <c r="AI1774" s="57" t="str">
        <f>IF(Z1774=1,COUNTIF(Z$6:Z1774,1),"")</f>
        <v/>
      </c>
    </row>
    <row r="1775">
      <c r="A1775" s="54" t="n"/>
      <c r="B1775" s="55" t="str">
        <f>IF(AA1775="","",A1775&amp;"-"&amp;RIGHT("000"&amp;AA1775,4))</f>
        <v/>
      </c>
      <c r="C1775" s="56" t="n"/>
      <c r="D1775" s="54" t="n"/>
      <c r="E1775" s="57" t="str">
        <f>IF(D1775="","",IF(A1775="BL",IFERROR(INDEX(cl_name,MATCH(D1775,cl_code,0))&amp;"","Client inconnu"),IF(A1775="BR",IFERROR(INDEX(fo_name,MATCH(D1775,fo_code,0))&amp;"","Fournisseur inconnu"),IF(A1775="BS",IF(ISNA(MATCH(D1775,p_services,0)),"Service inconnu",D1775&amp;""),""))))</f>
        <v/>
      </c>
      <c r="F1775" s="58" t="n"/>
      <c r="G1775" s="58" t="n"/>
      <c r="H1775" s="59" t="n"/>
      <c r="I1775" s="57" t="str">
        <f>IF(H1775="","",IFERROR(INDEX(art_des,MATCH(H1775,art_ref,0))&amp;"","Article inconnu"))</f>
        <v/>
      </c>
      <c r="J1775" s="60" t="str">
        <f>IF(H1775="","",IFERROR(INDEX(art_unit,MATCH(H1775,art_ref,0))&amp;"",""))</f>
        <v/>
      </c>
      <c r="K1775" s="59" t="n"/>
      <c r="L1775" s="59" t="n"/>
      <c r="M1775" s="61" t="str">
        <f>IF(OR(B1775="",NOT(ISNUMBER(K1775)),NOT(ISNUMBER(L1775))),"",IF(OR(K1775&lt;=0,L1775&lt;=0),"",ROUND(L1775-K1775,6)))</f>
        <v/>
      </c>
      <c r="N1775" s="58" t="n"/>
      <c r="O1775" s="62" t="n"/>
      <c r="P1775" s="63" t="str">
        <f>IF(OR(B1775="",NOT(ISNUMBER(L1775))),"",IF(L1775&lt;=0,"",IFERROR(ROUND(L1775*N(INDEX(art_w,MATCH(H1775,art_ref,0))),3),"")))</f>
        <v/>
      </c>
      <c r="Q1775" s="59" t="n"/>
      <c r="R1775" s="54" t="n"/>
      <c r="S1775" s="59" t="n"/>
      <c r="T1775" s="59" t="n"/>
      <c r="U1775" s="64" t="str">
        <f>IF(OR(B1775="",H1775=""),"",IFERROR(IF(A1775="BL",IF(N(INDEX(art_price,MATCH(H1775,art_ref,0)))=0,"",N(INDEX(art_price,MATCH(H1775,art_ref,0)))),IF(N(INDEX(art_cost,MATCH(H1775,art_ref,0)))=0,"",N(INDEX(art_cost,MATCH(H1775,art_ref,0))))),""))</f>
        <v/>
      </c>
      <c r="V1775" s="64" t="str">
        <f>IF(OR(U1775="",NOT(ISNUMBER(L1775))),"",IF(L1775&lt;=0,"",ROUND(L1775*U1775,2)))</f>
        <v/>
      </c>
      <c r="W1775" s="60" t="str">
        <f>IF(AND(B1775&lt;&gt;"",A1775&lt;&gt;"BS",F1775&lt;&gt;"",H1775&lt;&gt;"",ISNUMBER(K1775),ISNUMBER(L1775)),IF(AND(K1775&gt;0,L1775&gt;0,K1775-L1775&gt;0,COUNTIFS(A1776:A$2005,A1775,F1776:F$2005,F1775,H1776:H$2005,H1775,AA1776:AA$2005,"&gt;0")=0),ROUND(K1775-L1775,6),""),"")</f>
        <v/>
      </c>
      <c r="X1775" s="60" t="str">
        <f>IF(AND(A1775="",C1775="",D1775="",H1775="",L1775=""),"",IF(A1775="","Type manquant",IF(AND(A1775&lt;&gt;"BL",A1775&lt;&gt;"BR",A1775&lt;&gt;"BS"),"Type inconnu (BL, BR ou BS)",IF(AG1775=0,"Date manquante ou invalide",IF(D1775="",IF(A1775="BL","Client manquant",IF(A1775="BR","Fournisseur manquant","Service manquant")),IF(IF(A1775="BL",ISNA(MATCH(D1775,cl_code,0)),IF(A1775="BR",ISNA(MATCH(D1775,fo_code,0)),ISNA(MATCH(D1775,p_services,0)))),IF(A1775="BL","Client inconnu",IF(A1775="BR","Fournisseur inconnu","Service inconnu")),IF(H1775="","Article manquant",IF(ISNA(MATCH(H1775,art_ref,0)),"Article inconnu",IF(OR(NOT(ISNUMBER(L1775)),N(L1775)&lt;=0),"Quantité invalide",IF(AND(K1775&lt;&gt;"",OR(NOT(ISNUMBER(K1775)),N(K1775)&lt;=0)),"Qté commandée invalide",IF(AG1775&lt;SUMPRODUCT(MAX((A$6:A1774=A1775)*AG$6:AG1774)),"Date antérieure au bon précédent",IF(AND(A1775&lt;&gt;"BR",ISNUMBER(M1775),N(M1775)&gt;0),IF(A1775="BL","Livré plus que commandé","Sorti plus que demandé"),"OK"))))))))))))</f>
        <v/>
      </c>
      <c r="Y1775" s="57" t="str">
        <f>IF(AND(OR(A1775="BL",A1775="BR",A1775="BS"),AG1775&gt;0,D1775&lt;&gt;""),A1775&amp;"|"&amp;AG1775&amp;"|"&amp;D1775&amp;"|"&amp;F1775,"")</f>
        <v/>
      </c>
      <c r="Z1775" s="57" t="str">
        <f>IF(Y1775="","",IF(COUNTIF(Y$6:Y1774,Y1775)=0,1,0))</f>
        <v/>
      </c>
      <c r="AA1775" s="57" t="str">
        <f>IF(Y1775="","",IF(Z1775=1,COUNTIFS(A$6:A1775,A1775,Z$6:Z1775,1),INDEX(AA$6:AA1774,MATCH(Y1775,Y$6:Y1774,0))))</f>
        <v/>
      </c>
      <c r="AB1775" s="57" t="str">
        <f>IF(B1775="","",COUNTIF(B$6:B1775,B1775))</f>
        <v/>
      </c>
      <c r="AC1775" s="57" t="str">
        <f>IF(B1775="","",B1775&amp;"#"&amp;AB1775)</f>
        <v/>
      </c>
      <c r="AD1775" s="57" t="str">
        <f>IF(Z1775=1,A1775&amp;AA1775,"")</f>
        <v/>
      </c>
      <c r="AE1775" s="57" t="str">
        <f>IF(B1775="","",YEAR(C1775))</f>
        <v/>
      </c>
      <c r="AF1775" s="57" t="str">
        <f>IF(B1775="","",MONTH(C1775))</f>
        <v/>
      </c>
      <c r="AG1775" s="57">
        <f>IF(ISNUMBER(C1775),C1775,0)</f>
        <v>0.0</v>
      </c>
      <c r="AH1775" s="57" t="str">
        <f>IF(N(W1775)&gt;0,COUNTIF(W$6:W1775,"&gt;0"),"")</f>
        <v/>
      </c>
      <c r="AI1775" s="57" t="str">
        <f>IF(Z1775=1,COUNTIF(Z$6:Z1775,1),"")</f>
        <v/>
      </c>
    </row>
    <row r="1776">
      <c r="A1776" s="54" t="n"/>
      <c r="B1776" s="55" t="str">
        <f>IF(AA1776="","",A1776&amp;"-"&amp;RIGHT("000"&amp;AA1776,4))</f>
        <v/>
      </c>
      <c r="C1776" s="56" t="n"/>
      <c r="D1776" s="54" t="n"/>
      <c r="E1776" s="57" t="str">
        <f>IF(D1776="","",IF(A1776="BL",IFERROR(INDEX(cl_name,MATCH(D1776,cl_code,0))&amp;"","Client inconnu"),IF(A1776="BR",IFERROR(INDEX(fo_name,MATCH(D1776,fo_code,0))&amp;"","Fournisseur inconnu"),IF(A1776="BS",IF(ISNA(MATCH(D1776,p_services,0)),"Service inconnu",D1776&amp;""),""))))</f>
        <v/>
      </c>
      <c r="F1776" s="58" t="n"/>
      <c r="G1776" s="58" t="n"/>
      <c r="H1776" s="59" t="n"/>
      <c r="I1776" s="57" t="str">
        <f>IF(H1776="","",IFERROR(INDEX(art_des,MATCH(H1776,art_ref,0))&amp;"","Article inconnu"))</f>
        <v/>
      </c>
      <c r="J1776" s="60" t="str">
        <f>IF(H1776="","",IFERROR(INDEX(art_unit,MATCH(H1776,art_ref,0))&amp;"",""))</f>
        <v/>
      </c>
      <c r="K1776" s="59" t="n"/>
      <c r="L1776" s="59" t="n"/>
      <c r="M1776" s="61" t="str">
        <f>IF(OR(B1776="",NOT(ISNUMBER(K1776)),NOT(ISNUMBER(L1776))),"",IF(OR(K1776&lt;=0,L1776&lt;=0),"",ROUND(L1776-K1776,6)))</f>
        <v/>
      </c>
      <c r="N1776" s="58" t="n"/>
      <c r="O1776" s="62" t="n"/>
      <c r="P1776" s="63" t="str">
        <f>IF(OR(B1776="",NOT(ISNUMBER(L1776))),"",IF(L1776&lt;=0,"",IFERROR(ROUND(L1776*N(INDEX(art_w,MATCH(H1776,art_ref,0))),3),"")))</f>
        <v/>
      </c>
      <c r="Q1776" s="59" t="n"/>
      <c r="R1776" s="54" t="n"/>
      <c r="S1776" s="59" t="n"/>
      <c r="T1776" s="59" t="n"/>
      <c r="U1776" s="64" t="str">
        <f>IF(OR(B1776="",H1776=""),"",IFERROR(IF(A1776="BL",IF(N(INDEX(art_price,MATCH(H1776,art_ref,0)))=0,"",N(INDEX(art_price,MATCH(H1776,art_ref,0)))),IF(N(INDEX(art_cost,MATCH(H1776,art_ref,0)))=0,"",N(INDEX(art_cost,MATCH(H1776,art_ref,0))))),""))</f>
        <v/>
      </c>
      <c r="V1776" s="64" t="str">
        <f>IF(OR(U1776="",NOT(ISNUMBER(L1776))),"",IF(L1776&lt;=0,"",ROUND(L1776*U1776,2)))</f>
        <v/>
      </c>
      <c r="W1776" s="60" t="str">
        <f>IF(AND(B1776&lt;&gt;"",A1776&lt;&gt;"BS",F1776&lt;&gt;"",H1776&lt;&gt;"",ISNUMBER(K1776),ISNUMBER(L1776)),IF(AND(K1776&gt;0,L1776&gt;0,K1776-L1776&gt;0,COUNTIFS(A1777:A$2005,A1776,F1777:F$2005,F1776,H1777:H$2005,H1776,AA1777:AA$2005,"&gt;0")=0),ROUND(K1776-L1776,6),""),"")</f>
        <v/>
      </c>
      <c r="X1776" s="60" t="str">
        <f>IF(AND(A1776="",C1776="",D1776="",H1776="",L1776=""),"",IF(A1776="","Type manquant",IF(AND(A1776&lt;&gt;"BL",A1776&lt;&gt;"BR",A1776&lt;&gt;"BS"),"Type inconnu (BL, BR ou BS)",IF(AG1776=0,"Date manquante ou invalide",IF(D1776="",IF(A1776="BL","Client manquant",IF(A1776="BR","Fournisseur manquant","Service manquant")),IF(IF(A1776="BL",ISNA(MATCH(D1776,cl_code,0)),IF(A1776="BR",ISNA(MATCH(D1776,fo_code,0)),ISNA(MATCH(D1776,p_services,0)))),IF(A1776="BL","Client inconnu",IF(A1776="BR","Fournisseur inconnu","Service inconnu")),IF(H1776="","Article manquant",IF(ISNA(MATCH(H1776,art_ref,0)),"Article inconnu",IF(OR(NOT(ISNUMBER(L1776)),N(L1776)&lt;=0),"Quantité invalide",IF(AND(K1776&lt;&gt;"",OR(NOT(ISNUMBER(K1776)),N(K1776)&lt;=0)),"Qté commandée invalide",IF(AG1776&lt;SUMPRODUCT(MAX((A$6:A1775=A1776)*AG$6:AG1775)),"Date antérieure au bon précédent",IF(AND(A1776&lt;&gt;"BR",ISNUMBER(M1776),N(M1776)&gt;0),IF(A1776="BL","Livré plus que commandé","Sorti plus que demandé"),"OK"))))))))))))</f>
        <v/>
      </c>
      <c r="Y1776" s="57" t="str">
        <f>IF(AND(OR(A1776="BL",A1776="BR",A1776="BS"),AG1776&gt;0,D1776&lt;&gt;""),A1776&amp;"|"&amp;AG1776&amp;"|"&amp;D1776&amp;"|"&amp;F1776,"")</f>
        <v/>
      </c>
      <c r="Z1776" s="57" t="str">
        <f>IF(Y1776="","",IF(COUNTIF(Y$6:Y1775,Y1776)=0,1,0))</f>
        <v/>
      </c>
      <c r="AA1776" s="57" t="str">
        <f>IF(Y1776="","",IF(Z1776=1,COUNTIFS(A$6:A1776,A1776,Z$6:Z1776,1),INDEX(AA$6:AA1775,MATCH(Y1776,Y$6:Y1775,0))))</f>
        <v/>
      </c>
      <c r="AB1776" s="57" t="str">
        <f>IF(B1776="","",COUNTIF(B$6:B1776,B1776))</f>
        <v/>
      </c>
      <c r="AC1776" s="57" t="str">
        <f>IF(B1776="","",B1776&amp;"#"&amp;AB1776)</f>
        <v/>
      </c>
      <c r="AD1776" s="57" t="str">
        <f>IF(Z1776=1,A1776&amp;AA1776,"")</f>
        <v/>
      </c>
      <c r="AE1776" s="57" t="str">
        <f>IF(B1776="","",YEAR(C1776))</f>
        <v/>
      </c>
      <c r="AF1776" s="57" t="str">
        <f>IF(B1776="","",MONTH(C1776))</f>
        <v/>
      </c>
      <c r="AG1776" s="57">
        <f>IF(ISNUMBER(C1776),C1776,0)</f>
        <v>0.0</v>
      </c>
      <c r="AH1776" s="57" t="str">
        <f>IF(N(W1776)&gt;0,COUNTIF(W$6:W1776,"&gt;0"),"")</f>
        <v/>
      </c>
      <c r="AI1776" s="57" t="str">
        <f>IF(Z1776=1,COUNTIF(Z$6:Z1776,1),"")</f>
        <v/>
      </c>
    </row>
    <row r="1777">
      <c r="A1777" s="54" t="n"/>
      <c r="B1777" s="55" t="str">
        <f>IF(AA1777="","",A1777&amp;"-"&amp;RIGHT("000"&amp;AA1777,4))</f>
        <v/>
      </c>
      <c r="C1777" s="56" t="n"/>
      <c r="D1777" s="54" t="n"/>
      <c r="E1777" s="57" t="str">
        <f>IF(D1777="","",IF(A1777="BL",IFERROR(INDEX(cl_name,MATCH(D1777,cl_code,0))&amp;"","Client inconnu"),IF(A1777="BR",IFERROR(INDEX(fo_name,MATCH(D1777,fo_code,0))&amp;"","Fournisseur inconnu"),IF(A1777="BS",IF(ISNA(MATCH(D1777,p_services,0)),"Service inconnu",D1777&amp;""),""))))</f>
        <v/>
      </c>
      <c r="F1777" s="58" t="n"/>
      <c r="G1777" s="58" t="n"/>
      <c r="H1777" s="59" t="n"/>
      <c r="I1777" s="57" t="str">
        <f>IF(H1777="","",IFERROR(INDEX(art_des,MATCH(H1777,art_ref,0))&amp;"","Article inconnu"))</f>
        <v/>
      </c>
      <c r="J1777" s="60" t="str">
        <f>IF(H1777="","",IFERROR(INDEX(art_unit,MATCH(H1777,art_ref,0))&amp;"",""))</f>
        <v/>
      </c>
      <c r="K1777" s="59" t="n"/>
      <c r="L1777" s="59" t="n"/>
      <c r="M1777" s="61" t="str">
        <f>IF(OR(B1777="",NOT(ISNUMBER(K1777)),NOT(ISNUMBER(L1777))),"",IF(OR(K1777&lt;=0,L1777&lt;=0),"",ROUND(L1777-K1777,6)))</f>
        <v/>
      </c>
      <c r="N1777" s="58" t="n"/>
      <c r="O1777" s="62" t="n"/>
      <c r="P1777" s="63" t="str">
        <f>IF(OR(B1777="",NOT(ISNUMBER(L1777))),"",IF(L1777&lt;=0,"",IFERROR(ROUND(L1777*N(INDEX(art_w,MATCH(H1777,art_ref,0))),3),"")))</f>
        <v/>
      </c>
      <c r="Q1777" s="59" t="n"/>
      <c r="R1777" s="54" t="n"/>
      <c r="S1777" s="59" t="n"/>
      <c r="T1777" s="59" t="n"/>
      <c r="U1777" s="64" t="str">
        <f>IF(OR(B1777="",H1777=""),"",IFERROR(IF(A1777="BL",IF(N(INDEX(art_price,MATCH(H1777,art_ref,0)))=0,"",N(INDEX(art_price,MATCH(H1777,art_ref,0)))),IF(N(INDEX(art_cost,MATCH(H1777,art_ref,0)))=0,"",N(INDEX(art_cost,MATCH(H1777,art_ref,0))))),""))</f>
        <v/>
      </c>
      <c r="V1777" s="64" t="str">
        <f>IF(OR(U1777="",NOT(ISNUMBER(L1777))),"",IF(L1777&lt;=0,"",ROUND(L1777*U1777,2)))</f>
        <v/>
      </c>
      <c r="W1777" s="60" t="str">
        <f>IF(AND(B1777&lt;&gt;"",A1777&lt;&gt;"BS",F1777&lt;&gt;"",H1777&lt;&gt;"",ISNUMBER(K1777),ISNUMBER(L1777)),IF(AND(K1777&gt;0,L1777&gt;0,K1777-L1777&gt;0,COUNTIFS(A1778:A$2005,A1777,F1778:F$2005,F1777,H1778:H$2005,H1777,AA1778:AA$2005,"&gt;0")=0),ROUND(K1777-L1777,6),""),"")</f>
        <v/>
      </c>
      <c r="X1777" s="60" t="str">
        <f>IF(AND(A1777="",C1777="",D1777="",H1777="",L1777=""),"",IF(A1777="","Type manquant",IF(AND(A1777&lt;&gt;"BL",A1777&lt;&gt;"BR",A1777&lt;&gt;"BS"),"Type inconnu (BL, BR ou BS)",IF(AG1777=0,"Date manquante ou invalide",IF(D1777="",IF(A1777="BL","Client manquant",IF(A1777="BR","Fournisseur manquant","Service manquant")),IF(IF(A1777="BL",ISNA(MATCH(D1777,cl_code,0)),IF(A1777="BR",ISNA(MATCH(D1777,fo_code,0)),ISNA(MATCH(D1777,p_services,0)))),IF(A1777="BL","Client inconnu",IF(A1777="BR","Fournisseur inconnu","Service inconnu")),IF(H1777="","Article manquant",IF(ISNA(MATCH(H1777,art_ref,0)),"Article inconnu",IF(OR(NOT(ISNUMBER(L1777)),N(L1777)&lt;=0),"Quantité invalide",IF(AND(K1777&lt;&gt;"",OR(NOT(ISNUMBER(K1777)),N(K1777)&lt;=0)),"Qté commandée invalide",IF(AG1777&lt;SUMPRODUCT(MAX((A$6:A1776=A1777)*AG$6:AG1776)),"Date antérieure au bon précédent",IF(AND(A1777&lt;&gt;"BR",ISNUMBER(M1777),N(M1777)&gt;0),IF(A1777="BL","Livré plus que commandé","Sorti plus que demandé"),"OK"))))))))))))</f>
        <v/>
      </c>
      <c r="Y1777" s="57" t="str">
        <f>IF(AND(OR(A1777="BL",A1777="BR",A1777="BS"),AG1777&gt;0,D1777&lt;&gt;""),A1777&amp;"|"&amp;AG1777&amp;"|"&amp;D1777&amp;"|"&amp;F1777,"")</f>
        <v/>
      </c>
      <c r="Z1777" s="57" t="str">
        <f>IF(Y1777="","",IF(COUNTIF(Y$6:Y1776,Y1777)=0,1,0))</f>
        <v/>
      </c>
      <c r="AA1777" s="57" t="str">
        <f>IF(Y1777="","",IF(Z1777=1,COUNTIFS(A$6:A1777,A1777,Z$6:Z1777,1),INDEX(AA$6:AA1776,MATCH(Y1777,Y$6:Y1776,0))))</f>
        <v/>
      </c>
      <c r="AB1777" s="57" t="str">
        <f>IF(B1777="","",COUNTIF(B$6:B1777,B1777))</f>
        <v/>
      </c>
      <c r="AC1777" s="57" t="str">
        <f>IF(B1777="","",B1777&amp;"#"&amp;AB1777)</f>
        <v/>
      </c>
      <c r="AD1777" s="57" t="str">
        <f>IF(Z1777=1,A1777&amp;AA1777,"")</f>
        <v/>
      </c>
      <c r="AE1777" s="57" t="str">
        <f>IF(B1777="","",YEAR(C1777))</f>
        <v/>
      </c>
      <c r="AF1777" s="57" t="str">
        <f>IF(B1777="","",MONTH(C1777))</f>
        <v/>
      </c>
      <c r="AG1777" s="57">
        <f>IF(ISNUMBER(C1777),C1777,0)</f>
        <v>0.0</v>
      </c>
      <c r="AH1777" s="57" t="str">
        <f>IF(N(W1777)&gt;0,COUNTIF(W$6:W1777,"&gt;0"),"")</f>
        <v/>
      </c>
      <c r="AI1777" s="57" t="str">
        <f>IF(Z1777=1,COUNTIF(Z$6:Z1777,1),"")</f>
        <v/>
      </c>
    </row>
    <row r="1778">
      <c r="A1778" s="54" t="n"/>
      <c r="B1778" s="55" t="str">
        <f>IF(AA1778="","",A1778&amp;"-"&amp;RIGHT("000"&amp;AA1778,4))</f>
        <v/>
      </c>
      <c r="C1778" s="56" t="n"/>
      <c r="D1778" s="54" t="n"/>
      <c r="E1778" s="57" t="str">
        <f>IF(D1778="","",IF(A1778="BL",IFERROR(INDEX(cl_name,MATCH(D1778,cl_code,0))&amp;"","Client inconnu"),IF(A1778="BR",IFERROR(INDEX(fo_name,MATCH(D1778,fo_code,0))&amp;"","Fournisseur inconnu"),IF(A1778="BS",IF(ISNA(MATCH(D1778,p_services,0)),"Service inconnu",D1778&amp;""),""))))</f>
        <v/>
      </c>
      <c r="F1778" s="58" t="n"/>
      <c r="G1778" s="58" t="n"/>
      <c r="H1778" s="59" t="n"/>
      <c r="I1778" s="57" t="str">
        <f>IF(H1778="","",IFERROR(INDEX(art_des,MATCH(H1778,art_ref,0))&amp;"","Article inconnu"))</f>
        <v/>
      </c>
      <c r="J1778" s="60" t="str">
        <f>IF(H1778="","",IFERROR(INDEX(art_unit,MATCH(H1778,art_ref,0))&amp;"",""))</f>
        <v/>
      </c>
      <c r="K1778" s="59" t="n"/>
      <c r="L1778" s="59" t="n"/>
      <c r="M1778" s="61" t="str">
        <f>IF(OR(B1778="",NOT(ISNUMBER(K1778)),NOT(ISNUMBER(L1778))),"",IF(OR(K1778&lt;=0,L1778&lt;=0),"",ROUND(L1778-K1778,6)))</f>
        <v/>
      </c>
      <c r="N1778" s="58" t="n"/>
      <c r="O1778" s="62" t="n"/>
      <c r="P1778" s="63" t="str">
        <f>IF(OR(B1778="",NOT(ISNUMBER(L1778))),"",IF(L1778&lt;=0,"",IFERROR(ROUND(L1778*N(INDEX(art_w,MATCH(H1778,art_ref,0))),3),"")))</f>
        <v/>
      </c>
      <c r="Q1778" s="59" t="n"/>
      <c r="R1778" s="54" t="n"/>
      <c r="S1778" s="59" t="n"/>
      <c r="T1778" s="59" t="n"/>
      <c r="U1778" s="64" t="str">
        <f>IF(OR(B1778="",H1778=""),"",IFERROR(IF(A1778="BL",IF(N(INDEX(art_price,MATCH(H1778,art_ref,0)))=0,"",N(INDEX(art_price,MATCH(H1778,art_ref,0)))),IF(N(INDEX(art_cost,MATCH(H1778,art_ref,0)))=0,"",N(INDEX(art_cost,MATCH(H1778,art_ref,0))))),""))</f>
        <v/>
      </c>
      <c r="V1778" s="64" t="str">
        <f>IF(OR(U1778="",NOT(ISNUMBER(L1778))),"",IF(L1778&lt;=0,"",ROUND(L1778*U1778,2)))</f>
        <v/>
      </c>
      <c r="W1778" s="60" t="str">
        <f>IF(AND(B1778&lt;&gt;"",A1778&lt;&gt;"BS",F1778&lt;&gt;"",H1778&lt;&gt;"",ISNUMBER(K1778),ISNUMBER(L1778)),IF(AND(K1778&gt;0,L1778&gt;0,K1778-L1778&gt;0,COUNTIFS(A1779:A$2005,A1778,F1779:F$2005,F1778,H1779:H$2005,H1778,AA1779:AA$2005,"&gt;0")=0),ROUND(K1778-L1778,6),""),"")</f>
        <v/>
      </c>
      <c r="X1778" s="60" t="str">
        <f>IF(AND(A1778="",C1778="",D1778="",H1778="",L1778=""),"",IF(A1778="","Type manquant",IF(AND(A1778&lt;&gt;"BL",A1778&lt;&gt;"BR",A1778&lt;&gt;"BS"),"Type inconnu (BL, BR ou BS)",IF(AG1778=0,"Date manquante ou invalide",IF(D1778="",IF(A1778="BL","Client manquant",IF(A1778="BR","Fournisseur manquant","Service manquant")),IF(IF(A1778="BL",ISNA(MATCH(D1778,cl_code,0)),IF(A1778="BR",ISNA(MATCH(D1778,fo_code,0)),ISNA(MATCH(D1778,p_services,0)))),IF(A1778="BL","Client inconnu",IF(A1778="BR","Fournisseur inconnu","Service inconnu")),IF(H1778="","Article manquant",IF(ISNA(MATCH(H1778,art_ref,0)),"Article inconnu",IF(OR(NOT(ISNUMBER(L1778)),N(L1778)&lt;=0),"Quantité invalide",IF(AND(K1778&lt;&gt;"",OR(NOT(ISNUMBER(K1778)),N(K1778)&lt;=0)),"Qté commandée invalide",IF(AG1778&lt;SUMPRODUCT(MAX((A$6:A1777=A1778)*AG$6:AG1777)),"Date antérieure au bon précédent",IF(AND(A1778&lt;&gt;"BR",ISNUMBER(M1778),N(M1778)&gt;0),IF(A1778="BL","Livré plus que commandé","Sorti plus que demandé"),"OK"))))))))))))</f>
        <v/>
      </c>
      <c r="Y1778" s="57" t="str">
        <f>IF(AND(OR(A1778="BL",A1778="BR",A1778="BS"),AG1778&gt;0,D1778&lt;&gt;""),A1778&amp;"|"&amp;AG1778&amp;"|"&amp;D1778&amp;"|"&amp;F1778,"")</f>
        <v/>
      </c>
      <c r="Z1778" s="57" t="str">
        <f>IF(Y1778="","",IF(COUNTIF(Y$6:Y1777,Y1778)=0,1,0))</f>
        <v/>
      </c>
      <c r="AA1778" s="57" t="str">
        <f>IF(Y1778="","",IF(Z1778=1,COUNTIFS(A$6:A1778,A1778,Z$6:Z1778,1),INDEX(AA$6:AA1777,MATCH(Y1778,Y$6:Y1777,0))))</f>
        <v/>
      </c>
      <c r="AB1778" s="57" t="str">
        <f>IF(B1778="","",COUNTIF(B$6:B1778,B1778))</f>
        <v/>
      </c>
      <c r="AC1778" s="57" t="str">
        <f>IF(B1778="","",B1778&amp;"#"&amp;AB1778)</f>
        <v/>
      </c>
      <c r="AD1778" s="57" t="str">
        <f>IF(Z1778=1,A1778&amp;AA1778,"")</f>
        <v/>
      </c>
      <c r="AE1778" s="57" t="str">
        <f>IF(B1778="","",YEAR(C1778))</f>
        <v/>
      </c>
      <c r="AF1778" s="57" t="str">
        <f>IF(B1778="","",MONTH(C1778))</f>
        <v/>
      </c>
      <c r="AG1778" s="57">
        <f>IF(ISNUMBER(C1778),C1778,0)</f>
        <v>0.0</v>
      </c>
      <c r="AH1778" s="57" t="str">
        <f>IF(N(W1778)&gt;0,COUNTIF(W$6:W1778,"&gt;0"),"")</f>
        <v/>
      </c>
      <c r="AI1778" s="57" t="str">
        <f>IF(Z1778=1,COUNTIF(Z$6:Z1778,1),"")</f>
        <v/>
      </c>
    </row>
    <row r="1779">
      <c r="A1779" s="54" t="n"/>
      <c r="B1779" s="55" t="str">
        <f>IF(AA1779="","",A1779&amp;"-"&amp;RIGHT("000"&amp;AA1779,4))</f>
        <v/>
      </c>
      <c r="C1779" s="56" t="n"/>
      <c r="D1779" s="54" t="n"/>
      <c r="E1779" s="57" t="str">
        <f>IF(D1779="","",IF(A1779="BL",IFERROR(INDEX(cl_name,MATCH(D1779,cl_code,0))&amp;"","Client inconnu"),IF(A1779="BR",IFERROR(INDEX(fo_name,MATCH(D1779,fo_code,0))&amp;"","Fournisseur inconnu"),IF(A1779="BS",IF(ISNA(MATCH(D1779,p_services,0)),"Service inconnu",D1779&amp;""),""))))</f>
        <v/>
      </c>
      <c r="F1779" s="58" t="n"/>
      <c r="G1779" s="58" t="n"/>
      <c r="H1779" s="59" t="n"/>
      <c r="I1779" s="57" t="str">
        <f>IF(H1779="","",IFERROR(INDEX(art_des,MATCH(H1779,art_ref,0))&amp;"","Article inconnu"))</f>
        <v/>
      </c>
      <c r="J1779" s="60" t="str">
        <f>IF(H1779="","",IFERROR(INDEX(art_unit,MATCH(H1779,art_ref,0))&amp;"",""))</f>
        <v/>
      </c>
      <c r="K1779" s="59" t="n"/>
      <c r="L1779" s="59" t="n"/>
      <c r="M1779" s="61" t="str">
        <f>IF(OR(B1779="",NOT(ISNUMBER(K1779)),NOT(ISNUMBER(L1779))),"",IF(OR(K1779&lt;=0,L1779&lt;=0),"",ROUND(L1779-K1779,6)))</f>
        <v/>
      </c>
      <c r="N1779" s="58" t="n"/>
      <c r="O1779" s="62" t="n"/>
      <c r="P1779" s="63" t="str">
        <f>IF(OR(B1779="",NOT(ISNUMBER(L1779))),"",IF(L1779&lt;=0,"",IFERROR(ROUND(L1779*N(INDEX(art_w,MATCH(H1779,art_ref,0))),3),"")))</f>
        <v/>
      </c>
      <c r="Q1779" s="59" t="n"/>
      <c r="R1779" s="54" t="n"/>
      <c r="S1779" s="59" t="n"/>
      <c r="T1779" s="59" t="n"/>
      <c r="U1779" s="64" t="str">
        <f>IF(OR(B1779="",H1779=""),"",IFERROR(IF(A1779="BL",IF(N(INDEX(art_price,MATCH(H1779,art_ref,0)))=0,"",N(INDEX(art_price,MATCH(H1779,art_ref,0)))),IF(N(INDEX(art_cost,MATCH(H1779,art_ref,0)))=0,"",N(INDEX(art_cost,MATCH(H1779,art_ref,0))))),""))</f>
        <v/>
      </c>
      <c r="V1779" s="64" t="str">
        <f>IF(OR(U1779="",NOT(ISNUMBER(L1779))),"",IF(L1779&lt;=0,"",ROUND(L1779*U1779,2)))</f>
        <v/>
      </c>
      <c r="W1779" s="60" t="str">
        <f>IF(AND(B1779&lt;&gt;"",A1779&lt;&gt;"BS",F1779&lt;&gt;"",H1779&lt;&gt;"",ISNUMBER(K1779),ISNUMBER(L1779)),IF(AND(K1779&gt;0,L1779&gt;0,K1779-L1779&gt;0,COUNTIFS(A1780:A$2005,A1779,F1780:F$2005,F1779,H1780:H$2005,H1779,AA1780:AA$2005,"&gt;0")=0),ROUND(K1779-L1779,6),""),"")</f>
        <v/>
      </c>
      <c r="X1779" s="60" t="str">
        <f>IF(AND(A1779="",C1779="",D1779="",H1779="",L1779=""),"",IF(A1779="","Type manquant",IF(AND(A1779&lt;&gt;"BL",A1779&lt;&gt;"BR",A1779&lt;&gt;"BS"),"Type inconnu (BL, BR ou BS)",IF(AG1779=0,"Date manquante ou invalide",IF(D1779="",IF(A1779="BL","Client manquant",IF(A1779="BR","Fournisseur manquant","Service manquant")),IF(IF(A1779="BL",ISNA(MATCH(D1779,cl_code,0)),IF(A1779="BR",ISNA(MATCH(D1779,fo_code,0)),ISNA(MATCH(D1779,p_services,0)))),IF(A1779="BL","Client inconnu",IF(A1779="BR","Fournisseur inconnu","Service inconnu")),IF(H1779="","Article manquant",IF(ISNA(MATCH(H1779,art_ref,0)),"Article inconnu",IF(OR(NOT(ISNUMBER(L1779)),N(L1779)&lt;=0),"Quantité invalide",IF(AND(K1779&lt;&gt;"",OR(NOT(ISNUMBER(K1779)),N(K1779)&lt;=0)),"Qté commandée invalide",IF(AG1779&lt;SUMPRODUCT(MAX((A$6:A1778=A1779)*AG$6:AG1778)),"Date antérieure au bon précédent",IF(AND(A1779&lt;&gt;"BR",ISNUMBER(M1779),N(M1779)&gt;0),IF(A1779="BL","Livré plus que commandé","Sorti plus que demandé"),"OK"))))))))))))</f>
        <v/>
      </c>
      <c r="Y1779" s="57" t="str">
        <f>IF(AND(OR(A1779="BL",A1779="BR",A1779="BS"),AG1779&gt;0,D1779&lt;&gt;""),A1779&amp;"|"&amp;AG1779&amp;"|"&amp;D1779&amp;"|"&amp;F1779,"")</f>
        <v/>
      </c>
      <c r="Z1779" s="57" t="str">
        <f>IF(Y1779="","",IF(COUNTIF(Y$6:Y1778,Y1779)=0,1,0))</f>
        <v/>
      </c>
      <c r="AA1779" s="57" t="str">
        <f>IF(Y1779="","",IF(Z1779=1,COUNTIFS(A$6:A1779,A1779,Z$6:Z1779,1),INDEX(AA$6:AA1778,MATCH(Y1779,Y$6:Y1778,0))))</f>
        <v/>
      </c>
      <c r="AB1779" s="57" t="str">
        <f>IF(B1779="","",COUNTIF(B$6:B1779,B1779))</f>
        <v/>
      </c>
      <c r="AC1779" s="57" t="str">
        <f>IF(B1779="","",B1779&amp;"#"&amp;AB1779)</f>
        <v/>
      </c>
      <c r="AD1779" s="57" t="str">
        <f>IF(Z1779=1,A1779&amp;AA1779,"")</f>
        <v/>
      </c>
      <c r="AE1779" s="57" t="str">
        <f>IF(B1779="","",YEAR(C1779))</f>
        <v/>
      </c>
      <c r="AF1779" s="57" t="str">
        <f>IF(B1779="","",MONTH(C1779))</f>
        <v/>
      </c>
      <c r="AG1779" s="57">
        <f>IF(ISNUMBER(C1779),C1779,0)</f>
        <v>0.0</v>
      </c>
      <c r="AH1779" s="57" t="str">
        <f>IF(N(W1779)&gt;0,COUNTIF(W$6:W1779,"&gt;0"),"")</f>
        <v/>
      </c>
      <c r="AI1779" s="57" t="str">
        <f>IF(Z1779=1,COUNTIF(Z$6:Z1779,1),"")</f>
        <v/>
      </c>
    </row>
    <row r="1780">
      <c r="A1780" s="54" t="n"/>
      <c r="B1780" s="55" t="str">
        <f>IF(AA1780="","",A1780&amp;"-"&amp;RIGHT("000"&amp;AA1780,4))</f>
        <v/>
      </c>
      <c r="C1780" s="56" t="n"/>
      <c r="D1780" s="54" t="n"/>
      <c r="E1780" s="57" t="str">
        <f>IF(D1780="","",IF(A1780="BL",IFERROR(INDEX(cl_name,MATCH(D1780,cl_code,0))&amp;"","Client inconnu"),IF(A1780="BR",IFERROR(INDEX(fo_name,MATCH(D1780,fo_code,0))&amp;"","Fournisseur inconnu"),IF(A1780="BS",IF(ISNA(MATCH(D1780,p_services,0)),"Service inconnu",D1780&amp;""),""))))</f>
        <v/>
      </c>
      <c r="F1780" s="58" t="n"/>
      <c r="G1780" s="58" t="n"/>
      <c r="H1780" s="59" t="n"/>
      <c r="I1780" s="57" t="str">
        <f>IF(H1780="","",IFERROR(INDEX(art_des,MATCH(H1780,art_ref,0))&amp;"","Article inconnu"))</f>
        <v/>
      </c>
      <c r="J1780" s="60" t="str">
        <f>IF(H1780="","",IFERROR(INDEX(art_unit,MATCH(H1780,art_ref,0))&amp;"",""))</f>
        <v/>
      </c>
      <c r="K1780" s="59" t="n"/>
      <c r="L1780" s="59" t="n"/>
      <c r="M1780" s="61" t="str">
        <f>IF(OR(B1780="",NOT(ISNUMBER(K1780)),NOT(ISNUMBER(L1780))),"",IF(OR(K1780&lt;=0,L1780&lt;=0),"",ROUND(L1780-K1780,6)))</f>
        <v/>
      </c>
      <c r="N1780" s="58" t="n"/>
      <c r="O1780" s="62" t="n"/>
      <c r="P1780" s="63" t="str">
        <f>IF(OR(B1780="",NOT(ISNUMBER(L1780))),"",IF(L1780&lt;=0,"",IFERROR(ROUND(L1780*N(INDEX(art_w,MATCH(H1780,art_ref,0))),3),"")))</f>
        <v/>
      </c>
      <c r="Q1780" s="59" t="n"/>
      <c r="R1780" s="54" t="n"/>
      <c r="S1780" s="59" t="n"/>
      <c r="T1780" s="59" t="n"/>
      <c r="U1780" s="64" t="str">
        <f>IF(OR(B1780="",H1780=""),"",IFERROR(IF(A1780="BL",IF(N(INDEX(art_price,MATCH(H1780,art_ref,0)))=0,"",N(INDEX(art_price,MATCH(H1780,art_ref,0)))),IF(N(INDEX(art_cost,MATCH(H1780,art_ref,0)))=0,"",N(INDEX(art_cost,MATCH(H1780,art_ref,0))))),""))</f>
        <v/>
      </c>
      <c r="V1780" s="64" t="str">
        <f>IF(OR(U1780="",NOT(ISNUMBER(L1780))),"",IF(L1780&lt;=0,"",ROUND(L1780*U1780,2)))</f>
        <v/>
      </c>
      <c r="W1780" s="60" t="str">
        <f>IF(AND(B1780&lt;&gt;"",A1780&lt;&gt;"BS",F1780&lt;&gt;"",H1780&lt;&gt;"",ISNUMBER(K1780),ISNUMBER(L1780)),IF(AND(K1780&gt;0,L1780&gt;0,K1780-L1780&gt;0,COUNTIFS(A1781:A$2005,A1780,F1781:F$2005,F1780,H1781:H$2005,H1780,AA1781:AA$2005,"&gt;0")=0),ROUND(K1780-L1780,6),""),"")</f>
        <v/>
      </c>
      <c r="X1780" s="60" t="str">
        <f>IF(AND(A1780="",C1780="",D1780="",H1780="",L1780=""),"",IF(A1780="","Type manquant",IF(AND(A1780&lt;&gt;"BL",A1780&lt;&gt;"BR",A1780&lt;&gt;"BS"),"Type inconnu (BL, BR ou BS)",IF(AG1780=0,"Date manquante ou invalide",IF(D1780="",IF(A1780="BL","Client manquant",IF(A1780="BR","Fournisseur manquant","Service manquant")),IF(IF(A1780="BL",ISNA(MATCH(D1780,cl_code,0)),IF(A1780="BR",ISNA(MATCH(D1780,fo_code,0)),ISNA(MATCH(D1780,p_services,0)))),IF(A1780="BL","Client inconnu",IF(A1780="BR","Fournisseur inconnu","Service inconnu")),IF(H1780="","Article manquant",IF(ISNA(MATCH(H1780,art_ref,0)),"Article inconnu",IF(OR(NOT(ISNUMBER(L1780)),N(L1780)&lt;=0),"Quantité invalide",IF(AND(K1780&lt;&gt;"",OR(NOT(ISNUMBER(K1780)),N(K1780)&lt;=0)),"Qté commandée invalide",IF(AG1780&lt;SUMPRODUCT(MAX((A$6:A1779=A1780)*AG$6:AG1779)),"Date antérieure au bon précédent",IF(AND(A1780&lt;&gt;"BR",ISNUMBER(M1780),N(M1780)&gt;0),IF(A1780="BL","Livré plus que commandé","Sorti plus que demandé"),"OK"))))))))))))</f>
        <v/>
      </c>
      <c r="Y1780" s="57" t="str">
        <f>IF(AND(OR(A1780="BL",A1780="BR",A1780="BS"),AG1780&gt;0,D1780&lt;&gt;""),A1780&amp;"|"&amp;AG1780&amp;"|"&amp;D1780&amp;"|"&amp;F1780,"")</f>
        <v/>
      </c>
      <c r="Z1780" s="57" t="str">
        <f>IF(Y1780="","",IF(COUNTIF(Y$6:Y1779,Y1780)=0,1,0))</f>
        <v/>
      </c>
      <c r="AA1780" s="57" t="str">
        <f>IF(Y1780="","",IF(Z1780=1,COUNTIFS(A$6:A1780,A1780,Z$6:Z1780,1),INDEX(AA$6:AA1779,MATCH(Y1780,Y$6:Y1779,0))))</f>
        <v/>
      </c>
      <c r="AB1780" s="57" t="str">
        <f>IF(B1780="","",COUNTIF(B$6:B1780,B1780))</f>
        <v/>
      </c>
      <c r="AC1780" s="57" t="str">
        <f>IF(B1780="","",B1780&amp;"#"&amp;AB1780)</f>
        <v/>
      </c>
      <c r="AD1780" s="57" t="str">
        <f>IF(Z1780=1,A1780&amp;AA1780,"")</f>
        <v/>
      </c>
      <c r="AE1780" s="57" t="str">
        <f>IF(B1780="","",YEAR(C1780))</f>
        <v/>
      </c>
      <c r="AF1780" s="57" t="str">
        <f>IF(B1780="","",MONTH(C1780))</f>
        <v/>
      </c>
      <c r="AG1780" s="57">
        <f>IF(ISNUMBER(C1780),C1780,0)</f>
        <v>0.0</v>
      </c>
      <c r="AH1780" s="57" t="str">
        <f>IF(N(W1780)&gt;0,COUNTIF(W$6:W1780,"&gt;0"),"")</f>
        <v/>
      </c>
      <c r="AI1780" s="57" t="str">
        <f>IF(Z1780=1,COUNTIF(Z$6:Z1780,1),"")</f>
        <v/>
      </c>
    </row>
    <row r="1781">
      <c r="A1781" s="54" t="n"/>
      <c r="B1781" s="55" t="str">
        <f>IF(AA1781="","",A1781&amp;"-"&amp;RIGHT("000"&amp;AA1781,4))</f>
        <v/>
      </c>
      <c r="C1781" s="56" t="n"/>
      <c r="D1781" s="54" t="n"/>
      <c r="E1781" s="57" t="str">
        <f>IF(D1781="","",IF(A1781="BL",IFERROR(INDEX(cl_name,MATCH(D1781,cl_code,0))&amp;"","Client inconnu"),IF(A1781="BR",IFERROR(INDEX(fo_name,MATCH(D1781,fo_code,0))&amp;"","Fournisseur inconnu"),IF(A1781="BS",IF(ISNA(MATCH(D1781,p_services,0)),"Service inconnu",D1781&amp;""),""))))</f>
        <v/>
      </c>
      <c r="F1781" s="58" t="n"/>
      <c r="G1781" s="58" t="n"/>
      <c r="H1781" s="59" t="n"/>
      <c r="I1781" s="57" t="str">
        <f>IF(H1781="","",IFERROR(INDEX(art_des,MATCH(H1781,art_ref,0))&amp;"","Article inconnu"))</f>
        <v/>
      </c>
      <c r="J1781" s="60" t="str">
        <f>IF(H1781="","",IFERROR(INDEX(art_unit,MATCH(H1781,art_ref,0))&amp;"",""))</f>
        <v/>
      </c>
      <c r="K1781" s="59" t="n"/>
      <c r="L1781" s="59" t="n"/>
      <c r="M1781" s="61" t="str">
        <f>IF(OR(B1781="",NOT(ISNUMBER(K1781)),NOT(ISNUMBER(L1781))),"",IF(OR(K1781&lt;=0,L1781&lt;=0),"",ROUND(L1781-K1781,6)))</f>
        <v/>
      </c>
      <c r="N1781" s="58" t="n"/>
      <c r="O1781" s="62" t="n"/>
      <c r="P1781" s="63" t="str">
        <f>IF(OR(B1781="",NOT(ISNUMBER(L1781))),"",IF(L1781&lt;=0,"",IFERROR(ROUND(L1781*N(INDEX(art_w,MATCH(H1781,art_ref,0))),3),"")))</f>
        <v/>
      </c>
      <c r="Q1781" s="59" t="n"/>
      <c r="R1781" s="54" t="n"/>
      <c r="S1781" s="59" t="n"/>
      <c r="T1781" s="59" t="n"/>
      <c r="U1781" s="64" t="str">
        <f>IF(OR(B1781="",H1781=""),"",IFERROR(IF(A1781="BL",IF(N(INDEX(art_price,MATCH(H1781,art_ref,0)))=0,"",N(INDEX(art_price,MATCH(H1781,art_ref,0)))),IF(N(INDEX(art_cost,MATCH(H1781,art_ref,0)))=0,"",N(INDEX(art_cost,MATCH(H1781,art_ref,0))))),""))</f>
        <v/>
      </c>
      <c r="V1781" s="64" t="str">
        <f>IF(OR(U1781="",NOT(ISNUMBER(L1781))),"",IF(L1781&lt;=0,"",ROUND(L1781*U1781,2)))</f>
        <v/>
      </c>
      <c r="W1781" s="60" t="str">
        <f>IF(AND(B1781&lt;&gt;"",A1781&lt;&gt;"BS",F1781&lt;&gt;"",H1781&lt;&gt;"",ISNUMBER(K1781),ISNUMBER(L1781)),IF(AND(K1781&gt;0,L1781&gt;0,K1781-L1781&gt;0,COUNTIFS(A1782:A$2005,A1781,F1782:F$2005,F1781,H1782:H$2005,H1781,AA1782:AA$2005,"&gt;0")=0),ROUND(K1781-L1781,6),""),"")</f>
        <v/>
      </c>
      <c r="X1781" s="60" t="str">
        <f>IF(AND(A1781="",C1781="",D1781="",H1781="",L1781=""),"",IF(A1781="","Type manquant",IF(AND(A1781&lt;&gt;"BL",A1781&lt;&gt;"BR",A1781&lt;&gt;"BS"),"Type inconnu (BL, BR ou BS)",IF(AG1781=0,"Date manquante ou invalide",IF(D1781="",IF(A1781="BL","Client manquant",IF(A1781="BR","Fournisseur manquant","Service manquant")),IF(IF(A1781="BL",ISNA(MATCH(D1781,cl_code,0)),IF(A1781="BR",ISNA(MATCH(D1781,fo_code,0)),ISNA(MATCH(D1781,p_services,0)))),IF(A1781="BL","Client inconnu",IF(A1781="BR","Fournisseur inconnu","Service inconnu")),IF(H1781="","Article manquant",IF(ISNA(MATCH(H1781,art_ref,0)),"Article inconnu",IF(OR(NOT(ISNUMBER(L1781)),N(L1781)&lt;=0),"Quantité invalide",IF(AND(K1781&lt;&gt;"",OR(NOT(ISNUMBER(K1781)),N(K1781)&lt;=0)),"Qté commandée invalide",IF(AG1781&lt;SUMPRODUCT(MAX((A$6:A1780=A1781)*AG$6:AG1780)),"Date antérieure au bon précédent",IF(AND(A1781&lt;&gt;"BR",ISNUMBER(M1781),N(M1781)&gt;0),IF(A1781="BL","Livré plus que commandé","Sorti plus que demandé"),"OK"))))))))))))</f>
        <v/>
      </c>
      <c r="Y1781" s="57" t="str">
        <f>IF(AND(OR(A1781="BL",A1781="BR",A1781="BS"),AG1781&gt;0,D1781&lt;&gt;""),A1781&amp;"|"&amp;AG1781&amp;"|"&amp;D1781&amp;"|"&amp;F1781,"")</f>
        <v/>
      </c>
      <c r="Z1781" s="57" t="str">
        <f>IF(Y1781="","",IF(COUNTIF(Y$6:Y1780,Y1781)=0,1,0))</f>
        <v/>
      </c>
      <c r="AA1781" s="57" t="str">
        <f>IF(Y1781="","",IF(Z1781=1,COUNTIFS(A$6:A1781,A1781,Z$6:Z1781,1),INDEX(AA$6:AA1780,MATCH(Y1781,Y$6:Y1780,0))))</f>
        <v/>
      </c>
      <c r="AB1781" s="57" t="str">
        <f>IF(B1781="","",COUNTIF(B$6:B1781,B1781))</f>
        <v/>
      </c>
      <c r="AC1781" s="57" t="str">
        <f>IF(B1781="","",B1781&amp;"#"&amp;AB1781)</f>
        <v/>
      </c>
      <c r="AD1781" s="57" t="str">
        <f>IF(Z1781=1,A1781&amp;AA1781,"")</f>
        <v/>
      </c>
      <c r="AE1781" s="57" t="str">
        <f>IF(B1781="","",YEAR(C1781))</f>
        <v/>
      </c>
      <c r="AF1781" s="57" t="str">
        <f>IF(B1781="","",MONTH(C1781))</f>
        <v/>
      </c>
      <c r="AG1781" s="57">
        <f>IF(ISNUMBER(C1781),C1781,0)</f>
        <v>0.0</v>
      </c>
      <c r="AH1781" s="57" t="str">
        <f>IF(N(W1781)&gt;0,COUNTIF(W$6:W1781,"&gt;0"),"")</f>
        <v/>
      </c>
      <c r="AI1781" s="57" t="str">
        <f>IF(Z1781=1,COUNTIF(Z$6:Z1781,1),"")</f>
        <v/>
      </c>
    </row>
    <row r="1782">
      <c r="A1782" s="54" t="n"/>
      <c r="B1782" s="55" t="str">
        <f>IF(AA1782="","",A1782&amp;"-"&amp;RIGHT("000"&amp;AA1782,4))</f>
        <v/>
      </c>
      <c r="C1782" s="56" t="n"/>
      <c r="D1782" s="54" t="n"/>
      <c r="E1782" s="57" t="str">
        <f>IF(D1782="","",IF(A1782="BL",IFERROR(INDEX(cl_name,MATCH(D1782,cl_code,0))&amp;"","Client inconnu"),IF(A1782="BR",IFERROR(INDEX(fo_name,MATCH(D1782,fo_code,0))&amp;"","Fournisseur inconnu"),IF(A1782="BS",IF(ISNA(MATCH(D1782,p_services,0)),"Service inconnu",D1782&amp;""),""))))</f>
        <v/>
      </c>
      <c r="F1782" s="58" t="n"/>
      <c r="G1782" s="58" t="n"/>
      <c r="H1782" s="59" t="n"/>
      <c r="I1782" s="57" t="str">
        <f>IF(H1782="","",IFERROR(INDEX(art_des,MATCH(H1782,art_ref,0))&amp;"","Article inconnu"))</f>
        <v/>
      </c>
      <c r="J1782" s="60" t="str">
        <f>IF(H1782="","",IFERROR(INDEX(art_unit,MATCH(H1782,art_ref,0))&amp;"",""))</f>
        <v/>
      </c>
      <c r="K1782" s="59" t="n"/>
      <c r="L1782" s="59" t="n"/>
      <c r="M1782" s="61" t="str">
        <f>IF(OR(B1782="",NOT(ISNUMBER(K1782)),NOT(ISNUMBER(L1782))),"",IF(OR(K1782&lt;=0,L1782&lt;=0),"",ROUND(L1782-K1782,6)))</f>
        <v/>
      </c>
      <c r="N1782" s="58" t="n"/>
      <c r="O1782" s="62" t="n"/>
      <c r="P1782" s="63" t="str">
        <f>IF(OR(B1782="",NOT(ISNUMBER(L1782))),"",IF(L1782&lt;=0,"",IFERROR(ROUND(L1782*N(INDEX(art_w,MATCH(H1782,art_ref,0))),3),"")))</f>
        <v/>
      </c>
      <c r="Q1782" s="59" t="n"/>
      <c r="R1782" s="54" t="n"/>
      <c r="S1782" s="59" t="n"/>
      <c r="T1782" s="59" t="n"/>
      <c r="U1782" s="64" t="str">
        <f>IF(OR(B1782="",H1782=""),"",IFERROR(IF(A1782="BL",IF(N(INDEX(art_price,MATCH(H1782,art_ref,0)))=0,"",N(INDEX(art_price,MATCH(H1782,art_ref,0)))),IF(N(INDEX(art_cost,MATCH(H1782,art_ref,0)))=0,"",N(INDEX(art_cost,MATCH(H1782,art_ref,0))))),""))</f>
        <v/>
      </c>
      <c r="V1782" s="64" t="str">
        <f>IF(OR(U1782="",NOT(ISNUMBER(L1782))),"",IF(L1782&lt;=0,"",ROUND(L1782*U1782,2)))</f>
        <v/>
      </c>
      <c r="W1782" s="60" t="str">
        <f>IF(AND(B1782&lt;&gt;"",A1782&lt;&gt;"BS",F1782&lt;&gt;"",H1782&lt;&gt;"",ISNUMBER(K1782),ISNUMBER(L1782)),IF(AND(K1782&gt;0,L1782&gt;0,K1782-L1782&gt;0,COUNTIFS(A1783:A$2005,A1782,F1783:F$2005,F1782,H1783:H$2005,H1782,AA1783:AA$2005,"&gt;0")=0),ROUND(K1782-L1782,6),""),"")</f>
        <v/>
      </c>
      <c r="X1782" s="60" t="str">
        <f>IF(AND(A1782="",C1782="",D1782="",H1782="",L1782=""),"",IF(A1782="","Type manquant",IF(AND(A1782&lt;&gt;"BL",A1782&lt;&gt;"BR",A1782&lt;&gt;"BS"),"Type inconnu (BL, BR ou BS)",IF(AG1782=0,"Date manquante ou invalide",IF(D1782="",IF(A1782="BL","Client manquant",IF(A1782="BR","Fournisseur manquant","Service manquant")),IF(IF(A1782="BL",ISNA(MATCH(D1782,cl_code,0)),IF(A1782="BR",ISNA(MATCH(D1782,fo_code,0)),ISNA(MATCH(D1782,p_services,0)))),IF(A1782="BL","Client inconnu",IF(A1782="BR","Fournisseur inconnu","Service inconnu")),IF(H1782="","Article manquant",IF(ISNA(MATCH(H1782,art_ref,0)),"Article inconnu",IF(OR(NOT(ISNUMBER(L1782)),N(L1782)&lt;=0),"Quantité invalide",IF(AND(K1782&lt;&gt;"",OR(NOT(ISNUMBER(K1782)),N(K1782)&lt;=0)),"Qté commandée invalide",IF(AG1782&lt;SUMPRODUCT(MAX((A$6:A1781=A1782)*AG$6:AG1781)),"Date antérieure au bon précédent",IF(AND(A1782&lt;&gt;"BR",ISNUMBER(M1782),N(M1782)&gt;0),IF(A1782="BL","Livré plus que commandé","Sorti plus que demandé"),"OK"))))))))))))</f>
        <v/>
      </c>
      <c r="Y1782" s="57" t="str">
        <f>IF(AND(OR(A1782="BL",A1782="BR",A1782="BS"),AG1782&gt;0,D1782&lt;&gt;""),A1782&amp;"|"&amp;AG1782&amp;"|"&amp;D1782&amp;"|"&amp;F1782,"")</f>
        <v/>
      </c>
      <c r="Z1782" s="57" t="str">
        <f>IF(Y1782="","",IF(COUNTIF(Y$6:Y1781,Y1782)=0,1,0))</f>
        <v/>
      </c>
      <c r="AA1782" s="57" t="str">
        <f>IF(Y1782="","",IF(Z1782=1,COUNTIFS(A$6:A1782,A1782,Z$6:Z1782,1),INDEX(AA$6:AA1781,MATCH(Y1782,Y$6:Y1781,0))))</f>
        <v/>
      </c>
      <c r="AB1782" s="57" t="str">
        <f>IF(B1782="","",COUNTIF(B$6:B1782,B1782))</f>
        <v/>
      </c>
      <c r="AC1782" s="57" t="str">
        <f>IF(B1782="","",B1782&amp;"#"&amp;AB1782)</f>
        <v/>
      </c>
      <c r="AD1782" s="57" t="str">
        <f>IF(Z1782=1,A1782&amp;AA1782,"")</f>
        <v/>
      </c>
      <c r="AE1782" s="57" t="str">
        <f>IF(B1782="","",YEAR(C1782))</f>
        <v/>
      </c>
      <c r="AF1782" s="57" t="str">
        <f>IF(B1782="","",MONTH(C1782))</f>
        <v/>
      </c>
      <c r="AG1782" s="57">
        <f>IF(ISNUMBER(C1782),C1782,0)</f>
        <v>0.0</v>
      </c>
      <c r="AH1782" s="57" t="str">
        <f>IF(N(W1782)&gt;0,COUNTIF(W$6:W1782,"&gt;0"),"")</f>
        <v/>
      </c>
      <c r="AI1782" s="57" t="str">
        <f>IF(Z1782=1,COUNTIF(Z$6:Z1782,1),"")</f>
        <v/>
      </c>
    </row>
    <row r="1783">
      <c r="A1783" s="54" t="n"/>
      <c r="B1783" s="55" t="str">
        <f>IF(AA1783="","",A1783&amp;"-"&amp;RIGHT("000"&amp;AA1783,4))</f>
        <v/>
      </c>
      <c r="C1783" s="56" t="n"/>
      <c r="D1783" s="54" t="n"/>
      <c r="E1783" s="57" t="str">
        <f>IF(D1783="","",IF(A1783="BL",IFERROR(INDEX(cl_name,MATCH(D1783,cl_code,0))&amp;"","Client inconnu"),IF(A1783="BR",IFERROR(INDEX(fo_name,MATCH(D1783,fo_code,0))&amp;"","Fournisseur inconnu"),IF(A1783="BS",IF(ISNA(MATCH(D1783,p_services,0)),"Service inconnu",D1783&amp;""),""))))</f>
        <v/>
      </c>
      <c r="F1783" s="58" t="n"/>
      <c r="G1783" s="58" t="n"/>
      <c r="H1783" s="59" t="n"/>
      <c r="I1783" s="57" t="str">
        <f>IF(H1783="","",IFERROR(INDEX(art_des,MATCH(H1783,art_ref,0))&amp;"","Article inconnu"))</f>
        <v/>
      </c>
      <c r="J1783" s="60" t="str">
        <f>IF(H1783="","",IFERROR(INDEX(art_unit,MATCH(H1783,art_ref,0))&amp;"",""))</f>
        <v/>
      </c>
      <c r="K1783" s="59" t="n"/>
      <c r="L1783" s="59" t="n"/>
      <c r="M1783" s="61" t="str">
        <f>IF(OR(B1783="",NOT(ISNUMBER(K1783)),NOT(ISNUMBER(L1783))),"",IF(OR(K1783&lt;=0,L1783&lt;=0),"",ROUND(L1783-K1783,6)))</f>
        <v/>
      </c>
      <c r="N1783" s="58" t="n"/>
      <c r="O1783" s="62" t="n"/>
      <c r="P1783" s="63" t="str">
        <f>IF(OR(B1783="",NOT(ISNUMBER(L1783))),"",IF(L1783&lt;=0,"",IFERROR(ROUND(L1783*N(INDEX(art_w,MATCH(H1783,art_ref,0))),3),"")))</f>
        <v/>
      </c>
      <c r="Q1783" s="59" t="n"/>
      <c r="R1783" s="54" t="n"/>
      <c r="S1783" s="59" t="n"/>
      <c r="T1783" s="59" t="n"/>
      <c r="U1783" s="64" t="str">
        <f>IF(OR(B1783="",H1783=""),"",IFERROR(IF(A1783="BL",IF(N(INDEX(art_price,MATCH(H1783,art_ref,0)))=0,"",N(INDEX(art_price,MATCH(H1783,art_ref,0)))),IF(N(INDEX(art_cost,MATCH(H1783,art_ref,0)))=0,"",N(INDEX(art_cost,MATCH(H1783,art_ref,0))))),""))</f>
        <v/>
      </c>
      <c r="V1783" s="64" t="str">
        <f>IF(OR(U1783="",NOT(ISNUMBER(L1783))),"",IF(L1783&lt;=0,"",ROUND(L1783*U1783,2)))</f>
        <v/>
      </c>
      <c r="W1783" s="60" t="str">
        <f>IF(AND(B1783&lt;&gt;"",A1783&lt;&gt;"BS",F1783&lt;&gt;"",H1783&lt;&gt;"",ISNUMBER(K1783),ISNUMBER(L1783)),IF(AND(K1783&gt;0,L1783&gt;0,K1783-L1783&gt;0,COUNTIFS(A1784:A$2005,A1783,F1784:F$2005,F1783,H1784:H$2005,H1783,AA1784:AA$2005,"&gt;0")=0),ROUND(K1783-L1783,6),""),"")</f>
        <v/>
      </c>
      <c r="X1783" s="60" t="str">
        <f>IF(AND(A1783="",C1783="",D1783="",H1783="",L1783=""),"",IF(A1783="","Type manquant",IF(AND(A1783&lt;&gt;"BL",A1783&lt;&gt;"BR",A1783&lt;&gt;"BS"),"Type inconnu (BL, BR ou BS)",IF(AG1783=0,"Date manquante ou invalide",IF(D1783="",IF(A1783="BL","Client manquant",IF(A1783="BR","Fournisseur manquant","Service manquant")),IF(IF(A1783="BL",ISNA(MATCH(D1783,cl_code,0)),IF(A1783="BR",ISNA(MATCH(D1783,fo_code,0)),ISNA(MATCH(D1783,p_services,0)))),IF(A1783="BL","Client inconnu",IF(A1783="BR","Fournisseur inconnu","Service inconnu")),IF(H1783="","Article manquant",IF(ISNA(MATCH(H1783,art_ref,0)),"Article inconnu",IF(OR(NOT(ISNUMBER(L1783)),N(L1783)&lt;=0),"Quantité invalide",IF(AND(K1783&lt;&gt;"",OR(NOT(ISNUMBER(K1783)),N(K1783)&lt;=0)),"Qté commandée invalide",IF(AG1783&lt;SUMPRODUCT(MAX((A$6:A1782=A1783)*AG$6:AG1782)),"Date antérieure au bon précédent",IF(AND(A1783&lt;&gt;"BR",ISNUMBER(M1783),N(M1783)&gt;0),IF(A1783="BL","Livré plus que commandé","Sorti plus que demandé"),"OK"))))))))))))</f>
        <v/>
      </c>
      <c r="Y1783" s="57" t="str">
        <f>IF(AND(OR(A1783="BL",A1783="BR",A1783="BS"),AG1783&gt;0,D1783&lt;&gt;""),A1783&amp;"|"&amp;AG1783&amp;"|"&amp;D1783&amp;"|"&amp;F1783,"")</f>
        <v/>
      </c>
      <c r="Z1783" s="57" t="str">
        <f>IF(Y1783="","",IF(COUNTIF(Y$6:Y1782,Y1783)=0,1,0))</f>
        <v/>
      </c>
      <c r="AA1783" s="57" t="str">
        <f>IF(Y1783="","",IF(Z1783=1,COUNTIFS(A$6:A1783,A1783,Z$6:Z1783,1),INDEX(AA$6:AA1782,MATCH(Y1783,Y$6:Y1782,0))))</f>
        <v/>
      </c>
      <c r="AB1783" s="57" t="str">
        <f>IF(B1783="","",COUNTIF(B$6:B1783,B1783))</f>
        <v/>
      </c>
      <c r="AC1783" s="57" t="str">
        <f>IF(B1783="","",B1783&amp;"#"&amp;AB1783)</f>
        <v/>
      </c>
      <c r="AD1783" s="57" t="str">
        <f>IF(Z1783=1,A1783&amp;AA1783,"")</f>
        <v/>
      </c>
      <c r="AE1783" s="57" t="str">
        <f>IF(B1783="","",YEAR(C1783))</f>
        <v/>
      </c>
      <c r="AF1783" s="57" t="str">
        <f>IF(B1783="","",MONTH(C1783))</f>
        <v/>
      </c>
      <c r="AG1783" s="57">
        <f>IF(ISNUMBER(C1783),C1783,0)</f>
        <v>0.0</v>
      </c>
      <c r="AH1783" s="57" t="str">
        <f>IF(N(W1783)&gt;0,COUNTIF(W$6:W1783,"&gt;0"),"")</f>
        <v/>
      </c>
      <c r="AI1783" s="57" t="str">
        <f>IF(Z1783=1,COUNTIF(Z$6:Z1783,1),"")</f>
        <v/>
      </c>
    </row>
    <row r="1784">
      <c r="A1784" s="54" t="n"/>
      <c r="B1784" s="55" t="str">
        <f>IF(AA1784="","",A1784&amp;"-"&amp;RIGHT("000"&amp;AA1784,4))</f>
        <v/>
      </c>
      <c r="C1784" s="56" t="n"/>
      <c r="D1784" s="54" t="n"/>
      <c r="E1784" s="57" t="str">
        <f>IF(D1784="","",IF(A1784="BL",IFERROR(INDEX(cl_name,MATCH(D1784,cl_code,0))&amp;"","Client inconnu"),IF(A1784="BR",IFERROR(INDEX(fo_name,MATCH(D1784,fo_code,0))&amp;"","Fournisseur inconnu"),IF(A1784="BS",IF(ISNA(MATCH(D1784,p_services,0)),"Service inconnu",D1784&amp;""),""))))</f>
        <v/>
      </c>
      <c r="F1784" s="58" t="n"/>
      <c r="G1784" s="58" t="n"/>
      <c r="H1784" s="59" t="n"/>
      <c r="I1784" s="57" t="str">
        <f>IF(H1784="","",IFERROR(INDEX(art_des,MATCH(H1784,art_ref,0))&amp;"","Article inconnu"))</f>
        <v/>
      </c>
      <c r="J1784" s="60" t="str">
        <f>IF(H1784="","",IFERROR(INDEX(art_unit,MATCH(H1784,art_ref,0))&amp;"",""))</f>
        <v/>
      </c>
      <c r="K1784" s="59" t="n"/>
      <c r="L1784" s="59" t="n"/>
      <c r="M1784" s="61" t="str">
        <f>IF(OR(B1784="",NOT(ISNUMBER(K1784)),NOT(ISNUMBER(L1784))),"",IF(OR(K1784&lt;=0,L1784&lt;=0),"",ROUND(L1784-K1784,6)))</f>
        <v/>
      </c>
      <c r="N1784" s="58" t="n"/>
      <c r="O1784" s="62" t="n"/>
      <c r="P1784" s="63" t="str">
        <f>IF(OR(B1784="",NOT(ISNUMBER(L1784))),"",IF(L1784&lt;=0,"",IFERROR(ROUND(L1784*N(INDEX(art_w,MATCH(H1784,art_ref,0))),3),"")))</f>
        <v/>
      </c>
      <c r="Q1784" s="59" t="n"/>
      <c r="R1784" s="54" t="n"/>
      <c r="S1784" s="59" t="n"/>
      <c r="T1784" s="59" t="n"/>
      <c r="U1784" s="64" t="str">
        <f>IF(OR(B1784="",H1784=""),"",IFERROR(IF(A1784="BL",IF(N(INDEX(art_price,MATCH(H1784,art_ref,0)))=0,"",N(INDEX(art_price,MATCH(H1784,art_ref,0)))),IF(N(INDEX(art_cost,MATCH(H1784,art_ref,0)))=0,"",N(INDEX(art_cost,MATCH(H1784,art_ref,0))))),""))</f>
        <v/>
      </c>
      <c r="V1784" s="64" t="str">
        <f>IF(OR(U1784="",NOT(ISNUMBER(L1784))),"",IF(L1784&lt;=0,"",ROUND(L1784*U1784,2)))</f>
        <v/>
      </c>
      <c r="W1784" s="60" t="str">
        <f>IF(AND(B1784&lt;&gt;"",A1784&lt;&gt;"BS",F1784&lt;&gt;"",H1784&lt;&gt;"",ISNUMBER(K1784),ISNUMBER(L1784)),IF(AND(K1784&gt;0,L1784&gt;0,K1784-L1784&gt;0,COUNTIFS(A1785:A$2005,A1784,F1785:F$2005,F1784,H1785:H$2005,H1784,AA1785:AA$2005,"&gt;0")=0),ROUND(K1784-L1784,6),""),"")</f>
        <v/>
      </c>
      <c r="X1784" s="60" t="str">
        <f>IF(AND(A1784="",C1784="",D1784="",H1784="",L1784=""),"",IF(A1784="","Type manquant",IF(AND(A1784&lt;&gt;"BL",A1784&lt;&gt;"BR",A1784&lt;&gt;"BS"),"Type inconnu (BL, BR ou BS)",IF(AG1784=0,"Date manquante ou invalide",IF(D1784="",IF(A1784="BL","Client manquant",IF(A1784="BR","Fournisseur manquant","Service manquant")),IF(IF(A1784="BL",ISNA(MATCH(D1784,cl_code,0)),IF(A1784="BR",ISNA(MATCH(D1784,fo_code,0)),ISNA(MATCH(D1784,p_services,0)))),IF(A1784="BL","Client inconnu",IF(A1784="BR","Fournisseur inconnu","Service inconnu")),IF(H1784="","Article manquant",IF(ISNA(MATCH(H1784,art_ref,0)),"Article inconnu",IF(OR(NOT(ISNUMBER(L1784)),N(L1784)&lt;=0),"Quantité invalide",IF(AND(K1784&lt;&gt;"",OR(NOT(ISNUMBER(K1784)),N(K1784)&lt;=0)),"Qté commandée invalide",IF(AG1784&lt;SUMPRODUCT(MAX((A$6:A1783=A1784)*AG$6:AG1783)),"Date antérieure au bon précédent",IF(AND(A1784&lt;&gt;"BR",ISNUMBER(M1784),N(M1784)&gt;0),IF(A1784="BL","Livré plus que commandé","Sorti plus que demandé"),"OK"))))))))))))</f>
        <v/>
      </c>
      <c r="Y1784" s="57" t="str">
        <f>IF(AND(OR(A1784="BL",A1784="BR",A1784="BS"),AG1784&gt;0,D1784&lt;&gt;""),A1784&amp;"|"&amp;AG1784&amp;"|"&amp;D1784&amp;"|"&amp;F1784,"")</f>
        <v/>
      </c>
      <c r="Z1784" s="57" t="str">
        <f>IF(Y1784="","",IF(COUNTIF(Y$6:Y1783,Y1784)=0,1,0))</f>
        <v/>
      </c>
      <c r="AA1784" s="57" t="str">
        <f>IF(Y1784="","",IF(Z1784=1,COUNTIFS(A$6:A1784,A1784,Z$6:Z1784,1),INDEX(AA$6:AA1783,MATCH(Y1784,Y$6:Y1783,0))))</f>
        <v/>
      </c>
      <c r="AB1784" s="57" t="str">
        <f>IF(B1784="","",COUNTIF(B$6:B1784,B1784))</f>
        <v/>
      </c>
      <c r="AC1784" s="57" t="str">
        <f>IF(B1784="","",B1784&amp;"#"&amp;AB1784)</f>
        <v/>
      </c>
      <c r="AD1784" s="57" t="str">
        <f>IF(Z1784=1,A1784&amp;AA1784,"")</f>
        <v/>
      </c>
      <c r="AE1784" s="57" t="str">
        <f>IF(B1784="","",YEAR(C1784))</f>
        <v/>
      </c>
      <c r="AF1784" s="57" t="str">
        <f>IF(B1784="","",MONTH(C1784))</f>
        <v/>
      </c>
      <c r="AG1784" s="57">
        <f>IF(ISNUMBER(C1784),C1784,0)</f>
        <v>0.0</v>
      </c>
      <c r="AH1784" s="57" t="str">
        <f>IF(N(W1784)&gt;0,COUNTIF(W$6:W1784,"&gt;0"),"")</f>
        <v/>
      </c>
      <c r="AI1784" s="57" t="str">
        <f>IF(Z1784=1,COUNTIF(Z$6:Z1784,1),"")</f>
        <v/>
      </c>
    </row>
    <row r="1785">
      <c r="A1785" s="54" t="n"/>
      <c r="B1785" s="55" t="str">
        <f>IF(AA1785="","",A1785&amp;"-"&amp;RIGHT("000"&amp;AA1785,4))</f>
        <v/>
      </c>
      <c r="C1785" s="56" t="n"/>
      <c r="D1785" s="54" t="n"/>
      <c r="E1785" s="57" t="str">
        <f>IF(D1785="","",IF(A1785="BL",IFERROR(INDEX(cl_name,MATCH(D1785,cl_code,0))&amp;"","Client inconnu"),IF(A1785="BR",IFERROR(INDEX(fo_name,MATCH(D1785,fo_code,0))&amp;"","Fournisseur inconnu"),IF(A1785="BS",IF(ISNA(MATCH(D1785,p_services,0)),"Service inconnu",D1785&amp;""),""))))</f>
        <v/>
      </c>
      <c r="F1785" s="58" t="n"/>
      <c r="G1785" s="58" t="n"/>
      <c r="H1785" s="59" t="n"/>
      <c r="I1785" s="57" t="str">
        <f>IF(H1785="","",IFERROR(INDEX(art_des,MATCH(H1785,art_ref,0))&amp;"","Article inconnu"))</f>
        <v/>
      </c>
      <c r="J1785" s="60" t="str">
        <f>IF(H1785="","",IFERROR(INDEX(art_unit,MATCH(H1785,art_ref,0))&amp;"",""))</f>
        <v/>
      </c>
      <c r="K1785" s="59" t="n"/>
      <c r="L1785" s="59" t="n"/>
      <c r="M1785" s="61" t="str">
        <f>IF(OR(B1785="",NOT(ISNUMBER(K1785)),NOT(ISNUMBER(L1785))),"",IF(OR(K1785&lt;=0,L1785&lt;=0),"",ROUND(L1785-K1785,6)))</f>
        <v/>
      </c>
      <c r="N1785" s="58" t="n"/>
      <c r="O1785" s="62" t="n"/>
      <c r="P1785" s="63" t="str">
        <f>IF(OR(B1785="",NOT(ISNUMBER(L1785))),"",IF(L1785&lt;=0,"",IFERROR(ROUND(L1785*N(INDEX(art_w,MATCH(H1785,art_ref,0))),3),"")))</f>
        <v/>
      </c>
      <c r="Q1785" s="59" t="n"/>
      <c r="R1785" s="54" t="n"/>
      <c r="S1785" s="59" t="n"/>
      <c r="T1785" s="59" t="n"/>
      <c r="U1785" s="64" t="str">
        <f>IF(OR(B1785="",H1785=""),"",IFERROR(IF(A1785="BL",IF(N(INDEX(art_price,MATCH(H1785,art_ref,0)))=0,"",N(INDEX(art_price,MATCH(H1785,art_ref,0)))),IF(N(INDEX(art_cost,MATCH(H1785,art_ref,0)))=0,"",N(INDEX(art_cost,MATCH(H1785,art_ref,0))))),""))</f>
        <v/>
      </c>
      <c r="V1785" s="64" t="str">
        <f>IF(OR(U1785="",NOT(ISNUMBER(L1785))),"",IF(L1785&lt;=0,"",ROUND(L1785*U1785,2)))</f>
        <v/>
      </c>
      <c r="W1785" s="60" t="str">
        <f>IF(AND(B1785&lt;&gt;"",A1785&lt;&gt;"BS",F1785&lt;&gt;"",H1785&lt;&gt;"",ISNUMBER(K1785),ISNUMBER(L1785)),IF(AND(K1785&gt;0,L1785&gt;0,K1785-L1785&gt;0,COUNTIFS(A1786:A$2005,A1785,F1786:F$2005,F1785,H1786:H$2005,H1785,AA1786:AA$2005,"&gt;0")=0),ROUND(K1785-L1785,6),""),"")</f>
        <v/>
      </c>
      <c r="X1785" s="60" t="str">
        <f>IF(AND(A1785="",C1785="",D1785="",H1785="",L1785=""),"",IF(A1785="","Type manquant",IF(AND(A1785&lt;&gt;"BL",A1785&lt;&gt;"BR",A1785&lt;&gt;"BS"),"Type inconnu (BL, BR ou BS)",IF(AG1785=0,"Date manquante ou invalide",IF(D1785="",IF(A1785="BL","Client manquant",IF(A1785="BR","Fournisseur manquant","Service manquant")),IF(IF(A1785="BL",ISNA(MATCH(D1785,cl_code,0)),IF(A1785="BR",ISNA(MATCH(D1785,fo_code,0)),ISNA(MATCH(D1785,p_services,0)))),IF(A1785="BL","Client inconnu",IF(A1785="BR","Fournisseur inconnu","Service inconnu")),IF(H1785="","Article manquant",IF(ISNA(MATCH(H1785,art_ref,0)),"Article inconnu",IF(OR(NOT(ISNUMBER(L1785)),N(L1785)&lt;=0),"Quantité invalide",IF(AND(K1785&lt;&gt;"",OR(NOT(ISNUMBER(K1785)),N(K1785)&lt;=0)),"Qté commandée invalide",IF(AG1785&lt;SUMPRODUCT(MAX((A$6:A1784=A1785)*AG$6:AG1784)),"Date antérieure au bon précédent",IF(AND(A1785&lt;&gt;"BR",ISNUMBER(M1785),N(M1785)&gt;0),IF(A1785="BL","Livré plus que commandé","Sorti plus que demandé"),"OK"))))))))))))</f>
        <v/>
      </c>
      <c r="Y1785" s="57" t="str">
        <f>IF(AND(OR(A1785="BL",A1785="BR",A1785="BS"),AG1785&gt;0,D1785&lt;&gt;""),A1785&amp;"|"&amp;AG1785&amp;"|"&amp;D1785&amp;"|"&amp;F1785,"")</f>
        <v/>
      </c>
      <c r="Z1785" s="57" t="str">
        <f>IF(Y1785="","",IF(COUNTIF(Y$6:Y1784,Y1785)=0,1,0))</f>
        <v/>
      </c>
      <c r="AA1785" s="57" t="str">
        <f>IF(Y1785="","",IF(Z1785=1,COUNTIFS(A$6:A1785,A1785,Z$6:Z1785,1),INDEX(AA$6:AA1784,MATCH(Y1785,Y$6:Y1784,0))))</f>
        <v/>
      </c>
      <c r="AB1785" s="57" t="str">
        <f>IF(B1785="","",COUNTIF(B$6:B1785,B1785))</f>
        <v/>
      </c>
      <c r="AC1785" s="57" t="str">
        <f>IF(B1785="","",B1785&amp;"#"&amp;AB1785)</f>
        <v/>
      </c>
      <c r="AD1785" s="57" t="str">
        <f>IF(Z1785=1,A1785&amp;AA1785,"")</f>
        <v/>
      </c>
      <c r="AE1785" s="57" t="str">
        <f>IF(B1785="","",YEAR(C1785))</f>
        <v/>
      </c>
      <c r="AF1785" s="57" t="str">
        <f>IF(B1785="","",MONTH(C1785))</f>
        <v/>
      </c>
      <c r="AG1785" s="57">
        <f>IF(ISNUMBER(C1785),C1785,0)</f>
        <v>0.0</v>
      </c>
      <c r="AH1785" s="57" t="str">
        <f>IF(N(W1785)&gt;0,COUNTIF(W$6:W1785,"&gt;0"),"")</f>
        <v/>
      </c>
      <c r="AI1785" s="57" t="str">
        <f>IF(Z1785=1,COUNTIF(Z$6:Z1785,1),"")</f>
        <v/>
      </c>
    </row>
    <row r="1786">
      <c r="A1786" s="54" t="n"/>
      <c r="B1786" s="55" t="str">
        <f>IF(AA1786="","",A1786&amp;"-"&amp;RIGHT("000"&amp;AA1786,4))</f>
        <v/>
      </c>
      <c r="C1786" s="56" t="n"/>
      <c r="D1786" s="54" t="n"/>
      <c r="E1786" s="57" t="str">
        <f>IF(D1786="","",IF(A1786="BL",IFERROR(INDEX(cl_name,MATCH(D1786,cl_code,0))&amp;"","Client inconnu"),IF(A1786="BR",IFERROR(INDEX(fo_name,MATCH(D1786,fo_code,0))&amp;"","Fournisseur inconnu"),IF(A1786="BS",IF(ISNA(MATCH(D1786,p_services,0)),"Service inconnu",D1786&amp;""),""))))</f>
        <v/>
      </c>
      <c r="F1786" s="58" t="n"/>
      <c r="G1786" s="58" t="n"/>
      <c r="H1786" s="59" t="n"/>
      <c r="I1786" s="57" t="str">
        <f>IF(H1786="","",IFERROR(INDEX(art_des,MATCH(H1786,art_ref,0))&amp;"","Article inconnu"))</f>
        <v/>
      </c>
      <c r="J1786" s="60" t="str">
        <f>IF(H1786="","",IFERROR(INDEX(art_unit,MATCH(H1786,art_ref,0))&amp;"",""))</f>
        <v/>
      </c>
      <c r="K1786" s="59" t="n"/>
      <c r="L1786" s="59" t="n"/>
      <c r="M1786" s="61" t="str">
        <f>IF(OR(B1786="",NOT(ISNUMBER(K1786)),NOT(ISNUMBER(L1786))),"",IF(OR(K1786&lt;=0,L1786&lt;=0),"",ROUND(L1786-K1786,6)))</f>
        <v/>
      </c>
      <c r="N1786" s="58" t="n"/>
      <c r="O1786" s="62" t="n"/>
      <c r="P1786" s="63" t="str">
        <f>IF(OR(B1786="",NOT(ISNUMBER(L1786))),"",IF(L1786&lt;=0,"",IFERROR(ROUND(L1786*N(INDEX(art_w,MATCH(H1786,art_ref,0))),3),"")))</f>
        <v/>
      </c>
      <c r="Q1786" s="59" t="n"/>
      <c r="R1786" s="54" t="n"/>
      <c r="S1786" s="59" t="n"/>
      <c r="T1786" s="59" t="n"/>
      <c r="U1786" s="64" t="str">
        <f>IF(OR(B1786="",H1786=""),"",IFERROR(IF(A1786="BL",IF(N(INDEX(art_price,MATCH(H1786,art_ref,0)))=0,"",N(INDEX(art_price,MATCH(H1786,art_ref,0)))),IF(N(INDEX(art_cost,MATCH(H1786,art_ref,0)))=0,"",N(INDEX(art_cost,MATCH(H1786,art_ref,0))))),""))</f>
        <v/>
      </c>
      <c r="V1786" s="64" t="str">
        <f>IF(OR(U1786="",NOT(ISNUMBER(L1786))),"",IF(L1786&lt;=0,"",ROUND(L1786*U1786,2)))</f>
        <v/>
      </c>
      <c r="W1786" s="60" t="str">
        <f>IF(AND(B1786&lt;&gt;"",A1786&lt;&gt;"BS",F1786&lt;&gt;"",H1786&lt;&gt;"",ISNUMBER(K1786),ISNUMBER(L1786)),IF(AND(K1786&gt;0,L1786&gt;0,K1786-L1786&gt;0,COUNTIFS(A1787:A$2005,A1786,F1787:F$2005,F1786,H1787:H$2005,H1786,AA1787:AA$2005,"&gt;0")=0),ROUND(K1786-L1786,6),""),"")</f>
        <v/>
      </c>
      <c r="X1786" s="60" t="str">
        <f>IF(AND(A1786="",C1786="",D1786="",H1786="",L1786=""),"",IF(A1786="","Type manquant",IF(AND(A1786&lt;&gt;"BL",A1786&lt;&gt;"BR",A1786&lt;&gt;"BS"),"Type inconnu (BL, BR ou BS)",IF(AG1786=0,"Date manquante ou invalide",IF(D1786="",IF(A1786="BL","Client manquant",IF(A1786="BR","Fournisseur manquant","Service manquant")),IF(IF(A1786="BL",ISNA(MATCH(D1786,cl_code,0)),IF(A1786="BR",ISNA(MATCH(D1786,fo_code,0)),ISNA(MATCH(D1786,p_services,0)))),IF(A1786="BL","Client inconnu",IF(A1786="BR","Fournisseur inconnu","Service inconnu")),IF(H1786="","Article manquant",IF(ISNA(MATCH(H1786,art_ref,0)),"Article inconnu",IF(OR(NOT(ISNUMBER(L1786)),N(L1786)&lt;=0),"Quantité invalide",IF(AND(K1786&lt;&gt;"",OR(NOT(ISNUMBER(K1786)),N(K1786)&lt;=0)),"Qté commandée invalide",IF(AG1786&lt;SUMPRODUCT(MAX((A$6:A1785=A1786)*AG$6:AG1785)),"Date antérieure au bon précédent",IF(AND(A1786&lt;&gt;"BR",ISNUMBER(M1786),N(M1786)&gt;0),IF(A1786="BL","Livré plus que commandé","Sorti plus que demandé"),"OK"))))))))))))</f>
        <v/>
      </c>
      <c r="Y1786" s="57" t="str">
        <f>IF(AND(OR(A1786="BL",A1786="BR",A1786="BS"),AG1786&gt;0,D1786&lt;&gt;""),A1786&amp;"|"&amp;AG1786&amp;"|"&amp;D1786&amp;"|"&amp;F1786,"")</f>
        <v/>
      </c>
      <c r="Z1786" s="57" t="str">
        <f>IF(Y1786="","",IF(COUNTIF(Y$6:Y1785,Y1786)=0,1,0))</f>
        <v/>
      </c>
      <c r="AA1786" s="57" t="str">
        <f>IF(Y1786="","",IF(Z1786=1,COUNTIFS(A$6:A1786,A1786,Z$6:Z1786,1),INDEX(AA$6:AA1785,MATCH(Y1786,Y$6:Y1785,0))))</f>
        <v/>
      </c>
      <c r="AB1786" s="57" t="str">
        <f>IF(B1786="","",COUNTIF(B$6:B1786,B1786))</f>
        <v/>
      </c>
      <c r="AC1786" s="57" t="str">
        <f>IF(B1786="","",B1786&amp;"#"&amp;AB1786)</f>
        <v/>
      </c>
      <c r="AD1786" s="57" t="str">
        <f>IF(Z1786=1,A1786&amp;AA1786,"")</f>
        <v/>
      </c>
      <c r="AE1786" s="57" t="str">
        <f>IF(B1786="","",YEAR(C1786))</f>
        <v/>
      </c>
      <c r="AF1786" s="57" t="str">
        <f>IF(B1786="","",MONTH(C1786))</f>
        <v/>
      </c>
      <c r="AG1786" s="57">
        <f>IF(ISNUMBER(C1786),C1786,0)</f>
        <v>0.0</v>
      </c>
      <c r="AH1786" s="57" t="str">
        <f>IF(N(W1786)&gt;0,COUNTIF(W$6:W1786,"&gt;0"),"")</f>
        <v/>
      </c>
      <c r="AI1786" s="57" t="str">
        <f>IF(Z1786=1,COUNTIF(Z$6:Z1786,1),"")</f>
        <v/>
      </c>
    </row>
    <row r="1787">
      <c r="A1787" s="54" t="n"/>
      <c r="B1787" s="55" t="str">
        <f>IF(AA1787="","",A1787&amp;"-"&amp;RIGHT("000"&amp;AA1787,4))</f>
        <v/>
      </c>
      <c r="C1787" s="56" t="n"/>
      <c r="D1787" s="54" t="n"/>
      <c r="E1787" s="57" t="str">
        <f>IF(D1787="","",IF(A1787="BL",IFERROR(INDEX(cl_name,MATCH(D1787,cl_code,0))&amp;"","Client inconnu"),IF(A1787="BR",IFERROR(INDEX(fo_name,MATCH(D1787,fo_code,0))&amp;"","Fournisseur inconnu"),IF(A1787="BS",IF(ISNA(MATCH(D1787,p_services,0)),"Service inconnu",D1787&amp;""),""))))</f>
        <v/>
      </c>
      <c r="F1787" s="58" t="n"/>
      <c r="G1787" s="58" t="n"/>
      <c r="H1787" s="59" t="n"/>
      <c r="I1787" s="57" t="str">
        <f>IF(H1787="","",IFERROR(INDEX(art_des,MATCH(H1787,art_ref,0))&amp;"","Article inconnu"))</f>
        <v/>
      </c>
      <c r="J1787" s="60" t="str">
        <f>IF(H1787="","",IFERROR(INDEX(art_unit,MATCH(H1787,art_ref,0))&amp;"",""))</f>
        <v/>
      </c>
      <c r="K1787" s="59" t="n"/>
      <c r="L1787" s="59" t="n"/>
      <c r="M1787" s="61" t="str">
        <f>IF(OR(B1787="",NOT(ISNUMBER(K1787)),NOT(ISNUMBER(L1787))),"",IF(OR(K1787&lt;=0,L1787&lt;=0),"",ROUND(L1787-K1787,6)))</f>
        <v/>
      </c>
      <c r="N1787" s="58" t="n"/>
      <c r="O1787" s="62" t="n"/>
      <c r="P1787" s="63" t="str">
        <f>IF(OR(B1787="",NOT(ISNUMBER(L1787))),"",IF(L1787&lt;=0,"",IFERROR(ROUND(L1787*N(INDEX(art_w,MATCH(H1787,art_ref,0))),3),"")))</f>
        <v/>
      </c>
      <c r="Q1787" s="59" t="n"/>
      <c r="R1787" s="54" t="n"/>
      <c r="S1787" s="59" t="n"/>
      <c r="T1787" s="59" t="n"/>
      <c r="U1787" s="64" t="str">
        <f>IF(OR(B1787="",H1787=""),"",IFERROR(IF(A1787="BL",IF(N(INDEX(art_price,MATCH(H1787,art_ref,0)))=0,"",N(INDEX(art_price,MATCH(H1787,art_ref,0)))),IF(N(INDEX(art_cost,MATCH(H1787,art_ref,0)))=0,"",N(INDEX(art_cost,MATCH(H1787,art_ref,0))))),""))</f>
        <v/>
      </c>
      <c r="V1787" s="64" t="str">
        <f>IF(OR(U1787="",NOT(ISNUMBER(L1787))),"",IF(L1787&lt;=0,"",ROUND(L1787*U1787,2)))</f>
        <v/>
      </c>
      <c r="W1787" s="60" t="str">
        <f>IF(AND(B1787&lt;&gt;"",A1787&lt;&gt;"BS",F1787&lt;&gt;"",H1787&lt;&gt;"",ISNUMBER(K1787),ISNUMBER(L1787)),IF(AND(K1787&gt;0,L1787&gt;0,K1787-L1787&gt;0,COUNTIFS(A1788:A$2005,A1787,F1788:F$2005,F1787,H1788:H$2005,H1787,AA1788:AA$2005,"&gt;0")=0),ROUND(K1787-L1787,6),""),"")</f>
        <v/>
      </c>
      <c r="X1787" s="60" t="str">
        <f>IF(AND(A1787="",C1787="",D1787="",H1787="",L1787=""),"",IF(A1787="","Type manquant",IF(AND(A1787&lt;&gt;"BL",A1787&lt;&gt;"BR",A1787&lt;&gt;"BS"),"Type inconnu (BL, BR ou BS)",IF(AG1787=0,"Date manquante ou invalide",IF(D1787="",IF(A1787="BL","Client manquant",IF(A1787="BR","Fournisseur manquant","Service manquant")),IF(IF(A1787="BL",ISNA(MATCH(D1787,cl_code,0)),IF(A1787="BR",ISNA(MATCH(D1787,fo_code,0)),ISNA(MATCH(D1787,p_services,0)))),IF(A1787="BL","Client inconnu",IF(A1787="BR","Fournisseur inconnu","Service inconnu")),IF(H1787="","Article manquant",IF(ISNA(MATCH(H1787,art_ref,0)),"Article inconnu",IF(OR(NOT(ISNUMBER(L1787)),N(L1787)&lt;=0),"Quantité invalide",IF(AND(K1787&lt;&gt;"",OR(NOT(ISNUMBER(K1787)),N(K1787)&lt;=0)),"Qté commandée invalide",IF(AG1787&lt;SUMPRODUCT(MAX((A$6:A1786=A1787)*AG$6:AG1786)),"Date antérieure au bon précédent",IF(AND(A1787&lt;&gt;"BR",ISNUMBER(M1787),N(M1787)&gt;0),IF(A1787="BL","Livré plus que commandé","Sorti plus que demandé"),"OK"))))))))))))</f>
        <v/>
      </c>
      <c r="Y1787" s="57" t="str">
        <f>IF(AND(OR(A1787="BL",A1787="BR",A1787="BS"),AG1787&gt;0,D1787&lt;&gt;""),A1787&amp;"|"&amp;AG1787&amp;"|"&amp;D1787&amp;"|"&amp;F1787,"")</f>
        <v/>
      </c>
      <c r="Z1787" s="57" t="str">
        <f>IF(Y1787="","",IF(COUNTIF(Y$6:Y1786,Y1787)=0,1,0))</f>
        <v/>
      </c>
      <c r="AA1787" s="57" t="str">
        <f>IF(Y1787="","",IF(Z1787=1,COUNTIFS(A$6:A1787,A1787,Z$6:Z1787,1),INDEX(AA$6:AA1786,MATCH(Y1787,Y$6:Y1786,0))))</f>
        <v/>
      </c>
      <c r="AB1787" s="57" t="str">
        <f>IF(B1787="","",COUNTIF(B$6:B1787,B1787))</f>
        <v/>
      </c>
      <c r="AC1787" s="57" t="str">
        <f>IF(B1787="","",B1787&amp;"#"&amp;AB1787)</f>
        <v/>
      </c>
      <c r="AD1787" s="57" t="str">
        <f>IF(Z1787=1,A1787&amp;AA1787,"")</f>
        <v/>
      </c>
      <c r="AE1787" s="57" t="str">
        <f>IF(B1787="","",YEAR(C1787))</f>
        <v/>
      </c>
      <c r="AF1787" s="57" t="str">
        <f>IF(B1787="","",MONTH(C1787))</f>
        <v/>
      </c>
      <c r="AG1787" s="57">
        <f>IF(ISNUMBER(C1787),C1787,0)</f>
        <v>0.0</v>
      </c>
      <c r="AH1787" s="57" t="str">
        <f>IF(N(W1787)&gt;0,COUNTIF(W$6:W1787,"&gt;0"),"")</f>
        <v/>
      </c>
      <c r="AI1787" s="57" t="str">
        <f>IF(Z1787=1,COUNTIF(Z$6:Z1787,1),"")</f>
        <v/>
      </c>
    </row>
    <row r="1788">
      <c r="A1788" s="54" t="n"/>
      <c r="B1788" s="55" t="str">
        <f>IF(AA1788="","",A1788&amp;"-"&amp;RIGHT("000"&amp;AA1788,4))</f>
        <v/>
      </c>
      <c r="C1788" s="56" t="n"/>
      <c r="D1788" s="54" t="n"/>
      <c r="E1788" s="57" t="str">
        <f>IF(D1788="","",IF(A1788="BL",IFERROR(INDEX(cl_name,MATCH(D1788,cl_code,0))&amp;"","Client inconnu"),IF(A1788="BR",IFERROR(INDEX(fo_name,MATCH(D1788,fo_code,0))&amp;"","Fournisseur inconnu"),IF(A1788="BS",IF(ISNA(MATCH(D1788,p_services,0)),"Service inconnu",D1788&amp;""),""))))</f>
        <v/>
      </c>
      <c r="F1788" s="58" t="n"/>
      <c r="G1788" s="58" t="n"/>
      <c r="H1788" s="59" t="n"/>
      <c r="I1788" s="57" t="str">
        <f>IF(H1788="","",IFERROR(INDEX(art_des,MATCH(H1788,art_ref,0))&amp;"","Article inconnu"))</f>
        <v/>
      </c>
      <c r="J1788" s="60" t="str">
        <f>IF(H1788="","",IFERROR(INDEX(art_unit,MATCH(H1788,art_ref,0))&amp;"",""))</f>
        <v/>
      </c>
      <c r="K1788" s="59" t="n"/>
      <c r="L1788" s="59" t="n"/>
      <c r="M1788" s="61" t="str">
        <f>IF(OR(B1788="",NOT(ISNUMBER(K1788)),NOT(ISNUMBER(L1788))),"",IF(OR(K1788&lt;=0,L1788&lt;=0),"",ROUND(L1788-K1788,6)))</f>
        <v/>
      </c>
      <c r="N1788" s="58" t="n"/>
      <c r="O1788" s="62" t="n"/>
      <c r="P1788" s="63" t="str">
        <f>IF(OR(B1788="",NOT(ISNUMBER(L1788))),"",IF(L1788&lt;=0,"",IFERROR(ROUND(L1788*N(INDEX(art_w,MATCH(H1788,art_ref,0))),3),"")))</f>
        <v/>
      </c>
      <c r="Q1788" s="59" t="n"/>
      <c r="R1788" s="54" t="n"/>
      <c r="S1788" s="59" t="n"/>
      <c r="T1788" s="59" t="n"/>
      <c r="U1788" s="64" t="str">
        <f>IF(OR(B1788="",H1788=""),"",IFERROR(IF(A1788="BL",IF(N(INDEX(art_price,MATCH(H1788,art_ref,0)))=0,"",N(INDEX(art_price,MATCH(H1788,art_ref,0)))),IF(N(INDEX(art_cost,MATCH(H1788,art_ref,0)))=0,"",N(INDEX(art_cost,MATCH(H1788,art_ref,0))))),""))</f>
        <v/>
      </c>
      <c r="V1788" s="64" t="str">
        <f>IF(OR(U1788="",NOT(ISNUMBER(L1788))),"",IF(L1788&lt;=0,"",ROUND(L1788*U1788,2)))</f>
        <v/>
      </c>
      <c r="W1788" s="60" t="str">
        <f>IF(AND(B1788&lt;&gt;"",A1788&lt;&gt;"BS",F1788&lt;&gt;"",H1788&lt;&gt;"",ISNUMBER(K1788),ISNUMBER(L1788)),IF(AND(K1788&gt;0,L1788&gt;0,K1788-L1788&gt;0,COUNTIFS(A1789:A$2005,A1788,F1789:F$2005,F1788,H1789:H$2005,H1788,AA1789:AA$2005,"&gt;0")=0),ROUND(K1788-L1788,6),""),"")</f>
        <v/>
      </c>
      <c r="X1788" s="60" t="str">
        <f>IF(AND(A1788="",C1788="",D1788="",H1788="",L1788=""),"",IF(A1788="","Type manquant",IF(AND(A1788&lt;&gt;"BL",A1788&lt;&gt;"BR",A1788&lt;&gt;"BS"),"Type inconnu (BL, BR ou BS)",IF(AG1788=0,"Date manquante ou invalide",IF(D1788="",IF(A1788="BL","Client manquant",IF(A1788="BR","Fournisseur manquant","Service manquant")),IF(IF(A1788="BL",ISNA(MATCH(D1788,cl_code,0)),IF(A1788="BR",ISNA(MATCH(D1788,fo_code,0)),ISNA(MATCH(D1788,p_services,0)))),IF(A1788="BL","Client inconnu",IF(A1788="BR","Fournisseur inconnu","Service inconnu")),IF(H1788="","Article manquant",IF(ISNA(MATCH(H1788,art_ref,0)),"Article inconnu",IF(OR(NOT(ISNUMBER(L1788)),N(L1788)&lt;=0),"Quantité invalide",IF(AND(K1788&lt;&gt;"",OR(NOT(ISNUMBER(K1788)),N(K1788)&lt;=0)),"Qté commandée invalide",IF(AG1788&lt;SUMPRODUCT(MAX((A$6:A1787=A1788)*AG$6:AG1787)),"Date antérieure au bon précédent",IF(AND(A1788&lt;&gt;"BR",ISNUMBER(M1788),N(M1788)&gt;0),IF(A1788="BL","Livré plus que commandé","Sorti plus que demandé"),"OK"))))))))))))</f>
        <v/>
      </c>
      <c r="Y1788" s="57" t="str">
        <f>IF(AND(OR(A1788="BL",A1788="BR",A1788="BS"),AG1788&gt;0,D1788&lt;&gt;""),A1788&amp;"|"&amp;AG1788&amp;"|"&amp;D1788&amp;"|"&amp;F1788,"")</f>
        <v/>
      </c>
      <c r="Z1788" s="57" t="str">
        <f>IF(Y1788="","",IF(COUNTIF(Y$6:Y1787,Y1788)=0,1,0))</f>
        <v/>
      </c>
      <c r="AA1788" s="57" t="str">
        <f>IF(Y1788="","",IF(Z1788=1,COUNTIFS(A$6:A1788,A1788,Z$6:Z1788,1),INDEX(AA$6:AA1787,MATCH(Y1788,Y$6:Y1787,0))))</f>
        <v/>
      </c>
      <c r="AB1788" s="57" t="str">
        <f>IF(B1788="","",COUNTIF(B$6:B1788,B1788))</f>
        <v/>
      </c>
      <c r="AC1788" s="57" t="str">
        <f>IF(B1788="","",B1788&amp;"#"&amp;AB1788)</f>
        <v/>
      </c>
      <c r="AD1788" s="57" t="str">
        <f>IF(Z1788=1,A1788&amp;AA1788,"")</f>
        <v/>
      </c>
      <c r="AE1788" s="57" t="str">
        <f>IF(B1788="","",YEAR(C1788))</f>
        <v/>
      </c>
      <c r="AF1788" s="57" t="str">
        <f>IF(B1788="","",MONTH(C1788))</f>
        <v/>
      </c>
      <c r="AG1788" s="57">
        <f>IF(ISNUMBER(C1788),C1788,0)</f>
        <v>0.0</v>
      </c>
      <c r="AH1788" s="57" t="str">
        <f>IF(N(W1788)&gt;0,COUNTIF(W$6:W1788,"&gt;0"),"")</f>
        <v/>
      </c>
      <c r="AI1788" s="57" t="str">
        <f>IF(Z1788=1,COUNTIF(Z$6:Z1788,1),"")</f>
        <v/>
      </c>
    </row>
    <row r="1789">
      <c r="A1789" s="54" t="n"/>
      <c r="B1789" s="55" t="str">
        <f>IF(AA1789="","",A1789&amp;"-"&amp;RIGHT("000"&amp;AA1789,4))</f>
        <v/>
      </c>
      <c r="C1789" s="56" t="n"/>
      <c r="D1789" s="54" t="n"/>
      <c r="E1789" s="57" t="str">
        <f>IF(D1789="","",IF(A1789="BL",IFERROR(INDEX(cl_name,MATCH(D1789,cl_code,0))&amp;"","Client inconnu"),IF(A1789="BR",IFERROR(INDEX(fo_name,MATCH(D1789,fo_code,0))&amp;"","Fournisseur inconnu"),IF(A1789="BS",IF(ISNA(MATCH(D1789,p_services,0)),"Service inconnu",D1789&amp;""),""))))</f>
        <v/>
      </c>
      <c r="F1789" s="58" t="n"/>
      <c r="G1789" s="58" t="n"/>
      <c r="H1789" s="59" t="n"/>
      <c r="I1789" s="57" t="str">
        <f>IF(H1789="","",IFERROR(INDEX(art_des,MATCH(H1789,art_ref,0))&amp;"","Article inconnu"))</f>
        <v/>
      </c>
      <c r="J1789" s="60" t="str">
        <f>IF(H1789="","",IFERROR(INDEX(art_unit,MATCH(H1789,art_ref,0))&amp;"",""))</f>
        <v/>
      </c>
      <c r="K1789" s="59" t="n"/>
      <c r="L1789" s="59" t="n"/>
      <c r="M1789" s="61" t="str">
        <f>IF(OR(B1789="",NOT(ISNUMBER(K1789)),NOT(ISNUMBER(L1789))),"",IF(OR(K1789&lt;=0,L1789&lt;=0),"",ROUND(L1789-K1789,6)))</f>
        <v/>
      </c>
      <c r="N1789" s="58" t="n"/>
      <c r="O1789" s="62" t="n"/>
      <c r="P1789" s="63" t="str">
        <f>IF(OR(B1789="",NOT(ISNUMBER(L1789))),"",IF(L1789&lt;=0,"",IFERROR(ROUND(L1789*N(INDEX(art_w,MATCH(H1789,art_ref,0))),3),"")))</f>
        <v/>
      </c>
      <c r="Q1789" s="59" t="n"/>
      <c r="R1789" s="54" t="n"/>
      <c r="S1789" s="59" t="n"/>
      <c r="T1789" s="59" t="n"/>
      <c r="U1789" s="64" t="str">
        <f>IF(OR(B1789="",H1789=""),"",IFERROR(IF(A1789="BL",IF(N(INDEX(art_price,MATCH(H1789,art_ref,0)))=0,"",N(INDEX(art_price,MATCH(H1789,art_ref,0)))),IF(N(INDEX(art_cost,MATCH(H1789,art_ref,0)))=0,"",N(INDEX(art_cost,MATCH(H1789,art_ref,0))))),""))</f>
        <v/>
      </c>
      <c r="V1789" s="64" t="str">
        <f>IF(OR(U1789="",NOT(ISNUMBER(L1789))),"",IF(L1789&lt;=0,"",ROUND(L1789*U1789,2)))</f>
        <v/>
      </c>
      <c r="W1789" s="60" t="str">
        <f>IF(AND(B1789&lt;&gt;"",A1789&lt;&gt;"BS",F1789&lt;&gt;"",H1789&lt;&gt;"",ISNUMBER(K1789),ISNUMBER(L1789)),IF(AND(K1789&gt;0,L1789&gt;0,K1789-L1789&gt;0,COUNTIFS(A1790:A$2005,A1789,F1790:F$2005,F1789,H1790:H$2005,H1789,AA1790:AA$2005,"&gt;0")=0),ROUND(K1789-L1789,6),""),"")</f>
        <v/>
      </c>
      <c r="X1789" s="60" t="str">
        <f>IF(AND(A1789="",C1789="",D1789="",H1789="",L1789=""),"",IF(A1789="","Type manquant",IF(AND(A1789&lt;&gt;"BL",A1789&lt;&gt;"BR",A1789&lt;&gt;"BS"),"Type inconnu (BL, BR ou BS)",IF(AG1789=0,"Date manquante ou invalide",IF(D1789="",IF(A1789="BL","Client manquant",IF(A1789="BR","Fournisseur manquant","Service manquant")),IF(IF(A1789="BL",ISNA(MATCH(D1789,cl_code,0)),IF(A1789="BR",ISNA(MATCH(D1789,fo_code,0)),ISNA(MATCH(D1789,p_services,0)))),IF(A1789="BL","Client inconnu",IF(A1789="BR","Fournisseur inconnu","Service inconnu")),IF(H1789="","Article manquant",IF(ISNA(MATCH(H1789,art_ref,0)),"Article inconnu",IF(OR(NOT(ISNUMBER(L1789)),N(L1789)&lt;=0),"Quantité invalide",IF(AND(K1789&lt;&gt;"",OR(NOT(ISNUMBER(K1789)),N(K1789)&lt;=0)),"Qté commandée invalide",IF(AG1789&lt;SUMPRODUCT(MAX((A$6:A1788=A1789)*AG$6:AG1788)),"Date antérieure au bon précédent",IF(AND(A1789&lt;&gt;"BR",ISNUMBER(M1789),N(M1789)&gt;0),IF(A1789="BL","Livré plus que commandé","Sorti plus que demandé"),"OK"))))))))))))</f>
        <v/>
      </c>
      <c r="Y1789" s="57" t="str">
        <f>IF(AND(OR(A1789="BL",A1789="BR",A1789="BS"),AG1789&gt;0,D1789&lt;&gt;""),A1789&amp;"|"&amp;AG1789&amp;"|"&amp;D1789&amp;"|"&amp;F1789,"")</f>
        <v/>
      </c>
      <c r="Z1789" s="57" t="str">
        <f>IF(Y1789="","",IF(COUNTIF(Y$6:Y1788,Y1789)=0,1,0))</f>
        <v/>
      </c>
      <c r="AA1789" s="57" t="str">
        <f>IF(Y1789="","",IF(Z1789=1,COUNTIFS(A$6:A1789,A1789,Z$6:Z1789,1),INDEX(AA$6:AA1788,MATCH(Y1789,Y$6:Y1788,0))))</f>
        <v/>
      </c>
      <c r="AB1789" s="57" t="str">
        <f>IF(B1789="","",COUNTIF(B$6:B1789,B1789))</f>
        <v/>
      </c>
      <c r="AC1789" s="57" t="str">
        <f>IF(B1789="","",B1789&amp;"#"&amp;AB1789)</f>
        <v/>
      </c>
      <c r="AD1789" s="57" t="str">
        <f>IF(Z1789=1,A1789&amp;AA1789,"")</f>
        <v/>
      </c>
      <c r="AE1789" s="57" t="str">
        <f>IF(B1789="","",YEAR(C1789))</f>
        <v/>
      </c>
      <c r="AF1789" s="57" t="str">
        <f>IF(B1789="","",MONTH(C1789))</f>
        <v/>
      </c>
      <c r="AG1789" s="57">
        <f>IF(ISNUMBER(C1789),C1789,0)</f>
        <v>0.0</v>
      </c>
      <c r="AH1789" s="57" t="str">
        <f>IF(N(W1789)&gt;0,COUNTIF(W$6:W1789,"&gt;0"),"")</f>
        <v/>
      </c>
      <c r="AI1789" s="57" t="str">
        <f>IF(Z1789=1,COUNTIF(Z$6:Z1789,1),"")</f>
        <v/>
      </c>
    </row>
    <row r="1790">
      <c r="A1790" s="54" t="n"/>
      <c r="B1790" s="55" t="str">
        <f>IF(AA1790="","",A1790&amp;"-"&amp;RIGHT("000"&amp;AA1790,4))</f>
        <v/>
      </c>
      <c r="C1790" s="56" t="n"/>
      <c r="D1790" s="54" t="n"/>
      <c r="E1790" s="57" t="str">
        <f>IF(D1790="","",IF(A1790="BL",IFERROR(INDEX(cl_name,MATCH(D1790,cl_code,0))&amp;"","Client inconnu"),IF(A1790="BR",IFERROR(INDEX(fo_name,MATCH(D1790,fo_code,0))&amp;"","Fournisseur inconnu"),IF(A1790="BS",IF(ISNA(MATCH(D1790,p_services,0)),"Service inconnu",D1790&amp;""),""))))</f>
        <v/>
      </c>
      <c r="F1790" s="58" t="n"/>
      <c r="G1790" s="58" t="n"/>
      <c r="H1790" s="59" t="n"/>
      <c r="I1790" s="57" t="str">
        <f>IF(H1790="","",IFERROR(INDEX(art_des,MATCH(H1790,art_ref,0))&amp;"","Article inconnu"))</f>
        <v/>
      </c>
      <c r="J1790" s="60" t="str">
        <f>IF(H1790="","",IFERROR(INDEX(art_unit,MATCH(H1790,art_ref,0))&amp;"",""))</f>
        <v/>
      </c>
      <c r="K1790" s="59" t="n"/>
      <c r="L1790" s="59" t="n"/>
      <c r="M1790" s="61" t="str">
        <f>IF(OR(B1790="",NOT(ISNUMBER(K1790)),NOT(ISNUMBER(L1790))),"",IF(OR(K1790&lt;=0,L1790&lt;=0),"",ROUND(L1790-K1790,6)))</f>
        <v/>
      </c>
      <c r="N1790" s="58" t="n"/>
      <c r="O1790" s="62" t="n"/>
      <c r="P1790" s="63" t="str">
        <f>IF(OR(B1790="",NOT(ISNUMBER(L1790))),"",IF(L1790&lt;=0,"",IFERROR(ROUND(L1790*N(INDEX(art_w,MATCH(H1790,art_ref,0))),3),"")))</f>
        <v/>
      </c>
      <c r="Q1790" s="59" t="n"/>
      <c r="R1790" s="54" t="n"/>
      <c r="S1790" s="59" t="n"/>
      <c r="T1790" s="59" t="n"/>
      <c r="U1790" s="64" t="str">
        <f>IF(OR(B1790="",H1790=""),"",IFERROR(IF(A1790="BL",IF(N(INDEX(art_price,MATCH(H1790,art_ref,0)))=0,"",N(INDEX(art_price,MATCH(H1790,art_ref,0)))),IF(N(INDEX(art_cost,MATCH(H1790,art_ref,0)))=0,"",N(INDEX(art_cost,MATCH(H1790,art_ref,0))))),""))</f>
        <v/>
      </c>
      <c r="V1790" s="64" t="str">
        <f>IF(OR(U1790="",NOT(ISNUMBER(L1790))),"",IF(L1790&lt;=0,"",ROUND(L1790*U1790,2)))</f>
        <v/>
      </c>
      <c r="W1790" s="60" t="str">
        <f>IF(AND(B1790&lt;&gt;"",A1790&lt;&gt;"BS",F1790&lt;&gt;"",H1790&lt;&gt;"",ISNUMBER(K1790),ISNUMBER(L1790)),IF(AND(K1790&gt;0,L1790&gt;0,K1790-L1790&gt;0,COUNTIFS(A1791:A$2005,A1790,F1791:F$2005,F1790,H1791:H$2005,H1790,AA1791:AA$2005,"&gt;0")=0),ROUND(K1790-L1790,6),""),"")</f>
        <v/>
      </c>
      <c r="X1790" s="60" t="str">
        <f>IF(AND(A1790="",C1790="",D1790="",H1790="",L1790=""),"",IF(A1790="","Type manquant",IF(AND(A1790&lt;&gt;"BL",A1790&lt;&gt;"BR",A1790&lt;&gt;"BS"),"Type inconnu (BL, BR ou BS)",IF(AG1790=0,"Date manquante ou invalide",IF(D1790="",IF(A1790="BL","Client manquant",IF(A1790="BR","Fournisseur manquant","Service manquant")),IF(IF(A1790="BL",ISNA(MATCH(D1790,cl_code,0)),IF(A1790="BR",ISNA(MATCH(D1790,fo_code,0)),ISNA(MATCH(D1790,p_services,0)))),IF(A1790="BL","Client inconnu",IF(A1790="BR","Fournisseur inconnu","Service inconnu")),IF(H1790="","Article manquant",IF(ISNA(MATCH(H1790,art_ref,0)),"Article inconnu",IF(OR(NOT(ISNUMBER(L1790)),N(L1790)&lt;=0),"Quantité invalide",IF(AND(K1790&lt;&gt;"",OR(NOT(ISNUMBER(K1790)),N(K1790)&lt;=0)),"Qté commandée invalide",IF(AG1790&lt;SUMPRODUCT(MAX((A$6:A1789=A1790)*AG$6:AG1789)),"Date antérieure au bon précédent",IF(AND(A1790&lt;&gt;"BR",ISNUMBER(M1790),N(M1790)&gt;0),IF(A1790="BL","Livré plus que commandé","Sorti plus que demandé"),"OK"))))))))))))</f>
        <v/>
      </c>
      <c r="Y1790" s="57" t="str">
        <f>IF(AND(OR(A1790="BL",A1790="BR",A1790="BS"),AG1790&gt;0,D1790&lt;&gt;""),A1790&amp;"|"&amp;AG1790&amp;"|"&amp;D1790&amp;"|"&amp;F1790,"")</f>
        <v/>
      </c>
      <c r="Z1790" s="57" t="str">
        <f>IF(Y1790="","",IF(COUNTIF(Y$6:Y1789,Y1790)=0,1,0))</f>
        <v/>
      </c>
      <c r="AA1790" s="57" t="str">
        <f>IF(Y1790="","",IF(Z1790=1,COUNTIFS(A$6:A1790,A1790,Z$6:Z1790,1),INDEX(AA$6:AA1789,MATCH(Y1790,Y$6:Y1789,0))))</f>
        <v/>
      </c>
      <c r="AB1790" s="57" t="str">
        <f>IF(B1790="","",COUNTIF(B$6:B1790,B1790))</f>
        <v/>
      </c>
      <c r="AC1790" s="57" t="str">
        <f>IF(B1790="","",B1790&amp;"#"&amp;AB1790)</f>
        <v/>
      </c>
      <c r="AD1790" s="57" t="str">
        <f>IF(Z1790=1,A1790&amp;AA1790,"")</f>
        <v/>
      </c>
      <c r="AE1790" s="57" t="str">
        <f>IF(B1790="","",YEAR(C1790))</f>
        <v/>
      </c>
      <c r="AF1790" s="57" t="str">
        <f>IF(B1790="","",MONTH(C1790))</f>
        <v/>
      </c>
      <c r="AG1790" s="57">
        <f>IF(ISNUMBER(C1790),C1790,0)</f>
        <v>0.0</v>
      </c>
      <c r="AH1790" s="57" t="str">
        <f>IF(N(W1790)&gt;0,COUNTIF(W$6:W1790,"&gt;0"),"")</f>
        <v/>
      </c>
      <c r="AI1790" s="57" t="str">
        <f>IF(Z1790=1,COUNTIF(Z$6:Z1790,1),"")</f>
        <v/>
      </c>
    </row>
    <row r="1791">
      <c r="A1791" s="54" t="n"/>
      <c r="B1791" s="55" t="str">
        <f>IF(AA1791="","",A1791&amp;"-"&amp;RIGHT("000"&amp;AA1791,4))</f>
        <v/>
      </c>
      <c r="C1791" s="56" t="n"/>
      <c r="D1791" s="54" t="n"/>
      <c r="E1791" s="57" t="str">
        <f>IF(D1791="","",IF(A1791="BL",IFERROR(INDEX(cl_name,MATCH(D1791,cl_code,0))&amp;"","Client inconnu"),IF(A1791="BR",IFERROR(INDEX(fo_name,MATCH(D1791,fo_code,0))&amp;"","Fournisseur inconnu"),IF(A1791="BS",IF(ISNA(MATCH(D1791,p_services,0)),"Service inconnu",D1791&amp;""),""))))</f>
        <v/>
      </c>
      <c r="F1791" s="58" t="n"/>
      <c r="G1791" s="58" t="n"/>
      <c r="H1791" s="59" t="n"/>
      <c r="I1791" s="57" t="str">
        <f>IF(H1791="","",IFERROR(INDEX(art_des,MATCH(H1791,art_ref,0))&amp;"","Article inconnu"))</f>
        <v/>
      </c>
      <c r="J1791" s="60" t="str">
        <f>IF(H1791="","",IFERROR(INDEX(art_unit,MATCH(H1791,art_ref,0))&amp;"",""))</f>
        <v/>
      </c>
      <c r="K1791" s="59" t="n"/>
      <c r="L1791" s="59" t="n"/>
      <c r="M1791" s="61" t="str">
        <f>IF(OR(B1791="",NOT(ISNUMBER(K1791)),NOT(ISNUMBER(L1791))),"",IF(OR(K1791&lt;=0,L1791&lt;=0),"",ROUND(L1791-K1791,6)))</f>
        <v/>
      </c>
      <c r="N1791" s="58" t="n"/>
      <c r="O1791" s="62" t="n"/>
      <c r="P1791" s="63" t="str">
        <f>IF(OR(B1791="",NOT(ISNUMBER(L1791))),"",IF(L1791&lt;=0,"",IFERROR(ROUND(L1791*N(INDEX(art_w,MATCH(H1791,art_ref,0))),3),"")))</f>
        <v/>
      </c>
      <c r="Q1791" s="59" t="n"/>
      <c r="R1791" s="54" t="n"/>
      <c r="S1791" s="59" t="n"/>
      <c r="T1791" s="59" t="n"/>
      <c r="U1791" s="64" t="str">
        <f>IF(OR(B1791="",H1791=""),"",IFERROR(IF(A1791="BL",IF(N(INDEX(art_price,MATCH(H1791,art_ref,0)))=0,"",N(INDEX(art_price,MATCH(H1791,art_ref,0)))),IF(N(INDEX(art_cost,MATCH(H1791,art_ref,0)))=0,"",N(INDEX(art_cost,MATCH(H1791,art_ref,0))))),""))</f>
        <v/>
      </c>
      <c r="V1791" s="64" t="str">
        <f>IF(OR(U1791="",NOT(ISNUMBER(L1791))),"",IF(L1791&lt;=0,"",ROUND(L1791*U1791,2)))</f>
        <v/>
      </c>
      <c r="W1791" s="60" t="str">
        <f>IF(AND(B1791&lt;&gt;"",A1791&lt;&gt;"BS",F1791&lt;&gt;"",H1791&lt;&gt;"",ISNUMBER(K1791),ISNUMBER(L1791)),IF(AND(K1791&gt;0,L1791&gt;0,K1791-L1791&gt;0,COUNTIFS(A1792:A$2005,A1791,F1792:F$2005,F1791,H1792:H$2005,H1791,AA1792:AA$2005,"&gt;0")=0),ROUND(K1791-L1791,6),""),"")</f>
        <v/>
      </c>
      <c r="X1791" s="60" t="str">
        <f>IF(AND(A1791="",C1791="",D1791="",H1791="",L1791=""),"",IF(A1791="","Type manquant",IF(AND(A1791&lt;&gt;"BL",A1791&lt;&gt;"BR",A1791&lt;&gt;"BS"),"Type inconnu (BL, BR ou BS)",IF(AG1791=0,"Date manquante ou invalide",IF(D1791="",IF(A1791="BL","Client manquant",IF(A1791="BR","Fournisseur manquant","Service manquant")),IF(IF(A1791="BL",ISNA(MATCH(D1791,cl_code,0)),IF(A1791="BR",ISNA(MATCH(D1791,fo_code,0)),ISNA(MATCH(D1791,p_services,0)))),IF(A1791="BL","Client inconnu",IF(A1791="BR","Fournisseur inconnu","Service inconnu")),IF(H1791="","Article manquant",IF(ISNA(MATCH(H1791,art_ref,0)),"Article inconnu",IF(OR(NOT(ISNUMBER(L1791)),N(L1791)&lt;=0),"Quantité invalide",IF(AND(K1791&lt;&gt;"",OR(NOT(ISNUMBER(K1791)),N(K1791)&lt;=0)),"Qté commandée invalide",IF(AG1791&lt;SUMPRODUCT(MAX((A$6:A1790=A1791)*AG$6:AG1790)),"Date antérieure au bon précédent",IF(AND(A1791&lt;&gt;"BR",ISNUMBER(M1791),N(M1791)&gt;0),IF(A1791="BL","Livré plus que commandé","Sorti plus que demandé"),"OK"))))))))))))</f>
        <v/>
      </c>
      <c r="Y1791" s="57" t="str">
        <f>IF(AND(OR(A1791="BL",A1791="BR",A1791="BS"),AG1791&gt;0,D1791&lt;&gt;""),A1791&amp;"|"&amp;AG1791&amp;"|"&amp;D1791&amp;"|"&amp;F1791,"")</f>
        <v/>
      </c>
      <c r="Z1791" s="57" t="str">
        <f>IF(Y1791="","",IF(COUNTIF(Y$6:Y1790,Y1791)=0,1,0))</f>
        <v/>
      </c>
      <c r="AA1791" s="57" t="str">
        <f>IF(Y1791="","",IF(Z1791=1,COUNTIFS(A$6:A1791,A1791,Z$6:Z1791,1),INDEX(AA$6:AA1790,MATCH(Y1791,Y$6:Y1790,0))))</f>
        <v/>
      </c>
      <c r="AB1791" s="57" t="str">
        <f>IF(B1791="","",COUNTIF(B$6:B1791,B1791))</f>
        <v/>
      </c>
      <c r="AC1791" s="57" t="str">
        <f>IF(B1791="","",B1791&amp;"#"&amp;AB1791)</f>
        <v/>
      </c>
      <c r="AD1791" s="57" t="str">
        <f>IF(Z1791=1,A1791&amp;AA1791,"")</f>
        <v/>
      </c>
      <c r="AE1791" s="57" t="str">
        <f>IF(B1791="","",YEAR(C1791))</f>
        <v/>
      </c>
      <c r="AF1791" s="57" t="str">
        <f>IF(B1791="","",MONTH(C1791))</f>
        <v/>
      </c>
      <c r="AG1791" s="57">
        <f>IF(ISNUMBER(C1791),C1791,0)</f>
        <v>0.0</v>
      </c>
      <c r="AH1791" s="57" t="str">
        <f>IF(N(W1791)&gt;0,COUNTIF(W$6:W1791,"&gt;0"),"")</f>
        <v/>
      </c>
      <c r="AI1791" s="57" t="str">
        <f>IF(Z1791=1,COUNTIF(Z$6:Z1791,1),"")</f>
        <v/>
      </c>
    </row>
    <row r="1792">
      <c r="A1792" s="54" t="n"/>
      <c r="B1792" s="55" t="str">
        <f>IF(AA1792="","",A1792&amp;"-"&amp;RIGHT("000"&amp;AA1792,4))</f>
        <v/>
      </c>
      <c r="C1792" s="56" t="n"/>
      <c r="D1792" s="54" t="n"/>
      <c r="E1792" s="57" t="str">
        <f>IF(D1792="","",IF(A1792="BL",IFERROR(INDEX(cl_name,MATCH(D1792,cl_code,0))&amp;"","Client inconnu"),IF(A1792="BR",IFERROR(INDEX(fo_name,MATCH(D1792,fo_code,0))&amp;"","Fournisseur inconnu"),IF(A1792="BS",IF(ISNA(MATCH(D1792,p_services,0)),"Service inconnu",D1792&amp;""),""))))</f>
        <v/>
      </c>
      <c r="F1792" s="58" t="n"/>
      <c r="G1792" s="58" t="n"/>
      <c r="H1792" s="59" t="n"/>
      <c r="I1792" s="57" t="str">
        <f>IF(H1792="","",IFERROR(INDEX(art_des,MATCH(H1792,art_ref,0))&amp;"","Article inconnu"))</f>
        <v/>
      </c>
      <c r="J1792" s="60" t="str">
        <f>IF(H1792="","",IFERROR(INDEX(art_unit,MATCH(H1792,art_ref,0))&amp;"",""))</f>
        <v/>
      </c>
      <c r="K1792" s="59" t="n"/>
      <c r="L1792" s="59" t="n"/>
      <c r="M1792" s="61" t="str">
        <f>IF(OR(B1792="",NOT(ISNUMBER(K1792)),NOT(ISNUMBER(L1792))),"",IF(OR(K1792&lt;=0,L1792&lt;=0),"",ROUND(L1792-K1792,6)))</f>
        <v/>
      </c>
      <c r="N1792" s="58" t="n"/>
      <c r="O1792" s="62" t="n"/>
      <c r="P1792" s="63" t="str">
        <f>IF(OR(B1792="",NOT(ISNUMBER(L1792))),"",IF(L1792&lt;=0,"",IFERROR(ROUND(L1792*N(INDEX(art_w,MATCH(H1792,art_ref,0))),3),"")))</f>
        <v/>
      </c>
      <c r="Q1792" s="59" t="n"/>
      <c r="R1792" s="54" t="n"/>
      <c r="S1792" s="59" t="n"/>
      <c r="T1792" s="59" t="n"/>
      <c r="U1792" s="64" t="str">
        <f>IF(OR(B1792="",H1792=""),"",IFERROR(IF(A1792="BL",IF(N(INDEX(art_price,MATCH(H1792,art_ref,0)))=0,"",N(INDEX(art_price,MATCH(H1792,art_ref,0)))),IF(N(INDEX(art_cost,MATCH(H1792,art_ref,0)))=0,"",N(INDEX(art_cost,MATCH(H1792,art_ref,0))))),""))</f>
        <v/>
      </c>
      <c r="V1792" s="64" t="str">
        <f>IF(OR(U1792="",NOT(ISNUMBER(L1792))),"",IF(L1792&lt;=0,"",ROUND(L1792*U1792,2)))</f>
        <v/>
      </c>
      <c r="W1792" s="60" t="str">
        <f>IF(AND(B1792&lt;&gt;"",A1792&lt;&gt;"BS",F1792&lt;&gt;"",H1792&lt;&gt;"",ISNUMBER(K1792),ISNUMBER(L1792)),IF(AND(K1792&gt;0,L1792&gt;0,K1792-L1792&gt;0,COUNTIFS(A1793:A$2005,A1792,F1793:F$2005,F1792,H1793:H$2005,H1792,AA1793:AA$2005,"&gt;0")=0),ROUND(K1792-L1792,6),""),"")</f>
        <v/>
      </c>
      <c r="X1792" s="60" t="str">
        <f>IF(AND(A1792="",C1792="",D1792="",H1792="",L1792=""),"",IF(A1792="","Type manquant",IF(AND(A1792&lt;&gt;"BL",A1792&lt;&gt;"BR",A1792&lt;&gt;"BS"),"Type inconnu (BL, BR ou BS)",IF(AG1792=0,"Date manquante ou invalide",IF(D1792="",IF(A1792="BL","Client manquant",IF(A1792="BR","Fournisseur manquant","Service manquant")),IF(IF(A1792="BL",ISNA(MATCH(D1792,cl_code,0)),IF(A1792="BR",ISNA(MATCH(D1792,fo_code,0)),ISNA(MATCH(D1792,p_services,0)))),IF(A1792="BL","Client inconnu",IF(A1792="BR","Fournisseur inconnu","Service inconnu")),IF(H1792="","Article manquant",IF(ISNA(MATCH(H1792,art_ref,0)),"Article inconnu",IF(OR(NOT(ISNUMBER(L1792)),N(L1792)&lt;=0),"Quantité invalide",IF(AND(K1792&lt;&gt;"",OR(NOT(ISNUMBER(K1792)),N(K1792)&lt;=0)),"Qté commandée invalide",IF(AG1792&lt;SUMPRODUCT(MAX((A$6:A1791=A1792)*AG$6:AG1791)),"Date antérieure au bon précédent",IF(AND(A1792&lt;&gt;"BR",ISNUMBER(M1792),N(M1792)&gt;0),IF(A1792="BL","Livré plus que commandé","Sorti plus que demandé"),"OK"))))))))))))</f>
        <v/>
      </c>
      <c r="Y1792" s="57" t="str">
        <f>IF(AND(OR(A1792="BL",A1792="BR",A1792="BS"),AG1792&gt;0,D1792&lt;&gt;""),A1792&amp;"|"&amp;AG1792&amp;"|"&amp;D1792&amp;"|"&amp;F1792,"")</f>
        <v/>
      </c>
      <c r="Z1792" s="57" t="str">
        <f>IF(Y1792="","",IF(COUNTIF(Y$6:Y1791,Y1792)=0,1,0))</f>
        <v/>
      </c>
      <c r="AA1792" s="57" t="str">
        <f>IF(Y1792="","",IF(Z1792=1,COUNTIFS(A$6:A1792,A1792,Z$6:Z1792,1),INDEX(AA$6:AA1791,MATCH(Y1792,Y$6:Y1791,0))))</f>
        <v/>
      </c>
      <c r="AB1792" s="57" t="str">
        <f>IF(B1792="","",COUNTIF(B$6:B1792,B1792))</f>
        <v/>
      </c>
      <c r="AC1792" s="57" t="str">
        <f>IF(B1792="","",B1792&amp;"#"&amp;AB1792)</f>
        <v/>
      </c>
      <c r="AD1792" s="57" t="str">
        <f>IF(Z1792=1,A1792&amp;AA1792,"")</f>
        <v/>
      </c>
      <c r="AE1792" s="57" t="str">
        <f>IF(B1792="","",YEAR(C1792))</f>
        <v/>
      </c>
      <c r="AF1792" s="57" t="str">
        <f>IF(B1792="","",MONTH(C1792))</f>
        <v/>
      </c>
      <c r="AG1792" s="57">
        <f>IF(ISNUMBER(C1792),C1792,0)</f>
        <v>0.0</v>
      </c>
      <c r="AH1792" s="57" t="str">
        <f>IF(N(W1792)&gt;0,COUNTIF(W$6:W1792,"&gt;0"),"")</f>
        <v/>
      </c>
      <c r="AI1792" s="57" t="str">
        <f>IF(Z1792=1,COUNTIF(Z$6:Z1792,1),"")</f>
        <v/>
      </c>
    </row>
    <row r="1793">
      <c r="A1793" s="54" t="n"/>
      <c r="B1793" s="55" t="str">
        <f>IF(AA1793="","",A1793&amp;"-"&amp;RIGHT("000"&amp;AA1793,4))</f>
        <v/>
      </c>
      <c r="C1793" s="56" t="n"/>
      <c r="D1793" s="54" t="n"/>
      <c r="E1793" s="57" t="str">
        <f>IF(D1793="","",IF(A1793="BL",IFERROR(INDEX(cl_name,MATCH(D1793,cl_code,0))&amp;"","Client inconnu"),IF(A1793="BR",IFERROR(INDEX(fo_name,MATCH(D1793,fo_code,0))&amp;"","Fournisseur inconnu"),IF(A1793="BS",IF(ISNA(MATCH(D1793,p_services,0)),"Service inconnu",D1793&amp;""),""))))</f>
        <v/>
      </c>
      <c r="F1793" s="58" t="n"/>
      <c r="G1793" s="58" t="n"/>
      <c r="H1793" s="59" t="n"/>
      <c r="I1793" s="57" t="str">
        <f>IF(H1793="","",IFERROR(INDEX(art_des,MATCH(H1793,art_ref,0))&amp;"","Article inconnu"))</f>
        <v/>
      </c>
      <c r="J1793" s="60" t="str">
        <f>IF(H1793="","",IFERROR(INDEX(art_unit,MATCH(H1793,art_ref,0))&amp;"",""))</f>
        <v/>
      </c>
      <c r="K1793" s="59" t="n"/>
      <c r="L1793" s="59" t="n"/>
      <c r="M1793" s="61" t="str">
        <f>IF(OR(B1793="",NOT(ISNUMBER(K1793)),NOT(ISNUMBER(L1793))),"",IF(OR(K1793&lt;=0,L1793&lt;=0),"",ROUND(L1793-K1793,6)))</f>
        <v/>
      </c>
      <c r="N1793" s="58" t="n"/>
      <c r="O1793" s="62" t="n"/>
      <c r="P1793" s="63" t="str">
        <f>IF(OR(B1793="",NOT(ISNUMBER(L1793))),"",IF(L1793&lt;=0,"",IFERROR(ROUND(L1793*N(INDEX(art_w,MATCH(H1793,art_ref,0))),3),"")))</f>
        <v/>
      </c>
      <c r="Q1793" s="59" t="n"/>
      <c r="R1793" s="54" t="n"/>
      <c r="S1793" s="59" t="n"/>
      <c r="T1793" s="59" t="n"/>
      <c r="U1793" s="64" t="str">
        <f>IF(OR(B1793="",H1793=""),"",IFERROR(IF(A1793="BL",IF(N(INDEX(art_price,MATCH(H1793,art_ref,0)))=0,"",N(INDEX(art_price,MATCH(H1793,art_ref,0)))),IF(N(INDEX(art_cost,MATCH(H1793,art_ref,0)))=0,"",N(INDEX(art_cost,MATCH(H1793,art_ref,0))))),""))</f>
        <v/>
      </c>
      <c r="V1793" s="64" t="str">
        <f>IF(OR(U1793="",NOT(ISNUMBER(L1793))),"",IF(L1793&lt;=0,"",ROUND(L1793*U1793,2)))</f>
        <v/>
      </c>
      <c r="W1793" s="60" t="str">
        <f>IF(AND(B1793&lt;&gt;"",A1793&lt;&gt;"BS",F1793&lt;&gt;"",H1793&lt;&gt;"",ISNUMBER(K1793),ISNUMBER(L1793)),IF(AND(K1793&gt;0,L1793&gt;0,K1793-L1793&gt;0,COUNTIFS(A1794:A$2005,A1793,F1794:F$2005,F1793,H1794:H$2005,H1793,AA1794:AA$2005,"&gt;0")=0),ROUND(K1793-L1793,6),""),"")</f>
        <v/>
      </c>
      <c r="X1793" s="60" t="str">
        <f>IF(AND(A1793="",C1793="",D1793="",H1793="",L1793=""),"",IF(A1793="","Type manquant",IF(AND(A1793&lt;&gt;"BL",A1793&lt;&gt;"BR",A1793&lt;&gt;"BS"),"Type inconnu (BL, BR ou BS)",IF(AG1793=0,"Date manquante ou invalide",IF(D1793="",IF(A1793="BL","Client manquant",IF(A1793="BR","Fournisseur manquant","Service manquant")),IF(IF(A1793="BL",ISNA(MATCH(D1793,cl_code,0)),IF(A1793="BR",ISNA(MATCH(D1793,fo_code,0)),ISNA(MATCH(D1793,p_services,0)))),IF(A1793="BL","Client inconnu",IF(A1793="BR","Fournisseur inconnu","Service inconnu")),IF(H1793="","Article manquant",IF(ISNA(MATCH(H1793,art_ref,0)),"Article inconnu",IF(OR(NOT(ISNUMBER(L1793)),N(L1793)&lt;=0),"Quantité invalide",IF(AND(K1793&lt;&gt;"",OR(NOT(ISNUMBER(K1793)),N(K1793)&lt;=0)),"Qté commandée invalide",IF(AG1793&lt;SUMPRODUCT(MAX((A$6:A1792=A1793)*AG$6:AG1792)),"Date antérieure au bon précédent",IF(AND(A1793&lt;&gt;"BR",ISNUMBER(M1793),N(M1793)&gt;0),IF(A1793="BL","Livré plus que commandé","Sorti plus que demandé"),"OK"))))))))))))</f>
        <v/>
      </c>
      <c r="Y1793" s="57" t="str">
        <f>IF(AND(OR(A1793="BL",A1793="BR",A1793="BS"),AG1793&gt;0,D1793&lt;&gt;""),A1793&amp;"|"&amp;AG1793&amp;"|"&amp;D1793&amp;"|"&amp;F1793,"")</f>
        <v/>
      </c>
      <c r="Z1793" s="57" t="str">
        <f>IF(Y1793="","",IF(COUNTIF(Y$6:Y1792,Y1793)=0,1,0))</f>
        <v/>
      </c>
      <c r="AA1793" s="57" t="str">
        <f>IF(Y1793="","",IF(Z1793=1,COUNTIFS(A$6:A1793,A1793,Z$6:Z1793,1),INDEX(AA$6:AA1792,MATCH(Y1793,Y$6:Y1792,0))))</f>
        <v/>
      </c>
      <c r="AB1793" s="57" t="str">
        <f>IF(B1793="","",COUNTIF(B$6:B1793,B1793))</f>
        <v/>
      </c>
      <c r="AC1793" s="57" t="str">
        <f>IF(B1793="","",B1793&amp;"#"&amp;AB1793)</f>
        <v/>
      </c>
      <c r="AD1793" s="57" t="str">
        <f>IF(Z1793=1,A1793&amp;AA1793,"")</f>
        <v/>
      </c>
      <c r="AE1793" s="57" t="str">
        <f>IF(B1793="","",YEAR(C1793))</f>
        <v/>
      </c>
      <c r="AF1793" s="57" t="str">
        <f>IF(B1793="","",MONTH(C1793))</f>
        <v/>
      </c>
      <c r="AG1793" s="57">
        <f>IF(ISNUMBER(C1793),C1793,0)</f>
        <v>0.0</v>
      </c>
      <c r="AH1793" s="57" t="str">
        <f>IF(N(W1793)&gt;0,COUNTIF(W$6:W1793,"&gt;0"),"")</f>
        <v/>
      </c>
      <c r="AI1793" s="57" t="str">
        <f>IF(Z1793=1,COUNTIF(Z$6:Z1793,1),"")</f>
        <v/>
      </c>
    </row>
    <row r="1794">
      <c r="A1794" s="54" t="n"/>
      <c r="B1794" s="55" t="str">
        <f>IF(AA1794="","",A1794&amp;"-"&amp;RIGHT("000"&amp;AA1794,4))</f>
        <v/>
      </c>
      <c r="C1794" s="56" t="n"/>
      <c r="D1794" s="54" t="n"/>
      <c r="E1794" s="57" t="str">
        <f>IF(D1794="","",IF(A1794="BL",IFERROR(INDEX(cl_name,MATCH(D1794,cl_code,0))&amp;"","Client inconnu"),IF(A1794="BR",IFERROR(INDEX(fo_name,MATCH(D1794,fo_code,0))&amp;"","Fournisseur inconnu"),IF(A1794="BS",IF(ISNA(MATCH(D1794,p_services,0)),"Service inconnu",D1794&amp;""),""))))</f>
        <v/>
      </c>
      <c r="F1794" s="58" t="n"/>
      <c r="G1794" s="58" t="n"/>
      <c r="H1794" s="59" t="n"/>
      <c r="I1794" s="57" t="str">
        <f>IF(H1794="","",IFERROR(INDEX(art_des,MATCH(H1794,art_ref,0))&amp;"","Article inconnu"))</f>
        <v/>
      </c>
      <c r="J1794" s="60" t="str">
        <f>IF(H1794="","",IFERROR(INDEX(art_unit,MATCH(H1794,art_ref,0))&amp;"",""))</f>
        <v/>
      </c>
      <c r="K1794" s="59" t="n"/>
      <c r="L1794" s="59" t="n"/>
      <c r="M1794" s="61" t="str">
        <f>IF(OR(B1794="",NOT(ISNUMBER(K1794)),NOT(ISNUMBER(L1794))),"",IF(OR(K1794&lt;=0,L1794&lt;=0),"",ROUND(L1794-K1794,6)))</f>
        <v/>
      </c>
      <c r="N1794" s="58" t="n"/>
      <c r="O1794" s="62" t="n"/>
      <c r="P1794" s="63" t="str">
        <f>IF(OR(B1794="",NOT(ISNUMBER(L1794))),"",IF(L1794&lt;=0,"",IFERROR(ROUND(L1794*N(INDEX(art_w,MATCH(H1794,art_ref,0))),3),"")))</f>
        <v/>
      </c>
      <c r="Q1794" s="59" t="n"/>
      <c r="R1794" s="54" t="n"/>
      <c r="S1794" s="59" t="n"/>
      <c r="T1794" s="59" t="n"/>
      <c r="U1794" s="64" t="str">
        <f>IF(OR(B1794="",H1794=""),"",IFERROR(IF(A1794="BL",IF(N(INDEX(art_price,MATCH(H1794,art_ref,0)))=0,"",N(INDEX(art_price,MATCH(H1794,art_ref,0)))),IF(N(INDEX(art_cost,MATCH(H1794,art_ref,0)))=0,"",N(INDEX(art_cost,MATCH(H1794,art_ref,0))))),""))</f>
        <v/>
      </c>
      <c r="V1794" s="64" t="str">
        <f>IF(OR(U1794="",NOT(ISNUMBER(L1794))),"",IF(L1794&lt;=0,"",ROUND(L1794*U1794,2)))</f>
        <v/>
      </c>
      <c r="W1794" s="60" t="str">
        <f>IF(AND(B1794&lt;&gt;"",A1794&lt;&gt;"BS",F1794&lt;&gt;"",H1794&lt;&gt;"",ISNUMBER(K1794),ISNUMBER(L1794)),IF(AND(K1794&gt;0,L1794&gt;0,K1794-L1794&gt;0,COUNTIFS(A1795:A$2005,A1794,F1795:F$2005,F1794,H1795:H$2005,H1794,AA1795:AA$2005,"&gt;0")=0),ROUND(K1794-L1794,6),""),"")</f>
        <v/>
      </c>
      <c r="X1794" s="60" t="str">
        <f>IF(AND(A1794="",C1794="",D1794="",H1794="",L1794=""),"",IF(A1794="","Type manquant",IF(AND(A1794&lt;&gt;"BL",A1794&lt;&gt;"BR",A1794&lt;&gt;"BS"),"Type inconnu (BL, BR ou BS)",IF(AG1794=0,"Date manquante ou invalide",IF(D1794="",IF(A1794="BL","Client manquant",IF(A1794="BR","Fournisseur manquant","Service manquant")),IF(IF(A1794="BL",ISNA(MATCH(D1794,cl_code,0)),IF(A1794="BR",ISNA(MATCH(D1794,fo_code,0)),ISNA(MATCH(D1794,p_services,0)))),IF(A1794="BL","Client inconnu",IF(A1794="BR","Fournisseur inconnu","Service inconnu")),IF(H1794="","Article manquant",IF(ISNA(MATCH(H1794,art_ref,0)),"Article inconnu",IF(OR(NOT(ISNUMBER(L1794)),N(L1794)&lt;=0),"Quantité invalide",IF(AND(K1794&lt;&gt;"",OR(NOT(ISNUMBER(K1794)),N(K1794)&lt;=0)),"Qté commandée invalide",IF(AG1794&lt;SUMPRODUCT(MAX((A$6:A1793=A1794)*AG$6:AG1793)),"Date antérieure au bon précédent",IF(AND(A1794&lt;&gt;"BR",ISNUMBER(M1794),N(M1794)&gt;0),IF(A1794="BL","Livré plus que commandé","Sorti plus que demandé"),"OK"))))))))))))</f>
        <v/>
      </c>
      <c r="Y1794" s="57" t="str">
        <f>IF(AND(OR(A1794="BL",A1794="BR",A1794="BS"),AG1794&gt;0,D1794&lt;&gt;""),A1794&amp;"|"&amp;AG1794&amp;"|"&amp;D1794&amp;"|"&amp;F1794,"")</f>
        <v/>
      </c>
      <c r="Z1794" s="57" t="str">
        <f>IF(Y1794="","",IF(COUNTIF(Y$6:Y1793,Y1794)=0,1,0))</f>
        <v/>
      </c>
      <c r="AA1794" s="57" t="str">
        <f>IF(Y1794="","",IF(Z1794=1,COUNTIFS(A$6:A1794,A1794,Z$6:Z1794,1),INDEX(AA$6:AA1793,MATCH(Y1794,Y$6:Y1793,0))))</f>
        <v/>
      </c>
      <c r="AB1794" s="57" t="str">
        <f>IF(B1794="","",COUNTIF(B$6:B1794,B1794))</f>
        <v/>
      </c>
      <c r="AC1794" s="57" t="str">
        <f>IF(B1794="","",B1794&amp;"#"&amp;AB1794)</f>
        <v/>
      </c>
      <c r="AD1794" s="57" t="str">
        <f>IF(Z1794=1,A1794&amp;AA1794,"")</f>
        <v/>
      </c>
      <c r="AE1794" s="57" t="str">
        <f>IF(B1794="","",YEAR(C1794))</f>
        <v/>
      </c>
      <c r="AF1794" s="57" t="str">
        <f>IF(B1794="","",MONTH(C1794))</f>
        <v/>
      </c>
      <c r="AG1794" s="57">
        <f>IF(ISNUMBER(C1794),C1794,0)</f>
        <v>0.0</v>
      </c>
      <c r="AH1794" s="57" t="str">
        <f>IF(N(W1794)&gt;0,COUNTIF(W$6:W1794,"&gt;0"),"")</f>
        <v/>
      </c>
      <c r="AI1794" s="57" t="str">
        <f>IF(Z1794=1,COUNTIF(Z$6:Z1794,1),"")</f>
        <v/>
      </c>
    </row>
    <row r="1795">
      <c r="A1795" s="54" t="n"/>
      <c r="B1795" s="55" t="str">
        <f>IF(AA1795="","",A1795&amp;"-"&amp;RIGHT("000"&amp;AA1795,4))</f>
        <v/>
      </c>
      <c r="C1795" s="56" t="n"/>
      <c r="D1795" s="54" t="n"/>
      <c r="E1795" s="57" t="str">
        <f>IF(D1795="","",IF(A1795="BL",IFERROR(INDEX(cl_name,MATCH(D1795,cl_code,0))&amp;"","Client inconnu"),IF(A1795="BR",IFERROR(INDEX(fo_name,MATCH(D1795,fo_code,0))&amp;"","Fournisseur inconnu"),IF(A1795="BS",IF(ISNA(MATCH(D1795,p_services,0)),"Service inconnu",D1795&amp;""),""))))</f>
        <v/>
      </c>
      <c r="F1795" s="58" t="n"/>
      <c r="G1795" s="58" t="n"/>
      <c r="H1795" s="59" t="n"/>
      <c r="I1795" s="57" t="str">
        <f>IF(H1795="","",IFERROR(INDEX(art_des,MATCH(H1795,art_ref,0))&amp;"","Article inconnu"))</f>
        <v/>
      </c>
      <c r="J1795" s="60" t="str">
        <f>IF(H1795="","",IFERROR(INDEX(art_unit,MATCH(H1795,art_ref,0))&amp;"",""))</f>
        <v/>
      </c>
      <c r="K1795" s="59" t="n"/>
      <c r="L1795" s="59" t="n"/>
      <c r="M1795" s="61" t="str">
        <f>IF(OR(B1795="",NOT(ISNUMBER(K1795)),NOT(ISNUMBER(L1795))),"",IF(OR(K1795&lt;=0,L1795&lt;=0),"",ROUND(L1795-K1795,6)))</f>
        <v/>
      </c>
      <c r="N1795" s="58" t="n"/>
      <c r="O1795" s="62" t="n"/>
      <c r="P1795" s="63" t="str">
        <f>IF(OR(B1795="",NOT(ISNUMBER(L1795))),"",IF(L1795&lt;=0,"",IFERROR(ROUND(L1795*N(INDEX(art_w,MATCH(H1795,art_ref,0))),3),"")))</f>
        <v/>
      </c>
      <c r="Q1795" s="59" t="n"/>
      <c r="R1795" s="54" t="n"/>
      <c r="S1795" s="59" t="n"/>
      <c r="T1795" s="59" t="n"/>
      <c r="U1795" s="64" t="str">
        <f>IF(OR(B1795="",H1795=""),"",IFERROR(IF(A1795="BL",IF(N(INDEX(art_price,MATCH(H1795,art_ref,0)))=0,"",N(INDEX(art_price,MATCH(H1795,art_ref,0)))),IF(N(INDEX(art_cost,MATCH(H1795,art_ref,0)))=0,"",N(INDEX(art_cost,MATCH(H1795,art_ref,0))))),""))</f>
        <v/>
      </c>
      <c r="V1795" s="64" t="str">
        <f>IF(OR(U1795="",NOT(ISNUMBER(L1795))),"",IF(L1795&lt;=0,"",ROUND(L1795*U1795,2)))</f>
        <v/>
      </c>
      <c r="W1795" s="60" t="str">
        <f>IF(AND(B1795&lt;&gt;"",A1795&lt;&gt;"BS",F1795&lt;&gt;"",H1795&lt;&gt;"",ISNUMBER(K1795),ISNUMBER(L1795)),IF(AND(K1795&gt;0,L1795&gt;0,K1795-L1795&gt;0,COUNTIFS(A1796:A$2005,A1795,F1796:F$2005,F1795,H1796:H$2005,H1795,AA1796:AA$2005,"&gt;0")=0),ROUND(K1795-L1795,6),""),"")</f>
        <v/>
      </c>
      <c r="X1795" s="60" t="str">
        <f>IF(AND(A1795="",C1795="",D1795="",H1795="",L1795=""),"",IF(A1795="","Type manquant",IF(AND(A1795&lt;&gt;"BL",A1795&lt;&gt;"BR",A1795&lt;&gt;"BS"),"Type inconnu (BL, BR ou BS)",IF(AG1795=0,"Date manquante ou invalide",IF(D1795="",IF(A1795="BL","Client manquant",IF(A1795="BR","Fournisseur manquant","Service manquant")),IF(IF(A1795="BL",ISNA(MATCH(D1795,cl_code,0)),IF(A1795="BR",ISNA(MATCH(D1795,fo_code,0)),ISNA(MATCH(D1795,p_services,0)))),IF(A1795="BL","Client inconnu",IF(A1795="BR","Fournisseur inconnu","Service inconnu")),IF(H1795="","Article manquant",IF(ISNA(MATCH(H1795,art_ref,0)),"Article inconnu",IF(OR(NOT(ISNUMBER(L1795)),N(L1795)&lt;=0),"Quantité invalide",IF(AND(K1795&lt;&gt;"",OR(NOT(ISNUMBER(K1795)),N(K1795)&lt;=0)),"Qté commandée invalide",IF(AG1795&lt;SUMPRODUCT(MAX((A$6:A1794=A1795)*AG$6:AG1794)),"Date antérieure au bon précédent",IF(AND(A1795&lt;&gt;"BR",ISNUMBER(M1795),N(M1795)&gt;0),IF(A1795="BL","Livré plus que commandé","Sorti plus que demandé"),"OK"))))))))))))</f>
        <v/>
      </c>
      <c r="Y1795" s="57" t="str">
        <f>IF(AND(OR(A1795="BL",A1795="BR",A1795="BS"),AG1795&gt;0,D1795&lt;&gt;""),A1795&amp;"|"&amp;AG1795&amp;"|"&amp;D1795&amp;"|"&amp;F1795,"")</f>
        <v/>
      </c>
      <c r="Z1795" s="57" t="str">
        <f>IF(Y1795="","",IF(COUNTIF(Y$6:Y1794,Y1795)=0,1,0))</f>
        <v/>
      </c>
      <c r="AA1795" s="57" t="str">
        <f>IF(Y1795="","",IF(Z1795=1,COUNTIFS(A$6:A1795,A1795,Z$6:Z1795,1),INDEX(AA$6:AA1794,MATCH(Y1795,Y$6:Y1794,0))))</f>
        <v/>
      </c>
      <c r="AB1795" s="57" t="str">
        <f>IF(B1795="","",COUNTIF(B$6:B1795,B1795))</f>
        <v/>
      </c>
      <c r="AC1795" s="57" t="str">
        <f>IF(B1795="","",B1795&amp;"#"&amp;AB1795)</f>
        <v/>
      </c>
      <c r="AD1795" s="57" t="str">
        <f>IF(Z1795=1,A1795&amp;AA1795,"")</f>
        <v/>
      </c>
      <c r="AE1795" s="57" t="str">
        <f>IF(B1795="","",YEAR(C1795))</f>
        <v/>
      </c>
      <c r="AF1795" s="57" t="str">
        <f>IF(B1795="","",MONTH(C1795))</f>
        <v/>
      </c>
      <c r="AG1795" s="57">
        <f>IF(ISNUMBER(C1795),C1795,0)</f>
        <v>0.0</v>
      </c>
      <c r="AH1795" s="57" t="str">
        <f>IF(N(W1795)&gt;0,COUNTIF(W$6:W1795,"&gt;0"),"")</f>
        <v/>
      </c>
      <c r="AI1795" s="57" t="str">
        <f>IF(Z1795=1,COUNTIF(Z$6:Z1795,1),"")</f>
        <v/>
      </c>
    </row>
    <row r="1796">
      <c r="A1796" s="54" t="n"/>
      <c r="B1796" s="55" t="str">
        <f>IF(AA1796="","",A1796&amp;"-"&amp;RIGHT("000"&amp;AA1796,4))</f>
        <v/>
      </c>
      <c r="C1796" s="56" t="n"/>
      <c r="D1796" s="54" t="n"/>
      <c r="E1796" s="57" t="str">
        <f>IF(D1796="","",IF(A1796="BL",IFERROR(INDEX(cl_name,MATCH(D1796,cl_code,0))&amp;"","Client inconnu"),IF(A1796="BR",IFERROR(INDEX(fo_name,MATCH(D1796,fo_code,0))&amp;"","Fournisseur inconnu"),IF(A1796="BS",IF(ISNA(MATCH(D1796,p_services,0)),"Service inconnu",D1796&amp;""),""))))</f>
        <v/>
      </c>
      <c r="F1796" s="58" t="n"/>
      <c r="G1796" s="58" t="n"/>
      <c r="H1796" s="59" t="n"/>
      <c r="I1796" s="57" t="str">
        <f>IF(H1796="","",IFERROR(INDEX(art_des,MATCH(H1796,art_ref,0))&amp;"","Article inconnu"))</f>
        <v/>
      </c>
      <c r="J1796" s="60" t="str">
        <f>IF(H1796="","",IFERROR(INDEX(art_unit,MATCH(H1796,art_ref,0))&amp;"",""))</f>
        <v/>
      </c>
      <c r="K1796" s="59" t="n"/>
      <c r="L1796" s="59" t="n"/>
      <c r="M1796" s="61" t="str">
        <f>IF(OR(B1796="",NOT(ISNUMBER(K1796)),NOT(ISNUMBER(L1796))),"",IF(OR(K1796&lt;=0,L1796&lt;=0),"",ROUND(L1796-K1796,6)))</f>
        <v/>
      </c>
      <c r="N1796" s="58" t="n"/>
      <c r="O1796" s="62" t="n"/>
      <c r="P1796" s="63" t="str">
        <f>IF(OR(B1796="",NOT(ISNUMBER(L1796))),"",IF(L1796&lt;=0,"",IFERROR(ROUND(L1796*N(INDEX(art_w,MATCH(H1796,art_ref,0))),3),"")))</f>
        <v/>
      </c>
      <c r="Q1796" s="59" t="n"/>
      <c r="R1796" s="54" t="n"/>
      <c r="S1796" s="59" t="n"/>
      <c r="T1796" s="59" t="n"/>
      <c r="U1796" s="64" t="str">
        <f>IF(OR(B1796="",H1796=""),"",IFERROR(IF(A1796="BL",IF(N(INDEX(art_price,MATCH(H1796,art_ref,0)))=0,"",N(INDEX(art_price,MATCH(H1796,art_ref,0)))),IF(N(INDEX(art_cost,MATCH(H1796,art_ref,0)))=0,"",N(INDEX(art_cost,MATCH(H1796,art_ref,0))))),""))</f>
        <v/>
      </c>
      <c r="V1796" s="64" t="str">
        <f>IF(OR(U1796="",NOT(ISNUMBER(L1796))),"",IF(L1796&lt;=0,"",ROUND(L1796*U1796,2)))</f>
        <v/>
      </c>
      <c r="W1796" s="60" t="str">
        <f>IF(AND(B1796&lt;&gt;"",A1796&lt;&gt;"BS",F1796&lt;&gt;"",H1796&lt;&gt;"",ISNUMBER(K1796),ISNUMBER(L1796)),IF(AND(K1796&gt;0,L1796&gt;0,K1796-L1796&gt;0,COUNTIFS(A1797:A$2005,A1796,F1797:F$2005,F1796,H1797:H$2005,H1796,AA1797:AA$2005,"&gt;0")=0),ROUND(K1796-L1796,6),""),"")</f>
        <v/>
      </c>
      <c r="X1796" s="60" t="str">
        <f>IF(AND(A1796="",C1796="",D1796="",H1796="",L1796=""),"",IF(A1796="","Type manquant",IF(AND(A1796&lt;&gt;"BL",A1796&lt;&gt;"BR",A1796&lt;&gt;"BS"),"Type inconnu (BL, BR ou BS)",IF(AG1796=0,"Date manquante ou invalide",IF(D1796="",IF(A1796="BL","Client manquant",IF(A1796="BR","Fournisseur manquant","Service manquant")),IF(IF(A1796="BL",ISNA(MATCH(D1796,cl_code,0)),IF(A1796="BR",ISNA(MATCH(D1796,fo_code,0)),ISNA(MATCH(D1796,p_services,0)))),IF(A1796="BL","Client inconnu",IF(A1796="BR","Fournisseur inconnu","Service inconnu")),IF(H1796="","Article manquant",IF(ISNA(MATCH(H1796,art_ref,0)),"Article inconnu",IF(OR(NOT(ISNUMBER(L1796)),N(L1796)&lt;=0),"Quantité invalide",IF(AND(K1796&lt;&gt;"",OR(NOT(ISNUMBER(K1796)),N(K1796)&lt;=0)),"Qté commandée invalide",IF(AG1796&lt;SUMPRODUCT(MAX((A$6:A1795=A1796)*AG$6:AG1795)),"Date antérieure au bon précédent",IF(AND(A1796&lt;&gt;"BR",ISNUMBER(M1796),N(M1796)&gt;0),IF(A1796="BL","Livré plus que commandé","Sorti plus que demandé"),"OK"))))))))))))</f>
        <v/>
      </c>
      <c r="Y1796" s="57" t="str">
        <f>IF(AND(OR(A1796="BL",A1796="BR",A1796="BS"),AG1796&gt;0,D1796&lt;&gt;""),A1796&amp;"|"&amp;AG1796&amp;"|"&amp;D1796&amp;"|"&amp;F1796,"")</f>
        <v/>
      </c>
      <c r="Z1796" s="57" t="str">
        <f>IF(Y1796="","",IF(COUNTIF(Y$6:Y1795,Y1796)=0,1,0))</f>
        <v/>
      </c>
      <c r="AA1796" s="57" t="str">
        <f>IF(Y1796="","",IF(Z1796=1,COUNTIFS(A$6:A1796,A1796,Z$6:Z1796,1),INDEX(AA$6:AA1795,MATCH(Y1796,Y$6:Y1795,0))))</f>
        <v/>
      </c>
      <c r="AB1796" s="57" t="str">
        <f>IF(B1796="","",COUNTIF(B$6:B1796,B1796))</f>
        <v/>
      </c>
      <c r="AC1796" s="57" t="str">
        <f>IF(B1796="","",B1796&amp;"#"&amp;AB1796)</f>
        <v/>
      </c>
      <c r="AD1796" s="57" t="str">
        <f>IF(Z1796=1,A1796&amp;AA1796,"")</f>
        <v/>
      </c>
      <c r="AE1796" s="57" t="str">
        <f>IF(B1796="","",YEAR(C1796))</f>
        <v/>
      </c>
      <c r="AF1796" s="57" t="str">
        <f>IF(B1796="","",MONTH(C1796))</f>
        <v/>
      </c>
      <c r="AG1796" s="57">
        <f>IF(ISNUMBER(C1796),C1796,0)</f>
        <v>0.0</v>
      </c>
      <c r="AH1796" s="57" t="str">
        <f>IF(N(W1796)&gt;0,COUNTIF(W$6:W1796,"&gt;0"),"")</f>
        <v/>
      </c>
      <c r="AI1796" s="57" t="str">
        <f>IF(Z1796=1,COUNTIF(Z$6:Z1796,1),"")</f>
        <v/>
      </c>
    </row>
    <row r="1797">
      <c r="A1797" s="54" t="n"/>
      <c r="B1797" s="55" t="str">
        <f>IF(AA1797="","",A1797&amp;"-"&amp;RIGHT("000"&amp;AA1797,4))</f>
        <v/>
      </c>
      <c r="C1797" s="56" t="n"/>
      <c r="D1797" s="54" t="n"/>
      <c r="E1797" s="57" t="str">
        <f>IF(D1797="","",IF(A1797="BL",IFERROR(INDEX(cl_name,MATCH(D1797,cl_code,0))&amp;"","Client inconnu"),IF(A1797="BR",IFERROR(INDEX(fo_name,MATCH(D1797,fo_code,0))&amp;"","Fournisseur inconnu"),IF(A1797="BS",IF(ISNA(MATCH(D1797,p_services,0)),"Service inconnu",D1797&amp;""),""))))</f>
        <v/>
      </c>
      <c r="F1797" s="58" t="n"/>
      <c r="G1797" s="58" t="n"/>
      <c r="H1797" s="59" t="n"/>
      <c r="I1797" s="57" t="str">
        <f>IF(H1797="","",IFERROR(INDEX(art_des,MATCH(H1797,art_ref,0))&amp;"","Article inconnu"))</f>
        <v/>
      </c>
      <c r="J1797" s="60" t="str">
        <f>IF(H1797="","",IFERROR(INDEX(art_unit,MATCH(H1797,art_ref,0))&amp;"",""))</f>
        <v/>
      </c>
      <c r="K1797" s="59" t="n"/>
      <c r="L1797" s="59" t="n"/>
      <c r="M1797" s="61" t="str">
        <f>IF(OR(B1797="",NOT(ISNUMBER(K1797)),NOT(ISNUMBER(L1797))),"",IF(OR(K1797&lt;=0,L1797&lt;=0),"",ROUND(L1797-K1797,6)))</f>
        <v/>
      </c>
      <c r="N1797" s="58" t="n"/>
      <c r="O1797" s="62" t="n"/>
      <c r="P1797" s="63" t="str">
        <f>IF(OR(B1797="",NOT(ISNUMBER(L1797))),"",IF(L1797&lt;=0,"",IFERROR(ROUND(L1797*N(INDEX(art_w,MATCH(H1797,art_ref,0))),3),"")))</f>
        <v/>
      </c>
      <c r="Q1797" s="59" t="n"/>
      <c r="R1797" s="54" t="n"/>
      <c r="S1797" s="59" t="n"/>
      <c r="T1797" s="59" t="n"/>
      <c r="U1797" s="64" t="str">
        <f>IF(OR(B1797="",H1797=""),"",IFERROR(IF(A1797="BL",IF(N(INDEX(art_price,MATCH(H1797,art_ref,0)))=0,"",N(INDEX(art_price,MATCH(H1797,art_ref,0)))),IF(N(INDEX(art_cost,MATCH(H1797,art_ref,0)))=0,"",N(INDEX(art_cost,MATCH(H1797,art_ref,0))))),""))</f>
        <v/>
      </c>
      <c r="V1797" s="64" t="str">
        <f>IF(OR(U1797="",NOT(ISNUMBER(L1797))),"",IF(L1797&lt;=0,"",ROUND(L1797*U1797,2)))</f>
        <v/>
      </c>
      <c r="W1797" s="60" t="str">
        <f>IF(AND(B1797&lt;&gt;"",A1797&lt;&gt;"BS",F1797&lt;&gt;"",H1797&lt;&gt;"",ISNUMBER(K1797),ISNUMBER(L1797)),IF(AND(K1797&gt;0,L1797&gt;0,K1797-L1797&gt;0,COUNTIFS(A1798:A$2005,A1797,F1798:F$2005,F1797,H1798:H$2005,H1797,AA1798:AA$2005,"&gt;0")=0),ROUND(K1797-L1797,6),""),"")</f>
        <v/>
      </c>
      <c r="X1797" s="60" t="str">
        <f>IF(AND(A1797="",C1797="",D1797="",H1797="",L1797=""),"",IF(A1797="","Type manquant",IF(AND(A1797&lt;&gt;"BL",A1797&lt;&gt;"BR",A1797&lt;&gt;"BS"),"Type inconnu (BL, BR ou BS)",IF(AG1797=0,"Date manquante ou invalide",IF(D1797="",IF(A1797="BL","Client manquant",IF(A1797="BR","Fournisseur manquant","Service manquant")),IF(IF(A1797="BL",ISNA(MATCH(D1797,cl_code,0)),IF(A1797="BR",ISNA(MATCH(D1797,fo_code,0)),ISNA(MATCH(D1797,p_services,0)))),IF(A1797="BL","Client inconnu",IF(A1797="BR","Fournisseur inconnu","Service inconnu")),IF(H1797="","Article manquant",IF(ISNA(MATCH(H1797,art_ref,0)),"Article inconnu",IF(OR(NOT(ISNUMBER(L1797)),N(L1797)&lt;=0),"Quantité invalide",IF(AND(K1797&lt;&gt;"",OR(NOT(ISNUMBER(K1797)),N(K1797)&lt;=0)),"Qté commandée invalide",IF(AG1797&lt;SUMPRODUCT(MAX((A$6:A1796=A1797)*AG$6:AG1796)),"Date antérieure au bon précédent",IF(AND(A1797&lt;&gt;"BR",ISNUMBER(M1797),N(M1797)&gt;0),IF(A1797="BL","Livré plus que commandé","Sorti plus que demandé"),"OK"))))))))))))</f>
        <v/>
      </c>
      <c r="Y1797" s="57" t="str">
        <f>IF(AND(OR(A1797="BL",A1797="BR",A1797="BS"),AG1797&gt;0,D1797&lt;&gt;""),A1797&amp;"|"&amp;AG1797&amp;"|"&amp;D1797&amp;"|"&amp;F1797,"")</f>
        <v/>
      </c>
      <c r="Z1797" s="57" t="str">
        <f>IF(Y1797="","",IF(COUNTIF(Y$6:Y1796,Y1797)=0,1,0))</f>
        <v/>
      </c>
      <c r="AA1797" s="57" t="str">
        <f>IF(Y1797="","",IF(Z1797=1,COUNTIFS(A$6:A1797,A1797,Z$6:Z1797,1),INDEX(AA$6:AA1796,MATCH(Y1797,Y$6:Y1796,0))))</f>
        <v/>
      </c>
      <c r="AB1797" s="57" t="str">
        <f>IF(B1797="","",COUNTIF(B$6:B1797,B1797))</f>
        <v/>
      </c>
      <c r="AC1797" s="57" t="str">
        <f>IF(B1797="","",B1797&amp;"#"&amp;AB1797)</f>
        <v/>
      </c>
      <c r="AD1797" s="57" t="str">
        <f>IF(Z1797=1,A1797&amp;AA1797,"")</f>
        <v/>
      </c>
      <c r="AE1797" s="57" t="str">
        <f>IF(B1797="","",YEAR(C1797))</f>
        <v/>
      </c>
      <c r="AF1797" s="57" t="str">
        <f>IF(B1797="","",MONTH(C1797))</f>
        <v/>
      </c>
      <c r="AG1797" s="57">
        <f>IF(ISNUMBER(C1797),C1797,0)</f>
        <v>0.0</v>
      </c>
      <c r="AH1797" s="57" t="str">
        <f>IF(N(W1797)&gt;0,COUNTIF(W$6:W1797,"&gt;0"),"")</f>
        <v/>
      </c>
      <c r="AI1797" s="57" t="str">
        <f>IF(Z1797=1,COUNTIF(Z$6:Z1797,1),"")</f>
        <v/>
      </c>
    </row>
    <row r="1798">
      <c r="A1798" s="54" t="n"/>
      <c r="B1798" s="55" t="str">
        <f>IF(AA1798="","",A1798&amp;"-"&amp;RIGHT("000"&amp;AA1798,4))</f>
        <v/>
      </c>
      <c r="C1798" s="56" t="n"/>
      <c r="D1798" s="54" t="n"/>
      <c r="E1798" s="57" t="str">
        <f>IF(D1798="","",IF(A1798="BL",IFERROR(INDEX(cl_name,MATCH(D1798,cl_code,0))&amp;"","Client inconnu"),IF(A1798="BR",IFERROR(INDEX(fo_name,MATCH(D1798,fo_code,0))&amp;"","Fournisseur inconnu"),IF(A1798="BS",IF(ISNA(MATCH(D1798,p_services,0)),"Service inconnu",D1798&amp;""),""))))</f>
        <v/>
      </c>
      <c r="F1798" s="58" t="n"/>
      <c r="G1798" s="58" t="n"/>
      <c r="H1798" s="59" t="n"/>
      <c r="I1798" s="57" t="str">
        <f>IF(H1798="","",IFERROR(INDEX(art_des,MATCH(H1798,art_ref,0))&amp;"","Article inconnu"))</f>
        <v/>
      </c>
      <c r="J1798" s="60" t="str">
        <f>IF(H1798="","",IFERROR(INDEX(art_unit,MATCH(H1798,art_ref,0))&amp;"",""))</f>
        <v/>
      </c>
      <c r="K1798" s="59" t="n"/>
      <c r="L1798" s="59" t="n"/>
      <c r="M1798" s="61" t="str">
        <f>IF(OR(B1798="",NOT(ISNUMBER(K1798)),NOT(ISNUMBER(L1798))),"",IF(OR(K1798&lt;=0,L1798&lt;=0),"",ROUND(L1798-K1798,6)))</f>
        <v/>
      </c>
      <c r="N1798" s="58" t="n"/>
      <c r="O1798" s="62" t="n"/>
      <c r="P1798" s="63" t="str">
        <f>IF(OR(B1798="",NOT(ISNUMBER(L1798))),"",IF(L1798&lt;=0,"",IFERROR(ROUND(L1798*N(INDEX(art_w,MATCH(H1798,art_ref,0))),3),"")))</f>
        <v/>
      </c>
      <c r="Q1798" s="59" t="n"/>
      <c r="R1798" s="54" t="n"/>
      <c r="S1798" s="59" t="n"/>
      <c r="T1798" s="59" t="n"/>
      <c r="U1798" s="64" t="str">
        <f>IF(OR(B1798="",H1798=""),"",IFERROR(IF(A1798="BL",IF(N(INDEX(art_price,MATCH(H1798,art_ref,0)))=0,"",N(INDEX(art_price,MATCH(H1798,art_ref,0)))),IF(N(INDEX(art_cost,MATCH(H1798,art_ref,0)))=0,"",N(INDEX(art_cost,MATCH(H1798,art_ref,0))))),""))</f>
        <v/>
      </c>
      <c r="V1798" s="64" t="str">
        <f>IF(OR(U1798="",NOT(ISNUMBER(L1798))),"",IF(L1798&lt;=0,"",ROUND(L1798*U1798,2)))</f>
        <v/>
      </c>
      <c r="W1798" s="60" t="str">
        <f>IF(AND(B1798&lt;&gt;"",A1798&lt;&gt;"BS",F1798&lt;&gt;"",H1798&lt;&gt;"",ISNUMBER(K1798),ISNUMBER(L1798)),IF(AND(K1798&gt;0,L1798&gt;0,K1798-L1798&gt;0,COUNTIFS(A1799:A$2005,A1798,F1799:F$2005,F1798,H1799:H$2005,H1798,AA1799:AA$2005,"&gt;0")=0),ROUND(K1798-L1798,6),""),"")</f>
        <v/>
      </c>
      <c r="X1798" s="60" t="str">
        <f>IF(AND(A1798="",C1798="",D1798="",H1798="",L1798=""),"",IF(A1798="","Type manquant",IF(AND(A1798&lt;&gt;"BL",A1798&lt;&gt;"BR",A1798&lt;&gt;"BS"),"Type inconnu (BL, BR ou BS)",IF(AG1798=0,"Date manquante ou invalide",IF(D1798="",IF(A1798="BL","Client manquant",IF(A1798="BR","Fournisseur manquant","Service manquant")),IF(IF(A1798="BL",ISNA(MATCH(D1798,cl_code,0)),IF(A1798="BR",ISNA(MATCH(D1798,fo_code,0)),ISNA(MATCH(D1798,p_services,0)))),IF(A1798="BL","Client inconnu",IF(A1798="BR","Fournisseur inconnu","Service inconnu")),IF(H1798="","Article manquant",IF(ISNA(MATCH(H1798,art_ref,0)),"Article inconnu",IF(OR(NOT(ISNUMBER(L1798)),N(L1798)&lt;=0),"Quantité invalide",IF(AND(K1798&lt;&gt;"",OR(NOT(ISNUMBER(K1798)),N(K1798)&lt;=0)),"Qté commandée invalide",IF(AG1798&lt;SUMPRODUCT(MAX((A$6:A1797=A1798)*AG$6:AG1797)),"Date antérieure au bon précédent",IF(AND(A1798&lt;&gt;"BR",ISNUMBER(M1798),N(M1798)&gt;0),IF(A1798="BL","Livré plus que commandé","Sorti plus que demandé"),"OK"))))))))))))</f>
        <v/>
      </c>
      <c r="Y1798" s="57" t="str">
        <f>IF(AND(OR(A1798="BL",A1798="BR",A1798="BS"),AG1798&gt;0,D1798&lt;&gt;""),A1798&amp;"|"&amp;AG1798&amp;"|"&amp;D1798&amp;"|"&amp;F1798,"")</f>
        <v/>
      </c>
      <c r="Z1798" s="57" t="str">
        <f>IF(Y1798="","",IF(COUNTIF(Y$6:Y1797,Y1798)=0,1,0))</f>
        <v/>
      </c>
      <c r="AA1798" s="57" t="str">
        <f>IF(Y1798="","",IF(Z1798=1,COUNTIFS(A$6:A1798,A1798,Z$6:Z1798,1),INDEX(AA$6:AA1797,MATCH(Y1798,Y$6:Y1797,0))))</f>
        <v/>
      </c>
      <c r="AB1798" s="57" t="str">
        <f>IF(B1798="","",COUNTIF(B$6:B1798,B1798))</f>
        <v/>
      </c>
      <c r="AC1798" s="57" t="str">
        <f>IF(B1798="","",B1798&amp;"#"&amp;AB1798)</f>
        <v/>
      </c>
      <c r="AD1798" s="57" t="str">
        <f>IF(Z1798=1,A1798&amp;AA1798,"")</f>
        <v/>
      </c>
      <c r="AE1798" s="57" t="str">
        <f>IF(B1798="","",YEAR(C1798))</f>
        <v/>
      </c>
      <c r="AF1798" s="57" t="str">
        <f>IF(B1798="","",MONTH(C1798))</f>
        <v/>
      </c>
      <c r="AG1798" s="57">
        <f>IF(ISNUMBER(C1798),C1798,0)</f>
        <v>0.0</v>
      </c>
      <c r="AH1798" s="57" t="str">
        <f>IF(N(W1798)&gt;0,COUNTIF(W$6:W1798,"&gt;0"),"")</f>
        <v/>
      </c>
      <c r="AI1798" s="57" t="str">
        <f>IF(Z1798=1,COUNTIF(Z$6:Z1798,1),"")</f>
        <v/>
      </c>
    </row>
    <row r="1799">
      <c r="A1799" s="54" t="n"/>
      <c r="B1799" s="55" t="str">
        <f>IF(AA1799="","",A1799&amp;"-"&amp;RIGHT("000"&amp;AA1799,4))</f>
        <v/>
      </c>
      <c r="C1799" s="56" t="n"/>
      <c r="D1799" s="54" t="n"/>
      <c r="E1799" s="57" t="str">
        <f>IF(D1799="","",IF(A1799="BL",IFERROR(INDEX(cl_name,MATCH(D1799,cl_code,0))&amp;"","Client inconnu"),IF(A1799="BR",IFERROR(INDEX(fo_name,MATCH(D1799,fo_code,0))&amp;"","Fournisseur inconnu"),IF(A1799="BS",IF(ISNA(MATCH(D1799,p_services,0)),"Service inconnu",D1799&amp;""),""))))</f>
        <v/>
      </c>
      <c r="F1799" s="58" t="n"/>
      <c r="G1799" s="58" t="n"/>
      <c r="H1799" s="59" t="n"/>
      <c r="I1799" s="57" t="str">
        <f>IF(H1799="","",IFERROR(INDEX(art_des,MATCH(H1799,art_ref,0))&amp;"","Article inconnu"))</f>
        <v/>
      </c>
      <c r="J1799" s="60" t="str">
        <f>IF(H1799="","",IFERROR(INDEX(art_unit,MATCH(H1799,art_ref,0))&amp;"",""))</f>
        <v/>
      </c>
      <c r="K1799" s="59" t="n"/>
      <c r="L1799" s="59" t="n"/>
      <c r="M1799" s="61" t="str">
        <f>IF(OR(B1799="",NOT(ISNUMBER(K1799)),NOT(ISNUMBER(L1799))),"",IF(OR(K1799&lt;=0,L1799&lt;=0),"",ROUND(L1799-K1799,6)))</f>
        <v/>
      </c>
      <c r="N1799" s="58" t="n"/>
      <c r="O1799" s="62" t="n"/>
      <c r="P1799" s="63" t="str">
        <f>IF(OR(B1799="",NOT(ISNUMBER(L1799))),"",IF(L1799&lt;=0,"",IFERROR(ROUND(L1799*N(INDEX(art_w,MATCH(H1799,art_ref,0))),3),"")))</f>
        <v/>
      </c>
      <c r="Q1799" s="59" t="n"/>
      <c r="R1799" s="54" t="n"/>
      <c r="S1799" s="59" t="n"/>
      <c r="T1799" s="59" t="n"/>
      <c r="U1799" s="64" t="str">
        <f>IF(OR(B1799="",H1799=""),"",IFERROR(IF(A1799="BL",IF(N(INDEX(art_price,MATCH(H1799,art_ref,0)))=0,"",N(INDEX(art_price,MATCH(H1799,art_ref,0)))),IF(N(INDEX(art_cost,MATCH(H1799,art_ref,0)))=0,"",N(INDEX(art_cost,MATCH(H1799,art_ref,0))))),""))</f>
        <v/>
      </c>
      <c r="V1799" s="64" t="str">
        <f>IF(OR(U1799="",NOT(ISNUMBER(L1799))),"",IF(L1799&lt;=0,"",ROUND(L1799*U1799,2)))</f>
        <v/>
      </c>
      <c r="W1799" s="60" t="str">
        <f>IF(AND(B1799&lt;&gt;"",A1799&lt;&gt;"BS",F1799&lt;&gt;"",H1799&lt;&gt;"",ISNUMBER(K1799),ISNUMBER(L1799)),IF(AND(K1799&gt;0,L1799&gt;0,K1799-L1799&gt;0,COUNTIFS(A1800:A$2005,A1799,F1800:F$2005,F1799,H1800:H$2005,H1799,AA1800:AA$2005,"&gt;0")=0),ROUND(K1799-L1799,6),""),"")</f>
        <v/>
      </c>
      <c r="X1799" s="60" t="str">
        <f>IF(AND(A1799="",C1799="",D1799="",H1799="",L1799=""),"",IF(A1799="","Type manquant",IF(AND(A1799&lt;&gt;"BL",A1799&lt;&gt;"BR",A1799&lt;&gt;"BS"),"Type inconnu (BL, BR ou BS)",IF(AG1799=0,"Date manquante ou invalide",IF(D1799="",IF(A1799="BL","Client manquant",IF(A1799="BR","Fournisseur manquant","Service manquant")),IF(IF(A1799="BL",ISNA(MATCH(D1799,cl_code,0)),IF(A1799="BR",ISNA(MATCH(D1799,fo_code,0)),ISNA(MATCH(D1799,p_services,0)))),IF(A1799="BL","Client inconnu",IF(A1799="BR","Fournisseur inconnu","Service inconnu")),IF(H1799="","Article manquant",IF(ISNA(MATCH(H1799,art_ref,0)),"Article inconnu",IF(OR(NOT(ISNUMBER(L1799)),N(L1799)&lt;=0),"Quantité invalide",IF(AND(K1799&lt;&gt;"",OR(NOT(ISNUMBER(K1799)),N(K1799)&lt;=0)),"Qté commandée invalide",IF(AG1799&lt;SUMPRODUCT(MAX((A$6:A1798=A1799)*AG$6:AG1798)),"Date antérieure au bon précédent",IF(AND(A1799&lt;&gt;"BR",ISNUMBER(M1799),N(M1799)&gt;0),IF(A1799="BL","Livré plus que commandé","Sorti plus que demandé"),"OK"))))))))))))</f>
        <v/>
      </c>
      <c r="Y1799" s="57" t="str">
        <f>IF(AND(OR(A1799="BL",A1799="BR",A1799="BS"),AG1799&gt;0,D1799&lt;&gt;""),A1799&amp;"|"&amp;AG1799&amp;"|"&amp;D1799&amp;"|"&amp;F1799,"")</f>
        <v/>
      </c>
      <c r="Z1799" s="57" t="str">
        <f>IF(Y1799="","",IF(COUNTIF(Y$6:Y1798,Y1799)=0,1,0))</f>
        <v/>
      </c>
      <c r="AA1799" s="57" t="str">
        <f>IF(Y1799="","",IF(Z1799=1,COUNTIFS(A$6:A1799,A1799,Z$6:Z1799,1),INDEX(AA$6:AA1798,MATCH(Y1799,Y$6:Y1798,0))))</f>
        <v/>
      </c>
      <c r="AB1799" s="57" t="str">
        <f>IF(B1799="","",COUNTIF(B$6:B1799,B1799))</f>
        <v/>
      </c>
      <c r="AC1799" s="57" t="str">
        <f>IF(B1799="","",B1799&amp;"#"&amp;AB1799)</f>
        <v/>
      </c>
      <c r="AD1799" s="57" t="str">
        <f>IF(Z1799=1,A1799&amp;AA1799,"")</f>
        <v/>
      </c>
      <c r="AE1799" s="57" t="str">
        <f>IF(B1799="","",YEAR(C1799))</f>
        <v/>
      </c>
      <c r="AF1799" s="57" t="str">
        <f>IF(B1799="","",MONTH(C1799))</f>
        <v/>
      </c>
      <c r="AG1799" s="57">
        <f>IF(ISNUMBER(C1799),C1799,0)</f>
        <v>0.0</v>
      </c>
      <c r="AH1799" s="57" t="str">
        <f>IF(N(W1799)&gt;0,COUNTIF(W$6:W1799,"&gt;0"),"")</f>
        <v/>
      </c>
      <c r="AI1799" s="57" t="str">
        <f>IF(Z1799=1,COUNTIF(Z$6:Z1799,1),"")</f>
        <v/>
      </c>
    </row>
    <row r="1800">
      <c r="A1800" s="54" t="n"/>
      <c r="B1800" s="55" t="str">
        <f>IF(AA1800="","",A1800&amp;"-"&amp;RIGHT("000"&amp;AA1800,4))</f>
        <v/>
      </c>
      <c r="C1800" s="56" t="n"/>
      <c r="D1800" s="54" t="n"/>
      <c r="E1800" s="57" t="str">
        <f>IF(D1800="","",IF(A1800="BL",IFERROR(INDEX(cl_name,MATCH(D1800,cl_code,0))&amp;"","Client inconnu"),IF(A1800="BR",IFERROR(INDEX(fo_name,MATCH(D1800,fo_code,0))&amp;"","Fournisseur inconnu"),IF(A1800="BS",IF(ISNA(MATCH(D1800,p_services,0)),"Service inconnu",D1800&amp;""),""))))</f>
        <v/>
      </c>
      <c r="F1800" s="58" t="n"/>
      <c r="G1800" s="58" t="n"/>
      <c r="H1800" s="59" t="n"/>
      <c r="I1800" s="57" t="str">
        <f>IF(H1800="","",IFERROR(INDEX(art_des,MATCH(H1800,art_ref,0))&amp;"","Article inconnu"))</f>
        <v/>
      </c>
      <c r="J1800" s="60" t="str">
        <f>IF(H1800="","",IFERROR(INDEX(art_unit,MATCH(H1800,art_ref,0))&amp;"",""))</f>
        <v/>
      </c>
      <c r="K1800" s="59" t="n"/>
      <c r="L1800" s="59" t="n"/>
      <c r="M1800" s="61" t="str">
        <f>IF(OR(B1800="",NOT(ISNUMBER(K1800)),NOT(ISNUMBER(L1800))),"",IF(OR(K1800&lt;=0,L1800&lt;=0),"",ROUND(L1800-K1800,6)))</f>
        <v/>
      </c>
      <c r="N1800" s="58" t="n"/>
      <c r="O1800" s="62" t="n"/>
      <c r="P1800" s="63" t="str">
        <f>IF(OR(B1800="",NOT(ISNUMBER(L1800))),"",IF(L1800&lt;=0,"",IFERROR(ROUND(L1800*N(INDEX(art_w,MATCH(H1800,art_ref,0))),3),"")))</f>
        <v/>
      </c>
      <c r="Q1800" s="59" t="n"/>
      <c r="R1800" s="54" t="n"/>
      <c r="S1800" s="59" t="n"/>
      <c r="T1800" s="59" t="n"/>
      <c r="U1800" s="64" t="str">
        <f>IF(OR(B1800="",H1800=""),"",IFERROR(IF(A1800="BL",IF(N(INDEX(art_price,MATCH(H1800,art_ref,0)))=0,"",N(INDEX(art_price,MATCH(H1800,art_ref,0)))),IF(N(INDEX(art_cost,MATCH(H1800,art_ref,0)))=0,"",N(INDEX(art_cost,MATCH(H1800,art_ref,0))))),""))</f>
        <v/>
      </c>
      <c r="V1800" s="64" t="str">
        <f>IF(OR(U1800="",NOT(ISNUMBER(L1800))),"",IF(L1800&lt;=0,"",ROUND(L1800*U1800,2)))</f>
        <v/>
      </c>
      <c r="W1800" s="60" t="str">
        <f>IF(AND(B1800&lt;&gt;"",A1800&lt;&gt;"BS",F1800&lt;&gt;"",H1800&lt;&gt;"",ISNUMBER(K1800),ISNUMBER(L1800)),IF(AND(K1800&gt;0,L1800&gt;0,K1800-L1800&gt;0,COUNTIFS(A1801:A$2005,A1800,F1801:F$2005,F1800,H1801:H$2005,H1800,AA1801:AA$2005,"&gt;0")=0),ROUND(K1800-L1800,6),""),"")</f>
        <v/>
      </c>
      <c r="X1800" s="60" t="str">
        <f>IF(AND(A1800="",C1800="",D1800="",H1800="",L1800=""),"",IF(A1800="","Type manquant",IF(AND(A1800&lt;&gt;"BL",A1800&lt;&gt;"BR",A1800&lt;&gt;"BS"),"Type inconnu (BL, BR ou BS)",IF(AG1800=0,"Date manquante ou invalide",IF(D1800="",IF(A1800="BL","Client manquant",IF(A1800="BR","Fournisseur manquant","Service manquant")),IF(IF(A1800="BL",ISNA(MATCH(D1800,cl_code,0)),IF(A1800="BR",ISNA(MATCH(D1800,fo_code,0)),ISNA(MATCH(D1800,p_services,0)))),IF(A1800="BL","Client inconnu",IF(A1800="BR","Fournisseur inconnu","Service inconnu")),IF(H1800="","Article manquant",IF(ISNA(MATCH(H1800,art_ref,0)),"Article inconnu",IF(OR(NOT(ISNUMBER(L1800)),N(L1800)&lt;=0),"Quantité invalide",IF(AND(K1800&lt;&gt;"",OR(NOT(ISNUMBER(K1800)),N(K1800)&lt;=0)),"Qté commandée invalide",IF(AG1800&lt;SUMPRODUCT(MAX((A$6:A1799=A1800)*AG$6:AG1799)),"Date antérieure au bon précédent",IF(AND(A1800&lt;&gt;"BR",ISNUMBER(M1800),N(M1800)&gt;0),IF(A1800="BL","Livré plus que commandé","Sorti plus que demandé"),"OK"))))))))))))</f>
        <v/>
      </c>
      <c r="Y1800" s="57" t="str">
        <f>IF(AND(OR(A1800="BL",A1800="BR",A1800="BS"),AG1800&gt;0,D1800&lt;&gt;""),A1800&amp;"|"&amp;AG1800&amp;"|"&amp;D1800&amp;"|"&amp;F1800,"")</f>
        <v/>
      </c>
      <c r="Z1800" s="57" t="str">
        <f>IF(Y1800="","",IF(COUNTIF(Y$6:Y1799,Y1800)=0,1,0))</f>
        <v/>
      </c>
      <c r="AA1800" s="57" t="str">
        <f>IF(Y1800="","",IF(Z1800=1,COUNTIFS(A$6:A1800,A1800,Z$6:Z1800,1),INDEX(AA$6:AA1799,MATCH(Y1800,Y$6:Y1799,0))))</f>
        <v/>
      </c>
      <c r="AB1800" s="57" t="str">
        <f>IF(B1800="","",COUNTIF(B$6:B1800,B1800))</f>
        <v/>
      </c>
      <c r="AC1800" s="57" t="str">
        <f>IF(B1800="","",B1800&amp;"#"&amp;AB1800)</f>
        <v/>
      </c>
      <c r="AD1800" s="57" t="str">
        <f>IF(Z1800=1,A1800&amp;AA1800,"")</f>
        <v/>
      </c>
      <c r="AE1800" s="57" t="str">
        <f>IF(B1800="","",YEAR(C1800))</f>
        <v/>
      </c>
      <c r="AF1800" s="57" t="str">
        <f>IF(B1800="","",MONTH(C1800))</f>
        <v/>
      </c>
      <c r="AG1800" s="57">
        <f>IF(ISNUMBER(C1800),C1800,0)</f>
        <v>0.0</v>
      </c>
      <c r="AH1800" s="57" t="str">
        <f>IF(N(W1800)&gt;0,COUNTIF(W$6:W1800,"&gt;0"),"")</f>
        <v/>
      </c>
      <c r="AI1800" s="57" t="str">
        <f>IF(Z1800=1,COUNTIF(Z$6:Z1800,1),"")</f>
        <v/>
      </c>
    </row>
    <row r="1801">
      <c r="A1801" s="54" t="n"/>
      <c r="B1801" s="55" t="str">
        <f>IF(AA1801="","",A1801&amp;"-"&amp;RIGHT("000"&amp;AA1801,4))</f>
        <v/>
      </c>
      <c r="C1801" s="56" t="n"/>
      <c r="D1801" s="54" t="n"/>
      <c r="E1801" s="57" t="str">
        <f>IF(D1801="","",IF(A1801="BL",IFERROR(INDEX(cl_name,MATCH(D1801,cl_code,0))&amp;"","Client inconnu"),IF(A1801="BR",IFERROR(INDEX(fo_name,MATCH(D1801,fo_code,0))&amp;"","Fournisseur inconnu"),IF(A1801="BS",IF(ISNA(MATCH(D1801,p_services,0)),"Service inconnu",D1801&amp;""),""))))</f>
        <v/>
      </c>
      <c r="F1801" s="58" t="n"/>
      <c r="G1801" s="58" t="n"/>
      <c r="H1801" s="59" t="n"/>
      <c r="I1801" s="57" t="str">
        <f>IF(H1801="","",IFERROR(INDEX(art_des,MATCH(H1801,art_ref,0))&amp;"","Article inconnu"))</f>
        <v/>
      </c>
      <c r="J1801" s="60" t="str">
        <f>IF(H1801="","",IFERROR(INDEX(art_unit,MATCH(H1801,art_ref,0))&amp;"",""))</f>
        <v/>
      </c>
      <c r="K1801" s="59" t="n"/>
      <c r="L1801" s="59" t="n"/>
      <c r="M1801" s="61" t="str">
        <f>IF(OR(B1801="",NOT(ISNUMBER(K1801)),NOT(ISNUMBER(L1801))),"",IF(OR(K1801&lt;=0,L1801&lt;=0),"",ROUND(L1801-K1801,6)))</f>
        <v/>
      </c>
      <c r="N1801" s="58" t="n"/>
      <c r="O1801" s="62" t="n"/>
      <c r="P1801" s="63" t="str">
        <f>IF(OR(B1801="",NOT(ISNUMBER(L1801))),"",IF(L1801&lt;=0,"",IFERROR(ROUND(L1801*N(INDEX(art_w,MATCH(H1801,art_ref,0))),3),"")))</f>
        <v/>
      </c>
      <c r="Q1801" s="59" t="n"/>
      <c r="R1801" s="54" t="n"/>
      <c r="S1801" s="59" t="n"/>
      <c r="T1801" s="59" t="n"/>
      <c r="U1801" s="64" t="str">
        <f>IF(OR(B1801="",H1801=""),"",IFERROR(IF(A1801="BL",IF(N(INDEX(art_price,MATCH(H1801,art_ref,0)))=0,"",N(INDEX(art_price,MATCH(H1801,art_ref,0)))),IF(N(INDEX(art_cost,MATCH(H1801,art_ref,0)))=0,"",N(INDEX(art_cost,MATCH(H1801,art_ref,0))))),""))</f>
        <v/>
      </c>
      <c r="V1801" s="64" t="str">
        <f>IF(OR(U1801="",NOT(ISNUMBER(L1801))),"",IF(L1801&lt;=0,"",ROUND(L1801*U1801,2)))</f>
        <v/>
      </c>
      <c r="W1801" s="60" t="str">
        <f>IF(AND(B1801&lt;&gt;"",A1801&lt;&gt;"BS",F1801&lt;&gt;"",H1801&lt;&gt;"",ISNUMBER(K1801),ISNUMBER(L1801)),IF(AND(K1801&gt;0,L1801&gt;0,K1801-L1801&gt;0,COUNTIFS(A1802:A$2005,A1801,F1802:F$2005,F1801,H1802:H$2005,H1801,AA1802:AA$2005,"&gt;0")=0),ROUND(K1801-L1801,6),""),"")</f>
        <v/>
      </c>
      <c r="X1801" s="60" t="str">
        <f>IF(AND(A1801="",C1801="",D1801="",H1801="",L1801=""),"",IF(A1801="","Type manquant",IF(AND(A1801&lt;&gt;"BL",A1801&lt;&gt;"BR",A1801&lt;&gt;"BS"),"Type inconnu (BL, BR ou BS)",IF(AG1801=0,"Date manquante ou invalide",IF(D1801="",IF(A1801="BL","Client manquant",IF(A1801="BR","Fournisseur manquant","Service manquant")),IF(IF(A1801="BL",ISNA(MATCH(D1801,cl_code,0)),IF(A1801="BR",ISNA(MATCH(D1801,fo_code,0)),ISNA(MATCH(D1801,p_services,0)))),IF(A1801="BL","Client inconnu",IF(A1801="BR","Fournisseur inconnu","Service inconnu")),IF(H1801="","Article manquant",IF(ISNA(MATCH(H1801,art_ref,0)),"Article inconnu",IF(OR(NOT(ISNUMBER(L1801)),N(L1801)&lt;=0),"Quantité invalide",IF(AND(K1801&lt;&gt;"",OR(NOT(ISNUMBER(K1801)),N(K1801)&lt;=0)),"Qté commandée invalide",IF(AG1801&lt;SUMPRODUCT(MAX((A$6:A1800=A1801)*AG$6:AG1800)),"Date antérieure au bon précédent",IF(AND(A1801&lt;&gt;"BR",ISNUMBER(M1801),N(M1801)&gt;0),IF(A1801="BL","Livré plus que commandé","Sorti plus que demandé"),"OK"))))))))))))</f>
        <v/>
      </c>
      <c r="Y1801" s="57" t="str">
        <f>IF(AND(OR(A1801="BL",A1801="BR",A1801="BS"),AG1801&gt;0,D1801&lt;&gt;""),A1801&amp;"|"&amp;AG1801&amp;"|"&amp;D1801&amp;"|"&amp;F1801,"")</f>
        <v/>
      </c>
      <c r="Z1801" s="57" t="str">
        <f>IF(Y1801="","",IF(COUNTIF(Y$6:Y1800,Y1801)=0,1,0))</f>
        <v/>
      </c>
      <c r="AA1801" s="57" t="str">
        <f>IF(Y1801="","",IF(Z1801=1,COUNTIFS(A$6:A1801,A1801,Z$6:Z1801,1),INDEX(AA$6:AA1800,MATCH(Y1801,Y$6:Y1800,0))))</f>
        <v/>
      </c>
      <c r="AB1801" s="57" t="str">
        <f>IF(B1801="","",COUNTIF(B$6:B1801,B1801))</f>
        <v/>
      </c>
      <c r="AC1801" s="57" t="str">
        <f>IF(B1801="","",B1801&amp;"#"&amp;AB1801)</f>
        <v/>
      </c>
      <c r="AD1801" s="57" t="str">
        <f>IF(Z1801=1,A1801&amp;AA1801,"")</f>
        <v/>
      </c>
      <c r="AE1801" s="57" t="str">
        <f>IF(B1801="","",YEAR(C1801))</f>
        <v/>
      </c>
      <c r="AF1801" s="57" t="str">
        <f>IF(B1801="","",MONTH(C1801))</f>
        <v/>
      </c>
      <c r="AG1801" s="57">
        <f>IF(ISNUMBER(C1801),C1801,0)</f>
        <v>0.0</v>
      </c>
      <c r="AH1801" s="57" t="str">
        <f>IF(N(W1801)&gt;0,COUNTIF(W$6:W1801,"&gt;0"),"")</f>
        <v/>
      </c>
      <c r="AI1801" s="57" t="str">
        <f>IF(Z1801=1,COUNTIF(Z$6:Z1801,1),"")</f>
        <v/>
      </c>
    </row>
    <row r="1802">
      <c r="A1802" s="54" t="n"/>
      <c r="B1802" s="55" t="str">
        <f>IF(AA1802="","",A1802&amp;"-"&amp;RIGHT("000"&amp;AA1802,4))</f>
        <v/>
      </c>
      <c r="C1802" s="56" t="n"/>
      <c r="D1802" s="54" t="n"/>
      <c r="E1802" s="57" t="str">
        <f>IF(D1802="","",IF(A1802="BL",IFERROR(INDEX(cl_name,MATCH(D1802,cl_code,0))&amp;"","Client inconnu"),IF(A1802="BR",IFERROR(INDEX(fo_name,MATCH(D1802,fo_code,0))&amp;"","Fournisseur inconnu"),IF(A1802="BS",IF(ISNA(MATCH(D1802,p_services,0)),"Service inconnu",D1802&amp;""),""))))</f>
        <v/>
      </c>
      <c r="F1802" s="58" t="n"/>
      <c r="G1802" s="58" t="n"/>
      <c r="H1802" s="59" t="n"/>
      <c r="I1802" s="57" t="str">
        <f>IF(H1802="","",IFERROR(INDEX(art_des,MATCH(H1802,art_ref,0))&amp;"","Article inconnu"))</f>
        <v/>
      </c>
      <c r="J1802" s="60" t="str">
        <f>IF(H1802="","",IFERROR(INDEX(art_unit,MATCH(H1802,art_ref,0))&amp;"",""))</f>
        <v/>
      </c>
      <c r="K1802" s="59" t="n"/>
      <c r="L1802" s="59" t="n"/>
      <c r="M1802" s="61" t="str">
        <f>IF(OR(B1802="",NOT(ISNUMBER(K1802)),NOT(ISNUMBER(L1802))),"",IF(OR(K1802&lt;=0,L1802&lt;=0),"",ROUND(L1802-K1802,6)))</f>
        <v/>
      </c>
      <c r="N1802" s="58" t="n"/>
      <c r="O1802" s="62" t="n"/>
      <c r="P1802" s="63" t="str">
        <f>IF(OR(B1802="",NOT(ISNUMBER(L1802))),"",IF(L1802&lt;=0,"",IFERROR(ROUND(L1802*N(INDEX(art_w,MATCH(H1802,art_ref,0))),3),"")))</f>
        <v/>
      </c>
      <c r="Q1802" s="59" t="n"/>
      <c r="R1802" s="54" t="n"/>
      <c r="S1802" s="59" t="n"/>
      <c r="T1802" s="59" t="n"/>
      <c r="U1802" s="64" t="str">
        <f>IF(OR(B1802="",H1802=""),"",IFERROR(IF(A1802="BL",IF(N(INDEX(art_price,MATCH(H1802,art_ref,0)))=0,"",N(INDEX(art_price,MATCH(H1802,art_ref,0)))),IF(N(INDEX(art_cost,MATCH(H1802,art_ref,0)))=0,"",N(INDEX(art_cost,MATCH(H1802,art_ref,0))))),""))</f>
        <v/>
      </c>
      <c r="V1802" s="64" t="str">
        <f>IF(OR(U1802="",NOT(ISNUMBER(L1802))),"",IF(L1802&lt;=0,"",ROUND(L1802*U1802,2)))</f>
        <v/>
      </c>
      <c r="W1802" s="60" t="str">
        <f>IF(AND(B1802&lt;&gt;"",A1802&lt;&gt;"BS",F1802&lt;&gt;"",H1802&lt;&gt;"",ISNUMBER(K1802),ISNUMBER(L1802)),IF(AND(K1802&gt;0,L1802&gt;0,K1802-L1802&gt;0,COUNTIFS(A1803:A$2005,A1802,F1803:F$2005,F1802,H1803:H$2005,H1802,AA1803:AA$2005,"&gt;0")=0),ROUND(K1802-L1802,6),""),"")</f>
        <v/>
      </c>
      <c r="X1802" s="60" t="str">
        <f>IF(AND(A1802="",C1802="",D1802="",H1802="",L1802=""),"",IF(A1802="","Type manquant",IF(AND(A1802&lt;&gt;"BL",A1802&lt;&gt;"BR",A1802&lt;&gt;"BS"),"Type inconnu (BL, BR ou BS)",IF(AG1802=0,"Date manquante ou invalide",IF(D1802="",IF(A1802="BL","Client manquant",IF(A1802="BR","Fournisseur manquant","Service manquant")),IF(IF(A1802="BL",ISNA(MATCH(D1802,cl_code,0)),IF(A1802="BR",ISNA(MATCH(D1802,fo_code,0)),ISNA(MATCH(D1802,p_services,0)))),IF(A1802="BL","Client inconnu",IF(A1802="BR","Fournisseur inconnu","Service inconnu")),IF(H1802="","Article manquant",IF(ISNA(MATCH(H1802,art_ref,0)),"Article inconnu",IF(OR(NOT(ISNUMBER(L1802)),N(L1802)&lt;=0),"Quantité invalide",IF(AND(K1802&lt;&gt;"",OR(NOT(ISNUMBER(K1802)),N(K1802)&lt;=0)),"Qté commandée invalide",IF(AG1802&lt;SUMPRODUCT(MAX((A$6:A1801=A1802)*AG$6:AG1801)),"Date antérieure au bon précédent",IF(AND(A1802&lt;&gt;"BR",ISNUMBER(M1802),N(M1802)&gt;0),IF(A1802="BL","Livré plus que commandé","Sorti plus que demandé"),"OK"))))))))))))</f>
        <v/>
      </c>
      <c r="Y1802" s="57" t="str">
        <f>IF(AND(OR(A1802="BL",A1802="BR",A1802="BS"),AG1802&gt;0,D1802&lt;&gt;""),A1802&amp;"|"&amp;AG1802&amp;"|"&amp;D1802&amp;"|"&amp;F1802,"")</f>
        <v/>
      </c>
      <c r="Z1802" s="57" t="str">
        <f>IF(Y1802="","",IF(COUNTIF(Y$6:Y1801,Y1802)=0,1,0))</f>
        <v/>
      </c>
      <c r="AA1802" s="57" t="str">
        <f>IF(Y1802="","",IF(Z1802=1,COUNTIFS(A$6:A1802,A1802,Z$6:Z1802,1),INDEX(AA$6:AA1801,MATCH(Y1802,Y$6:Y1801,0))))</f>
        <v/>
      </c>
      <c r="AB1802" s="57" t="str">
        <f>IF(B1802="","",COUNTIF(B$6:B1802,B1802))</f>
        <v/>
      </c>
      <c r="AC1802" s="57" t="str">
        <f>IF(B1802="","",B1802&amp;"#"&amp;AB1802)</f>
        <v/>
      </c>
      <c r="AD1802" s="57" t="str">
        <f>IF(Z1802=1,A1802&amp;AA1802,"")</f>
        <v/>
      </c>
      <c r="AE1802" s="57" t="str">
        <f>IF(B1802="","",YEAR(C1802))</f>
        <v/>
      </c>
      <c r="AF1802" s="57" t="str">
        <f>IF(B1802="","",MONTH(C1802))</f>
        <v/>
      </c>
      <c r="AG1802" s="57">
        <f>IF(ISNUMBER(C1802),C1802,0)</f>
        <v>0.0</v>
      </c>
      <c r="AH1802" s="57" t="str">
        <f>IF(N(W1802)&gt;0,COUNTIF(W$6:W1802,"&gt;0"),"")</f>
        <v/>
      </c>
      <c r="AI1802" s="57" t="str">
        <f>IF(Z1802=1,COUNTIF(Z$6:Z1802,1),"")</f>
        <v/>
      </c>
    </row>
    <row r="1803">
      <c r="A1803" s="54" t="n"/>
      <c r="B1803" s="55" t="str">
        <f>IF(AA1803="","",A1803&amp;"-"&amp;RIGHT("000"&amp;AA1803,4))</f>
        <v/>
      </c>
      <c r="C1803" s="56" t="n"/>
      <c r="D1803" s="54" t="n"/>
      <c r="E1803" s="57" t="str">
        <f>IF(D1803="","",IF(A1803="BL",IFERROR(INDEX(cl_name,MATCH(D1803,cl_code,0))&amp;"","Client inconnu"),IF(A1803="BR",IFERROR(INDEX(fo_name,MATCH(D1803,fo_code,0))&amp;"","Fournisseur inconnu"),IF(A1803="BS",IF(ISNA(MATCH(D1803,p_services,0)),"Service inconnu",D1803&amp;""),""))))</f>
        <v/>
      </c>
      <c r="F1803" s="58" t="n"/>
      <c r="G1803" s="58" t="n"/>
      <c r="H1803" s="59" t="n"/>
      <c r="I1803" s="57" t="str">
        <f>IF(H1803="","",IFERROR(INDEX(art_des,MATCH(H1803,art_ref,0))&amp;"","Article inconnu"))</f>
        <v/>
      </c>
      <c r="J1803" s="60" t="str">
        <f>IF(H1803="","",IFERROR(INDEX(art_unit,MATCH(H1803,art_ref,0))&amp;"",""))</f>
        <v/>
      </c>
      <c r="K1803" s="59" t="n"/>
      <c r="L1803" s="59" t="n"/>
      <c r="M1803" s="61" t="str">
        <f>IF(OR(B1803="",NOT(ISNUMBER(K1803)),NOT(ISNUMBER(L1803))),"",IF(OR(K1803&lt;=0,L1803&lt;=0),"",ROUND(L1803-K1803,6)))</f>
        <v/>
      </c>
      <c r="N1803" s="58" t="n"/>
      <c r="O1803" s="62" t="n"/>
      <c r="P1803" s="63" t="str">
        <f>IF(OR(B1803="",NOT(ISNUMBER(L1803))),"",IF(L1803&lt;=0,"",IFERROR(ROUND(L1803*N(INDEX(art_w,MATCH(H1803,art_ref,0))),3),"")))</f>
        <v/>
      </c>
      <c r="Q1803" s="59" t="n"/>
      <c r="R1803" s="54" t="n"/>
      <c r="S1803" s="59" t="n"/>
      <c r="T1803" s="59" t="n"/>
      <c r="U1803" s="64" t="str">
        <f>IF(OR(B1803="",H1803=""),"",IFERROR(IF(A1803="BL",IF(N(INDEX(art_price,MATCH(H1803,art_ref,0)))=0,"",N(INDEX(art_price,MATCH(H1803,art_ref,0)))),IF(N(INDEX(art_cost,MATCH(H1803,art_ref,0)))=0,"",N(INDEX(art_cost,MATCH(H1803,art_ref,0))))),""))</f>
        <v/>
      </c>
      <c r="V1803" s="64" t="str">
        <f>IF(OR(U1803="",NOT(ISNUMBER(L1803))),"",IF(L1803&lt;=0,"",ROUND(L1803*U1803,2)))</f>
        <v/>
      </c>
      <c r="W1803" s="60" t="str">
        <f>IF(AND(B1803&lt;&gt;"",A1803&lt;&gt;"BS",F1803&lt;&gt;"",H1803&lt;&gt;"",ISNUMBER(K1803),ISNUMBER(L1803)),IF(AND(K1803&gt;0,L1803&gt;0,K1803-L1803&gt;0,COUNTIFS(A1804:A$2005,A1803,F1804:F$2005,F1803,H1804:H$2005,H1803,AA1804:AA$2005,"&gt;0")=0),ROUND(K1803-L1803,6),""),"")</f>
        <v/>
      </c>
      <c r="X1803" s="60" t="str">
        <f>IF(AND(A1803="",C1803="",D1803="",H1803="",L1803=""),"",IF(A1803="","Type manquant",IF(AND(A1803&lt;&gt;"BL",A1803&lt;&gt;"BR",A1803&lt;&gt;"BS"),"Type inconnu (BL, BR ou BS)",IF(AG1803=0,"Date manquante ou invalide",IF(D1803="",IF(A1803="BL","Client manquant",IF(A1803="BR","Fournisseur manquant","Service manquant")),IF(IF(A1803="BL",ISNA(MATCH(D1803,cl_code,0)),IF(A1803="BR",ISNA(MATCH(D1803,fo_code,0)),ISNA(MATCH(D1803,p_services,0)))),IF(A1803="BL","Client inconnu",IF(A1803="BR","Fournisseur inconnu","Service inconnu")),IF(H1803="","Article manquant",IF(ISNA(MATCH(H1803,art_ref,0)),"Article inconnu",IF(OR(NOT(ISNUMBER(L1803)),N(L1803)&lt;=0),"Quantité invalide",IF(AND(K1803&lt;&gt;"",OR(NOT(ISNUMBER(K1803)),N(K1803)&lt;=0)),"Qté commandée invalide",IF(AG1803&lt;SUMPRODUCT(MAX((A$6:A1802=A1803)*AG$6:AG1802)),"Date antérieure au bon précédent",IF(AND(A1803&lt;&gt;"BR",ISNUMBER(M1803),N(M1803)&gt;0),IF(A1803="BL","Livré plus que commandé","Sorti plus que demandé"),"OK"))))))))))))</f>
        <v/>
      </c>
      <c r="Y1803" s="57" t="str">
        <f>IF(AND(OR(A1803="BL",A1803="BR",A1803="BS"),AG1803&gt;0,D1803&lt;&gt;""),A1803&amp;"|"&amp;AG1803&amp;"|"&amp;D1803&amp;"|"&amp;F1803,"")</f>
        <v/>
      </c>
      <c r="Z1803" s="57" t="str">
        <f>IF(Y1803="","",IF(COUNTIF(Y$6:Y1802,Y1803)=0,1,0))</f>
        <v/>
      </c>
      <c r="AA1803" s="57" t="str">
        <f>IF(Y1803="","",IF(Z1803=1,COUNTIFS(A$6:A1803,A1803,Z$6:Z1803,1),INDEX(AA$6:AA1802,MATCH(Y1803,Y$6:Y1802,0))))</f>
        <v/>
      </c>
      <c r="AB1803" s="57" t="str">
        <f>IF(B1803="","",COUNTIF(B$6:B1803,B1803))</f>
        <v/>
      </c>
      <c r="AC1803" s="57" t="str">
        <f>IF(B1803="","",B1803&amp;"#"&amp;AB1803)</f>
        <v/>
      </c>
      <c r="AD1803" s="57" t="str">
        <f>IF(Z1803=1,A1803&amp;AA1803,"")</f>
        <v/>
      </c>
      <c r="AE1803" s="57" t="str">
        <f>IF(B1803="","",YEAR(C1803))</f>
        <v/>
      </c>
      <c r="AF1803" s="57" t="str">
        <f>IF(B1803="","",MONTH(C1803))</f>
        <v/>
      </c>
      <c r="AG1803" s="57">
        <f>IF(ISNUMBER(C1803),C1803,0)</f>
        <v>0.0</v>
      </c>
      <c r="AH1803" s="57" t="str">
        <f>IF(N(W1803)&gt;0,COUNTIF(W$6:W1803,"&gt;0"),"")</f>
        <v/>
      </c>
      <c r="AI1803" s="57" t="str">
        <f>IF(Z1803=1,COUNTIF(Z$6:Z1803,1),"")</f>
        <v/>
      </c>
    </row>
    <row r="1804">
      <c r="A1804" s="54" t="n"/>
      <c r="B1804" s="55" t="str">
        <f>IF(AA1804="","",A1804&amp;"-"&amp;RIGHT("000"&amp;AA1804,4))</f>
        <v/>
      </c>
      <c r="C1804" s="56" t="n"/>
      <c r="D1804" s="54" t="n"/>
      <c r="E1804" s="57" t="str">
        <f>IF(D1804="","",IF(A1804="BL",IFERROR(INDEX(cl_name,MATCH(D1804,cl_code,0))&amp;"","Client inconnu"),IF(A1804="BR",IFERROR(INDEX(fo_name,MATCH(D1804,fo_code,0))&amp;"","Fournisseur inconnu"),IF(A1804="BS",IF(ISNA(MATCH(D1804,p_services,0)),"Service inconnu",D1804&amp;""),""))))</f>
        <v/>
      </c>
      <c r="F1804" s="58" t="n"/>
      <c r="G1804" s="58" t="n"/>
      <c r="H1804" s="59" t="n"/>
      <c r="I1804" s="57" t="str">
        <f>IF(H1804="","",IFERROR(INDEX(art_des,MATCH(H1804,art_ref,0))&amp;"","Article inconnu"))</f>
        <v/>
      </c>
      <c r="J1804" s="60" t="str">
        <f>IF(H1804="","",IFERROR(INDEX(art_unit,MATCH(H1804,art_ref,0))&amp;"",""))</f>
        <v/>
      </c>
      <c r="K1804" s="59" t="n"/>
      <c r="L1804" s="59" t="n"/>
      <c r="M1804" s="61" t="str">
        <f>IF(OR(B1804="",NOT(ISNUMBER(K1804)),NOT(ISNUMBER(L1804))),"",IF(OR(K1804&lt;=0,L1804&lt;=0),"",ROUND(L1804-K1804,6)))</f>
        <v/>
      </c>
      <c r="N1804" s="58" t="n"/>
      <c r="O1804" s="62" t="n"/>
      <c r="P1804" s="63" t="str">
        <f>IF(OR(B1804="",NOT(ISNUMBER(L1804))),"",IF(L1804&lt;=0,"",IFERROR(ROUND(L1804*N(INDEX(art_w,MATCH(H1804,art_ref,0))),3),"")))</f>
        <v/>
      </c>
      <c r="Q1804" s="59" t="n"/>
      <c r="R1804" s="54" t="n"/>
      <c r="S1804" s="59" t="n"/>
      <c r="T1804" s="59" t="n"/>
      <c r="U1804" s="64" t="str">
        <f>IF(OR(B1804="",H1804=""),"",IFERROR(IF(A1804="BL",IF(N(INDEX(art_price,MATCH(H1804,art_ref,0)))=0,"",N(INDEX(art_price,MATCH(H1804,art_ref,0)))),IF(N(INDEX(art_cost,MATCH(H1804,art_ref,0)))=0,"",N(INDEX(art_cost,MATCH(H1804,art_ref,0))))),""))</f>
        <v/>
      </c>
      <c r="V1804" s="64" t="str">
        <f>IF(OR(U1804="",NOT(ISNUMBER(L1804))),"",IF(L1804&lt;=0,"",ROUND(L1804*U1804,2)))</f>
        <v/>
      </c>
      <c r="W1804" s="60" t="str">
        <f>IF(AND(B1804&lt;&gt;"",A1804&lt;&gt;"BS",F1804&lt;&gt;"",H1804&lt;&gt;"",ISNUMBER(K1804),ISNUMBER(L1804)),IF(AND(K1804&gt;0,L1804&gt;0,K1804-L1804&gt;0,COUNTIFS(A1805:A$2005,A1804,F1805:F$2005,F1804,H1805:H$2005,H1804,AA1805:AA$2005,"&gt;0")=0),ROUND(K1804-L1804,6),""),"")</f>
        <v/>
      </c>
      <c r="X1804" s="60" t="str">
        <f>IF(AND(A1804="",C1804="",D1804="",H1804="",L1804=""),"",IF(A1804="","Type manquant",IF(AND(A1804&lt;&gt;"BL",A1804&lt;&gt;"BR",A1804&lt;&gt;"BS"),"Type inconnu (BL, BR ou BS)",IF(AG1804=0,"Date manquante ou invalide",IF(D1804="",IF(A1804="BL","Client manquant",IF(A1804="BR","Fournisseur manquant","Service manquant")),IF(IF(A1804="BL",ISNA(MATCH(D1804,cl_code,0)),IF(A1804="BR",ISNA(MATCH(D1804,fo_code,0)),ISNA(MATCH(D1804,p_services,0)))),IF(A1804="BL","Client inconnu",IF(A1804="BR","Fournisseur inconnu","Service inconnu")),IF(H1804="","Article manquant",IF(ISNA(MATCH(H1804,art_ref,0)),"Article inconnu",IF(OR(NOT(ISNUMBER(L1804)),N(L1804)&lt;=0),"Quantité invalide",IF(AND(K1804&lt;&gt;"",OR(NOT(ISNUMBER(K1804)),N(K1804)&lt;=0)),"Qté commandée invalide",IF(AG1804&lt;SUMPRODUCT(MAX((A$6:A1803=A1804)*AG$6:AG1803)),"Date antérieure au bon précédent",IF(AND(A1804&lt;&gt;"BR",ISNUMBER(M1804),N(M1804)&gt;0),IF(A1804="BL","Livré plus que commandé","Sorti plus que demandé"),"OK"))))))))))))</f>
        <v/>
      </c>
      <c r="Y1804" s="57" t="str">
        <f>IF(AND(OR(A1804="BL",A1804="BR",A1804="BS"),AG1804&gt;0,D1804&lt;&gt;""),A1804&amp;"|"&amp;AG1804&amp;"|"&amp;D1804&amp;"|"&amp;F1804,"")</f>
        <v/>
      </c>
      <c r="Z1804" s="57" t="str">
        <f>IF(Y1804="","",IF(COUNTIF(Y$6:Y1803,Y1804)=0,1,0))</f>
        <v/>
      </c>
      <c r="AA1804" s="57" t="str">
        <f>IF(Y1804="","",IF(Z1804=1,COUNTIFS(A$6:A1804,A1804,Z$6:Z1804,1),INDEX(AA$6:AA1803,MATCH(Y1804,Y$6:Y1803,0))))</f>
        <v/>
      </c>
      <c r="AB1804" s="57" t="str">
        <f>IF(B1804="","",COUNTIF(B$6:B1804,B1804))</f>
        <v/>
      </c>
      <c r="AC1804" s="57" t="str">
        <f>IF(B1804="","",B1804&amp;"#"&amp;AB1804)</f>
        <v/>
      </c>
      <c r="AD1804" s="57" t="str">
        <f>IF(Z1804=1,A1804&amp;AA1804,"")</f>
        <v/>
      </c>
      <c r="AE1804" s="57" t="str">
        <f>IF(B1804="","",YEAR(C1804))</f>
        <v/>
      </c>
      <c r="AF1804" s="57" t="str">
        <f>IF(B1804="","",MONTH(C1804))</f>
        <v/>
      </c>
      <c r="AG1804" s="57">
        <f>IF(ISNUMBER(C1804),C1804,0)</f>
        <v>0.0</v>
      </c>
      <c r="AH1804" s="57" t="str">
        <f>IF(N(W1804)&gt;0,COUNTIF(W$6:W1804,"&gt;0"),"")</f>
        <v/>
      </c>
      <c r="AI1804" s="57" t="str">
        <f>IF(Z1804=1,COUNTIF(Z$6:Z1804,1),"")</f>
        <v/>
      </c>
    </row>
    <row r="1805">
      <c r="A1805" s="54" t="n"/>
      <c r="B1805" s="55" t="str">
        <f>IF(AA1805="","",A1805&amp;"-"&amp;RIGHT("000"&amp;AA1805,4))</f>
        <v/>
      </c>
      <c r="C1805" s="56" t="n"/>
      <c r="D1805" s="54" t="n"/>
      <c r="E1805" s="57" t="str">
        <f>IF(D1805="","",IF(A1805="BL",IFERROR(INDEX(cl_name,MATCH(D1805,cl_code,0))&amp;"","Client inconnu"),IF(A1805="BR",IFERROR(INDEX(fo_name,MATCH(D1805,fo_code,0))&amp;"","Fournisseur inconnu"),IF(A1805="BS",IF(ISNA(MATCH(D1805,p_services,0)),"Service inconnu",D1805&amp;""),""))))</f>
        <v/>
      </c>
      <c r="F1805" s="58" t="n"/>
      <c r="G1805" s="58" t="n"/>
      <c r="H1805" s="59" t="n"/>
      <c r="I1805" s="57" t="str">
        <f>IF(H1805="","",IFERROR(INDEX(art_des,MATCH(H1805,art_ref,0))&amp;"","Article inconnu"))</f>
        <v/>
      </c>
      <c r="J1805" s="60" t="str">
        <f>IF(H1805="","",IFERROR(INDEX(art_unit,MATCH(H1805,art_ref,0))&amp;"",""))</f>
        <v/>
      </c>
      <c r="K1805" s="59" t="n"/>
      <c r="L1805" s="59" t="n"/>
      <c r="M1805" s="61" t="str">
        <f>IF(OR(B1805="",NOT(ISNUMBER(K1805)),NOT(ISNUMBER(L1805))),"",IF(OR(K1805&lt;=0,L1805&lt;=0),"",ROUND(L1805-K1805,6)))</f>
        <v/>
      </c>
      <c r="N1805" s="58" t="n"/>
      <c r="O1805" s="62" t="n"/>
      <c r="P1805" s="63" t="str">
        <f>IF(OR(B1805="",NOT(ISNUMBER(L1805))),"",IF(L1805&lt;=0,"",IFERROR(ROUND(L1805*N(INDEX(art_w,MATCH(H1805,art_ref,0))),3),"")))</f>
        <v/>
      </c>
      <c r="Q1805" s="59" t="n"/>
      <c r="R1805" s="54" t="n"/>
      <c r="S1805" s="59" t="n"/>
      <c r="T1805" s="59" t="n"/>
      <c r="U1805" s="64" t="str">
        <f>IF(OR(B1805="",H1805=""),"",IFERROR(IF(A1805="BL",IF(N(INDEX(art_price,MATCH(H1805,art_ref,0)))=0,"",N(INDEX(art_price,MATCH(H1805,art_ref,0)))),IF(N(INDEX(art_cost,MATCH(H1805,art_ref,0)))=0,"",N(INDEX(art_cost,MATCH(H1805,art_ref,0))))),""))</f>
        <v/>
      </c>
      <c r="V1805" s="64" t="str">
        <f>IF(OR(U1805="",NOT(ISNUMBER(L1805))),"",IF(L1805&lt;=0,"",ROUND(L1805*U1805,2)))</f>
        <v/>
      </c>
      <c r="W1805" s="60" t="str">
        <f>IF(AND(B1805&lt;&gt;"",A1805&lt;&gt;"BS",F1805&lt;&gt;"",H1805&lt;&gt;"",ISNUMBER(K1805),ISNUMBER(L1805)),IF(AND(K1805&gt;0,L1805&gt;0,K1805-L1805&gt;0,COUNTIFS(A1806:A$2005,A1805,F1806:F$2005,F1805,H1806:H$2005,H1805,AA1806:AA$2005,"&gt;0")=0),ROUND(K1805-L1805,6),""),"")</f>
        <v/>
      </c>
      <c r="X1805" s="60" t="str">
        <f>IF(AND(A1805="",C1805="",D1805="",H1805="",L1805=""),"",IF(A1805="","Type manquant",IF(AND(A1805&lt;&gt;"BL",A1805&lt;&gt;"BR",A1805&lt;&gt;"BS"),"Type inconnu (BL, BR ou BS)",IF(AG1805=0,"Date manquante ou invalide",IF(D1805="",IF(A1805="BL","Client manquant",IF(A1805="BR","Fournisseur manquant","Service manquant")),IF(IF(A1805="BL",ISNA(MATCH(D1805,cl_code,0)),IF(A1805="BR",ISNA(MATCH(D1805,fo_code,0)),ISNA(MATCH(D1805,p_services,0)))),IF(A1805="BL","Client inconnu",IF(A1805="BR","Fournisseur inconnu","Service inconnu")),IF(H1805="","Article manquant",IF(ISNA(MATCH(H1805,art_ref,0)),"Article inconnu",IF(OR(NOT(ISNUMBER(L1805)),N(L1805)&lt;=0),"Quantité invalide",IF(AND(K1805&lt;&gt;"",OR(NOT(ISNUMBER(K1805)),N(K1805)&lt;=0)),"Qté commandée invalide",IF(AG1805&lt;SUMPRODUCT(MAX((A$6:A1804=A1805)*AG$6:AG1804)),"Date antérieure au bon précédent",IF(AND(A1805&lt;&gt;"BR",ISNUMBER(M1805),N(M1805)&gt;0),IF(A1805="BL","Livré plus que commandé","Sorti plus que demandé"),"OK"))))))))))))</f>
        <v/>
      </c>
      <c r="Y1805" s="57" t="str">
        <f>IF(AND(OR(A1805="BL",A1805="BR",A1805="BS"),AG1805&gt;0,D1805&lt;&gt;""),A1805&amp;"|"&amp;AG1805&amp;"|"&amp;D1805&amp;"|"&amp;F1805,"")</f>
        <v/>
      </c>
      <c r="Z1805" s="57" t="str">
        <f>IF(Y1805="","",IF(COUNTIF(Y$6:Y1804,Y1805)=0,1,0))</f>
        <v/>
      </c>
      <c r="AA1805" s="57" t="str">
        <f>IF(Y1805="","",IF(Z1805=1,COUNTIFS(A$6:A1805,A1805,Z$6:Z1805,1),INDEX(AA$6:AA1804,MATCH(Y1805,Y$6:Y1804,0))))</f>
        <v/>
      </c>
      <c r="AB1805" s="57" t="str">
        <f>IF(B1805="","",COUNTIF(B$6:B1805,B1805))</f>
        <v/>
      </c>
      <c r="AC1805" s="57" t="str">
        <f>IF(B1805="","",B1805&amp;"#"&amp;AB1805)</f>
        <v/>
      </c>
      <c r="AD1805" s="57" t="str">
        <f>IF(Z1805=1,A1805&amp;AA1805,"")</f>
        <v/>
      </c>
      <c r="AE1805" s="57" t="str">
        <f>IF(B1805="","",YEAR(C1805))</f>
        <v/>
      </c>
      <c r="AF1805" s="57" t="str">
        <f>IF(B1805="","",MONTH(C1805))</f>
        <v/>
      </c>
      <c r="AG1805" s="57">
        <f>IF(ISNUMBER(C1805),C1805,0)</f>
        <v>0.0</v>
      </c>
      <c r="AH1805" s="57" t="str">
        <f>IF(N(W1805)&gt;0,COUNTIF(W$6:W1805,"&gt;0"),"")</f>
        <v/>
      </c>
      <c r="AI1805" s="57" t="str">
        <f>IF(Z1805=1,COUNTIF(Z$6:Z1805,1),"")</f>
        <v/>
      </c>
    </row>
    <row r="1806">
      <c r="A1806" s="54" t="n"/>
      <c r="B1806" s="55" t="str">
        <f>IF(AA1806="","",A1806&amp;"-"&amp;RIGHT("000"&amp;AA1806,4))</f>
        <v/>
      </c>
      <c r="C1806" s="56" t="n"/>
      <c r="D1806" s="54" t="n"/>
      <c r="E1806" s="57" t="str">
        <f>IF(D1806="","",IF(A1806="BL",IFERROR(INDEX(cl_name,MATCH(D1806,cl_code,0))&amp;"","Client inconnu"),IF(A1806="BR",IFERROR(INDEX(fo_name,MATCH(D1806,fo_code,0))&amp;"","Fournisseur inconnu"),IF(A1806="BS",IF(ISNA(MATCH(D1806,p_services,0)),"Service inconnu",D1806&amp;""),""))))</f>
        <v/>
      </c>
      <c r="F1806" s="58" t="n"/>
      <c r="G1806" s="58" t="n"/>
      <c r="H1806" s="59" t="n"/>
      <c r="I1806" s="57" t="str">
        <f>IF(H1806="","",IFERROR(INDEX(art_des,MATCH(H1806,art_ref,0))&amp;"","Article inconnu"))</f>
        <v/>
      </c>
      <c r="J1806" s="60" t="str">
        <f>IF(H1806="","",IFERROR(INDEX(art_unit,MATCH(H1806,art_ref,0))&amp;"",""))</f>
        <v/>
      </c>
      <c r="K1806" s="59" t="n"/>
      <c r="L1806" s="59" t="n"/>
      <c r="M1806" s="61" t="str">
        <f>IF(OR(B1806="",NOT(ISNUMBER(K1806)),NOT(ISNUMBER(L1806))),"",IF(OR(K1806&lt;=0,L1806&lt;=0),"",ROUND(L1806-K1806,6)))</f>
        <v/>
      </c>
      <c r="N1806" s="58" t="n"/>
      <c r="O1806" s="62" t="n"/>
      <c r="P1806" s="63" t="str">
        <f>IF(OR(B1806="",NOT(ISNUMBER(L1806))),"",IF(L1806&lt;=0,"",IFERROR(ROUND(L1806*N(INDEX(art_w,MATCH(H1806,art_ref,0))),3),"")))</f>
        <v/>
      </c>
      <c r="Q1806" s="59" t="n"/>
      <c r="R1806" s="54" t="n"/>
      <c r="S1806" s="59" t="n"/>
      <c r="T1806" s="59" t="n"/>
      <c r="U1806" s="64" t="str">
        <f>IF(OR(B1806="",H1806=""),"",IFERROR(IF(A1806="BL",IF(N(INDEX(art_price,MATCH(H1806,art_ref,0)))=0,"",N(INDEX(art_price,MATCH(H1806,art_ref,0)))),IF(N(INDEX(art_cost,MATCH(H1806,art_ref,0)))=0,"",N(INDEX(art_cost,MATCH(H1806,art_ref,0))))),""))</f>
        <v/>
      </c>
      <c r="V1806" s="64" t="str">
        <f>IF(OR(U1806="",NOT(ISNUMBER(L1806))),"",IF(L1806&lt;=0,"",ROUND(L1806*U1806,2)))</f>
        <v/>
      </c>
      <c r="W1806" s="60" t="str">
        <f>IF(AND(B1806&lt;&gt;"",A1806&lt;&gt;"BS",F1806&lt;&gt;"",H1806&lt;&gt;"",ISNUMBER(K1806),ISNUMBER(L1806)),IF(AND(K1806&gt;0,L1806&gt;0,K1806-L1806&gt;0,COUNTIFS(A1807:A$2005,A1806,F1807:F$2005,F1806,H1807:H$2005,H1806,AA1807:AA$2005,"&gt;0")=0),ROUND(K1806-L1806,6),""),"")</f>
        <v/>
      </c>
      <c r="X1806" s="60" t="str">
        <f>IF(AND(A1806="",C1806="",D1806="",H1806="",L1806=""),"",IF(A1806="","Type manquant",IF(AND(A1806&lt;&gt;"BL",A1806&lt;&gt;"BR",A1806&lt;&gt;"BS"),"Type inconnu (BL, BR ou BS)",IF(AG1806=0,"Date manquante ou invalide",IF(D1806="",IF(A1806="BL","Client manquant",IF(A1806="BR","Fournisseur manquant","Service manquant")),IF(IF(A1806="BL",ISNA(MATCH(D1806,cl_code,0)),IF(A1806="BR",ISNA(MATCH(D1806,fo_code,0)),ISNA(MATCH(D1806,p_services,0)))),IF(A1806="BL","Client inconnu",IF(A1806="BR","Fournisseur inconnu","Service inconnu")),IF(H1806="","Article manquant",IF(ISNA(MATCH(H1806,art_ref,0)),"Article inconnu",IF(OR(NOT(ISNUMBER(L1806)),N(L1806)&lt;=0),"Quantité invalide",IF(AND(K1806&lt;&gt;"",OR(NOT(ISNUMBER(K1806)),N(K1806)&lt;=0)),"Qté commandée invalide",IF(AG1806&lt;SUMPRODUCT(MAX((A$6:A1805=A1806)*AG$6:AG1805)),"Date antérieure au bon précédent",IF(AND(A1806&lt;&gt;"BR",ISNUMBER(M1806),N(M1806)&gt;0),IF(A1806="BL","Livré plus que commandé","Sorti plus que demandé"),"OK"))))))))))))</f>
        <v/>
      </c>
      <c r="Y1806" s="57" t="str">
        <f>IF(AND(OR(A1806="BL",A1806="BR",A1806="BS"),AG1806&gt;0,D1806&lt;&gt;""),A1806&amp;"|"&amp;AG1806&amp;"|"&amp;D1806&amp;"|"&amp;F1806,"")</f>
        <v/>
      </c>
      <c r="Z1806" s="57" t="str">
        <f>IF(Y1806="","",IF(COUNTIF(Y$6:Y1805,Y1806)=0,1,0))</f>
        <v/>
      </c>
      <c r="AA1806" s="57" t="str">
        <f>IF(Y1806="","",IF(Z1806=1,COUNTIFS(A$6:A1806,A1806,Z$6:Z1806,1),INDEX(AA$6:AA1805,MATCH(Y1806,Y$6:Y1805,0))))</f>
        <v/>
      </c>
      <c r="AB1806" s="57" t="str">
        <f>IF(B1806="","",COUNTIF(B$6:B1806,B1806))</f>
        <v/>
      </c>
      <c r="AC1806" s="57" t="str">
        <f>IF(B1806="","",B1806&amp;"#"&amp;AB1806)</f>
        <v/>
      </c>
      <c r="AD1806" s="57" t="str">
        <f>IF(Z1806=1,A1806&amp;AA1806,"")</f>
        <v/>
      </c>
      <c r="AE1806" s="57" t="str">
        <f>IF(B1806="","",YEAR(C1806))</f>
        <v/>
      </c>
      <c r="AF1806" s="57" t="str">
        <f>IF(B1806="","",MONTH(C1806))</f>
        <v/>
      </c>
      <c r="AG1806" s="57">
        <f>IF(ISNUMBER(C1806),C1806,0)</f>
        <v>0.0</v>
      </c>
      <c r="AH1806" s="57" t="str">
        <f>IF(N(W1806)&gt;0,COUNTIF(W$6:W1806,"&gt;0"),"")</f>
        <v/>
      </c>
      <c r="AI1806" s="57" t="str">
        <f>IF(Z1806=1,COUNTIF(Z$6:Z1806,1),"")</f>
        <v/>
      </c>
    </row>
    <row r="1807">
      <c r="A1807" s="54" t="n"/>
      <c r="B1807" s="55" t="str">
        <f>IF(AA1807="","",A1807&amp;"-"&amp;RIGHT("000"&amp;AA1807,4))</f>
        <v/>
      </c>
      <c r="C1807" s="56" t="n"/>
      <c r="D1807" s="54" t="n"/>
      <c r="E1807" s="57" t="str">
        <f>IF(D1807="","",IF(A1807="BL",IFERROR(INDEX(cl_name,MATCH(D1807,cl_code,0))&amp;"","Client inconnu"),IF(A1807="BR",IFERROR(INDEX(fo_name,MATCH(D1807,fo_code,0))&amp;"","Fournisseur inconnu"),IF(A1807="BS",IF(ISNA(MATCH(D1807,p_services,0)),"Service inconnu",D1807&amp;""),""))))</f>
        <v/>
      </c>
      <c r="F1807" s="58" t="n"/>
      <c r="G1807" s="58" t="n"/>
      <c r="H1807" s="59" t="n"/>
      <c r="I1807" s="57" t="str">
        <f>IF(H1807="","",IFERROR(INDEX(art_des,MATCH(H1807,art_ref,0))&amp;"","Article inconnu"))</f>
        <v/>
      </c>
      <c r="J1807" s="60" t="str">
        <f>IF(H1807="","",IFERROR(INDEX(art_unit,MATCH(H1807,art_ref,0))&amp;"",""))</f>
        <v/>
      </c>
      <c r="K1807" s="59" t="n"/>
      <c r="L1807" s="59" t="n"/>
      <c r="M1807" s="61" t="str">
        <f>IF(OR(B1807="",NOT(ISNUMBER(K1807)),NOT(ISNUMBER(L1807))),"",IF(OR(K1807&lt;=0,L1807&lt;=0),"",ROUND(L1807-K1807,6)))</f>
        <v/>
      </c>
      <c r="N1807" s="58" t="n"/>
      <c r="O1807" s="62" t="n"/>
      <c r="P1807" s="63" t="str">
        <f>IF(OR(B1807="",NOT(ISNUMBER(L1807))),"",IF(L1807&lt;=0,"",IFERROR(ROUND(L1807*N(INDEX(art_w,MATCH(H1807,art_ref,0))),3),"")))</f>
        <v/>
      </c>
      <c r="Q1807" s="59" t="n"/>
      <c r="R1807" s="54" t="n"/>
      <c r="S1807" s="59" t="n"/>
      <c r="T1807" s="59" t="n"/>
      <c r="U1807" s="64" t="str">
        <f>IF(OR(B1807="",H1807=""),"",IFERROR(IF(A1807="BL",IF(N(INDEX(art_price,MATCH(H1807,art_ref,0)))=0,"",N(INDEX(art_price,MATCH(H1807,art_ref,0)))),IF(N(INDEX(art_cost,MATCH(H1807,art_ref,0)))=0,"",N(INDEX(art_cost,MATCH(H1807,art_ref,0))))),""))</f>
        <v/>
      </c>
      <c r="V1807" s="64" t="str">
        <f>IF(OR(U1807="",NOT(ISNUMBER(L1807))),"",IF(L1807&lt;=0,"",ROUND(L1807*U1807,2)))</f>
        <v/>
      </c>
      <c r="W1807" s="60" t="str">
        <f>IF(AND(B1807&lt;&gt;"",A1807&lt;&gt;"BS",F1807&lt;&gt;"",H1807&lt;&gt;"",ISNUMBER(K1807),ISNUMBER(L1807)),IF(AND(K1807&gt;0,L1807&gt;0,K1807-L1807&gt;0,COUNTIFS(A1808:A$2005,A1807,F1808:F$2005,F1807,H1808:H$2005,H1807,AA1808:AA$2005,"&gt;0")=0),ROUND(K1807-L1807,6),""),"")</f>
        <v/>
      </c>
      <c r="X1807" s="60" t="str">
        <f>IF(AND(A1807="",C1807="",D1807="",H1807="",L1807=""),"",IF(A1807="","Type manquant",IF(AND(A1807&lt;&gt;"BL",A1807&lt;&gt;"BR",A1807&lt;&gt;"BS"),"Type inconnu (BL, BR ou BS)",IF(AG1807=0,"Date manquante ou invalide",IF(D1807="",IF(A1807="BL","Client manquant",IF(A1807="BR","Fournisseur manquant","Service manquant")),IF(IF(A1807="BL",ISNA(MATCH(D1807,cl_code,0)),IF(A1807="BR",ISNA(MATCH(D1807,fo_code,0)),ISNA(MATCH(D1807,p_services,0)))),IF(A1807="BL","Client inconnu",IF(A1807="BR","Fournisseur inconnu","Service inconnu")),IF(H1807="","Article manquant",IF(ISNA(MATCH(H1807,art_ref,0)),"Article inconnu",IF(OR(NOT(ISNUMBER(L1807)),N(L1807)&lt;=0),"Quantité invalide",IF(AND(K1807&lt;&gt;"",OR(NOT(ISNUMBER(K1807)),N(K1807)&lt;=0)),"Qté commandée invalide",IF(AG1807&lt;SUMPRODUCT(MAX((A$6:A1806=A1807)*AG$6:AG1806)),"Date antérieure au bon précédent",IF(AND(A1807&lt;&gt;"BR",ISNUMBER(M1807),N(M1807)&gt;0),IF(A1807="BL","Livré plus que commandé","Sorti plus que demandé"),"OK"))))))))))))</f>
        <v/>
      </c>
      <c r="Y1807" s="57" t="str">
        <f>IF(AND(OR(A1807="BL",A1807="BR",A1807="BS"),AG1807&gt;0,D1807&lt;&gt;""),A1807&amp;"|"&amp;AG1807&amp;"|"&amp;D1807&amp;"|"&amp;F1807,"")</f>
        <v/>
      </c>
      <c r="Z1807" s="57" t="str">
        <f>IF(Y1807="","",IF(COUNTIF(Y$6:Y1806,Y1807)=0,1,0))</f>
        <v/>
      </c>
      <c r="AA1807" s="57" t="str">
        <f>IF(Y1807="","",IF(Z1807=1,COUNTIFS(A$6:A1807,A1807,Z$6:Z1807,1),INDEX(AA$6:AA1806,MATCH(Y1807,Y$6:Y1806,0))))</f>
        <v/>
      </c>
      <c r="AB1807" s="57" t="str">
        <f>IF(B1807="","",COUNTIF(B$6:B1807,B1807))</f>
        <v/>
      </c>
      <c r="AC1807" s="57" t="str">
        <f>IF(B1807="","",B1807&amp;"#"&amp;AB1807)</f>
        <v/>
      </c>
      <c r="AD1807" s="57" t="str">
        <f>IF(Z1807=1,A1807&amp;AA1807,"")</f>
        <v/>
      </c>
      <c r="AE1807" s="57" t="str">
        <f>IF(B1807="","",YEAR(C1807))</f>
        <v/>
      </c>
      <c r="AF1807" s="57" t="str">
        <f>IF(B1807="","",MONTH(C1807))</f>
        <v/>
      </c>
      <c r="AG1807" s="57">
        <f>IF(ISNUMBER(C1807),C1807,0)</f>
        <v>0.0</v>
      </c>
      <c r="AH1807" s="57" t="str">
        <f>IF(N(W1807)&gt;0,COUNTIF(W$6:W1807,"&gt;0"),"")</f>
        <v/>
      </c>
      <c r="AI1807" s="57" t="str">
        <f>IF(Z1807=1,COUNTIF(Z$6:Z1807,1),"")</f>
        <v/>
      </c>
    </row>
    <row r="1808">
      <c r="A1808" s="54" t="n"/>
      <c r="B1808" s="55" t="str">
        <f>IF(AA1808="","",A1808&amp;"-"&amp;RIGHT("000"&amp;AA1808,4))</f>
        <v/>
      </c>
      <c r="C1808" s="56" t="n"/>
      <c r="D1808" s="54" t="n"/>
      <c r="E1808" s="57" t="str">
        <f>IF(D1808="","",IF(A1808="BL",IFERROR(INDEX(cl_name,MATCH(D1808,cl_code,0))&amp;"","Client inconnu"),IF(A1808="BR",IFERROR(INDEX(fo_name,MATCH(D1808,fo_code,0))&amp;"","Fournisseur inconnu"),IF(A1808="BS",IF(ISNA(MATCH(D1808,p_services,0)),"Service inconnu",D1808&amp;""),""))))</f>
        <v/>
      </c>
      <c r="F1808" s="58" t="n"/>
      <c r="G1808" s="58" t="n"/>
      <c r="H1808" s="59" t="n"/>
      <c r="I1808" s="57" t="str">
        <f>IF(H1808="","",IFERROR(INDEX(art_des,MATCH(H1808,art_ref,0))&amp;"","Article inconnu"))</f>
        <v/>
      </c>
      <c r="J1808" s="60" t="str">
        <f>IF(H1808="","",IFERROR(INDEX(art_unit,MATCH(H1808,art_ref,0))&amp;"",""))</f>
        <v/>
      </c>
      <c r="K1808" s="59" t="n"/>
      <c r="L1808" s="59" t="n"/>
      <c r="M1808" s="61" t="str">
        <f>IF(OR(B1808="",NOT(ISNUMBER(K1808)),NOT(ISNUMBER(L1808))),"",IF(OR(K1808&lt;=0,L1808&lt;=0),"",ROUND(L1808-K1808,6)))</f>
        <v/>
      </c>
      <c r="N1808" s="58" t="n"/>
      <c r="O1808" s="62" t="n"/>
      <c r="P1808" s="63" t="str">
        <f>IF(OR(B1808="",NOT(ISNUMBER(L1808))),"",IF(L1808&lt;=0,"",IFERROR(ROUND(L1808*N(INDEX(art_w,MATCH(H1808,art_ref,0))),3),"")))</f>
        <v/>
      </c>
      <c r="Q1808" s="59" t="n"/>
      <c r="R1808" s="54" t="n"/>
      <c r="S1808" s="59" t="n"/>
      <c r="T1808" s="59" t="n"/>
      <c r="U1808" s="64" t="str">
        <f>IF(OR(B1808="",H1808=""),"",IFERROR(IF(A1808="BL",IF(N(INDEX(art_price,MATCH(H1808,art_ref,0)))=0,"",N(INDEX(art_price,MATCH(H1808,art_ref,0)))),IF(N(INDEX(art_cost,MATCH(H1808,art_ref,0)))=0,"",N(INDEX(art_cost,MATCH(H1808,art_ref,0))))),""))</f>
        <v/>
      </c>
      <c r="V1808" s="64" t="str">
        <f>IF(OR(U1808="",NOT(ISNUMBER(L1808))),"",IF(L1808&lt;=0,"",ROUND(L1808*U1808,2)))</f>
        <v/>
      </c>
      <c r="W1808" s="60" t="str">
        <f>IF(AND(B1808&lt;&gt;"",A1808&lt;&gt;"BS",F1808&lt;&gt;"",H1808&lt;&gt;"",ISNUMBER(K1808),ISNUMBER(L1808)),IF(AND(K1808&gt;0,L1808&gt;0,K1808-L1808&gt;0,COUNTIFS(A1809:A$2005,A1808,F1809:F$2005,F1808,H1809:H$2005,H1808,AA1809:AA$2005,"&gt;0")=0),ROUND(K1808-L1808,6),""),"")</f>
        <v/>
      </c>
      <c r="X1808" s="60" t="str">
        <f>IF(AND(A1808="",C1808="",D1808="",H1808="",L1808=""),"",IF(A1808="","Type manquant",IF(AND(A1808&lt;&gt;"BL",A1808&lt;&gt;"BR",A1808&lt;&gt;"BS"),"Type inconnu (BL, BR ou BS)",IF(AG1808=0,"Date manquante ou invalide",IF(D1808="",IF(A1808="BL","Client manquant",IF(A1808="BR","Fournisseur manquant","Service manquant")),IF(IF(A1808="BL",ISNA(MATCH(D1808,cl_code,0)),IF(A1808="BR",ISNA(MATCH(D1808,fo_code,0)),ISNA(MATCH(D1808,p_services,0)))),IF(A1808="BL","Client inconnu",IF(A1808="BR","Fournisseur inconnu","Service inconnu")),IF(H1808="","Article manquant",IF(ISNA(MATCH(H1808,art_ref,0)),"Article inconnu",IF(OR(NOT(ISNUMBER(L1808)),N(L1808)&lt;=0),"Quantité invalide",IF(AND(K1808&lt;&gt;"",OR(NOT(ISNUMBER(K1808)),N(K1808)&lt;=0)),"Qté commandée invalide",IF(AG1808&lt;SUMPRODUCT(MAX((A$6:A1807=A1808)*AG$6:AG1807)),"Date antérieure au bon précédent",IF(AND(A1808&lt;&gt;"BR",ISNUMBER(M1808),N(M1808)&gt;0),IF(A1808="BL","Livré plus que commandé","Sorti plus que demandé"),"OK"))))))))))))</f>
        <v/>
      </c>
      <c r="Y1808" s="57" t="str">
        <f>IF(AND(OR(A1808="BL",A1808="BR",A1808="BS"),AG1808&gt;0,D1808&lt;&gt;""),A1808&amp;"|"&amp;AG1808&amp;"|"&amp;D1808&amp;"|"&amp;F1808,"")</f>
        <v/>
      </c>
      <c r="Z1808" s="57" t="str">
        <f>IF(Y1808="","",IF(COUNTIF(Y$6:Y1807,Y1808)=0,1,0))</f>
        <v/>
      </c>
      <c r="AA1808" s="57" t="str">
        <f>IF(Y1808="","",IF(Z1808=1,COUNTIFS(A$6:A1808,A1808,Z$6:Z1808,1),INDEX(AA$6:AA1807,MATCH(Y1808,Y$6:Y1807,0))))</f>
        <v/>
      </c>
      <c r="AB1808" s="57" t="str">
        <f>IF(B1808="","",COUNTIF(B$6:B1808,B1808))</f>
        <v/>
      </c>
      <c r="AC1808" s="57" t="str">
        <f>IF(B1808="","",B1808&amp;"#"&amp;AB1808)</f>
        <v/>
      </c>
      <c r="AD1808" s="57" t="str">
        <f>IF(Z1808=1,A1808&amp;AA1808,"")</f>
        <v/>
      </c>
      <c r="AE1808" s="57" t="str">
        <f>IF(B1808="","",YEAR(C1808))</f>
        <v/>
      </c>
      <c r="AF1808" s="57" t="str">
        <f>IF(B1808="","",MONTH(C1808))</f>
        <v/>
      </c>
      <c r="AG1808" s="57">
        <f>IF(ISNUMBER(C1808),C1808,0)</f>
        <v>0.0</v>
      </c>
      <c r="AH1808" s="57" t="str">
        <f>IF(N(W1808)&gt;0,COUNTIF(W$6:W1808,"&gt;0"),"")</f>
        <v/>
      </c>
      <c r="AI1808" s="57" t="str">
        <f>IF(Z1808=1,COUNTIF(Z$6:Z1808,1),"")</f>
        <v/>
      </c>
    </row>
    <row r="1809">
      <c r="A1809" s="54" t="n"/>
      <c r="B1809" s="55" t="str">
        <f>IF(AA1809="","",A1809&amp;"-"&amp;RIGHT("000"&amp;AA1809,4))</f>
        <v/>
      </c>
      <c r="C1809" s="56" t="n"/>
      <c r="D1809" s="54" t="n"/>
      <c r="E1809" s="57" t="str">
        <f>IF(D1809="","",IF(A1809="BL",IFERROR(INDEX(cl_name,MATCH(D1809,cl_code,0))&amp;"","Client inconnu"),IF(A1809="BR",IFERROR(INDEX(fo_name,MATCH(D1809,fo_code,0))&amp;"","Fournisseur inconnu"),IF(A1809="BS",IF(ISNA(MATCH(D1809,p_services,0)),"Service inconnu",D1809&amp;""),""))))</f>
        <v/>
      </c>
      <c r="F1809" s="58" t="n"/>
      <c r="G1809" s="58" t="n"/>
      <c r="H1809" s="59" t="n"/>
      <c r="I1809" s="57" t="str">
        <f>IF(H1809="","",IFERROR(INDEX(art_des,MATCH(H1809,art_ref,0))&amp;"","Article inconnu"))</f>
        <v/>
      </c>
      <c r="J1809" s="60" t="str">
        <f>IF(H1809="","",IFERROR(INDEX(art_unit,MATCH(H1809,art_ref,0))&amp;"",""))</f>
        <v/>
      </c>
      <c r="K1809" s="59" t="n"/>
      <c r="L1809" s="59" t="n"/>
      <c r="M1809" s="61" t="str">
        <f>IF(OR(B1809="",NOT(ISNUMBER(K1809)),NOT(ISNUMBER(L1809))),"",IF(OR(K1809&lt;=0,L1809&lt;=0),"",ROUND(L1809-K1809,6)))</f>
        <v/>
      </c>
      <c r="N1809" s="58" t="n"/>
      <c r="O1809" s="62" t="n"/>
      <c r="P1809" s="63" t="str">
        <f>IF(OR(B1809="",NOT(ISNUMBER(L1809))),"",IF(L1809&lt;=0,"",IFERROR(ROUND(L1809*N(INDEX(art_w,MATCH(H1809,art_ref,0))),3),"")))</f>
        <v/>
      </c>
      <c r="Q1809" s="59" t="n"/>
      <c r="R1809" s="54" t="n"/>
      <c r="S1809" s="59" t="n"/>
      <c r="T1809" s="59" t="n"/>
      <c r="U1809" s="64" t="str">
        <f>IF(OR(B1809="",H1809=""),"",IFERROR(IF(A1809="BL",IF(N(INDEX(art_price,MATCH(H1809,art_ref,0)))=0,"",N(INDEX(art_price,MATCH(H1809,art_ref,0)))),IF(N(INDEX(art_cost,MATCH(H1809,art_ref,0)))=0,"",N(INDEX(art_cost,MATCH(H1809,art_ref,0))))),""))</f>
        <v/>
      </c>
      <c r="V1809" s="64" t="str">
        <f>IF(OR(U1809="",NOT(ISNUMBER(L1809))),"",IF(L1809&lt;=0,"",ROUND(L1809*U1809,2)))</f>
        <v/>
      </c>
      <c r="W1809" s="60" t="str">
        <f>IF(AND(B1809&lt;&gt;"",A1809&lt;&gt;"BS",F1809&lt;&gt;"",H1809&lt;&gt;"",ISNUMBER(K1809),ISNUMBER(L1809)),IF(AND(K1809&gt;0,L1809&gt;0,K1809-L1809&gt;0,COUNTIFS(A1810:A$2005,A1809,F1810:F$2005,F1809,H1810:H$2005,H1809,AA1810:AA$2005,"&gt;0")=0),ROUND(K1809-L1809,6),""),"")</f>
        <v/>
      </c>
      <c r="X1809" s="60" t="str">
        <f>IF(AND(A1809="",C1809="",D1809="",H1809="",L1809=""),"",IF(A1809="","Type manquant",IF(AND(A1809&lt;&gt;"BL",A1809&lt;&gt;"BR",A1809&lt;&gt;"BS"),"Type inconnu (BL, BR ou BS)",IF(AG1809=0,"Date manquante ou invalide",IF(D1809="",IF(A1809="BL","Client manquant",IF(A1809="BR","Fournisseur manquant","Service manquant")),IF(IF(A1809="BL",ISNA(MATCH(D1809,cl_code,0)),IF(A1809="BR",ISNA(MATCH(D1809,fo_code,0)),ISNA(MATCH(D1809,p_services,0)))),IF(A1809="BL","Client inconnu",IF(A1809="BR","Fournisseur inconnu","Service inconnu")),IF(H1809="","Article manquant",IF(ISNA(MATCH(H1809,art_ref,0)),"Article inconnu",IF(OR(NOT(ISNUMBER(L1809)),N(L1809)&lt;=0),"Quantité invalide",IF(AND(K1809&lt;&gt;"",OR(NOT(ISNUMBER(K1809)),N(K1809)&lt;=0)),"Qté commandée invalide",IF(AG1809&lt;SUMPRODUCT(MAX((A$6:A1808=A1809)*AG$6:AG1808)),"Date antérieure au bon précédent",IF(AND(A1809&lt;&gt;"BR",ISNUMBER(M1809),N(M1809)&gt;0),IF(A1809="BL","Livré plus que commandé","Sorti plus que demandé"),"OK"))))))))))))</f>
        <v/>
      </c>
      <c r="Y1809" s="57" t="str">
        <f>IF(AND(OR(A1809="BL",A1809="BR",A1809="BS"),AG1809&gt;0,D1809&lt;&gt;""),A1809&amp;"|"&amp;AG1809&amp;"|"&amp;D1809&amp;"|"&amp;F1809,"")</f>
        <v/>
      </c>
      <c r="Z1809" s="57" t="str">
        <f>IF(Y1809="","",IF(COUNTIF(Y$6:Y1808,Y1809)=0,1,0))</f>
        <v/>
      </c>
      <c r="AA1809" s="57" t="str">
        <f>IF(Y1809="","",IF(Z1809=1,COUNTIFS(A$6:A1809,A1809,Z$6:Z1809,1),INDEX(AA$6:AA1808,MATCH(Y1809,Y$6:Y1808,0))))</f>
        <v/>
      </c>
      <c r="AB1809" s="57" t="str">
        <f>IF(B1809="","",COUNTIF(B$6:B1809,B1809))</f>
        <v/>
      </c>
      <c r="AC1809" s="57" t="str">
        <f>IF(B1809="","",B1809&amp;"#"&amp;AB1809)</f>
        <v/>
      </c>
      <c r="AD1809" s="57" t="str">
        <f>IF(Z1809=1,A1809&amp;AA1809,"")</f>
        <v/>
      </c>
      <c r="AE1809" s="57" t="str">
        <f>IF(B1809="","",YEAR(C1809))</f>
        <v/>
      </c>
      <c r="AF1809" s="57" t="str">
        <f>IF(B1809="","",MONTH(C1809))</f>
        <v/>
      </c>
      <c r="AG1809" s="57">
        <f>IF(ISNUMBER(C1809),C1809,0)</f>
        <v>0.0</v>
      </c>
      <c r="AH1809" s="57" t="str">
        <f>IF(N(W1809)&gt;0,COUNTIF(W$6:W1809,"&gt;0"),"")</f>
        <v/>
      </c>
      <c r="AI1809" s="57" t="str">
        <f>IF(Z1809=1,COUNTIF(Z$6:Z1809,1),"")</f>
        <v/>
      </c>
    </row>
    <row r="1810">
      <c r="A1810" s="54" t="n"/>
      <c r="B1810" s="55" t="str">
        <f>IF(AA1810="","",A1810&amp;"-"&amp;RIGHT("000"&amp;AA1810,4))</f>
        <v/>
      </c>
      <c r="C1810" s="56" t="n"/>
      <c r="D1810" s="54" t="n"/>
      <c r="E1810" s="57" t="str">
        <f>IF(D1810="","",IF(A1810="BL",IFERROR(INDEX(cl_name,MATCH(D1810,cl_code,0))&amp;"","Client inconnu"),IF(A1810="BR",IFERROR(INDEX(fo_name,MATCH(D1810,fo_code,0))&amp;"","Fournisseur inconnu"),IF(A1810="BS",IF(ISNA(MATCH(D1810,p_services,0)),"Service inconnu",D1810&amp;""),""))))</f>
        <v/>
      </c>
      <c r="F1810" s="58" t="n"/>
      <c r="G1810" s="58" t="n"/>
      <c r="H1810" s="59" t="n"/>
      <c r="I1810" s="57" t="str">
        <f>IF(H1810="","",IFERROR(INDEX(art_des,MATCH(H1810,art_ref,0))&amp;"","Article inconnu"))</f>
        <v/>
      </c>
      <c r="J1810" s="60" t="str">
        <f>IF(H1810="","",IFERROR(INDEX(art_unit,MATCH(H1810,art_ref,0))&amp;"",""))</f>
        <v/>
      </c>
      <c r="K1810" s="59" t="n"/>
      <c r="L1810" s="59" t="n"/>
      <c r="M1810" s="61" t="str">
        <f>IF(OR(B1810="",NOT(ISNUMBER(K1810)),NOT(ISNUMBER(L1810))),"",IF(OR(K1810&lt;=0,L1810&lt;=0),"",ROUND(L1810-K1810,6)))</f>
        <v/>
      </c>
      <c r="N1810" s="58" t="n"/>
      <c r="O1810" s="62" t="n"/>
      <c r="P1810" s="63" t="str">
        <f>IF(OR(B1810="",NOT(ISNUMBER(L1810))),"",IF(L1810&lt;=0,"",IFERROR(ROUND(L1810*N(INDEX(art_w,MATCH(H1810,art_ref,0))),3),"")))</f>
        <v/>
      </c>
      <c r="Q1810" s="59" t="n"/>
      <c r="R1810" s="54" t="n"/>
      <c r="S1810" s="59" t="n"/>
      <c r="T1810" s="59" t="n"/>
      <c r="U1810" s="64" t="str">
        <f>IF(OR(B1810="",H1810=""),"",IFERROR(IF(A1810="BL",IF(N(INDEX(art_price,MATCH(H1810,art_ref,0)))=0,"",N(INDEX(art_price,MATCH(H1810,art_ref,0)))),IF(N(INDEX(art_cost,MATCH(H1810,art_ref,0)))=0,"",N(INDEX(art_cost,MATCH(H1810,art_ref,0))))),""))</f>
        <v/>
      </c>
      <c r="V1810" s="64" t="str">
        <f>IF(OR(U1810="",NOT(ISNUMBER(L1810))),"",IF(L1810&lt;=0,"",ROUND(L1810*U1810,2)))</f>
        <v/>
      </c>
      <c r="W1810" s="60" t="str">
        <f>IF(AND(B1810&lt;&gt;"",A1810&lt;&gt;"BS",F1810&lt;&gt;"",H1810&lt;&gt;"",ISNUMBER(K1810),ISNUMBER(L1810)),IF(AND(K1810&gt;0,L1810&gt;0,K1810-L1810&gt;0,COUNTIFS(A1811:A$2005,A1810,F1811:F$2005,F1810,H1811:H$2005,H1810,AA1811:AA$2005,"&gt;0")=0),ROUND(K1810-L1810,6),""),"")</f>
        <v/>
      </c>
      <c r="X1810" s="60" t="str">
        <f>IF(AND(A1810="",C1810="",D1810="",H1810="",L1810=""),"",IF(A1810="","Type manquant",IF(AND(A1810&lt;&gt;"BL",A1810&lt;&gt;"BR",A1810&lt;&gt;"BS"),"Type inconnu (BL, BR ou BS)",IF(AG1810=0,"Date manquante ou invalide",IF(D1810="",IF(A1810="BL","Client manquant",IF(A1810="BR","Fournisseur manquant","Service manquant")),IF(IF(A1810="BL",ISNA(MATCH(D1810,cl_code,0)),IF(A1810="BR",ISNA(MATCH(D1810,fo_code,0)),ISNA(MATCH(D1810,p_services,0)))),IF(A1810="BL","Client inconnu",IF(A1810="BR","Fournisseur inconnu","Service inconnu")),IF(H1810="","Article manquant",IF(ISNA(MATCH(H1810,art_ref,0)),"Article inconnu",IF(OR(NOT(ISNUMBER(L1810)),N(L1810)&lt;=0),"Quantité invalide",IF(AND(K1810&lt;&gt;"",OR(NOT(ISNUMBER(K1810)),N(K1810)&lt;=0)),"Qté commandée invalide",IF(AG1810&lt;SUMPRODUCT(MAX((A$6:A1809=A1810)*AG$6:AG1809)),"Date antérieure au bon précédent",IF(AND(A1810&lt;&gt;"BR",ISNUMBER(M1810),N(M1810)&gt;0),IF(A1810="BL","Livré plus que commandé","Sorti plus que demandé"),"OK"))))))))))))</f>
        <v/>
      </c>
      <c r="Y1810" s="57" t="str">
        <f>IF(AND(OR(A1810="BL",A1810="BR",A1810="BS"),AG1810&gt;0,D1810&lt;&gt;""),A1810&amp;"|"&amp;AG1810&amp;"|"&amp;D1810&amp;"|"&amp;F1810,"")</f>
        <v/>
      </c>
      <c r="Z1810" s="57" t="str">
        <f>IF(Y1810="","",IF(COUNTIF(Y$6:Y1809,Y1810)=0,1,0))</f>
        <v/>
      </c>
      <c r="AA1810" s="57" t="str">
        <f>IF(Y1810="","",IF(Z1810=1,COUNTIFS(A$6:A1810,A1810,Z$6:Z1810,1),INDEX(AA$6:AA1809,MATCH(Y1810,Y$6:Y1809,0))))</f>
        <v/>
      </c>
      <c r="AB1810" s="57" t="str">
        <f>IF(B1810="","",COUNTIF(B$6:B1810,B1810))</f>
        <v/>
      </c>
      <c r="AC1810" s="57" t="str">
        <f>IF(B1810="","",B1810&amp;"#"&amp;AB1810)</f>
        <v/>
      </c>
      <c r="AD1810" s="57" t="str">
        <f>IF(Z1810=1,A1810&amp;AA1810,"")</f>
        <v/>
      </c>
      <c r="AE1810" s="57" t="str">
        <f>IF(B1810="","",YEAR(C1810))</f>
        <v/>
      </c>
      <c r="AF1810" s="57" t="str">
        <f>IF(B1810="","",MONTH(C1810))</f>
        <v/>
      </c>
      <c r="AG1810" s="57">
        <f>IF(ISNUMBER(C1810),C1810,0)</f>
        <v>0.0</v>
      </c>
      <c r="AH1810" s="57" t="str">
        <f>IF(N(W1810)&gt;0,COUNTIF(W$6:W1810,"&gt;0"),"")</f>
        <v/>
      </c>
      <c r="AI1810" s="57" t="str">
        <f>IF(Z1810=1,COUNTIF(Z$6:Z1810,1),"")</f>
        <v/>
      </c>
    </row>
    <row r="1811">
      <c r="A1811" s="54" t="n"/>
      <c r="B1811" s="55" t="str">
        <f>IF(AA1811="","",A1811&amp;"-"&amp;RIGHT("000"&amp;AA1811,4))</f>
        <v/>
      </c>
      <c r="C1811" s="56" t="n"/>
      <c r="D1811" s="54" t="n"/>
      <c r="E1811" s="57" t="str">
        <f>IF(D1811="","",IF(A1811="BL",IFERROR(INDEX(cl_name,MATCH(D1811,cl_code,0))&amp;"","Client inconnu"),IF(A1811="BR",IFERROR(INDEX(fo_name,MATCH(D1811,fo_code,0))&amp;"","Fournisseur inconnu"),IF(A1811="BS",IF(ISNA(MATCH(D1811,p_services,0)),"Service inconnu",D1811&amp;""),""))))</f>
        <v/>
      </c>
      <c r="F1811" s="58" t="n"/>
      <c r="G1811" s="58" t="n"/>
      <c r="H1811" s="59" t="n"/>
      <c r="I1811" s="57" t="str">
        <f>IF(H1811="","",IFERROR(INDEX(art_des,MATCH(H1811,art_ref,0))&amp;"","Article inconnu"))</f>
        <v/>
      </c>
      <c r="J1811" s="60" t="str">
        <f>IF(H1811="","",IFERROR(INDEX(art_unit,MATCH(H1811,art_ref,0))&amp;"",""))</f>
        <v/>
      </c>
      <c r="K1811" s="59" t="n"/>
      <c r="L1811" s="59" t="n"/>
      <c r="M1811" s="61" t="str">
        <f>IF(OR(B1811="",NOT(ISNUMBER(K1811)),NOT(ISNUMBER(L1811))),"",IF(OR(K1811&lt;=0,L1811&lt;=0),"",ROUND(L1811-K1811,6)))</f>
        <v/>
      </c>
      <c r="N1811" s="58" t="n"/>
      <c r="O1811" s="62" t="n"/>
      <c r="P1811" s="63" t="str">
        <f>IF(OR(B1811="",NOT(ISNUMBER(L1811))),"",IF(L1811&lt;=0,"",IFERROR(ROUND(L1811*N(INDEX(art_w,MATCH(H1811,art_ref,0))),3),"")))</f>
        <v/>
      </c>
      <c r="Q1811" s="59" t="n"/>
      <c r="R1811" s="54" t="n"/>
      <c r="S1811" s="59" t="n"/>
      <c r="T1811" s="59" t="n"/>
      <c r="U1811" s="64" t="str">
        <f>IF(OR(B1811="",H1811=""),"",IFERROR(IF(A1811="BL",IF(N(INDEX(art_price,MATCH(H1811,art_ref,0)))=0,"",N(INDEX(art_price,MATCH(H1811,art_ref,0)))),IF(N(INDEX(art_cost,MATCH(H1811,art_ref,0)))=0,"",N(INDEX(art_cost,MATCH(H1811,art_ref,0))))),""))</f>
        <v/>
      </c>
      <c r="V1811" s="64" t="str">
        <f>IF(OR(U1811="",NOT(ISNUMBER(L1811))),"",IF(L1811&lt;=0,"",ROUND(L1811*U1811,2)))</f>
        <v/>
      </c>
      <c r="W1811" s="60" t="str">
        <f>IF(AND(B1811&lt;&gt;"",A1811&lt;&gt;"BS",F1811&lt;&gt;"",H1811&lt;&gt;"",ISNUMBER(K1811),ISNUMBER(L1811)),IF(AND(K1811&gt;0,L1811&gt;0,K1811-L1811&gt;0,COUNTIFS(A1812:A$2005,A1811,F1812:F$2005,F1811,H1812:H$2005,H1811,AA1812:AA$2005,"&gt;0")=0),ROUND(K1811-L1811,6),""),"")</f>
        <v/>
      </c>
      <c r="X1811" s="60" t="str">
        <f>IF(AND(A1811="",C1811="",D1811="",H1811="",L1811=""),"",IF(A1811="","Type manquant",IF(AND(A1811&lt;&gt;"BL",A1811&lt;&gt;"BR",A1811&lt;&gt;"BS"),"Type inconnu (BL, BR ou BS)",IF(AG1811=0,"Date manquante ou invalide",IF(D1811="",IF(A1811="BL","Client manquant",IF(A1811="BR","Fournisseur manquant","Service manquant")),IF(IF(A1811="BL",ISNA(MATCH(D1811,cl_code,0)),IF(A1811="BR",ISNA(MATCH(D1811,fo_code,0)),ISNA(MATCH(D1811,p_services,0)))),IF(A1811="BL","Client inconnu",IF(A1811="BR","Fournisseur inconnu","Service inconnu")),IF(H1811="","Article manquant",IF(ISNA(MATCH(H1811,art_ref,0)),"Article inconnu",IF(OR(NOT(ISNUMBER(L1811)),N(L1811)&lt;=0),"Quantité invalide",IF(AND(K1811&lt;&gt;"",OR(NOT(ISNUMBER(K1811)),N(K1811)&lt;=0)),"Qté commandée invalide",IF(AG1811&lt;SUMPRODUCT(MAX((A$6:A1810=A1811)*AG$6:AG1810)),"Date antérieure au bon précédent",IF(AND(A1811&lt;&gt;"BR",ISNUMBER(M1811),N(M1811)&gt;0),IF(A1811="BL","Livré plus que commandé","Sorti plus que demandé"),"OK"))))))))))))</f>
        <v/>
      </c>
      <c r="Y1811" s="57" t="str">
        <f>IF(AND(OR(A1811="BL",A1811="BR",A1811="BS"),AG1811&gt;0,D1811&lt;&gt;""),A1811&amp;"|"&amp;AG1811&amp;"|"&amp;D1811&amp;"|"&amp;F1811,"")</f>
        <v/>
      </c>
      <c r="Z1811" s="57" t="str">
        <f>IF(Y1811="","",IF(COUNTIF(Y$6:Y1810,Y1811)=0,1,0))</f>
        <v/>
      </c>
      <c r="AA1811" s="57" t="str">
        <f>IF(Y1811="","",IF(Z1811=1,COUNTIFS(A$6:A1811,A1811,Z$6:Z1811,1),INDEX(AA$6:AA1810,MATCH(Y1811,Y$6:Y1810,0))))</f>
        <v/>
      </c>
      <c r="AB1811" s="57" t="str">
        <f>IF(B1811="","",COUNTIF(B$6:B1811,B1811))</f>
        <v/>
      </c>
      <c r="AC1811" s="57" t="str">
        <f>IF(B1811="","",B1811&amp;"#"&amp;AB1811)</f>
        <v/>
      </c>
      <c r="AD1811" s="57" t="str">
        <f>IF(Z1811=1,A1811&amp;AA1811,"")</f>
        <v/>
      </c>
      <c r="AE1811" s="57" t="str">
        <f>IF(B1811="","",YEAR(C1811))</f>
        <v/>
      </c>
      <c r="AF1811" s="57" t="str">
        <f>IF(B1811="","",MONTH(C1811))</f>
        <v/>
      </c>
      <c r="AG1811" s="57">
        <f>IF(ISNUMBER(C1811),C1811,0)</f>
        <v>0.0</v>
      </c>
      <c r="AH1811" s="57" t="str">
        <f>IF(N(W1811)&gt;0,COUNTIF(W$6:W1811,"&gt;0"),"")</f>
        <v/>
      </c>
      <c r="AI1811" s="57" t="str">
        <f>IF(Z1811=1,COUNTIF(Z$6:Z1811,1),"")</f>
        <v/>
      </c>
    </row>
    <row r="1812">
      <c r="A1812" s="54" t="n"/>
      <c r="B1812" s="55" t="str">
        <f>IF(AA1812="","",A1812&amp;"-"&amp;RIGHT("000"&amp;AA1812,4))</f>
        <v/>
      </c>
      <c r="C1812" s="56" t="n"/>
      <c r="D1812" s="54" t="n"/>
      <c r="E1812" s="57" t="str">
        <f>IF(D1812="","",IF(A1812="BL",IFERROR(INDEX(cl_name,MATCH(D1812,cl_code,0))&amp;"","Client inconnu"),IF(A1812="BR",IFERROR(INDEX(fo_name,MATCH(D1812,fo_code,0))&amp;"","Fournisseur inconnu"),IF(A1812="BS",IF(ISNA(MATCH(D1812,p_services,0)),"Service inconnu",D1812&amp;""),""))))</f>
        <v/>
      </c>
      <c r="F1812" s="58" t="n"/>
      <c r="G1812" s="58" t="n"/>
      <c r="H1812" s="59" t="n"/>
      <c r="I1812" s="57" t="str">
        <f>IF(H1812="","",IFERROR(INDEX(art_des,MATCH(H1812,art_ref,0))&amp;"","Article inconnu"))</f>
        <v/>
      </c>
      <c r="J1812" s="60" t="str">
        <f>IF(H1812="","",IFERROR(INDEX(art_unit,MATCH(H1812,art_ref,0))&amp;"",""))</f>
        <v/>
      </c>
      <c r="K1812" s="59" t="n"/>
      <c r="L1812" s="59" t="n"/>
      <c r="M1812" s="61" t="str">
        <f>IF(OR(B1812="",NOT(ISNUMBER(K1812)),NOT(ISNUMBER(L1812))),"",IF(OR(K1812&lt;=0,L1812&lt;=0),"",ROUND(L1812-K1812,6)))</f>
        <v/>
      </c>
      <c r="N1812" s="58" t="n"/>
      <c r="O1812" s="62" t="n"/>
      <c r="P1812" s="63" t="str">
        <f>IF(OR(B1812="",NOT(ISNUMBER(L1812))),"",IF(L1812&lt;=0,"",IFERROR(ROUND(L1812*N(INDEX(art_w,MATCH(H1812,art_ref,0))),3),"")))</f>
        <v/>
      </c>
      <c r="Q1812" s="59" t="n"/>
      <c r="R1812" s="54" t="n"/>
      <c r="S1812" s="59" t="n"/>
      <c r="T1812" s="59" t="n"/>
      <c r="U1812" s="64" t="str">
        <f>IF(OR(B1812="",H1812=""),"",IFERROR(IF(A1812="BL",IF(N(INDEX(art_price,MATCH(H1812,art_ref,0)))=0,"",N(INDEX(art_price,MATCH(H1812,art_ref,0)))),IF(N(INDEX(art_cost,MATCH(H1812,art_ref,0)))=0,"",N(INDEX(art_cost,MATCH(H1812,art_ref,0))))),""))</f>
        <v/>
      </c>
      <c r="V1812" s="64" t="str">
        <f>IF(OR(U1812="",NOT(ISNUMBER(L1812))),"",IF(L1812&lt;=0,"",ROUND(L1812*U1812,2)))</f>
        <v/>
      </c>
      <c r="W1812" s="60" t="str">
        <f>IF(AND(B1812&lt;&gt;"",A1812&lt;&gt;"BS",F1812&lt;&gt;"",H1812&lt;&gt;"",ISNUMBER(K1812),ISNUMBER(L1812)),IF(AND(K1812&gt;0,L1812&gt;0,K1812-L1812&gt;0,COUNTIFS(A1813:A$2005,A1812,F1813:F$2005,F1812,H1813:H$2005,H1812,AA1813:AA$2005,"&gt;0")=0),ROUND(K1812-L1812,6),""),"")</f>
        <v/>
      </c>
      <c r="X1812" s="60" t="str">
        <f>IF(AND(A1812="",C1812="",D1812="",H1812="",L1812=""),"",IF(A1812="","Type manquant",IF(AND(A1812&lt;&gt;"BL",A1812&lt;&gt;"BR",A1812&lt;&gt;"BS"),"Type inconnu (BL, BR ou BS)",IF(AG1812=0,"Date manquante ou invalide",IF(D1812="",IF(A1812="BL","Client manquant",IF(A1812="BR","Fournisseur manquant","Service manquant")),IF(IF(A1812="BL",ISNA(MATCH(D1812,cl_code,0)),IF(A1812="BR",ISNA(MATCH(D1812,fo_code,0)),ISNA(MATCH(D1812,p_services,0)))),IF(A1812="BL","Client inconnu",IF(A1812="BR","Fournisseur inconnu","Service inconnu")),IF(H1812="","Article manquant",IF(ISNA(MATCH(H1812,art_ref,0)),"Article inconnu",IF(OR(NOT(ISNUMBER(L1812)),N(L1812)&lt;=0),"Quantité invalide",IF(AND(K1812&lt;&gt;"",OR(NOT(ISNUMBER(K1812)),N(K1812)&lt;=0)),"Qté commandée invalide",IF(AG1812&lt;SUMPRODUCT(MAX((A$6:A1811=A1812)*AG$6:AG1811)),"Date antérieure au bon précédent",IF(AND(A1812&lt;&gt;"BR",ISNUMBER(M1812),N(M1812)&gt;0),IF(A1812="BL","Livré plus que commandé","Sorti plus que demandé"),"OK"))))))))))))</f>
        <v/>
      </c>
      <c r="Y1812" s="57" t="str">
        <f>IF(AND(OR(A1812="BL",A1812="BR",A1812="BS"),AG1812&gt;0,D1812&lt;&gt;""),A1812&amp;"|"&amp;AG1812&amp;"|"&amp;D1812&amp;"|"&amp;F1812,"")</f>
        <v/>
      </c>
      <c r="Z1812" s="57" t="str">
        <f>IF(Y1812="","",IF(COUNTIF(Y$6:Y1811,Y1812)=0,1,0))</f>
        <v/>
      </c>
      <c r="AA1812" s="57" t="str">
        <f>IF(Y1812="","",IF(Z1812=1,COUNTIFS(A$6:A1812,A1812,Z$6:Z1812,1),INDEX(AA$6:AA1811,MATCH(Y1812,Y$6:Y1811,0))))</f>
        <v/>
      </c>
      <c r="AB1812" s="57" t="str">
        <f>IF(B1812="","",COUNTIF(B$6:B1812,B1812))</f>
        <v/>
      </c>
      <c r="AC1812" s="57" t="str">
        <f>IF(B1812="","",B1812&amp;"#"&amp;AB1812)</f>
        <v/>
      </c>
      <c r="AD1812" s="57" t="str">
        <f>IF(Z1812=1,A1812&amp;AA1812,"")</f>
        <v/>
      </c>
      <c r="AE1812" s="57" t="str">
        <f>IF(B1812="","",YEAR(C1812))</f>
        <v/>
      </c>
      <c r="AF1812" s="57" t="str">
        <f>IF(B1812="","",MONTH(C1812))</f>
        <v/>
      </c>
      <c r="AG1812" s="57">
        <f>IF(ISNUMBER(C1812),C1812,0)</f>
        <v>0.0</v>
      </c>
      <c r="AH1812" s="57" t="str">
        <f>IF(N(W1812)&gt;0,COUNTIF(W$6:W1812,"&gt;0"),"")</f>
        <v/>
      </c>
      <c r="AI1812" s="57" t="str">
        <f>IF(Z1812=1,COUNTIF(Z$6:Z1812,1),"")</f>
        <v/>
      </c>
    </row>
    <row r="1813">
      <c r="A1813" s="54" t="n"/>
      <c r="B1813" s="55" t="str">
        <f>IF(AA1813="","",A1813&amp;"-"&amp;RIGHT("000"&amp;AA1813,4))</f>
        <v/>
      </c>
      <c r="C1813" s="56" t="n"/>
      <c r="D1813" s="54" t="n"/>
      <c r="E1813" s="57" t="str">
        <f>IF(D1813="","",IF(A1813="BL",IFERROR(INDEX(cl_name,MATCH(D1813,cl_code,0))&amp;"","Client inconnu"),IF(A1813="BR",IFERROR(INDEX(fo_name,MATCH(D1813,fo_code,0))&amp;"","Fournisseur inconnu"),IF(A1813="BS",IF(ISNA(MATCH(D1813,p_services,0)),"Service inconnu",D1813&amp;""),""))))</f>
        <v/>
      </c>
      <c r="F1813" s="58" t="n"/>
      <c r="G1813" s="58" t="n"/>
      <c r="H1813" s="59" t="n"/>
      <c r="I1813" s="57" t="str">
        <f>IF(H1813="","",IFERROR(INDEX(art_des,MATCH(H1813,art_ref,0))&amp;"","Article inconnu"))</f>
        <v/>
      </c>
      <c r="J1813" s="60" t="str">
        <f>IF(H1813="","",IFERROR(INDEX(art_unit,MATCH(H1813,art_ref,0))&amp;"",""))</f>
        <v/>
      </c>
      <c r="K1813" s="59" t="n"/>
      <c r="L1813" s="59" t="n"/>
      <c r="M1813" s="61" t="str">
        <f>IF(OR(B1813="",NOT(ISNUMBER(K1813)),NOT(ISNUMBER(L1813))),"",IF(OR(K1813&lt;=0,L1813&lt;=0),"",ROUND(L1813-K1813,6)))</f>
        <v/>
      </c>
      <c r="N1813" s="58" t="n"/>
      <c r="O1813" s="62" t="n"/>
      <c r="P1813" s="63" t="str">
        <f>IF(OR(B1813="",NOT(ISNUMBER(L1813))),"",IF(L1813&lt;=0,"",IFERROR(ROUND(L1813*N(INDEX(art_w,MATCH(H1813,art_ref,0))),3),"")))</f>
        <v/>
      </c>
      <c r="Q1813" s="59" t="n"/>
      <c r="R1813" s="54" t="n"/>
      <c r="S1813" s="59" t="n"/>
      <c r="T1813" s="59" t="n"/>
      <c r="U1813" s="64" t="str">
        <f>IF(OR(B1813="",H1813=""),"",IFERROR(IF(A1813="BL",IF(N(INDEX(art_price,MATCH(H1813,art_ref,0)))=0,"",N(INDEX(art_price,MATCH(H1813,art_ref,0)))),IF(N(INDEX(art_cost,MATCH(H1813,art_ref,0)))=0,"",N(INDEX(art_cost,MATCH(H1813,art_ref,0))))),""))</f>
        <v/>
      </c>
      <c r="V1813" s="64" t="str">
        <f>IF(OR(U1813="",NOT(ISNUMBER(L1813))),"",IF(L1813&lt;=0,"",ROUND(L1813*U1813,2)))</f>
        <v/>
      </c>
      <c r="W1813" s="60" t="str">
        <f>IF(AND(B1813&lt;&gt;"",A1813&lt;&gt;"BS",F1813&lt;&gt;"",H1813&lt;&gt;"",ISNUMBER(K1813),ISNUMBER(L1813)),IF(AND(K1813&gt;0,L1813&gt;0,K1813-L1813&gt;0,COUNTIFS(A1814:A$2005,A1813,F1814:F$2005,F1813,H1814:H$2005,H1813,AA1814:AA$2005,"&gt;0")=0),ROUND(K1813-L1813,6),""),"")</f>
        <v/>
      </c>
      <c r="X1813" s="60" t="str">
        <f>IF(AND(A1813="",C1813="",D1813="",H1813="",L1813=""),"",IF(A1813="","Type manquant",IF(AND(A1813&lt;&gt;"BL",A1813&lt;&gt;"BR",A1813&lt;&gt;"BS"),"Type inconnu (BL, BR ou BS)",IF(AG1813=0,"Date manquante ou invalide",IF(D1813="",IF(A1813="BL","Client manquant",IF(A1813="BR","Fournisseur manquant","Service manquant")),IF(IF(A1813="BL",ISNA(MATCH(D1813,cl_code,0)),IF(A1813="BR",ISNA(MATCH(D1813,fo_code,0)),ISNA(MATCH(D1813,p_services,0)))),IF(A1813="BL","Client inconnu",IF(A1813="BR","Fournisseur inconnu","Service inconnu")),IF(H1813="","Article manquant",IF(ISNA(MATCH(H1813,art_ref,0)),"Article inconnu",IF(OR(NOT(ISNUMBER(L1813)),N(L1813)&lt;=0),"Quantité invalide",IF(AND(K1813&lt;&gt;"",OR(NOT(ISNUMBER(K1813)),N(K1813)&lt;=0)),"Qté commandée invalide",IF(AG1813&lt;SUMPRODUCT(MAX((A$6:A1812=A1813)*AG$6:AG1812)),"Date antérieure au bon précédent",IF(AND(A1813&lt;&gt;"BR",ISNUMBER(M1813),N(M1813)&gt;0),IF(A1813="BL","Livré plus que commandé","Sorti plus que demandé"),"OK"))))))))))))</f>
        <v/>
      </c>
      <c r="Y1813" s="57" t="str">
        <f>IF(AND(OR(A1813="BL",A1813="BR",A1813="BS"),AG1813&gt;0,D1813&lt;&gt;""),A1813&amp;"|"&amp;AG1813&amp;"|"&amp;D1813&amp;"|"&amp;F1813,"")</f>
        <v/>
      </c>
      <c r="Z1813" s="57" t="str">
        <f>IF(Y1813="","",IF(COUNTIF(Y$6:Y1812,Y1813)=0,1,0))</f>
        <v/>
      </c>
      <c r="AA1813" s="57" t="str">
        <f>IF(Y1813="","",IF(Z1813=1,COUNTIFS(A$6:A1813,A1813,Z$6:Z1813,1),INDEX(AA$6:AA1812,MATCH(Y1813,Y$6:Y1812,0))))</f>
        <v/>
      </c>
      <c r="AB1813" s="57" t="str">
        <f>IF(B1813="","",COUNTIF(B$6:B1813,B1813))</f>
        <v/>
      </c>
      <c r="AC1813" s="57" t="str">
        <f>IF(B1813="","",B1813&amp;"#"&amp;AB1813)</f>
        <v/>
      </c>
      <c r="AD1813" s="57" t="str">
        <f>IF(Z1813=1,A1813&amp;AA1813,"")</f>
        <v/>
      </c>
      <c r="AE1813" s="57" t="str">
        <f>IF(B1813="","",YEAR(C1813))</f>
        <v/>
      </c>
      <c r="AF1813" s="57" t="str">
        <f>IF(B1813="","",MONTH(C1813))</f>
        <v/>
      </c>
      <c r="AG1813" s="57">
        <f>IF(ISNUMBER(C1813),C1813,0)</f>
        <v>0.0</v>
      </c>
      <c r="AH1813" s="57" t="str">
        <f>IF(N(W1813)&gt;0,COUNTIF(W$6:W1813,"&gt;0"),"")</f>
        <v/>
      </c>
      <c r="AI1813" s="57" t="str">
        <f>IF(Z1813=1,COUNTIF(Z$6:Z1813,1),"")</f>
        <v/>
      </c>
    </row>
    <row r="1814">
      <c r="A1814" s="54" t="n"/>
      <c r="B1814" s="55" t="str">
        <f>IF(AA1814="","",A1814&amp;"-"&amp;RIGHT("000"&amp;AA1814,4))</f>
        <v/>
      </c>
      <c r="C1814" s="56" t="n"/>
      <c r="D1814" s="54" t="n"/>
      <c r="E1814" s="57" t="str">
        <f>IF(D1814="","",IF(A1814="BL",IFERROR(INDEX(cl_name,MATCH(D1814,cl_code,0))&amp;"","Client inconnu"),IF(A1814="BR",IFERROR(INDEX(fo_name,MATCH(D1814,fo_code,0))&amp;"","Fournisseur inconnu"),IF(A1814="BS",IF(ISNA(MATCH(D1814,p_services,0)),"Service inconnu",D1814&amp;""),""))))</f>
        <v/>
      </c>
      <c r="F1814" s="58" t="n"/>
      <c r="G1814" s="58" t="n"/>
      <c r="H1814" s="59" t="n"/>
      <c r="I1814" s="57" t="str">
        <f>IF(H1814="","",IFERROR(INDEX(art_des,MATCH(H1814,art_ref,0))&amp;"","Article inconnu"))</f>
        <v/>
      </c>
      <c r="J1814" s="60" t="str">
        <f>IF(H1814="","",IFERROR(INDEX(art_unit,MATCH(H1814,art_ref,0))&amp;"",""))</f>
        <v/>
      </c>
      <c r="K1814" s="59" t="n"/>
      <c r="L1814" s="59" t="n"/>
      <c r="M1814" s="61" t="str">
        <f>IF(OR(B1814="",NOT(ISNUMBER(K1814)),NOT(ISNUMBER(L1814))),"",IF(OR(K1814&lt;=0,L1814&lt;=0),"",ROUND(L1814-K1814,6)))</f>
        <v/>
      </c>
      <c r="N1814" s="58" t="n"/>
      <c r="O1814" s="62" t="n"/>
      <c r="P1814" s="63" t="str">
        <f>IF(OR(B1814="",NOT(ISNUMBER(L1814))),"",IF(L1814&lt;=0,"",IFERROR(ROUND(L1814*N(INDEX(art_w,MATCH(H1814,art_ref,0))),3),"")))</f>
        <v/>
      </c>
      <c r="Q1814" s="59" t="n"/>
      <c r="R1814" s="54" t="n"/>
      <c r="S1814" s="59" t="n"/>
      <c r="T1814" s="59" t="n"/>
      <c r="U1814" s="64" t="str">
        <f>IF(OR(B1814="",H1814=""),"",IFERROR(IF(A1814="BL",IF(N(INDEX(art_price,MATCH(H1814,art_ref,0)))=0,"",N(INDEX(art_price,MATCH(H1814,art_ref,0)))),IF(N(INDEX(art_cost,MATCH(H1814,art_ref,0)))=0,"",N(INDEX(art_cost,MATCH(H1814,art_ref,0))))),""))</f>
        <v/>
      </c>
      <c r="V1814" s="64" t="str">
        <f>IF(OR(U1814="",NOT(ISNUMBER(L1814))),"",IF(L1814&lt;=0,"",ROUND(L1814*U1814,2)))</f>
        <v/>
      </c>
      <c r="W1814" s="60" t="str">
        <f>IF(AND(B1814&lt;&gt;"",A1814&lt;&gt;"BS",F1814&lt;&gt;"",H1814&lt;&gt;"",ISNUMBER(K1814),ISNUMBER(L1814)),IF(AND(K1814&gt;0,L1814&gt;0,K1814-L1814&gt;0,COUNTIFS(A1815:A$2005,A1814,F1815:F$2005,F1814,H1815:H$2005,H1814,AA1815:AA$2005,"&gt;0")=0),ROUND(K1814-L1814,6),""),"")</f>
        <v/>
      </c>
      <c r="X1814" s="60" t="str">
        <f>IF(AND(A1814="",C1814="",D1814="",H1814="",L1814=""),"",IF(A1814="","Type manquant",IF(AND(A1814&lt;&gt;"BL",A1814&lt;&gt;"BR",A1814&lt;&gt;"BS"),"Type inconnu (BL, BR ou BS)",IF(AG1814=0,"Date manquante ou invalide",IF(D1814="",IF(A1814="BL","Client manquant",IF(A1814="BR","Fournisseur manquant","Service manquant")),IF(IF(A1814="BL",ISNA(MATCH(D1814,cl_code,0)),IF(A1814="BR",ISNA(MATCH(D1814,fo_code,0)),ISNA(MATCH(D1814,p_services,0)))),IF(A1814="BL","Client inconnu",IF(A1814="BR","Fournisseur inconnu","Service inconnu")),IF(H1814="","Article manquant",IF(ISNA(MATCH(H1814,art_ref,0)),"Article inconnu",IF(OR(NOT(ISNUMBER(L1814)),N(L1814)&lt;=0),"Quantité invalide",IF(AND(K1814&lt;&gt;"",OR(NOT(ISNUMBER(K1814)),N(K1814)&lt;=0)),"Qté commandée invalide",IF(AG1814&lt;SUMPRODUCT(MAX((A$6:A1813=A1814)*AG$6:AG1813)),"Date antérieure au bon précédent",IF(AND(A1814&lt;&gt;"BR",ISNUMBER(M1814),N(M1814)&gt;0),IF(A1814="BL","Livré plus que commandé","Sorti plus que demandé"),"OK"))))))))))))</f>
        <v/>
      </c>
      <c r="Y1814" s="57" t="str">
        <f>IF(AND(OR(A1814="BL",A1814="BR",A1814="BS"),AG1814&gt;0,D1814&lt;&gt;""),A1814&amp;"|"&amp;AG1814&amp;"|"&amp;D1814&amp;"|"&amp;F1814,"")</f>
        <v/>
      </c>
      <c r="Z1814" s="57" t="str">
        <f>IF(Y1814="","",IF(COUNTIF(Y$6:Y1813,Y1814)=0,1,0))</f>
        <v/>
      </c>
      <c r="AA1814" s="57" t="str">
        <f>IF(Y1814="","",IF(Z1814=1,COUNTIFS(A$6:A1814,A1814,Z$6:Z1814,1),INDEX(AA$6:AA1813,MATCH(Y1814,Y$6:Y1813,0))))</f>
        <v/>
      </c>
      <c r="AB1814" s="57" t="str">
        <f>IF(B1814="","",COUNTIF(B$6:B1814,B1814))</f>
        <v/>
      </c>
      <c r="AC1814" s="57" t="str">
        <f>IF(B1814="","",B1814&amp;"#"&amp;AB1814)</f>
        <v/>
      </c>
      <c r="AD1814" s="57" t="str">
        <f>IF(Z1814=1,A1814&amp;AA1814,"")</f>
        <v/>
      </c>
      <c r="AE1814" s="57" t="str">
        <f>IF(B1814="","",YEAR(C1814))</f>
        <v/>
      </c>
      <c r="AF1814" s="57" t="str">
        <f>IF(B1814="","",MONTH(C1814))</f>
        <v/>
      </c>
      <c r="AG1814" s="57">
        <f>IF(ISNUMBER(C1814),C1814,0)</f>
        <v>0.0</v>
      </c>
      <c r="AH1814" s="57" t="str">
        <f>IF(N(W1814)&gt;0,COUNTIF(W$6:W1814,"&gt;0"),"")</f>
        <v/>
      </c>
      <c r="AI1814" s="57" t="str">
        <f>IF(Z1814=1,COUNTIF(Z$6:Z1814,1),"")</f>
        <v/>
      </c>
    </row>
    <row r="1815">
      <c r="A1815" s="54" t="n"/>
      <c r="B1815" s="55" t="str">
        <f>IF(AA1815="","",A1815&amp;"-"&amp;RIGHT("000"&amp;AA1815,4))</f>
        <v/>
      </c>
      <c r="C1815" s="56" t="n"/>
      <c r="D1815" s="54" t="n"/>
      <c r="E1815" s="57" t="str">
        <f>IF(D1815="","",IF(A1815="BL",IFERROR(INDEX(cl_name,MATCH(D1815,cl_code,0))&amp;"","Client inconnu"),IF(A1815="BR",IFERROR(INDEX(fo_name,MATCH(D1815,fo_code,0))&amp;"","Fournisseur inconnu"),IF(A1815="BS",IF(ISNA(MATCH(D1815,p_services,0)),"Service inconnu",D1815&amp;""),""))))</f>
        <v/>
      </c>
      <c r="F1815" s="58" t="n"/>
      <c r="G1815" s="58" t="n"/>
      <c r="H1815" s="59" t="n"/>
      <c r="I1815" s="57" t="str">
        <f>IF(H1815="","",IFERROR(INDEX(art_des,MATCH(H1815,art_ref,0))&amp;"","Article inconnu"))</f>
        <v/>
      </c>
      <c r="J1815" s="60" t="str">
        <f>IF(H1815="","",IFERROR(INDEX(art_unit,MATCH(H1815,art_ref,0))&amp;"",""))</f>
        <v/>
      </c>
      <c r="K1815" s="59" t="n"/>
      <c r="L1815" s="59" t="n"/>
      <c r="M1815" s="61" t="str">
        <f>IF(OR(B1815="",NOT(ISNUMBER(K1815)),NOT(ISNUMBER(L1815))),"",IF(OR(K1815&lt;=0,L1815&lt;=0),"",ROUND(L1815-K1815,6)))</f>
        <v/>
      </c>
      <c r="N1815" s="58" t="n"/>
      <c r="O1815" s="62" t="n"/>
      <c r="P1815" s="63" t="str">
        <f>IF(OR(B1815="",NOT(ISNUMBER(L1815))),"",IF(L1815&lt;=0,"",IFERROR(ROUND(L1815*N(INDEX(art_w,MATCH(H1815,art_ref,0))),3),"")))</f>
        <v/>
      </c>
      <c r="Q1815" s="59" t="n"/>
      <c r="R1815" s="54" t="n"/>
      <c r="S1815" s="59" t="n"/>
      <c r="T1815" s="59" t="n"/>
      <c r="U1815" s="64" t="str">
        <f>IF(OR(B1815="",H1815=""),"",IFERROR(IF(A1815="BL",IF(N(INDEX(art_price,MATCH(H1815,art_ref,0)))=0,"",N(INDEX(art_price,MATCH(H1815,art_ref,0)))),IF(N(INDEX(art_cost,MATCH(H1815,art_ref,0)))=0,"",N(INDEX(art_cost,MATCH(H1815,art_ref,0))))),""))</f>
        <v/>
      </c>
      <c r="V1815" s="64" t="str">
        <f>IF(OR(U1815="",NOT(ISNUMBER(L1815))),"",IF(L1815&lt;=0,"",ROUND(L1815*U1815,2)))</f>
        <v/>
      </c>
      <c r="W1815" s="60" t="str">
        <f>IF(AND(B1815&lt;&gt;"",A1815&lt;&gt;"BS",F1815&lt;&gt;"",H1815&lt;&gt;"",ISNUMBER(K1815),ISNUMBER(L1815)),IF(AND(K1815&gt;0,L1815&gt;0,K1815-L1815&gt;0,COUNTIFS(A1816:A$2005,A1815,F1816:F$2005,F1815,H1816:H$2005,H1815,AA1816:AA$2005,"&gt;0")=0),ROUND(K1815-L1815,6),""),"")</f>
        <v/>
      </c>
      <c r="X1815" s="60" t="str">
        <f>IF(AND(A1815="",C1815="",D1815="",H1815="",L1815=""),"",IF(A1815="","Type manquant",IF(AND(A1815&lt;&gt;"BL",A1815&lt;&gt;"BR",A1815&lt;&gt;"BS"),"Type inconnu (BL, BR ou BS)",IF(AG1815=0,"Date manquante ou invalide",IF(D1815="",IF(A1815="BL","Client manquant",IF(A1815="BR","Fournisseur manquant","Service manquant")),IF(IF(A1815="BL",ISNA(MATCH(D1815,cl_code,0)),IF(A1815="BR",ISNA(MATCH(D1815,fo_code,0)),ISNA(MATCH(D1815,p_services,0)))),IF(A1815="BL","Client inconnu",IF(A1815="BR","Fournisseur inconnu","Service inconnu")),IF(H1815="","Article manquant",IF(ISNA(MATCH(H1815,art_ref,0)),"Article inconnu",IF(OR(NOT(ISNUMBER(L1815)),N(L1815)&lt;=0),"Quantité invalide",IF(AND(K1815&lt;&gt;"",OR(NOT(ISNUMBER(K1815)),N(K1815)&lt;=0)),"Qté commandée invalide",IF(AG1815&lt;SUMPRODUCT(MAX((A$6:A1814=A1815)*AG$6:AG1814)),"Date antérieure au bon précédent",IF(AND(A1815&lt;&gt;"BR",ISNUMBER(M1815),N(M1815)&gt;0),IF(A1815="BL","Livré plus que commandé","Sorti plus que demandé"),"OK"))))))))))))</f>
        <v/>
      </c>
      <c r="Y1815" s="57" t="str">
        <f>IF(AND(OR(A1815="BL",A1815="BR",A1815="BS"),AG1815&gt;0,D1815&lt;&gt;""),A1815&amp;"|"&amp;AG1815&amp;"|"&amp;D1815&amp;"|"&amp;F1815,"")</f>
        <v/>
      </c>
      <c r="Z1815" s="57" t="str">
        <f>IF(Y1815="","",IF(COUNTIF(Y$6:Y1814,Y1815)=0,1,0))</f>
        <v/>
      </c>
      <c r="AA1815" s="57" t="str">
        <f>IF(Y1815="","",IF(Z1815=1,COUNTIFS(A$6:A1815,A1815,Z$6:Z1815,1),INDEX(AA$6:AA1814,MATCH(Y1815,Y$6:Y1814,0))))</f>
        <v/>
      </c>
      <c r="AB1815" s="57" t="str">
        <f>IF(B1815="","",COUNTIF(B$6:B1815,B1815))</f>
        <v/>
      </c>
      <c r="AC1815" s="57" t="str">
        <f>IF(B1815="","",B1815&amp;"#"&amp;AB1815)</f>
        <v/>
      </c>
      <c r="AD1815" s="57" t="str">
        <f>IF(Z1815=1,A1815&amp;AA1815,"")</f>
        <v/>
      </c>
      <c r="AE1815" s="57" t="str">
        <f>IF(B1815="","",YEAR(C1815))</f>
        <v/>
      </c>
      <c r="AF1815" s="57" t="str">
        <f>IF(B1815="","",MONTH(C1815))</f>
        <v/>
      </c>
      <c r="AG1815" s="57">
        <f>IF(ISNUMBER(C1815),C1815,0)</f>
        <v>0.0</v>
      </c>
      <c r="AH1815" s="57" t="str">
        <f>IF(N(W1815)&gt;0,COUNTIF(W$6:W1815,"&gt;0"),"")</f>
        <v/>
      </c>
      <c r="AI1815" s="57" t="str">
        <f>IF(Z1815=1,COUNTIF(Z$6:Z1815,1),"")</f>
        <v/>
      </c>
    </row>
    <row r="1816">
      <c r="A1816" s="54" t="n"/>
      <c r="B1816" s="55" t="str">
        <f>IF(AA1816="","",A1816&amp;"-"&amp;RIGHT("000"&amp;AA1816,4))</f>
        <v/>
      </c>
      <c r="C1816" s="56" t="n"/>
      <c r="D1816" s="54" t="n"/>
      <c r="E1816" s="57" t="str">
        <f>IF(D1816="","",IF(A1816="BL",IFERROR(INDEX(cl_name,MATCH(D1816,cl_code,0))&amp;"","Client inconnu"),IF(A1816="BR",IFERROR(INDEX(fo_name,MATCH(D1816,fo_code,0))&amp;"","Fournisseur inconnu"),IF(A1816="BS",IF(ISNA(MATCH(D1816,p_services,0)),"Service inconnu",D1816&amp;""),""))))</f>
        <v/>
      </c>
      <c r="F1816" s="58" t="n"/>
      <c r="G1816" s="58" t="n"/>
      <c r="H1816" s="59" t="n"/>
      <c r="I1816" s="57" t="str">
        <f>IF(H1816="","",IFERROR(INDEX(art_des,MATCH(H1816,art_ref,0))&amp;"","Article inconnu"))</f>
        <v/>
      </c>
      <c r="J1816" s="60" t="str">
        <f>IF(H1816="","",IFERROR(INDEX(art_unit,MATCH(H1816,art_ref,0))&amp;"",""))</f>
        <v/>
      </c>
      <c r="K1816" s="59" t="n"/>
      <c r="L1816" s="59" t="n"/>
      <c r="M1816" s="61" t="str">
        <f>IF(OR(B1816="",NOT(ISNUMBER(K1816)),NOT(ISNUMBER(L1816))),"",IF(OR(K1816&lt;=0,L1816&lt;=0),"",ROUND(L1816-K1816,6)))</f>
        <v/>
      </c>
      <c r="N1816" s="58" t="n"/>
      <c r="O1816" s="62" t="n"/>
      <c r="P1816" s="63" t="str">
        <f>IF(OR(B1816="",NOT(ISNUMBER(L1816))),"",IF(L1816&lt;=0,"",IFERROR(ROUND(L1816*N(INDEX(art_w,MATCH(H1816,art_ref,0))),3),"")))</f>
        <v/>
      </c>
      <c r="Q1816" s="59" t="n"/>
      <c r="R1816" s="54" t="n"/>
      <c r="S1816" s="59" t="n"/>
      <c r="T1816" s="59" t="n"/>
      <c r="U1816" s="64" t="str">
        <f>IF(OR(B1816="",H1816=""),"",IFERROR(IF(A1816="BL",IF(N(INDEX(art_price,MATCH(H1816,art_ref,0)))=0,"",N(INDEX(art_price,MATCH(H1816,art_ref,0)))),IF(N(INDEX(art_cost,MATCH(H1816,art_ref,0)))=0,"",N(INDEX(art_cost,MATCH(H1816,art_ref,0))))),""))</f>
        <v/>
      </c>
      <c r="V1816" s="64" t="str">
        <f>IF(OR(U1816="",NOT(ISNUMBER(L1816))),"",IF(L1816&lt;=0,"",ROUND(L1816*U1816,2)))</f>
        <v/>
      </c>
      <c r="W1816" s="60" t="str">
        <f>IF(AND(B1816&lt;&gt;"",A1816&lt;&gt;"BS",F1816&lt;&gt;"",H1816&lt;&gt;"",ISNUMBER(K1816),ISNUMBER(L1816)),IF(AND(K1816&gt;0,L1816&gt;0,K1816-L1816&gt;0,COUNTIFS(A1817:A$2005,A1816,F1817:F$2005,F1816,H1817:H$2005,H1816,AA1817:AA$2005,"&gt;0")=0),ROUND(K1816-L1816,6),""),"")</f>
        <v/>
      </c>
      <c r="X1816" s="60" t="str">
        <f>IF(AND(A1816="",C1816="",D1816="",H1816="",L1816=""),"",IF(A1816="","Type manquant",IF(AND(A1816&lt;&gt;"BL",A1816&lt;&gt;"BR",A1816&lt;&gt;"BS"),"Type inconnu (BL, BR ou BS)",IF(AG1816=0,"Date manquante ou invalide",IF(D1816="",IF(A1816="BL","Client manquant",IF(A1816="BR","Fournisseur manquant","Service manquant")),IF(IF(A1816="BL",ISNA(MATCH(D1816,cl_code,0)),IF(A1816="BR",ISNA(MATCH(D1816,fo_code,0)),ISNA(MATCH(D1816,p_services,0)))),IF(A1816="BL","Client inconnu",IF(A1816="BR","Fournisseur inconnu","Service inconnu")),IF(H1816="","Article manquant",IF(ISNA(MATCH(H1816,art_ref,0)),"Article inconnu",IF(OR(NOT(ISNUMBER(L1816)),N(L1816)&lt;=0),"Quantité invalide",IF(AND(K1816&lt;&gt;"",OR(NOT(ISNUMBER(K1816)),N(K1816)&lt;=0)),"Qté commandée invalide",IF(AG1816&lt;SUMPRODUCT(MAX((A$6:A1815=A1816)*AG$6:AG1815)),"Date antérieure au bon précédent",IF(AND(A1816&lt;&gt;"BR",ISNUMBER(M1816),N(M1816)&gt;0),IF(A1816="BL","Livré plus que commandé","Sorti plus que demandé"),"OK"))))))))))))</f>
        <v/>
      </c>
      <c r="Y1816" s="57" t="str">
        <f>IF(AND(OR(A1816="BL",A1816="BR",A1816="BS"),AG1816&gt;0,D1816&lt;&gt;""),A1816&amp;"|"&amp;AG1816&amp;"|"&amp;D1816&amp;"|"&amp;F1816,"")</f>
        <v/>
      </c>
      <c r="Z1816" s="57" t="str">
        <f>IF(Y1816="","",IF(COUNTIF(Y$6:Y1815,Y1816)=0,1,0))</f>
        <v/>
      </c>
      <c r="AA1816" s="57" t="str">
        <f>IF(Y1816="","",IF(Z1816=1,COUNTIFS(A$6:A1816,A1816,Z$6:Z1816,1),INDEX(AA$6:AA1815,MATCH(Y1816,Y$6:Y1815,0))))</f>
        <v/>
      </c>
      <c r="AB1816" s="57" t="str">
        <f>IF(B1816="","",COUNTIF(B$6:B1816,B1816))</f>
        <v/>
      </c>
      <c r="AC1816" s="57" t="str">
        <f>IF(B1816="","",B1816&amp;"#"&amp;AB1816)</f>
        <v/>
      </c>
      <c r="AD1816" s="57" t="str">
        <f>IF(Z1816=1,A1816&amp;AA1816,"")</f>
        <v/>
      </c>
      <c r="AE1816" s="57" t="str">
        <f>IF(B1816="","",YEAR(C1816))</f>
        <v/>
      </c>
      <c r="AF1816" s="57" t="str">
        <f>IF(B1816="","",MONTH(C1816))</f>
        <v/>
      </c>
      <c r="AG1816" s="57">
        <f>IF(ISNUMBER(C1816),C1816,0)</f>
        <v>0.0</v>
      </c>
      <c r="AH1816" s="57" t="str">
        <f>IF(N(W1816)&gt;0,COUNTIF(W$6:W1816,"&gt;0"),"")</f>
        <v/>
      </c>
      <c r="AI1816" s="57" t="str">
        <f>IF(Z1816=1,COUNTIF(Z$6:Z1816,1),"")</f>
        <v/>
      </c>
    </row>
    <row r="1817">
      <c r="A1817" s="54" t="n"/>
      <c r="B1817" s="55" t="str">
        <f>IF(AA1817="","",A1817&amp;"-"&amp;RIGHT("000"&amp;AA1817,4))</f>
        <v/>
      </c>
      <c r="C1817" s="56" t="n"/>
      <c r="D1817" s="54" t="n"/>
      <c r="E1817" s="57" t="str">
        <f>IF(D1817="","",IF(A1817="BL",IFERROR(INDEX(cl_name,MATCH(D1817,cl_code,0))&amp;"","Client inconnu"),IF(A1817="BR",IFERROR(INDEX(fo_name,MATCH(D1817,fo_code,0))&amp;"","Fournisseur inconnu"),IF(A1817="BS",IF(ISNA(MATCH(D1817,p_services,0)),"Service inconnu",D1817&amp;""),""))))</f>
        <v/>
      </c>
      <c r="F1817" s="58" t="n"/>
      <c r="G1817" s="58" t="n"/>
      <c r="H1817" s="59" t="n"/>
      <c r="I1817" s="57" t="str">
        <f>IF(H1817="","",IFERROR(INDEX(art_des,MATCH(H1817,art_ref,0))&amp;"","Article inconnu"))</f>
        <v/>
      </c>
      <c r="J1817" s="60" t="str">
        <f>IF(H1817="","",IFERROR(INDEX(art_unit,MATCH(H1817,art_ref,0))&amp;"",""))</f>
        <v/>
      </c>
      <c r="K1817" s="59" t="n"/>
      <c r="L1817" s="59" t="n"/>
      <c r="M1817" s="61" t="str">
        <f>IF(OR(B1817="",NOT(ISNUMBER(K1817)),NOT(ISNUMBER(L1817))),"",IF(OR(K1817&lt;=0,L1817&lt;=0),"",ROUND(L1817-K1817,6)))</f>
        <v/>
      </c>
      <c r="N1817" s="58" t="n"/>
      <c r="O1817" s="62" t="n"/>
      <c r="P1817" s="63" t="str">
        <f>IF(OR(B1817="",NOT(ISNUMBER(L1817))),"",IF(L1817&lt;=0,"",IFERROR(ROUND(L1817*N(INDEX(art_w,MATCH(H1817,art_ref,0))),3),"")))</f>
        <v/>
      </c>
      <c r="Q1817" s="59" t="n"/>
      <c r="R1817" s="54" t="n"/>
      <c r="S1817" s="59" t="n"/>
      <c r="T1817" s="59" t="n"/>
      <c r="U1817" s="64" t="str">
        <f>IF(OR(B1817="",H1817=""),"",IFERROR(IF(A1817="BL",IF(N(INDEX(art_price,MATCH(H1817,art_ref,0)))=0,"",N(INDEX(art_price,MATCH(H1817,art_ref,0)))),IF(N(INDEX(art_cost,MATCH(H1817,art_ref,0)))=0,"",N(INDEX(art_cost,MATCH(H1817,art_ref,0))))),""))</f>
        <v/>
      </c>
      <c r="V1817" s="64" t="str">
        <f>IF(OR(U1817="",NOT(ISNUMBER(L1817))),"",IF(L1817&lt;=0,"",ROUND(L1817*U1817,2)))</f>
        <v/>
      </c>
      <c r="W1817" s="60" t="str">
        <f>IF(AND(B1817&lt;&gt;"",A1817&lt;&gt;"BS",F1817&lt;&gt;"",H1817&lt;&gt;"",ISNUMBER(K1817),ISNUMBER(L1817)),IF(AND(K1817&gt;0,L1817&gt;0,K1817-L1817&gt;0,COUNTIFS(A1818:A$2005,A1817,F1818:F$2005,F1817,H1818:H$2005,H1817,AA1818:AA$2005,"&gt;0")=0),ROUND(K1817-L1817,6),""),"")</f>
        <v/>
      </c>
      <c r="X1817" s="60" t="str">
        <f>IF(AND(A1817="",C1817="",D1817="",H1817="",L1817=""),"",IF(A1817="","Type manquant",IF(AND(A1817&lt;&gt;"BL",A1817&lt;&gt;"BR",A1817&lt;&gt;"BS"),"Type inconnu (BL, BR ou BS)",IF(AG1817=0,"Date manquante ou invalide",IF(D1817="",IF(A1817="BL","Client manquant",IF(A1817="BR","Fournisseur manquant","Service manquant")),IF(IF(A1817="BL",ISNA(MATCH(D1817,cl_code,0)),IF(A1817="BR",ISNA(MATCH(D1817,fo_code,0)),ISNA(MATCH(D1817,p_services,0)))),IF(A1817="BL","Client inconnu",IF(A1817="BR","Fournisseur inconnu","Service inconnu")),IF(H1817="","Article manquant",IF(ISNA(MATCH(H1817,art_ref,0)),"Article inconnu",IF(OR(NOT(ISNUMBER(L1817)),N(L1817)&lt;=0),"Quantité invalide",IF(AND(K1817&lt;&gt;"",OR(NOT(ISNUMBER(K1817)),N(K1817)&lt;=0)),"Qté commandée invalide",IF(AG1817&lt;SUMPRODUCT(MAX((A$6:A1816=A1817)*AG$6:AG1816)),"Date antérieure au bon précédent",IF(AND(A1817&lt;&gt;"BR",ISNUMBER(M1817),N(M1817)&gt;0),IF(A1817="BL","Livré plus que commandé","Sorti plus que demandé"),"OK"))))))))))))</f>
        <v/>
      </c>
      <c r="Y1817" s="57" t="str">
        <f>IF(AND(OR(A1817="BL",A1817="BR",A1817="BS"),AG1817&gt;0,D1817&lt;&gt;""),A1817&amp;"|"&amp;AG1817&amp;"|"&amp;D1817&amp;"|"&amp;F1817,"")</f>
        <v/>
      </c>
      <c r="Z1817" s="57" t="str">
        <f>IF(Y1817="","",IF(COUNTIF(Y$6:Y1816,Y1817)=0,1,0))</f>
        <v/>
      </c>
      <c r="AA1817" s="57" t="str">
        <f>IF(Y1817="","",IF(Z1817=1,COUNTIFS(A$6:A1817,A1817,Z$6:Z1817,1),INDEX(AA$6:AA1816,MATCH(Y1817,Y$6:Y1816,0))))</f>
        <v/>
      </c>
      <c r="AB1817" s="57" t="str">
        <f>IF(B1817="","",COUNTIF(B$6:B1817,B1817))</f>
        <v/>
      </c>
      <c r="AC1817" s="57" t="str">
        <f>IF(B1817="","",B1817&amp;"#"&amp;AB1817)</f>
        <v/>
      </c>
      <c r="AD1817" s="57" t="str">
        <f>IF(Z1817=1,A1817&amp;AA1817,"")</f>
        <v/>
      </c>
      <c r="AE1817" s="57" t="str">
        <f>IF(B1817="","",YEAR(C1817))</f>
        <v/>
      </c>
      <c r="AF1817" s="57" t="str">
        <f>IF(B1817="","",MONTH(C1817))</f>
        <v/>
      </c>
      <c r="AG1817" s="57">
        <f>IF(ISNUMBER(C1817),C1817,0)</f>
        <v>0.0</v>
      </c>
      <c r="AH1817" s="57" t="str">
        <f>IF(N(W1817)&gt;0,COUNTIF(W$6:W1817,"&gt;0"),"")</f>
        <v/>
      </c>
      <c r="AI1817" s="57" t="str">
        <f>IF(Z1817=1,COUNTIF(Z$6:Z1817,1),"")</f>
        <v/>
      </c>
    </row>
    <row r="1818">
      <c r="A1818" s="54" t="n"/>
      <c r="B1818" s="55" t="str">
        <f>IF(AA1818="","",A1818&amp;"-"&amp;RIGHT("000"&amp;AA1818,4))</f>
        <v/>
      </c>
      <c r="C1818" s="56" t="n"/>
      <c r="D1818" s="54" t="n"/>
      <c r="E1818" s="57" t="str">
        <f>IF(D1818="","",IF(A1818="BL",IFERROR(INDEX(cl_name,MATCH(D1818,cl_code,0))&amp;"","Client inconnu"),IF(A1818="BR",IFERROR(INDEX(fo_name,MATCH(D1818,fo_code,0))&amp;"","Fournisseur inconnu"),IF(A1818="BS",IF(ISNA(MATCH(D1818,p_services,0)),"Service inconnu",D1818&amp;""),""))))</f>
        <v/>
      </c>
      <c r="F1818" s="58" t="n"/>
      <c r="G1818" s="58" t="n"/>
      <c r="H1818" s="59" t="n"/>
      <c r="I1818" s="57" t="str">
        <f>IF(H1818="","",IFERROR(INDEX(art_des,MATCH(H1818,art_ref,0))&amp;"","Article inconnu"))</f>
        <v/>
      </c>
      <c r="J1818" s="60" t="str">
        <f>IF(H1818="","",IFERROR(INDEX(art_unit,MATCH(H1818,art_ref,0))&amp;"",""))</f>
        <v/>
      </c>
      <c r="K1818" s="59" t="n"/>
      <c r="L1818" s="59" t="n"/>
      <c r="M1818" s="61" t="str">
        <f>IF(OR(B1818="",NOT(ISNUMBER(K1818)),NOT(ISNUMBER(L1818))),"",IF(OR(K1818&lt;=0,L1818&lt;=0),"",ROUND(L1818-K1818,6)))</f>
        <v/>
      </c>
      <c r="N1818" s="58" t="n"/>
      <c r="O1818" s="62" t="n"/>
      <c r="P1818" s="63" t="str">
        <f>IF(OR(B1818="",NOT(ISNUMBER(L1818))),"",IF(L1818&lt;=0,"",IFERROR(ROUND(L1818*N(INDEX(art_w,MATCH(H1818,art_ref,0))),3),"")))</f>
        <v/>
      </c>
      <c r="Q1818" s="59" t="n"/>
      <c r="R1818" s="54" t="n"/>
      <c r="S1818" s="59" t="n"/>
      <c r="T1818" s="59" t="n"/>
      <c r="U1818" s="64" t="str">
        <f>IF(OR(B1818="",H1818=""),"",IFERROR(IF(A1818="BL",IF(N(INDEX(art_price,MATCH(H1818,art_ref,0)))=0,"",N(INDEX(art_price,MATCH(H1818,art_ref,0)))),IF(N(INDEX(art_cost,MATCH(H1818,art_ref,0)))=0,"",N(INDEX(art_cost,MATCH(H1818,art_ref,0))))),""))</f>
        <v/>
      </c>
      <c r="V1818" s="64" t="str">
        <f>IF(OR(U1818="",NOT(ISNUMBER(L1818))),"",IF(L1818&lt;=0,"",ROUND(L1818*U1818,2)))</f>
        <v/>
      </c>
      <c r="W1818" s="60" t="str">
        <f>IF(AND(B1818&lt;&gt;"",A1818&lt;&gt;"BS",F1818&lt;&gt;"",H1818&lt;&gt;"",ISNUMBER(K1818),ISNUMBER(L1818)),IF(AND(K1818&gt;0,L1818&gt;0,K1818-L1818&gt;0,COUNTIFS(A1819:A$2005,A1818,F1819:F$2005,F1818,H1819:H$2005,H1818,AA1819:AA$2005,"&gt;0")=0),ROUND(K1818-L1818,6),""),"")</f>
        <v/>
      </c>
      <c r="X1818" s="60" t="str">
        <f>IF(AND(A1818="",C1818="",D1818="",H1818="",L1818=""),"",IF(A1818="","Type manquant",IF(AND(A1818&lt;&gt;"BL",A1818&lt;&gt;"BR",A1818&lt;&gt;"BS"),"Type inconnu (BL, BR ou BS)",IF(AG1818=0,"Date manquante ou invalide",IF(D1818="",IF(A1818="BL","Client manquant",IF(A1818="BR","Fournisseur manquant","Service manquant")),IF(IF(A1818="BL",ISNA(MATCH(D1818,cl_code,0)),IF(A1818="BR",ISNA(MATCH(D1818,fo_code,0)),ISNA(MATCH(D1818,p_services,0)))),IF(A1818="BL","Client inconnu",IF(A1818="BR","Fournisseur inconnu","Service inconnu")),IF(H1818="","Article manquant",IF(ISNA(MATCH(H1818,art_ref,0)),"Article inconnu",IF(OR(NOT(ISNUMBER(L1818)),N(L1818)&lt;=0),"Quantité invalide",IF(AND(K1818&lt;&gt;"",OR(NOT(ISNUMBER(K1818)),N(K1818)&lt;=0)),"Qté commandée invalide",IF(AG1818&lt;SUMPRODUCT(MAX((A$6:A1817=A1818)*AG$6:AG1817)),"Date antérieure au bon précédent",IF(AND(A1818&lt;&gt;"BR",ISNUMBER(M1818),N(M1818)&gt;0),IF(A1818="BL","Livré plus que commandé","Sorti plus que demandé"),"OK"))))))))))))</f>
        <v/>
      </c>
      <c r="Y1818" s="57" t="str">
        <f>IF(AND(OR(A1818="BL",A1818="BR",A1818="BS"),AG1818&gt;0,D1818&lt;&gt;""),A1818&amp;"|"&amp;AG1818&amp;"|"&amp;D1818&amp;"|"&amp;F1818,"")</f>
        <v/>
      </c>
      <c r="Z1818" s="57" t="str">
        <f>IF(Y1818="","",IF(COUNTIF(Y$6:Y1817,Y1818)=0,1,0))</f>
        <v/>
      </c>
      <c r="AA1818" s="57" t="str">
        <f>IF(Y1818="","",IF(Z1818=1,COUNTIFS(A$6:A1818,A1818,Z$6:Z1818,1),INDEX(AA$6:AA1817,MATCH(Y1818,Y$6:Y1817,0))))</f>
        <v/>
      </c>
      <c r="AB1818" s="57" t="str">
        <f>IF(B1818="","",COUNTIF(B$6:B1818,B1818))</f>
        <v/>
      </c>
      <c r="AC1818" s="57" t="str">
        <f>IF(B1818="","",B1818&amp;"#"&amp;AB1818)</f>
        <v/>
      </c>
      <c r="AD1818" s="57" t="str">
        <f>IF(Z1818=1,A1818&amp;AA1818,"")</f>
        <v/>
      </c>
      <c r="AE1818" s="57" t="str">
        <f>IF(B1818="","",YEAR(C1818))</f>
        <v/>
      </c>
      <c r="AF1818" s="57" t="str">
        <f>IF(B1818="","",MONTH(C1818))</f>
        <v/>
      </c>
      <c r="AG1818" s="57">
        <f>IF(ISNUMBER(C1818),C1818,0)</f>
        <v>0.0</v>
      </c>
      <c r="AH1818" s="57" t="str">
        <f>IF(N(W1818)&gt;0,COUNTIF(W$6:W1818,"&gt;0"),"")</f>
        <v/>
      </c>
      <c r="AI1818" s="57" t="str">
        <f>IF(Z1818=1,COUNTIF(Z$6:Z1818,1),"")</f>
        <v/>
      </c>
    </row>
    <row r="1819">
      <c r="A1819" s="54" t="n"/>
      <c r="B1819" s="55" t="str">
        <f>IF(AA1819="","",A1819&amp;"-"&amp;RIGHT("000"&amp;AA1819,4))</f>
        <v/>
      </c>
      <c r="C1819" s="56" t="n"/>
      <c r="D1819" s="54" t="n"/>
      <c r="E1819" s="57" t="str">
        <f>IF(D1819="","",IF(A1819="BL",IFERROR(INDEX(cl_name,MATCH(D1819,cl_code,0))&amp;"","Client inconnu"),IF(A1819="BR",IFERROR(INDEX(fo_name,MATCH(D1819,fo_code,0))&amp;"","Fournisseur inconnu"),IF(A1819="BS",IF(ISNA(MATCH(D1819,p_services,0)),"Service inconnu",D1819&amp;""),""))))</f>
        <v/>
      </c>
      <c r="F1819" s="58" t="n"/>
      <c r="G1819" s="58" t="n"/>
      <c r="H1819" s="59" t="n"/>
      <c r="I1819" s="57" t="str">
        <f>IF(H1819="","",IFERROR(INDEX(art_des,MATCH(H1819,art_ref,0))&amp;"","Article inconnu"))</f>
        <v/>
      </c>
      <c r="J1819" s="60" t="str">
        <f>IF(H1819="","",IFERROR(INDEX(art_unit,MATCH(H1819,art_ref,0))&amp;"",""))</f>
        <v/>
      </c>
      <c r="K1819" s="59" t="n"/>
      <c r="L1819" s="59" t="n"/>
      <c r="M1819" s="61" t="str">
        <f>IF(OR(B1819="",NOT(ISNUMBER(K1819)),NOT(ISNUMBER(L1819))),"",IF(OR(K1819&lt;=0,L1819&lt;=0),"",ROUND(L1819-K1819,6)))</f>
        <v/>
      </c>
      <c r="N1819" s="58" t="n"/>
      <c r="O1819" s="62" t="n"/>
      <c r="P1819" s="63" t="str">
        <f>IF(OR(B1819="",NOT(ISNUMBER(L1819))),"",IF(L1819&lt;=0,"",IFERROR(ROUND(L1819*N(INDEX(art_w,MATCH(H1819,art_ref,0))),3),"")))</f>
        <v/>
      </c>
      <c r="Q1819" s="59" t="n"/>
      <c r="R1819" s="54" t="n"/>
      <c r="S1819" s="59" t="n"/>
      <c r="T1819" s="59" t="n"/>
      <c r="U1819" s="64" t="str">
        <f>IF(OR(B1819="",H1819=""),"",IFERROR(IF(A1819="BL",IF(N(INDEX(art_price,MATCH(H1819,art_ref,0)))=0,"",N(INDEX(art_price,MATCH(H1819,art_ref,0)))),IF(N(INDEX(art_cost,MATCH(H1819,art_ref,0)))=0,"",N(INDEX(art_cost,MATCH(H1819,art_ref,0))))),""))</f>
        <v/>
      </c>
      <c r="V1819" s="64" t="str">
        <f>IF(OR(U1819="",NOT(ISNUMBER(L1819))),"",IF(L1819&lt;=0,"",ROUND(L1819*U1819,2)))</f>
        <v/>
      </c>
      <c r="W1819" s="60" t="str">
        <f>IF(AND(B1819&lt;&gt;"",A1819&lt;&gt;"BS",F1819&lt;&gt;"",H1819&lt;&gt;"",ISNUMBER(K1819),ISNUMBER(L1819)),IF(AND(K1819&gt;0,L1819&gt;0,K1819-L1819&gt;0,COUNTIFS(A1820:A$2005,A1819,F1820:F$2005,F1819,H1820:H$2005,H1819,AA1820:AA$2005,"&gt;0")=0),ROUND(K1819-L1819,6),""),"")</f>
        <v/>
      </c>
      <c r="X1819" s="60" t="str">
        <f>IF(AND(A1819="",C1819="",D1819="",H1819="",L1819=""),"",IF(A1819="","Type manquant",IF(AND(A1819&lt;&gt;"BL",A1819&lt;&gt;"BR",A1819&lt;&gt;"BS"),"Type inconnu (BL, BR ou BS)",IF(AG1819=0,"Date manquante ou invalide",IF(D1819="",IF(A1819="BL","Client manquant",IF(A1819="BR","Fournisseur manquant","Service manquant")),IF(IF(A1819="BL",ISNA(MATCH(D1819,cl_code,0)),IF(A1819="BR",ISNA(MATCH(D1819,fo_code,0)),ISNA(MATCH(D1819,p_services,0)))),IF(A1819="BL","Client inconnu",IF(A1819="BR","Fournisseur inconnu","Service inconnu")),IF(H1819="","Article manquant",IF(ISNA(MATCH(H1819,art_ref,0)),"Article inconnu",IF(OR(NOT(ISNUMBER(L1819)),N(L1819)&lt;=0),"Quantité invalide",IF(AND(K1819&lt;&gt;"",OR(NOT(ISNUMBER(K1819)),N(K1819)&lt;=0)),"Qté commandée invalide",IF(AG1819&lt;SUMPRODUCT(MAX((A$6:A1818=A1819)*AG$6:AG1818)),"Date antérieure au bon précédent",IF(AND(A1819&lt;&gt;"BR",ISNUMBER(M1819),N(M1819)&gt;0),IF(A1819="BL","Livré plus que commandé","Sorti plus que demandé"),"OK"))))))))))))</f>
        <v/>
      </c>
      <c r="Y1819" s="57" t="str">
        <f>IF(AND(OR(A1819="BL",A1819="BR",A1819="BS"),AG1819&gt;0,D1819&lt;&gt;""),A1819&amp;"|"&amp;AG1819&amp;"|"&amp;D1819&amp;"|"&amp;F1819,"")</f>
        <v/>
      </c>
      <c r="Z1819" s="57" t="str">
        <f>IF(Y1819="","",IF(COUNTIF(Y$6:Y1818,Y1819)=0,1,0))</f>
        <v/>
      </c>
      <c r="AA1819" s="57" t="str">
        <f>IF(Y1819="","",IF(Z1819=1,COUNTIFS(A$6:A1819,A1819,Z$6:Z1819,1),INDEX(AA$6:AA1818,MATCH(Y1819,Y$6:Y1818,0))))</f>
        <v/>
      </c>
      <c r="AB1819" s="57" t="str">
        <f>IF(B1819="","",COUNTIF(B$6:B1819,B1819))</f>
        <v/>
      </c>
      <c r="AC1819" s="57" t="str">
        <f>IF(B1819="","",B1819&amp;"#"&amp;AB1819)</f>
        <v/>
      </c>
      <c r="AD1819" s="57" t="str">
        <f>IF(Z1819=1,A1819&amp;AA1819,"")</f>
        <v/>
      </c>
      <c r="AE1819" s="57" t="str">
        <f>IF(B1819="","",YEAR(C1819))</f>
        <v/>
      </c>
      <c r="AF1819" s="57" t="str">
        <f>IF(B1819="","",MONTH(C1819))</f>
        <v/>
      </c>
      <c r="AG1819" s="57">
        <f>IF(ISNUMBER(C1819),C1819,0)</f>
        <v>0.0</v>
      </c>
      <c r="AH1819" s="57" t="str">
        <f>IF(N(W1819)&gt;0,COUNTIF(W$6:W1819,"&gt;0"),"")</f>
        <v/>
      </c>
      <c r="AI1819" s="57" t="str">
        <f>IF(Z1819=1,COUNTIF(Z$6:Z1819,1),"")</f>
        <v/>
      </c>
    </row>
    <row r="1820">
      <c r="A1820" s="54" t="n"/>
      <c r="B1820" s="55" t="str">
        <f>IF(AA1820="","",A1820&amp;"-"&amp;RIGHT("000"&amp;AA1820,4))</f>
        <v/>
      </c>
      <c r="C1820" s="56" t="n"/>
      <c r="D1820" s="54" t="n"/>
      <c r="E1820" s="57" t="str">
        <f>IF(D1820="","",IF(A1820="BL",IFERROR(INDEX(cl_name,MATCH(D1820,cl_code,0))&amp;"","Client inconnu"),IF(A1820="BR",IFERROR(INDEX(fo_name,MATCH(D1820,fo_code,0))&amp;"","Fournisseur inconnu"),IF(A1820="BS",IF(ISNA(MATCH(D1820,p_services,0)),"Service inconnu",D1820&amp;""),""))))</f>
        <v/>
      </c>
      <c r="F1820" s="58" t="n"/>
      <c r="G1820" s="58" t="n"/>
      <c r="H1820" s="59" t="n"/>
      <c r="I1820" s="57" t="str">
        <f>IF(H1820="","",IFERROR(INDEX(art_des,MATCH(H1820,art_ref,0))&amp;"","Article inconnu"))</f>
        <v/>
      </c>
      <c r="J1820" s="60" t="str">
        <f>IF(H1820="","",IFERROR(INDEX(art_unit,MATCH(H1820,art_ref,0))&amp;"",""))</f>
        <v/>
      </c>
      <c r="K1820" s="59" t="n"/>
      <c r="L1820" s="59" t="n"/>
      <c r="M1820" s="61" t="str">
        <f>IF(OR(B1820="",NOT(ISNUMBER(K1820)),NOT(ISNUMBER(L1820))),"",IF(OR(K1820&lt;=0,L1820&lt;=0),"",ROUND(L1820-K1820,6)))</f>
        <v/>
      </c>
      <c r="N1820" s="58" t="n"/>
      <c r="O1820" s="62" t="n"/>
      <c r="P1820" s="63" t="str">
        <f>IF(OR(B1820="",NOT(ISNUMBER(L1820))),"",IF(L1820&lt;=0,"",IFERROR(ROUND(L1820*N(INDEX(art_w,MATCH(H1820,art_ref,0))),3),"")))</f>
        <v/>
      </c>
      <c r="Q1820" s="59" t="n"/>
      <c r="R1820" s="54" t="n"/>
      <c r="S1820" s="59" t="n"/>
      <c r="T1820" s="59" t="n"/>
      <c r="U1820" s="64" t="str">
        <f>IF(OR(B1820="",H1820=""),"",IFERROR(IF(A1820="BL",IF(N(INDEX(art_price,MATCH(H1820,art_ref,0)))=0,"",N(INDEX(art_price,MATCH(H1820,art_ref,0)))),IF(N(INDEX(art_cost,MATCH(H1820,art_ref,0)))=0,"",N(INDEX(art_cost,MATCH(H1820,art_ref,0))))),""))</f>
        <v/>
      </c>
      <c r="V1820" s="64" t="str">
        <f>IF(OR(U1820="",NOT(ISNUMBER(L1820))),"",IF(L1820&lt;=0,"",ROUND(L1820*U1820,2)))</f>
        <v/>
      </c>
      <c r="W1820" s="60" t="str">
        <f>IF(AND(B1820&lt;&gt;"",A1820&lt;&gt;"BS",F1820&lt;&gt;"",H1820&lt;&gt;"",ISNUMBER(K1820),ISNUMBER(L1820)),IF(AND(K1820&gt;0,L1820&gt;0,K1820-L1820&gt;0,COUNTIFS(A1821:A$2005,A1820,F1821:F$2005,F1820,H1821:H$2005,H1820,AA1821:AA$2005,"&gt;0")=0),ROUND(K1820-L1820,6),""),"")</f>
        <v/>
      </c>
      <c r="X1820" s="60" t="str">
        <f>IF(AND(A1820="",C1820="",D1820="",H1820="",L1820=""),"",IF(A1820="","Type manquant",IF(AND(A1820&lt;&gt;"BL",A1820&lt;&gt;"BR",A1820&lt;&gt;"BS"),"Type inconnu (BL, BR ou BS)",IF(AG1820=0,"Date manquante ou invalide",IF(D1820="",IF(A1820="BL","Client manquant",IF(A1820="BR","Fournisseur manquant","Service manquant")),IF(IF(A1820="BL",ISNA(MATCH(D1820,cl_code,0)),IF(A1820="BR",ISNA(MATCH(D1820,fo_code,0)),ISNA(MATCH(D1820,p_services,0)))),IF(A1820="BL","Client inconnu",IF(A1820="BR","Fournisseur inconnu","Service inconnu")),IF(H1820="","Article manquant",IF(ISNA(MATCH(H1820,art_ref,0)),"Article inconnu",IF(OR(NOT(ISNUMBER(L1820)),N(L1820)&lt;=0),"Quantité invalide",IF(AND(K1820&lt;&gt;"",OR(NOT(ISNUMBER(K1820)),N(K1820)&lt;=0)),"Qté commandée invalide",IF(AG1820&lt;SUMPRODUCT(MAX((A$6:A1819=A1820)*AG$6:AG1819)),"Date antérieure au bon précédent",IF(AND(A1820&lt;&gt;"BR",ISNUMBER(M1820),N(M1820)&gt;0),IF(A1820="BL","Livré plus que commandé","Sorti plus que demandé"),"OK"))))))))))))</f>
        <v/>
      </c>
      <c r="Y1820" s="57" t="str">
        <f>IF(AND(OR(A1820="BL",A1820="BR",A1820="BS"),AG1820&gt;0,D1820&lt;&gt;""),A1820&amp;"|"&amp;AG1820&amp;"|"&amp;D1820&amp;"|"&amp;F1820,"")</f>
        <v/>
      </c>
      <c r="Z1820" s="57" t="str">
        <f>IF(Y1820="","",IF(COUNTIF(Y$6:Y1819,Y1820)=0,1,0))</f>
        <v/>
      </c>
      <c r="AA1820" s="57" t="str">
        <f>IF(Y1820="","",IF(Z1820=1,COUNTIFS(A$6:A1820,A1820,Z$6:Z1820,1),INDEX(AA$6:AA1819,MATCH(Y1820,Y$6:Y1819,0))))</f>
        <v/>
      </c>
      <c r="AB1820" s="57" t="str">
        <f>IF(B1820="","",COUNTIF(B$6:B1820,B1820))</f>
        <v/>
      </c>
      <c r="AC1820" s="57" t="str">
        <f>IF(B1820="","",B1820&amp;"#"&amp;AB1820)</f>
        <v/>
      </c>
      <c r="AD1820" s="57" t="str">
        <f>IF(Z1820=1,A1820&amp;AA1820,"")</f>
        <v/>
      </c>
      <c r="AE1820" s="57" t="str">
        <f>IF(B1820="","",YEAR(C1820))</f>
        <v/>
      </c>
      <c r="AF1820" s="57" t="str">
        <f>IF(B1820="","",MONTH(C1820))</f>
        <v/>
      </c>
      <c r="AG1820" s="57">
        <f>IF(ISNUMBER(C1820),C1820,0)</f>
        <v>0.0</v>
      </c>
      <c r="AH1820" s="57" t="str">
        <f>IF(N(W1820)&gt;0,COUNTIF(W$6:W1820,"&gt;0"),"")</f>
        <v/>
      </c>
      <c r="AI1820" s="57" t="str">
        <f>IF(Z1820=1,COUNTIF(Z$6:Z1820,1),"")</f>
        <v/>
      </c>
    </row>
    <row r="1821">
      <c r="A1821" s="54" t="n"/>
      <c r="B1821" s="55" t="str">
        <f>IF(AA1821="","",A1821&amp;"-"&amp;RIGHT("000"&amp;AA1821,4))</f>
        <v/>
      </c>
      <c r="C1821" s="56" t="n"/>
      <c r="D1821" s="54" t="n"/>
      <c r="E1821" s="57" t="str">
        <f>IF(D1821="","",IF(A1821="BL",IFERROR(INDEX(cl_name,MATCH(D1821,cl_code,0))&amp;"","Client inconnu"),IF(A1821="BR",IFERROR(INDEX(fo_name,MATCH(D1821,fo_code,0))&amp;"","Fournisseur inconnu"),IF(A1821="BS",IF(ISNA(MATCH(D1821,p_services,0)),"Service inconnu",D1821&amp;""),""))))</f>
        <v/>
      </c>
      <c r="F1821" s="58" t="n"/>
      <c r="G1821" s="58" t="n"/>
      <c r="H1821" s="59" t="n"/>
      <c r="I1821" s="57" t="str">
        <f>IF(H1821="","",IFERROR(INDEX(art_des,MATCH(H1821,art_ref,0))&amp;"","Article inconnu"))</f>
        <v/>
      </c>
      <c r="J1821" s="60" t="str">
        <f>IF(H1821="","",IFERROR(INDEX(art_unit,MATCH(H1821,art_ref,0))&amp;"",""))</f>
        <v/>
      </c>
      <c r="K1821" s="59" t="n"/>
      <c r="L1821" s="59" t="n"/>
      <c r="M1821" s="61" t="str">
        <f>IF(OR(B1821="",NOT(ISNUMBER(K1821)),NOT(ISNUMBER(L1821))),"",IF(OR(K1821&lt;=0,L1821&lt;=0),"",ROUND(L1821-K1821,6)))</f>
        <v/>
      </c>
      <c r="N1821" s="58" t="n"/>
      <c r="O1821" s="62" t="n"/>
      <c r="P1821" s="63" t="str">
        <f>IF(OR(B1821="",NOT(ISNUMBER(L1821))),"",IF(L1821&lt;=0,"",IFERROR(ROUND(L1821*N(INDEX(art_w,MATCH(H1821,art_ref,0))),3),"")))</f>
        <v/>
      </c>
      <c r="Q1821" s="59" t="n"/>
      <c r="R1821" s="54" t="n"/>
      <c r="S1821" s="59" t="n"/>
      <c r="T1821" s="59" t="n"/>
      <c r="U1821" s="64" t="str">
        <f>IF(OR(B1821="",H1821=""),"",IFERROR(IF(A1821="BL",IF(N(INDEX(art_price,MATCH(H1821,art_ref,0)))=0,"",N(INDEX(art_price,MATCH(H1821,art_ref,0)))),IF(N(INDEX(art_cost,MATCH(H1821,art_ref,0)))=0,"",N(INDEX(art_cost,MATCH(H1821,art_ref,0))))),""))</f>
        <v/>
      </c>
      <c r="V1821" s="64" t="str">
        <f>IF(OR(U1821="",NOT(ISNUMBER(L1821))),"",IF(L1821&lt;=0,"",ROUND(L1821*U1821,2)))</f>
        <v/>
      </c>
      <c r="W1821" s="60" t="str">
        <f>IF(AND(B1821&lt;&gt;"",A1821&lt;&gt;"BS",F1821&lt;&gt;"",H1821&lt;&gt;"",ISNUMBER(K1821),ISNUMBER(L1821)),IF(AND(K1821&gt;0,L1821&gt;0,K1821-L1821&gt;0,COUNTIFS(A1822:A$2005,A1821,F1822:F$2005,F1821,H1822:H$2005,H1821,AA1822:AA$2005,"&gt;0")=0),ROUND(K1821-L1821,6),""),"")</f>
        <v/>
      </c>
      <c r="X1821" s="60" t="str">
        <f>IF(AND(A1821="",C1821="",D1821="",H1821="",L1821=""),"",IF(A1821="","Type manquant",IF(AND(A1821&lt;&gt;"BL",A1821&lt;&gt;"BR",A1821&lt;&gt;"BS"),"Type inconnu (BL, BR ou BS)",IF(AG1821=0,"Date manquante ou invalide",IF(D1821="",IF(A1821="BL","Client manquant",IF(A1821="BR","Fournisseur manquant","Service manquant")),IF(IF(A1821="BL",ISNA(MATCH(D1821,cl_code,0)),IF(A1821="BR",ISNA(MATCH(D1821,fo_code,0)),ISNA(MATCH(D1821,p_services,0)))),IF(A1821="BL","Client inconnu",IF(A1821="BR","Fournisseur inconnu","Service inconnu")),IF(H1821="","Article manquant",IF(ISNA(MATCH(H1821,art_ref,0)),"Article inconnu",IF(OR(NOT(ISNUMBER(L1821)),N(L1821)&lt;=0),"Quantité invalide",IF(AND(K1821&lt;&gt;"",OR(NOT(ISNUMBER(K1821)),N(K1821)&lt;=0)),"Qté commandée invalide",IF(AG1821&lt;SUMPRODUCT(MAX((A$6:A1820=A1821)*AG$6:AG1820)),"Date antérieure au bon précédent",IF(AND(A1821&lt;&gt;"BR",ISNUMBER(M1821),N(M1821)&gt;0),IF(A1821="BL","Livré plus que commandé","Sorti plus que demandé"),"OK"))))))))))))</f>
        <v/>
      </c>
      <c r="Y1821" s="57" t="str">
        <f>IF(AND(OR(A1821="BL",A1821="BR",A1821="BS"),AG1821&gt;0,D1821&lt;&gt;""),A1821&amp;"|"&amp;AG1821&amp;"|"&amp;D1821&amp;"|"&amp;F1821,"")</f>
        <v/>
      </c>
      <c r="Z1821" s="57" t="str">
        <f>IF(Y1821="","",IF(COUNTIF(Y$6:Y1820,Y1821)=0,1,0))</f>
        <v/>
      </c>
      <c r="AA1821" s="57" t="str">
        <f>IF(Y1821="","",IF(Z1821=1,COUNTIFS(A$6:A1821,A1821,Z$6:Z1821,1),INDEX(AA$6:AA1820,MATCH(Y1821,Y$6:Y1820,0))))</f>
        <v/>
      </c>
      <c r="AB1821" s="57" t="str">
        <f>IF(B1821="","",COUNTIF(B$6:B1821,B1821))</f>
        <v/>
      </c>
      <c r="AC1821" s="57" t="str">
        <f>IF(B1821="","",B1821&amp;"#"&amp;AB1821)</f>
        <v/>
      </c>
      <c r="AD1821" s="57" t="str">
        <f>IF(Z1821=1,A1821&amp;AA1821,"")</f>
        <v/>
      </c>
      <c r="AE1821" s="57" t="str">
        <f>IF(B1821="","",YEAR(C1821))</f>
        <v/>
      </c>
      <c r="AF1821" s="57" t="str">
        <f>IF(B1821="","",MONTH(C1821))</f>
        <v/>
      </c>
      <c r="AG1821" s="57">
        <f>IF(ISNUMBER(C1821),C1821,0)</f>
        <v>0.0</v>
      </c>
      <c r="AH1821" s="57" t="str">
        <f>IF(N(W1821)&gt;0,COUNTIF(W$6:W1821,"&gt;0"),"")</f>
        <v/>
      </c>
      <c r="AI1821" s="57" t="str">
        <f>IF(Z1821=1,COUNTIF(Z$6:Z1821,1),"")</f>
        <v/>
      </c>
    </row>
    <row r="1822">
      <c r="A1822" s="54" t="n"/>
      <c r="B1822" s="55" t="str">
        <f>IF(AA1822="","",A1822&amp;"-"&amp;RIGHT("000"&amp;AA1822,4))</f>
        <v/>
      </c>
      <c r="C1822" s="56" t="n"/>
      <c r="D1822" s="54" t="n"/>
      <c r="E1822" s="57" t="str">
        <f>IF(D1822="","",IF(A1822="BL",IFERROR(INDEX(cl_name,MATCH(D1822,cl_code,0))&amp;"","Client inconnu"),IF(A1822="BR",IFERROR(INDEX(fo_name,MATCH(D1822,fo_code,0))&amp;"","Fournisseur inconnu"),IF(A1822="BS",IF(ISNA(MATCH(D1822,p_services,0)),"Service inconnu",D1822&amp;""),""))))</f>
        <v/>
      </c>
      <c r="F1822" s="58" t="n"/>
      <c r="G1822" s="58" t="n"/>
      <c r="H1822" s="59" t="n"/>
      <c r="I1822" s="57" t="str">
        <f>IF(H1822="","",IFERROR(INDEX(art_des,MATCH(H1822,art_ref,0))&amp;"","Article inconnu"))</f>
        <v/>
      </c>
      <c r="J1822" s="60" t="str">
        <f>IF(H1822="","",IFERROR(INDEX(art_unit,MATCH(H1822,art_ref,0))&amp;"",""))</f>
        <v/>
      </c>
      <c r="K1822" s="59" t="n"/>
      <c r="L1822" s="59" t="n"/>
      <c r="M1822" s="61" t="str">
        <f>IF(OR(B1822="",NOT(ISNUMBER(K1822)),NOT(ISNUMBER(L1822))),"",IF(OR(K1822&lt;=0,L1822&lt;=0),"",ROUND(L1822-K1822,6)))</f>
        <v/>
      </c>
      <c r="N1822" s="58" t="n"/>
      <c r="O1822" s="62" t="n"/>
      <c r="P1822" s="63" t="str">
        <f>IF(OR(B1822="",NOT(ISNUMBER(L1822))),"",IF(L1822&lt;=0,"",IFERROR(ROUND(L1822*N(INDEX(art_w,MATCH(H1822,art_ref,0))),3),"")))</f>
        <v/>
      </c>
      <c r="Q1822" s="59" t="n"/>
      <c r="R1822" s="54" t="n"/>
      <c r="S1822" s="59" t="n"/>
      <c r="T1822" s="59" t="n"/>
      <c r="U1822" s="64" t="str">
        <f>IF(OR(B1822="",H1822=""),"",IFERROR(IF(A1822="BL",IF(N(INDEX(art_price,MATCH(H1822,art_ref,0)))=0,"",N(INDEX(art_price,MATCH(H1822,art_ref,0)))),IF(N(INDEX(art_cost,MATCH(H1822,art_ref,0)))=0,"",N(INDEX(art_cost,MATCH(H1822,art_ref,0))))),""))</f>
        <v/>
      </c>
      <c r="V1822" s="64" t="str">
        <f>IF(OR(U1822="",NOT(ISNUMBER(L1822))),"",IF(L1822&lt;=0,"",ROUND(L1822*U1822,2)))</f>
        <v/>
      </c>
      <c r="W1822" s="60" t="str">
        <f>IF(AND(B1822&lt;&gt;"",A1822&lt;&gt;"BS",F1822&lt;&gt;"",H1822&lt;&gt;"",ISNUMBER(K1822),ISNUMBER(L1822)),IF(AND(K1822&gt;0,L1822&gt;0,K1822-L1822&gt;0,COUNTIFS(A1823:A$2005,A1822,F1823:F$2005,F1822,H1823:H$2005,H1822,AA1823:AA$2005,"&gt;0")=0),ROUND(K1822-L1822,6),""),"")</f>
        <v/>
      </c>
      <c r="X1822" s="60" t="str">
        <f>IF(AND(A1822="",C1822="",D1822="",H1822="",L1822=""),"",IF(A1822="","Type manquant",IF(AND(A1822&lt;&gt;"BL",A1822&lt;&gt;"BR",A1822&lt;&gt;"BS"),"Type inconnu (BL, BR ou BS)",IF(AG1822=0,"Date manquante ou invalide",IF(D1822="",IF(A1822="BL","Client manquant",IF(A1822="BR","Fournisseur manquant","Service manquant")),IF(IF(A1822="BL",ISNA(MATCH(D1822,cl_code,0)),IF(A1822="BR",ISNA(MATCH(D1822,fo_code,0)),ISNA(MATCH(D1822,p_services,0)))),IF(A1822="BL","Client inconnu",IF(A1822="BR","Fournisseur inconnu","Service inconnu")),IF(H1822="","Article manquant",IF(ISNA(MATCH(H1822,art_ref,0)),"Article inconnu",IF(OR(NOT(ISNUMBER(L1822)),N(L1822)&lt;=0),"Quantité invalide",IF(AND(K1822&lt;&gt;"",OR(NOT(ISNUMBER(K1822)),N(K1822)&lt;=0)),"Qté commandée invalide",IF(AG1822&lt;SUMPRODUCT(MAX((A$6:A1821=A1822)*AG$6:AG1821)),"Date antérieure au bon précédent",IF(AND(A1822&lt;&gt;"BR",ISNUMBER(M1822),N(M1822)&gt;0),IF(A1822="BL","Livré plus que commandé","Sorti plus que demandé"),"OK"))))))))))))</f>
        <v/>
      </c>
      <c r="Y1822" s="57" t="str">
        <f>IF(AND(OR(A1822="BL",A1822="BR",A1822="BS"),AG1822&gt;0,D1822&lt;&gt;""),A1822&amp;"|"&amp;AG1822&amp;"|"&amp;D1822&amp;"|"&amp;F1822,"")</f>
        <v/>
      </c>
      <c r="Z1822" s="57" t="str">
        <f>IF(Y1822="","",IF(COUNTIF(Y$6:Y1821,Y1822)=0,1,0))</f>
        <v/>
      </c>
      <c r="AA1822" s="57" t="str">
        <f>IF(Y1822="","",IF(Z1822=1,COUNTIFS(A$6:A1822,A1822,Z$6:Z1822,1),INDEX(AA$6:AA1821,MATCH(Y1822,Y$6:Y1821,0))))</f>
        <v/>
      </c>
      <c r="AB1822" s="57" t="str">
        <f>IF(B1822="","",COUNTIF(B$6:B1822,B1822))</f>
        <v/>
      </c>
      <c r="AC1822" s="57" t="str">
        <f>IF(B1822="","",B1822&amp;"#"&amp;AB1822)</f>
        <v/>
      </c>
      <c r="AD1822" s="57" t="str">
        <f>IF(Z1822=1,A1822&amp;AA1822,"")</f>
        <v/>
      </c>
      <c r="AE1822" s="57" t="str">
        <f>IF(B1822="","",YEAR(C1822))</f>
        <v/>
      </c>
      <c r="AF1822" s="57" t="str">
        <f>IF(B1822="","",MONTH(C1822))</f>
        <v/>
      </c>
      <c r="AG1822" s="57">
        <f>IF(ISNUMBER(C1822),C1822,0)</f>
        <v>0.0</v>
      </c>
      <c r="AH1822" s="57" t="str">
        <f>IF(N(W1822)&gt;0,COUNTIF(W$6:W1822,"&gt;0"),"")</f>
        <v/>
      </c>
      <c r="AI1822" s="57" t="str">
        <f>IF(Z1822=1,COUNTIF(Z$6:Z1822,1),"")</f>
        <v/>
      </c>
    </row>
    <row r="1823">
      <c r="A1823" s="54" t="n"/>
      <c r="B1823" s="55" t="str">
        <f>IF(AA1823="","",A1823&amp;"-"&amp;RIGHT("000"&amp;AA1823,4))</f>
        <v/>
      </c>
      <c r="C1823" s="56" t="n"/>
      <c r="D1823" s="54" t="n"/>
      <c r="E1823" s="57" t="str">
        <f>IF(D1823="","",IF(A1823="BL",IFERROR(INDEX(cl_name,MATCH(D1823,cl_code,0))&amp;"","Client inconnu"),IF(A1823="BR",IFERROR(INDEX(fo_name,MATCH(D1823,fo_code,0))&amp;"","Fournisseur inconnu"),IF(A1823="BS",IF(ISNA(MATCH(D1823,p_services,0)),"Service inconnu",D1823&amp;""),""))))</f>
        <v/>
      </c>
      <c r="F1823" s="58" t="n"/>
      <c r="G1823" s="58" t="n"/>
      <c r="H1823" s="59" t="n"/>
      <c r="I1823" s="57" t="str">
        <f>IF(H1823="","",IFERROR(INDEX(art_des,MATCH(H1823,art_ref,0))&amp;"","Article inconnu"))</f>
        <v/>
      </c>
      <c r="J1823" s="60" t="str">
        <f>IF(H1823="","",IFERROR(INDEX(art_unit,MATCH(H1823,art_ref,0))&amp;"",""))</f>
        <v/>
      </c>
      <c r="K1823" s="59" t="n"/>
      <c r="L1823" s="59" t="n"/>
      <c r="M1823" s="61" t="str">
        <f>IF(OR(B1823="",NOT(ISNUMBER(K1823)),NOT(ISNUMBER(L1823))),"",IF(OR(K1823&lt;=0,L1823&lt;=0),"",ROUND(L1823-K1823,6)))</f>
        <v/>
      </c>
      <c r="N1823" s="58" t="n"/>
      <c r="O1823" s="62" t="n"/>
      <c r="P1823" s="63" t="str">
        <f>IF(OR(B1823="",NOT(ISNUMBER(L1823))),"",IF(L1823&lt;=0,"",IFERROR(ROUND(L1823*N(INDEX(art_w,MATCH(H1823,art_ref,0))),3),"")))</f>
        <v/>
      </c>
      <c r="Q1823" s="59" t="n"/>
      <c r="R1823" s="54" t="n"/>
      <c r="S1823" s="59" t="n"/>
      <c r="T1823" s="59" t="n"/>
      <c r="U1823" s="64" t="str">
        <f>IF(OR(B1823="",H1823=""),"",IFERROR(IF(A1823="BL",IF(N(INDEX(art_price,MATCH(H1823,art_ref,0)))=0,"",N(INDEX(art_price,MATCH(H1823,art_ref,0)))),IF(N(INDEX(art_cost,MATCH(H1823,art_ref,0)))=0,"",N(INDEX(art_cost,MATCH(H1823,art_ref,0))))),""))</f>
        <v/>
      </c>
      <c r="V1823" s="64" t="str">
        <f>IF(OR(U1823="",NOT(ISNUMBER(L1823))),"",IF(L1823&lt;=0,"",ROUND(L1823*U1823,2)))</f>
        <v/>
      </c>
      <c r="W1823" s="60" t="str">
        <f>IF(AND(B1823&lt;&gt;"",A1823&lt;&gt;"BS",F1823&lt;&gt;"",H1823&lt;&gt;"",ISNUMBER(K1823),ISNUMBER(L1823)),IF(AND(K1823&gt;0,L1823&gt;0,K1823-L1823&gt;0,COUNTIFS(A1824:A$2005,A1823,F1824:F$2005,F1823,H1824:H$2005,H1823,AA1824:AA$2005,"&gt;0")=0),ROUND(K1823-L1823,6),""),"")</f>
        <v/>
      </c>
      <c r="X1823" s="60" t="str">
        <f>IF(AND(A1823="",C1823="",D1823="",H1823="",L1823=""),"",IF(A1823="","Type manquant",IF(AND(A1823&lt;&gt;"BL",A1823&lt;&gt;"BR",A1823&lt;&gt;"BS"),"Type inconnu (BL, BR ou BS)",IF(AG1823=0,"Date manquante ou invalide",IF(D1823="",IF(A1823="BL","Client manquant",IF(A1823="BR","Fournisseur manquant","Service manquant")),IF(IF(A1823="BL",ISNA(MATCH(D1823,cl_code,0)),IF(A1823="BR",ISNA(MATCH(D1823,fo_code,0)),ISNA(MATCH(D1823,p_services,0)))),IF(A1823="BL","Client inconnu",IF(A1823="BR","Fournisseur inconnu","Service inconnu")),IF(H1823="","Article manquant",IF(ISNA(MATCH(H1823,art_ref,0)),"Article inconnu",IF(OR(NOT(ISNUMBER(L1823)),N(L1823)&lt;=0),"Quantité invalide",IF(AND(K1823&lt;&gt;"",OR(NOT(ISNUMBER(K1823)),N(K1823)&lt;=0)),"Qté commandée invalide",IF(AG1823&lt;SUMPRODUCT(MAX((A$6:A1822=A1823)*AG$6:AG1822)),"Date antérieure au bon précédent",IF(AND(A1823&lt;&gt;"BR",ISNUMBER(M1823),N(M1823)&gt;0),IF(A1823="BL","Livré plus que commandé","Sorti plus que demandé"),"OK"))))))))))))</f>
        <v/>
      </c>
      <c r="Y1823" s="57" t="str">
        <f>IF(AND(OR(A1823="BL",A1823="BR",A1823="BS"),AG1823&gt;0,D1823&lt;&gt;""),A1823&amp;"|"&amp;AG1823&amp;"|"&amp;D1823&amp;"|"&amp;F1823,"")</f>
        <v/>
      </c>
      <c r="Z1823" s="57" t="str">
        <f>IF(Y1823="","",IF(COUNTIF(Y$6:Y1822,Y1823)=0,1,0))</f>
        <v/>
      </c>
      <c r="AA1823" s="57" t="str">
        <f>IF(Y1823="","",IF(Z1823=1,COUNTIFS(A$6:A1823,A1823,Z$6:Z1823,1),INDEX(AA$6:AA1822,MATCH(Y1823,Y$6:Y1822,0))))</f>
        <v/>
      </c>
      <c r="AB1823" s="57" t="str">
        <f>IF(B1823="","",COUNTIF(B$6:B1823,B1823))</f>
        <v/>
      </c>
      <c r="AC1823" s="57" t="str">
        <f>IF(B1823="","",B1823&amp;"#"&amp;AB1823)</f>
        <v/>
      </c>
      <c r="AD1823" s="57" t="str">
        <f>IF(Z1823=1,A1823&amp;AA1823,"")</f>
        <v/>
      </c>
      <c r="AE1823" s="57" t="str">
        <f>IF(B1823="","",YEAR(C1823))</f>
        <v/>
      </c>
      <c r="AF1823" s="57" t="str">
        <f>IF(B1823="","",MONTH(C1823))</f>
        <v/>
      </c>
      <c r="AG1823" s="57">
        <f>IF(ISNUMBER(C1823),C1823,0)</f>
        <v>0.0</v>
      </c>
      <c r="AH1823" s="57" t="str">
        <f>IF(N(W1823)&gt;0,COUNTIF(W$6:W1823,"&gt;0"),"")</f>
        <v/>
      </c>
      <c r="AI1823" s="57" t="str">
        <f>IF(Z1823=1,COUNTIF(Z$6:Z1823,1),"")</f>
        <v/>
      </c>
    </row>
    <row r="1824">
      <c r="A1824" s="54" t="n"/>
      <c r="B1824" s="55" t="str">
        <f>IF(AA1824="","",A1824&amp;"-"&amp;RIGHT("000"&amp;AA1824,4))</f>
        <v/>
      </c>
      <c r="C1824" s="56" t="n"/>
      <c r="D1824" s="54" t="n"/>
      <c r="E1824" s="57" t="str">
        <f>IF(D1824="","",IF(A1824="BL",IFERROR(INDEX(cl_name,MATCH(D1824,cl_code,0))&amp;"","Client inconnu"),IF(A1824="BR",IFERROR(INDEX(fo_name,MATCH(D1824,fo_code,0))&amp;"","Fournisseur inconnu"),IF(A1824="BS",IF(ISNA(MATCH(D1824,p_services,0)),"Service inconnu",D1824&amp;""),""))))</f>
        <v/>
      </c>
      <c r="F1824" s="58" t="n"/>
      <c r="G1824" s="58" t="n"/>
      <c r="H1824" s="59" t="n"/>
      <c r="I1824" s="57" t="str">
        <f>IF(H1824="","",IFERROR(INDEX(art_des,MATCH(H1824,art_ref,0))&amp;"","Article inconnu"))</f>
        <v/>
      </c>
      <c r="J1824" s="60" t="str">
        <f>IF(H1824="","",IFERROR(INDEX(art_unit,MATCH(H1824,art_ref,0))&amp;"",""))</f>
        <v/>
      </c>
      <c r="K1824" s="59" t="n"/>
      <c r="L1824" s="59" t="n"/>
      <c r="M1824" s="61" t="str">
        <f>IF(OR(B1824="",NOT(ISNUMBER(K1824)),NOT(ISNUMBER(L1824))),"",IF(OR(K1824&lt;=0,L1824&lt;=0),"",ROUND(L1824-K1824,6)))</f>
        <v/>
      </c>
      <c r="N1824" s="58" t="n"/>
      <c r="O1824" s="62" t="n"/>
      <c r="P1824" s="63" t="str">
        <f>IF(OR(B1824="",NOT(ISNUMBER(L1824))),"",IF(L1824&lt;=0,"",IFERROR(ROUND(L1824*N(INDEX(art_w,MATCH(H1824,art_ref,0))),3),"")))</f>
        <v/>
      </c>
      <c r="Q1824" s="59" t="n"/>
      <c r="R1824" s="54" t="n"/>
      <c r="S1824" s="59" t="n"/>
      <c r="T1824" s="59" t="n"/>
      <c r="U1824" s="64" t="str">
        <f>IF(OR(B1824="",H1824=""),"",IFERROR(IF(A1824="BL",IF(N(INDEX(art_price,MATCH(H1824,art_ref,0)))=0,"",N(INDEX(art_price,MATCH(H1824,art_ref,0)))),IF(N(INDEX(art_cost,MATCH(H1824,art_ref,0)))=0,"",N(INDEX(art_cost,MATCH(H1824,art_ref,0))))),""))</f>
        <v/>
      </c>
      <c r="V1824" s="64" t="str">
        <f>IF(OR(U1824="",NOT(ISNUMBER(L1824))),"",IF(L1824&lt;=0,"",ROUND(L1824*U1824,2)))</f>
        <v/>
      </c>
      <c r="W1824" s="60" t="str">
        <f>IF(AND(B1824&lt;&gt;"",A1824&lt;&gt;"BS",F1824&lt;&gt;"",H1824&lt;&gt;"",ISNUMBER(K1824),ISNUMBER(L1824)),IF(AND(K1824&gt;0,L1824&gt;0,K1824-L1824&gt;0,COUNTIFS(A1825:A$2005,A1824,F1825:F$2005,F1824,H1825:H$2005,H1824,AA1825:AA$2005,"&gt;0")=0),ROUND(K1824-L1824,6),""),"")</f>
        <v/>
      </c>
      <c r="X1824" s="60" t="str">
        <f>IF(AND(A1824="",C1824="",D1824="",H1824="",L1824=""),"",IF(A1824="","Type manquant",IF(AND(A1824&lt;&gt;"BL",A1824&lt;&gt;"BR",A1824&lt;&gt;"BS"),"Type inconnu (BL, BR ou BS)",IF(AG1824=0,"Date manquante ou invalide",IF(D1824="",IF(A1824="BL","Client manquant",IF(A1824="BR","Fournisseur manquant","Service manquant")),IF(IF(A1824="BL",ISNA(MATCH(D1824,cl_code,0)),IF(A1824="BR",ISNA(MATCH(D1824,fo_code,0)),ISNA(MATCH(D1824,p_services,0)))),IF(A1824="BL","Client inconnu",IF(A1824="BR","Fournisseur inconnu","Service inconnu")),IF(H1824="","Article manquant",IF(ISNA(MATCH(H1824,art_ref,0)),"Article inconnu",IF(OR(NOT(ISNUMBER(L1824)),N(L1824)&lt;=0),"Quantité invalide",IF(AND(K1824&lt;&gt;"",OR(NOT(ISNUMBER(K1824)),N(K1824)&lt;=0)),"Qté commandée invalide",IF(AG1824&lt;SUMPRODUCT(MAX((A$6:A1823=A1824)*AG$6:AG1823)),"Date antérieure au bon précédent",IF(AND(A1824&lt;&gt;"BR",ISNUMBER(M1824),N(M1824)&gt;0),IF(A1824="BL","Livré plus que commandé","Sorti plus que demandé"),"OK"))))))))))))</f>
        <v/>
      </c>
      <c r="Y1824" s="57" t="str">
        <f>IF(AND(OR(A1824="BL",A1824="BR",A1824="BS"),AG1824&gt;0,D1824&lt;&gt;""),A1824&amp;"|"&amp;AG1824&amp;"|"&amp;D1824&amp;"|"&amp;F1824,"")</f>
        <v/>
      </c>
      <c r="Z1824" s="57" t="str">
        <f>IF(Y1824="","",IF(COUNTIF(Y$6:Y1823,Y1824)=0,1,0))</f>
        <v/>
      </c>
      <c r="AA1824" s="57" t="str">
        <f>IF(Y1824="","",IF(Z1824=1,COUNTIFS(A$6:A1824,A1824,Z$6:Z1824,1),INDEX(AA$6:AA1823,MATCH(Y1824,Y$6:Y1823,0))))</f>
        <v/>
      </c>
      <c r="AB1824" s="57" t="str">
        <f>IF(B1824="","",COUNTIF(B$6:B1824,B1824))</f>
        <v/>
      </c>
      <c r="AC1824" s="57" t="str">
        <f>IF(B1824="","",B1824&amp;"#"&amp;AB1824)</f>
        <v/>
      </c>
      <c r="AD1824" s="57" t="str">
        <f>IF(Z1824=1,A1824&amp;AA1824,"")</f>
        <v/>
      </c>
      <c r="AE1824" s="57" t="str">
        <f>IF(B1824="","",YEAR(C1824))</f>
        <v/>
      </c>
      <c r="AF1824" s="57" t="str">
        <f>IF(B1824="","",MONTH(C1824))</f>
        <v/>
      </c>
      <c r="AG1824" s="57">
        <f>IF(ISNUMBER(C1824),C1824,0)</f>
        <v>0.0</v>
      </c>
      <c r="AH1824" s="57" t="str">
        <f>IF(N(W1824)&gt;0,COUNTIF(W$6:W1824,"&gt;0"),"")</f>
        <v/>
      </c>
      <c r="AI1824" s="57" t="str">
        <f>IF(Z1824=1,COUNTIF(Z$6:Z1824,1),"")</f>
        <v/>
      </c>
    </row>
    <row r="1825">
      <c r="A1825" s="54" t="n"/>
      <c r="B1825" s="55" t="str">
        <f>IF(AA1825="","",A1825&amp;"-"&amp;RIGHT("000"&amp;AA1825,4))</f>
        <v/>
      </c>
      <c r="C1825" s="56" t="n"/>
      <c r="D1825" s="54" t="n"/>
      <c r="E1825" s="57" t="str">
        <f>IF(D1825="","",IF(A1825="BL",IFERROR(INDEX(cl_name,MATCH(D1825,cl_code,0))&amp;"","Client inconnu"),IF(A1825="BR",IFERROR(INDEX(fo_name,MATCH(D1825,fo_code,0))&amp;"","Fournisseur inconnu"),IF(A1825="BS",IF(ISNA(MATCH(D1825,p_services,0)),"Service inconnu",D1825&amp;""),""))))</f>
        <v/>
      </c>
      <c r="F1825" s="58" t="n"/>
      <c r="G1825" s="58" t="n"/>
      <c r="H1825" s="59" t="n"/>
      <c r="I1825" s="57" t="str">
        <f>IF(H1825="","",IFERROR(INDEX(art_des,MATCH(H1825,art_ref,0))&amp;"","Article inconnu"))</f>
        <v/>
      </c>
      <c r="J1825" s="60" t="str">
        <f>IF(H1825="","",IFERROR(INDEX(art_unit,MATCH(H1825,art_ref,0))&amp;"",""))</f>
        <v/>
      </c>
      <c r="K1825" s="59" t="n"/>
      <c r="L1825" s="59" t="n"/>
      <c r="M1825" s="61" t="str">
        <f>IF(OR(B1825="",NOT(ISNUMBER(K1825)),NOT(ISNUMBER(L1825))),"",IF(OR(K1825&lt;=0,L1825&lt;=0),"",ROUND(L1825-K1825,6)))</f>
        <v/>
      </c>
      <c r="N1825" s="58" t="n"/>
      <c r="O1825" s="62" t="n"/>
      <c r="P1825" s="63" t="str">
        <f>IF(OR(B1825="",NOT(ISNUMBER(L1825))),"",IF(L1825&lt;=0,"",IFERROR(ROUND(L1825*N(INDEX(art_w,MATCH(H1825,art_ref,0))),3),"")))</f>
        <v/>
      </c>
      <c r="Q1825" s="59" t="n"/>
      <c r="R1825" s="54" t="n"/>
      <c r="S1825" s="59" t="n"/>
      <c r="T1825" s="59" t="n"/>
      <c r="U1825" s="64" t="str">
        <f>IF(OR(B1825="",H1825=""),"",IFERROR(IF(A1825="BL",IF(N(INDEX(art_price,MATCH(H1825,art_ref,0)))=0,"",N(INDEX(art_price,MATCH(H1825,art_ref,0)))),IF(N(INDEX(art_cost,MATCH(H1825,art_ref,0)))=0,"",N(INDEX(art_cost,MATCH(H1825,art_ref,0))))),""))</f>
        <v/>
      </c>
      <c r="V1825" s="64" t="str">
        <f>IF(OR(U1825="",NOT(ISNUMBER(L1825))),"",IF(L1825&lt;=0,"",ROUND(L1825*U1825,2)))</f>
        <v/>
      </c>
      <c r="W1825" s="60" t="str">
        <f>IF(AND(B1825&lt;&gt;"",A1825&lt;&gt;"BS",F1825&lt;&gt;"",H1825&lt;&gt;"",ISNUMBER(K1825),ISNUMBER(L1825)),IF(AND(K1825&gt;0,L1825&gt;0,K1825-L1825&gt;0,COUNTIFS(A1826:A$2005,A1825,F1826:F$2005,F1825,H1826:H$2005,H1825,AA1826:AA$2005,"&gt;0")=0),ROUND(K1825-L1825,6),""),"")</f>
        <v/>
      </c>
      <c r="X1825" s="60" t="str">
        <f>IF(AND(A1825="",C1825="",D1825="",H1825="",L1825=""),"",IF(A1825="","Type manquant",IF(AND(A1825&lt;&gt;"BL",A1825&lt;&gt;"BR",A1825&lt;&gt;"BS"),"Type inconnu (BL, BR ou BS)",IF(AG1825=0,"Date manquante ou invalide",IF(D1825="",IF(A1825="BL","Client manquant",IF(A1825="BR","Fournisseur manquant","Service manquant")),IF(IF(A1825="BL",ISNA(MATCH(D1825,cl_code,0)),IF(A1825="BR",ISNA(MATCH(D1825,fo_code,0)),ISNA(MATCH(D1825,p_services,0)))),IF(A1825="BL","Client inconnu",IF(A1825="BR","Fournisseur inconnu","Service inconnu")),IF(H1825="","Article manquant",IF(ISNA(MATCH(H1825,art_ref,0)),"Article inconnu",IF(OR(NOT(ISNUMBER(L1825)),N(L1825)&lt;=0),"Quantité invalide",IF(AND(K1825&lt;&gt;"",OR(NOT(ISNUMBER(K1825)),N(K1825)&lt;=0)),"Qté commandée invalide",IF(AG1825&lt;SUMPRODUCT(MAX((A$6:A1824=A1825)*AG$6:AG1824)),"Date antérieure au bon précédent",IF(AND(A1825&lt;&gt;"BR",ISNUMBER(M1825),N(M1825)&gt;0),IF(A1825="BL","Livré plus que commandé","Sorti plus que demandé"),"OK"))))))))))))</f>
        <v/>
      </c>
      <c r="Y1825" s="57" t="str">
        <f>IF(AND(OR(A1825="BL",A1825="BR",A1825="BS"),AG1825&gt;0,D1825&lt;&gt;""),A1825&amp;"|"&amp;AG1825&amp;"|"&amp;D1825&amp;"|"&amp;F1825,"")</f>
        <v/>
      </c>
      <c r="Z1825" s="57" t="str">
        <f>IF(Y1825="","",IF(COUNTIF(Y$6:Y1824,Y1825)=0,1,0))</f>
        <v/>
      </c>
      <c r="AA1825" s="57" t="str">
        <f>IF(Y1825="","",IF(Z1825=1,COUNTIFS(A$6:A1825,A1825,Z$6:Z1825,1),INDEX(AA$6:AA1824,MATCH(Y1825,Y$6:Y1824,0))))</f>
        <v/>
      </c>
      <c r="AB1825" s="57" t="str">
        <f>IF(B1825="","",COUNTIF(B$6:B1825,B1825))</f>
        <v/>
      </c>
      <c r="AC1825" s="57" t="str">
        <f>IF(B1825="","",B1825&amp;"#"&amp;AB1825)</f>
        <v/>
      </c>
      <c r="AD1825" s="57" t="str">
        <f>IF(Z1825=1,A1825&amp;AA1825,"")</f>
        <v/>
      </c>
      <c r="AE1825" s="57" t="str">
        <f>IF(B1825="","",YEAR(C1825))</f>
        <v/>
      </c>
      <c r="AF1825" s="57" t="str">
        <f>IF(B1825="","",MONTH(C1825))</f>
        <v/>
      </c>
      <c r="AG1825" s="57">
        <f>IF(ISNUMBER(C1825),C1825,0)</f>
        <v>0.0</v>
      </c>
      <c r="AH1825" s="57" t="str">
        <f>IF(N(W1825)&gt;0,COUNTIF(W$6:W1825,"&gt;0"),"")</f>
        <v/>
      </c>
      <c r="AI1825" s="57" t="str">
        <f>IF(Z1825=1,COUNTIF(Z$6:Z1825,1),"")</f>
        <v/>
      </c>
    </row>
    <row r="1826">
      <c r="A1826" s="54" t="n"/>
      <c r="B1826" s="55" t="str">
        <f>IF(AA1826="","",A1826&amp;"-"&amp;RIGHT("000"&amp;AA1826,4))</f>
        <v/>
      </c>
      <c r="C1826" s="56" t="n"/>
      <c r="D1826" s="54" t="n"/>
      <c r="E1826" s="57" t="str">
        <f>IF(D1826="","",IF(A1826="BL",IFERROR(INDEX(cl_name,MATCH(D1826,cl_code,0))&amp;"","Client inconnu"),IF(A1826="BR",IFERROR(INDEX(fo_name,MATCH(D1826,fo_code,0))&amp;"","Fournisseur inconnu"),IF(A1826="BS",IF(ISNA(MATCH(D1826,p_services,0)),"Service inconnu",D1826&amp;""),""))))</f>
        <v/>
      </c>
      <c r="F1826" s="58" t="n"/>
      <c r="G1826" s="58" t="n"/>
      <c r="H1826" s="59" t="n"/>
      <c r="I1826" s="57" t="str">
        <f>IF(H1826="","",IFERROR(INDEX(art_des,MATCH(H1826,art_ref,0))&amp;"","Article inconnu"))</f>
        <v/>
      </c>
      <c r="J1826" s="60" t="str">
        <f>IF(H1826="","",IFERROR(INDEX(art_unit,MATCH(H1826,art_ref,0))&amp;"",""))</f>
        <v/>
      </c>
      <c r="K1826" s="59" t="n"/>
      <c r="L1826" s="59" t="n"/>
      <c r="M1826" s="61" t="str">
        <f>IF(OR(B1826="",NOT(ISNUMBER(K1826)),NOT(ISNUMBER(L1826))),"",IF(OR(K1826&lt;=0,L1826&lt;=0),"",ROUND(L1826-K1826,6)))</f>
        <v/>
      </c>
      <c r="N1826" s="58" t="n"/>
      <c r="O1826" s="62" t="n"/>
      <c r="P1826" s="63" t="str">
        <f>IF(OR(B1826="",NOT(ISNUMBER(L1826))),"",IF(L1826&lt;=0,"",IFERROR(ROUND(L1826*N(INDEX(art_w,MATCH(H1826,art_ref,0))),3),"")))</f>
        <v/>
      </c>
      <c r="Q1826" s="59" t="n"/>
      <c r="R1826" s="54" t="n"/>
      <c r="S1826" s="59" t="n"/>
      <c r="T1826" s="59" t="n"/>
      <c r="U1826" s="64" t="str">
        <f>IF(OR(B1826="",H1826=""),"",IFERROR(IF(A1826="BL",IF(N(INDEX(art_price,MATCH(H1826,art_ref,0)))=0,"",N(INDEX(art_price,MATCH(H1826,art_ref,0)))),IF(N(INDEX(art_cost,MATCH(H1826,art_ref,0)))=0,"",N(INDEX(art_cost,MATCH(H1826,art_ref,0))))),""))</f>
        <v/>
      </c>
      <c r="V1826" s="64" t="str">
        <f>IF(OR(U1826="",NOT(ISNUMBER(L1826))),"",IF(L1826&lt;=0,"",ROUND(L1826*U1826,2)))</f>
        <v/>
      </c>
      <c r="W1826" s="60" t="str">
        <f>IF(AND(B1826&lt;&gt;"",A1826&lt;&gt;"BS",F1826&lt;&gt;"",H1826&lt;&gt;"",ISNUMBER(K1826),ISNUMBER(L1826)),IF(AND(K1826&gt;0,L1826&gt;0,K1826-L1826&gt;0,COUNTIFS(A1827:A$2005,A1826,F1827:F$2005,F1826,H1827:H$2005,H1826,AA1827:AA$2005,"&gt;0")=0),ROUND(K1826-L1826,6),""),"")</f>
        <v/>
      </c>
      <c r="X1826" s="60" t="str">
        <f>IF(AND(A1826="",C1826="",D1826="",H1826="",L1826=""),"",IF(A1826="","Type manquant",IF(AND(A1826&lt;&gt;"BL",A1826&lt;&gt;"BR",A1826&lt;&gt;"BS"),"Type inconnu (BL, BR ou BS)",IF(AG1826=0,"Date manquante ou invalide",IF(D1826="",IF(A1826="BL","Client manquant",IF(A1826="BR","Fournisseur manquant","Service manquant")),IF(IF(A1826="BL",ISNA(MATCH(D1826,cl_code,0)),IF(A1826="BR",ISNA(MATCH(D1826,fo_code,0)),ISNA(MATCH(D1826,p_services,0)))),IF(A1826="BL","Client inconnu",IF(A1826="BR","Fournisseur inconnu","Service inconnu")),IF(H1826="","Article manquant",IF(ISNA(MATCH(H1826,art_ref,0)),"Article inconnu",IF(OR(NOT(ISNUMBER(L1826)),N(L1826)&lt;=0),"Quantité invalide",IF(AND(K1826&lt;&gt;"",OR(NOT(ISNUMBER(K1826)),N(K1826)&lt;=0)),"Qté commandée invalide",IF(AG1826&lt;SUMPRODUCT(MAX((A$6:A1825=A1826)*AG$6:AG1825)),"Date antérieure au bon précédent",IF(AND(A1826&lt;&gt;"BR",ISNUMBER(M1826),N(M1826)&gt;0),IF(A1826="BL","Livré plus que commandé","Sorti plus que demandé"),"OK"))))))))))))</f>
        <v/>
      </c>
      <c r="Y1826" s="57" t="str">
        <f>IF(AND(OR(A1826="BL",A1826="BR",A1826="BS"),AG1826&gt;0,D1826&lt;&gt;""),A1826&amp;"|"&amp;AG1826&amp;"|"&amp;D1826&amp;"|"&amp;F1826,"")</f>
        <v/>
      </c>
      <c r="Z1826" s="57" t="str">
        <f>IF(Y1826="","",IF(COUNTIF(Y$6:Y1825,Y1826)=0,1,0))</f>
        <v/>
      </c>
      <c r="AA1826" s="57" t="str">
        <f>IF(Y1826="","",IF(Z1826=1,COUNTIFS(A$6:A1826,A1826,Z$6:Z1826,1),INDEX(AA$6:AA1825,MATCH(Y1826,Y$6:Y1825,0))))</f>
        <v/>
      </c>
      <c r="AB1826" s="57" t="str">
        <f>IF(B1826="","",COUNTIF(B$6:B1826,B1826))</f>
        <v/>
      </c>
      <c r="AC1826" s="57" t="str">
        <f>IF(B1826="","",B1826&amp;"#"&amp;AB1826)</f>
        <v/>
      </c>
      <c r="AD1826" s="57" t="str">
        <f>IF(Z1826=1,A1826&amp;AA1826,"")</f>
        <v/>
      </c>
      <c r="AE1826" s="57" t="str">
        <f>IF(B1826="","",YEAR(C1826))</f>
        <v/>
      </c>
      <c r="AF1826" s="57" t="str">
        <f>IF(B1826="","",MONTH(C1826))</f>
        <v/>
      </c>
      <c r="AG1826" s="57">
        <f>IF(ISNUMBER(C1826),C1826,0)</f>
        <v>0.0</v>
      </c>
      <c r="AH1826" s="57" t="str">
        <f>IF(N(W1826)&gt;0,COUNTIF(W$6:W1826,"&gt;0"),"")</f>
        <v/>
      </c>
      <c r="AI1826" s="57" t="str">
        <f>IF(Z1826=1,COUNTIF(Z$6:Z1826,1),"")</f>
        <v/>
      </c>
    </row>
    <row r="1827">
      <c r="A1827" s="54" t="n"/>
      <c r="B1827" s="55" t="str">
        <f>IF(AA1827="","",A1827&amp;"-"&amp;RIGHT("000"&amp;AA1827,4))</f>
        <v/>
      </c>
      <c r="C1827" s="56" t="n"/>
      <c r="D1827" s="54" t="n"/>
      <c r="E1827" s="57" t="str">
        <f>IF(D1827="","",IF(A1827="BL",IFERROR(INDEX(cl_name,MATCH(D1827,cl_code,0))&amp;"","Client inconnu"),IF(A1827="BR",IFERROR(INDEX(fo_name,MATCH(D1827,fo_code,0))&amp;"","Fournisseur inconnu"),IF(A1827="BS",IF(ISNA(MATCH(D1827,p_services,0)),"Service inconnu",D1827&amp;""),""))))</f>
        <v/>
      </c>
      <c r="F1827" s="58" t="n"/>
      <c r="G1827" s="58" t="n"/>
      <c r="H1827" s="59" t="n"/>
      <c r="I1827" s="57" t="str">
        <f>IF(H1827="","",IFERROR(INDEX(art_des,MATCH(H1827,art_ref,0))&amp;"","Article inconnu"))</f>
        <v/>
      </c>
      <c r="J1827" s="60" t="str">
        <f>IF(H1827="","",IFERROR(INDEX(art_unit,MATCH(H1827,art_ref,0))&amp;"",""))</f>
        <v/>
      </c>
      <c r="K1827" s="59" t="n"/>
      <c r="L1827" s="59" t="n"/>
      <c r="M1827" s="61" t="str">
        <f>IF(OR(B1827="",NOT(ISNUMBER(K1827)),NOT(ISNUMBER(L1827))),"",IF(OR(K1827&lt;=0,L1827&lt;=0),"",ROUND(L1827-K1827,6)))</f>
        <v/>
      </c>
      <c r="N1827" s="58" t="n"/>
      <c r="O1827" s="62" t="n"/>
      <c r="P1827" s="63" t="str">
        <f>IF(OR(B1827="",NOT(ISNUMBER(L1827))),"",IF(L1827&lt;=0,"",IFERROR(ROUND(L1827*N(INDEX(art_w,MATCH(H1827,art_ref,0))),3),"")))</f>
        <v/>
      </c>
      <c r="Q1827" s="59" t="n"/>
      <c r="R1827" s="54" t="n"/>
      <c r="S1827" s="59" t="n"/>
      <c r="T1827" s="59" t="n"/>
      <c r="U1827" s="64" t="str">
        <f>IF(OR(B1827="",H1827=""),"",IFERROR(IF(A1827="BL",IF(N(INDEX(art_price,MATCH(H1827,art_ref,0)))=0,"",N(INDEX(art_price,MATCH(H1827,art_ref,0)))),IF(N(INDEX(art_cost,MATCH(H1827,art_ref,0)))=0,"",N(INDEX(art_cost,MATCH(H1827,art_ref,0))))),""))</f>
        <v/>
      </c>
      <c r="V1827" s="64" t="str">
        <f>IF(OR(U1827="",NOT(ISNUMBER(L1827))),"",IF(L1827&lt;=0,"",ROUND(L1827*U1827,2)))</f>
        <v/>
      </c>
      <c r="W1827" s="60" t="str">
        <f>IF(AND(B1827&lt;&gt;"",A1827&lt;&gt;"BS",F1827&lt;&gt;"",H1827&lt;&gt;"",ISNUMBER(K1827),ISNUMBER(L1827)),IF(AND(K1827&gt;0,L1827&gt;0,K1827-L1827&gt;0,COUNTIFS(A1828:A$2005,A1827,F1828:F$2005,F1827,H1828:H$2005,H1827,AA1828:AA$2005,"&gt;0")=0),ROUND(K1827-L1827,6),""),"")</f>
        <v/>
      </c>
      <c r="X1827" s="60" t="str">
        <f>IF(AND(A1827="",C1827="",D1827="",H1827="",L1827=""),"",IF(A1827="","Type manquant",IF(AND(A1827&lt;&gt;"BL",A1827&lt;&gt;"BR",A1827&lt;&gt;"BS"),"Type inconnu (BL, BR ou BS)",IF(AG1827=0,"Date manquante ou invalide",IF(D1827="",IF(A1827="BL","Client manquant",IF(A1827="BR","Fournisseur manquant","Service manquant")),IF(IF(A1827="BL",ISNA(MATCH(D1827,cl_code,0)),IF(A1827="BR",ISNA(MATCH(D1827,fo_code,0)),ISNA(MATCH(D1827,p_services,0)))),IF(A1827="BL","Client inconnu",IF(A1827="BR","Fournisseur inconnu","Service inconnu")),IF(H1827="","Article manquant",IF(ISNA(MATCH(H1827,art_ref,0)),"Article inconnu",IF(OR(NOT(ISNUMBER(L1827)),N(L1827)&lt;=0),"Quantité invalide",IF(AND(K1827&lt;&gt;"",OR(NOT(ISNUMBER(K1827)),N(K1827)&lt;=0)),"Qté commandée invalide",IF(AG1827&lt;SUMPRODUCT(MAX((A$6:A1826=A1827)*AG$6:AG1826)),"Date antérieure au bon précédent",IF(AND(A1827&lt;&gt;"BR",ISNUMBER(M1827),N(M1827)&gt;0),IF(A1827="BL","Livré plus que commandé","Sorti plus que demandé"),"OK"))))))))))))</f>
        <v/>
      </c>
      <c r="Y1827" s="57" t="str">
        <f>IF(AND(OR(A1827="BL",A1827="BR",A1827="BS"),AG1827&gt;0,D1827&lt;&gt;""),A1827&amp;"|"&amp;AG1827&amp;"|"&amp;D1827&amp;"|"&amp;F1827,"")</f>
        <v/>
      </c>
      <c r="Z1827" s="57" t="str">
        <f>IF(Y1827="","",IF(COUNTIF(Y$6:Y1826,Y1827)=0,1,0))</f>
        <v/>
      </c>
      <c r="AA1827" s="57" t="str">
        <f>IF(Y1827="","",IF(Z1827=1,COUNTIFS(A$6:A1827,A1827,Z$6:Z1827,1),INDEX(AA$6:AA1826,MATCH(Y1827,Y$6:Y1826,0))))</f>
        <v/>
      </c>
      <c r="AB1827" s="57" t="str">
        <f>IF(B1827="","",COUNTIF(B$6:B1827,B1827))</f>
        <v/>
      </c>
      <c r="AC1827" s="57" t="str">
        <f>IF(B1827="","",B1827&amp;"#"&amp;AB1827)</f>
        <v/>
      </c>
      <c r="AD1827" s="57" t="str">
        <f>IF(Z1827=1,A1827&amp;AA1827,"")</f>
        <v/>
      </c>
      <c r="AE1827" s="57" t="str">
        <f>IF(B1827="","",YEAR(C1827))</f>
        <v/>
      </c>
      <c r="AF1827" s="57" t="str">
        <f>IF(B1827="","",MONTH(C1827))</f>
        <v/>
      </c>
      <c r="AG1827" s="57">
        <f>IF(ISNUMBER(C1827),C1827,0)</f>
        <v>0.0</v>
      </c>
      <c r="AH1827" s="57" t="str">
        <f>IF(N(W1827)&gt;0,COUNTIF(W$6:W1827,"&gt;0"),"")</f>
        <v/>
      </c>
      <c r="AI1827" s="57" t="str">
        <f>IF(Z1827=1,COUNTIF(Z$6:Z1827,1),"")</f>
        <v/>
      </c>
    </row>
    <row r="1828">
      <c r="A1828" s="54" t="n"/>
      <c r="B1828" s="55" t="str">
        <f>IF(AA1828="","",A1828&amp;"-"&amp;RIGHT("000"&amp;AA1828,4))</f>
        <v/>
      </c>
      <c r="C1828" s="56" t="n"/>
      <c r="D1828" s="54" t="n"/>
      <c r="E1828" s="57" t="str">
        <f>IF(D1828="","",IF(A1828="BL",IFERROR(INDEX(cl_name,MATCH(D1828,cl_code,0))&amp;"","Client inconnu"),IF(A1828="BR",IFERROR(INDEX(fo_name,MATCH(D1828,fo_code,0))&amp;"","Fournisseur inconnu"),IF(A1828="BS",IF(ISNA(MATCH(D1828,p_services,0)),"Service inconnu",D1828&amp;""),""))))</f>
        <v/>
      </c>
      <c r="F1828" s="58" t="n"/>
      <c r="G1828" s="58" t="n"/>
      <c r="H1828" s="59" t="n"/>
      <c r="I1828" s="57" t="str">
        <f>IF(H1828="","",IFERROR(INDEX(art_des,MATCH(H1828,art_ref,0))&amp;"","Article inconnu"))</f>
        <v/>
      </c>
      <c r="J1828" s="60" t="str">
        <f>IF(H1828="","",IFERROR(INDEX(art_unit,MATCH(H1828,art_ref,0))&amp;"",""))</f>
        <v/>
      </c>
      <c r="K1828" s="59" t="n"/>
      <c r="L1828" s="59" t="n"/>
      <c r="M1828" s="61" t="str">
        <f>IF(OR(B1828="",NOT(ISNUMBER(K1828)),NOT(ISNUMBER(L1828))),"",IF(OR(K1828&lt;=0,L1828&lt;=0),"",ROUND(L1828-K1828,6)))</f>
        <v/>
      </c>
      <c r="N1828" s="58" t="n"/>
      <c r="O1828" s="62" t="n"/>
      <c r="P1828" s="63" t="str">
        <f>IF(OR(B1828="",NOT(ISNUMBER(L1828))),"",IF(L1828&lt;=0,"",IFERROR(ROUND(L1828*N(INDEX(art_w,MATCH(H1828,art_ref,0))),3),"")))</f>
        <v/>
      </c>
      <c r="Q1828" s="59" t="n"/>
      <c r="R1828" s="54" t="n"/>
      <c r="S1828" s="59" t="n"/>
      <c r="T1828" s="59" t="n"/>
      <c r="U1828" s="64" t="str">
        <f>IF(OR(B1828="",H1828=""),"",IFERROR(IF(A1828="BL",IF(N(INDEX(art_price,MATCH(H1828,art_ref,0)))=0,"",N(INDEX(art_price,MATCH(H1828,art_ref,0)))),IF(N(INDEX(art_cost,MATCH(H1828,art_ref,0)))=0,"",N(INDEX(art_cost,MATCH(H1828,art_ref,0))))),""))</f>
        <v/>
      </c>
      <c r="V1828" s="64" t="str">
        <f>IF(OR(U1828="",NOT(ISNUMBER(L1828))),"",IF(L1828&lt;=0,"",ROUND(L1828*U1828,2)))</f>
        <v/>
      </c>
      <c r="W1828" s="60" t="str">
        <f>IF(AND(B1828&lt;&gt;"",A1828&lt;&gt;"BS",F1828&lt;&gt;"",H1828&lt;&gt;"",ISNUMBER(K1828),ISNUMBER(L1828)),IF(AND(K1828&gt;0,L1828&gt;0,K1828-L1828&gt;0,COUNTIFS(A1829:A$2005,A1828,F1829:F$2005,F1828,H1829:H$2005,H1828,AA1829:AA$2005,"&gt;0")=0),ROUND(K1828-L1828,6),""),"")</f>
        <v/>
      </c>
      <c r="X1828" s="60" t="str">
        <f>IF(AND(A1828="",C1828="",D1828="",H1828="",L1828=""),"",IF(A1828="","Type manquant",IF(AND(A1828&lt;&gt;"BL",A1828&lt;&gt;"BR",A1828&lt;&gt;"BS"),"Type inconnu (BL, BR ou BS)",IF(AG1828=0,"Date manquante ou invalide",IF(D1828="",IF(A1828="BL","Client manquant",IF(A1828="BR","Fournisseur manquant","Service manquant")),IF(IF(A1828="BL",ISNA(MATCH(D1828,cl_code,0)),IF(A1828="BR",ISNA(MATCH(D1828,fo_code,0)),ISNA(MATCH(D1828,p_services,0)))),IF(A1828="BL","Client inconnu",IF(A1828="BR","Fournisseur inconnu","Service inconnu")),IF(H1828="","Article manquant",IF(ISNA(MATCH(H1828,art_ref,0)),"Article inconnu",IF(OR(NOT(ISNUMBER(L1828)),N(L1828)&lt;=0),"Quantité invalide",IF(AND(K1828&lt;&gt;"",OR(NOT(ISNUMBER(K1828)),N(K1828)&lt;=0)),"Qté commandée invalide",IF(AG1828&lt;SUMPRODUCT(MAX((A$6:A1827=A1828)*AG$6:AG1827)),"Date antérieure au bon précédent",IF(AND(A1828&lt;&gt;"BR",ISNUMBER(M1828),N(M1828)&gt;0),IF(A1828="BL","Livré plus que commandé","Sorti plus que demandé"),"OK"))))))))))))</f>
        <v/>
      </c>
      <c r="Y1828" s="57" t="str">
        <f>IF(AND(OR(A1828="BL",A1828="BR",A1828="BS"),AG1828&gt;0,D1828&lt;&gt;""),A1828&amp;"|"&amp;AG1828&amp;"|"&amp;D1828&amp;"|"&amp;F1828,"")</f>
        <v/>
      </c>
      <c r="Z1828" s="57" t="str">
        <f>IF(Y1828="","",IF(COUNTIF(Y$6:Y1827,Y1828)=0,1,0))</f>
        <v/>
      </c>
      <c r="AA1828" s="57" t="str">
        <f>IF(Y1828="","",IF(Z1828=1,COUNTIFS(A$6:A1828,A1828,Z$6:Z1828,1),INDEX(AA$6:AA1827,MATCH(Y1828,Y$6:Y1827,0))))</f>
        <v/>
      </c>
      <c r="AB1828" s="57" t="str">
        <f>IF(B1828="","",COUNTIF(B$6:B1828,B1828))</f>
        <v/>
      </c>
      <c r="AC1828" s="57" t="str">
        <f>IF(B1828="","",B1828&amp;"#"&amp;AB1828)</f>
        <v/>
      </c>
      <c r="AD1828" s="57" t="str">
        <f>IF(Z1828=1,A1828&amp;AA1828,"")</f>
        <v/>
      </c>
      <c r="AE1828" s="57" t="str">
        <f>IF(B1828="","",YEAR(C1828))</f>
        <v/>
      </c>
      <c r="AF1828" s="57" t="str">
        <f>IF(B1828="","",MONTH(C1828))</f>
        <v/>
      </c>
      <c r="AG1828" s="57">
        <f>IF(ISNUMBER(C1828),C1828,0)</f>
        <v>0.0</v>
      </c>
      <c r="AH1828" s="57" t="str">
        <f>IF(N(W1828)&gt;0,COUNTIF(W$6:W1828,"&gt;0"),"")</f>
        <v/>
      </c>
      <c r="AI1828" s="57" t="str">
        <f>IF(Z1828=1,COUNTIF(Z$6:Z1828,1),"")</f>
        <v/>
      </c>
    </row>
    <row r="1829">
      <c r="A1829" s="54" t="n"/>
      <c r="B1829" s="55" t="str">
        <f>IF(AA1829="","",A1829&amp;"-"&amp;RIGHT("000"&amp;AA1829,4))</f>
        <v/>
      </c>
      <c r="C1829" s="56" t="n"/>
      <c r="D1829" s="54" t="n"/>
      <c r="E1829" s="57" t="str">
        <f>IF(D1829="","",IF(A1829="BL",IFERROR(INDEX(cl_name,MATCH(D1829,cl_code,0))&amp;"","Client inconnu"),IF(A1829="BR",IFERROR(INDEX(fo_name,MATCH(D1829,fo_code,0))&amp;"","Fournisseur inconnu"),IF(A1829="BS",IF(ISNA(MATCH(D1829,p_services,0)),"Service inconnu",D1829&amp;""),""))))</f>
        <v/>
      </c>
      <c r="F1829" s="58" t="n"/>
      <c r="G1829" s="58" t="n"/>
      <c r="H1829" s="59" t="n"/>
      <c r="I1829" s="57" t="str">
        <f>IF(H1829="","",IFERROR(INDEX(art_des,MATCH(H1829,art_ref,0))&amp;"","Article inconnu"))</f>
        <v/>
      </c>
      <c r="J1829" s="60" t="str">
        <f>IF(H1829="","",IFERROR(INDEX(art_unit,MATCH(H1829,art_ref,0))&amp;"",""))</f>
        <v/>
      </c>
      <c r="K1829" s="59" t="n"/>
      <c r="L1829" s="59" t="n"/>
      <c r="M1829" s="61" t="str">
        <f>IF(OR(B1829="",NOT(ISNUMBER(K1829)),NOT(ISNUMBER(L1829))),"",IF(OR(K1829&lt;=0,L1829&lt;=0),"",ROUND(L1829-K1829,6)))</f>
        <v/>
      </c>
      <c r="N1829" s="58" t="n"/>
      <c r="O1829" s="62" t="n"/>
      <c r="P1829" s="63" t="str">
        <f>IF(OR(B1829="",NOT(ISNUMBER(L1829))),"",IF(L1829&lt;=0,"",IFERROR(ROUND(L1829*N(INDEX(art_w,MATCH(H1829,art_ref,0))),3),"")))</f>
        <v/>
      </c>
      <c r="Q1829" s="59" t="n"/>
      <c r="R1829" s="54" t="n"/>
      <c r="S1829" s="59" t="n"/>
      <c r="T1829" s="59" t="n"/>
      <c r="U1829" s="64" t="str">
        <f>IF(OR(B1829="",H1829=""),"",IFERROR(IF(A1829="BL",IF(N(INDEX(art_price,MATCH(H1829,art_ref,0)))=0,"",N(INDEX(art_price,MATCH(H1829,art_ref,0)))),IF(N(INDEX(art_cost,MATCH(H1829,art_ref,0)))=0,"",N(INDEX(art_cost,MATCH(H1829,art_ref,0))))),""))</f>
        <v/>
      </c>
      <c r="V1829" s="64" t="str">
        <f>IF(OR(U1829="",NOT(ISNUMBER(L1829))),"",IF(L1829&lt;=0,"",ROUND(L1829*U1829,2)))</f>
        <v/>
      </c>
      <c r="W1829" s="60" t="str">
        <f>IF(AND(B1829&lt;&gt;"",A1829&lt;&gt;"BS",F1829&lt;&gt;"",H1829&lt;&gt;"",ISNUMBER(K1829),ISNUMBER(L1829)),IF(AND(K1829&gt;0,L1829&gt;0,K1829-L1829&gt;0,COUNTIFS(A1830:A$2005,A1829,F1830:F$2005,F1829,H1830:H$2005,H1829,AA1830:AA$2005,"&gt;0")=0),ROUND(K1829-L1829,6),""),"")</f>
        <v/>
      </c>
      <c r="X1829" s="60" t="str">
        <f>IF(AND(A1829="",C1829="",D1829="",H1829="",L1829=""),"",IF(A1829="","Type manquant",IF(AND(A1829&lt;&gt;"BL",A1829&lt;&gt;"BR",A1829&lt;&gt;"BS"),"Type inconnu (BL, BR ou BS)",IF(AG1829=0,"Date manquante ou invalide",IF(D1829="",IF(A1829="BL","Client manquant",IF(A1829="BR","Fournisseur manquant","Service manquant")),IF(IF(A1829="BL",ISNA(MATCH(D1829,cl_code,0)),IF(A1829="BR",ISNA(MATCH(D1829,fo_code,0)),ISNA(MATCH(D1829,p_services,0)))),IF(A1829="BL","Client inconnu",IF(A1829="BR","Fournisseur inconnu","Service inconnu")),IF(H1829="","Article manquant",IF(ISNA(MATCH(H1829,art_ref,0)),"Article inconnu",IF(OR(NOT(ISNUMBER(L1829)),N(L1829)&lt;=0),"Quantité invalide",IF(AND(K1829&lt;&gt;"",OR(NOT(ISNUMBER(K1829)),N(K1829)&lt;=0)),"Qté commandée invalide",IF(AG1829&lt;SUMPRODUCT(MAX((A$6:A1828=A1829)*AG$6:AG1828)),"Date antérieure au bon précédent",IF(AND(A1829&lt;&gt;"BR",ISNUMBER(M1829),N(M1829)&gt;0),IF(A1829="BL","Livré plus que commandé","Sorti plus que demandé"),"OK"))))))))))))</f>
        <v/>
      </c>
      <c r="Y1829" s="57" t="str">
        <f>IF(AND(OR(A1829="BL",A1829="BR",A1829="BS"),AG1829&gt;0,D1829&lt;&gt;""),A1829&amp;"|"&amp;AG1829&amp;"|"&amp;D1829&amp;"|"&amp;F1829,"")</f>
        <v/>
      </c>
      <c r="Z1829" s="57" t="str">
        <f>IF(Y1829="","",IF(COUNTIF(Y$6:Y1828,Y1829)=0,1,0))</f>
        <v/>
      </c>
      <c r="AA1829" s="57" t="str">
        <f>IF(Y1829="","",IF(Z1829=1,COUNTIFS(A$6:A1829,A1829,Z$6:Z1829,1),INDEX(AA$6:AA1828,MATCH(Y1829,Y$6:Y1828,0))))</f>
        <v/>
      </c>
      <c r="AB1829" s="57" t="str">
        <f>IF(B1829="","",COUNTIF(B$6:B1829,B1829))</f>
        <v/>
      </c>
      <c r="AC1829" s="57" t="str">
        <f>IF(B1829="","",B1829&amp;"#"&amp;AB1829)</f>
        <v/>
      </c>
      <c r="AD1829" s="57" t="str">
        <f>IF(Z1829=1,A1829&amp;AA1829,"")</f>
        <v/>
      </c>
      <c r="AE1829" s="57" t="str">
        <f>IF(B1829="","",YEAR(C1829))</f>
        <v/>
      </c>
      <c r="AF1829" s="57" t="str">
        <f>IF(B1829="","",MONTH(C1829))</f>
        <v/>
      </c>
      <c r="AG1829" s="57">
        <f>IF(ISNUMBER(C1829),C1829,0)</f>
        <v>0.0</v>
      </c>
      <c r="AH1829" s="57" t="str">
        <f>IF(N(W1829)&gt;0,COUNTIF(W$6:W1829,"&gt;0"),"")</f>
        <v/>
      </c>
      <c r="AI1829" s="57" t="str">
        <f>IF(Z1829=1,COUNTIF(Z$6:Z1829,1),"")</f>
        <v/>
      </c>
    </row>
    <row r="1830">
      <c r="A1830" s="54" t="n"/>
      <c r="B1830" s="55" t="str">
        <f>IF(AA1830="","",A1830&amp;"-"&amp;RIGHT("000"&amp;AA1830,4))</f>
        <v/>
      </c>
      <c r="C1830" s="56" t="n"/>
      <c r="D1830" s="54" t="n"/>
      <c r="E1830" s="57" t="str">
        <f>IF(D1830="","",IF(A1830="BL",IFERROR(INDEX(cl_name,MATCH(D1830,cl_code,0))&amp;"","Client inconnu"),IF(A1830="BR",IFERROR(INDEX(fo_name,MATCH(D1830,fo_code,0))&amp;"","Fournisseur inconnu"),IF(A1830="BS",IF(ISNA(MATCH(D1830,p_services,0)),"Service inconnu",D1830&amp;""),""))))</f>
        <v/>
      </c>
      <c r="F1830" s="58" t="n"/>
      <c r="G1830" s="58" t="n"/>
      <c r="H1830" s="59" t="n"/>
      <c r="I1830" s="57" t="str">
        <f>IF(H1830="","",IFERROR(INDEX(art_des,MATCH(H1830,art_ref,0))&amp;"","Article inconnu"))</f>
        <v/>
      </c>
      <c r="J1830" s="60" t="str">
        <f>IF(H1830="","",IFERROR(INDEX(art_unit,MATCH(H1830,art_ref,0))&amp;"",""))</f>
        <v/>
      </c>
      <c r="K1830" s="59" t="n"/>
      <c r="L1830" s="59" t="n"/>
      <c r="M1830" s="61" t="str">
        <f>IF(OR(B1830="",NOT(ISNUMBER(K1830)),NOT(ISNUMBER(L1830))),"",IF(OR(K1830&lt;=0,L1830&lt;=0),"",ROUND(L1830-K1830,6)))</f>
        <v/>
      </c>
      <c r="N1830" s="58" t="n"/>
      <c r="O1830" s="62" t="n"/>
      <c r="P1830" s="63" t="str">
        <f>IF(OR(B1830="",NOT(ISNUMBER(L1830))),"",IF(L1830&lt;=0,"",IFERROR(ROUND(L1830*N(INDEX(art_w,MATCH(H1830,art_ref,0))),3),"")))</f>
        <v/>
      </c>
      <c r="Q1830" s="59" t="n"/>
      <c r="R1830" s="54" t="n"/>
      <c r="S1830" s="59" t="n"/>
      <c r="T1830" s="59" t="n"/>
      <c r="U1830" s="64" t="str">
        <f>IF(OR(B1830="",H1830=""),"",IFERROR(IF(A1830="BL",IF(N(INDEX(art_price,MATCH(H1830,art_ref,0)))=0,"",N(INDEX(art_price,MATCH(H1830,art_ref,0)))),IF(N(INDEX(art_cost,MATCH(H1830,art_ref,0)))=0,"",N(INDEX(art_cost,MATCH(H1830,art_ref,0))))),""))</f>
        <v/>
      </c>
      <c r="V1830" s="64" t="str">
        <f>IF(OR(U1830="",NOT(ISNUMBER(L1830))),"",IF(L1830&lt;=0,"",ROUND(L1830*U1830,2)))</f>
        <v/>
      </c>
      <c r="W1830" s="60" t="str">
        <f>IF(AND(B1830&lt;&gt;"",A1830&lt;&gt;"BS",F1830&lt;&gt;"",H1830&lt;&gt;"",ISNUMBER(K1830),ISNUMBER(L1830)),IF(AND(K1830&gt;0,L1830&gt;0,K1830-L1830&gt;0,COUNTIFS(A1831:A$2005,A1830,F1831:F$2005,F1830,H1831:H$2005,H1830,AA1831:AA$2005,"&gt;0")=0),ROUND(K1830-L1830,6),""),"")</f>
        <v/>
      </c>
      <c r="X1830" s="60" t="str">
        <f>IF(AND(A1830="",C1830="",D1830="",H1830="",L1830=""),"",IF(A1830="","Type manquant",IF(AND(A1830&lt;&gt;"BL",A1830&lt;&gt;"BR",A1830&lt;&gt;"BS"),"Type inconnu (BL, BR ou BS)",IF(AG1830=0,"Date manquante ou invalide",IF(D1830="",IF(A1830="BL","Client manquant",IF(A1830="BR","Fournisseur manquant","Service manquant")),IF(IF(A1830="BL",ISNA(MATCH(D1830,cl_code,0)),IF(A1830="BR",ISNA(MATCH(D1830,fo_code,0)),ISNA(MATCH(D1830,p_services,0)))),IF(A1830="BL","Client inconnu",IF(A1830="BR","Fournisseur inconnu","Service inconnu")),IF(H1830="","Article manquant",IF(ISNA(MATCH(H1830,art_ref,0)),"Article inconnu",IF(OR(NOT(ISNUMBER(L1830)),N(L1830)&lt;=0),"Quantité invalide",IF(AND(K1830&lt;&gt;"",OR(NOT(ISNUMBER(K1830)),N(K1830)&lt;=0)),"Qté commandée invalide",IF(AG1830&lt;SUMPRODUCT(MAX((A$6:A1829=A1830)*AG$6:AG1829)),"Date antérieure au bon précédent",IF(AND(A1830&lt;&gt;"BR",ISNUMBER(M1830),N(M1830)&gt;0),IF(A1830="BL","Livré plus que commandé","Sorti plus que demandé"),"OK"))))))))))))</f>
        <v/>
      </c>
      <c r="Y1830" s="57" t="str">
        <f>IF(AND(OR(A1830="BL",A1830="BR",A1830="BS"),AG1830&gt;0,D1830&lt;&gt;""),A1830&amp;"|"&amp;AG1830&amp;"|"&amp;D1830&amp;"|"&amp;F1830,"")</f>
        <v/>
      </c>
      <c r="Z1830" s="57" t="str">
        <f>IF(Y1830="","",IF(COUNTIF(Y$6:Y1829,Y1830)=0,1,0))</f>
        <v/>
      </c>
      <c r="AA1830" s="57" t="str">
        <f>IF(Y1830="","",IF(Z1830=1,COUNTIFS(A$6:A1830,A1830,Z$6:Z1830,1),INDEX(AA$6:AA1829,MATCH(Y1830,Y$6:Y1829,0))))</f>
        <v/>
      </c>
      <c r="AB1830" s="57" t="str">
        <f>IF(B1830="","",COUNTIF(B$6:B1830,B1830))</f>
        <v/>
      </c>
      <c r="AC1830" s="57" t="str">
        <f>IF(B1830="","",B1830&amp;"#"&amp;AB1830)</f>
        <v/>
      </c>
      <c r="AD1830" s="57" t="str">
        <f>IF(Z1830=1,A1830&amp;AA1830,"")</f>
        <v/>
      </c>
      <c r="AE1830" s="57" t="str">
        <f>IF(B1830="","",YEAR(C1830))</f>
        <v/>
      </c>
      <c r="AF1830" s="57" t="str">
        <f>IF(B1830="","",MONTH(C1830))</f>
        <v/>
      </c>
      <c r="AG1830" s="57">
        <f>IF(ISNUMBER(C1830),C1830,0)</f>
        <v>0.0</v>
      </c>
      <c r="AH1830" s="57" t="str">
        <f>IF(N(W1830)&gt;0,COUNTIF(W$6:W1830,"&gt;0"),"")</f>
        <v/>
      </c>
      <c r="AI1830" s="57" t="str">
        <f>IF(Z1830=1,COUNTIF(Z$6:Z1830,1),"")</f>
        <v/>
      </c>
    </row>
    <row r="1831">
      <c r="A1831" s="54" t="n"/>
      <c r="B1831" s="55" t="str">
        <f>IF(AA1831="","",A1831&amp;"-"&amp;RIGHT("000"&amp;AA1831,4))</f>
        <v/>
      </c>
      <c r="C1831" s="56" t="n"/>
      <c r="D1831" s="54" t="n"/>
      <c r="E1831" s="57" t="str">
        <f>IF(D1831="","",IF(A1831="BL",IFERROR(INDEX(cl_name,MATCH(D1831,cl_code,0))&amp;"","Client inconnu"),IF(A1831="BR",IFERROR(INDEX(fo_name,MATCH(D1831,fo_code,0))&amp;"","Fournisseur inconnu"),IF(A1831="BS",IF(ISNA(MATCH(D1831,p_services,0)),"Service inconnu",D1831&amp;""),""))))</f>
        <v/>
      </c>
      <c r="F1831" s="58" t="n"/>
      <c r="G1831" s="58" t="n"/>
      <c r="H1831" s="59" t="n"/>
      <c r="I1831" s="57" t="str">
        <f>IF(H1831="","",IFERROR(INDEX(art_des,MATCH(H1831,art_ref,0))&amp;"","Article inconnu"))</f>
        <v/>
      </c>
      <c r="J1831" s="60" t="str">
        <f>IF(H1831="","",IFERROR(INDEX(art_unit,MATCH(H1831,art_ref,0))&amp;"",""))</f>
        <v/>
      </c>
      <c r="K1831" s="59" t="n"/>
      <c r="L1831" s="59" t="n"/>
      <c r="M1831" s="61" t="str">
        <f>IF(OR(B1831="",NOT(ISNUMBER(K1831)),NOT(ISNUMBER(L1831))),"",IF(OR(K1831&lt;=0,L1831&lt;=0),"",ROUND(L1831-K1831,6)))</f>
        <v/>
      </c>
      <c r="N1831" s="58" t="n"/>
      <c r="O1831" s="62" t="n"/>
      <c r="P1831" s="63" t="str">
        <f>IF(OR(B1831="",NOT(ISNUMBER(L1831))),"",IF(L1831&lt;=0,"",IFERROR(ROUND(L1831*N(INDEX(art_w,MATCH(H1831,art_ref,0))),3),"")))</f>
        <v/>
      </c>
      <c r="Q1831" s="59" t="n"/>
      <c r="R1831" s="54" t="n"/>
      <c r="S1831" s="59" t="n"/>
      <c r="T1831" s="59" t="n"/>
      <c r="U1831" s="64" t="str">
        <f>IF(OR(B1831="",H1831=""),"",IFERROR(IF(A1831="BL",IF(N(INDEX(art_price,MATCH(H1831,art_ref,0)))=0,"",N(INDEX(art_price,MATCH(H1831,art_ref,0)))),IF(N(INDEX(art_cost,MATCH(H1831,art_ref,0)))=0,"",N(INDEX(art_cost,MATCH(H1831,art_ref,0))))),""))</f>
        <v/>
      </c>
      <c r="V1831" s="64" t="str">
        <f>IF(OR(U1831="",NOT(ISNUMBER(L1831))),"",IF(L1831&lt;=0,"",ROUND(L1831*U1831,2)))</f>
        <v/>
      </c>
      <c r="W1831" s="60" t="str">
        <f>IF(AND(B1831&lt;&gt;"",A1831&lt;&gt;"BS",F1831&lt;&gt;"",H1831&lt;&gt;"",ISNUMBER(K1831),ISNUMBER(L1831)),IF(AND(K1831&gt;0,L1831&gt;0,K1831-L1831&gt;0,COUNTIFS(A1832:A$2005,A1831,F1832:F$2005,F1831,H1832:H$2005,H1831,AA1832:AA$2005,"&gt;0")=0),ROUND(K1831-L1831,6),""),"")</f>
        <v/>
      </c>
      <c r="X1831" s="60" t="str">
        <f>IF(AND(A1831="",C1831="",D1831="",H1831="",L1831=""),"",IF(A1831="","Type manquant",IF(AND(A1831&lt;&gt;"BL",A1831&lt;&gt;"BR",A1831&lt;&gt;"BS"),"Type inconnu (BL, BR ou BS)",IF(AG1831=0,"Date manquante ou invalide",IF(D1831="",IF(A1831="BL","Client manquant",IF(A1831="BR","Fournisseur manquant","Service manquant")),IF(IF(A1831="BL",ISNA(MATCH(D1831,cl_code,0)),IF(A1831="BR",ISNA(MATCH(D1831,fo_code,0)),ISNA(MATCH(D1831,p_services,0)))),IF(A1831="BL","Client inconnu",IF(A1831="BR","Fournisseur inconnu","Service inconnu")),IF(H1831="","Article manquant",IF(ISNA(MATCH(H1831,art_ref,0)),"Article inconnu",IF(OR(NOT(ISNUMBER(L1831)),N(L1831)&lt;=0),"Quantité invalide",IF(AND(K1831&lt;&gt;"",OR(NOT(ISNUMBER(K1831)),N(K1831)&lt;=0)),"Qté commandée invalide",IF(AG1831&lt;SUMPRODUCT(MAX((A$6:A1830=A1831)*AG$6:AG1830)),"Date antérieure au bon précédent",IF(AND(A1831&lt;&gt;"BR",ISNUMBER(M1831),N(M1831)&gt;0),IF(A1831="BL","Livré plus que commandé","Sorti plus que demandé"),"OK"))))))))))))</f>
        <v/>
      </c>
      <c r="Y1831" s="57" t="str">
        <f>IF(AND(OR(A1831="BL",A1831="BR",A1831="BS"),AG1831&gt;0,D1831&lt;&gt;""),A1831&amp;"|"&amp;AG1831&amp;"|"&amp;D1831&amp;"|"&amp;F1831,"")</f>
        <v/>
      </c>
      <c r="Z1831" s="57" t="str">
        <f>IF(Y1831="","",IF(COUNTIF(Y$6:Y1830,Y1831)=0,1,0))</f>
        <v/>
      </c>
      <c r="AA1831" s="57" t="str">
        <f>IF(Y1831="","",IF(Z1831=1,COUNTIFS(A$6:A1831,A1831,Z$6:Z1831,1),INDEX(AA$6:AA1830,MATCH(Y1831,Y$6:Y1830,0))))</f>
        <v/>
      </c>
      <c r="AB1831" s="57" t="str">
        <f>IF(B1831="","",COUNTIF(B$6:B1831,B1831))</f>
        <v/>
      </c>
      <c r="AC1831" s="57" t="str">
        <f>IF(B1831="","",B1831&amp;"#"&amp;AB1831)</f>
        <v/>
      </c>
      <c r="AD1831" s="57" t="str">
        <f>IF(Z1831=1,A1831&amp;AA1831,"")</f>
        <v/>
      </c>
      <c r="AE1831" s="57" t="str">
        <f>IF(B1831="","",YEAR(C1831))</f>
        <v/>
      </c>
      <c r="AF1831" s="57" t="str">
        <f>IF(B1831="","",MONTH(C1831))</f>
        <v/>
      </c>
      <c r="AG1831" s="57">
        <f>IF(ISNUMBER(C1831),C1831,0)</f>
        <v>0.0</v>
      </c>
      <c r="AH1831" s="57" t="str">
        <f>IF(N(W1831)&gt;0,COUNTIF(W$6:W1831,"&gt;0"),"")</f>
        <v/>
      </c>
      <c r="AI1831" s="57" t="str">
        <f>IF(Z1831=1,COUNTIF(Z$6:Z1831,1),"")</f>
        <v/>
      </c>
    </row>
    <row r="1832">
      <c r="A1832" s="54" t="n"/>
      <c r="B1832" s="55" t="str">
        <f>IF(AA1832="","",A1832&amp;"-"&amp;RIGHT("000"&amp;AA1832,4))</f>
        <v/>
      </c>
      <c r="C1832" s="56" t="n"/>
      <c r="D1832" s="54" t="n"/>
      <c r="E1832" s="57" t="str">
        <f>IF(D1832="","",IF(A1832="BL",IFERROR(INDEX(cl_name,MATCH(D1832,cl_code,0))&amp;"","Client inconnu"),IF(A1832="BR",IFERROR(INDEX(fo_name,MATCH(D1832,fo_code,0))&amp;"","Fournisseur inconnu"),IF(A1832="BS",IF(ISNA(MATCH(D1832,p_services,0)),"Service inconnu",D1832&amp;""),""))))</f>
        <v/>
      </c>
      <c r="F1832" s="58" t="n"/>
      <c r="G1832" s="58" t="n"/>
      <c r="H1832" s="59" t="n"/>
      <c r="I1832" s="57" t="str">
        <f>IF(H1832="","",IFERROR(INDEX(art_des,MATCH(H1832,art_ref,0))&amp;"","Article inconnu"))</f>
        <v/>
      </c>
      <c r="J1832" s="60" t="str">
        <f>IF(H1832="","",IFERROR(INDEX(art_unit,MATCH(H1832,art_ref,0))&amp;"",""))</f>
        <v/>
      </c>
      <c r="K1832" s="59" t="n"/>
      <c r="L1832" s="59" t="n"/>
      <c r="M1832" s="61" t="str">
        <f>IF(OR(B1832="",NOT(ISNUMBER(K1832)),NOT(ISNUMBER(L1832))),"",IF(OR(K1832&lt;=0,L1832&lt;=0),"",ROUND(L1832-K1832,6)))</f>
        <v/>
      </c>
      <c r="N1832" s="58" t="n"/>
      <c r="O1832" s="62" t="n"/>
      <c r="P1832" s="63" t="str">
        <f>IF(OR(B1832="",NOT(ISNUMBER(L1832))),"",IF(L1832&lt;=0,"",IFERROR(ROUND(L1832*N(INDEX(art_w,MATCH(H1832,art_ref,0))),3),"")))</f>
        <v/>
      </c>
      <c r="Q1832" s="59" t="n"/>
      <c r="R1832" s="54" t="n"/>
      <c r="S1832" s="59" t="n"/>
      <c r="T1832" s="59" t="n"/>
      <c r="U1832" s="64" t="str">
        <f>IF(OR(B1832="",H1832=""),"",IFERROR(IF(A1832="BL",IF(N(INDEX(art_price,MATCH(H1832,art_ref,0)))=0,"",N(INDEX(art_price,MATCH(H1832,art_ref,0)))),IF(N(INDEX(art_cost,MATCH(H1832,art_ref,0)))=0,"",N(INDEX(art_cost,MATCH(H1832,art_ref,0))))),""))</f>
        <v/>
      </c>
      <c r="V1832" s="64" t="str">
        <f>IF(OR(U1832="",NOT(ISNUMBER(L1832))),"",IF(L1832&lt;=0,"",ROUND(L1832*U1832,2)))</f>
        <v/>
      </c>
      <c r="W1832" s="60" t="str">
        <f>IF(AND(B1832&lt;&gt;"",A1832&lt;&gt;"BS",F1832&lt;&gt;"",H1832&lt;&gt;"",ISNUMBER(K1832),ISNUMBER(L1832)),IF(AND(K1832&gt;0,L1832&gt;0,K1832-L1832&gt;0,COUNTIFS(A1833:A$2005,A1832,F1833:F$2005,F1832,H1833:H$2005,H1832,AA1833:AA$2005,"&gt;0")=0),ROUND(K1832-L1832,6),""),"")</f>
        <v/>
      </c>
      <c r="X1832" s="60" t="str">
        <f>IF(AND(A1832="",C1832="",D1832="",H1832="",L1832=""),"",IF(A1832="","Type manquant",IF(AND(A1832&lt;&gt;"BL",A1832&lt;&gt;"BR",A1832&lt;&gt;"BS"),"Type inconnu (BL, BR ou BS)",IF(AG1832=0,"Date manquante ou invalide",IF(D1832="",IF(A1832="BL","Client manquant",IF(A1832="BR","Fournisseur manquant","Service manquant")),IF(IF(A1832="BL",ISNA(MATCH(D1832,cl_code,0)),IF(A1832="BR",ISNA(MATCH(D1832,fo_code,0)),ISNA(MATCH(D1832,p_services,0)))),IF(A1832="BL","Client inconnu",IF(A1832="BR","Fournisseur inconnu","Service inconnu")),IF(H1832="","Article manquant",IF(ISNA(MATCH(H1832,art_ref,0)),"Article inconnu",IF(OR(NOT(ISNUMBER(L1832)),N(L1832)&lt;=0),"Quantité invalide",IF(AND(K1832&lt;&gt;"",OR(NOT(ISNUMBER(K1832)),N(K1832)&lt;=0)),"Qté commandée invalide",IF(AG1832&lt;SUMPRODUCT(MAX((A$6:A1831=A1832)*AG$6:AG1831)),"Date antérieure au bon précédent",IF(AND(A1832&lt;&gt;"BR",ISNUMBER(M1832),N(M1832)&gt;0),IF(A1832="BL","Livré plus que commandé","Sorti plus que demandé"),"OK"))))))))))))</f>
        <v/>
      </c>
      <c r="Y1832" s="57" t="str">
        <f>IF(AND(OR(A1832="BL",A1832="BR",A1832="BS"),AG1832&gt;0,D1832&lt;&gt;""),A1832&amp;"|"&amp;AG1832&amp;"|"&amp;D1832&amp;"|"&amp;F1832,"")</f>
        <v/>
      </c>
      <c r="Z1832" s="57" t="str">
        <f>IF(Y1832="","",IF(COUNTIF(Y$6:Y1831,Y1832)=0,1,0))</f>
        <v/>
      </c>
      <c r="AA1832" s="57" t="str">
        <f>IF(Y1832="","",IF(Z1832=1,COUNTIFS(A$6:A1832,A1832,Z$6:Z1832,1),INDEX(AA$6:AA1831,MATCH(Y1832,Y$6:Y1831,0))))</f>
        <v/>
      </c>
      <c r="AB1832" s="57" t="str">
        <f>IF(B1832="","",COUNTIF(B$6:B1832,B1832))</f>
        <v/>
      </c>
      <c r="AC1832" s="57" t="str">
        <f>IF(B1832="","",B1832&amp;"#"&amp;AB1832)</f>
        <v/>
      </c>
      <c r="AD1832" s="57" t="str">
        <f>IF(Z1832=1,A1832&amp;AA1832,"")</f>
        <v/>
      </c>
      <c r="AE1832" s="57" t="str">
        <f>IF(B1832="","",YEAR(C1832))</f>
        <v/>
      </c>
      <c r="AF1832" s="57" t="str">
        <f>IF(B1832="","",MONTH(C1832))</f>
        <v/>
      </c>
      <c r="AG1832" s="57">
        <f>IF(ISNUMBER(C1832),C1832,0)</f>
        <v>0.0</v>
      </c>
      <c r="AH1832" s="57" t="str">
        <f>IF(N(W1832)&gt;0,COUNTIF(W$6:W1832,"&gt;0"),"")</f>
        <v/>
      </c>
      <c r="AI1832" s="57" t="str">
        <f>IF(Z1832=1,COUNTIF(Z$6:Z1832,1),"")</f>
        <v/>
      </c>
    </row>
    <row r="1833">
      <c r="A1833" s="54" t="n"/>
      <c r="B1833" s="55" t="str">
        <f>IF(AA1833="","",A1833&amp;"-"&amp;RIGHT("000"&amp;AA1833,4))</f>
        <v/>
      </c>
      <c r="C1833" s="56" t="n"/>
      <c r="D1833" s="54" t="n"/>
      <c r="E1833" s="57" t="str">
        <f>IF(D1833="","",IF(A1833="BL",IFERROR(INDEX(cl_name,MATCH(D1833,cl_code,0))&amp;"","Client inconnu"),IF(A1833="BR",IFERROR(INDEX(fo_name,MATCH(D1833,fo_code,0))&amp;"","Fournisseur inconnu"),IF(A1833="BS",IF(ISNA(MATCH(D1833,p_services,0)),"Service inconnu",D1833&amp;""),""))))</f>
        <v/>
      </c>
      <c r="F1833" s="58" t="n"/>
      <c r="G1833" s="58" t="n"/>
      <c r="H1833" s="59" t="n"/>
      <c r="I1833" s="57" t="str">
        <f>IF(H1833="","",IFERROR(INDEX(art_des,MATCH(H1833,art_ref,0))&amp;"","Article inconnu"))</f>
        <v/>
      </c>
      <c r="J1833" s="60" t="str">
        <f>IF(H1833="","",IFERROR(INDEX(art_unit,MATCH(H1833,art_ref,0))&amp;"",""))</f>
        <v/>
      </c>
      <c r="K1833" s="59" t="n"/>
      <c r="L1833" s="59" t="n"/>
      <c r="M1833" s="61" t="str">
        <f>IF(OR(B1833="",NOT(ISNUMBER(K1833)),NOT(ISNUMBER(L1833))),"",IF(OR(K1833&lt;=0,L1833&lt;=0),"",ROUND(L1833-K1833,6)))</f>
        <v/>
      </c>
      <c r="N1833" s="58" t="n"/>
      <c r="O1833" s="62" t="n"/>
      <c r="P1833" s="63" t="str">
        <f>IF(OR(B1833="",NOT(ISNUMBER(L1833))),"",IF(L1833&lt;=0,"",IFERROR(ROUND(L1833*N(INDEX(art_w,MATCH(H1833,art_ref,0))),3),"")))</f>
        <v/>
      </c>
      <c r="Q1833" s="59" t="n"/>
      <c r="R1833" s="54" t="n"/>
      <c r="S1833" s="59" t="n"/>
      <c r="T1833" s="59" t="n"/>
      <c r="U1833" s="64" t="str">
        <f>IF(OR(B1833="",H1833=""),"",IFERROR(IF(A1833="BL",IF(N(INDEX(art_price,MATCH(H1833,art_ref,0)))=0,"",N(INDEX(art_price,MATCH(H1833,art_ref,0)))),IF(N(INDEX(art_cost,MATCH(H1833,art_ref,0)))=0,"",N(INDEX(art_cost,MATCH(H1833,art_ref,0))))),""))</f>
        <v/>
      </c>
      <c r="V1833" s="64" t="str">
        <f>IF(OR(U1833="",NOT(ISNUMBER(L1833))),"",IF(L1833&lt;=0,"",ROUND(L1833*U1833,2)))</f>
        <v/>
      </c>
      <c r="W1833" s="60" t="str">
        <f>IF(AND(B1833&lt;&gt;"",A1833&lt;&gt;"BS",F1833&lt;&gt;"",H1833&lt;&gt;"",ISNUMBER(K1833),ISNUMBER(L1833)),IF(AND(K1833&gt;0,L1833&gt;0,K1833-L1833&gt;0,COUNTIFS(A1834:A$2005,A1833,F1834:F$2005,F1833,H1834:H$2005,H1833,AA1834:AA$2005,"&gt;0")=0),ROUND(K1833-L1833,6),""),"")</f>
        <v/>
      </c>
      <c r="X1833" s="60" t="str">
        <f>IF(AND(A1833="",C1833="",D1833="",H1833="",L1833=""),"",IF(A1833="","Type manquant",IF(AND(A1833&lt;&gt;"BL",A1833&lt;&gt;"BR",A1833&lt;&gt;"BS"),"Type inconnu (BL, BR ou BS)",IF(AG1833=0,"Date manquante ou invalide",IF(D1833="",IF(A1833="BL","Client manquant",IF(A1833="BR","Fournisseur manquant","Service manquant")),IF(IF(A1833="BL",ISNA(MATCH(D1833,cl_code,0)),IF(A1833="BR",ISNA(MATCH(D1833,fo_code,0)),ISNA(MATCH(D1833,p_services,0)))),IF(A1833="BL","Client inconnu",IF(A1833="BR","Fournisseur inconnu","Service inconnu")),IF(H1833="","Article manquant",IF(ISNA(MATCH(H1833,art_ref,0)),"Article inconnu",IF(OR(NOT(ISNUMBER(L1833)),N(L1833)&lt;=0),"Quantité invalide",IF(AND(K1833&lt;&gt;"",OR(NOT(ISNUMBER(K1833)),N(K1833)&lt;=0)),"Qté commandée invalide",IF(AG1833&lt;SUMPRODUCT(MAX((A$6:A1832=A1833)*AG$6:AG1832)),"Date antérieure au bon précédent",IF(AND(A1833&lt;&gt;"BR",ISNUMBER(M1833),N(M1833)&gt;0),IF(A1833="BL","Livré plus que commandé","Sorti plus que demandé"),"OK"))))))))))))</f>
        <v/>
      </c>
      <c r="Y1833" s="57" t="str">
        <f>IF(AND(OR(A1833="BL",A1833="BR",A1833="BS"),AG1833&gt;0,D1833&lt;&gt;""),A1833&amp;"|"&amp;AG1833&amp;"|"&amp;D1833&amp;"|"&amp;F1833,"")</f>
        <v/>
      </c>
      <c r="Z1833" s="57" t="str">
        <f>IF(Y1833="","",IF(COUNTIF(Y$6:Y1832,Y1833)=0,1,0))</f>
        <v/>
      </c>
      <c r="AA1833" s="57" t="str">
        <f>IF(Y1833="","",IF(Z1833=1,COUNTIFS(A$6:A1833,A1833,Z$6:Z1833,1),INDEX(AA$6:AA1832,MATCH(Y1833,Y$6:Y1832,0))))</f>
        <v/>
      </c>
      <c r="AB1833" s="57" t="str">
        <f>IF(B1833="","",COUNTIF(B$6:B1833,B1833))</f>
        <v/>
      </c>
      <c r="AC1833" s="57" t="str">
        <f>IF(B1833="","",B1833&amp;"#"&amp;AB1833)</f>
        <v/>
      </c>
      <c r="AD1833" s="57" t="str">
        <f>IF(Z1833=1,A1833&amp;AA1833,"")</f>
        <v/>
      </c>
      <c r="AE1833" s="57" t="str">
        <f>IF(B1833="","",YEAR(C1833))</f>
        <v/>
      </c>
      <c r="AF1833" s="57" t="str">
        <f>IF(B1833="","",MONTH(C1833))</f>
        <v/>
      </c>
      <c r="AG1833" s="57">
        <f>IF(ISNUMBER(C1833),C1833,0)</f>
        <v>0.0</v>
      </c>
      <c r="AH1833" s="57" t="str">
        <f>IF(N(W1833)&gt;0,COUNTIF(W$6:W1833,"&gt;0"),"")</f>
        <v/>
      </c>
      <c r="AI1833" s="57" t="str">
        <f>IF(Z1833=1,COUNTIF(Z$6:Z1833,1),"")</f>
        <v/>
      </c>
    </row>
    <row r="1834">
      <c r="A1834" s="54" t="n"/>
      <c r="B1834" s="55" t="str">
        <f>IF(AA1834="","",A1834&amp;"-"&amp;RIGHT("000"&amp;AA1834,4))</f>
        <v/>
      </c>
      <c r="C1834" s="56" t="n"/>
      <c r="D1834" s="54" t="n"/>
      <c r="E1834" s="57" t="str">
        <f>IF(D1834="","",IF(A1834="BL",IFERROR(INDEX(cl_name,MATCH(D1834,cl_code,0))&amp;"","Client inconnu"),IF(A1834="BR",IFERROR(INDEX(fo_name,MATCH(D1834,fo_code,0))&amp;"","Fournisseur inconnu"),IF(A1834="BS",IF(ISNA(MATCH(D1834,p_services,0)),"Service inconnu",D1834&amp;""),""))))</f>
        <v/>
      </c>
      <c r="F1834" s="58" t="n"/>
      <c r="G1834" s="58" t="n"/>
      <c r="H1834" s="59" t="n"/>
      <c r="I1834" s="57" t="str">
        <f>IF(H1834="","",IFERROR(INDEX(art_des,MATCH(H1834,art_ref,0))&amp;"","Article inconnu"))</f>
        <v/>
      </c>
      <c r="J1834" s="60" t="str">
        <f>IF(H1834="","",IFERROR(INDEX(art_unit,MATCH(H1834,art_ref,0))&amp;"",""))</f>
        <v/>
      </c>
      <c r="K1834" s="59" t="n"/>
      <c r="L1834" s="59" t="n"/>
      <c r="M1834" s="61" t="str">
        <f>IF(OR(B1834="",NOT(ISNUMBER(K1834)),NOT(ISNUMBER(L1834))),"",IF(OR(K1834&lt;=0,L1834&lt;=0),"",ROUND(L1834-K1834,6)))</f>
        <v/>
      </c>
      <c r="N1834" s="58" t="n"/>
      <c r="O1834" s="62" t="n"/>
      <c r="P1834" s="63" t="str">
        <f>IF(OR(B1834="",NOT(ISNUMBER(L1834))),"",IF(L1834&lt;=0,"",IFERROR(ROUND(L1834*N(INDEX(art_w,MATCH(H1834,art_ref,0))),3),"")))</f>
        <v/>
      </c>
      <c r="Q1834" s="59" t="n"/>
      <c r="R1834" s="54" t="n"/>
      <c r="S1834" s="59" t="n"/>
      <c r="T1834" s="59" t="n"/>
      <c r="U1834" s="64" t="str">
        <f>IF(OR(B1834="",H1834=""),"",IFERROR(IF(A1834="BL",IF(N(INDEX(art_price,MATCH(H1834,art_ref,0)))=0,"",N(INDEX(art_price,MATCH(H1834,art_ref,0)))),IF(N(INDEX(art_cost,MATCH(H1834,art_ref,0)))=0,"",N(INDEX(art_cost,MATCH(H1834,art_ref,0))))),""))</f>
        <v/>
      </c>
      <c r="V1834" s="64" t="str">
        <f>IF(OR(U1834="",NOT(ISNUMBER(L1834))),"",IF(L1834&lt;=0,"",ROUND(L1834*U1834,2)))</f>
        <v/>
      </c>
      <c r="W1834" s="60" t="str">
        <f>IF(AND(B1834&lt;&gt;"",A1834&lt;&gt;"BS",F1834&lt;&gt;"",H1834&lt;&gt;"",ISNUMBER(K1834),ISNUMBER(L1834)),IF(AND(K1834&gt;0,L1834&gt;0,K1834-L1834&gt;0,COUNTIFS(A1835:A$2005,A1834,F1835:F$2005,F1834,H1835:H$2005,H1834,AA1835:AA$2005,"&gt;0")=0),ROUND(K1834-L1834,6),""),"")</f>
        <v/>
      </c>
      <c r="X1834" s="60" t="str">
        <f>IF(AND(A1834="",C1834="",D1834="",H1834="",L1834=""),"",IF(A1834="","Type manquant",IF(AND(A1834&lt;&gt;"BL",A1834&lt;&gt;"BR",A1834&lt;&gt;"BS"),"Type inconnu (BL, BR ou BS)",IF(AG1834=0,"Date manquante ou invalide",IF(D1834="",IF(A1834="BL","Client manquant",IF(A1834="BR","Fournisseur manquant","Service manquant")),IF(IF(A1834="BL",ISNA(MATCH(D1834,cl_code,0)),IF(A1834="BR",ISNA(MATCH(D1834,fo_code,0)),ISNA(MATCH(D1834,p_services,0)))),IF(A1834="BL","Client inconnu",IF(A1834="BR","Fournisseur inconnu","Service inconnu")),IF(H1834="","Article manquant",IF(ISNA(MATCH(H1834,art_ref,0)),"Article inconnu",IF(OR(NOT(ISNUMBER(L1834)),N(L1834)&lt;=0),"Quantité invalide",IF(AND(K1834&lt;&gt;"",OR(NOT(ISNUMBER(K1834)),N(K1834)&lt;=0)),"Qté commandée invalide",IF(AG1834&lt;SUMPRODUCT(MAX((A$6:A1833=A1834)*AG$6:AG1833)),"Date antérieure au bon précédent",IF(AND(A1834&lt;&gt;"BR",ISNUMBER(M1834),N(M1834)&gt;0),IF(A1834="BL","Livré plus que commandé","Sorti plus que demandé"),"OK"))))))))))))</f>
        <v/>
      </c>
      <c r="Y1834" s="57" t="str">
        <f>IF(AND(OR(A1834="BL",A1834="BR",A1834="BS"),AG1834&gt;0,D1834&lt;&gt;""),A1834&amp;"|"&amp;AG1834&amp;"|"&amp;D1834&amp;"|"&amp;F1834,"")</f>
        <v/>
      </c>
      <c r="Z1834" s="57" t="str">
        <f>IF(Y1834="","",IF(COUNTIF(Y$6:Y1833,Y1834)=0,1,0))</f>
        <v/>
      </c>
      <c r="AA1834" s="57" t="str">
        <f>IF(Y1834="","",IF(Z1834=1,COUNTIFS(A$6:A1834,A1834,Z$6:Z1834,1),INDEX(AA$6:AA1833,MATCH(Y1834,Y$6:Y1833,0))))</f>
        <v/>
      </c>
      <c r="AB1834" s="57" t="str">
        <f>IF(B1834="","",COUNTIF(B$6:B1834,B1834))</f>
        <v/>
      </c>
      <c r="AC1834" s="57" t="str">
        <f>IF(B1834="","",B1834&amp;"#"&amp;AB1834)</f>
        <v/>
      </c>
      <c r="AD1834" s="57" t="str">
        <f>IF(Z1834=1,A1834&amp;AA1834,"")</f>
        <v/>
      </c>
      <c r="AE1834" s="57" t="str">
        <f>IF(B1834="","",YEAR(C1834))</f>
        <v/>
      </c>
      <c r="AF1834" s="57" t="str">
        <f>IF(B1834="","",MONTH(C1834))</f>
        <v/>
      </c>
      <c r="AG1834" s="57">
        <f>IF(ISNUMBER(C1834),C1834,0)</f>
        <v>0.0</v>
      </c>
      <c r="AH1834" s="57" t="str">
        <f>IF(N(W1834)&gt;0,COUNTIF(W$6:W1834,"&gt;0"),"")</f>
        <v/>
      </c>
      <c r="AI1834" s="57" t="str">
        <f>IF(Z1834=1,COUNTIF(Z$6:Z1834,1),"")</f>
        <v/>
      </c>
    </row>
    <row r="1835">
      <c r="A1835" s="54" t="n"/>
      <c r="B1835" s="55" t="str">
        <f>IF(AA1835="","",A1835&amp;"-"&amp;RIGHT("000"&amp;AA1835,4))</f>
        <v/>
      </c>
      <c r="C1835" s="56" t="n"/>
      <c r="D1835" s="54" t="n"/>
      <c r="E1835" s="57" t="str">
        <f>IF(D1835="","",IF(A1835="BL",IFERROR(INDEX(cl_name,MATCH(D1835,cl_code,0))&amp;"","Client inconnu"),IF(A1835="BR",IFERROR(INDEX(fo_name,MATCH(D1835,fo_code,0))&amp;"","Fournisseur inconnu"),IF(A1835="BS",IF(ISNA(MATCH(D1835,p_services,0)),"Service inconnu",D1835&amp;""),""))))</f>
        <v/>
      </c>
      <c r="F1835" s="58" t="n"/>
      <c r="G1835" s="58" t="n"/>
      <c r="H1835" s="59" t="n"/>
      <c r="I1835" s="57" t="str">
        <f>IF(H1835="","",IFERROR(INDEX(art_des,MATCH(H1835,art_ref,0))&amp;"","Article inconnu"))</f>
        <v/>
      </c>
      <c r="J1835" s="60" t="str">
        <f>IF(H1835="","",IFERROR(INDEX(art_unit,MATCH(H1835,art_ref,0))&amp;"",""))</f>
        <v/>
      </c>
      <c r="K1835" s="59" t="n"/>
      <c r="L1835" s="59" t="n"/>
      <c r="M1835" s="61" t="str">
        <f>IF(OR(B1835="",NOT(ISNUMBER(K1835)),NOT(ISNUMBER(L1835))),"",IF(OR(K1835&lt;=0,L1835&lt;=0),"",ROUND(L1835-K1835,6)))</f>
        <v/>
      </c>
      <c r="N1835" s="58" t="n"/>
      <c r="O1835" s="62" t="n"/>
      <c r="P1835" s="63" t="str">
        <f>IF(OR(B1835="",NOT(ISNUMBER(L1835))),"",IF(L1835&lt;=0,"",IFERROR(ROUND(L1835*N(INDEX(art_w,MATCH(H1835,art_ref,0))),3),"")))</f>
        <v/>
      </c>
      <c r="Q1835" s="59" t="n"/>
      <c r="R1835" s="54" t="n"/>
      <c r="S1835" s="59" t="n"/>
      <c r="T1835" s="59" t="n"/>
      <c r="U1835" s="64" t="str">
        <f>IF(OR(B1835="",H1835=""),"",IFERROR(IF(A1835="BL",IF(N(INDEX(art_price,MATCH(H1835,art_ref,0)))=0,"",N(INDEX(art_price,MATCH(H1835,art_ref,0)))),IF(N(INDEX(art_cost,MATCH(H1835,art_ref,0)))=0,"",N(INDEX(art_cost,MATCH(H1835,art_ref,0))))),""))</f>
        <v/>
      </c>
      <c r="V1835" s="64" t="str">
        <f>IF(OR(U1835="",NOT(ISNUMBER(L1835))),"",IF(L1835&lt;=0,"",ROUND(L1835*U1835,2)))</f>
        <v/>
      </c>
      <c r="W1835" s="60" t="str">
        <f>IF(AND(B1835&lt;&gt;"",A1835&lt;&gt;"BS",F1835&lt;&gt;"",H1835&lt;&gt;"",ISNUMBER(K1835),ISNUMBER(L1835)),IF(AND(K1835&gt;0,L1835&gt;0,K1835-L1835&gt;0,COUNTIFS(A1836:A$2005,A1835,F1836:F$2005,F1835,H1836:H$2005,H1835,AA1836:AA$2005,"&gt;0")=0),ROUND(K1835-L1835,6),""),"")</f>
        <v/>
      </c>
      <c r="X1835" s="60" t="str">
        <f>IF(AND(A1835="",C1835="",D1835="",H1835="",L1835=""),"",IF(A1835="","Type manquant",IF(AND(A1835&lt;&gt;"BL",A1835&lt;&gt;"BR",A1835&lt;&gt;"BS"),"Type inconnu (BL, BR ou BS)",IF(AG1835=0,"Date manquante ou invalide",IF(D1835="",IF(A1835="BL","Client manquant",IF(A1835="BR","Fournisseur manquant","Service manquant")),IF(IF(A1835="BL",ISNA(MATCH(D1835,cl_code,0)),IF(A1835="BR",ISNA(MATCH(D1835,fo_code,0)),ISNA(MATCH(D1835,p_services,0)))),IF(A1835="BL","Client inconnu",IF(A1835="BR","Fournisseur inconnu","Service inconnu")),IF(H1835="","Article manquant",IF(ISNA(MATCH(H1835,art_ref,0)),"Article inconnu",IF(OR(NOT(ISNUMBER(L1835)),N(L1835)&lt;=0),"Quantité invalide",IF(AND(K1835&lt;&gt;"",OR(NOT(ISNUMBER(K1835)),N(K1835)&lt;=0)),"Qté commandée invalide",IF(AG1835&lt;SUMPRODUCT(MAX((A$6:A1834=A1835)*AG$6:AG1834)),"Date antérieure au bon précédent",IF(AND(A1835&lt;&gt;"BR",ISNUMBER(M1835),N(M1835)&gt;0),IF(A1835="BL","Livré plus que commandé","Sorti plus que demandé"),"OK"))))))))))))</f>
        <v/>
      </c>
      <c r="Y1835" s="57" t="str">
        <f>IF(AND(OR(A1835="BL",A1835="BR",A1835="BS"),AG1835&gt;0,D1835&lt;&gt;""),A1835&amp;"|"&amp;AG1835&amp;"|"&amp;D1835&amp;"|"&amp;F1835,"")</f>
        <v/>
      </c>
      <c r="Z1835" s="57" t="str">
        <f>IF(Y1835="","",IF(COUNTIF(Y$6:Y1834,Y1835)=0,1,0))</f>
        <v/>
      </c>
      <c r="AA1835" s="57" t="str">
        <f>IF(Y1835="","",IF(Z1835=1,COUNTIFS(A$6:A1835,A1835,Z$6:Z1835,1),INDEX(AA$6:AA1834,MATCH(Y1835,Y$6:Y1834,0))))</f>
        <v/>
      </c>
      <c r="AB1835" s="57" t="str">
        <f>IF(B1835="","",COUNTIF(B$6:B1835,B1835))</f>
        <v/>
      </c>
      <c r="AC1835" s="57" t="str">
        <f>IF(B1835="","",B1835&amp;"#"&amp;AB1835)</f>
        <v/>
      </c>
      <c r="AD1835" s="57" t="str">
        <f>IF(Z1835=1,A1835&amp;AA1835,"")</f>
        <v/>
      </c>
      <c r="AE1835" s="57" t="str">
        <f>IF(B1835="","",YEAR(C1835))</f>
        <v/>
      </c>
      <c r="AF1835" s="57" t="str">
        <f>IF(B1835="","",MONTH(C1835))</f>
        <v/>
      </c>
      <c r="AG1835" s="57">
        <f>IF(ISNUMBER(C1835),C1835,0)</f>
        <v>0.0</v>
      </c>
      <c r="AH1835" s="57" t="str">
        <f>IF(N(W1835)&gt;0,COUNTIF(W$6:W1835,"&gt;0"),"")</f>
        <v/>
      </c>
      <c r="AI1835" s="57" t="str">
        <f>IF(Z1835=1,COUNTIF(Z$6:Z1835,1),"")</f>
        <v/>
      </c>
    </row>
    <row r="1836">
      <c r="A1836" s="54" t="n"/>
      <c r="B1836" s="55" t="str">
        <f>IF(AA1836="","",A1836&amp;"-"&amp;RIGHT("000"&amp;AA1836,4))</f>
        <v/>
      </c>
      <c r="C1836" s="56" t="n"/>
      <c r="D1836" s="54" t="n"/>
      <c r="E1836" s="57" t="str">
        <f>IF(D1836="","",IF(A1836="BL",IFERROR(INDEX(cl_name,MATCH(D1836,cl_code,0))&amp;"","Client inconnu"),IF(A1836="BR",IFERROR(INDEX(fo_name,MATCH(D1836,fo_code,0))&amp;"","Fournisseur inconnu"),IF(A1836="BS",IF(ISNA(MATCH(D1836,p_services,0)),"Service inconnu",D1836&amp;""),""))))</f>
        <v/>
      </c>
      <c r="F1836" s="58" t="n"/>
      <c r="G1836" s="58" t="n"/>
      <c r="H1836" s="59" t="n"/>
      <c r="I1836" s="57" t="str">
        <f>IF(H1836="","",IFERROR(INDEX(art_des,MATCH(H1836,art_ref,0))&amp;"","Article inconnu"))</f>
        <v/>
      </c>
      <c r="J1836" s="60" t="str">
        <f>IF(H1836="","",IFERROR(INDEX(art_unit,MATCH(H1836,art_ref,0))&amp;"",""))</f>
        <v/>
      </c>
      <c r="K1836" s="59" t="n"/>
      <c r="L1836" s="59" t="n"/>
      <c r="M1836" s="61" t="str">
        <f>IF(OR(B1836="",NOT(ISNUMBER(K1836)),NOT(ISNUMBER(L1836))),"",IF(OR(K1836&lt;=0,L1836&lt;=0),"",ROUND(L1836-K1836,6)))</f>
        <v/>
      </c>
      <c r="N1836" s="58" t="n"/>
      <c r="O1836" s="62" t="n"/>
      <c r="P1836" s="63" t="str">
        <f>IF(OR(B1836="",NOT(ISNUMBER(L1836))),"",IF(L1836&lt;=0,"",IFERROR(ROUND(L1836*N(INDEX(art_w,MATCH(H1836,art_ref,0))),3),"")))</f>
        <v/>
      </c>
      <c r="Q1836" s="59" t="n"/>
      <c r="R1836" s="54" t="n"/>
      <c r="S1836" s="59" t="n"/>
      <c r="T1836" s="59" t="n"/>
      <c r="U1836" s="64" t="str">
        <f>IF(OR(B1836="",H1836=""),"",IFERROR(IF(A1836="BL",IF(N(INDEX(art_price,MATCH(H1836,art_ref,0)))=0,"",N(INDEX(art_price,MATCH(H1836,art_ref,0)))),IF(N(INDEX(art_cost,MATCH(H1836,art_ref,0)))=0,"",N(INDEX(art_cost,MATCH(H1836,art_ref,0))))),""))</f>
        <v/>
      </c>
      <c r="V1836" s="64" t="str">
        <f>IF(OR(U1836="",NOT(ISNUMBER(L1836))),"",IF(L1836&lt;=0,"",ROUND(L1836*U1836,2)))</f>
        <v/>
      </c>
      <c r="W1836" s="60" t="str">
        <f>IF(AND(B1836&lt;&gt;"",A1836&lt;&gt;"BS",F1836&lt;&gt;"",H1836&lt;&gt;"",ISNUMBER(K1836),ISNUMBER(L1836)),IF(AND(K1836&gt;0,L1836&gt;0,K1836-L1836&gt;0,COUNTIFS(A1837:A$2005,A1836,F1837:F$2005,F1836,H1837:H$2005,H1836,AA1837:AA$2005,"&gt;0")=0),ROUND(K1836-L1836,6),""),"")</f>
        <v/>
      </c>
      <c r="X1836" s="60" t="str">
        <f>IF(AND(A1836="",C1836="",D1836="",H1836="",L1836=""),"",IF(A1836="","Type manquant",IF(AND(A1836&lt;&gt;"BL",A1836&lt;&gt;"BR",A1836&lt;&gt;"BS"),"Type inconnu (BL, BR ou BS)",IF(AG1836=0,"Date manquante ou invalide",IF(D1836="",IF(A1836="BL","Client manquant",IF(A1836="BR","Fournisseur manquant","Service manquant")),IF(IF(A1836="BL",ISNA(MATCH(D1836,cl_code,0)),IF(A1836="BR",ISNA(MATCH(D1836,fo_code,0)),ISNA(MATCH(D1836,p_services,0)))),IF(A1836="BL","Client inconnu",IF(A1836="BR","Fournisseur inconnu","Service inconnu")),IF(H1836="","Article manquant",IF(ISNA(MATCH(H1836,art_ref,0)),"Article inconnu",IF(OR(NOT(ISNUMBER(L1836)),N(L1836)&lt;=0),"Quantité invalide",IF(AND(K1836&lt;&gt;"",OR(NOT(ISNUMBER(K1836)),N(K1836)&lt;=0)),"Qté commandée invalide",IF(AG1836&lt;SUMPRODUCT(MAX((A$6:A1835=A1836)*AG$6:AG1835)),"Date antérieure au bon précédent",IF(AND(A1836&lt;&gt;"BR",ISNUMBER(M1836),N(M1836)&gt;0),IF(A1836="BL","Livré plus que commandé","Sorti plus que demandé"),"OK"))))))))))))</f>
        <v/>
      </c>
      <c r="Y1836" s="57" t="str">
        <f>IF(AND(OR(A1836="BL",A1836="BR",A1836="BS"),AG1836&gt;0,D1836&lt;&gt;""),A1836&amp;"|"&amp;AG1836&amp;"|"&amp;D1836&amp;"|"&amp;F1836,"")</f>
        <v/>
      </c>
      <c r="Z1836" s="57" t="str">
        <f>IF(Y1836="","",IF(COUNTIF(Y$6:Y1835,Y1836)=0,1,0))</f>
        <v/>
      </c>
      <c r="AA1836" s="57" t="str">
        <f>IF(Y1836="","",IF(Z1836=1,COUNTIFS(A$6:A1836,A1836,Z$6:Z1836,1),INDEX(AA$6:AA1835,MATCH(Y1836,Y$6:Y1835,0))))</f>
        <v/>
      </c>
      <c r="AB1836" s="57" t="str">
        <f>IF(B1836="","",COUNTIF(B$6:B1836,B1836))</f>
        <v/>
      </c>
      <c r="AC1836" s="57" t="str">
        <f>IF(B1836="","",B1836&amp;"#"&amp;AB1836)</f>
        <v/>
      </c>
      <c r="AD1836" s="57" t="str">
        <f>IF(Z1836=1,A1836&amp;AA1836,"")</f>
        <v/>
      </c>
      <c r="AE1836" s="57" t="str">
        <f>IF(B1836="","",YEAR(C1836))</f>
        <v/>
      </c>
      <c r="AF1836" s="57" t="str">
        <f>IF(B1836="","",MONTH(C1836))</f>
        <v/>
      </c>
      <c r="AG1836" s="57">
        <f>IF(ISNUMBER(C1836),C1836,0)</f>
        <v>0.0</v>
      </c>
      <c r="AH1836" s="57" t="str">
        <f>IF(N(W1836)&gt;0,COUNTIF(W$6:W1836,"&gt;0"),"")</f>
        <v/>
      </c>
      <c r="AI1836" s="57" t="str">
        <f>IF(Z1836=1,COUNTIF(Z$6:Z1836,1),"")</f>
        <v/>
      </c>
    </row>
    <row r="1837">
      <c r="A1837" s="54" t="n"/>
      <c r="B1837" s="55" t="str">
        <f>IF(AA1837="","",A1837&amp;"-"&amp;RIGHT("000"&amp;AA1837,4))</f>
        <v/>
      </c>
      <c r="C1837" s="56" t="n"/>
      <c r="D1837" s="54" t="n"/>
      <c r="E1837" s="57" t="str">
        <f>IF(D1837="","",IF(A1837="BL",IFERROR(INDEX(cl_name,MATCH(D1837,cl_code,0))&amp;"","Client inconnu"),IF(A1837="BR",IFERROR(INDEX(fo_name,MATCH(D1837,fo_code,0))&amp;"","Fournisseur inconnu"),IF(A1837="BS",IF(ISNA(MATCH(D1837,p_services,0)),"Service inconnu",D1837&amp;""),""))))</f>
        <v/>
      </c>
      <c r="F1837" s="58" t="n"/>
      <c r="G1837" s="58" t="n"/>
      <c r="H1837" s="59" t="n"/>
      <c r="I1837" s="57" t="str">
        <f>IF(H1837="","",IFERROR(INDEX(art_des,MATCH(H1837,art_ref,0))&amp;"","Article inconnu"))</f>
        <v/>
      </c>
      <c r="J1837" s="60" t="str">
        <f>IF(H1837="","",IFERROR(INDEX(art_unit,MATCH(H1837,art_ref,0))&amp;"",""))</f>
        <v/>
      </c>
      <c r="K1837" s="59" t="n"/>
      <c r="L1837" s="59" t="n"/>
      <c r="M1837" s="61" t="str">
        <f>IF(OR(B1837="",NOT(ISNUMBER(K1837)),NOT(ISNUMBER(L1837))),"",IF(OR(K1837&lt;=0,L1837&lt;=0),"",ROUND(L1837-K1837,6)))</f>
        <v/>
      </c>
      <c r="N1837" s="58" t="n"/>
      <c r="O1837" s="62" t="n"/>
      <c r="P1837" s="63" t="str">
        <f>IF(OR(B1837="",NOT(ISNUMBER(L1837))),"",IF(L1837&lt;=0,"",IFERROR(ROUND(L1837*N(INDEX(art_w,MATCH(H1837,art_ref,0))),3),"")))</f>
        <v/>
      </c>
      <c r="Q1837" s="59" t="n"/>
      <c r="R1837" s="54" t="n"/>
      <c r="S1837" s="59" t="n"/>
      <c r="T1837" s="59" t="n"/>
      <c r="U1837" s="64" t="str">
        <f>IF(OR(B1837="",H1837=""),"",IFERROR(IF(A1837="BL",IF(N(INDEX(art_price,MATCH(H1837,art_ref,0)))=0,"",N(INDEX(art_price,MATCH(H1837,art_ref,0)))),IF(N(INDEX(art_cost,MATCH(H1837,art_ref,0)))=0,"",N(INDEX(art_cost,MATCH(H1837,art_ref,0))))),""))</f>
        <v/>
      </c>
      <c r="V1837" s="64" t="str">
        <f>IF(OR(U1837="",NOT(ISNUMBER(L1837))),"",IF(L1837&lt;=0,"",ROUND(L1837*U1837,2)))</f>
        <v/>
      </c>
      <c r="W1837" s="60" t="str">
        <f>IF(AND(B1837&lt;&gt;"",A1837&lt;&gt;"BS",F1837&lt;&gt;"",H1837&lt;&gt;"",ISNUMBER(K1837),ISNUMBER(L1837)),IF(AND(K1837&gt;0,L1837&gt;0,K1837-L1837&gt;0,COUNTIFS(A1838:A$2005,A1837,F1838:F$2005,F1837,H1838:H$2005,H1837,AA1838:AA$2005,"&gt;0")=0),ROUND(K1837-L1837,6),""),"")</f>
        <v/>
      </c>
      <c r="X1837" s="60" t="str">
        <f>IF(AND(A1837="",C1837="",D1837="",H1837="",L1837=""),"",IF(A1837="","Type manquant",IF(AND(A1837&lt;&gt;"BL",A1837&lt;&gt;"BR",A1837&lt;&gt;"BS"),"Type inconnu (BL, BR ou BS)",IF(AG1837=0,"Date manquante ou invalide",IF(D1837="",IF(A1837="BL","Client manquant",IF(A1837="BR","Fournisseur manquant","Service manquant")),IF(IF(A1837="BL",ISNA(MATCH(D1837,cl_code,0)),IF(A1837="BR",ISNA(MATCH(D1837,fo_code,0)),ISNA(MATCH(D1837,p_services,0)))),IF(A1837="BL","Client inconnu",IF(A1837="BR","Fournisseur inconnu","Service inconnu")),IF(H1837="","Article manquant",IF(ISNA(MATCH(H1837,art_ref,0)),"Article inconnu",IF(OR(NOT(ISNUMBER(L1837)),N(L1837)&lt;=0),"Quantité invalide",IF(AND(K1837&lt;&gt;"",OR(NOT(ISNUMBER(K1837)),N(K1837)&lt;=0)),"Qté commandée invalide",IF(AG1837&lt;SUMPRODUCT(MAX((A$6:A1836=A1837)*AG$6:AG1836)),"Date antérieure au bon précédent",IF(AND(A1837&lt;&gt;"BR",ISNUMBER(M1837),N(M1837)&gt;0),IF(A1837="BL","Livré plus que commandé","Sorti plus que demandé"),"OK"))))))))))))</f>
        <v/>
      </c>
      <c r="Y1837" s="57" t="str">
        <f>IF(AND(OR(A1837="BL",A1837="BR",A1837="BS"),AG1837&gt;0,D1837&lt;&gt;""),A1837&amp;"|"&amp;AG1837&amp;"|"&amp;D1837&amp;"|"&amp;F1837,"")</f>
        <v/>
      </c>
      <c r="Z1837" s="57" t="str">
        <f>IF(Y1837="","",IF(COUNTIF(Y$6:Y1836,Y1837)=0,1,0))</f>
        <v/>
      </c>
      <c r="AA1837" s="57" t="str">
        <f>IF(Y1837="","",IF(Z1837=1,COUNTIFS(A$6:A1837,A1837,Z$6:Z1837,1),INDEX(AA$6:AA1836,MATCH(Y1837,Y$6:Y1836,0))))</f>
        <v/>
      </c>
      <c r="AB1837" s="57" t="str">
        <f>IF(B1837="","",COUNTIF(B$6:B1837,B1837))</f>
        <v/>
      </c>
      <c r="AC1837" s="57" t="str">
        <f>IF(B1837="","",B1837&amp;"#"&amp;AB1837)</f>
        <v/>
      </c>
      <c r="AD1837" s="57" t="str">
        <f>IF(Z1837=1,A1837&amp;AA1837,"")</f>
        <v/>
      </c>
      <c r="AE1837" s="57" t="str">
        <f>IF(B1837="","",YEAR(C1837))</f>
        <v/>
      </c>
      <c r="AF1837" s="57" t="str">
        <f>IF(B1837="","",MONTH(C1837))</f>
        <v/>
      </c>
      <c r="AG1837" s="57">
        <f>IF(ISNUMBER(C1837),C1837,0)</f>
        <v>0.0</v>
      </c>
      <c r="AH1837" s="57" t="str">
        <f>IF(N(W1837)&gt;0,COUNTIF(W$6:W1837,"&gt;0"),"")</f>
        <v/>
      </c>
      <c r="AI1837" s="57" t="str">
        <f>IF(Z1837=1,COUNTIF(Z$6:Z1837,1),"")</f>
        <v/>
      </c>
    </row>
    <row r="1838">
      <c r="A1838" s="54" t="n"/>
      <c r="B1838" s="55" t="str">
        <f>IF(AA1838="","",A1838&amp;"-"&amp;RIGHT("000"&amp;AA1838,4))</f>
        <v/>
      </c>
      <c r="C1838" s="56" t="n"/>
      <c r="D1838" s="54" t="n"/>
      <c r="E1838" s="57" t="str">
        <f>IF(D1838="","",IF(A1838="BL",IFERROR(INDEX(cl_name,MATCH(D1838,cl_code,0))&amp;"","Client inconnu"),IF(A1838="BR",IFERROR(INDEX(fo_name,MATCH(D1838,fo_code,0))&amp;"","Fournisseur inconnu"),IF(A1838="BS",IF(ISNA(MATCH(D1838,p_services,0)),"Service inconnu",D1838&amp;""),""))))</f>
        <v/>
      </c>
      <c r="F1838" s="58" t="n"/>
      <c r="G1838" s="58" t="n"/>
      <c r="H1838" s="59" t="n"/>
      <c r="I1838" s="57" t="str">
        <f>IF(H1838="","",IFERROR(INDEX(art_des,MATCH(H1838,art_ref,0))&amp;"","Article inconnu"))</f>
        <v/>
      </c>
      <c r="J1838" s="60" t="str">
        <f>IF(H1838="","",IFERROR(INDEX(art_unit,MATCH(H1838,art_ref,0))&amp;"",""))</f>
        <v/>
      </c>
      <c r="K1838" s="59" t="n"/>
      <c r="L1838" s="59" t="n"/>
      <c r="M1838" s="61" t="str">
        <f>IF(OR(B1838="",NOT(ISNUMBER(K1838)),NOT(ISNUMBER(L1838))),"",IF(OR(K1838&lt;=0,L1838&lt;=0),"",ROUND(L1838-K1838,6)))</f>
        <v/>
      </c>
      <c r="N1838" s="58" t="n"/>
      <c r="O1838" s="62" t="n"/>
      <c r="P1838" s="63" t="str">
        <f>IF(OR(B1838="",NOT(ISNUMBER(L1838))),"",IF(L1838&lt;=0,"",IFERROR(ROUND(L1838*N(INDEX(art_w,MATCH(H1838,art_ref,0))),3),"")))</f>
        <v/>
      </c>
      <c r="Q1838" s="59" t="n"/>
      <c r="R1838" s="54" t="n"/>
      <c r="S1838" s="59" t="n"/>
      <c r="T1838" s="59" t="n"/>
      <c r="U1838" s="64" t="str">
        <f>IF(OR(B1838="",H1838=""),"",IFERROR(IF(A1838="BL",IF(N(INDEX(art_price,MATCH(H1838,art_ref,0)))=0,"",N(INDEX(art_price,MATCH(H1838,art_ref,0)))),IF(N(INDEX(art_cost,MATCH(H1838,art_ref,0)))=0,"",N(INDEX(art_cost,MATCH(H1838,art_ref,0))))),""))</f>
        <v/>
      </c>
      <c r="V1838" s="64" t="str">
        <f>IF(OR(U1838="",NOT(ISNUMBER(L1838))),"",IF(L1838&lt;=0,"",ROUND(L1838*U1838,2)))</f>
        <v/>
      </c>
      <c r="W1838" s="60" t="str">
        <f>IF(AND(B1838&lt;&gt;"",A1838&lt;&gt;"BS",F1838&lt;&gt;"",H1838&lt;&gt;"",ISNUMBER(K1838),ISNUMBER(L1838)),IF(AND(K1838&gt;0,L1838&gt;0,K1838-L1838&gt;0,COUNTIFS(A1839:A$2005,A1838,F1839:F$2005,F1838,H1839:H$2005,H1838,AA1839:AA$2005,"&gt;0")=0),ROUND(K1838-L1838,6),""),"")</f>
        <v/>
      </c>
      <c r="X1838" s="60" t="str">
        <f>IF(AND(A1838="",C1838="",D1838="",H1838="",L1838=""),"",IF(A1838="","Type manquant",IF(AND(A1838&lt;&gt;"BL",A1838&lt;&gt;"BR",A1838&lt;&gt;"BS"),"Type inconnu (BL, BR ou BS)",IF(AG1838=0,"Date manquante ou invalide",IF(D1838="",IF(A1838="BL","Client manquant",IF(A1838="BR","Fournisseur manquant","Service manquant")),IF(IF(A1838="BL",ISNA(MATCH(D1838,cl_code,0)),IF(A1838="BR",ISNA(MATCH(D1838,fo_code,0)),ISNA(MATCH(D1838,p_services,0)))),IF(A1838="BL","Client inconnu",IF(A1838="BR","Fournisseur inconnu","Service inconnu")),IF(H1838="","Article manquant",IF(ISNA(MATCH(H1838,art_ref,0)),"Article inconnu",IF(OR(NOT(ISNUMBER(L1838)),N(L1838)&lt;=0),"Quantité invalide",IF(AND(K1838&lt;&gt;"",OR(NOT(ISNUMBER(K1838)),N(K1838)&lt;=0)),"Qté commandée invalide",IF(AG1838&lt;SUMPRODUCT(MAX((A$6:A1837=A1838)*AG$6:AG1837)),"Date antérieure au bon précédent",IF(AND(A1838&lt;&gt;"BR",ISNUMBER(M1838),N(M1838)&gt;0),IF(A1838="BL","Livré plus que commandé","Sorti plus que demandé"),"OK"))))))))))))</f>
        <v/>
      </c>
      <c r="Y1838" s="57" t="str">
        <f>IF(AND(OR(A1838="BL",A1838="BR",A1838="BS"),AG1838&gt;0,D1838&lt;&gt;""),A1838&amp;"|"&amp;AG1838&amp;"|"&amp;D1838&amp;"|"&amp;F1838,"")</f>
        <v/>
      </c>
      <c r="Z1838" s="57" t="str">
        <f>IF(Y1838="","",IF(COUNTIF(Y$6:Y1837,Y1838)=0,1,0))</f>
        <v/>
      </c>
      <c r="AA1838" s="57" t="str">
        <f>IF(Y1838="","",IF(Z1838=1,COUNTIFS(A$6:A1838,A1838,Z$6:Z1838,1),INDEX(AA$6:AA1837,MATCH(Y1838,Y$6:Y1837,0))))</f>
        <v/>
      </c>
      <c r="AB1838" s="57" t="str">
        <f>IF(B1838="","",COUNTIF(B$6:B1838,B1838))</f>
        <v/>
      </c>
      <c r="AC1838" s="57" t="str">
        <f>IF(B1838="","",B1838&amp;"#"&amp;AB1838)</f>
        <v/>
      </c>
      <c r="AD1838" s="57" t="str">
        <f>IF(Z1838=1,A1838&amp;AA1838,"")</f>
        <v/>
      </c>
      <c r="AE1838" s="57" t="str">
        <f>IF(B1838="","",YEAR(C1838))</f>
        <v/>
      </c>
      <c r="AF1838" s="57" t="str">
        <f>IF(B1838="","",MONTH(C1838))</f>
        <v/>
      </c>
      <c r="AG1838" s="57">
        <f>IF(ISNUMBER(C1838),C1838,0)</f>
        <v>0.0</v>
      </c>
      <c r="AH1838" s="57" t="str">
        <f>IF(N(W1838)&gt;0,COUNTIF(W$6:W1838,"&gt;0"),"")</f>
        <v/>
      </c>
      <c r="AI1838" s="57" t="str">
        <f>IF(Z1838=1,COUNTIF(Z$6:Z1838,1),"")</f>
        <v/>
      </c>
    </row>
    <row r="1839">
      <c r="A1839" s="54" t="n"/>
      <c r="B1839" s="55" t="str">
        <f>IF(AA1839="","",A1839&amp;"-"&amp;RIGHT("000"&amp;AA1839,4))</f>
        <v/>
      </c>
      <c r="C1839" s="56" t="n"/>
      <c r="D1839" s="54" t="n"/>
      <c r="E1839" s="57" t="str">
        <f>IF(D1839="","",IF(A1839="BL",IFERROR(INDEX(cl_name,MATCH(D1839,cl_code,0))&amp;"","Client inconnu"),IF(A1839="BR",IFERROR(INDEX(fo_name,MATCH(D1839,fo_code,0))&amp;"","Fournisseur inconnu"),IF(A1839="BS",IF(ISNA(MATCH(D1839,p_services,0)),"Service inconnu",D1839&amp;""),""))))</f>
        <v/>
      </c>
      <c r="F1839" s="58" t="n"/>
      <c r="G1839" s="58" t="n"/>
      <c r="H1839" s="59" t="n"/>
      <c r="I1839" s="57" t="str">
        <f>IF(H1839="","",IFERROR(INDEX(art_des,MATCH(H1839,art_ref,0))&amp;"","Article inconnu"))</f>
        <v/>
      </c>
      <c r="J1839" s="60" t="str">
        <f>IF(H1839="","",IFERROR(INDEX(art_unit,MATCH(H1839,art_ref,0))&amp;"",""))</f>
        <v/>
      </c>
      <c r="K1839" s="59" t="n"/>
      <c r="L1839" s="59" t="n"/>
      <c r="M1839" s="61" t="str">
        <f>IF(OR(B1839="",NOT(ISNUMBER(K1839)),NOT(ISNUMBER(L1839))),"",IF(OR(K1839&lt;=0,L1839&lt;=0),"",ROUND(L1839-K1839,6)))</f>
        <v/>
      </c>
      <c r="N1839" s="58" t="n"/>
      <c r="O1839" s="62" t="n"/>
      <c r="P1839" s="63" t="str">
        <f>IF(OR(B1839="",NOT(ISNUMBER(L1839))),"",IF(L1839&lt;=0,"",IFERROR(ROUND(L1839*N(INDEX(art_w,MATCH(H1839,art_ref,0))),3),"")))</f>
        <v/>
      </c>
      <c r="Q1839" s="59" t="n"/>
      <c r="R1839" s="54" t="n"/>
      <c r="S1839" s="59" t="n"/>
      <c r="T1839" s="59" t="n"/>
      <c r="U1839" s="64" t="str">
        <f>IF(OR(B1839="",H1839=""),"",IFERROR(IF(A1839="BL",IF(N(INDEX(art_price,MATCH(H1839,art_ref,0)))=0,"",N(INDEX(art_price,MATCH(H1839,art_ref,0)))),IF(N(INDEX(art_cost,MATCH(H1839,art_ref,0)))=0,"",N(INDEX(art_cost,MATCH(H1839,art_ref,0))))),""))</f>
        <v/>
      </c>
      <c r="V1839" s="64" t="str">
        <f>IF(OR(U1839="",NOT(ISNUMBER(L1839))),"",IF(L1839&lt;=0,"",ROUND(L1839*U1839,2)))</f>
        <v/>
      </c>
      <c r="W1839" s="60" t="str">
        <f>IF(AND(B1839&lt;&gt;"",A1839&lt;&gt;"BS",F1839&lt;&gt;"",H1839&lt;&gt;"",ISNUMBER(K1839),ISNUMBER(L1839)),IF(AND(K1839&gt;0,L1839&gt;0,K1839-L1839&gt;0,COUNTIFS(A1840:A$2005,A1839,F1840:F$2005,F1839,H1840:H$2005,H1839,AA1840:AA$2005,"&gt;0")=0),ROUND(K1839-L1839,6),""),"")</f>
        <v/>
      </c>
      <c r="X1839" s="60" t="str">
        <f>IF(AND(A1839="",C1839="",D1839="",H1839="",L1839=""),"",IF(A1839="","Type manquant",IF(AND(A1839&lt;&gt;"BL",A1839&lt;&gt;"BR",A1839&lt;&gt;"BS"),"Type inconnu (BL, BR ou BS)",IF(AG1839=0,"Date manquante ou invalide",IF(D1839="",IF(A1839="BL","Client manquant",IF(A1839="BR","Fournisseur manquant","Service manquant")),IF(IF(A1839="BL",ISNA(MATCH(D1839,cl_code,0)),IF(A1839="BR",ISNA(MATCH(D1839,fo_code,0)),ISNA(MATCH(D1839,p_services,0)))),IF(A1839="BL","Client inconnu",IF(A1839="BR","Fournisseur inconnu","Service inconnu")),IF(H1839="","Article manquant",IF(ISNA(MATCH(H1839,art_ref,0)),"Article inconnu",IF(OR(NOT(ISNUMBER(L1839)),N(L1839)&lt;=0),"Quantité invalide",IF(AND(K1839&lt;&gt;"",OR(NOT(ISNUMBER(K1839)),N(K1839)&lt;=0)),"Qté commandée invalide",IF(AG1839&lt;SUMPRODUCT(MAX((A$6:A1838=A1839)*AG$6:AG1838)),"Date antérieure au bon précédent",IF(AND(A1839&lt;&gt;"BR",ISNUMBER(M1839),N(M1839)&gt;0),IF(A1839="BL","Livré plus que commandé","Sorti plus que demandé"),"OK"))))))))))))</f>
        <v/>
      </c>
      <c r="Y1839" s="57" t="str">
        <f>IF(AND(OR(A1839="BL",A1839="BR",A1839="BS"),AG1839&gt;0,D1839&lt;&gt;""),A1839&amp;"|"&amp;AG1839&amp;"|"&amp;D1839&amp;"|"&amp;F1839,"")</f>
        <v/>
      </c>
      <c r="Z1839" s="57" t="str">
        <f>IF(Y1839="","",IF(COUNTIF(Y$6:Y1838,Y1839)=0,1,0))</f>
        <v/>
      </c>
      <c r="AA1839" s="57" t="str">
        <f>IF(Y1839="","",IF(Z1839=1,COUNTIFS(A$6:A1839,A1839,Z$6:Z1839,1),INDEX(AA$6:AA1838,MATCH(Y1839,Y$6:Y1838,0))))</f>
        <v/>
      </c>
      <c r="AB1839" s="57" t="str">
        <f>IF(B1839="","",COUNTIF(B$6:B1839,B1839))</f>
        <v/>
      </c>
      <c r="AC1839" s="57" t="str">
        <f>IF(B1839="","",B1839&amp;"#"&amp;AB1839)</f>
        <v/>
      </c>
      <c r="AD1839" s="57" t="str">
        <f>IF(Z1839=1,A1839&amp;AA1839,"")</f>
        <v/>
      </c>
      <c r="AE1839" s="57" t="str">
        <f>IF(B1839="","",YEAR(C1839))</f>
        <v/>
      </c>
      <c r="AF1839" s="57" t="str">
        <f>IF(B1839="","",MONTH(C1839))</f>
        <v/>
      </c>
      <c r="AG1839" s="57">
        <f>IF(ISNUMBER(C1839),C1839,0)</f>
        <v>0.0</v>
      </c>
      <c r="AH1839" s="57" t="str">
        <f>IF(N(W1839)&gt;0,COUNTIF(W$6:W1839,"&gt;0"),"")</f>
        <v/>
      </c>
      <c r="AI1839" s="57" t="str">
        <f>IF(Z1839=1,COUNTIF(Z$6:Z1839,1),"")</f>
        <v/>
      </c>
    </row>
    <row r="1840">
      <c r="A1840" s="54" t="n"/>
      <c r="B1840" s="55" t="str">
        <f>IF(AA1840="","",A1840&amp;"-"&amp;RIGHT("000"&amp;AA1840,4))</f>
        <v/>
      </c>
      <c r="C1840" s="56" t="n"/>
      <c r="D1840" s="54" t="n"/>
      <c r="E1840" s="57" t="str">
        <f>IF(D1840="","",IF(A1840="BL",IFERROR(INDEX(cl_name,MATCH(D1840,cl_code,0))&amp;"","Client inconnu"),IF(A1840="BR",IFERROR(INDEX(fo_name,MATCH(D1840,fo_code,0))&amp;"","Fournisseur inconnu"),IF(A1840="BS",IF(ISNA(MATCH(D1840,p_services,0)),"Service inconnu",D1840&amp;""),""))))</f>
        <v/>
      </c>
      <c r="F1840" s="58" t="n"/>
      <c r="G1840" s="58" t="n"/>
      <c r="H1840" s="59" t="n"/>
      <c r="I1840" s="57" t="str">
        <f>IF(H1840="","",IFERROR(INDEX(art_des,MATCH(H1840,art_ref,0))&amp;"","Article inconnu"))</f>
        <v/>
      </c>
      <c r="J1840" s="60" t="str">
        <f>IF(H1840="","",IFERROR(INDEX(art_unit,MATCH(H1840,art_ref,0))&amp;"",""))</f>
        <v/>
      </c>
      <c r="K1840" s="59" t="n"/>
      <c r="L1840" s="59" t="n"/>
      <c r="M1840" s="61" t="str">
        <f>IF(OR(B1840="",NOT(ISNUMBER(K1840)),NOT(ISNUMBER(L1840))),"",IF(OR(K1840&lt;=0,L1840&lt;=0),"",ROUND(L1840-K1840,6)))</f>
        <v/>
      </c>
      <c r="N1840" s="58" t="n"/>
      <c r="O1840" s="62" t="n"/>
      <c r="P1840" s="63" t="str">
        <f>IF(OR(B1840="",NOT(ISNUMBER(L1840))),"",IF(L1840&lt;=0,"",IFERROR(ROUND(L1840*N(INDEX(art_w,MATCH(H1840,art_ref,0))),3),"")))</f>
        <v/>
      </c>
      <c r="Q1840" s="59" t="n"/>
      <c r="R1840" s="54" t="n"/>
      <c r="S1840" s="59" t="n"/>
      <c r="T1840" s="59" t="n"/>
      <c r="U1840" s="64" t="str">
        <f>IF(OR(B1840="",H1840=""),"",IFERROR(IF(A1840="BL",IF(N(INDEX(art_price,MATCH(H1840,art_ref,0)))=0,"",N(INDEX(art_price,MATCH(H1840,art_ref,0)))),IF(N(INDEX(art_cost,MATCH(H1840,art_ref,0)))=0,"",N(INDEX(art_cost,MATCH(H1840,art_ref,0))))),""))</f>
        <v/>
      </c>
      <c r="V1840" s="64" t="str">
        <f>IF(OR(U1840="",NOT(ISNUMBER(L1840))),"",IF(L1840&lt;=0,"",ROUND(L1840*U1840,2)))</f>
        <v/>
      </c>
      <c r="W1840" s="60" t="str">
        <f>IF(AND(B1840&lt;&gt;"",A1840&lt;&gt;"BS",F1840&lt;&gt;"",H1840&lt;&gt;"",ISNUMBER(K1840),ISNUMBER(L1840)),IF(AND(K1840&gt;0,L1840&gt;0,K1840-L1840&gt;0,COUNTIFS(A1841:A$2005,A1840,F1841:F$2005,F1840,H1841:H$2005,H1840,AA1841:AA$2005,"&gt;0")=0),ROUND(K1840-L1840,6),""),"")</f>
        <v/>
      </c>
      <c r="X1840" s="60" t="str">
        <f>IF(AND(A1840="",C1840="",D1840="",H1840="",L1840=""),"",IF(A1840="","Type manquant",IF(AND(A1840&lt;&gt;"BL",A1840&lt;&gt;"BR",A1840&lt;&gt;"BS"),"Type inconnu (BL, BR ou BS)",IF(AG1840=0,"Date manquante ou invalide",IF(D1840="",IF(A1840="BL","Client manquant",IF(A1840="BR","Fournisseur manquant","Service manquant")),IF(IF(A1840="BL",ISNA(MATCH(D1840,cl_code,0)),IF(A1840="BR",ISNA(MATCH(D1840,fo_code,0)),ISNA(MATCH(D1840,p_services,0)))),IF(A1840="BL","Client inconnu",IF(A1840="BR","Fournisseur inconnu","Service inconnu")),IF(H1840="","Article manquant",IF(ISNA(MATCH(H1840,art_ref,0)),"Article inconnu",IF(OR(NOT(ISNUMBER(L1840)),N(L1840)&lt;=0),"Quantité invalide",IF(AND(K1840&lt;&gt;"",OR(NOT(ISNUMBER(K1840)),N(K1840)&lt;=0)),"Qté commandée invalide",IF(AG1840&lt;SUMPRODUCT(MAX((A$6:A1839=A1840)*AG$6:AG1839)),"Date antérieure au bon précédent",IF(AND(A1840&lt;&gt;"BR",ISNUMBER(M1840),N(M1840)&gt;0),IF(A1840="BL","Livré plus que commandé","Sorti plus que demandé"),"OK"))))))))))))</f>
        <v/>
      </c>
      <c r="Y1840" s="57" t="str">
        <f>IF(AND(OR(A1840="BL",A1840="BR",A1840="BS"),AG1840&gt;0,D1840&lt;&gt;""),A1840&amp;"|"&amp;AG1840&amp;"|"&amp;D1840&amp;"|"&amp;F1840,"")</f>
        <v/>
      </c>
      <c r="Z1840" s="57" t="str">
        <f>IF(Y1840="","",IF(COUNTIF(Y$6:Y1839,Y1840)=0,1,0))</f>
        <v/>
      </c>
      <c r="AA1840" s="57" t="str">
        <f>IF(Y1840="","",IF(Z1840=1,COUNTIFS(A$6:A1840,A1840,Z$6:Z1840,1),INDEX(AA$6:AA1839,MATCH(Y1840,Y$6:Y1839,0))))</f>
        <v/>
      </c>
      <c r="AB1840" s="57" t="str">
        <f>IF(B1840="","",COUNTIF(B$6:B1840,B1840))</f>
        <v/>
      </c>
      <c r="AC1840" s="57" t="str">
        <f>IF(B1840="","",B1840&amp;"#"&amp;AB1840)</f>
        <v/>
      </c>
      <c r="AD1840" s="57" t="str">
        <f>IF(Z1840=1,A1840&amp;AA1840,"")</f>
        <v/>
      </c>
      <c r="AE1840" s="57" t="str">
        <f>IF(B1840="","",YEAR(C1840))</f>
        <v/>
      </c>
      <c r="AF1840" s="57" t="str">
        <f>IF(B1840="","",MONTH(C1840))</f>
        <v/>
      </c>
      <c r="AG1840" s="57">
        <f>IF(ISNUMBER(C1840),C1840,0)</f>
        <v>0.0</v>
      </c>
      <c r="AH1840" s="57" t="str">
        <f>IF(N(W1840)&gt;0,COUNTIF(W$6:W1840,"&gt;0"),"")</f>
        <v/>
      </c>
      <c r="AI1840" s="57" t="str">
        <f>IF(Z1840=1,COUNTIF(Z$6:Z1840,1),"")</f>
        <v/>
      </c>
    </row>
    <row r="1841">
      <c r="A1841" s="54" t="n"/>
      <c r="B1841" s="55" t="str">
        <f>IF(AA1841="","",A1841&amp;"-"&amp;RIGHT("000"&amp;AA1841,4))</f>
        <v/>
      </c>
      <c r="C1841" s="56" t="n"/>
      <c r="D1841" s="54" t="n"/>
      <c r="E1841" s="57" t="str">
        <f>IF(D1841="","",IF(A1841="BL",IFERROR(INDEX(cl_name,MATCH(D1841,cl_code,0))&amp;"","Client inconnu"),IF(A1841="BR",IFERROR(INDEX(fo_name,MATCH(D1841,fo_code,0))&amp;"","Fournisseur inconnu"),IF(A1841="BS",IF(ISNA(MATCH(D1841,p_services,0)),"Service inconnu",D1841&amp;""),""))))</f>
        <v/>
      </c>
      <c r="F1841" s="58" t="n"/>
      <c r="G1841" s="58" t="n"/>
      <c r="H1841" s="59" t="n"/>
      <c r="I1841" s="57" t="str">
        <f>IF(H1841="","",IFERROR(INDEX(art_des,MATCH(H1841,art_ref,0))&amp;"","Article inconnu"))</f>
        <v/>
      </c>
      <c r="J1841" s="60" t="str">
        <f>IF(H1841="","",IFERROR(INDEX(art_unit,MATCH(H1841,art_ref,0))&amp;"",""))</f>
        <v/>
      </c>
      <c r="K1841" s="59" t="n"/>
      <c r="L1841" s="59" t="n"/>
      <c r="M1841" s="61" t="str">
        <f>IF(OR(B1841="",NOT(ISNUMBER(K1841)),NOT(ISNUMBER(L1841))),"",IF(OR(K1841&lt;=0,L1841&lt;=0),"",ROUND(L1841-K1841,6)))</f>
        <v/>
      </c>
      <c r="N1841" s="58" t="n"/>
      <c r="O1841" s="62" t="n"/>
      <c r="P1841" s="63" t="str">
        <f>IF(OR(B1841="",NOT(ISNUMBER(L1841))),"",IF(L1841&lt;=0,"",IFERROR(ROUND(L1841*N(INDEX(art_w,MATCH(H1841,art_ref,0))),3),"")))</f>
        <v/>
      </c>
      <c r="Q1841" s="59" t="n"/>
      <c r="R1841" s="54" t="n"/>
      <c r="S1841" s="59" t="n"/>
      <c r="T1841" s="59" t="n"/>
      <c r="U1841" s="64" t="str">
        <f>IF(OR(B1841="",H1841=""),"",IFERROR(IF(A1841="BL",IF(N(INDEX(art_price,MATCH(H1841,art_ref,0)))=0,"",N(INDEX(art_price,MATCH(H1841,art_ref,0)))),IF(N(INDEX(art_cost,MATCH(H1841,art_ref,0)))=0,"",N(INDEX(art_cost,MATCH(H1841,art_ref,0))))),""))</f>
        <v/>
      </c>
      <c r="V1841" s="64" t="str">
        <f>IF(OR(U1841="",NOT(ISNUMBER(L1841))),"",IF(L1841&lt;=0,"",ROUND(L1841*U1841,2)))</f>
        <v/>
      </c>
      <c r="W1841" s="60" t="str">
        <f>IF(AND(B1841&lt;&gt;"",A1841&lt;&gt;"BS",F1841&lt;&gt;"",H1841&lt;&gt;"",ISNUMBER(K1841),ISNUMBER(L1841)),IF(AND(K1841&gt;0,L1841&gt;0,K1841-L1841&gt;0,COUNTIFS(A1842:A$2005,A1841,F1842:F$2005,F1841,H1842:H$2005,H1841,AA1842:AA$2005,"&gt;0")=0),ROUND(K1841-L1841,6),""),"")</f>
        <v/>
      </c>
      <c r="X1841" s="60" t="str">
        <f>IF(AND(A1841="",C1841="",D1841="",H1841="",L1841=""),"",IF(A1841="","Type manquant",IF(AND(A1841&lt;&gt;"BL",A1841&lt;&gt;"BR",A1841&lt;&gt;"BS"),"Type inconnu (BL, BR ou BS)",IF(AG1841=0,"Date manquante ou invalide",IF(D1841="",IF(A1841="BL","Client manquant",IF(A1841="BR","Fournisseur manquant","Service manquant")),IF(IF(A1841="BL",ISNA(MATCH(D1841,cl_code,0)),IF(A1841="BR",ISNA(MATCH(D1841,fo_code,0)),ISNA(MATCH(D1841,p_services,0)))),IF(A1841="BL","Client inconnu",IF(A1841="BR","Fournisseur inconnu","Service inconnu")),IF(H1841="","Article manquant",IF(ISNA(MATCH(H1841,art_ref,0)),"Article inconnu",IF(OR(NOT(ISNUMBER(L1841)),N(L1841)&lt;=0),"Quantité invalide",IF(AND(K1841&lt;&gt;"",OR(NOT(ISNUMBER(K1841)),N(K1841)&lt;=0)),"Qté commandée invalide",IF(AG1841&lt;SUMPRODUCT(MAX((A$6:A1840=A1841)*AG$6:AG1840)),"Date antérieure au bon précédent",IF(AND(A1841&lt;&gt;"BR",ISNUMBER(M1841),N(M1841)&gt;0),IF(A1841="BL","Livré plus que commandé","Sorti plus que demandé"),"OK"))))))))))))</f>
        <v/>
      </c>
      <c r="Y1841" s="57" t="str">
        <f>IF(AND(OR(A1841="BL",A1841="BR",A1841="BS"),AG1841&gt;0,D1841&lt;&gt;""),A1841&amp;"|"&amp;AG1841&amp;"|"&amp;D1841&amp;"|"&amp;F1841,"")</f>
        <v/>
      </c>
      <c r="Z1841" s="57" t="str">
        <f>IF(Y1841="","",IF(COUNTIF(Y$6:Y1840,Y1841)=0,1,0))</f>
        <v/>
      </c>
      <c r="AA1841" s="57" t="str">
        <f>IF(Y1841="","",IF(Z1841=1,COUNTIFS(A$6:A1841,A1841,Z$6:Z1841,1),INDEX(AA$6:AA1840,MATCH(Y1841,Y$6:Y1840,0))))</f>
        <v/>
      </c>
      <c r="AB1841" s="57" t="str">
        <f>IF(B1841="","",COUNTIF(B$6:B1841,B1841))</f>
        <v/>
      </c>
      <c r="AC1841" s="57" t="str">
        <f>IF(B1841="","",B1841&amp;"#"&amp;AB1841)</f>
        <v/>
      </c>
      <c r="AD1841" s="57" t="str">
        <f>IF(Z1841=1,A1841&amp;AA1841,"")</f>
        <v/>
      </c>
      <c r="AE1841" s="57" t="str">
        <f>IF(B1841="","",YEAR(C1841))</f>
        <v/>
      </c>
      <c r="AF1841" s="57" t="str">
        <f>IF(B1841="","",MONTH(C1841))</f>
        <v/>
      </c>
      <c r="AG1841" s="57">
        <f>IF(ISNUMBER(C1841),C1841,0)</f>
        <v>0.0</v>
      </c>
      <c r="AH1841" s="57" t="str">
        <f>IF(N(W1841)&gt;0,COUNTIF(W$6:W1841,"&gt;0"),"")</f>
        <v/>
      </c>
      <c r="AI1841" s="57" t="str">
        <f>IF(Z1841=1,COUNTIF(Z$6:Z1841,1),"")</f>
        <v/>
      </c>
    </row>
    <row r="1842">
      <c r="A1842" s="54" t="n"/>
      <c r="B1842" s="55" t="str">
        <f>IF(AA1842="","",A1842&amp;"-"&amp;RIGHT("000"&amp;AA1842,4))</f>
        <v/>
      </c>
      <c r="C1842" s="56" t="n"/>
      <c r="D1842" s="54" t="n"/>
      <c r="E1842" s="57" t="str">
        <f>IF(D1842="","",IF(A1842="BL",IFERROR(INDEX(cl_name,MATCH(D1842,cl_code,0))&amp;"","Client inconnu"),IF(A1842="BR",IFERROR(INDEX(fo_name,MATCH(D1842,fo_code,0))&amp;"","Fournisseur inconnu"),IF(A1842="BS",IF(ISNA(MATCH(D1842,p_services,0)),"Service inconnu",D1842&amp;""),""))))</f>
        <v/>
      </c>
      <c r="F1842" s="58" t="n"/>
      <c r="G1842" s="58" t="n"/>
      <c r="H1842" s="59" t="n"/>
      <c r="I1842" s="57" t="str">
        <f>IF(H1842="","",IFERROR(INDEX(art_des,MATCH(H1842,art_ref,0))&amp;"","Article inconnu"))</f>
        <v/>
      </c>
      <c r="J1842" s="60" t="str">
        <f>IF(H1842="","",IFERROR(INDEX(art_unit,MATCH(H1842,art_ref,0))&amp;"",""))</f>
        <v/>
      </c>
      <c r="K1842" s="59" t="n"/>
      <c r="L1842" s="59" t="n"/>
      <c r="M1842" s="61" t="str">
        <f>IF(OR(B1842="",NOT(ISNUMBER(K1842)),NOT(ISNUMBER(L1842))),"",IF(OR(K1842&lt;=0,L1842&lt;=0),"",ROUND(L1842-K1842,6)))</f>
        <v/>
      </c>
      <c r="N1842" s="58" t="n"/>
      <c r="O1842" s="62" t="n"/>
      <c r="P1842" s="63" t="str">
        <f>IF(OR(B1842="",NOT(ISNUMBER(L1842))),"",IF(L1842&lt;=0,"",IFERROR(ROUND(L1842*N(INDEX(art_w,MATCH(H1842,art_ref,0))),3),"")))</f>
        <v/>
      </c>
      <c r="Q1842" s="59" t="n"/>
      <c r="R1842" s="54" t="n"/>
      <c r="S1842" s="59" t="n"/>
      <c r="T1842" s="59" t="n"/>
      <c r="U1842" s="64" t="str">
        <f>IF(OR(B1842="",H1842=""),"",IFERROR(IF(A1842="BL",IF(N(INDEX(art_price,MATCH(H1842,art_ref,0)))=0,"",N(INDEX(art_price,MATCH(H1842,art_ref,0)))),IF(N(INDEX(art_cost,MATCH(H1842,art_ref,0)))=0,"",N(INDEX(art_cost,MATCH(H1842,art_ref,0))))),""))</f>
        <v/>
      </c>
      <c r="V1842" s="64" t="str">
        <f>IF(OR(U1842="",NOT(ISNUMBER(L1842))),"",IF(L1842&lt;=0,"",ROUND(L1842*U1842,2)))</f>
        <v/>
      </c>
      <c r="W1842" s="60" t="str">
        <f>IF(AND(B1842&lt;&gt;"",A1842&lt;&gt;"BS",F1842&lt;&gt;"",H1842&lt;&gt;"",ISNUMBER(K1842),ISNUMBER(L1842)),IF(AND(K1842&gt;0,L1842&gt;0,K1842-L1842&gt;0,COUNTIFS(A1843:A$2005,A1842,F1843:F$2005,F1842,H1843:H$2005,H1842,AA1843:AA$2005,"&gt;0")=0),ROUND(K1842-L1842,6),""),"")</f>
        <v/>
      </c>
      <c r="X1842" s="60" t="str">
        <f>IF(AND(A1842="",C1842="",D1842="",H1842="",L1842=""),"",IF(A1842="","Type manquant",IF(AND(A1842&lt;&gt;"BL",A1842&lt;&gt;"BR",A1842&lt;&gt;"BS"),"Type inconnu (BL, BR ou BS)",IF(AG1842=0,"Date manquante ou invalide",IF(D1842="",IF(A1842="BL","Client manquant",IF(A1842="BR","Fournisseur manquant","Service manquant")),IF(IF(A1842="BL",ISNA(MATCH(D1842,cl_code,0)),IF(A1842="BR",ISNA(MATCH(D1842,fo_code,0)),ISNA(MATCH(D1842,p_services,0)))),IF(A1842="BL","Client inconnu",IF(A1842="BR","Fournisseur inconnu","Service inconnu")),IF(H1842="","Article manquant",IF(ISNA(MATCH(H1842,art_ref,0)),"Article inconnu",IF(OR(NOT(ISNUMBER(L1842)),N(L1842)&lt;=0),"Quantité invalide",IF(AND(K1842&lt;&gt;"",OR(NOT(ISNUMBER(K1842)),N(K1842)&lt;=0)),"Qté commandée invalide",IF(AG1842&lt;SUMPRODUCT(MAX((A$6:A1841=A1842)*AG$6:AG1841)),"Date antérieure au bon précédent",IF(AND(A1842&lt;&gt;"BR",ISNUMBER(M1842),N(M1842)&gt;0),IF(A1842="BL","Livré plus que commandé","Sorti plus que demandé"),"OK"))))))))))))</f>
        <v/>
      </c>
      <c r="Y1842" s="57" t="str">
        <f>IF(AND(OR(A1842="BL",A1842="BR",A1842="BS"),AG1842&gt;0,D1842&lt;&gt;""),A1842&amp;"|"&amp;AG1842&amp;"|"&amp;D1842&amp;"|"&amp;F1842,"")</f>
        <v/>
      </c>
      <c r="Z1842" s="57" t="str">
        <f>IF(Y1842="","",IF(COUNTIF(Y$6:Y1841,Y1842)=0,1,0))</f>
        <v/>
      </c>
      <c r="AA1842" s="57" t="str">
        <f>IF(Y1842="","",IF(Z1842=1,COUNTIFS(A$6:A1842,A1842,Z$6:Z1842,1),INDEX(AA$6:AA1841,MATCH(Y1842,Y$6:Y1841,0))))</f>
        <v/>
      </c>
      <c r="AB1842" s="57" t="str">
        <f>IF(B1842="","",COUNTIF(B$6:B1842,B1842))</f>
        <v/>
      </c>
      <c r="AC1842" s="57" t="str">
        <f>IF(B1842="","",B1842&amp;"#"&amp;AB1842)</f>
        <v/>
      </c>
      <c r="AD1842" s="57" t="str">
        <f>IF(Z1842=1,A1842&amp;AA1842,"")</f>
        <v/>
      </c>
      <c r="AE1842" s="57" t="str">
        <f>IF(B1842="","",YEAR(C1842))</f>
        <v/>
      </c>
      <c r="AF1842" s="57" t="str">
        <f>IF(B1842="","",MONTH(C1842))</f>
        <v/>
      </c>
      <c r="AG1842" s="57">
        <f>IF(ISNUMBER(C1842),C1842,0)</f>
        <v>0.0</v>
      </c>
      <c r="AH1842" s="57" t="str">
        <f>IF(N(W1842)&gt;0,COUNTIF(W$6:W1842,"&gt;0"),"")</f>
        <v/>
      </c>
      <c r="AI1842" s="57" t="str">
        <f>IF(Z1842=1,COUNTIF(Z$6:Z1842,1),"")</f>
        <v/>
      </c>
    </row>
    <row r="1843">
      <c r="A1843" s="54" t="n"/>
      <c r="B1843" s="55" t="str">
        <f>IF(AA1843="","",A1843&amp;"-"&amp;RIGHT("000"&amp;AA1843,4))</f>
        <v/>
      </c>
      <c r="C1843" s="56" t="n"/>
      <c r="D1843" s="54" t="n"/>
      <c r="E1843" s="57" t="str">
        <f>IF(D1843="","",IF(A1843="BL",IFERROR(INDEX(cl_name,MATCH(D1843,cl_code,0))&amp;"","Client inconnu"),IF(A1843="BR",IFERROR(INDEX(fo_name,MATCH(D1843,fo_code,0))&amp;"","Fournisseur inconnu"),IF(A1843="BS",IF(ISNA(MATCH(D1843,p_services,0)),"Service inconnu",D1843&amp;""),""))))</f>
        <v/>
      </c>
      <c r="F1843" s="58" t="n"/>
      <c r="G1843" s="58" t="n"/>
      <c r="H1843" s="59" t="n"/>
      <c r="I1843" s="57" t="str">
        <f>IF(H1843="","",IFERROR(INDEX(art_des,MATCH(H1843,art_ref,0))&amp;"","Article inconnu"))</f>
        <v/>
      </c>
      <c r="J1843" s="60" t="str">
        <f>IF(H1843="","",IFERROR(INDEX(art_unit,MATCH(H1843,art_ref,0))&amp;"",""))</f>
        <v/>
      </c>
      <c r="K1843" s="59" t="n"/>
      <c r="L1843" s="59" t="n"/>
      <c r="M1843" s="61" t="str">
        <f>IF(OR(B1843="",NOT(ISNUMBER(K1843)),NOT(ISNUMBER(L1843))),"",IF(OR(K1843&lt;=0,L1843&lt;=0),"",ROUND(L1843-K1843,6)))</f>
        <v/>
      </c>
      <c r="N1843" s="58" t="n"/>
      <c r="O1843" s="62" t="n"/>
      <c r="P1843" s="63" t="str">
        <f>IF(OR(B1843="",NOT(ISNUMBER(L1843))),"",IF(L1843&lt;=0,"",IFERROR(ROUND(L1843*N(INDEX(art_w,MATCH(H1843,art_ref,0))),3),"")))</f>
        <v/>
      </c>
      <c r="Q1843" s="59" t="n"/>
      <c r="R1843" s="54" t="n"/>
      <c r="S1843" s="59" t="n"/>
      <c r="T1843" s="59" t="n"/>
      <c r="U1843" s="64" t="str">
        <f>IF(OR(B1843="",H1843=""),"",IFERROR(IF(A1843="BL",IF(N(INDEX(art_price,MATCH(H1843,art_ref,0)))=0,"",N(INDEX(art_price,MATCH(H1843,art_ref,0)))),IF(N(INDEX(art_cost,MATCH(H1843,art_ref,0)))=0,"",N(INDEX(art_cost,MATCH(H1843,art_ref,0))))),""))</f>
        <v/>
      </c>
      <c r="V1843" s="64" t="str">
        <f>IF(OR(U1843="",NOT(ISNUMBER(L1843))),"",IF(L1843&lt;=0,"",ROUND(L1843*U1843,2)))</f>
        <v/>
      </c>
      <c r="W1843" s="60" t="str">
        <f>IF(AND(B1843&lt;&gt;"",A1843&lt;&gt;"BS",F1843&lt;&gt;"",H1843&lt;&gt;"",ISNUMBER(K1843),ISNUMBER(L1843)),IF(AND(K1843&gt;0,L1843&gt;0,K1843-L1843&gt;0,COUNTIFS(A1844:A$2005,A1843,F1844:F$2005,F1843,H1844:H$2005,H1843,AA1844:AA$2005,"&gt;0")=0),ROUND(K1843-L1843,6),""),"")</f>
        <v/>
      </c>
      <c r="X1843" s="60" t="str">
        <f>IF(AND(A1843="",C1843="",D1843="",H1843="",L1843=""),"",IF(A1843="","Type manquant",IF(AND(A1843&lt;&gt;"BL",A1843&lt;&gt;"BR",A1843&lt;&gt;"BS"),"Type inconnu (BL, BR ou BS)",IF(AG1843=0,"Date manquante ou invalide",IF(D1843="",IF(A1843="BL","Client manquant",IF(A1843="BR","Fournisseur manquant","Service manquant")),IF(IF(A1843="BL",ISNA(MATCH(D1843,cl_code,0)),IF(A1843="BR",ISNA(MATCH(D1843,fo_code,0)),ISNA(MATCH(D1843,p_services,0)))),IF(A1843="BL","Client inconnu",IF(A1843="BR","Fournisseur inconnu","Service inconnu")),IF(H1843="","Article manquant",IF(ISNA(MATCH(H1843,art_ref,0)),"Article inconnu",IF(OR(NOT(ISNUMBER(L1843)),N(L1843)&lt;=0),"Quantité invalide",IF(AND(K1843&lt;&gt;"",OR(NOT(ISNUMBER(K1843)),N(K1843)&lt;=0)),"Qté commandée invalide",IF(AG1843&lt;SUMPRODUCT(MAX((A$6:A1842=A1843)*AG$6:AG1842)),"Date antérieure au bon précédent",IF(AND(A1843&lt;&gt;"BR",ISNUMBER(M1843),N(M1843)&gt;0),IF(A1843="BL","Livré plus que commandé","Sorti plus que demandé"),"OK"))))))))))))</f>
        <v/>
      </c>
      <c r="Y1843" s="57" t="str">
        <f>IF(AND(OR(A1843="BL",A1843="BR",A1843="BS"),AG1843&gt;0,D1843&lt;&gt;""),A1843&amp;"|"&amp;AG1843&amp;"|"&amp;D1843&amp;"|"&amp;F1843,"")</f>
        <v/>
      </c>
      <c r="Z1843" s="57" t="str">
        <f>IF(Y1843="","",IF(COUNTIF(Y$6:Y1842,Y1843)=0,1,0))</f>
        <v/>
      </c>
      <c r="AA1843" s="57" t="str">
        <f>IF(Y1843="","",IF(Z1843=1,COUNTIFS(A$6:A1843,A1843,Z$6:Z1843,1),INDEX(AA$6:AA1842,MATCH(Y1843,Y$6:Y1842,0))))</f>
        <v/>
      </c>
      <c r="AB1843" s="57" t="str">
        <f>IF(B1843="","",COUNTIF(B$6:B1843,B1843))</f>
        <v/>
      </c>
      <c r="AC1843" s="57" t="str">
        <f>IF(B1843="","",B1843&amp;"#"&amp;AB1843)</f>
        <v/>
      </c>
      <c r="AD1843" s="57" t="str">
        <f>IF(Z1843=1,A1843&amp;AA1843,"")</f>
        <v/>
      </c>
      <c r="AE1843" s="57" t="str">
        <f>IF(B1843="","",YEAR(C1843))</f>
        <v/>
      </c>
      <c r="AF1843" s="57" t="str">
        <f>IF(B1843="","",MONTH(C1843))</f>
        <v/>
      </c>
      <c r="AG1843" s="57">
        <f>IF(ISNUMBER(C1843),C1843,0)</f>
        <v>0.0</v>
      </c>
      <c r="AH1843" s="57" t="str">
        <f>IF(N(W1843)&gt;0,COUNTIF(W$6:W1843,"&gt;0"),"")</f>
        <v/>
      </c>
      <c r="AI1843" s="57" t="str">
        <f>IF(Z1843=1,COUNTIF(Z$6:Z1843,1),"")</f>
        <v/>
      </c>
    </row>
    <row r="1844">
      <c r="A1844" s="54" t="n"/>
      <c r="B1844" s="55" t="str">
        <f>IF(AA1844="","",A1844&amp;"-"&amp;RIGHT("000"&amp;AA1844,4))</f>
        <v/>
      </c>
      <c r="C1844" s="56" t="n"/>
      <c r="D1844" s="54" t="n"/>
      <c r="E1844" s="57" t="str">
        <f>IF(D1844="","",IF(A1844="BL",IFERROR(INDEX(cl_name,MATCH(D1844,cl_code,0))&amp;"","Client inconnu"),IF(A1844="BR",IFERROR(INDEX(fo_name,MATCH(D1844,fo_code,0))&amp;"","Fournisseur inconnu"),IF(A1844="BS",IF(ISNA(MATCH(D1844,p_services,0)),"Service inconnu",D1844&amp;""),""))))</f>
        <v/>
      </c>
      <c r="F1844" s="58" t="n"/>
      <c r="G1844" s="58" t="n"/>
      <c r="H1844" s="59" t="n"/>
      <c r="I1844" s="57" t="str">
        <f>IF(H1844="","",IFERROR(INDEX(art_des,MATCH(H1844,art_ref,0))&amp;"","Article inconnu"))</f>
        <v/>
      </c>
      <c r="J1844" s="60" t="str">
        <f>IF(H1844="","",IFERROR(INDEX(art_unit,MATCH(H1844,art_ref,0))&amp;"",""))</f>
        <v/>
      </c>
      <c r="K1844" s="59" t="n"/>
      <c r="L1844" s="59" t="n"/>
      <c r="M1844" s="61" t="str">
        <f>IF(OR(B1844="",NOT(ISNUMBER(K1844)),NOT(ISNUMBER(L1844))),"",IF(OR(K1844&lt;=0,L1844&lt;=0),"",ROUND(L1844-K1844,6)))</f>
        <v/>
      </c>
      <c r="N1844" s="58" t="n"/>
      <c r="O1844" s="62" t="n"/>
      <c r="P1844" s="63" t="str">
        <f>IF(OR(B1844="",NOT(ISNUMBER(L1844))),"",IF(L1844&lt;=0,"",IFERROR(ROUND(L1844*N(INDEX(art_w,MATCH(H1844,art_ref,0))),3),"")))</f>
        <v/>
      </c>
      <c r="Q1844" s="59" t="n"/>
      <c r="R1844" s="54" t="n"/>
      <c r="S1844" s="59" t="n"/>
      <c r="T1844" s="59" t="n"/>
      <c r="U1844" s="64" t="str">
        <f>IF(OR(B1844="",H1844=""),"",IFERROR(IF(A1844="BL",IF(N(INDEX(art_price,MATCH(H1844,art_ref,0)))=0,"",N(INDEX(art_price,MATCH(H1844,art_ref,0)))),IF(N(INDEX(art_cost,MATCH(H1844,art_ref,0)))=0,"",N(INDEX(art_cost,MATCH(H1844,art_ref,0))))),""))</f>
        <v/>
      </c>
      <c r="V1844" s="64" t="str">
        <f>IF(OR(U1844="",NOT(ISNUMBER(L1844))),"",IF(L1844&lt;=0,"",ROUND(L1844*U1844,2)))</f>
        <v/>
      </c>
      <c r="W1844" s="60" t="str">
        <f>IF(AND(B1844&lt;&gt;"",A1844&lt;&gt;"BS",F1844&lt;&gt;"",H1844&lt;&gt;"",ISNUMBER(K1844),ISNUMBER(L1844)),IF(AND(K1844&gt;0,L1844&gt;0,K1844-L1844&gt;0,COUNTIFS(A1845:A$2005,A1844,F1845:F$2005,F1844,H1845:H$2005,H1844,AA1845:AA$2005,"&gt;0")=0),ROUND(K1844-L1844,6),""),"")</f>
        <v/>
      </c>
      <c r="X1844" s="60" t="str">
        <f>IF(AND(A1844="",C1844="",D1844="",H1844="",L1844=""),"",IF(A1844="","Type manquant",IF(AND(A1844&lt;&gt;"BL",A1844&lt;&gt;"BR",A1844&lt;&gt;"BS"),"Type inconnu (BL, BR ou BS)",IF(AG1844=0,"Date manquante ou invalide",IF(D1844="",IF(A1844="BL","Client manquant",IF(A1844="BR","Fournisseur manquant","Service manquant")),IF(IF(A1844="BL",ISNA(MATCH(D1844,cl_code,0)),IF(A1844="BR",ISNA(MATCH(D1844,fo_code,0)),ISNA(MATCH(D1844,p_services,0)))),IF(A1844="BL","Client inconnu",IF(A1844="BR","Fournisseur inconnu","Service inconnu")),IF(H1844="","Article manquant",IF(ISNA(MATCH(H1844,art_ref,0)),"Article inconnu",IF(OR(NOT(ISNUMBER(L1844)),N(L1844)&lt;=0),"Quantité invalide",IF(AND(K1844&lt;&gt;"",OR(NOT(ISNUMBER(K1844)),N(K1844)&lt;=0)),"Qté commandée invalide",IF(AG1844&lt;SUMPRODUCT(MAX((A$6:A1843=A1844)*AG$6:AG1843)),"Date antérieure au bon précédent",IF(AND(A1844&lt;&gt;"BR",ISNUMBER(M1844),N(M1844)&gt;0),IF(A1844="BL","Livré plus que commandé","Sorti plus que demandé"),"OK"))))))))))))</f>
        <v/>
      </c>
      <c r="Y1844" s="57" t="str">
        <f>IF(AND(OR(A1844="BL",A1844="BR",A1844="BS"),AG1844&gt;0,D1844&lt;&gt;""),A1844&amp;"|"&amp;AG1844&amp;"|"&amp;D1844&amp;"|"&amp;F1844,"")</f>
        <v/>
      </c>
      <c r="Z1844" s="57" t="str">
        <f>IF(Y1844="","",IF(COUNTIF(Y$6:Y1843,Y1844)=0,1,0))</f>
        <v/>
      </c>
      <c r="AA1844" s="57" t="str">
        <f>IF(Y1844="","",IF(Z1844=1,COUNTIFS(A$6:A1844,A1844,Z$6:Z1844,1),INDEX(AA$6:AA1843,MATCH(Y1844,Y$6:Y1843,0))))</f>
        <v/>
      </c>
      <c r="AB1844" s="57" t="str">
        <f>IF(B1844="","",COUNTIF(B$6:B1844,B1844))</f>
        <v/>
      </c>
      <c r="AC1844" s="57" t="str">
        <f>IF(B1844="","",B1844&amp;"#"&amp;AB1844)</f>
        <v/>
      </c>
      <c r="AD1844" s="57" t="str">
        <f>IF(Z1844=1,A1844&amp;AA1844,"")</f>
        <v/>
      </c>
      <c r="AE1844" s="57" t="str">
        <f>IF(B1844="","",YEAR(C1844))</f>
        <v/>
      </c>
      <c r="AF1844" s="57" t="str">
        <f>IF(B1844="","",MONTH(C1844))</f>
        <v/>
      </c>
      <c r="AG1844" s="57">
        <f>IF(ISNUMBER(C1844),C1844,0)</f>
        <v>0.0</v>
      </c>
      <c r="AH1844" s="57" t="str">
        <f>IF(N(W1844)&gt;0,COUNTIF(W$6:W1844,"&gt;0"),"")</f>
        <v/>
      </c>
      <c r="AI1844" s="57" t="str">
        <f>IF(Z1844=1,COUNTIF(Z$6:Z1844,1),"")</f>
        <v/>
      </c>
    </row>
    <row r="1845">
      <c r="A1845" s="54" t="n"/>
      <c r="B1845" s="55" t="str">
        <f>IF(AA1845="","",A1845&amp;"-"&amp;RIGHT("000"&amp;AA1845,4))</f>
        <v/>
      </c>
      <c r="C1845" s="56" t="n"/>
      <c r="D1845" s="54" t="n"/>
      <c r="E1845" s="57" t="str">
        <f>IF(D1845="","",IF(A1845="BL",IFERROR(INDEX(cl_name,MATCH(D1845,cl_code,0))&amp;"","Client inconnu"),IF(A1845="BR",IFERROR(INDEX(fo_name,MATCH(D1845,fo_code,0))&amp;"","Fournisseur inconnu"),IF(A1845="BS",IF(ISNA(MATCH(D1845,p_services,0)),"Service inconnu",D1845&amp;""),""))))</f>
        <v/>
      </c>
      <c r="F1845" s="58" t="n"/>
      <c r="G1845" s="58" t="n"/>
      <c r="H1845" s="59" t="n"/>
      <c r="I1845" s="57" t="str">
        <f>IF(H1845="","",IFERROR(INDEX(art_des,MATCH(H1845,art_ref,0))&amp;"","Article inconnu"))</f>
        <v/>
      </c>
      <c r="J1845" s="60" t="str">
        <f>IF(H1845="","",IFERROR(INDEX(art_unit,MATCH(H1845,art_ref,0))&amp;"",""))</f>
        <v/>
      </c>
      <c r="K1845" s="59" t="n"/>
      <c r="L1845" s="59" t="n"/>
      <c r="M1845" s="61" t="str">
        <f>IF(OR(B1845="",NOT(ISNUMBER(K1845)),NOT(ISNUMBER(L1845))),"",IF(OR(K1845&lt;=0,L1845&lt;=0),"",ROUND(L1845-K1845,6)))</f>
        <v/>
      </c>
      <c r="N1845" s="58" t="n"/>
      <c r="O1845" s="62" t="n"/>
      <c r="P1845" s="63" t="str">
        <f>IF(OR(B1845="",NOT(ISNUMBER(L1845))),"",IF(L1845&lt;=0,"",IFERROR(ROUND(L1845*N(INDEX(art_w,MATCH(H1845,art_ref,0))),3),"")))</f>
        <v/>
      </c>
      <c r="Q1845" s="59" t="n"/>
      <c r="R1845" s="54" t="n"/>
      <c r="S1845" s="59" t="n"/>
      <c r="T1845" s="59" t="n"/>
      <c r="U1845" s="64" t="str">
        <f>IF(OR(B1845="",H1845=""),"",IFERROR(IF(A1845="BL",IF(N(INDEX(art_price,MATCH(H1845,art_ref,0)))=0,"",N(INDEX(art_price,MATCH(H1845,art_ref,0)))),IF(N(INDEX(art_cost,MATCH(H1845,art_ref,0)))=0,"",N(INDEX(art_cost,MATCH(H1845,art_ref,0))))),""))</f>
        <v/>
      </c>
      <c r="V1845" s="64" t="str">
        <f>IF(OR(U1845="",NOT(ISNUMBER(L1845))),"",IF(L1845&lt;=0,"",ROUND(L1845*U1845,2)))</f>
        <v/>
      </c>
      <c r="W1845" s="60" t="str">
        <f>IF(AND(B1845&lt;&gt;"",A1845&lt;&gt;"BS",F1845&lt;&gt;"",H1845&lt;&gt;"",ISNUMBER(K1845),ISNUMBER(L1845)),IF(AND(K1845&gt;0,L1845&gt;0,K1845-L1845&gt;0,COUNTIFS(A1846:A$2005,A1845,F1846:F$2005,F1845,H1846:H$2005,H1845,AA1846:AA$2005,"&gt;0")=0),ROUND(K1845-L1845,6),""),"")</f>
        <v/>
      </c>
      <c r="X1845" s="60" t="str">
        <f>IF(AND(A1845="",C1845="",D1845="",H1845="",L1845=""),"",IF(A1845="","Type manquant",IF(AND(A1845&lt;&gt;"BL",A1845&lt;&gt;"BR",A1845&lt;&gt;"BS"),"Type inconnu (BL, BR ou BS)",IF(AG1845=0,"Date manquante ou invalide",IF(D1845="",IF(A1845="BL","Client manquant",IF(A1845="BR","Fournisseur manquant","Service manquant")),IF(IF(A1845="BL",ISNA(MATCH(D1845,cl_code,0)),IF(A1845="BR",ISNA(MATCH(D1845,fo_code,0)),ISNA(MATCH(D1845,p_services,0)))),IF(A1845="BL","Client inconnu",IF(A1845="BR","Fournisseur inconnu","Service inconnu")),IF(H1845="","Article manquant",IF(ISNA(MATCH(H1845,art_ref,0)),"Article inconnu",IF(OR(NOT(ISNUMBER(L1845)),N(L1845)&lt;=0),"Quantité invalide",IF(AND(K1845&lt;&gt;"",OR(NOT(ISNUMBER(K1845)),N(K1845)&lt;=0)),"Qté commandée invalide",IF(AG1845&lt;SUMPRODUCT(MAX((A$6:A1844=A1845)*AG$6:AG1844)),"Date antérieure au bon précédent",IF(AND(A1845&lt;&gt;"BR",ISNUMBER(M1845),N(M1845)&gt;0),IF(A1845="BL","Livré plus que commandé","Sorti plus que demandé"),"OK"))))))))))))</f>
        <v/>
      </c>
      <c r="Y1845" s="57" t="str">
        <f>IF(AND(OR(A1845="BL",A1845="BR",A1845="BS"),AG1845&gt;0,D1845&lt;&gt;""),A1845&amp;"|"&amp;AG1845&amp;"|"&amp;D1845&amp;"|"&amp;F1845,"")</f>
        <v/>
      </c>
      <c r="Z1845" s="57" t="str">
        <f>IF(Y1845="","",IF(COUNTIF(Y$6:Y1844,Y1845)=0,1,0))</f>
        <v/>
      </c>
      <c r="AA1845" s="57" t="str">
        <f>IF(Y1845="","",IF(Z1845=1,COUNTIFS(A$6:A1845,A1845,Z$6:Z1845,1),INDEX(AA$6:AA1844,MATCH(Y1845,Y$6:Y1844,0))))</f>
        <v/>
      </c>
      <c r="AB1845" s="57" t="str">
        <f>IF(B1845="","",COUNTIF(B$6:B1845,B1845))</f>
        <v/>
      </c>
      <c r="AC1845" s="57" t="str">
        <f>IF(B1845="","",B1845&amp;"#"&amp;AB1845)</f>
        <v/>
      </c>
      <c r="AD1845" s="57" t="str">
        <f>IF(Z1845=1,A1845&amp;AA1845,"")</f>
        <v/>
      </c>
      <c r="AE1845" s="57" t="str">
        <f>IF(B1845="","",YEAR(C1845))</f>
        <v/>
      </c>
      <c r="AF1845" s="57" t="str">
        <f>IF(B1845="","",MONTH(C1845))</f>
        <v/>
      </c>
      <c r="AG1845" s="57">
        <f>IF(ISNUMBER(C1845),C1845,0)</f>
        <v>0.0</v>
      </c>
      <c r="AH1845" s="57" t="str">
        <f>IF(N(W1845)&gt;0,COUNTIF(W$6:W1845,"&gt;0"),"")</f>
        <v/>
      </c>
      <c r="AI1845" s="57" t="str">
        <f>IF(Z1845=1,COUNTIF(Z$6:Z1845,1),"")</f>
        <v/>
      </c>
    </row>
    <row r="1846">
      <c r="A1846" s="54" t="n"/>
      <c r="B1846" s="55" t="str">
        <f>IF(AA1846="","",A1846&amp;"-"&amp;RIGHT("000"&amp;AA1846,4))</f>
        <v/>
      </c>
      <c r="C1846" s="56" t="n"/>
      <c r="D1846" s="54" t="n"/>
      <c r="E1846" s="57" t="str">
        <f>IF(D1846="","",IF(A1846="BL",IFERROR(INDEX(cl_name,MATCH(D1846,cl_code,0))&amp;"","Client inconnu"),IF(A1846="BR",IFERROR(INDEX(fo_name,MATCH(D1846,fo_code,0))&amp;"","Fournisseur inconnu"),IF(A1846="BS",IF(ISNA(MATCH(D1846,p_services,0)),"Service inconnu",D1846&amp;""),""))))</f>
        <v/>
      </c>
      <c r="F1846" s="58" t="n"/>
      <c r="G1846" s="58" t="n"/>
      <c r="H1846" s="59" t="n"/>
      <c r="I1846" s="57" t="str">
        <f>IF(H1846="","",IFERROR(INDEX(art_des,MATCH(H1846,art_ref,0))&amp;"","Article inconnu"))</f>
        <v/>
      </c>
      <c r="J1846" s="60" t="str">
        <f>IF(H1846="","",IFERROR(INDEX(art_unit,MATCH(H1846,art_ref,0))&amp;"",""))</f>
        <v/>
      </c>
      <c r="K1846" s="59" t="n"/>
      <c r="L1846" s="59" t="n"/>
      <c r="M1846" s="61" t="str">
        <f>IF(OR(B1846="",NOT(ISNUMBER(K1846)),NOT(ISNUMBER(L1846))),"",IF(OR(K1846&lt;=0,L1846&lt;=0),"",ROUND(L1846-K1846,6)))</f>
        <v/>
      </c>
      <c r="N1846" s="58" t="n"/>
      <c r="O1846" s="62" t="n"/>
      <c r="P1846" s="63" t="str">
        <f>IF(OR(B1846="",NOT(ISNUMBER(L1846))),"",IF(L1846&lt;=0,"",IFERROR(ROUND(L1846*N(INDEX(art_w,MATCH(H1846,art_ref,0))),3),"")))</f>
        <v/>
      </c>
      <c r="Q1846" s="59" t="n"/>
      <c r="R1846" s="54" t="n"/>
      <c r="S1846" s="59" t="n"/>
      <c r="T1846" s="59" t="n"/>
      <c r="U1846" s="64" t="str">
        <f>IF(OR(B1846="",H1846=""),"",IFERROR(IF(A1846="BL",IF(N(INDEX(art_price,MATCH(H1846,art_ref,0)))=0,"",N(INDEX(art_price,MATCH(H1846,art_ref,0)))),IF(N(INDEX(art_cost,MATCH(H1846,art_ref,0)))=0,"",N(INDEX(art_cost,MATCH(H1846,art_ref,0))))),""))</f>
        <v/>
      </c>
      <c r="V1846" s="64" t="str">
        <f>IF(OR(U1846="",NOT(ISNUMBER(L1846))),"",IF(L1846&lt;=0,"",ROUND(L1846*U1846,2)))</f>
        <v/>
      </c>
      <c r="W1846" s="60" t="str">
        <f>IF(AND(B1846&lt;&gt;"",A1846&lt;&gt;"BS",F1846&lt;&gt;"",H1846&lt;&gt;"",ISNUMBER(K1846),ISNUMBER(L1846)),IF(AND(K1846&gt;0,L1846&gt;0,K1846-L1846&gt;0,COUNTIFS(A1847:A$2005,A1846,F1847:F$2005,F1846,H1847:H$2005,H1846,AA1847:AA$2005,"&gt;0")=0),ROUND(K1846-L1846,6),""),"")</f>
        <v/>
      </c>
      <c r="X1846" s="60" t="str">
        <f>IF(AND(A1846="",C1846="",D1846="",H1846="",L1846=""),"",IF(A1846="","Type manquant",IF(AND(A1846&lt;&gt;"BL",A1846&lt;&gt;"BR",A1846&lt;&gt;"BS"),"Type inconnu (BL, BR ou BS)",IF(AG1846=0,"Date manquante ou invalide",IF(D1846="",IF(A1846="BL","Client manquant",IF(A1846="BR","Fournisseur manquant","Service manquant")),IF(IF(A1846="BL",ISNA(MATCH(D1846,cl_code,0)),IF(A1846="BR",ISNA(MATCH(D1846,fo_code,0)),ISNA(MATCH(D1846,p_services,0)))),IF(A1846="BL","Client inconnu",IF(A1846="BR","Fournisseur inconnu","Service inconnu")),IF(H1846="","Article manquant",IF(ISNA(MATCH(H1846,art_ref,0)),"Article inconnu",IF(OR(NOT(ISNUMBER(L1846)),N(L1846)&lt;=0),"Quantité invalide",IF(AND(K1846&lt;&gt;"",OR(NOT(ISNUMBER(K1846)),N(K1846)&lt;=0)),"Qté commandée invalide",IF(AG1846&lt;SUMPRODUCT(MAX((A$6:A1845=A1846)*AG$6:AG1845)),"Date antérieure au bon précédent",IF(AND(A1846&lt;&gt;"BR",ISNUMBER(M1846),N(M1846)&gt;0),IF(A1846="BL","Livré plus que commandé","Sorti plus que demandé"),"OK"))))))))))))</f>
        <v/>
      </c>
      <c r="Y1846" s="57" t="str">
        <f>IF(AND(OR(A1846="BL",A1846="BR",A1846="BS"),AG1846&gt;0,D1846&lt;&gt;""),A1846&amp;"|"&amp;AG1846&amp;"|"&amp;D1846&amp;"|"&amp;F1846,"")</f>
        <v/>
      </c>
      <c r="Z1846" s="57" t="str">
        <f>IF(Y1846="","",IF(COUNTIF(Y$6:Y1845,Y1846)=0,1,0))</f>
        <v/>
      </c>
      <c r="AA1846" s="57" t="str">
        <f>IF(Y1846="","",IF(Z1846=1,COUNTIFS(A$6:A1846,A1846,Z$6:Z1846,1),INDEX(AA$6:AA1845,MATCH(Y1846,Y$6:Y1845,0))))</f>
        <v/>
      </c>
      <c r="AB1846" s="57" t="str">
        <f>IF(B1846="","",COUNTIF(B$6:B1846,B1846))</f>
        <v/>
      </c>
      <c r="AC1846" s="57" t="str">
        <f>IF(B1846="","",B1846&amp;"#"&amp;AB1846)</f>
        <v/>
      </c>
      <c r="AD1846" s="57" t="str">
        <f>IF(Z1846=1,A1846&amp;AA1846,"")</f>
        <v/>
      </c>
      <c r="AE1846" s="57" t="str">
        <f>IF(B1846="","",YEAR(C1846))</f>
        <v/>
      </c>
      <c r="AF1846" s="57" t="str">
        <f>IF(B1846="","",MONTH(C1846))</f>
        <v/>
      </c>
      <c r="AG1846" s="57">
        <f>IF(ISNUMBER(C1846),C1846,0)</f>
        <v>0.0</v>
      </c>
      <c r="AH1846" s="57" t="str">
        <f>IF(N(W1846)&gt;0,COUNTIF(W$6:W1846,"&gt;0"),"")</f>
        <v/>
      </c>
      <c r="AI1846" s="57" t="str">
        <f>IF(Z1846=1,COUNTIF(Z$6:Z1846,1),"")</f>
        <v/>
      </c>
    </row>
    <row r="1847">
      <c r="A1847" s="54" t="n"/>
      <c r="B1847" s="55" t="str">
        <f>IF(AA1847="","",A1847&amp;"-"&amp;RIGHT("000"&amp;AA1847,4))</f>
        <v/>
      </c>
      <c r="C1847" s="56" t="n"/>
      <c r="D1847" s="54" t="n"/>
      <c r="E1847" s="57" t="str">
        <f>IF(D1847="","",IF(A1847="BL",IFERROR(INDEX(cl_name,MATCH(D1847,cl_code,0))&amp;"","Client inconnu"),IF(A1847="BR",IFERROR(INDEX(fo_name,MATCH(D1847,fo_code,0))&amp;"","Fournisseur inconnu"),IF(A1847="BS",IF(ISNA(MATCH(D1847,p_services,0)),"Service inconnu",D1847&amp;""),""))))</f>
        <v/>
      </c>
      <c r="F1847" s="58" t="n"/>
      <c r="G1847" s="58" t="n"/>
      <c r="H1847" s="59" t="n"/>
      <c r="I1847" s="57" t="str">
        <f>IF(H1847="","",IFERROR(INDEX(art_des,MATCH(H1847,art_ref,0))&amp;"","Article inconnu"))</f>
        <v/>
      </c>
      <c r="J1847" s="60" t="str">
        <f>IF(H1847="","",IFERROR(INDEX(art_unit,MATCH(H1847,art_ref,0))&amp;"",""))</f>
        <v/>
      </c>
      <c r="K1847" s="59" t="n"/>
      <c r="L1847" s="59" t="n"/>
      <c r="M1847" s="61" t="str">
        <f>IF(OR(B1847="",NOT(ISNUMBER(K1847)),NOT(ISNUMBER(L1847))),"",IF(OR(K1847&lt;=0,L1847&lt;=0),"",ROUND(L1847-K1847,6)))</f>
        <v/>
      </c>
      <c r="N1847" s="58" t="n"/>
      <c r="O1847" s="62" t="n"/>
      <c r="P1847" s="63" t="str">
        <f>IF(OR(B1847="",NOT(ISNUMBER(L1847))),"",IF(L1847&lt;=0,"",IFERROR(ROUND(L1847*N(INDEX(art_w,MATCH(H1847,art_ref,0))),3),"")))</f>
        <v/>
      </c>
      <c r="Q1847" s="59" t="n"/>
      <c r="R1847" s="54" t="n"/>
      <c r="S1847" s="59" t="n"/>
      <c r="T1847" s="59" t="n"/>
      <c r="U1847" s="64" t="str">
        <f>IF(OR(B1847="",H1847=""),"",IFERROR(IF(A1847="BL",IF(N(INDEX(art_price,MATCH(H1847,art_ref,0)))=0,"",N(INDEX(art_price,MATCH(H1847,art_ref,0)))),IF(N(INDEX(art_cost,MATCH(H1847,art_ref,0)))=0,"",N(INDEX(art_cost,MATCH(H1847,art_ref,0))))),""))</f>
        <v/>
      </c>
      <c r="V1847" s="64" t="str">
        <f>IF(OR(U1847="",NOT(ISNUMBER(L1847))),"",IF(L1847&lt;=0,"",ROUND(L1847*U1847,2)))</f>
        <v/>
      </c>
      <c r="W1847" s="60" t="str">
        <f>IF(AND(B1847&lt;&gt;"",A1847&lt;&gt;"BS",F1847&lt;&gt;"",H1847&lt;&gt;"",ISNUMBER(K1847),ISNUMBER(L1847)),IF(AND(K1847&gt;0,L1847&gt;0,K1847-L1847&gt;0,COUNTIFS(A1848:A$2005,A1847,F1848:F$2005,F1847,H1848:H$2005,H1847,AA1848:AA$2005,"&gt;0")=0),ROUND(K1847-L1847,6),""),"")</f>
        <v/>
      </c>
      <c r="X1847" s="60" t="str">
        <f>IF(AND(A1847="",C1847="",D1847="",H1847="",L1847=""),"",IF(A1847="","Type manquant",IF(AND(A1847&lt;&gt;"BL",A1847&lt;&gt;"BR",A1847&lt;&gt;"BS"),"Type inconnu (BL, BR ou BS)",IF(AG1847=0,"Date manquante ou invalide",IF(D1847="",IF(A1847="BL","Client manquant",IF(A1847="BR","Fournisseur manquant","Service manquant")),IF(IF(A1847="BL",ISNA(MATCH(D1847,cl_code,0)),IF(A1847="BR",ISNA(MATCH(D1847,fo_code,0)),ISNA(MATCH(D1847,p_services,0)))),IF(A1847="BL","Client inconnu",IF(A1847="BR","Fournisseur inconnu","Service inconnu")),IF(H1847="","Article manquant",IF(ISNA(MATCH(H1847,art_ref,0)),"Article inconnu",IF(OR(NOT(ISNUMBER(L1847)),N(L1847)&lt;=0),"Quantité invalide",IF(AND(K1847&lt;&gt;"",OR(NOT(ISNUMBER(K1847)),N(K1847)&lt;=0)),"Qté commandée invalide",IF(AG1847&lt;SUMPRODUCT(MAX((A$6:A1846=A1847)*AG$6:AG1846)),"Date antérieure au bon précédent",IF(AND(A1847&lt;&gt;"BR",ISNUMBER(M1847),N(M1847)&gt;0),IF(A1847="BL","Livré plus que commandé","Sorti plus que demandé"),"OK"))))))))))))</f>
        <v/>
      </c>
      <c r="Y1847" s="57" t="str">
        <f>IF(AND(OR(A1847="BL",A1847="BR",A1847="BS"),AG1847&gt;0,D1847&lt;&gt;""),A1847&amp;"|"&amp;AG1847&amp;"|"&amp;D1847&amp;"|"&amp;F1847,"")</f>
        <v/>
      </c>
      <c r="Z1847" s="57" t="str">
        <f>IF(Y1847="","",IF(COUNTIF(Y$6:Y1846,Y1847)=0,1,0))</f>
        <v/>
      </c>
      <c r="AA1847" s="57" t="str">
        <f>IF(Y1847="","",IF(Z1847=1,COUNTIFS(A$6:A1847,A1847,Z$6:Z1847,1),INDEX(AA$6:AA1846,MATCH(Y1847,Y$6:Y1846,0))))</f>
        <v/>
      </c>
      <c r="AB1847" s="57" t="str">
        <f>IF(B1847="","",COUNTIF(B$6:B1847,B1847))</f>
        <v/>
      </c>
      <c r="AC1847" s="57" t="str">
        <f>IF(B1847="","",B1847&amp;"#"&amp;AB1847)</f>
        <v/>
      </c>
      <c r="AD1847" s="57" t="str">
        <f>IF(Z1847=1,A1847&amp;AA1847,"")</f>
        <v/>
      </c>
      <c r="AE1847" s="57" t="str">
        <f>IF(B1847="","",YEAR(C1847))</f>
        <v/>
      </c>
      <c r="AF1847" s="57" t="str">
        <f>IF(B1847="","",MONTH(C1847))</f>
        <v/>
      </c>
      <c r="AG1847" s="57">
        <f>IF(ISNUMBER(C1847),C1847,0)</f>
        <v>0.0</v>
      </c>
      <c r="AH1847" s="57" t="str">
        <f>IF(N(W1847)&gt;0,COUNTIF(W$6:W1847,"&gt;0"),"")</f>
        <v/>
      </c>
      <c r="AI1847" s="57" t="str">
        <f>IF(Z1847=1,COUNTIF(Z$6:Z1847,1),"")</f>
        <v/>
      </c>
    </row>
    <row r="1848">
      <c r="A1848" s="54" t="n"/>
      <c r="B1848" s="55" t="str">
        <f>IF(AA1848="","",A1848&amp;"-"&amp;RIGHT("000"&amp;AA1848,4))</f>
        <v/>
      </c>
      <c r="C1848" s="56" t="n"/>
      <c r="D1848" s="54" t="n"/>
      <c r="E1848" s="57" t="str">
        <f>IF(D1848="","",IF(A1848="BL",IFERROR(INDEX(cl_name,MATCH(D1848,cl_code,0))&amp;"","Client inconnu"),IF(A1848="BR",IFERROR(INDEX(fo_name,MATCH(D1848,fo_code,0))&amp;"","Fournisseur inconnu"),IF(A1848="BS",IF(ISNA(MATCH(D1848,p_services,0)),"Service inconnu",D1848&amp;""),""))))</f>
        <v/>
      </c>
      <c r="F1848" s="58" t="n"/>
      <c r="G1848" s="58" t="n"/>
      <c r="H1848" s="59" t="n"/>
      <c r="I1848" s="57" t="str">
        <f>IF(H1848="","",IFERROR(INDEX(art_des,MATCH(H1848,art_ref,0))&amp;"","Article inconnu"))</f>
        <v/>
      </c>
      <c r="J1848" s="60" t="str">
        <f>IF(H1848="","",IFERROR(INDEX(art_unit,MATCH(H1848,art_ref,0))&amp;"",""))</f>
        <v/>
      </c>
      <c r="K1848" s="59" t="n"/>
      <c r="L1848" s="59" t="n"/>
      <c r="M1848" s="61" t="str">
        <f>IF(OR(B1848="",NOT(ISNUMBER(K1848)),NOT(ISNUMBER(L1848))),"",IF(OR(K1848&lt;=0,L1848&lt;=0),"",ROUND(L1848-K1848,6)))</f>
        <v/>
      </c>
      <c r="N1848" s="58" t="n"/>
      <c r="O1848" s="62" t="n"/>
      <c r="P1848" s="63" t="str">
        <f>IF(OR(B1848="",NOT(ISNUMBER(L1848))),"",IF(L1848&lt;=0,"",IFERROR(ROUND(L1848*N(INDEX(art_w,MATCH(H1848,art_ref,0))),3),"")))</f>
        <v/>
      </c>
      <c r="Q1848" s="59" t="n"/>
      <c r="R1848" s="54" t="n"/>
      <c r="S1848" s="59" t="n"/>
      <c r="T1848" s="59" t="n"/>
      <c r="U1848" s="64" t="str">
        <f>IF(OR(B1848="",H1848=""),"",IFERROR(IF(A1848="BL",IF(N(INDEX(art_price,MATCH(H1848,art_ref,0)))=0,"",N(INDEX(art_price,MATCH(H1848,art_ref,0)))),IF(N(INDEX(art_cost,MATCH(H1848,art_ref,0)))=0,"",N(INDEX(art_cost,MATCH(H1848,art_ref,0))))),""))</f>
        <v/>
      </c>
      <c r="V1848" s="64" t="str">
        <f>IF(OR(U1848="",NOT(ISNUMBER(L1848))),"",IF(L1848&lt;=0,"",ROUND(L1848*U1848,2)))</f>
        <v/>
      </c>
      <c r="W1848" s="60" t="str">
        <f>IF(AND(B1848&lt;&gt;"",A1848&lt;&gt;"BS",F1848&lt;&gt;"",H1848&lt;&gt;"",ISNUMBER(K1848),ISNUMBER(L1848)),IF(AND(K1848&gt;0,L1848&gt;0,K1848-L1848&gt;0,COUNTIFS(A1849:A$2005,A1848,F1849:F$2005,F1848,H1849:H$2005,H1848,AA1849:AA$2005,"&gt;0")=0),ROUND(K1848-L1848,6),""),"")</f>
        <v/>
      </c>
      <c r="X1848" s="60" t="str">
        <f>IF(AND(A1848="",C1848="",D1848="",H1848="",L1848=""),"",IF(A1848="","Type manquant",IF(AND(A1848&lt;&gt;"BL",A1848&lt;&gt;"BR",A1848&lt;&gt;"BS"),"Type inconnu (BL, BR ou BS)",IF(AG1848=0,"Date manquante ou invalide",IF(D1848="",IF(A1848="BL","Client manquant",IF(A1848="BR","Fournisseur manquant","Service manquant")),IF(IF(A1848="BL",ISNA(MATCH(D1848,cl_code,0)),IF(A1848="BR",ISNA(MATCH(D1848,fo_code,0)),ISNA(MATCH(D1848,p_services,0)))),IF(A1848="BL","Client inconnu",IF(A1848="BR","Fournisseur inconnu","Service inconnu")),IF(H1848="","Article manquant",IF(ISNA(MATCH(H1848,art_ref,0)),"Article inconnu",IF(OR(NOT(ISNUMBER(L1848)),N(L1848)&lt;=0),"Quantité invalide",IF(AND(K1848&lt;&gt;"",OR(NOT(ISNUMBER(K1848)),N(K1848)&lt;=0)),"Qté commandée invalide",IF(AG1848&lt;SUMPRODUCT(MAX((A$6:A1847=A1848)*AG$6:AG1847)),"Date antérieure au bon précédent",IF(AND(A1848&lt;&gt;"BR",ISNUMBER(M1848),N(M1848)&gt;0),IF(A1848="BL","Livré plus que commandé","Sorti plus que demandé"),"OK"))))))))))))</f>
        <v/>
      </c>
      <c r="Y1848" s="57" t="str">
        <f>IF(AND(OR(A1848="BL",A1848="BR",A1848="BS"),AG1848&gt;0,D1848&lt;&gt;""),A1848&amp;"|"&amp;AG1848&amp;"|"&amp;D1848&amp;"|"&amp;F1848,"")</f>
        <v/>
      </c>
      <c r="Z1848" s="57" t="str">
        <f>IF(Y1848="","",IF(COUNTIF(Y$6:Y1847,Y1848)=0,1,0))</f>
        <v/>
      </c>
      <c r="AA1848" s="57" t="str">
        <f>IF(Y1848="","",IF(Z1848=1,COUNTIFS(A$6:A1848,A1848,Z$6:Z1848,1),INDEX(AA$6:AA1847,MATCH(Y1848,Y$6:Y1847,0))))</f>
        <v/>
      </c>
      <c r="AB1848" s="57" t="str">
        <f>IF(B1848="","",COUNTIF(B$6:B1848,B1848))</f>
        <v/>
      </c>
      <c r="AC1848" s="57" t="str">
        <f>IF(B1848="","",B1848&amp;"#"&amp;AB1848)</f>
        <v/>
      </c>
      <c r="AD1848" s="57" t="str">
        <f>IF(Z1848=1,A1848&amp;AA1848,"")</f>
        <v/>
      </c>
      <c r="AE1848" s="57" t="str">
        <f>IF(B1848="","",YEAR(C1848))</f>
        <v/>
      </c>
      <c r="AF1848" s="57" t="str">
        <f>IF(B1848="","",MONTH(C1848))</f>
        <v/>
      </c>
      <c r="AG1848" s="57">
        <f>IF(ISNUMBER(C1848),C1848,0)</f>
        <v>0.0</v>
      </c>
      <c r="AH1848" s="57" t="str">
        <f>IF(N(W1848)&gt;0,COUNTIF(W$6:W1848,"&gt;0"),"")</f>
        <v/>
      </c>
      <c r="AI1848" s="57" t="str">
        <f>IF(Z1848=1,COUNTIF(Z$6:Z1848,1),"")</f>
        <v/>
      </c>
    </row>
    <row r="1849">
      <c r="A1849" s="54" t="n"/>
      <c r="B1849" s="55" t="str">
        <f>IF(AA1849="","",A1849&amp;"-"&amp;RIGHT("000"&amp;AA1849,4))</f>
        <v/>
      </c>
      <c r="C1849" s="56" t="n"/>
      <c r="D1849" s="54" t="n"/>
      <c r="E1849" s="57" t="str">
        <f>IF(D1849="","",IF(A1849="BL",IFERROR(INDEX(cl_name,MATCH(D1849,cl_code,0))&amp;"","Client inconnu"),IF(A1849="BR",IFERROR(INDEX(fo_name,MATCH(D1849,fo_code,0))&amp;"","Fournisseur inconnu"),IF(A1849="BS",IF(ISNA(MATCH(D1849,p_services,0)),"Service inconnu",D1849&amp;""),""))))</f>
        <v/>
      </c>
      <c r="F1849" s="58" t="n"/>
      <c r="G1849" s="58" t="n"/>
      <c r="H1849" s="59" t="n"/>
      <c r="I1849" s="57" t="str">
        <f>IF(H1849="","",IFERROR(INDEX(art_des,MATCH(H1849,art_ref,0))&amp;"","Article inconnu"))</f>
        <v/>
      </c>
      <c r="J1849" s="60" t="str">
        <f>IF(H1849="","",IFERROR(INDEX(art_unit,MATCH(H1849,art_ref,0))&amp;"",""))</f>
        <v/>
      </c>
      <c r="K1849" s="59" t="n"/>
      <c r="L1849" s="59" t="n"/>
      <c r="M1849" s="61" t="str">
        <f>IF(OR(B1849="",NOT(ISNUMBER(K1849)),NOT(ISNUMBER(L1849))),"",IF(OR(K1849&lt;=0,L1849&lt;=0),"",ROUND(L1849-K1849,6)))</f>
        <v/>
      </c>
      <c r="N1849" s="58" t="n"/>
      <c r="O1849" s="62" t="n"/>
      <c r="P1849" s="63" t="str">
        <f>IF(OR(B1849="",NOT(ISNUMBER(L1849))),"",IF(L1849&lt;=0,"",IFERROR(ROUND(L1849*N(INDEX(art_w,MATCH(H1849,art_ref,0))),3),"")))</f>
        <v/>
      </c>
      <c r="Q1849" s="59" t="n"/>
      <c r="R1849" s="54" t="n"/>
      <c r="S1849" s="59" t="n"/>
      <c r="T1849" s="59" t="n"/>
      <c r="U1849" s="64" t="str">
        <f>IF(OR(B1849="",H1849=""),"",IFERROR(IF(A1849="BL",IF(N(INDEX(art_price,MATCH(H1849,art_ref,0)))=0,"",N(INDEX(art_price,MATCH(H1849,art_ref,0)))),IF(N(INDEX(art_cost,MATCH(H1849,art_ref,0)))=0,"",N(INDEX(art_cost,MATCH(H1849,art_ref,0))))),""))</f>
        <v/>
      </c>
      <c r="V1849" s="64" t="str">
        <f>IF(OR(U1849="",NOT(ISNUMBER(L1849))),"",IF(L1849&lt;=0,"",ROUND(L1849*U1849,2)))</f>
        <v/>
      </c>
      <c r="W1849" s="60" t="str">
        <f>IF(AND(B1849&lt;&gt;"",A1849&lt;&gt;"BS",F1849&lt;&gt;"",H1849&lt;&gt;"",ISNUMBER(K1849),ISNUMBER(L1849)),IF(AND(K1849&gt;0,L1849&gt;0,K1849-L1849&gt;0,COUNTIFS(A1850:A$2005,A1849,F1850:F$2005,F1849,H1850:H$2005,H1849,AA1850:AA$2005,"&gt;0")=0),ROUND(K1849-L1849,6),""),"")</f>
        <v/>
      </c>
      <c r="X1849" s="60" t="str">
        <f>IF(AND(A1849="",C1849="",D1849="",H1849="",L1849=""),"",IF(A1849="","Type manquant",IF(AND(A1849&lt;&gt;"BL",A1849&lt;&gt;"BR",A1849&lt;&gt;"BS"),"Type inconnu (BL, BR ou BS)",IF(AG1849=0,"Date manquante ou invalide",IF(D1849="",IF(A1849="BL","Client manquant",IF(A1849="BR","Fournisseur manquant","Service manquant")),IF(IF(A1849="BL",ISNA(MATCH(D1849,cl_code,0)),IF(A1849="BR",ISNA(MATCH(D1849,fo_code,0)),ISNA(MATCH(D1849,p_services,0)))),IF(A1849="BL","Client inconnu",IF(A1849="BR","Fournisseur inconnu","Service inconnu")),IF(H1849="","Article manquant",IF(ISNA(MATCH(H1849,art_ref,0)),"Article inconnu",IF(OR(NOT(ISNUMBER(L1849)),N(L1849)&lt;=0),"Quantité invalide",IF(AND(K1849&lt;&gt;"",OR(NOT(ISNUMBER(K1849)),N(K1849)&lt;=0)),"Qté commandée invalide",IF(AG1849&lt;SUMPRODUCT(MAX((A$6:A1848=A1849)*AG$6:AG1848)),"Date antérieure au bon précédent",IF(AND(A1849&lt;&gt;"BR",ISNUMBER(M1849),N(M1849)&gt;0),IF(A1849="BL","Livré plus que commandé","Sorti plus que demandé"),"OK"))))))))))))</f>
        <v/>
      </c>
      <c r="Y1849" s="57" t="str">
        <f>IF(AND(OR(A1849="BL",A1849="BR",A1849="BS"),AG1849&gt;0,D1849&lt;&gt;""),A1849&amp;"|"&amp;AG1849&amp;"|"&amp;D1849&amp;"|"&amp;F1849,"")</f>
        <v/>
      </c>
      <c r="Z1849" s="57" t="str">
        <f>IF(Y1849="","",IF(COUNTIF(Y$6:Y1848,Y1849)=0,1,0))</f>
        <v/>
      </c>
      <c r="AA1849" s="57" t="str">
        <f>IF(Y1849="","",IF(Z1849=1,COUNTIFS(A$6:A1849,A1849,Z$6:Z1849,1),INDEX(AA$6:AA1848,MATCH(Y1849,Y$6:Y1848,0))))</f>
        <v/>
      </c>
      <c r="AB1849" s="57" t="str">
        <f>IF(B1849="","",COUNTIF(B$6:B1849,B1849))</f>
        <v/>
      </c>
      <c r="AC1849" s="57" t="str">
        <f>IF(B1849="","",B1849&amp;"#"&amp;AB1849)</f>
        <v/>
      </c>
      <c r="AD1849" s="57" t="str">
        <f>IF(Z1849=1,A1849&amp;AA1849,"")</f>
        <v/>
      </c>
      <c r="AE1849" s="57" t="str">
        <f>IF(B1849="","",YEAR(C1849))</f>
        <v/>
      </c>
      <c r="AF1849" s="57" t="str">
        <f>IF(B1849="","",MONTH(C1849))</f>
        <v/>
      </c>
      <c r="AG1849" s="57">
        <f>IF(ISNUMBER(C1849),C1849,0)</f>
        <v>0.0</v>
      </c>
      <c r="AH1849" s="57" t="str">
        <f>IF(N(W1849)&gt;0,COUNTIF(W$6:W1849,"&gt;0"),"")</f>
        <v/>
      </c>
      <c r="AI1849" s="57" t="str">
        <f>IF(Z1849=1,COUNTIF(Z$6:Z1849,1),"")</f>
        <v/>
      </c>
    </row>
    <row r="1850">
      <c r="A1850" s="54" t="n"/>
      <c r="B1850" s="55" t="str">
        <f>IF(AA1850="","",A1850&amp;"-"&amp;RIGHT("000"&amp;AA1850,4))</f>
        <v/>
      </c>
      <c r="C1850" s="56" t="n"/>
      <c r="D1850" s="54" t="n"/>
      <c r="E1850" s="57" t="str">
        <f>IF(D1850="","",IF(A1850="BL",IFERROR(INDEX(cl_name,MATCH(D1850,cl_code,0))&amp;"","Client inconnu"),IF(A1850="BR",IFERROR(INDEX(fo_name,MATCH(D1850,fo_code,0))&amp;"","Fournisseur inconnu"),IF(A1850="BS",IF(ISNA(MATCH(D1850,p_services,0)),"Service inconnu",D1850&amp;""),""))))</f>
        <v/>
      </c>
      <c r="F1850" s="58" t="n"/>
      <c r="G1850" s="58" t="n"/>
      <c r="H1850" s="59" t="n"/>
      <c r="I1850" s="57" t="str">
        <f>IF(H1850="","",IFERROR(INDEX(art_des,MATCH(H1850,art_ref,0))&amp;"","Article inconnu"))</f>
        <v/>
      </c>
      <c r="J1850" s="60" t="str">
        <f>IF(H1850="","",IFERROR(INDEX(art_unit,MATCH(H1850,art_ref,0))&amp;"",""))</f>
        <v/>
      </c>
      <c r="K1850" s="59" t="n"/>
      <c r="L1850" s="59" t="n"/>
      <c r="M1850" s="61" t="str">
        <f>IF(OR(B1850="",NOT(ISNUMBER(K1850)),NOT(ISNUMBER(L1850))),"",IF(OR(K1850&lt;=0,L1850&lt;=0),"",ROUND(L1850-K1850,6)))</f>
        <v/>
      </c>
      <c r="N1850" s="58" t="n"/>
      <c r="O1850" s="62" t="n"/>
      <c r="P1850" s="63" t="str">
        <f>IF(OR(B1850="",NOT(ISNUMBER(L1850))),"",IF(L1850&lt;=0,"",IFERROR(ROUND(L1850*N(INDEX(art_w,MATCH(H1850,art_ref,0))),3),"")))</f>
        <v/>
      </c>
      <c r="Q1850" s="59" t="n"/>
      <c r="R1850" s="54" t="n"/>
      <c r="S1850" s="59" t="n"/>
      <c r="T1850" s="59" t="n"/>
      <c r="U1850" s="64" t="str">
        <f>IF(OR(B1850="",H1850=""),"",IFERROR(IF(A1850="BL",IF(N(INDEX(art_price,MATCH(H1850,art_ref,0)))=0,"",N(INDEX(art_price,MATCH(H1850,art_ref,0)))),IF(N(INDEX(art_cost,MATCH(H1850,art_ref,0)))=0,"",N(INDEX(art_cost,MATCH(H1850,art_ref,0))))),""))</f>
        <v/>
      </c>
      <c r="V1850" s="64" t="str">
        <f>IF(OR(U1850="",NOT(ISNUMBER(L1850))),"",IF(L1850&lt;=0,"",ROUND(L1850*U1850,2)))</f>
        <v/>
      </c>
      <c r="W1850" s="60" t="str">
        <f>IF(AND(B1850&lt;&gt;"",A1850&lt;&gt;"BS",F1850&lt;&gt;"",H1850&lt;&gt;"",ISNUMBER(K1850),ISNUMBER(L1850)),IF(AND(K1850&gt;0,L1850&gt;0,K1850-L1850&gt;0,COUNTIFS(A1851:A$2005,A1850,F1851:F$2005,F1850,H1851:H$2005,H1850,AA1851:AA$2005,"&gt;0")=0),ROUND(K1850-L1850,6),""),"")</f>
        <v/>
      </c>
      <c r="X1850" s="60" t="str">
        <f>IF(AND(A1850="",C1850="",D1850="",H1850="",L1850=""),"",IF(A1850="","Type manquant",IF(AND(A1850&lt;&gt;"BL",A1850&lt;&gt;"BR",A1850&lt;&gt;"BS"),"Type inconnu (BL, BR ou BS)",IF(AG1850=0,"Date manquante ou invalide",IF(D1850="",IF(A1850="BL","Client manquant",IF(A1850="BR","Fournisseur manquant","Service manquant")),IF(IF(A1850="BL",ISNA(MATCH(D1850,cl_code,0)),IF(A1850="BR",ISNA(MATCH(D1850,fo_code,0)),ISNA(MATCH(D1850,p_services,0)))),IF(A1850="BL","Client inconnu",IF(A1850="BR","Fournisseur inconnu","Service inconnu")),IF(H1850="","Article manquant",IF(ISNA(MATCH(H1850,art_ref,0)),"Article inconnu",IF(OR(NOT(ISNUMBER(L1850)),N(L1850)&lt;=0),"Quantité invalide",IF(AND(K1850&lt;&gt;"",OR(NOT(ISNUMBER(K1850)),N(K1850)&lt;=0)),"Qté commandée invalide",IF(AG1850&lt;SUMPRODUCT(MAX((A$6:A1849=A1850)*AG$6:AG1849)),"Date antérieure au bon précédent",IF(AND(A1850&lt;&gt;"BR",ISNUMBER(M1850),N(M1850)&gt;0),IF(A1850="BL","Livré plus que commandé","Sorti plus que demandé"),"OK"))))))))))))</f>
        <v/>
      </c>
      <c r="Y1850" s="57" t="str">
        <f>IF(AND(OR(A1850="BL",A1850="BR",A1850="BS"),AG1850&gt;0,D1850&lt;&gt;""),A1850&amp;"|"&amp;AG1850&amp;"|"&amp;D1850&amp;"|"&amp;F1850,"")</f>
        <v/>
      </c>
      <c r="Z1850" s="57" t="str">
        <f>IF(Y1850="","",IF(COUNTIF(Y$6:Y1849,Y1850)=0,1,0))</f>
        <v/>
      </c>
      <c r="AA1850" s="57" t="str">
        <f>IF(Y1850="","",IF(Z1850=1,COUNTIFS(A$6:A1850,A1850,Z$6:Z1850,1),INDEX(AA$6:AA1849,MATCH(Y1850,Y$6:Y1849,0))))</f>
        <v/>
      </c>
      <c r="AB1850" s="57" t="str">
        <f>IF(B1850="","",COUNTIF(B$6:B1850,B1850))</f>
        <v/>
      </c>
      <c r="AC1850" s="57" t="str">
        <f>IF(B1850="","",B1850&amp;"#"&amp;AB1850)</f>
        <v/>
      </c>
      <c r="AD1850" s="57" t="str">
        <f>IF(Z1850=1,A1850&amp;AA1850,"")</f>
        <v/>
      </c>
      <c r="AE1850" s="57" t="str">
        <f>IF(B1850="","",YEAR(C1850))</f>
        <v/>
      </c>
      <c r="AF1850" s="57" t="str">
        <f>IF(B1850="","",MONTH(C1850))</f>
        <v/>
      </c>
      <c r="AG1850" s="57">
        <f>IF(ISNUMBER(C1850),C1850,0)</f>
        <v>0.0</v>
      </c>
      <c r="AH1850" s="57" t="str">
        <f>IF(N(W1850)&gt;0,COUNTIF(W$6:W1850,"&gt;0"),"")</f>
        <v/>
      </c>
      <c r="AI1850" s="57" t="str">
        <f>IF(Z1850=1,COUNTIF(Z$6:Z1850,1),"")</f>
        <v/>
      </c>
    </row>
    <row r="1851">
      <c r="A1851" s="54" t="n"/>
      <c r="B1851" s="55" t="str">
        <f>IF(AA1851="","",A1851&amp;"-"&amp;RIGHT("000"&amp;AA1851,4))</f>
        <v/>
      </c>
      <c r="C1851" s="56" t="n"/>
      <c r="D1851" s="54" t="n"/>
      <c r="E1851" s="57" t="str">
        <f>IF(D1851="","",IF(A1851="BL",IFERROR(INDEX(cl_name,MATCH(D1851,cl_code,0))&amp;"","Client inconnu"),IF(A1851="BR",IFERROR(INDEX(fo_name,MATCH(D1851,fo_code,0))&amp;"","Fournisseur inconnu"),IF(A1851="BS",IF(ISNA(MATCH(D1851,p_services,0)),"Service inconnu",D1851&amp;""),""))))</f>
        <v/>
      </c>
      <c r="F1851" s="58" t="n"/>
      <c r="G1851" s="58" t="n"/>
      <c r="H1851" s="59" t="n"/>
      <c r="I1851" s="57" t="str">
        <f>IF(H1851="","",IFERROR(INDEX(art_des,MATCH(H1851,art_ref,0))&amp;"","Article inconnu"))</f>
        <v/>
      </c>
      <c r="J1851" s="60" t="str">
        <f>IF(H1851="","",IFERROR(INDEX(art_unit,MATCH(H1851,art_ref,0))&amp;"",""))</f>
        <v/>
      </c>
      <c r="K1851" s="59" t="n"/>
      <c r="L1851" s="59" t="n"/>
      <c r="M1851" s="61" t="str">
        <f>IF(OR(B1851="",NOT(ISNUMBER(K1851)),NOT(ISNUMBER(L1851))),"",IF(OR(K1851&lt;=0,L1851&lt;=0),"",ROUND(L1851-K1851,6)))</f>
        <v/>
      </c>
      <c r="N1851" s="58" t="n"/>
      <c r="O1851" s="62" t="n"/>
      <c r="P1851" s="63" t="str">
        <f>IF(OR(B1851="",NOT(ISNUMBER(L1851))),"",IF(L1851&lt;=0,"",IFERROR(ROUND(L1851*N(INDEX(art_w,MATCH(H1851,art_ref,0))),3),"")))</f>
        <v/>
      </c>
      <c r="Q1851" s="59" t="n"/>
      <c r="R1851" s="54" t="n"/>
      <c r="S1851" s="59" t="n"/>
      <c r="T1851" s="59" t="n"/>
      <c r="U1851" s="64" t="str">
        <f>IF(OR(B1851="",H1851=""),"",IFERROR(IF(A1851="BL",IF(N(INDEX(art_price,MATCH(H1851,art_ref,0)))=0,"",N(INDEX(art_price,MATCH(H1851,art_ref,0)))),IF(N(INDEX(art_cost,MATCH(H1851,art_ref,0)))=0,"",N(INDEX(art_cost,MATCH(H1851,art_ref,0))))),""))</f>
        <v/>
      </c>
      <c r="V1851" s="64" t="str">
        <f>IF(OR(U1851="",NOT(ISNUMBER(L1851))),"",IF(L1851&lt;=0,"",ROUND(L1851*U1851,2)))</f>
        <v/>
      </c>
      <c r="W1851" s="60" t="str">
        <f>IF(AND(B1851&lt;&gt;"",A1851&lt;&gt;"BS",F1851&lt;&gt;"",H1851&lt;&gt;"",ISNUMBER(K1851),ISNUMBER(L1851)),IF(AND(K1851&gt;0,L1851&gt;0,K1851-L1851&gt;0,COUNTIFS(A1852:A$2005,A1851,F1852:F$2005,F1851,H1852:H$2005,H1851,AA1852:AA$2005,"&gt;0")=0),ROUND(K1851-L1851,6),""),"")</f>
        <v/>
      </c>
      <c r="X1851" s="60" t="str">
        <f>IF(AND(A1851="",C1851="",D1851="",H1851="",L1851=""),"",IF(A1851="","Type manquant",IF(AND(A1851&lt;&gt;"BL",A1851&lt;&gt;"BR",A1851&lt;&gt;"BS"),"Type inconnu (BL, BR ou BS)",IF(AG1851=0,"Date manquante ou invalide",IF(D1851="",IF(A1851="BL","Client manquant",IF(A1851="BR","Fournisseur manquant","Service manquant")),IF(IF(A1851="BL",ISNA(MATCH(D1851,cl_code,0)),IF(A1851="BR",ISNA(MATCH(D1851,fo_code,0)),ISNA(MATCH(D1851,p_services,0)))),IF(A1851="BL","Client inconnu",IF(A1851="BR","Fournisseur inconnu","Service inconnu")),IF(H1851="","Article manquant",IF(ISNA(MATCH(H1851,art_ref,0)),"Article inconnu",IF(OR(NOT(ISNUMBER(L1851)),N(L1851)&lt;=0),"Quantité invalide",IF(AND(K1851&lt;&gt;"",OR(NOT(ISNUMBER(K1851)),N(K1851)&lt;=0)),"Qté commandée invalide",IF(AG1851&lt;SUMPRODUCT(MAX((A$6:A1850=A1851)*AG$6:AG1850)),"Date antérieure au bon précédent",IF(AND(A1851&lt;&gt;"BR",ISNUMBER(M1851),N(M1851)&gt;0),IF(A1851="BL","Livré plus que commandé","Sorti plus que demandé"),"OK"))))))))))))</f>
        <v/>
      </c>
      <c r="Y1851" s="57" t="str">
        <f>IF(AND(OR(A1851="BL",A1851="BR",A1851="BS"),AG1851&gt;0,D1851&lt;&gt;""),A1851&amp;"|"&amp;AG1851&amp;"|"&amp;D1851&amp;"|"&amp;F1851,"")</f>
        <v/>
      </c>
      <c r="Z1851" s="57" t="str">
        <f>IF(Y1851="","",IF(COUNTIF(Y$6:Y1850,Y1851)=0,1,0))</f>
        <v/>
      </c>
      <c r="AA1851" s="57" t="str">
        <f>IF(Y1851="","",IF(Z1851=1,COUNTIFS(A$6:A1851,A1851,Z$6:Z1851,1),INDEX(AA$6:AA1850,MATCH(Y1851,Y$6:Y1850,0))))</f>
        <v/>
      </c>
      <c r="AB1851" s="57" t="str">
        <f>IF(B1851="","",COUNTIF(B$6:B1851,B1851))</f>
        <v/>
      </c>
      <c r="AC1851" s="57" t="str">
        <f>IF(B1851="","",B1851&amp;"#"&amp;AB1851)</f>
        <v/>
      </c>
      <c r="AD1851" s="57" t="str">
        <f>IF(Z1851=1,A1851&amp;AA1851,"")</f>
        <v/>
      </c>
      <c r="AE1851" s="57" t="str">
        <f>IF(B1851="","",YEAR(C1851))</f>
        <v/>
      </c>
      <c r="AF1851" s="57" t="str">
        <f>IF(B1851="","",MONTH(C1851))</f>
        <v/>
      </c>
      <c r="AG1851" s="57">
        <f>IF(ISNUMBER(C1851),C1851,0)</f>
        <v>0.0</v>
      </c>
      <c r="AH1851" s="57" t="str">
        <f>IF(N(W1851)&gt;0,COUNTIF(W$6:W1851,"&gt;0"),"")</f>
        <v/>
      </c>
      <c r="AI1851" s="57" t="str">
        <f>IF(Z1851=1,COUNTIF(Z$6:Z1851,1),"")</f>
        <v/>
      </c>
    </row>
    <row r="1852">
      <c r="A1852" s="54" t="n"/>
      <c r="B1852" s="55" t="str">
        <f>IF(AA1852="","",A1852&amp;"-"&amp;RIGHT("000"&amp;AA1852,4))</f>
        <v/>
      </c>
      <c r="C1852" s="56" t="n"/>
      <c r="D1852" s="54" t="n"/>
      <c r="E1852" s="57" t="str">
        <f>IF(D1852="","",IF(A1852="BL",IFERROR(INDEX(cl_name,MATCH(D1852,cl_code,0))&amp;"","Client inconnu"),IF(A1852="BR",IFERROR(INDEX(fo_name,MATCH(D1852,fo_code,0))&amp;"","Fournisseur inconnu"),IF(A1852="BS",IF(ISNA(MATCH(D1852,p_services,0)),"Service inconnu",D1852&amp;""),""))))</f>
        <v/>
      </c>
      <c r="F1852" s="58" t="n"/>
      <c r="G1852" s="58" t="n"/>
      <c r="H1852" s="59" t="n"/>
      <c r="I1852" s="57" t="str">
        <f>IF(H1852="","",IFERROR(INDEX(art_des,MATCH(H1852,art_ref,0))&amp;"","Article inconnu"))</f>
        <v/>
      </c>
      <c r="J1852" s="60" t="str">
        <f>IF(H1852="","",IFERROR(INDEX(art_unit,MATCH(H1852,art_ref,0))&amp;"",""))</f>
        <v/>
      </c>
      <c r="K1852" s="59" t="n"/>
      <c r="L1852" s="59" t="n"/>
      <c r="M1852" s="61" t="str">
        <f>IF(OR(B1852="",NOT(ISNUMBER(K1852)),NOT(ISNUMBER(L1852))),"",IF(OR(K1852&lt;=0,L1852&lt;=0),"",ROUND(L1852-K1852,6)))</f>
        <v/>
      </c>
      <c r="N1852" s="58" t="n"/>
      <c r="O1852" s="62" t="n"/>
      <c r="P1852" s="63" t="str">
        <f>IF(OR(B1852="",NOT(ISNUMBER(L1852))),"",IF(L1852&lt;=0,"",IFERROR(ROUND(L1852*N(INDEX(art_w,MATCH(H1852,art_ref,0))),3),"")))</f>
        <v/>
      </c>
      <c r="Q1852" s="59" t="n"/>
      <c r="R1852" s="54" t="n"/>
      <c r="S1852" s="59" t="n"/>
      <c r="T1852" s="59" t="n"/>
      <c r="U1852" s="64" t="str">
        <f>IF(OR(B1852="",H1852=""),"",IFERROR(IF(A1852="BL",IF(N(INDEX(art_price,MATCH(H1852,art_ref,0)))=0,"",N(INDEX(art_price,MATCH(H1852,art_ref,0)))),IF(N(INDEX(art_cost,MATCH(H1852,art_ref,0)))=0,"",N(INDEX(art_cost,MATCH(H1852,art_ref,0))))),""))</f>
        <v/>
      </c>
      <c r="V1852" s="64" t="str">
        <f>IF(OR(U1852="",NOT(ISNUMBER(L1852))),"",IF(L1852&lt;=0,"",ROUND(L1852*U1852,2)))</f>
        <v/>
      </c>
      <c r="W1852" s="60" t="str">
        <f>IF(AND(B1852&lt;&gt;"",A1852&lt;&gt;"BS",F1852&lt;&gt;"",H1852&lt;&gt;"",ISNUMBER(K1852),ISNUMBER(L1852)),IF(AND(K1852&gt;0,L1852&gt;0,K1852-L1852&gt;0,COUNTIFS(A1853:A$2005,A1852,F1853:F$2005,F1852,H1853:H$2005,H1852,AA1853:AA$2005,"&gt;0")=0),ROUND(K1852-L1852,6),""),"")</f>
        <v/>
      </c>
      <c r="X1852" s="60" t="str">
        <f>IF(AND(A1852="",C1852="",D1852="",H1852="",L1852=""),"",IF(A1852="","Type manquant",IF(AND(A1852&lt;&gt;"BL",A1852&lt;&gt;"BR",A1852&lt;&gt;"BS"),"Type inconnu (BL, BR ou BS)",IF(AG1852=0,"Date manquante ou invalide",IF(D1852="",IF(A1852="BL","Client manquant",IF(A1852="BR","Fournisseur manquant","Service manquant")),IF(IF(A1852="BL",ISNA(MATCH(D1852,cl_code,0)),IF(A1852="BR",ISNA(MATCH(D1852,fo_code,0)),ISNA(MATCH(D1852,p_services,0)))),IF(A1852="BL","Client inconnu",IF(A1852="BR","Fournisseur inconnu","Service inconnu")),IF(H1852="","Article manquant",IF(ISNA(MATCH(H1852,art_ref,0)),"Article inconnu",IF(OR(NOT(ISNUMBER(L1852)),N(L1852)&lt;=0),"Quantité invalide",IF(AND(K1852&lt;&gt;"",OR(NOT(ISNUMBER(K1852)),N(K1852)&lt;=0)),"Qté commandée invalide",IF(AG1852&lt;SUMPRODUCT(MAX((A$6:A1851=A1852)*AG$6:AG1851)),"Date antérieure au bon précédent",IF(AND(A1852&lt;&gt;"BR",ISNUMBER(M1852),N(M1852)&gt;0),IF(A1852="BL","Livré plus que commandé","Sorti plus que demandé"),"OK"))))))))))))</f>
        <v/>
      </c>
      <c r="Y1852" s="57" t="str">
        <f>IF(AND(OR(A1852="BL",A1852="BR",A1852="BS"),AG1852&gt;0,D1852&lt;&gt;""),A1852&amp;"|"&amp;AG1852&amp;"|"&amp;D1852&amp;"|"&amp;F1852,"")</f>
        <v/>
      </c>
      <c r="Z1852" s="57" t="str">
        <f>IF(Y1852="","",IF(COUNTIF(Y$6:Y1851,Y1852)=0,1,0))</f>
        <v/>
      </c>
      <c r="AA1852" s="57" t="str">
        <f>IF(Y1852="","",IF(Z1852=1,COUNTIFS(A$6:A1852,A1852,Z$6:Z1852,1),INDEX(AA$6:AA1851,MATCH(Y1852,Y$6:Y1851,0))))</f>
        <v/>
      </c>
      <c r="AB1852" s="57" t="str">
        <f>IF(B1852="","",COUNTIF(B$6:B1852,B1852))</f>
        <v/>
      </c>
      <c r="AC1852" s="57" t="str">
        <f>IF(B1852="","",B1852&amp;"#"&amp;AB1852)</f>
        <v/>
      </c>
      <c r="AD1852" s="57" t="str">
        <f>IF(Z1852=1,A1852&amp;AA1852,"")</f>
        <v/>
      </c>
      <c r="AE1852" s="57" t="str">
        <f>IF(B1852="","",YEAR(C1852))</f>
        <v/>
      </c>
      <c r="AF1852" s="57" t="str">
        <f>IF(B1852="","",MONTH(C1852))</f>
        <v/>
      </c>
      <c r="AG1852" s="57">
        <f>IF(ISNUMBER(C1852),C1852,0)</f>
        <v>0.0</v>
      </c>
      <c r="AH1852" s="57" t="str">
        <f>IF(N(W1852)&gt;0,COUNTIF(W$6:W1852,"&gt;0"),"")</f>
        <v/>
      </c>
      <c r="AI1852" s="57" t="str">
        <f>IF(Z1852=1,COUNTIF(Z$6:Z1852,1),"")</f>
        <v/>
      </c>
    </row>
    <row r="1853">
      <c r="A1853" s="54" t="n"/>
      <c r="B1853" s="55" t="str">
        <f>IF(AA1853="","",A1853&amp;"-"&amp;RIGHT("000"&amp;AA1853,4))</f>
        <v/>
      </c>
      <c r="C1853" s="56" t="n"/>
      <c r="D1853" s="54" t="n"/>
      <c r="E1853" s="57" t="str">
        <f>IF(D1853="","",IF(A1853="BL",IFERROR(INDEX(cl_name,MATCH(D1853,cl_code,0))&amp;"","Client inconnu"),IF(A1853="BR",IFERROR(INDEX(fo_name,MATCH(D1853,fo_code,0))&amp;"","Fournisseur inconnu"),IF(A1853="BS",IF(ISNA(MATCH(D1853,p_services,0)),"Service inconnu",D1853&amp;""),""))))</f>
        <v/>
      </c>
      <c r="F1853" s="58" t="n"/>
      <c r="G1853" s="58" t="n"/>
      <c r="H1853" s="59" t="n"/>
      <c r="I1853" s="57" t="str">
        <f>IF(H1853="","",IFERROR(INDEX(art_des,MATCH(H1853,art_ref,0))&amp;"","Article inconnu"))</f>
        <v/>
      </c>
      <c r="J1853" s="60" t="str">
        <f>IF(H1853="","",IFERROR(INDEX(art_unit,MATCH(H1853,art_ref,0))&amp;"",""))</f>
        <v/>
      </c>
      <c r="K1853" s="59" t="n"/>
      <c r="L1853" s="59" t="n"/>
      <c r="M1853" s="61" t="str">
        <f>IF(OR(B1853="",NOT(ISNUMBER(K1853)),NOT(ISNUMBER(L1853))),"",IF(OR(K1853&lt;=0,L1853&lt;=0),"",ROUND(L1853-K1853,6)))</f>
        <v/>
      </c>
      <c r="N1853" s="58" t="n"/>
      <c r="O1853" s="62" t="n"/>
      <c r="P1853" s="63" t="str">
        <f>IF(OR(B1853="",NOT(ISNUMBER(L1853))),"",IF(L1853&lt;=0,"",IFERROR(ROUND(L1853*N(INDEX(art_w,MATCH(H1853,art_ref,0))),3),"")))</f>
        <v/>
      </c>
      <c r="Q1853" s="59" t="n"/>
      <c r="R1853" s="54" t="n"/>
      <c r="S1853" s="59" t="n"/>
      <c r="T1853" s="59" t="n"/>
      <c r="U1853" s="64" t="str">
        <f>IF(OR(B1853="",H1853=""),"",IFERROR(IF(A1853="BL",IF(N(INDEX(art_price,MATCH(H1853,art_ref,0)))=0,"",N(INDEX(art_price,MATCH(H1853,art_ref,0)))),IF(N(INDEX(art_cost,MATCH(H1853,art_ref,0)))=0,"",N(INDEX(art_cost,MATCH(H1853,art_ref,0))))),""))</f>
        <v/>
      </c>
      <c r="V1853" s="64" t="str">
        <f>IF(OR(U1853="",NOT(ISNUMBER(L1853))),"",IF(L1853&lt;=0,"",ROUND(L1853*U1853,2)))</f>
        <v/>
      </c>
      <c r="W1853" s="60" t="str">
        <f>IF(AND(B1853&lt;&gt;"",A1853&lt;&gt;"BS",F1853&lt;&gt;"",H1853&lt;&gt;"",ISNUMBER(K1853),ISNUMBER(L1853)),IF(AND(K1853&gt;0,L1853&gt;0,K1853-L1853&gt;0,COUNTIFS(A1854:A$2005,A1853,F1854:F$2005,F1853,H1854:H$2005,H1853,AA1854:AA$2005,"&gt;0")=0),ROUND(K1853-L1853,6),""),"")</f>
        <v/>
      </c>
      <c r="X1853" s="60" t="str">
        <f>IF(AND(A1853="",C1853="",D1853="",H1853="",L1853=""),"",IF(A1853="","Type manquant",IF(AND(A1853&lt;&gt;"BL",A1853&lt;&gt;"BR",A1853&lt;&gt;"BS"),"Type inconnu (BL, BR ou BS)",IF(AG1853=0,"Date manquante ou invalide",IF(D1853="",IF(A1853="BL","Client manquant",IF(A1853="BR","Fournisseur manquant","Service manquant")),IF(IF(A1853="BL",ISNA(MATCH(D1853,cl_code,0)),IF(A1853="BR",ISNA(MATCH(D1853,fo_code,0)),ISNA(MATCH(D1853,p_services,0)))),IF(A1853="BL","Client inconnu",IF(A1853="BR","Fournisseur inconnu","Service inconnu")),IF(H1853="","Article manquant",IF(ISNA(MATCH(H1853,art_ref,0)),"Article inconnu",IF(OR(NOT(ISNUMBER(L1853)),N(L1853)&lt;=0),"Quantité invalide",IF(AND(K1853&lt;&gt;"",OR(NOT(ISNUMBER(K1853)),N(K1853)&lt;=0)),"Qté commandée invalide",IF(AG1853&lt;SUMPRODUCT(MAX((A$6:A1852=A1853)*AG$6:AG1852)),"Date antérieure au bon précédent",IF(AND(A1853&lt;&gt;"BR",ISNUMBER(M1853),N(M1853)&gt;0),IF(A1853="BL","Livré plus que commandé","Sorti plus que demandé"),"OK"))))))))))))</f>
        <v/>
      </c>
      <c r="Y1853" s="57" t="str">
        <f>IF(AND(OR(A1853="BL",A1853="BR",A1853="BS"),AG1853&gt;0,D1853&lt;&gt;""),A1853&amp;"|"&amp;AG1853&amp;"|"&amp;D1853&amp;"|"&amp;F1853,"")</f>
        <v/>
      </c>
      <c r="Z1853" s="57" t="str">
        <f>IF(Y1853="","",IF(COUNTIF(Y$6:Y1852,Y1853)=0,1,0))</f>
        <v/>
      </c>
      <c r="AA1853" s="57" t="str">
        <f>IF(Y1853="","",IF(Z1853=1,COUNTIFS(A$6:A1853,A1853,Z$6:Z1853,1),INDEX(AA$6:AA1852,MATCH(Y1853,Y$6:Y1852,0))))</f>
        <v/>
      </c>
      <c r="AB1853" s="57" t="str">
        <f>IF(B1853="","",COUNTIF(B$6:B1853,B1853))</f>
        <v/>
      </c>
      <c r="AC1853" s="57" t="str">
        <f>IF(B1853="","",B1853&amp;"#"&amp;AB1853)</f>
        <v/>
      </c>
      <c r="AD1853" s="57" t="str">
        <f>IF(Z1853=1,A1853&amp;AA1853,"")</f>
        <v/>
      </c>
      <c r="AE1853" s="57" t="str">
        <f>IF(B1853="","",YEAR(C1853))</f>
        <v/>
      </c>
      <c r="AF1853" s="57" t="str">
        <f>IF(B1853="","",MONTH(C1853))</f>
        <v/>
      </c>
      <c r="AG1853" s="57">
        <f>IF(ISNUMBER(C1853),C1853,0)</f>
        <v>0.0</v>
      </c>
      <c r="AH1853" s="57" t="str">
        <f>IF(N(W1853)&gt;0,COUNTIF(W$6:W1853,"&gt;0"),"")</f>
        <v/>
      </c>
      <c r="AI1853" s="57" t="str">
        <f>IF(Z1853=1,COUNTIF(Z$6:Z1853,1),"")</f>
        <v/>
      </c>
    </row>
    <row r="1854">
      <c r="A1854" s="54" t="n"/>
      <c r="B1854" s="55" t="str">
        <f>IF(AA1854="","",A1854&amp;"-"&amp;RIGHT("000"&amp;AA1854,4))</f>
        <v/>
      </c>
      <c r="C1854" s="56" t="n"/>
      <c r="D1854" s="54" t="n"/>
      <c r="E1854" s="57" t="str">
        <f>IF(D1854="","",IF(A1854="BL",IFERROR(INDEX(cl_name,MATCH(D1854,cl_code,0))&amp;"","Client inconnu"),IF(A1854="BR",IFERROR(INDEX(fo_name,MATCH(D1854,fo_code,0))&amp;"","Fournisseur inconnu"),IF(A1854="BS",IF(ISNA(MATCH(D1854,p_services,0)),"Service inconnu",D1854&amp;""),""))))</f>
        <v/>
      </c>
      <c r="F1854" s="58" t="n"/>
      <c r="G1854" s="58" t="n"/>
      <c r="H1854" s="59" t="n"/>
      <c r="I1854" s="57" t="str">
        <f>IF(H1854="","",IFERROR(INDEX(art_des,MATCH(H1854,art_ref,0))&amp;"","Article inconnu"))</f>
        <v/>
      </c>
      <c r="J1854" s="60" t="str">
        <f>IF(H1854="","",IFERROR(INDEX(art_unit,MATCH(H1854,art_ref,0))&amp;"",""))</f>
        <v/>
      </c>
      <c r="K1854" s="59" t="n"/>
      <c r="L1854" s="59" t="n"/>
      <c r="M1854" s="61" t="str">
        <f>IF(OR(B1854="",NOT(ISNUMBER(K1854)),NOT(ISNUMBER(L1854))),"",IF(OR(K1854&lt;=0,L1854&lt;=0),"",ROUND(L1854-K1854,6)))</f>
        <v/>
      </c>
      <c r="N1854" s="58" t="n"/>
      <c r="O1854" s="62" t="n"/>
      <c r="P1854" s="63" t="str">
        <f>IF(OR(B1854="",NOT(ISNUMBER(L1854))),"",IF(L1854&lt;=0,"",IFERROR(ROUND(L1854*N(INDEX(art_w,MATCH(H1854,art_ref,0))),3),"")))</f>
        <v/>
      </c>
      <c r="Q1854" s="59" t="n"/>
      <c r="R1854" s="54" t="n"/>
      <c r="S1854" s="59" t="n"/>
      <c r="T1854" s="59" t="n"/>
      <c r="U1854" s="64" t="str">
        <f>IF(OR(B1854="",H1854=""),"",IFERROR(IF(A1854="BL",IF(N(INDEX(art_price,MATCH(H1854,art_ref,0)))=0,"",N(INDEX(art_price,MATCH(H1854,art_ref,0)))),IF(N(INDEX(art_cost,MATCH(H1854,art_ref,0)))=0,"",N(INDEX(art_cost,MATCH(H1854,art_ref,0))))),""))</f>
        <v/>
      </c>
      <c r="V1854" s="64" t="str">
        <f>IF(OR(U1854="",NOT(ISNUMBER(L1854))),"",IF(L1854&lt;=0,"",ROUND(L1854*U1854,2)))</f>
        <v/>
      </c>
      <c r="W1854" s="60" t="str">
        <f>IF(AND(B1854&lt;&gt;"",A1854&lt;&gt;"BS",F1854&lt;&gt;"",H1854&lt;&gt;"",ISNUMBER(K1854),ISNUMBER(L1854)),IF(AND(K1854&gt;0,L1854&gt;0,K1854-L1854&gt;0,COUNTIFS(A1855:A$2005,A1854,F1855:F$2005,F1854,H1855:H$2005,H1854,AA1855:AA$2005,"&gt;0")=0),ROUND(K1854-L1854,6),""),"")</f>
        <v/>
      </c>
      <c r="X1854" s="60" t="str">
        <f>IF(AND(A1854="",C1854="",D1854="",H1854="",L1854=""),"",IF(A1854="","Type manquant",IF(AND(A1854&lt;&gt;"BL",A1854&lt;&gt;"BR",A1854&lt;&gt;"BS"),"Type inconnu (BL, BR ou BS)",IF(AG1854=0,"Date manquante ou invalide",IF(D1854="",IF(A1854="BL","Client manquant",IF(A1854="BR","Fournisseur manquant","Service manquant")),IF(IF(A1854="BL",ISNA(MATCH(D1854,cl_code,0)),IF(A1854="BR",ISNA(MATCH(D1854,fo_code,0)),ISNA(MATCH(D1854,p_services,0)))),IF(A1854="BL","Client inconnu",IF(A1854="BR","Fournisseur inconnu","Service inconnu")),IF(H1854="","Article manquant",IF(ISNA(MATCH(H1854,art_ref,0)),"Article inconnu",IF(OR(NOT(ISNUMBER(L1854)),N(L1854)&lt;=0),"Quantité invalide",IF(AND(K1854&lt;&gt;"",OR(NOT(ISNUMBER(K1854)),N(K1854)&lt;=0)),"Qté commandée invalide",IF(AG1854&lt;SUMPRODUCT(MAX((A$6:A1853=A1854)*AG$6:AG1853)),"Date antérieure au bon précédent",IF(AND(A1854&lt;&gt;"BR",ISNUMBER(M1854),N(M1854)&gt;0),IF(A1854="BL","Livré plus que commandé","Sorti plus que demandé"),"OK"))))))))))))</f>
        <v/>
      </c>
      <c r="Y1854" s="57" t="str">
        <f>IF(AND(OR(A1854="BL",A1854="BR",A1854="BS"),AG1854&gt;0,D1854&lt;&gt;""),A1854&amp;"|"&amp;AG1854&amp;"|"&amp;D1854&amp;"|"&amp;F1854,"")</f>
        <v/>
      </c>
      <c r="Z1854" s="57" t="str">
        <f>IF(Y1854="","",IF(COUNTIF(Y$6:Y1853,Y1854)=0,1,0))</f>
        <v/>
      </c>
      <c r="AA1854" s="57" t="str">
        <f>IF(Y1854="","",IF(Z1854=1,COUNTIFS(A$6:A1854,A1854,Z$6:Z1854,1),INDEX(AA$6:AA1853,MATCH(Y1854,Y$6:Y1853,0))))</f>
        <v/>
      </c>
      <c r="AB1854" s="57" t="str">
        <f>IF(B1854="","",COUNTIF(B$6:B1854,B1854))</f>
        <v/>
      </c>
      <c r="AC1854" s="57" t="str">
        <f>IF(B1854="","",B1854&amp;"#"&amp;AB1854)</f>
        <v/>
      </c>
      <c r="AD1854" s="57" t="str">
        <f>IF(Z1854=1,A1854&amp;AA1854,"")</f>
        <v/>
      </c>
      <c r="AE1854" s="57" t="str">
        <f>IF(B1854="","",YEAR(C1854))</f>
        <v/>
      </c>
      <c r="AF1854" s="57" t="str">
        <f>IF(B1854="","",MONTH(C1854))</f>
        <v/>
      </c>
      <c r="AG1854" s="57">
        <f>IF(ISNUMBER(C1854),C1854,0)</f>
        <v>0.0</v>
      </c>
      <c r="AH1854" s="57" t="str">
        <f>IF(N(W1854)&gt;0,COUNTIF(W$6:W1854,"&gt;0"),"")</f>
        <v/>
      </c>
      <c r="AI1854" s="57" t="str">
        <f>IF(Z1854=1,COUNTIF(Z$6:Z1854,1),"")</f>
        <v/>
      </c>
    </row>
    <row r="1855">
      <c r="A1855" s="54" t="n"/>
      <c r="B1855" s="55" t="str">
        <f>IF(AA1855="","",A1855&amp;"-"&amp;RIGHT("000"&amp;AA1855,4))</f>
        <v/>
      </c>
      <c r="C1855" s="56" t="n"/>
      <c r="D1855" s="54" t="n"/>
      <c r="E1855" s="57" t="str">
        <f>IF(D1855="","",IF(A1855="BL",IFERROR(INDEX(cl_name,MATCH(D1855,cl_code,0))&amp;"","Client inconnu"),IF(A1855="BR",IFERROR(INDEX(fo_name,MATCH(D1855,fo_code,0))&amp;"","Fournisseur inconnu"),IF(A1855="BS",IF(ISNA(MATCH(D1855,p_services,0)),"Service inconnu",D1855&amp;""),""))))</f>
        <v/>
      </c>
      <c r="F1855" s="58" t="n"/>
      <c r="G1855" s="58" t="n"/>
      <c r="H1855" s="59" t="n"/>
      <c r="I1855" s="57" t="str">
        <f>IF(H1855="","",IFERROR(INDEX(art_des,MATCH(H1855,art_ref,0))&amp;"","Article inconnu"))</f>
        <v/>
      </c>
      <c r="J1855" s="60" t="str">
        <f>IF(H1855="","",IFERROR(INDEX(art_unit,MATCH(H1855,art_ref,0))&amp;"",""))</f>
        <v/>
      </c>
      <c r="K1855" s="59" t="n"/>
      <c r="L1855" s="59" t="n"/>
      <c r="M1855" s="61" t="str">
        <f>IF(OR(B1855="",NOT(ISNUMBER(K1855)),NOT(ISNUMBER(L1855))),"",IF(OR(K1855&lt;=0,L1855&lt;=0),"",ROUND(L1855-K1855,6)))</f>
        <v/>
      </c>
      <c r="N1855" s="58" t="n"/>
      <c r="O1855" s="62" t="n"/>
      <c r="P1855" s="63" t="str">
        <f>IF(OR(B1855="",NOT(ISNUMBER(L1855))),"",IF(L1855&lt;=0,"",IFERROR(ROUND(L1855*N(INDEX(art_w,MATCH(H1855,art_ref,0))),3),"")))</f>
        <v/>
      </c>
      <c r="Q1855" s="59" t="n"/>
      <c r="R1855" s="54" t="n"/>
      <c r="S1855" s="59" t="n"/>
      <c r="T1855" s="59" t="n"/>
      <c r="U1855" s="64" t="str">
        <f>IF(OR(B1855="",H1855=""),"",IFERROR(IF(A1855="BL",IF(N(INDEX(art_price,MATCH(H1855,art_ref,0)))=0,"",N(INDEX(art_price,MATCH(H1855,art_ref,0)))),IF(N(INDEX(art_cost,MATCH(H1855,art_ref,0)))=0,"",N(INDEX(art_cost,MATCH(H1855,art_ref,0))))),""))</f>
        <v/>
      </c>
      <c r="V1855" s="64" t="str">
        <f>IF(OR(U1855="",NOT(ISNUMBER(L1855))),"",IF(L1855&lt;=0,"",ROUND(L1855*U1855,2)))</f>
        <v/>
      </c>
      <c r="W1855" s="60" t="str">
        <f>IF(AND(B1855&lt;&gt;"",A1855&lt;&gt;"BS",F1855&lt;&gt;"",H1855&lt;&gt;"",ISNUMBER(K1855),ISNUMBER(L1855)),IF(AND(K1855&gt;0,L1855&gt;0,K1855-L1855&gt;0,COUNTIFS(A1856:A$2005,A1855,F1856:F$2005,F1855,H1856:H$2005,H1855,AA1856:AA$2005,"&gt;0")=0),ROUND(K1855-L1855,6),""),"")</f>
        <v/>
      </c>
      <c r="X1855" s="60" t="str">
        <f>IF(AND(A1855="",C1855="",D1855="",H1855="",L1855=""),"",IF(A1855="","Type manquant",IF(AND(A1855&lt;&gt;"BL",A1855&lt;&gt;"BR",A1855&lt;&gt;"BS"),"Type inconnu (BL, BR ou BS)",IF(AG1855=0,"Date manquante ou invalide",IF(D1855="",IF(A1855="BL","Client manquant",IF(A1855="BR","Fournisseur manquant","Service manquant")),IF(IF(A1855="BL",ISNA(MATCH(D1855,cl_code,0)),IF(A1855="BR",ISNA(MATCH(D1855,fo_code,0)),ISNA(MATCH(D1855,p_services,0)))),IF(A1855="BL","Client inconnu",IF(A1855="BR","Fournisseur inconnu","Service inconnu")),IF(H1855="","Article manquant",IF(ISNA(MATCH(H1855,art_ref,0)),"Article inconnu",IF(OR(NOT(ISNUMBER(L1855)),N(L1855)&lt;=0),"Quantité invalide",IF(AND(K1855&lt;&gt;"",OR(NOT(ISNUMBER(K1855)),N(K1855)&lt;=0)),"Qté commandée invalide",IF(AG1855&lt;SUMPRODUCT(MAX((A$6:A1854=A1855)*AG$6:AG1854)),"Date antérieure au bon précédent",IF(AND(A1855&lt;&gt;"BR",ISNUMBER(M1855),N(M1855)&gt;0),IF(A1855="BL","Livré plus que commandé","Sorti plus que demandé"),"OK"))))))))))))</f>
        <v/>
      </c>
      <c r="Y1855" s="57" t="str">
        <f>IF(AND(OR(A1855="BL",A1855="BR",A1855="BS"),AG1855&gt;0,D1855&lt;&gt;""),A1855&amp;"|"&amp;AG1855&amp;"|"&amp;D1855&amp;"|"&amp;F1855,"")</f>
        <v/>
      </c>
      <c r="Z1855" s="57" t="str">
        <f>IF(Y1855="","",IF(COUNTIF(Y$6:Y1854,Y1855)=0,1,0))</f>
        <v/>
      </c>
      <c r="AA1855" s="57" t="str">
        <f>IF(Y1855="","",IF(Z1855=1,COUNTIFS(A$6:A1855,A1855,Z$6:Z1855,1),INDEX(AA$6:AA1854,MATCH(Y1855,Y$6:Y1854,0))))</f>
        <v/>
      </c>
      <c r="AB1855" s="57" t="str">
        <f>IF(B1855="","",COUNTIF(B$6:B1855,B1855))</f>
        <v/>
      </c>
      <c r="AC1855" s="57" t="str">
        <f>IF(B1855="","",B1855&amp;"#"&amp;AB1855)</f>
        <v/>
      </c>
      <c r="AD1855" s="57" t="str">
        <f>IF(Z1855=1,A1855&amp;AA1855,"")</f>
        <v/>
      </c>
      <c r="AE1855" s="57" t="str">
        <f>IF(B1855="","",YEAR(C1855))</f>
        <v/>
      </c>
      <c r="AF1855" s="57" t="str">
        <f>IF(B1855="","",MONTH(C1855))</f>
        <v/>
      </c>
      <c r="AG1855" s="57">
        <f>IF(ISNUMBER(C1855),C1855,0)</f>
        <v>0.0</v>
      </c>
      <c r="AH1855" s="57" t="str">
        <f>IF(N(W1855)&gt;0,COUNTIF(W$6:W1855,"&gt;0"),"")</f>
        <v/>
      </c>
      <c r="AI1855" s="57" t="str">
        <f>IF(Z1855=1,COUNTIF(Z$6:Z1855,1),"")</f>
        <v/>
      </c>
    </row>
    <row r="1856">
      <c r="A1856" s="54" t="n"/>
      <c r="B1856" s="55" t="str">
        <f>IF(AA1856="","",A1856&amp;"-"&amp;RIGHT("000"&amp;AA1856,4))</f>
        <v/>
      </c>
      <c r="C1856" s="56" t="n"/>
      <c r="D1856" s="54" t="n"/>
      <c r="E1856" s="57" t="str">
        <f>IF(D1856="","",IF(A1856="BL",IFERROR(INDEX(cl_name,MATCH(D1856,cl_code,0))&amp;"","Client inconnu"),IF(A1856="BR",IFERROR(INDEX(fo_name,MATCH(D1856,fo_code,0))&amp;"","Fournisseur inconnu"),IF(A1856="BS",IF(ISNA(MATCH(D1856,p_services,0)),"Service inconnu",D1856&amp;""),""))))</f>
        <v/>
      </c>
      <c r="F1856" s="58" t="n"/>
      <c r="G1856" s="58" t="n"/>
      <c r="H1856" s="59" t="n"/>
      <c r="I1856" s="57" t="str">
        <f>IF(H1856="","",IFERROR(INDEX(art_des,MATCH(H1856,art_ref,0))&amp;"","Article inconnu"))</f>
        <v/>
      </c>
      <c r="J1856" s="60" t="str">
        <f>IF(H1856="","",IFERROR(INDEX(art_unit,MATCH(H1856,art_ref,0))&amp;"",""))</f>
        <v/>
      </c>
      <c r="K1856" s="59" t="n"/>
      <c r="L1856" s="59" t="n"/>
      <c r="M1856" s="61" t="str">
        <f>IF(OR(B1856="",NOT(ISNUMBER(K1856)),NOT(ISNUMBER(L1856))),"",IF(OR(K1856&lt;=0,L1856&lt;=0),"",ROUND(L1856-K1856,6)))</f>
        <v/>
      </c>
      <c r="N1856" s="58" t="n"/>
      <c r="O1856" s="62" t="n"/>
      <c r="P1856" s="63" t="str">
        <f>IF(OR(B1856="",NOT(ISNUMBER(L1856))),"",IF(L1856&lt;=0,"",IFERROR(ROUND(L1856*N(INDEX(art_w,MATCH(H1856,art_ref,0))),3),"")))</f>
        <v/>
      </c>
      <c r="Q1856" s="59" t="n"/>
      <c r="R1856" s="54" t="n"/>
      <c r="S1856" s="59" t="n"/>
      <c r="T1856" s="59" t="n"/>
      <c r="U1856" s="64" t="str">
        <f>IF(OR(B1856="",H1856=""),"",IFERROR(IF(A1856="BL",IF(N(INDEX(art_price,MATCH(H1856,art_ref,0)))=0,"",N(INDEX(art_price,MATCH(H1856,art_ref,0)))),IF(N(INDEX(art_cost,MATCH(H1856,art_ref,0)))=0,"",N(INDEX(art_cost,MATCH(H1856,art_ref,0))))),""))</f>
        <v/>
      </c>
      <c r="V1856" s="64" t="str">
        <f>IF(OR(U1856="",NOT(ISNUMBER(L1856))),"",IF(L1856&lt;=0,"",ROUND(L1856*U1856,2)))</f>
        <v/>
      </c>
      <c r="W1856" s="60" t="str">
        <f>IF(AND(B1856&lt;&gt;"",A1856&lt;&gt;"BS",F1856&lt;&gt;"",H1856&lt;&gt;"",ISNUMBER(K1856),ISNUMBER(L1856)),IF(AND(K1856&gt;0,L1856&gt;0,K1856-L1856&gt;0,COUNTIFS(A1857:A$2005,A1856,F1857:F$2005,F1856,H1857:H$2005,H1856,AA1857:AA$2005,"&gt;0")=0),ROUND(K1856-L1856,6),""),"")</f>
        <v/>
      </c>
      <c r="X1856" s="60" t="str">
        <f>IF(AND(A1856="",C1856="",D1856="",H1856="",L1856=""),"",IF(A1856="","Type manquant",IF(AND(A1856&lt;&gt;"BL",A1856&lt;&gt;"BR",A1856&lt;&gt;"BS"),"Type inconnu (BL, BR ou BS)",IF(AG1856=0,"Date manquante ou invalide",IF(D1856="",IF(A1856="BL","Client manquant",IF(A1856="BR","Fournisseur manquant","Service manquant")),IF(IF(A1856="BL",ISNA(MATCH(D1856,cl_code,0)),IF(A1856="BR",ISNA(MATCH(D1856,fo_code,0)),ISNA(MATCH(D1856,p_services,0)))),IF(A1856="BL","Client inconnu",IF(A1856="BR","Fournisseur inconnu","Service inconnu")),IF(H1856="","Article manquant",IF(ISNA(MATCH(H1856,art_ref,0)),"Article inconnu",IF(OR(NOT(ISNUMBER(L1856)),N(L1856)&lt;=0),"Quantité invalide",IF(AND(K1856&lt;&gt;"",OR(NOT(ISNUMBER(K1856)),N(K1856)&lt;=0)),"Qté commandée invalide",IF(AG1856&lt;SUMPRODUCT(MAX((A$6:A1855=A1856)*AG$6:AG1855)),"Date antérieure au bon précédent",IF(AND(A1856&lt;&gt;"BR",ISNUMBER(M1856),N(M1856)&gt;0),IF(A1856="BL","Livré plus que commandé","Sorti plus que demandé"),"OK"))))))))))))</f>
        <v/>
      </c>
      <c r="Y1856" s="57" t="str">
        <f>IF(AND(OR(A1856="BL",A1856="BR",A1856="BS"),AG1856&gt;0,D1856&lt;&gt;""),A1856&amp;"|"&amp;AG1856&amp;"|"&amp;D1856&amp;"|"&amp;F1856,"")</f>
        <v/>
      </c>
      <c r="Z1856" s="57" t="str">
        <f>IF(Y1856="","",IF(COUNTIF(Y$6:Y1855,Y1856)=0,1,0))</f>
        <v/>
      </c>
      <c r="AA1856" s="57" t="str">
        <f>IF(Y1856="","",IF(Z1856=1,COUNTIFS(A$6:A1856,A1856,Z$6:Z1856,1),INDEX(AA$6:AA1855,MATCH(Y1856,Y$6:Y1855,0))))</f>
        <v/>
      </c>
      <c r="AB1856" s="57" t="str">
        <f>IF(B1856="","",COUNTIF(B$6:B1856,B1856))</f>
        <v/>
      </c>
      <c r="AC1856" s="57" t="str">
        <f>IF(B1856="","",B1856&amp;"#"&amp;AB1856)</f>
        <v/>
      </c>
      <c r="AD1856" s="57" t="str">
        <f>IF(Z1856=1,A1856&amp;AA1856,"")</f>
        <v/>
      </c>
      <c r="AE1856" s="57" t="str">
        <f>IF(B1856="","",YEAR(C1856))</f>
        <v/>
      </c>
      <c r="AF1856" s="57" t="str">
        <f>IF(B1856="","",MONTH(C1856))</f>
        <v/>
      </c>
      <c r="AG1856" s="57">
        <f>IF(ISNUMBER(C1856),C1856,0)</f>
        <v>0.0</v>
      </c>
      <c r="AH1856" s="57" t="str">
        <f>IF(N(W1856)&gt;0,COUNTIF(W$6:W1856,"&gt;0"),"")</f>
        <v/>
      </c>
      <c r="AI1856" s="57" t="str">
        <f>IF(Z1856=1,COUNTIF(Z$6:Z1856,1),"")</f>
        <v/>
      </c>
    </row>
    <row r="1857">
      <c r="A1857" s="54" t="n"/>
      <c r="B1857" s="55" t="str">
        <f>IF(AA1857="","",A1857&amp;"-"&amp;RIGHT("000"&amp;AA1857,4))</f>
        <v/>
      </c>
      <c r="C1857" s="56" t="n"/>
      <c r="D1857" s="54" t="n"/>
      <c r="E1857" s="57" t="str">
        <f>IF(D1857="","",IF(A1857="BL",IFERROR(INDEX(cl_name,MATCH(D1857,cl_code,0))&amp;"","Client inconnu"),IF(A1857="BR",IFERROR(INDEX(fo_name,MATCH(D1857,fo_code,0))&amp;"","Fournisseur inconnu"),IF(A1857="BS",IF(ISNA(MATCH(D1857,p_services,0)),"Service inconnu",D1857&amp;""),""))))</f>
        <v/>
      </c>
      <c r="F1857" s="58" t="n"/>
      <c r="G1857" s="58" t="n"/>
      <c r="H1857" s="59" t="n"/>
      <c r="I1857" s="57" t="str">
        <f>IF(H1857="","",IFERROR(INDEX(art_des,MATCH(H1857,art_ref,0))&amp;"","Article inconnu"))</f>
        <v/>
      </c>
      <c r="J1857" s="60" t="str">
        <f>IF(H1857="","",IFERROR(INDEX(art_unit,MATCH(H1857,art_ref,0))&amp;"",""))</f>
        <v/>
      </c>
      <c r="K1857" s="59" t="n"/>
      <c r="L1857" s="59" t="n"/>
      <c r="M1857" s="61" t="str">
        <f>IF(OR(B1857="",NOT(ISNUMBER(K1857)),NOT(ISNUMBER(L1857))),"",IF(OR(K1857&lt;=0,L1857&lt;=0),"",ROUND(L1857-K1857,6)))</f>
        <v/>
      </c>
      <c r="N1857" s="58" t="n"/>
      <c r="O1857" s="62" t="n"/>
      <c r="P1857" s="63" t="str">
        <f>IF(OR(B1857="",NOT(ISNUMBER(L1857))),"",IF(L1857&lt;=0,"",IFERROR(ROUND(L1857*N(INDEX(art_w,MATCH(H1857,art_ref,0))),3),"")))</f>
        <v/>
      </c>
      <c r="Q1857" s="59" t="n"/>
      <c r="R1857" s="54" t="n"/>
      <c r="S1857" s="59" t="n"/>
      <c r="T1857" s="59" t="n"/>
      <c r="U1857" s="64" t="str">
        <f>IF(OR(B1857="",H1857=""),"",IFERROR(IF(A1857="BL",IF(N(INDEX(art_price,MATCH(H1857,art_ref,0)))=0,"",N(INDEX(art_price,MATCH(H1857,art_ref,0)))),IF(N(INDEX(art_cost,MATCH(H1857,art_ref,0)))=0,"",N(INDEX(art_cost,MATCH(H1857,art_ref,0))))),""))</f>
        <v/>
      </c>
      <c r="V1857" s="64" t="str">
        <f>IF(OR(U1857="",NOT(ISNUMBER(L1857))),"",IF(L1857&lt;=0,"",ROUND(L1857*U1857,2)))</f>
        <v/>
      </c>
      <c r="W1857" s="60" t="str">
        <f>IF(AND(B1857&lt;&gt;"",A1857&lt;&gt;"BS",F1857&lt;&gt;"",H1857&lt;&gt;"",ISNUMBER(K1857),ISNUMBER(L1857)),IF(AND(K1857&gt;0,L1857&gt;0,K1857-L1857&gt;0,COUNTIFS(A1858:A$2005,A1857,F1858:F$2005,F1857,H1858:H$2005,H1857,AA1858:AA$2005,"&gt;0")=0),ROUND(K1857-L1857,6),""),"")</f>
        <v/>
      </c>
      <c r="X1857" s="60" t="str">
        <f>IF(AND(A1857="",C1857="",D1857="",H1857="",L1857=""),"",IF(A1857="","Type manquant",IF(AND(A1857&lt;&gt;"BL",A1857&lt;&gt;"BR",A1857&lt;&gt;"BS"),"Type inconnu (BL, BR ou BS)",IF(AG1857=0,"Date manquante ou invalide",IF(D1857="",IF(A1857="BL","Client manquant",IF(A1857="BR","Fournisseur manquant","Service manquant")),IF(IF(A1857="BL",ISNA(MATCH(D1857,cl_code,0)),IF(A1857="BR",ISNA(MATCH(D1857,fo_code,0)),ISNA(MATCH(D1857,p_services,0)))),IF(A1857="BL","Client inconnu",IF(A1857="BR","Fournisseur inconnu","Service inconnu")),IF(H1857="","Article manquant",IF(ISNA(MATCH(H1857,art_ref,0)),"Article inconnu",IF(OR(NOT(ISNUMBER(L1857)),N(L1857)&lt;=0),"Quantité invalide",IF(AND(K1857&lt;&gt;"",OR(NOT(ISNUMBER(K1857)),N(K1857)&lt;=0)),"Qté commandée invalide",IF(AG1857&lt;SUMPRODUCT(MAX((A$6:A1856=A1857)*AG$6:AG1856)),"Date antérieure au bon précédent",IF(AND(A1857&lt;&gt;"BR",ISNUMBER(M1857),N(M1857)&gt;0),IF(A1857="BL","Livré plus que commandé","Sorti plus que demandé"),"OK"))))))))))))</f>
        <v/>
      </c>
      <c r="Y1857" s="57" t="str">
        <f>IF(AND(OR(A1857="BL",A1857="BR",A1857="BS"),AG1857&gt;0,D1857&lt;&gt;""),A1857&amp;"|"&amp;AG1857&amp;"|"&amp;D1857&amp;"|"&amp;F1857,"")</f>
        <v/>
      </c>
      <c r="Z1857" s="57" t="str">
        <f>IF(Y1857="","",IF(COUNTIF(Y$6:Y1856,Y1857)=0,1,0))</f>
        <v/>
      </c>
      <c r="AA1857" s="57" t="str">
        <f>IF(Y1857="","",IF(Z1857=1,COUNTIFS(A$6:A1857,A1857,Z$6:Z1857,1),INDEX(AA$6:AA1856,MATCH(Y1857,Y$6:Y1856,0))))</f>
        <v/>
      </c>
      <c r="AB1857" s="57" t="str">
        <f>IF(B1857="","",COUNTIF(B$6:B1857,B1857))</f>
        <v/>
      </c>
      <c r="AC1857" s="57" t="str">
        <f>IF(B1857="","",B1857&amp;"#"&amp;AB1857)</f>
        <v/>
      </c>
      <c r="AD1857" s="57" t="str">
        <f>IF(Z1857=1,A1857&amp;AA1857,"")</f>
        <v/>
      </c>
      <c r="AE1857" s="57" t="str">
        <f>IF(B1857="","",YEAR(C1857))</f>
        <v/>
      </c>
      <c r="AF1857" s="57" t="str">
        <f>IF(B1857="","",MONTH(C1857))</f>
        <v/>
      </c>
      <c r="AG1857" s="57">
        <f>IF(ISNUMBER(C1857),C1857,0)</f>
        <v>0.0</v>
      </c>
      <c r="AH1857" s="57" t="str">
        <f>IF(N(W1857)&gt;0,COUNTIF(W$6:W1857,"&gt;0"),"")</f>
        <v/>
      </c>
      <c r="AI1857" s="57" t="str">
        <f>IF(Z1857=1,COUNTIF(Z$6:Z1857,1),"")</f>
        <v/>
      </c>
    </row>
    <row r="1858">
      <c r="A1858" s="54" t="n"/>
      <c r="B1858" s="55" t="str">
        <f>IF(AA1858="","",A1858&amp;"-"&amp;RIGHT("000"&amp;AA1858,4))</f>
        <v/>
      </c>
      <c r="C1858" s="56" t="n"/>
      <c r="D1858" s="54" t="n"/>
      <c r="E1858" s="57" t="str">
        <f>IF(D1858="","",IF(A1858="BL",IFERROR(INDEX(cl_name,MATCH(D1858,cl_code,0))&amp;"","Client inconnu"),IF(A1858="BR",IFERROR(INDEX(fo_name,MATCH(D1858,fo_code,0))&amp;"","Fournisseur inconnu"),IF(A1858="BS",IF(ISNA(MATCH(D1858,p_services,0)),"Service inconnu",D1858&amp;""),""))))</f>
        <v/>
      </c>
      <c r="F1858" s="58" t="n"/>
      <c r="G1858" s="58" t="n"/>
      <c r="H1858" s="59" t="n"/>
      <c r="I1858" s="57" t="str">
        <f>IF(H1858="","",IFERROR(INDEX(art_des,MATCH(H1858,art_ref,0))&amp;"","Article inconnu"))</f>
        <v/>
      </c>
      <c r="J1858" s="60" t="str">
        <f>IF(H1858="","",IFERROR(INDEX(art_unit,MATCH(H1858,art_ref,0))&amp;"",""))</f>
        <v/>
      </c>
      <c r="K1858" s="59" t="n"/>
      <c r="L1858" s="59" t="n"/>
      <c r="M1858" s="61" t="str">
        <f>IF(OR(B1858="",NOT(ISNUMBER(K1858)),NOT(ISNUMBER(L1858))),"",IF(OR(K1858&lt;=0,L1858&lt;=0),"",ROUND(L1858-K1858,6)))</f>
        <v/>
      </c>
      <c r="N1858" s="58" t="n"/>
      <c r="O1858" s="62" t="n"/>
      <c r="P1858" s="63" t="str">
        <f>IF(OR(B1858="",NOT(ISNUMBER(L1858))),"",IF(L1858&lt;=0,"",IFERROR(ROUND(L1858*N(INDEX(art_w,MATCH(H1858,art_ref,0))),3),"")))</f>
        <v/>
      </c>
      <c r="Q1858" s="59" t="n"/>
      <c r="R1858" s="54" t="n"/>
      <c r="S1858" s="59" t="n"/>
      <c r="T1858" s="59" t="n"/>
      <c r="U1858" s="64" t="str">
        <f>IF(OR(B1858="",H1858=""),"",IFERROR(IF(A1858="BL",IF(N(INDEX(art_price,MATCH(H1858,art_ref,0)))=0,"",N(INDEX(art_price,MATCH(H1858,art_ref,0)))),IF(N(INDEX(art_cost,MATCH(H1858,art_ref,0)))=0,"",N(INDEX(art_cost,MATCH(H1858,art_ref,0))))),""))</f>
        <v/>
      </c>
      <c r="V1858" s="64" t="str">
        <f>IF(OR(U1858="",NOT(ISNUMBER(L1858))),"",IF(L1858&lt;=0,"",ROUND(L1858*U1858,2)))</f>
        <v/>
      </c>
      <c r="W1858" s="60" t="str">
        <f>IF(AND(B1858&lt;&gt;"",A1858&lt;&gt;"BS",F1858&lt;&gt;"",H1858&lt;&gt;"",ISNUMBER(K1858),ISNUMBER(L1858)),IF(AND(K1858&gt;0,L1858&gt;0,K1858-L1858&gt;0,COUNTIFS(A1859:A$2005,A1858,F1859:F$2005,F1858,H1859:H$2005,H1858,AA1859:AA$2005,"&gt;0")=0),ROUND(K1858-L1858,6),""),"")</f>
        <v/>
      </c>
      <c r="X1858" s="60" t="str">
        <f>IF(AND(A1858="",C1858="",D1858="",H1858="",L1858=""),"",IF(A1858="","Type manquant",IF(AND(A1858&lt;&gt;"BL",A1858&lt;&gt;"BR",A1858&lt;&gt;"BS"),"Type inconnu (BL, BR ou BS)",IF(AG1858=0,"Date manquante ou invalide",IF(D1858="",IF(A1858="BL","Client manquant",IF(A1858="BR","Fournisseur manquant","Service manquant")),IF(IF(A1858="BL",ISNA(MATCH(D1858,cl_code,0)),IF(A1858="BR",ISNA(MATCH(D1858,fo_code,0)),ISNA(MATCH(D1858,p_services,0)))),IF(A1858="BL","Client inconnu",IF(A1858="BR","Fournisseur inconnu","Service inconnu")),IF(H1858="","Article manquant",IF(ISNA(MATCH(H1858,art_ref,0)),"Article inconnu",IF(OR(NOT(ISNUMBER(L1858)),N(L1858)&lt;=0),"Quantité invalide",IF(AND(K1858&lt;&gt;"",OR(NOT(ISNUMBER(K1858)),N(K1858)&lt;=0)),"Qté commandée invalide",IF(AG1858&lt;SUMPRODUCT(MAX((A$6:A1857=A1858)*AG$6:AG1857)),"Date antérieure au bon précédent",IF(AND(A1858&lt;&gt;"BR",ISNUMBER(M1858),N(M1858)&gt;0),IF(A1858="BL","Livré plus que commandé","Sorti plus que demandé"),"OK"))))))))))))</f>
        <v/>
      </c>
      <c r="Y1858" s="57" t="str">
        <f>IF(AND(OR(A1858="BL",A1858="BR",A1858="BS"),AG1858&gt;0,D1858&lt;&gt;""),A1858&amp;"|"&amp;AG1858&amp;"|"&amp;D1858&amp;"|"&amp;F1858,"")</f>
        <v/>
      </c>
      <c r="Z1858" s="57" t="str">
        <f>IF(Y1858="","",IF(COUNTIF(Y$6:Y1857,Y1858)=0,1,0))</f>
        <v/>
      </c>
      <c r="AA1858" s="57" t="str">
        <f>IF(Y1858="","",IF(Z1858=1,COUNTIFS(A$6:A1858,A1858,Z$6:Z1858,1),INDEX(AA$6:AA1857,MATCH(Y1858,Y$6:Y1857,0))))</f>
        <v/>
      </c>
      <c r="AB1858" s="57" t="str">
        <f>IF(B1858="","",COUNTIF(B$6:B1858,B1858))</f>
        <v/>
      </c>
      <c r="AC1858" s="57" t="str">
        <f>IF(B1858="","",B1858&amp;"#"&amp;AB1858)</f>
        <v/>
      </c>
      <c r="AD1858" s="57" t="str">
        <f>IF(Z1858=1,A1858&amp;AA1858,"")</f>
        <v/>
      </c>
      <c r="AE1858" s="57" t="str">
        <f>IF(B1858="","",YEAR(C1858))</f>
        <v/>
      </c>
      <c r="AF1858" s="57" t="str">
        <f>IF(B1858="","",MONTH(C1858))</f>
        <v/>
      </c>
      <c r="AG1858" s="57">
        <f>IF(ISNUMBER(C1858),C1858,0)</f>
        <v>0.0</v>
      </c>
      <c r="AH1858" s="57" t="str">
        <f>IF(N(W1858)&gt;0,COUNTIF(W$6:W1858,"&gt;0"),"")</f>
        <v/>
      </c>
      <c r="AI1858" s="57" t="str">
        <f>IF(Z1858=1,COUNTIF(Z$6:Z1858,1),"")</f>
        <v/>
      </c>
    </row>
    <row r="1859">
      <c r="A1859" s="54" t="n"/>
      <c r="B1859" s="55" t="str">
        <f>IF(AA1859="","",A1859&amp;"-"&amp;RIGHT("000"&amp;AA1859,4))</f>
        <v/>
      </c>
      <c r="C1859" s="56" t="n"/>
      <c r="D1859" s="54" t="n"/>
      <c r="E1859" s="57" t="str">
        <f>IF(D1859="","",IF(A1859="BL",IFERROR(INDEX(cl_name,MATCH(D1859,cl_code,0))&amp;"","Client inconnu"),IF(A1859="BR",IFERROR(INDEX(fo_name,MATCH(D1859,fo_code,0))&amp;"","Fournisseur inconnu"),IF(A1859="BS",IF(ISNA(MATCH(D1859,p_services,0)),"Service inconnu",D1859&amp;""),""))))</f>
        <v/>
      </c>
      <c r="F1859" s="58" t="n"/>
      <c r="G1859" s="58" t="n"/>
      <c r="H1859" s="59" t="n"/>
      <c r="I1859" s="57" t="str">
        <f>IF(H1859="","",IFERROR(INDEX(art_des,MATCH(H1859,art_ref,0))&amp;"","Article inconnu"))</f>
        <v/>
      </c>
      <c r="J1859" s="60" t="str">
        <f>IF(H1859="","",IFERROR(INDEX(art_unit,MATCH(H1859,art_ref,0))&amp;"",""))</f>
        <v/>
      </c>
      <c r="K1859" s="59" t="n"/>
      <c r="L1859" s="59" t="n"/>
      <c r="M1859" s="61" t="str">
        <f>IF(OR(B1859="",NOT(ISNUMBER(K1859)),NOT(ISNUMBER(L1859))),"",IF(OR(K1859&lt;=0,L1859&lt;=0),"",ROUND(L1859-K1859,6)))</f>
        <v/>
      </c>
      <c r="N1859" s="58" t="n"/>
      <c r="O1859" s="62" t="n"/>
      <c r="P1859" s="63" t="str">
        <f>IF(OR(B1859="",NOT(ISNUMBER(L1859))),"",IF(L1859&lt;=0,"",IFERROR(ROUND(L1859*N(INDEX(art_w,MATCH(H1859,art_ref,0))),3),"")))</f>
        <v/>
      </c>
      <c r="Q1859" s="59" t="n"/>
      <c r="R1859" s="54" t="n"/>
      <c r="S1859" s="59" t="n"/>
      <c r="T1859" s="59" t="n"/>
      <c r="U1859" s="64" t="str">
        <f>IF(OR(B1859="",H1859=""),"",IFERROR(IF(A1859="BL",IF(N(INDEX(art_price,MATCH(H1859,art_ref,0)))=0,"",N(INDEX(art_price,MATCH(H1859,art_ref,0)))),IF(N(INDEX(art_cost,MATCH(H1859,art_ref,0)))=0,"",N(INDEX(art_cost,MATCH(H1859,art_ref,0))))),""))</f>
        <v/>
      </c>
      <c r="V1859" s="64" t="str">
        <f>IF(OR(U1859="",NOT(ISNUMBER(L1859))),"",IF(L1859&lt;=0,"",ROUND(L1859*U1859,2)))</f>
        <v/>
      </c>
      <c r="W1859" s="60" t="str">
        <f>IF(AND(B1859&lt;&gt;"",A1859&lt;&gt;"BS",F1859&lt;&gt;"",H1859&lt;&gt;"",ISNUMBER(K1859),ISNUMBER(L1859)),IF(AND(K1859&gt;0,L1859&gt;0,K1859-L1859&gt;0,COUNTIFS(A1860:A$2005,A1859,F1860:F$2005,F1859,H1860:H$2005,H1859,AA1860:AA$2005,"&gt;0")=0),ROUND(K1859-L1859,6),""),"")</f>
        <v/>
      </c>
      <c r="X1859" s="60" t="str">
        <f>IF(AND(A1859="",C1859="",D1859="",H1859="",L1859=""),"",IF(A1859="","Type manquant",IF(AND(A1859&lt;&gt;"BL",A1859&lt;&gt;"BR",A1859&lt;&gt;"BS"),"Type inconnu (BL, BR ou BS)",IF(AG1859=0,"Date manquante ou invalide",IF(D1859="",IF(A1859="BL","Client manquant",IF(A1859="BR","Fournisseur manquant","Service manquant")),IF(IF(A1859="BL",ISNA(MATCH(D1859,cl_code,0)),IF(A1859="BR",ISNA(MATCH(D1859,fo_code,0)),ISNA(MATCH(D1859,p_services,0)))),IF(A1859="BL","Client inconnu",IF(A1859="BR","Fournisseur inconnu","Service inconnu")),IF(H1859="","Article manquant",IF(ISNA(MATCH(H1859,art_ref,0)),"Article inconnu",IF(OR(NOT(ISNUMBER(L1859)),N(L1859)&lt;=0),"Quantité invalide",IF(AND(K1859&lt;&gt;"",OR(NOT(ISNUMBER(K1859)),N(K1859)&lt;=0)),"Qté commandée invalide",IF(AG1859&lt;SUMPRODUCT(MAX((A$6:A1858=A1859)*AG$6:AG1858)),"Date antérieure au bon précédent",IF(AND(A1859&lt;&gt;"BR",ISNUMBER(M1859),N(M1859)&gt;0),IF(A1859="BL","Livré plus que commandé","Sorti plus que demandé"),"OK"))))))))))))</f>
        <v/>
      </c>
      <c r="Y1859" s="57" t="str">
        <f>IF(AND(OR(A1859="BL",A1859="BR",A1859="BS"),AG1859&gt;0,D1859&lt;&gt;""),A1859&amp;"|"&amp;AG1859&amp;"|"&amp;D1859&amp;"|"&amp;F1859,"")</f>
        <v/>
      </c>
      <c r="Z1859" s="57" t="str">
        <f>IF(Y1859="","",IF(COUNTIF(Y$6:Y1858,Y1859)=0,1,0))</f>
        <v/>
      </c>
      <c r="AA1859" s="57" t="str">
        <f>IF(Y1859="","",IF(Z1859=1,COUNTIFS(A$6:A1859,A1859,Z$6:Z1859,1),INDEX(AA$6:AA1858,MATCH(Y1859,Y$6:Y1858,0))))</f>
        <v/>
      </c>
      <c r="AB1859" s="57" t="str">
        <f>IF(B1859="","",COUNTIF(B$6:B1859,B1859))</f>
        <v/>
      </c>
      <c r="AC1859" s="57" t="str">
        <f>IF(B1859="","",B1859&amp;"#"&amp;AB1859)</f>
        <v/>
      </c>
      <c r="AD1859" s="57" t="str">
        <f>IF(Z1859=1,A1859&amp;AA1859,"")</f>
        <v/>
      </c>
      <c r="AE1859" s="57" t="str">
        <f>IF(B1859="","",YEAR(C1859))</f>
        <v/>
      </c>
      <c r="AF1859" s="57" t="str">
        <f>IF(B1859="","",MONTH(C1859))</f>
        <v/>
      </c>
      <c r="AG1859" s="57">
        <f>IF(ISNUMBER(C1859),C1859,0)</f>
        <v>0.0</v>
      </c>
      <c r="AH1859" s="57" t="str">
        <f>IF(N(W1859)&gt;0,COUNTIF(W$6:W1859,"&gt;0"),"")</f>
        <v/>
      </c>
      <c r="AI1859" s="57" t="str">
        <f>IF(Z1859=1,COUNTIF(Z$6:Z1859,1),"")</f>
        <v/>
      </c>
    </row>
    <row r="1860">
      <c r="A1860" s="54" t="n"/>
      <c r="B1860" s="55" t="str">
        <f>IF(AA1860="","",A1860&amp;"-"&amp;RIGHT("000"&amp;AA1860,4))</f>
        <v/>
      </c>
      <c r="C1860" s="56" t="n"/>
      <c r="D1860" s="54" t="n"/>
      <c r="E1860" s="57" t="str">
        <f>IF(D1860="","",IF(A1860="BL",IFERROR(INDEX(cl_name,MATCH(D1860,cl_code,0))&amp;"","Client inconnu"),IF(A1860="BR",IFERROR(INDEX(fo_name,MATCH(D1860,fo_code,0))&amp;"","Fournisseur inconnu"),IF(A1860="BS",IF(ISNA(MATCH(D1860,p_services,0)),"Service inconnu",D1860&amp;""),""))))</f>
        <v/>
      </c>
      <c r="F1860" s="58" t="n"/>
      <c r="G1860" s="58" t="n"/>
      <c r="H1860" s="59" t="n"/>
      <c r="I1860" s="57" t="str">
        <f>IF(H1860="","",IFERROR(INDEX(art_des,MATCH(H1860,art_ref,0))&amp;"","Article inconnu"))</f>
        <v/>
      </c>
      <c r="J1860" s="60" t="str">
        <f>IF(H1860="","",IFERROR(INDEX(art_unit,MATCH(H1860,art_ref,0))&amp;"",""))</f>
        <v/>
      </c>
      <c r="K1860" s="59" t="n"/>
      <c r="L1860" s="59" t="n"/>
      <c r="M1860" s="61" t="str">
        <f>IF(OR(B1860="",NOT(ISNUMBER(K1860)),NOT(ISNUMBER(L1860))),"",IF(OR(K1860&lt;=0,L1860&lt;=0),"",ROUND(L1860-K1860,6)))</f>
        <v/>
      </c>
      <c r="N1860" s="58" t="n"/>
      <c r="O1860" s="62" t="n"/>
      <c r="P1860" s="63" t="str">
        <f>IF(OR(B1860="",NOT(ISNUMBER(L1860))),"",IF(L1860&lt;=0,"",IFERROR(ROUND(L1860*N(INDEX(art_w,MATCH(H1860,art_ref,0))),3),"")))</f>
        <v/>
      </c>
      <c r="Q1860" s="59" t="n"/>
      <c r="R1860" s="54" t="n"/>
      <c r="S1860" s="59" t="n"/>
      <c r="T1860" s="59" t="n"/>
      <c r="U1860" s="64" t="str">
        <f>IF(OR(B1860="",H1860=""),"",IFERROR(IF(A1860="BL",IF(N(INDEX(art_price,MATCH(H1860,art_ref,0)))=0,"",N(INDEX(art_price,MATCH(H1860,art_ref,0)))),IF(N(INDEX(art_cost,MATCH(H1860,art_ref,0)))=0,"",N(INDEX(art_cost,MATCH(H1860,art_ref,0))))),""))</f>
        <v/>
      </c>
      <c r="V1860" s="64" t="str">
        <f>IF(OR(U1860="",NOT(ISNUMBER(L1860))),"",IF(L1860&lt;=0,"",ROUND(L1860*U1860,2)))</f>
        <v/>
      </c>
      <c r="W1860" s="60" t="str">
        <f>IF(AND(B1860&lt;&gt;"",A1860&lt;&gt;"BS",F1860&lt;&gt;"",H1860&lt;&gt;"",ISNUMBER(K1860),ISNUMBER(L1860)),IF(AND(K1860&gt;0,L1860&gt;0,K1860-L1860&gt;0,COUNTIFS(A1861:A$2005,A1860,F1861:F$2005,F1860,H1861:H$2005,H1860,AA1861:AA$2005,"&gt;0")=0),ROUND(K1860-L1860,6),""),"")</f>
        <v/>
      </c>
      <c r="X1860" s="60" t="str">
        <f>IF(AND(A1860="",C1860="",D1860="",H1860="",L1860=""),"",IF(A1860="","Type manquant",IF(AND(A1860&lt;&gt;"BL",A1860&lt;&gt;"BR",A1860&lt;&gt;"BS"),"Type inconnu (BL, BR ou BS)",IF(AG1860=0,"Date manquante ou invalide",IF(D1860="",IF(A1860="BL","Client manquant",IF(A1860="BR","Fournisseur manquant","Service manquant")),IF(IF(A1860="BL",ISNA(MATCH(D1860,cl_code,0)),IF(A1860="BR",ISNA(MATCH(D1860,fo_code,0)),ISNA(MATCH(D1860,p_services,0)))),IF(A1860="BL","Client inconnu",IF(A1860="BR","Fournisseur inconnu","Service inconnu")),IF(H1860="","Article manquant",IF(ISNA(MATCH(H1860,art_ref,0)),"Article inconnu",IF(OR(NOT(ISNUMBER(L1860)),N(L1860)&lt;=0),"Quantité invalide",IF(AND(K1860&lt;&gt;"",OR(NOT(ISNUMBER(K1860)),N(K1860)&lt;=0)),"Qté commandée invalide",IF(AG1860&lt;SUMPRODUCT(MAX((A$6:A1859=A1860)*AG$6:AG1859)),"Date antérieure au bon précédent",IF(AND(A1860&lt;&gt;"BR",ISNUMBER(M1860),N(M1860)&gt;0),IF(A1860="BL","Livré plus que commandé","Sorti plus que demandé"),"OK"))))))))))))</f>
        <v/>
      </c>
      <c r="Y1860" s="57" t="str">
        <f>IF(AND(OR(A1860="BL",A1860="BR",A1860="BS"),AG1860&gt;0,D1860&lt;&gt;""),A1860&amp;"|"&amp;AG1860&amp;"|"&amp;D1860&amp;"|"&amp;F1860,"")</f>
        <v/>
      </c>
      <c r="Z1860" s="57" t="str">
        <f>IF(Y1860="","",IF(COUNTIF(Y$6:Y1859,Y1860)=0,1,0))</f>
        <v/>
      </c>
      <c r="AA1860" s="57" t="str">
        <f>IF(Y1860="","",IF(Z1860=1,COUNTIFS(A$6:A1860,A1860,Z$6:Z1860,1),INDEX(AA$6:AA1859,MATCH(Y1860,Y$6:Y1859,0))))</f>
        <v/>
      </c>
      <c r="AB1860" s="57" t="str">
        <f>IF(B1860="","",COUNTIF(B$6:B1860,B1860))</f>
        <v/>
      </c>
      <c r="AC1860" s="57" t="str">
        <f>IF(B1860="","",B1860&amp;"#"&amp;AB1860)</f>
        <v/>
      </c>
      <c r="AD1860" s="57" t="str">
        <f>IF(Z1860=1,A1860&amp;AA1860,"")</f>
        <v/>
      </c>
      <c r="AE1860" s="57" t="str">
        <f>IF(B1860="","",YEAR(C1860))</f>
        <v/>
      </c>
      <c r="AF1860" s="57" t="str">
        <f>IF(B1860="","",MONTH(C1860))</f>
        <v/>
      </c>
      <c r="AG1860" s="57">
        <f>IF(ISNUMBER(C1860),C1860,0)</f>
        <v>0.0</v>
      </c>
      <c r="AH1860" s="57" t="str">
        <f>IF(N(W1860)&gt;0,COUNTIF(W$6:W1860,"&gt;0"),"")</f>
        <v/>
      </c>
      <c r="AI1860" s="57" t="str">
        <f>IF(Z1860=1,COUNTIF(Z$6:Z1860,1),"")</f>
        <v/>
      </c>
    </row>
    <row r="1861">
      <c r="A1861" s="54" t="n"/>
      <c r="B1861" s="55" t="str">
        <f>IF(AA1861="","",A1861&amp;"-"&amp;RIGHT("000"&amp;AA1861,4))</f>
        <v/>
      </c>
      <c r="C1861" s="56" t="n"/>
      <c r="D1861" s="54" t="n"/>
      <c r="E1861" s="57" t="str">
        <f>IF(D1861="","",IF(A1861="BL",IFERROR(INDEX(cl_name,MATCH(D1861,cl_code,0))&amp;"","Client inconnu"),IF(A1861="BR",IFERROR(INDEX(fo_name,MATCH(D1861,fo_code,0))&amp;"","Fournisseur inconnu"),IF(A1861="BS",IF(ISNA(MATCH(D1861,p_services,0)),"Service inconnu",D1861&amp;""),""))))</f>
        <v/>
      </c>
      <c r="F1861" s="58" t="n"/>
      <c r="G1861" s="58" t="n"/>
      <c r="H1861" s="59" t="n"/>
      <c r="I1861" s="57" t="str">
        <f>IF(H1861="","",IFERROR(INDEX(art_des,MATCH(H1861,art_ref,0))&amp;"","Article inconnu"))</f>
        <v/>
      </c>
      <c r="J1861" s="60" t="str">
        <f>IF(H1861="","",IFERROR(INDEX(art_unit,MATCH(H1861,art_ref,0))&amp;"",""))</f>
        <v/>
      </c>
      <c r="K1861" s="59" t="n"/>
      <c r="L1861" s="59" t="n"/>
      <c r="M1861" s="61" t="str">
        <f>IF(OR(B1861="",NOT(ISNUMBER(K1861)),NOT(ISNUMBER(L1861))),"",IF(OR(K1861&lt;=0,L1861&lt;=0),"",ROUND(L1861-K1861,6)))</f>
        <v/>
      </c>
      <c r="N1861" s="58" t="n"/>
      <c r="O1861" s="62" t="n"/>
      <c r="P1861" s="63" t="str">
        <f>IF(OR(B1861="",NOT(ISNUMBER(L1861))),"",IF(L1861&lt;=0,"",IFERROR(ROUND(L1861*N(INDEX(art_w,MATCH(H1861,art_ref,0))),3),"")))</f>
        <v/>
      </c>
      <c r="Q1861" s="59" t="n"/>
      <c r="R1861" s="54" t="n"/>
      <c r="S1861" s="59" t="n"/>
      <c r="T1861" s="59" t="n"/>
      <c r="U1861" s="64" t="str">
        <f>IF(OR(B1861="",H1861=""),"",IFERROR(IF(A1861="BL",IF(N(INDEX(art_price,MATCH(H1861,art_ref,0)))=0,"",N(INDEX(art_price,MATCH(H1861,art_ref,0)))),IF(N(INDEX(art_cost,MATCH(H1861,art_ref,0)))=0,"",N(INDEX(art_cost,MATCH(H1861,art_ref,0))))),""))</f>
        <v/>
      </c>
      <c r="V1861" s="64" t="str">
        <f>IF(OR(U1861="",NOT(ISNUMBER(L1861))),"",IF(L1861&lt;=0,"",ROUND(L1861*U1861,2)))</f>
        <v/>
      </c>
      <c r="W1861" s="60" t="str">
        <f>IF(AND(B1861&lt;&gt;"",A1861&lt;&gt;"BS",F1861&lt;&gt;"",H1861&lt;&gt;"",ISNUMBER(K1861),ISNUMBER(L1861)),IF(AND(K1861&gt;0,L1861&gt;0,K1861-L1861&gt;0,COUNTIFS(A1862:A$2005,A1861,F1862:F$2005,F1861,H1862:H$2005,H1861,AA1862:AA$2005,"&gt;0")=0),ROUND(K1861-L1861,6),""),"")</f>
        <v/>
      </c>
      <c r="X1861" s="60" t="str">
        <f>IF(AND(A1861="",C1861="",D1861="",H1861="",L1861=""),"",IF(A1861="","Type manquant",IF(AND(A1861&lt;&gt;"BL",A1861&lt;&gt;"BR",A1861&lt;&gt;"BS"),"Type inconnu (BL, BR ou BS)",IF(AG1861=0,"Date manquante ou invalide",IF(D1861="",IF(A1861="BL","Client manquant",IF(A1861="BR","Fournisseur manquant","Service manquant")),IF(IF(A1861="BL",ISNA(MATCH(D1861,cl_code,0)),IF(A1861="BR",ISNA(MATCH(D1861,fo_code,0)),ISNA(MATCH(D1861,p_services,0)))),IF(A1861="BL","Client inconnu",IF(A1861="BR","Fournisseur inconnu","Service inconnu")),IF(H1861="","Article manquant",IF(ISNA(MATCH(H1861,art_ref,0)),"Article inconnu",IF(OR(NOT(ISNUMBER(L1861)),N(L1861)&lt;=0),"Quantité invalide",IF(AND(K1861&lt;&gt;"",OR(NOT(ISNUMBER(K1861)),N(K1861)&lt;=0)),"Qté commandée invalide",IF(AG1861&lt;SUMPRODUCT(MAX((A$6:A1860=A1861)*AG$6:AG1860)),"Date antérieure au bon précédent",IF(AND(A1861&lt;&gt;"BR",ISNUMBER(M1861),N(M1861)&gt;0),IF(A1861="BL","Livré plus que commandé","Sorti plus que demandé"),"OK"))))))))))))</f>
        <v/>
      </c>
      <c r="Y1861" s="57" t="str">
        <f>IF(AND(OR(A1861="BL",A1861="BR",A1861="BS"),AG1861&gt;0,D1861&lt;&gt;""),A1861&amp;"|"&amp;AG1861&amp;"|"&amp;D1861&amp;"|"&amp;F1861,"")</f>
        <v/>
      </c>
      <c r="Z1861" s="57" t="str">
        <f>IF(Y1861="","",IF(COUNTIF(Y$6:Y1860,Y1861)=0,1,0))</f>
        <v/>
      </c>
      <c r="AA1861" s="57" t="str">
        <f>IF(Y1861="","",IF(Z1861=1,COUNTIFS(A$6:A1861,A1861,Z$6:Z1861,1),INDEX(AA$6:AA1860,MATCH(Y1861,Y$6:Y1860,0))))</f>
        <v/>
      </c>
      <c r="AB1861" s="57" t="str">
        <f>IF(B1861="","",COUNTIF(B$6:B1861,B1861))</f>
        <v/>
      </c>
      <c r="AC1861" s="57" t="str">
        <f>IF(B1861="","",B1861&amp;"#"&amp;AB1861)</f>
        <v/>
      </c>
      <c r="AD1861" s="57" t="str">
        <f>IF(Z1861=1,A1861&amp;AA1861,"")</f>
        <v/>
      </c>
      <c r="AE1861" s="57" t="str">
        <f>IF(B1861="","",YEAR(C1861))</f>
        <v/>
      </c>
      <c r="AF1861" s="57" t="str">
        <f>IF(B1861="","",MONTH(C1861))</f>
        <v/>
      </c>
      <c r="AG1861" s="57">
        <f>IF(ISNUMBER(C1861),C1861,0)</f>
        <v>0.0</v>
      </c>
      <c r="AH1861" s="57" t="str">
        <f>IF(N(W1861)&gt;0,COUNTIF(W$6:W1861,"&gt;0"),"")</f>
        <v/>
      </c>
      <c r="AI1861" s="57" t="str">
        <f>IF(Z1861=1,COUNTIF(Z$6:Z1861,1),"")</f>
        <v/>
      </c>
    </row>
    <row r="1862">
      <c r="A1862" s="54" t="n"/>
      <c r="B1862" s="55" t="str">
        <f>IF(AA1862="","",A1862&amp;"-"&amp;RIGHT("000"&amp;AA1862,4))</f>
        <v/>
      </c>
      <c r="C1862" s="56" t="n"/>
      <c r="D1862" s="54" t="n"/>
      <c r="E1862" s="57" t="str">
        <f>IF(D1862="","",IF(A1862="BL",IFERROR(INDEX(cl_name,MATCH(D1862,cl_code,0))&amp;"","Client inconnu"),IF(A1862="BR",IFERROR(INDEX(fo_name,MATCH(D1862,fo_code,0))&amp;"","Fournisseur inconnu"),IF(A1862="BS",IF(ISNA(MATCH(D1862,p_services,0)),"Service inconnu",D1862&amp;""),""))))</f>
        <v/>
      </c>
      <c r="F1862" s="58" t="n"/>
      <c r="G1862" s="58" t="n"/>
      <c r="H1862" s="59" t="n"/>
      <c r="I1862" s="57" t="str">
        <f>IF(H1862="","",IFERROR(INDEX(art_des,MATCH(H1862,art_ref,0))&amp;"","Article inconnu"))</f>
        <v/>
      </c>
      <c r="J1862" s="60" t="str">
        <f>IF(H1862="","",IFERROR(INDEX(art_unit,MATCH(H1862,art_ref,0))&amp;"",""))</f>
        <v/>
      </c>
      <c r="K1862" s="59" t="n"/>
      <c r="L1862" s="59" t="n"/>
      <c r="M1862" s="61" t="str">
        <f>IF(OR(B1862="",NOT(ISNUMBER(K1862)),NOT(ISNUMBER(L1862))),"",IF(OR(K1862&lt;=0,L1862&lt;=0),"",ROUND(L1862-K1862,6)))</f>
        <v/>
      </c>
      <c r="N1862" s="58" t="n"/>
      <c r="O1862" s="62" t="n"/>
      <c r="P1862" s="63" t="str">
        <f>IF(OR(B1862="",NOT(ISNUMBER(L1862))),"",IF(L1862&lt;=0,"",IFERROR(ROUND(L1862*N(INDEX(art_w,MATCH(H1862,art_ref,0))),3),"")))</f>
        <v/>
      </c>
      <c r="Q1862" s="59" t="n"/>
      <c r="R1862" s="54" t="n"/>
      <c r="S1862" s="59" t="n"/>
      <c r="T1862" s="59" t="n"/>
      <c r="U1862" s="64" t="str">
        <f>IF(OR(B1862="",H1862=""),"",IFERROR(IF(A1862="BL",IF(N(INDEX(art_price,MATCH(H1862,art_ref,0)))=0,"",N(INDEX(art_price,MATCH(H1862,art_ref,0)))),IF(N(INDEX(art_cost,MATCH(H1862,art_ref,0)))=0,"",N(INDEX(art_cost,MATCH(H1862,art_ref,0))))),""))</f>
        <v/>
      </c>
      <c r="V1862" s="64" t="str">
        <f>IF(OR(U1862="",NOT(ISNUMBER(L1862))),"",IF(L1862&lt;=0,"",ROUND(L1862*U1862,2)))</f>
        <v/>
      </c>
      <c r="W1862" s="60" t="str">
        <f>IF(AND(B1862&lt;&gt;"",A1862&lt;&gt;"BS",F1862&lt;&gt;"",H1862&lt;&gt;"",ISNUMBER(K1862),ISNUMBER(L1862)),IF(AND(K1862&gt;0,L1862&gt;0,K1862-L1862&gt;0,COUNTIFS(A1863:A$2005,A1862,F1863:F$2005,F1862,H1863:H$2005,H1862,AA1863:AA$2005,"&gt;0")=0),ROUND(K1862-L1862,6),""),"")</f>
        <v/>
      </c>
      <c r="X1862" s="60" t="str">
        <f>IF(AND(A1862="",C1862="",D1862="",H1862="",L1862=""),"",IF(A1862="","Type manquant",IF(AND(A1862&lt;&gt;"BL",A1862&lt;&gt;"BR",A1862&lt;&gt;"BS"),"Type inconnu (BL, BR ou BS)",IF(AG1862=0,"Date manquante ou invalide",IF(D1862="",IF(A1862="BL","Client manquant",IF(A1862="BR","Fournisseur manquant","Service manquant")),IF(IF(A1862="BL",ISNA(MATCH(D1862,cl_code,0)),IF(A1862="BR",ISNA(MATCH(D1862,fo_code,0)),ISNA(MATCH(D1862,p_services,0)))),IF(A1862="BL","Client inconnu",IF(A1862="BR","Fournisseur inconnu","Service inconnu")),IF(H1862="","Article manquant",IF(ISNA(MATCH(H1862,art_ref,0)),"Article inconnu",IF(OR(NOT(ISNUMBER(L1862)),N(L1862)&lt;=0),"Quantité invalide",IF(AND(K1862&lt;&gt;"",OR(NOT(ISNUMBER(K1862)),N(K1862)&lt;=0)),"Qté commandée invalide",IF(AG1862&lt;SUMPRODUCT(MAX((A$6:A1861=A1862)*AG$6:AG1861)),"Date antérieure au bon précédent",IF(AND(A1862&lt;&gt;"BR",ISNUMBER(M1862),N(M1862)&gt;0),IF(A1862="BL","Livré plus que commandé","Sorti plus que demandé"),"OK"))))))))))))</f>
        <v/>
      </c>
      <c r="Y1862" s="57" t="str">
        <f>IF(AND(OR(A1862="BL",A1862="BR",A1862="BS"),AG1862&gt;0,D1862&lt;&gt;""),A1862&amp;"|"&amp;AG1862&amp;"|"&amp;D1862&amp;"|"&amp;F1862,"")</f>
        <v/>
      </c>
      <c r="Z1862" s="57" t="str">
        <f>IF(Y1862="","",IF(COUNTIF(Y$6:Y1861,Y1862)=0,1,0))</f>
        <v/>
      </c>
      <c r="AA1862" s="57" t="str">
        <f>IF(Y1862="","",IF(Z1862=1,COUNTIFS(A$6:A1862,A1862,Z$6:Z1862,1),INDEX(AA$6:AA1861,MATCH(Y1862,Y$6:Y1861,0))))</f>
        <v/>
      </c>
      <c r="AB1862" s="57" t="str">
        <f>IF(B1862="","",COUNTIF(B$6:B1862,B1862))</f>
        <v/>
      </c>
      <c r="AC1862" s="57" t="str">
        <f>IF(B1862="","",B1862&amp;"#"&amp;AB1862)</f>
        <v/>
      </c>
      <c r="AD1862" s="57" t="str">
        <f>IF(Z1862=1,A1862&amp;AA1862,"")</f>
        <v/>
      </c>
      <c r="AE1862" s="57" t="str">
        <f>IF(B1862="","",YEAR(C1862))</f>
        <v/>
      </c>
      <c r="AF1862" s="57" t="str">
        <f>IF(B1862="","",MONTH(C1862))</f>
        <v/>
      </c>
      <c r="AG1862" s="57">
        <f>IF(ISNUMBER(C1862),C1862,0)</f>
        <v>0.0</v>
      </c>
      <c r="AH1862" s="57" t="str">
        <f>IF(N(W1862)&gt;0,COUNTIF(W$6:W1862,"&gt;0"),"")</f>
        <v/>
      </c>
      <c r="AI1862" s="57" t="str">
        <f>IF(Z1862=1,COUNTIF(Z$6:Z1862,1),"")</f>
        <v/>
      </c>
    </row>
    <row r="1863">
      <c r="A1863" s="54" t="n"/>
      <c r="B1863" s="55" t="str">
        <f>IF(AA1863="","",A1863&amp;"-"&amp;RIGHT("000"&amp;AA1863,4))</f>
        <v/>
      </c>
      <c r="C1863" s="56" t="n"/>
      <c r="D1863" s="54" t="n"/>
      <c r="E1863" s="57" t="str">
        <f>IF(D1863="","",IF(A1863="BL",IFERROR(INDEX(cl_name,MATCH(D1863,cl_code,0))&amp;"","Client inconnu"),IF(A1863="BR",IFERROR(INDEX(fo_name,MATCH(D1863,fo_code,0))&amp;"","Fournisseur inconnu"),IF(A1863="BS",IF(ISNA(MATCH(D1863,p_services,0)),"Service inconnu",D1863&amp;""),""))))</f>
        <v/>
      </c>
      <c r="F1863" s="58" t="n"/>
      <c r="G1863" s="58" t="n"/>
      <c r="H1863" s="59" t="n"/>
      <c r="I1863" s="57" t="str">
        <f>IF(H1863="","",IFERROR(INDEX(art_des,MATCH(H1863,art_ref,0))&amp;"","Article inconnu"))</f>
        <v/>
      </c>
      <c r="J1863" s="60" t="str">
        <f>IF(H1863="","",IFERROR(INDEX(art_unit,MATCH(H1863,art_ref,0))&amp;"",""))</f>
        <v/>
      </c>
      <c r="K1863" s="59" t="n"/>
      <c r="L1863" s="59" t="n"/>
      <c r="M1863" s="61" t="str">
        <f>IF(OR(B1863="",NOT(ISNUMBER(K1863)),NOT(ISNUMBER(L1863))),"",IF(OR(K1863&lt;=0,L1863&lt;=0),"",ROUND(L1863-K1863,6)))</f>
        <v/>
      </c>
      <c r="N1863" s="58" t="n"/>
      <c r="O1863" s="62" t="n"/>
      <c r="P1863" s="63" t="str">
        <f>IF(OR(B1863="",NOT(ISNUMBER(L1863))),"",IF(L1863&lt;=0,"",IFERROR(ROUND(L1863*N(INDEX(art_w,MATCH(H1863,art_ref,0))),3),"")))</f>
        <v/>
      </c>
      <c r="Q1863" s="59" t="n"/>
      <c r="R1863" s="54" t="n"/>
      <c r="S1863" s="59" t="n"/>
      <c r="T1863" s="59" t="n"/>
      <c r="U1863" s="64" t="str">
        <f>IF(OR(B1863="",H1863=""),"",IFERROR(IF(A1863="BL",IF(N(INDEX(art_price,MATCH(H1863,art_ref,0)))=0,"",N(INDEX(art_price,MATCH(H1863,art_ref,0)))),IF(N(INDEX(art_cost,MATCH(H1863,art_ref,0)))=0,"",N(INDEX(art_cost,MATCH(H1863,art_ref,0))))),""))</f>
        <v/>
      </c>
      <c r="V1863" s="64" t="str">
        <f>IF(OR(U1863="",NOT(ISNUMBER(L1863))),"",IF(L1863&lt;=0,"",ROUND(L1863*U1863,2)))</f>
        <v/>
      </c>
      <c r="W1863" s="60" t="str">
        <f>IF(AND(B1863&lt;&gt;"",A1863&lt;&gt;"BS",F1863&lt;&gt;"",H1863&lt;&gt;"",ISNUMBER(K1863),ISNUMBER(L1863)),IF(AND(K1863&gt;0,L1863&gt;0,K1863-L1863&gt;0,COUNTIFS(A1864:A$2005,A1863,F1864:F$2005,F1863,H1864:H$2005,H1863,AA1864:AA$2005,"&gt;0")=0),ROUND(K1863-L1863,6),""),"")</f>
        <v/>
      </c>
      <c r="X1863" s="60" t="str">
        <f>IF(AND(A1863="",C1863="",D1863="",H1863="",L1863=""),"",IF(A1863="","Type manquant",IF(AND(A1863&lt;&gt;"BL",A1863&lt;&gt;"BR",A1863&lt;&gt;"BS"),"Type inconnu (BL, BR ou BS)",IF(AG1863=0,"Date manquante ou invalide",IF(D1863="",IF(A1863="BL","Client manquant",IF(A1863="BR","Fournisseur manquant","Service manquant")),IF(IF(A1863="BL",ISNA(MATCH(D1863,cl_code,0)),IF(A1863="BR",ISNA(MATCH(D1863,fo_code,0)),ISNA(MATCH(D1863,p_services,0)))),IF(A1863="BL","Client inconnu",IF(A1863="BR","Fournisseur inconnu","Service inconnu")),IF(H1863="","Article manquant",IF(ISNA(MATCH(H1863,art_ref,0)),"Article inconnu",IF(OR(NOT(ISNUMBER(L1863)),N(L1863)&lt;=0),"Quantité invalide",IF(AND(K1863&lt;&gt;"",OR(NOT(ISNUMBER(K1863)),N(K1863)&lt;=0)),"Qté commandée invalide",IF(AG1863&lt;SUMPRODUCT(MAX((A$6:A1862=A1863)*AG$6:AG1862)),"Date antérieure au bon précédent",IF(AND(A1863&lt;&gt;"BR",ISNUMBER(M1863),N(M1863)&gt;0),IF(A1863="BL","Livré plus que commandé","Sorti plus que demandé"),"OK"))))))))))))</f>
        <v/>
      </c>
      <c r="Y1863" s="57" t="str">
        <f>IF(AND(OR(A1863="BL",A1863="BR",A1863="BS"),AG1863&gt;0,D1863&lt;&gt;""),A1863&amp;"|"&amp;AG1863&amp;"|"&amp;D1863&amp;"|"&amp;F1863,"")</f>
        <v/>
      </c>
      <c r="Z1863" s="57" t="str">
        <f>IF(Y1863="","",IF(COUNTIF(Y$6:Y1862,Y1863)=0,1,0))</f>
        <v/>
      </c>
      <c r="AA1863" s="57" t="str">
        <f>IF(Y1863="","",IF(Z1863=1,COUNTIFS(A$6:A1863,A1863,Z$6:Z1863,1),INDEX(AA$6:AA1862,MATCH(Y1863,Y$6:Y1862,0))))</f>
        <v/>
      </c>
      <c r="AB1863" s="57" t="str">
        <f>IF(B1863="","",COUNTIF(B$6:B1863,B1863))</f>
        <v/>
      </c>
      <c r="AC1863" s="57" t="str">
        <f>IF(B1863="","",B1863&amp;"#"&amp;AB1863)</f>
        <v/>
      </c>
      <c r="AD1863" s="57" t="str">
        <f>IF(Z1863=1,A1863&amp;AA1863,"")</f>
        <v/>
      </c>
      <c r="AE1863" s="57" t="str">
        <f>IF(B1863="","",YEAR(C1863))</f>
        <v/>
      </c>
      <c r="AF1863" s="57" t="str">
        <f>IF(B1863="","",MONTH(C1863))</f>
        <v/>
      </c>
      <c r="AG1863" s="57">
        <f>IF(ISNUMBER(C1863),C1863,0)</f>
        <v>0.0</v>
      </c>
      <c r="AH1863" s="57" t="str">
        <f>IF(N(W1863)&gt;0,COUNTIF(W$6:W1863,"&gt;0"),"")</f>
        <v/>
      </c>
      <c r="AI1863" s="57" t="str">
        <f>IF(Z1863=1,COUNTIF(Z$6:Z1863,1),"")</f>
        <v/>
      </c>
    </row>
    <row r="1864">
      <c r="A1864" s="54" t="n"/>
      <c r="B1864" s="55" t="str">
        <f>IF(AA1864="","",A1864&amp;"-"&amp;RIGHT("000"&amp;AA1864,4))</f>
        <v/>
      </c>
      <c r="C1864" s="56" t="n"/>
      <c r="D1864" s="54" t="n"/>
      <c r="E1864" s="57" t="str">
        <f>IF(D1864="","",IF(A1864="BL",IFERROR(INDEX(cl_name,MATCH(D1864,cl_code,0))&amp;"","Client inconnu"),IF(A1864="BR",IFERROR(INDEX(fo_name,MATCH(D1864,fo_code,0))&amp;"","Fournisseur inconnu"),IF(A1864="BS",IF(ISNA(MATCH(D1864,p_services,0)),"Service inconnu",D1864&amp;""),""))))</f>
        <v/>
      </c>
      <c r="F1864" s="58" t="n"/>
      <c r="G1864" s="58" t="n"/>
      <c r="H1864" s="59" t="n"/>
      <c r="I1864" s="57" t="str">
        <f>IF(H1864="","",IFERROR(INDEX(art_des,MATCH(H1864,art_ref,0))&amp;"","Article inconnu"))</f>
        <v/>
      </c>
      <c r="J1864" s="60" t="str">
        <f>IF(H1864="","",IFERROR(INDEX(art_unit,MATCH(H1864,art_ref,0))&amp;"",""))</f>
        <v/>
      </c>
      <c r="K1864" s="59" t="n"/>
      <c r="L1864" s="59" t="n"/>
      <c r="M1864" s="61" t="str">
        <f>IF(OR(B1864="",NOT(ISNUMBER(K1864)),NOT(ISNUMBER(L1864))),"",IF(OR(K1864&lt;=0,L1864&lt;=0),"",ROUND(L1864-K1864,6)))</f>
        <v/>
      </c>
      <c r="N1864" s="58" t="n"/>
      <c r="O1864" s="62" t="n"/>
      <c r="P1864" s="63" t="str">
        <f>IF(OR(B1864="",NOT(ISNUMBER(L1864))),"",IF(L1864&lt;=0,"",IFERROR(ROUND(L1864*N(INDEX(art_w,MATCH(H1864,art_ref,0))),3),"")))</f>
        <v/>
      </c>
      <c r="Q1864" s="59" t="n"/>
      <c r="R1864" s="54" t="n"/>
      <c r="S1864" s="59" t="n"/>
      <c r="T1864" s="59" t="n"/>
      <c r="U1864" s="64" t="str">
        <f>IF(OR(B1864="",H1864=""),"",IFERROR(IF(A1864="BL",IF(N(INDEX(art_price,MATCH(H1864,art_ref,0)))=0,"",N(INDEX(art_price,MATCH(H1864,art_ref,0)))),IF(N(INDEX(art_cost,MATCH(H1864,art_ref,0)))=0,"",N(INDEX(art_cost,MATCH(H1864,art_ref,0))))),""))</f>
        <v/>
      </c>
      <c r="V1864" s="64" t="str">
        <f>IF(OR(U1864="",NOT(ISNUMBER(L1864))),"",IF(L1864&lt;=0,"",ROUND(L1864*U1864,2)))</f>
        <v/>
      </c>
      <c r="W1864" s="60" t="str">
        <f>IF(AND(B1864&lt;&gt;"",A1864&lt;&gt;"BS",F1864&lt;&gt;"",H1864&lt;&gt;"",ISNUMBER(K1864),ISNUMBER(L1864)),IF(AND(K1864&gt;0,L1864&gt;0,K1864-L1864&gt;0,COUNTIFS(A1865:A$2005,A1864,F1865:F$2005,F1864,H1865:H$2005,H1864,AA1865:AA$2005,"&gt;0")=0),ROUND(K1864-L1864,6),""),"")</f>
        <v/>
      </c>
      <c r="X1864" s="60" t="str">
        <f>IF(AND(A1864="",C1864="",D1864="",H1864="",L1864=""),"",IF(A1864="","Type manquant",IF(AND(A1864&lt;&gt;"BL",A1864&lt;&gt;"BR",A1864&lt;&gt;"BS"),"Type inconnu (BL, BR ou BS)",IF(AG1864=0,"Date manquante ou invalide",IF(D1864="",IF(A1864="BL","Client manquant",IF(A1864="BR","Fournisseur manquant","Service manquant")),IF(IF(A1864="BL",ISNA(MATCH(D1864,cl_code,0)),IF(A1864="BR",ISNA(MATCH(D1864,fo_code,0)),ISNA(MATCH(D1864,p_services,0)))),IF(A1864="BL","Client inconnu",IF(A1864="BR","Fournisseur inconnu","Service inconnu")),IF(H1864="","Article manquant",IF(ISNA(MATCH(H1864,art_ref,0)),"Article inconnu",IF(OR(NOT(ISNUMBER(L1864)),N(L1864)&lt;=0),"Quantité invalide",IF(AND(K1864&lt;&gt;"",OR(NOT(ISNUMBER(K1864)),N(K1864)&lt;=0)),"Qté commandée invalide",IF(AG1864&lt;SUMPRODUCT(MAX((A$6:A1863=A1864)*AG$6:AG1863)),"Date antérieure au bon précédent",IF(AND(A1864&lt;&gt;"BR",ISNUMBER(M1864),N(M1864)&gt;0),IF(A1864="BL","Livré plus que commandé","Sorti plus que demandé"),"OK"))))))))))))</f>
        <v/>
      </c>
      <c r="Y1864" s="57" t="str">
        <f>IF(AND(OR(A1864="BL",A1864="BR",A1864="BS"),AG1864&gt;0,D1864&lt;&gt;""),A1864&amp;"|"&amp;AG1864&amp;"|"&amp;D1864&amp;"|"&amp;F1864,"")</f>
        <v/>
      </c>
      <c r="Z1864" s="57" t="str">
        <f>IF(Y1864="","",IF(COUNTIF(Y$6:Y1863,Y1864)=0,1,0))</f>
        <v/>
      </c>
      <c r="AA1864" s="57" t="str">
        <f>IF(Y1864="","",IF(Z1864=1,COUNTIFS(A$6:A1864,A1864,Z$6:Z1864,1),INDEX(AA$6:AA1863,MATCH(Y1864,Y$6:Y1863,0))))</f>
        <v/>
      </c>
      <c r="AB1864" s="57" t="str">
        <f>IF(B1864="","",COUNTIF(B$6:B1864,B1864))</f>
        <v/>
      </c>
      <c r="AC1864" s="57" t="str">
        <f>IF(B1864="","",B1864&amp;"#"&amp;AB1864)</f>
        <v/>
      </c>
      <c r="AD1864" s="57" t="str">
        <f>IF(Z1864=1,A1864&amp;AA1864,"")</f>
        <v/>
      </c>
      <c r="AE1864" s="57" t="str">
        <f>IF(B1864="","",YEAR(C1864))</f>
        <v/>
      </c>
      <c r="AF1864" s="57" t="str">
        <f>IF(B1864="","",MONTH(C1864))</f>
        <v/>
      </c>
      <c r="AG1864" s="57">
        <f>IF(ISNUMBER(C1864),C1864,0)</f>
        <v>0.0</v>
      </c>
      <c r="AH1864" s="57" t="str">
        <f>IF(N(W1864)&gt;0,COUNTIF(W$6:W1864,"&gt;0"),"")</f>
        <v/>
      </c>
      <c r="AI1864" s="57" t="str">
        <f>IF(Z1864=1,COUNTIF(Z$6:Z1864,1),"")</f>
        <v/>
      </c>
    </row>
    <row r="1865">
      <c r="A1865" s="54" t="n"/>
      <c r="B1865" s="55" t="str">
        <f>IF(AA1865="","",A1865&amp;"-"&amp;RIGHT("000"&amp;AA1865,4))</f>
        <v/>
      </c>
      <c r="C1865" s="56" t="n"/>
      <c r="D1865" s="54" t="n"/>
      <c r="E1865" s="57" t="str">
        <f>IF(D1865="","",IF(A1865="BL",IFERROR(INDEX(cl_name,MATCH(D1865,cl_code,0))&amp;"","Client inconnu"),IF(A1865="BR",IFERROR(INDEX(fo_name,MATCH(D1865,fo_code,0))&amp;"","Fournisseur inconnu"),IF(A1865="BS",IF(ISNA(MATCH(D1865,p_services,0)),"Service inconnu",D1865&amp;""),""))))</f>
        <v/>
      </c>
      <c r="F1865" s="58" t="n"/>
      <c r="G1865" s="58" t="n"/>
      <c r="H1865" s="59" t="n"/>
      <c r="I1865" s="57" t="str">
        <f>IF(H1865="","",IFERROR(INDEX(art_des,MATCH(H1865,art_ref,0))&amp;"","Article inconnu"))</f>
        <v/>
      </c>
      <c r="J1865" s="60" t="str">
        <f>IF(H1865="","",IFERROR(INDEX(art_unit,MATCH(H1865,art_ref,0))&amp;"",""))</f>
        <v/>
      </c>
      <c r="K1865" s="59" t="n"/>
      <c r="L1865" s="59" t="n"/>
      <c r="M1865" s="61" t="str">
        <f>IF(OR(B1865="",NOT(ISNUMBER(K1865)),NOT(ISNUMBER(L1865))),"",IF(OR(K1865&lt;=0,L1865&lt;=0),"",ROUND(L1865-K1865,6)))</f>
        <v/>
      </c>
      <c r="N1865" s="58" t="n"/>
      <c r="O1865" s="62" t="n"/>
      <c r="P1865" s="63" t="str">
        <f>IF(OR(B1865="",NOT(ISNUMBER(L1865))),"",IF(L1865&lt;=0,"",IFERROR(ROUND(L1865*N(INDEX(art_w,MATCH(H1865,art_ref,0))),3),"")))</f>
        <v/>
      </c>
      <c r="Q1865" s="59" t="n"/>
      <c r="R1865" s="54" t="n"/>
      <c r="S1865" s="59" t="n"/>
      <c r="T1865" s="59" t="n"/>
      <c r="U1865" s="64" t="str">
        <f>IF(OR(B1865="",H1865=""),"",IFERROR(IF(A1865="BL",IF(N(INDEX(art_price,MATCH(H1865,art_ref,0)))=0,"",N(INDEX(art_price,MATCH(H1865,art_ref,0)))),IF(N(INDEX(art_cost,MATCH(H1865,art_ref,0)))=0,"",N(INDEX(art_cost,MATCH(H1865,art_ref,0))))),""))</f>
        <v/>
      </c>
      <c r="V1865" s="64" t="str">
        <f>IF(OR(U1865="",NOT(ISNUMBER(L1865))),"",IF(L1865&lt;=0,"",ROUND(L1865*U1865,2)))</f>
        <v/>
      </c>
      <c r="W1865" s="60" t="str">
        <f>IF(AND(B1865&lt;&gt;"",A1865&lt;&gt;"BS",F1865&lt;&gt;"",H1865&lt;&gt;"",ISNUMBER(K1865),ISNUMBER(L1865)),IF(AND(K1865&gt;0,L1865&gt;0,K1865-L1865&gt;0,COUNTIFS(A1866:A$2005,A1865,F1866:F$2005,F1865,H1866:H$2005,H1865,AA1866:AA$2005,"&gt;0")=0),ROUND(K1865-L1865,6),""),"")</f>
        <v/>
      </c>
      <c r="X1865" s="60" t="str">
        <f>IF(AND(A1865="",C1865="",D1865="",H1865="",L1865=""),"",IF(A1865="","Type manquant",IF(AND(A1865&lt;&gt;"BL",A1865&lt;&gt;"BR",A1865&lt;&gt;"BS"),"Type inconnu (BL, BR ou BS)",IF(AG1865=0,"Date manquante ou invalide",IF(D1865="",IF(A1865="BL","Client manquant",IF(A1865="BR","Fournisseur manquant","Service manquant")),IF(IF(A1865="BL",ISNA(MATCH(D1865,cl_code,0)),IF(A1865="BR",ISNA(MATCH(D1865,fo_code,0)),ISNA(MATCH(D1865,p_services,0)))),IF(A1865="BL","Client inconnu",IF(A1865="BR","Fournisseur inconnu","Service inconnu")),IF(H1865="","Article manquant",IF(ISNA(MATCH(H1865,art_ref,0)),"Article inconnu",IF(OR(NOT(ISNUMBER(L1865)),N(L1865)&lt;=0),"Quantité invalide",IF(AND(K1865&lt;&gt;"",OR(NOT(ISNUMBER(K1865)),N(K1865)&lt;=0)),"Qté commandée invalide",IF(AG1865&lt;SUMPRODUCT(MAX((A$6:A1864=A1865)*AG$6:AG1864)),"Date antérieure au bon précédent",IF(AND(A1865&lt;&gt;"BR",ISNUMBER(M1865),N(M1865)&gt;0),IF(A1865="BL","Livré plus que commandé","Sorti plus que demandé"),"OK"))))))))))))</f>
        <v/>
      </c>
      <c r="Y1865" s="57" t="str">
        <f>IF(AND(OR(A1865="BL",A1865="BR",A1865="BS"),AG1865&gt;0,D1865&lt;&gt;""),A1865&amp;"|"&amp;AG1865&amp;"|"&amp;D1865&amp;"|"&amp;F1865,"")</f>
        <v/>
      </c>
      <c r="Z1865" s="57" t="str">
        <f>IF(Y1865="","",IF(COUNTIF(Y$6:Y1864,Y1865)=0,1,0))</f>
        <v/>
      </c>
      <c r="AA1865" s="57" t="str">
        <f>IF(Y1865="","",IF(Z1865=1,COUNTIFS(A$6:A1865,A1865,Z$6:Z1865,1),INDEX(AA$6:AA1864,MATCH(Y1865,Y$6:Y1864,0))))</f>
        <v/>
      </c>
      <c r="AB1865" s="57" t="str">
        <f>IF(B1865="","",COUNTIF(B$6:B1865,B1865))</f>
        <v/>
      </c>
      <c r="AC1865" s="57" t="str">
        <f>IF(B1865="","",B1865&amp;"#"&amp;AB1865)</f>
        <v/>
      </c>
      <c r="AD1865" s="57" t="str">
        <f>IF(Z1865=1,A1865&amp;AA1865,"")</f>
        <v/>
      </c>
      <c r="AE1865" s="57" t="str">
        <f>IF(B1865="","",YEAR(C1865))</f>
        <v/>
      </c>
      <c r="AF1865" s="57" t="str">
        <f>IF(B1865="","",MONTH(C1865))</f>
        <v/>
      </c>
      <c r="AG1865" s="57">
        <f>IF(ISNUMBER(C1865),C1865,0)</f>
        <v>0.0</v>
      </c>
      <c r="AH1865" s="57" t="str">
        <f>IF(N(W1865)&gt;0,COUNTIF(W$6:W1865,"&gt;0"),"")</f>
        <v/>
      </c>
      <c r="AI1865" s="57" t="str">
        <f>IF(Z1865=1,COUNTIF(Z$6:Z1865,1),"")</f>
        <v/>
      </c>
    </row>
    <row r="1866">
      <c r="A1866" s="54" t="n"/>
      <c r="B1866" s="55" t="str">
        <f>IF(AA1866="","",A1866&amp;"-"&amp;RIGHT("000"&amp;AA1866,4))</f>
        <v/>
      </c>
      <c r="C1866" s="56" t="n"/>
      <c r="D1866" s="54" t="n"/>
      <c r="E1866" s="57" t="str">
        <f>IF(D1866="","",IF(A1866="BL",IFERROR(INDEX(cl_name,MATCH(D1866,cl_code,0))&amp;"","Client inconnu"),IF(A1866="BR",IFERROR(INDEX(fo_name,MATCH(D1866,fo_code,0))&amp;"","Fournisseur inconnu"),IF(A1866="BS",IF(ISNA(MATCH(D1866,p_services,0)),"Service inconnu",D1866&amp;""),""))))</f>
        <v/>
      </c>
      <c r="F1866" s="58" t="n"/>
      <c r="G1866" s="58" t="n"/>
      <c r="H1866" s="59" t="n"/>
      <c r="I1866" s="57" t="str">
        <f>IF(H1866="","",IFERROR(INDEX(art_des,MATCH(H1866,art_ref,0))&amp;"","Article inconnu"))</f>
        <v/>
      </c>
      <c r="J1866" s="60" t="str">
        <f>IF(H1866="","",IFERROR(INDEX(art_unit,MATCH(H1866,art_ref,0))&amp;"",""))</f>
        <v/>
      </c>
      <c r="K1866" s="59" t="n"/>
      <c r="L1866" s="59" t="n"/>
      <c r="M1866" s="61" t="str">
        <f>IF(OR(B1866="",NOT(ISNUMBER(K1866)),NOT(ISNUMBER(L1866))),"",IF(OR(K1866&lt;=0,L1866&lt;=0),"",ROUND(L1866-K1866,6)))</f>
        <v/>
      </c>
      <c r="N1866" s="58" t="n"/>
      <c r="O1866" s="62" t="n"/>
      <c r="P1866" s="63" t="str">
        <f>IF(OR(B1866="",NOT(ISNUMBER(L1866))),"",IF(L1866&lt;=0,"",IFERROR(ROUND(L1866*N(INDEX(art_w,MATCH(H1866,art_ref,0))),3),"")))</f>
        <v/>
      </c>
      <c r="Q1866" s="59" t="n"/>
      <c r="R1866" s="54" t="n"/>
      <c r="S1866" s="59" t="n"/>
      <c r="T1866" s="59" t="n"/>
      <c r="U1866" s="64" t="str">
        <f>IF(OR(B1866="",H1866=""),"",IFERROR(IF(A1866="BL",IF(N(INDEX(art_price,MATCH(H1866,art_ref,0)))=0,"",N(INDEX(art_price,MATCH(H1866,art_ref,0)))),IF(N(INDEX(art_cost,MATCH(H1866,art_ref,0)))=0,"",N(INDEX(art_cost,MATCH(H1866,art_ref,0))))),""))</f>
        <v/>
      </c>
      <c r="V1866" s="64" t="str">
        <f>IF(OR(U1866="",NOT(ISNUMBER(L1866))),"",IF(L1866&lt;=0,"",ROUND(L1866*U1866,2)))</f>
        <v/>
      </c>
      <c r="W1866" s="60" t="str">
        <f>IF(AND(B1866&lt;&gt;"",A1866&lt;&gt;"BS",F1866&lt;&gt;"",H1866&lt;&gt;"",ISNUMBER(K1866),ISNUMBER(L1866)),IF(AND(K1866&gt;0,L1866&gt;0,K1866-L1866&gt;0,COUNTIFS(A1867:A$2005,A1866,F1867:F$2005,F1866,H1867:H$2005,H1866,AA1867:AA$2005,"&gt;0")=0),ROUND(K1866-L1866,6),""),"")</f>
        <v/>
      </c>
      <c r="X1866" s="60" t="str">
        <f>IF(AND(A1866="",C1866="",D1866="",H1866="",L1866=""),"",IF(A1866="","Type manquant",IF(AND(A1866&lt;&gt;"BL",A1866&lt;&gt;"BR",A1866&lt;&gt;"BS"),"Type inconnu (BL, BR ou BS)",IF(AG1866=0,"Date manquante ou invalide",IF(D1866="",IF(A1866="BL","Client manquant",IF(A1866="BR","Fournisseur manquant","Service manquant")),IF(IF(A1866="BL",ISNA(MATCH(D1866,cl_code,0)),IF(A1866="BR",ISNA(MATCH(D1866,fo_code,0)),ISNA(MATCH(D1866,p_services,0)))),IF(A1866="BL","Client inconnu",IF(A1866="BR","Fournisseur inconnu","Service inconnu")),IF(H1866="","Article manquant",IF(ISNA(MATCH(H1866,art_ref,0)),"Article inconnu",IF(OR(NOT(ISNUMBER(L1866)),N(L1866)&lt;=0),"Quantité invalide",IF(AND(K1866&lt;&gt;"",OR(NOT(ISNUMBER(K1866)),N(K1866)&lt;=0)),"Qté commandée invalide",IF(AG1866&lt;SUMPRODUCT(MAX((A$6:A1865=A1866)*AG$6:AG1865)),"Date antérieure au bon précédent",IF(AND(A1866&lt;&gt;"BR",ISNUMBER(M1866),N(M1866)&gt;0),IF(A1866="BL","Livré plus que commandé","Sorti plus que demandé"),"OK"))))))))))))</f>
        <v/>
      </c>
      <c r="Y1866" s="57" t="str">
        <f>IF(AND(OR(A1866="BL",A1866="BR",A1866="BS"),AG1866&gt;0,D1866&lt;&gt;""),A1866&amp;"|"&amp;AG1866&amp;"|"&amp;D1866&amp;"|"&amp;F1866,"")</f>
        <v/>
      </c>
      <c r="Z1866" s="57" t="str">
        <f>IF(Y1866="","",IF(COUNTIF(Y$6:Y1865,Y1866)=0,1,0))</f>
        <v/>
      </c>
      <c r="AA1866" s="57" t="str">
        <f>IF(Y1866="","",IF(Z1866=1,COUNTIFS(A$6:A1866,A1866,Z$6:Z1866,1),INDEX(AA$6:AA1865,MATCH(Y1866,Y$6:Y1865,0))))</f>
        <v/>
      </c>
      <c r="AB1866" s="57" t="str">
        <f>IF(B1866="","",COUNTIF(B$6:B1866,B1866))</f>
        <v/>
      </c>
      <c r="AC1866" s="57" t="str">
        <f>IF(B1866="","",B1866&amp;"#"&amp;AB1866)</f>
        <v/>
      </c>
      <c r="AD1866" s="57" t="str">
        <f>IF(Z1866=1,A1866&amp;AA1866,"")</f>
        <v/>
      </c>
      <c r="AE1866" s="57" t="str">
        <f>IF(B1866="","",YEAR(C1866))</f>
        <v/>
      </c>
      <c r="AF1866" s="57" t="str">
        <f>IF(B1866="","",MONTH(C1866))</f>
        <v/>
      </c>
      <c r="AG1866" s="57">
        <f>IF(ISNUMBER(C1866),C1866,0)</f>
        <v>0.0</v>
      </c>
      <c r="AH1866" s="57" t="str">
        <f>IF(N(W1866)&gt;0,COUNTIF(W$6:W1866,"&gt;0"),"")</f>
        <v/>
      </c>
      <c r="AI1866" s="57" t="str">
        <f>IF(Z1866=1,COUNTIF(Z$6:Z1866,1),"")</f>
        <v/>
      </c>
    </row>
    <row r="1867">
      <c r="A1867" s="54" t="n"/>
      <c r="B1867" s="55" t="str">
        <f>IF(AA1867="","",A1867&amp;"-"&amp;RIGHT("000"&amp;AA1867,4))</f>
        <v/>
      </c>
      <c r="C1867" s="56" t="n"/>
      <c r="D1867" s="54" t="n"/>
      <c r="E1867" s="57" t="str">
        <f>IF(D1867="","",IF(A1867="BL",IFERROR(INDEX(cl_name,MATCH(D1867,cl_code,0))&amp;"","Client inconnu"),IF(A1867="BR",IFERROR(INDEX(fo_name,MATCH(D1867,fo_code,0))&amp;"","Fournisseur inconnu"),IF(A1867="BS",IF(ISNA(MATCH(D1867,p_services,0)),"Service inconnu",D1867&amp;""),""))))</f>
        <v/>
      </c>
      <c r="F1867" s="58" t="n"/>
      <c r="G1867" s="58" t="n"/>
      <c r="H1867" s="59" t="n"/>
      <c r="I1867" s="57" t="str">
        <f>IF(H1867="","",IFERROR(INDEX(art_des,MATCH(H1867,art_ref,0))&amp;"","Article inconnu"))</f>
        <v/>
      </c>
      <c r="J1867" s="60" t="str">
        <f>IF(H1867="","",IFERROR(INDEX(art_unit,MATCH(H1867,art_ref,0))&amp;"",""))</f>
        <v/>
      </c>
      <c r="K1867" s="59" t="n"/>
      <c r="L1867" s="59" t="n"/>
      <c r="M1867" s="61" t="str">
        <f>IF(OR(B1867="",NOT(ISNUMBER(K1867)),NOT(ISNUMBER(L1867))),"",IF(OR(K1867&lt;=0,L1867&lt;=0),"",ROUND(L1867-K1867,6)))</f>
        <v/>
      </c>
      <c r="N1867" s="58" t="n"/>
      <c r="O1867" s="62" t="n"/>
      <c r="P1867" s="63" t="str">
        <f>IF(OR(B1867="",NOT(ISNUMBER(L1867))),"",IF(L1867&lt;=0,"",IFERROR(ROUND(L1867*N(INDEX(art_w,MATCH(H1867,art_ref,0))),3),"")))</f>
        <v/>
      </c>
      <c r="Q1867" s="59" t="n"/>
      <c r="R1867" s="54" t="n"/>
      <c r="S1867" s="59" t="n"/>
      <c r="T1867" s="59" t="n"/>
      <c r="U1867" s="64" t="str">
        <f>IF(OR(B1867="",H1867=""),"",IFERROR(IF(A1867="BL",IF(N(INDEX(art_price,MATCH(H1867,art_ref,0)))=0,"",N(INDEX(art_price,MATCH(H1867,art_ref,0)))),IF(N(INDEX(art_cost,MATCH(H1867,art_ref,0)))=0,"",N(INDEX(art_cost,MATCH(H1867,art_ref,0))))),""))</f>
        <v/>
      </c>
      <c r="V1867" s="64" t="str">
        <f>IF(OR(U1867="",NOT(ISNUMBER(L1867))),"",IF(L1867&lt;=0,"",ROUND(L1867*U1867,2)))</f>
        <v/>
      </c>
      <c r="W1867" s="60" t="str">
        <f>IF(AND(B1867&lt;&gt;"",A1867&lt;&gt;"BS",F1867&lt;&gt;"",H1867&lt;&gt;"",ISNUMBER(K1867),ISNUMBER(L1867)),IF(AND(K1867&gt;0,L1867&gt;0,K1867-L1867&gt;0,COUNTIFS(A1868:A$2005,A1867,F1868:F$2005,F1867,H1868:H$2005,H1867,AA1868:AA$2005,"&gt;0")=0),ROUND(K1867-L1867,6),""),"")</f>
        <v/>
      </c>
      <c r="X1867" s="60" t="str">
        <f>IF(AND(A1867="",C1867="",D1867="",H1867="",L1867=""),"",IF(A1867="","Type manquant",IF(AND(A1867&lt;&gt;"BL",A1867&lt;&gt;"BR",A1867&lt;&gt;"BS"),"Type inconnu (BL, BR ou BS)",IF(AG1867=0,"Date manquante ou invalide",IF(D1867="",IF(A1867="BL","Client manquant",IF(A1867="BR","Fournisseur manquant","Service manquant")),IF(IF(A1867="BL",ISNA(MATCH(D1867,cl_code,0)),IF(A1867="BR",ISNA(MATCH(D1867,fo_code,0)),ISNA(MATCH(D1867,p_services,0)))),IF(A1867="BL","Client inconnu",IF(A1867="BR","Fournisseur inconnu","Service inconnu")),IF(H1867="","Article manquant",IF(ISNA(MATCH(H1867,art_ref,0)),"Article inconnu",IF(OR(NOT(ISNUMBER(L1867)),N(L1867)&lt;=0),"Quantité invalide",IF(AND(K1867&lt;&gt;"",OR(NOT(ISNUMBER(K1867)),N(K1867)&lt;=0)),"Qté commandée invalide",IF(AG1867&lt;SUMPRODUCT(MAX((A$6:A1866=A1867)*AG$6:AG1866)),"Date antérieure au bon précédent",IF(AND(A1867&lt;&gt;"BR",ISNUMBER(M1867),N(M1867)&gt;0),IF(A1867="BL","Livré plus que commandé","Sorti plus que demandé"),"OK"))))))))))))</f>
        <v/>
      </c>
      <c r="Y1867" s="57" t="str">
        <f>IF(AND(OR(A1867="BL",A1867="BR",A1867="BS"),AG1867&gt;0,D1867&lt;&gt;""),A1867&amp;"|"&amp;AG1867&amp;"|"&amp;D1867&amp;"|"&amp;F1867,"")</f>
        <v/>
      </c>
      <c r="Z1867" s="57" t="str">
        <f>IF(Y1867="","",IF(COUNTIF(Y$6:Y1866,Y1867)=0,1,0))</f>
        <v/>
      </c>
      <c r="AA1867" s="57" t="str">
        <f>IF(Y1867="","",IF(Z1867=1,COUNTIFS(A$6:A1867,A1867,Z$6:Z1867,1),INDEX(AA$6:AA1866,MATCH(Y1867,Y$6:Y1866,0))))</f>
        <v/>
      </c>
      <c r="AB1867" s="57" t="str">
        <f>IF(B1867="","",COUNTIF(B$6:B1867,B1867))</f>
        <v/>
      </c>
      <c r="AC1867" s="57" t="str">
        <f>IF(B1867="","",B1867&amp;"#"&amp;AB1867)</f>
        <v/>
      </c>
      <c r="AD1867" s="57" t="str">
        <f>IF(Z1867=1,A1867&amp;AA1867,"")</f>
        <v/>
      </c>
      <c r="AE1867" s="57" t="str">
        <f>IF(B1867="","",YEAR(C1867))</f>
        <v/>
      </c>
      <c r="AF1867" s="57" t="str">
        <f>IF(B1867="","",MONTH(C1867))</f>
        <v/>
      </c>
      <c r="AG1867" s="57">
        <f>IF(ISNUMBER(C1867),C1867,0)</f>
        <v>0.0</v>
      </c>
      <c r="AH1867" s="57" t="str">
        <f>IF(N(W1867)&gt;0,COUNTIF(W$6:W1867,"&gt;0"),"")</f>
        <v/>
      </c>
      <c r="AI1867" s="57" t="str">
        <f>IF(Z1867=1,COUNTIF(Z$6:Z1867,1),"")</f>
        <v/>
      </c>
    </row>
    <row r="1868">
      <c r="A1868" s="54" t="n"/>
      <c r="B1868" s="55" t="str">
        <f>IF(AA1868="","",A1868&amp;"-"&amp;RIGHT("000"&amp;AA1868,4))</f>
        <v/>
      </c>
      <c r="C1868" s="56" t="n"/>
      <c r="D1868" s="54" t="n"/>
      <c r="E1868" s="57" t="str">
        <f>IF(D1868="","",IF(A1868="BL",IFERROR(INDEX(cl_name,MATCH(D1868,cl_code,0))&amp;"","Client inconnu"),IF(A1868="BR",IFERROR(INDEX(fo_name,MATCH(D1868,fo_code,0))&amp;"","Fournisseur inconnu"),IF(A1868="BS",IF(ISNA(MATCH(D1868,p_services,0)),"Service inconnu",D1868&amp;""),""))))</f>
        <v/>
      </c>
      <c r="F1868" s="58" t="n"/>
      <c r="G1868" s="58" t="n"/>
      <c r="H1868" s="59" t="n"/>
      <c r="I1868" s="57" t="str">
        <f>IF(H1868="","",IFERROR(INDEX(art_des,MATCH(H1868,art_ref,0))&amp;"","Article inconnu"))</f>
        <v/>
      </c>
      <c r="J1868" s="60" t="str">
        <f>IF(H1868="","",IFERROR(INDEX(art_unit,MATCH(H1868,art_ref,0))&amp;"",""))</f>
        <v/>
      </c>
      <c r="K1868" s="59" t="n"/>
      <c r="L1868" s="59" t="n"/>
      <c r="M1868" s="61" t="str">
        <f>IF(OR(B1868="",NOT(ISNUMBER(K1868)),NOT(ISNUMBER(L1868))),"",IF(OR(K1868&lt;=0,L1868&lt;=0),"",ROUND(L1868-K1868,6)))</f>
        <v/>
      </c>
      <c r="N1868" s="58" t="n"/>
      <c r="O1868" s="62" t="n"/>
      <c r="P1868" s="63" t="str">
        <f>IF(OR(B1868="",NOT(ISNUMBER(L1868))),"",IF(L1868&lt;=0,"",IFERROR(ROUND(L1868*N(INDEX(art_w,MATCH(H1868,art_ref,0))),3),"")))</f>
        <v/>
      </c>
      <c r="Q1868" s="59" t="n"/>
      <c r="R1868" s="54" t="n"/>
      <c r="S1868" s="59" t="n"/>
      <c r="T1868" s="59" t="n"/>
      <c r="U1868" s="64" t="str">
        <f>IF(OR(B1868="",H1868=""),"",IFERROR(IF(A1868="BL",IF(N(INDEX(art_price,MATCH(H1868,art_ref,0)))=0,"",N(INDEX(art_price,MATCH(H1868,art_ref,0)))),IF(N(INDEX(art_cost,MATCH(H1868,art_ref,0)))=0,"",N(INDEX(art_cost,MATCH(H1868,art_ref,0))))),""))</f>
        <v/>
      </c>
      <c r="V1868" s="64" t="str">
        <f>IF(OR(U1868="",NOT(ISNUMBER(L1868))),"",IF(L1868&lt;=0,"",ROUND(L1868*U1868,2)))</f>
        <v/>
      </c>
      <c r="W1868" s="60" t="str">
        <f>IF(AND(B1868&lt;&gt;"",A1868&lt;&gt;"BS",F1868&lt;&gt;"",H1868&lt;&gt;"",ISNUMBER(K1868),ISNUMBER(L1868)),IF(AND(K1868&gt;0,L1868&gt;0,K1868-L1868&gt;0,COUNTIFS(A1869:A$2005,A1868,F1869:F$2005,F1868,H1869:H$2005,H1868,AA1869:AA$2005,"&gt;0")=0),ROUND(K1868-L1868,6),""),"")</f>
        <v/>
      </c>
      <c r="X1868" s="60" t="str">
        <f>IF(AND(A1868="",C1868="",D1868="",H1868="",L1868=""),"",IF(A1868="","Type manquant",IF(AND(A1868&lt;&gt;"BL",A1868&lt;&gt;"BR",A1868&lt;&gt;"BS"),"Type inconnu (BL, BR ou BS)",IF(AG1868=0,"Date manquante ou invalide",IF(D1868="",IF(A1868="BL","Client manquant",IF(A1868="BR","Fournisseur manquant","Service manquant")),IF(IF(A1868="BL",ISNA(MATCH(D1868,cl_code,0)),IF(A1868="BR",ISNA(MATCH(D1868,fo_code,0)),ISNA(MATCH(D1868,p_services,0)))),IF(A1868="BL","Client inconnu",IF(A1868="BR","Fournisseur inconnu","Service inconnu")),IF(H1868="","Article manquant",IF(ISNA(MATCH(H1868,art_ref,0)),"Article inconnu",IF(OR(NOT(ISNUMBER(L1868)),N(L1868)&lt;=0),"Quantité invalide",IF(AND(K1868&lt;&gt;"",OR(NOT(ISNUMBER(K1868)),N(K1868)&lt;=0)),"Qté commandée invalide",IF(AG1868&lt;SUMPRODUCT(MAX((A$6:A1867=A1868)*AG$6:AG1867)),"Date antérieure au bon précédent",IF(AND(A1868&lt;&gt;"BR",ISNUMBER(M1868),N(M1868)&gt;0),IF(A1868="BL","Livré plus que commandé","Sorti plus que demandé"),"OK"))))))))))))</f>
        <v/>
      </c>
      <c r="Y1868" s="57" t="str">
        <f>IF(AND(OR(A1868="BL",A1868="BR",A1868="BS"),AG1868&gt;0,D1868&lt;&gt;""),A1868&amp;"|"&amp;AG1868&amp;"|"&amp;D1868&amp;"|"&amp;F1868,"")</f>
        <v/>
      </c>
      <c r="Z1868" s="57" t="str">
        <f>IF(Y1868="","",IF(COUNTIF(Y$6:Y1867,Y1868)=0,1,0))</f>
        <v/>
      </c>
      <c r="AA1868" s="57" t="str">
        <f>IF(Y1868="","",IF(Z1868=1,COUNTIFS(A$6:A1868,A1868,Z$6:Z1868,1),INDEX(AA$6:AA1867,MATCH(Y1868,Y$6:Y1867,0))))</f>
        <v/>
      </c>
      <c r="AB1868" s="57" t="str">
        <f>IF(B1868="","",COUNTIF(B$6:B1868,B1868))</f>
        <v/>
      </c>
      <c r="AC1868" s="57" t="str">
        <f>IF(B1868="","",B1868&amp;"#"&amp;AB1868)</f>
        <v/>
      </c>
      <c r="AD1868" s="57" t="str">
        <f>IF(Z1868=1,A1868&amp;AA1868,"")</f>
        <v/>
      </c>
      <c r="AE1868" s="57" t="str">
        <f>IF(B1868="","",YEAR(C1868))</f>
        <v/>
      </c>
      <c r="AF1868" s="57" t="str">
        <f>IF(B1868="","",MONTH(C1868))</f>
        <v/>
      </c>
      <c r="AG1868" s="57">
        <f>IF(ISNUMBER(C1868),C1868,0)</f>
        <v>0.0</v>
      </c>
      <c r="AH1868" s="57" t="str">
        <f>IF(N(W1868)&gt;0,COUNTIF(W$6:W1868,"&gt;0"),"")</f>
        <v/>
      </c>
      <c r="AI1868" s="57" t="str">
        <f>IF(Z1868=1,COUNTIF(Z$6:Z1868,1),"")</f>
        <v/>
      </c>
    </row>
    <row r="1869">
      <c r="A1869" s="54" t="n"/>
      <c r="B1869" s="55" t="str">
        <f>IF(AA1869="","",A1869&amp;"-"&amp;RIGHT("000"&amp;AA1869,4))</f>
        <v/>
      </c>
      <c r="C1869" s="56" t="n"/>
      <c r="D1869" s="54" t="n"/>
      <c r="E1869" s="57" t="str">
        <f>IF(D1869="","",IF(A1869="BL",IFERROR(INDEX(cl_name,MATCH(D1869,cl_code,0))&amp;"","Client inconnu"),IF(A1869="BR",IFERROR(INDEX(fo_name,MATCH(D1869,fo_code,0))&amp;"","Fournisseur inconnu"),IF(A1869="BS",IF(ISNA(MATCH(D1869,p_services,0)),"Service inconnu",D1869&amp;""),""))))</f>
        <v/>
      </c>
      <c r="F1869" s="58" t="n"/>
      <c r="G1869" s="58" t="n"/>
      <c r="H1869" s="59" t="n"/>
      <c r="I1869" s="57" t="str">
        <f>IF(H1869="","",IFERROR(INDEX(art_des,MATCH(H1869,art_ref,0))&amp;"","Article inconnu"))</f>
        <v/>
      </c>
      <c r="J1869" s="60" t="str">
        <f>IF(H1869="","",IFERROR(INDEX(art_unit,MATCH(H1869,art_ref,0))&amp;"",""))</f>
        <v/>
      </c>
      <c r="K1869" s="59" t="n"/>
      <c r="L1869" s="59" t="n"/>
      <c r="M1869" s="61" t="str">
        <f>IF(OR(B1869="",NOT(ISNUMBER(K1869)),NOT(ISNUMBER(L1869))),"",IF(OR(K1869&lt;=0,L1869&lt;=0),"",ROUND(L1869-K1869,6)))</f>
        <v/>
      </c>
      <c r="N1869" s="58" t="n"/>
      <c r="O1869" s="62" t="n"/>
      <c r="P1869" s="63" t="str">
        <f>IF(OR(B1869="",NOT(ISNUMBER(L1869))),"",IF(L1869&lt;=0,"",IFERROR(ROUND(L1869*N(INDEX(art_w,MATCH(H1869,art_ref,0))),3),"")))</f>
        <v/>
      </c>
      <c r="Q1869" s="59" t="n"/>
      <c r="R1869" s="54" t="n"/>
      <c r="S1869" s="59" t="n"/>
      <c r="T1869" s="59" t="n"/>
      <c r="U1869" s="64" t="str">
        <f>IF(OR(B1869="",H1869=""),"",IFERROR(IF(A1869="BL",IF(N(INDEX(art_price,MATCH(H1869,art_ref,0)))=0,"",N(INDEX(art_price,MATCH(H1869,art_ref,0)))),IF(N(INDEX(art_cost,MATCH(H1869,art_ref,0)))=0,"",N(INDEX(art_cost,MATCH(H1869,art_ref,0))))),""))</f>
        <v/>
      </c>
      <c r="V1869" s="64" t="str">
        <f>IF(OR(U1869="",NOT(ISNUMBER(L1869))),"",IF(L1869&lt;=0,"",ROUND(L1869*U1869,2)))</f>
        <v/>
      </c>
      <c r="W1869" s="60" t="str">
        <f>IF(AND(B1869&lt;&gt;"",A1869&lt;&gt;"BS",F1869&lt;&gt;"",H1869&lt;&gt;"",ISNUMBER(K1869),ISNUMBER(L1869)),IF(AND(K1869&gt;0,L1869&gt;0,K1869-L1869&gt;0,COUNTIFS(A1870:A$2005,A1869,F1870:F$2005,F1869,H1870:H$2005,H1869,AA1870:AA$2005,"&gt;0")=0),ROUND(K1869-L1869,6),""),"")</f>
        <v/>
      </c>
      <c r="X1869" s="60" t="str">
        <f>IF(AND(A1869="",C1869="",D1869="",H1869="",L1869=""),"",IF(A1869="","Type manquant",IF(AND(A1869&lt;&gt;"BL",A1869&lt;&gt;"BR",A1869&lt;&gt;"BS"),"Type inconnu (BL, BR ou BS)",IF(AG1869=0,"Date manquante ou invalide",IF(D1869="",IF(A1869="BL","Client manquant",IF(A1869="BR","Fournisseur manquant","Service manquant")),IF(IF(A1869="BL",ISNA(MATCH(D1869,cl_code,0)),IF(A1869="BR",ISNA(MATCH(D1869,fo_code,0)),ISNA(MATCH(D1869,p_services,0)))),IF(A1869="BL","Client inconnu",IF(A1869="BR","Fournisseur inconnu","Service inconnu")),IF(H1869="","Article manquant",IF(ISNA(MATCH(H1869,art_ref,0)),"Article inconnu",IF(OR(NOT(ISNUMBER(L1869)),N(L1869)&lt;=0),"Quantité invalide",IF(AND(K1869&lt;&gt;"",OR(NOT(ISNUMBER(K1869)),N(K1869)&lt;=0)),"Qté commandée invalide",IF(AG1869&lt;SUMPRODUCT(MAX((A$6:A1868=A1869)*AG$6:AG1868)),"Date antérieure au bon précédent",IF(AND(A1869&lt;&gt;"BR",ISNUMBER(M1869),N(M1869)&gt;0),IF(A1869="BL","Livré plus que commandé","Sorti plus que demandé"),"OK"))))))))))))</f>
        <v/>
      </c>
      <c r="Y1869" s="57" t="str">
        <f>IF(AND(OR(A1869="BL",A1869="BR",A1869="BS"),AG1869&gt;0,D1869&lt;&gt;""),A1869&amp;"|"&amp;AG1869&amp;"|"&amp;D1869&amp;"|"&amp;F1869,"")</f>
        <v/>
      </c>
      <c r="Z1869" s="57" t="str">
        <f>IF(Y1869="","",IF(COUNTIF(Y$6:Y1868,Y1869)=0,1,0))</f>
        <v/>
      </c>
      <c r="AA1869" s="57" t="str">
        <f>IF(Y1869="","",IF(Z1869=1,COUNTIFS(A$6:A1869,A1869,Z$6:Z1869,1),INDEX(AA$6:AA1868,MATCH(Y1869,Y$6:Y1868,0))))</f>
        <v/>
      </c>
      <c r="AB1869" s="57" t="str">
        <f>IF(B1869="","",COUNTIF(B$6:B1869,B1869))</f>
        <v/>
      </c>
      <c r="AC1869" s="57" t="str">
        <f>IF(B1869="","",B1869&amp;"#"&amp;AB1869)</f>
        <v/>
      </c>
      <c r="AD1869" s="57" t="str">
        <f>IF(Z1869=1,A1869&amp;AA1869,"")</f>
        <v/>
      </c>
      <c r="AE1869" s="57" t="str">
        <f>IF(B1869="","",YEAR(C1869))</f>
        <v/>
      </c>
      <c r="AF1869" s="57" t="str">
        <f>IF(B1869="","",MONTH(C1869))</f>
        <v/>
      </c>
      <c r="AG1869" s="57">
        <f>IF(ISNUMBER(C1869),C1869,0)</f>
        <v>0.0</v>
      </c>
      <c r="AH1869" s="57" t="str">
        <f>IF(N(W1869)&gt;0,COUNTIF(W$6:W1869,"&gt;0"),"")</f>
        <v/>
      </c>
      <c r="AI1869" s="57" t="str">
        <f>IF(Z1869=1,COUNTIF(Z$6:Z1869,1),"")</f>
        <v/>
      </c>
    </row>
    <row r="1870">
      <c r="A1870" s="54" t="n"/>
      <c r="B1870" s="55" t="str">
        <f>IF(AA1870="","",A1870&amp;"-"&amp;RIGHT("000"&amp;AA1870,4))</f>
        <v/>
      </c>
      <c r="C1870" s="56" t="n"/>
      <c r="D1870" s="54" t="n"/>
      <c r="E1870" s="57" t="str">
        <f>IF(D1870="","",IF(A1870="BL",IFERROR(INDEX(cl_name,MATCH(D1870,cl_code,0))&amp;"","Client inconnu"),IF(A1870="BR",IFERROR(INDEX(fo_name,MATCH(D1870,fo_code,0))&amp;"","Fournisseur inconnu"),IF(A1870="BS",IF(ISNA(MATCH(D1870,p_services,0)),"Service inconnu",D1870&amp;""),""))))</f>
        <v/>
      </c>
      <c r="F1870" s="58" t="n"/>
      <c r="G1870" s="58" t="n"/>
      <c r="H1870" s="59" t="n"/>
      <c r="I1870" s="57" t="str">
        <f>IF(H1870="","",IFERROR(INDEX(art_des,MATCH(H1870,art_ref,0))&amp;"","Article inconnu"))</f>
        <v/>
      </c>
      <c r="J1870" s="60" t="str">
        <f>IF(H1870="","",IFERROR(INDEX(art_unit,MATCH(H1870,art_ref,0))&amp;"",""))</f>
        <v/>
      </c>
      <c r="K1870" s="59" t="n"/>
      <c r="L1870" s="59" t="n"/>
      <c r="M1870" s="61" t="str">
        <f>IF(OR(B1870="",NOT(ISNUMBER(K1870)),NOT(ISNUMBER(L1870))),"",IF(OR(K1870&lt;=0,L1870&lt;=0),"",ROUND(L1870-K1870,6)))</f>
        <v/>
      </c>
      <c r="N1870" s="58" t="n"/>
      <c r="O1870" s="62" t="n"/>
      <c r="P1870" s="63" t="str">
        <f>IF(OR(B1870="",NOT(ISNUMBER(L1870))),"",IF(L1870&lt;=0,"",IFERROR(ROUND(L1870*N(INDEX(art_w,MATCH(H1870,art_ref,0))),3),"")))</f>
        <v/>
      </c>
      <c r="Q1870" s="59" t="n"/>
      <c r="R1870" s="54" t="n"/>
      <c r="S1870" s="59" t="n"/>
      <c r="T1870" s="59" t="n"/>
      <c r="U1870" s="64" t="str">
        <f>IF(OR(B1870="",H1870=""),"",IFERROR(IF(A1870="BL",IF(N(INDEX(art_price,MATCH(H1870,art_ref,0)))=0,"",N(INDEX(art_price,MATCH(H1870,art_ref,0)))),IF(N(INDEX(art_cost,MATCH(H1870,art_ref,0)))=0,"",N(INDEX(art_cost,MATCH(H1870,art_ref,0))))),""))</f>
        <v/>
      </c>
      <c r="V1870" s="64" t="str">
        <f>IF(OR(U1870="",NOT(ISNUMBER(L1870))),"",IF(L1870&lt;=0,"",ROUND(L1870*U1870,2)))</f>
        <v/>
      </c>
      <c r="W1870" s="60" t="str">
        <f>IF(AND(B1870&lt;&gt;"",A1870&lt;&gt;"BS",F1870&lt;&gt;"",H1870&lt;&gt;"",ISNUMBER(K1870),ISNUMBER(L1870)),IF(AND(K1870&gt;0,L1870&gt;0,K1870-L1870&gt;0,COUNTIFS(A1871:A$2005,A1870,F1871:F$2005,F1870,H1871:H$2005,H1870,AA1871:AA$2005,"&gt;0")=0),ROUND(K1870-L1870,6),""),"")</f>
        <v/>
      </c>
      <c r="X1870" s="60" t="str">
        <f>IF(AND(A1870="",C1870="",D1870="",H1870="",L1870=""),"",IF(A1870="","Type manquant",IF(AND(A1870&lt;&gt;"BL",A1870&lt;&gt;"BR",A1870&lt;&gt;"BS"),"Type inconnu (BL, BR ou BS)",IF(AG1870=0,"Date manquante ou invalide",IF(D1870="",IF(A1870="BL","Client manquant",IF(A1870="BR","Fournisseur manquant","Service manquant")),IF(IF(A1870="BL",ISNA(MATCH(D1870,cl_code,0)),IF(A1870="BR",ISNA(MATCH(D1870,fo_code,0)),ISNA(MATCH(D1870,p_services,0)))),IF(A1870="BL","Client inconnu",IF(A1870="BR","Fournisseur inconnu","Service inconnu")),IF(H1870="","Article manquant",IF(ISNA(MATCH(H1870,art_ref,0)),"Article inconnu",IF(OR(NOT(ISNUMBER(L1870)),N(L1870)&lt;=0),"Quantité invalide",IF(AND(K1870&lt;&gt;"",OR(NOT(ISNUMBER(K1870)),N(K1870)&lt;=0)),"Qté commandée invalide",IF(AG1870&lt;SUMPRODUCT(MAX((A$6:A1869=A1870)*AG$6:AG1869)),"Date antérieure au bon précédent",IF(AND(A1870&lt;&gt;"BR",ISNUMBER(M1870),N(M1870)&gt;0),IF(A1870="BL","Livré plus que commandé","Sorti plus que demandé"),"OK"))))))))))))</f>
        <v/>
      </c>
      <c r="Y1870" s="57" t="str">
        <f>IF(AND(OR(A1870="BL",A1870="BR",A1870="BS"),AG1870&gt;0,D1870&lt;&gt;""),A1870&amp;"|"&amp;AG1870&amp;"|"&amp;D1870&amp;"|"&amp;F1870,"")</f>
        <v/>
      </c>
      <c r="Z1870" s="57" t="str">
        <f>IF(Y1870="","",IF(COUNTIF(Y$6:Y1869,Y1870)=0,1,0))</f>
        <v/>
      </c>
      <c r="AA1870" s="57" t="str">
        <f>IF(Y1870="","",IF(Z1870=1,COUNTIFS(A$6:A1870,A1870,Z$6:Z1870,1),INDEX(AA$6:AA1869,MATCH(Y1870,Y$6:Y1869,0))))</f>
        <v/>
      </c>
      <c r="AB1870" s="57" t="str">
        <f>IF(B1870="","",COUNTIF(B$6:B1870,B1870))</f>
        <v/>
      </c>
      <c r="AC1870" s="57" t="str">
        <f>IF(B1870="","",B1870&amp;"#"&amp;AB1870)</f>
        <v/>
      </c>
      <c r="AD1870" s="57" t="str">
        <f>IF(Z1870=1,A1870&amp;AA1870,"")</f>
        <v/>
      </c>
      <c r="AE1870" s="57" t="str">
        <f>IF(B1870="","",YEAR(C1870))</f>
        <v/>
      </c>
      <c r="AF1870" s="57" t="str">
        <f>IF(B1870="","",MONTH(C1870))</f>
        <v/>
      </c>
      <c r="AG1870" s="57">
        <f>IF(ISNUMBER(C1870),C1870,0)</f>
        <v>0.0</v>
      </c>
      <c r="AH1870" s="57" t="str">
        <f>IF(N(W1870)&gt;0,COUNTIF(W$6:W1870,"&gt;0"),"")</f>
        <v/>
      </c>
      <c r="AI1870" s="57" t="str">
        <f>IF(Z1870=1,COUNTIF(Z$6:Z1870,1),"")</f>
        <v/>
      </c>
    </row>
    <row r="1871">
      <c r="A1871" s="54" t="n"/>
      <c r="B1871" s="55" t="str">
        <f>IF(AA1871="","",A1871&amp;"-"&amp;RIGHT("000"&amp;AA1871,4))</f>
        <v/>
      </c>
      <c r="C1871" s="56" t="n"/>
      <c r="D1871" s="54" t="n"/>
      <c r="E1871" s="57" t="str">
        <f>IF(D1871="","",IF(A1871="BL",IFERROR(INDEX(cl_name,MATCH(D1871,cl_code,0))&amp;"","Client inconnu"),IF(A1871="BR",IFERROR(INDEX(fo_name,MATCH(D1871,fo_code,0))&amp;"","Fournisseur inconnu"),IF(A1871="BS",IF(ISNA(MATCH(D1871,p_services,0)),"Service inconnu",D1871&amp;""),""))))</f>
        <v/>
      </c>
      <c r="F1871" s="58" t="n"/>
      <c r="G1871" s="58" t="n"/>
      <c r="H1871" s="59" t="n"/>
      <c r="I1871" s="57" t="str">
        <f>IF(H1871="","",IFERROR(INDEX(art_des,MATCH(H1871,art_ref,0))&amp;"","Article inconnu"))</f>
        <v/>
      </c>
      <c r="J1871" s="60" t="str">
        <f>IF(H1871="","",IFERROR(INDEX(art_unit,MATCH(H1871,art_ref,0))&amp;"",""))</f>
        <v/>
      </c>
      <c r="K1871" s="59" t="n"/>
      <c r="L1871" s="59" t="n"/>
      <c r="M1871" s="61" t="str">
        <f>IF(OR(B1871="",NOT(ISNUMBER(K1871)),NOT(ISNUMBER(L1871))),"",IF(OR(K1871&lt;=0,L1871&lt;=0),"",ROUND(L1871-K1871,6)))</f>
        <v/>
      </c>
      <c r="N1871" s="58" t="n"/>
      <c r="O1871" s="62" t="n"/>
      <c r="P1871" s="63" t="str">
        <f>IF(OR(B1871="",NOT(ISNUMBER(L1871))),"",IF(L1871&lt;=0,"",IFERROR(ROUND(L1871*N(INDEX(art_w,MATCH(H1871,art_ref,0))),3),"")))</f>
        <v/>
      </c>
      <c r="Q1871" s="59" t="n"/>
      <c r="R1871" s="54" t="n"/>
      <c r="S1871" s="59" t="n"/>
      <c r="T1871" s="59" t="n"/>
      <c r="U1871" s="64" t="str">
        <f>IF(OR(B1871="",H1871=""),"",IFERROR(IF(A1871="BL",IF(N(INDEX(art_price,MATCH(H1871,art_ref,0)))=0,"",N(INDEX(art_price,MATCH(H1871,art_ref,0)))),IF(N(INDEX(art_cost,MATCH(H1871,art_ref,0)))=0,"",N(INDEX(art_cost,MATCH(H1871,art_ref,0))))),""))</f>
        <v/>
      </c>
      <c r="V1871" s="64" t="str">
        <f>IF(OR(U1871="",NOT(ISNUMBER(L1871))),"",IF(L1871&lt;=0,"",ROUND(L1871*U1871,2)))</f>
        <v/>
      </c>
      <c r="W1871" s="60" t="str">
        <f>IF(AND(B1871&lt;&gt;"",A1871&lt;&gt;"BS",F1871&lt;&gt;"",H1871&lt;&gt;"",ISNUMBER(K1871),ISNUMBER(L1871)),IF(AND(K1871&gt;0,L1871&gt;0,K1871-L1871&gt;0,COUNTIFS(A1872:A$2005,A1871,F1872:F$2005,F1871,H1872:H$2005,H1871,AA1872:AA$2005,"&gt;0")=0),ROUND(K1871-L1871,6),""),"")</f>
        <v/>
      </c>
      <c r="X1871" s="60" t="str">
        <f>IF(AND(A1871="",C1871="",D1871="",H1871="",L1871=""),"",IF(A1871="","Type manquant",IF(AND(A1871&lt;&gt;"BL",A1871&lt;&gt;"BR",A1871&lt;&gt;"BS"),"Type inconnu (BL, BR ou BS)",IF(AG1871=0,"Date manquante ou invalide",IF(D1871="",IF(A1871="BL","Client manquant",IF(A1871="BR","Fournisseur manquant","Service manquant")),IF(IF(A1871="BL",ISNA(MATCH(D1871,cl_code,0)),IF(A1871="BR",ISNA(MATCH(D1871,fo_code,0)),ISNA(MATCH(D1871,p_services,0)))),IF(A1871="BL","Client inconnu",IF(A1871="BR","Fournisseur inconnu","Service inconnu")),IF(H1871="","Article manquant",IF(ISNA(MATCH(H1871,art_ref,0)),"Article inconnu",IF(OR(NOT(ISNUMBER(L1871)),N(L1871)&lt;=0),"Quantité invalide",IF(AND(K1871&lt;&gt;"",OR(NOT(ISNUMBER(K1871)),N(K1871)&lt;=0)),"Qté commandée invalide",IF(AG1871&lt;SUMPRODUCT(MAX((A$6:A1870=A1871)*AG$6:AG1870)),"Date antérieure au bon précédent",IF(AND(A1871&lt;&gt;"BR",ISNUMBER(M1871),N(M1871)&gt;0),IF(A1871="BL","Livré plus que commandé","Sorti plus que demandé"),"OK"))))))))))))</f>
        <v/>
      </c>
      <c r="Y1871" s="57" t="str">
        <f>IF(AND(OR(A1871="BL",A1871="BR",A1871="BS"),AG1871&gt;0,D1871&lt;&gt;""),A1871&amp;"|"&amp;AG1871&amp;"|"&amp;D1871&amp;"|"&amp;F1871,"")</f>
        <v/>
      </c>
      <c r="Z1871" s="57" t="str">
        <f>IF(Y1871="","",IF(COUNTIF(Y$6:Y1870,Y1871)=0,1,0))</f>
        <v/>
      </c>
      <c r="AA1871" s="57" t="str">
        <f>IF(Y1871="","",IF(Z1871=1,COUNTIFS(A$6:A1871,A1871,Z$6:Z1871,1),INDEX(AA$6:AA1870,MATCH(Y1871,Y$6:Y1870,0))))</f>
        <v/>
      </c>
      <c r="AB1871" s="57" t="str">
        <f>IF(B1871="","",COUNTIF(B$6:B1871,B1871))</f>
        <v/>
      </c>
      <c r="AC1871" s="57" t="str">
        <f>IF(B1871="","",B1871&amp;"#"&amp;AB1871)</f>
        <v/>
      </c>
      <c r="AD1871" s="57" t="str">
        <f>IF(Z1871=1,A1871&amp;AA1871,"")</f>
        <v/>
      </c>
      <c r="AE1871" s="57" t="str">
        <f>IF(B1871="","",YEAR(C1871))</f>
        <v/>
      </c>
      <c r="AF1871" s="57" t="str">
        <f>IF(B1871="","",MONTH(C1871))</f>
        <v/>
      </c>
      <c r="AG1871" s="57">
        <f>IF(ISNUMBER(C1871),C1871,0)</f>
        <v>0.0</v>
      </c>
      <c r="AH1871" s="57" t="str">
        <f>IF(N(W1871)&gt;0,COUNTIF(W$6:W1871,"&gt;0"),"")</f>
        <v/>
      </c>
      <c r="AI1871" s="57" t="str">
        <f>IF(Z1871=1,COUNTIF(Z$6:Z1871,1),"")</f>
        <v/>
      </c>
    </row>
    <row r="1872">
      <c r="A1872" s="54" t="n"/>
      <c r="B1872" s="55" t="str">
        <f>IF(AA1872="","",A1872&amp;"-"&amp;RIGHT("000"&amp;AA1872,4))</f>
        <v/>
      </c>
      <c r="C1872" s="56" t="n"/>
      <c r="D1872" s="54" t="n"/>
      <c r="E1872" s="57" t="str">
        <f>IF(D1872="","",IF(A1872="BL",IFERROR(INDEX(cl_name,MATCH(D1872,cl_code,0))&amp;"","Client inconnu"),IF(A1872="BR",IFERROR(INDEX(fo_name,MATCH(D1872,fo_code,0))&amp;"","Fournisseur inconnu"),IF(A1872="BS",IF(ISNA(MATCH(D1872,p_services,0)),"Service inconnu",D1872&amp;""),""))))</f>
        <v/>
      </c>
      <c r="F1872" s="58" t="n"/>
      <c r="G1872" s="58" t="n"/>
      <c r="H1872" s="59" t="n"/>
      <c r="I1872" s="57" t="str">
        <f>IF(H1872="","",IFERROR(INDEX(art_des,MATCH(H1872,art_ref,0))&amp;"","Article inconnu"))</f>
        <v/>
      </c>
      <c r="J1872" s="60" t="str">
        <f>IF(H1872="","",IFERROR(INDEX(art_unit,MATCH(H1872,art_ref,0))&amp;"",""))</f>
        <v/>
      </c>
      <c r="K1872" s="59" t="n"/>
      <c r="L1872" s="59" t="n"/>
      <c r="M1872" s="61" t="str">
        <f>IF(OR(B1872="",NOT(ISNUMBER(K1872)),NOT(ISNUMBER(L1872))),"",IF(OR(K1872&lt;=0,L1872&lt;=0),"",ROUND(L1872-K1872,6)))</f>
        <v/>
      </c>
      <c r="N1872" s="58" t="n"/>
      <c r="O1872" s="62" t="n"/>
      <c r="P1872" s="63" t="str">
        <f>IF(OR(B1872="",NOT(ISNUMBER(L1872))),"",IF(L1872&lt;=0,"",IFERROR(ROUND(L1872*N(INDEX(art_w,MATCH(H1872,art_ref,0))),3),"")))</f>
        <v/>
      </c>
      <c r="Q1872" s="59" t="n"/>
      <c r="R1872" s="54" t="n"/>
      <c r="S1872" s="59" t="n"/>
      <c r="T1872" s="59" t="n"/>
      <c r="U1872" s="64" t="str">
        <f>IF(OR(B1872="",H1872=""),"",IFERROR(IF(A1872="BL",IF(N(INDEX(art_price,MATCH(H1872,art_ref,0)))=0,"",N(INDEX(art_price,MATCH(H1872,art_ref,0)))),IF(N(INDEX(art_cost,MATCH(H1872,art_ref,0)))=0,"",N(INDEX(art_cost,MATCH(H1872,art_ref,0))))),""))</f>
        <v/>
      </c>
      <c r="V1872" s="64" t="str">
        <f>IF(OR(U1872="",NOT(ISNUMBER(L1872))),"",IF(L1872&lt;=0,"",ROUND(L1872*U1872,2)))</f>
        <v/>
      </c>
      <c r="W1872" s="60" t="str">
        <f>IF(AND(B1872&lt;&gt;"",A1872&lt;&gt;"BS",F1872&lt;&gt;"",H1872&lt;&gt;"",ISNUMBER(K1872),ISNUMBER(L1872)),IF(AND(K1872&gt;0,L1872&gt;0,K1872-L1872&gt;0,COUNTIFS(A1873:A$2005,A1872,F1873:F$2005,F1872,H1873:H$2005,H1872,AA1873:AA$2005,"&gt;0")=0),ROUND(K1872-L1872,6),""),"")</f>
        <v/>
      </c>
      <c r="X1872" s="60" t="str">
        <f>IF(AND(A1872="",C1872="",D1872="",H1872="",L1872=""),"",IF(A1872="","Type manquant",IF(AND(A1872&lt;&gt;"BL",A1872&lt;&gt;"BR",A1872&lt;&gt;"BS"),"Type inconnu (BL, BR ou BS)",IF(AG1872=0,"Date manquante ou invalide",IF(D1872="",IF(A1872="BL","Client manquant",IF(A1872="BR","Fournisseur manquant","Service manquant")),IF(IF(A1872="BL",ISNA(MATCH(D1872,cl_code,0)),IF(A1872="BR",ISNA(MATCH(D1872,fo_code,0)),ISNA(MATCH(D1872,p_services,0)))),IF(A1872="BL","Client inconnu",IF(A1872="BR","Fournisseur inconnu","Service inconnu")),IF(H1872="","Article manquant",IF(ISNA(MATCH(H1872,art_ref,0)),"Article inconnu",IF(OR(NOT(ISNUMBER(L1872)),N(L1872)&lt;=0),"Quantité invalide",IF(AND(K1872&lt;&gt;"",OR(NOT(ISNUMBER(K1872)),N(K1872)&lt;=0)),"Qté commandée invalide",IF(AG1872&lt;SUMPRODUCT(MAX((A$6:A1871=A1872)*AG$6:AG1871)),"Date antérieure au bon précédent",IF(AND(A1872&lt;&gt;"BR",ISNUMBER(M1872),N(M1872)&gt;0),IF(A1872="BL","Livré plus que commandé","Sorti plus que demandé"),"OK"))))))))))))</f>
        <v/>
      </c>
      <c r="Y1872" s="57" t="str">
        <f>IF(AND(OR(A1872="BL",A1872="BR",A1872="BS"),AG1872&gt;0,D1872&lt;&gt;""),A1872&amp;"|"&amp;AG1872&amp;"|"&amp;D1872&amp;"|"&amp;F1872,"")</f>
        <v/>
      </c>
      <c r="Z1872" s="57" t="str">
        <f>IF(Y1872="","",IF(COUNTIF(Y$6:Y1871,Y1872)=0,1,0))</f>
        <v/>
      </c>
      <c r="AA1872" s="57" t="str">
        <f>IF(Y1872="","",IF(Z1872=1,COUNTIFS(A$6:A1872,A1872,Z$6:Z1872,1),INDEX(AA$6:AA1871,MATCH(Y1872,Y$6:Y1871,0))))</f>
        <v/>
      </c>
      <c r="AB1872" s="57" t="str">
        <f>IF(B1872="","",COUNTIF(B$6:B1872,B1872))</f>
        <v/>
      </c>
      <c r="AC1872" s="57" t="str">
        <f>IF(B1872="","",B1872&amp;"#"&amp;AB1872)</f>
        <v/>
      </c>
      <c r="AD1872" s="57" t="str">
        <f>IF(Z1872=1,A1872&amp;AA1872,"")</f>
        <v/>
      </c>
      <c r="AE1872" s="57" t="str">
        <f>IF(B1872="","",YEAR(C1872))</f>
        <v/>
      </c>
      <c r="AF1872" s="57" t="str">
        <f>IF(B1872="","",MONTH(C1872))</f>
        <v/>
      </c>
      <c r="AG1872" s="57">
        <f>IF(ISNUMBER(C1872),C1872,0)</f>
        <v>0.0</v>
      </c>
      <c r="AH1872" s="57" t="str">
        <f>IF(N(W1872)&gt;0,COUNTIF(W$6:W1872,"&gt;0"),"")</f>
        <v/>
      </c>
      <c r="AI1872" s="57" t="str">
        <f>IF(Z1872=1,COUNTIF(Z$6:Z1872,1),"")</f>
        <v/>
      </c>
    </row>
    <row r="1873">
      <c r="A1873" s="54" t="n"/>
      <c r="B1873" s="55" t="str">
        <f>IF(AA1873="","",A1873&amp;"-"&amp;RIGHT("000"&amp;AA1873,4))</f>
        <v/>
      </c>
      <c r="C1873" s="56" t="n"/>
      <c r="D1873" s="54" t="n"/>
      <c r="E1873" s="57" t="str">
        <f>IF(D1873="","",IF(A1873="BL",IFERROR(INDEX(cl_name,MATCH(D1873,cl_code,0))&amp;"","Client inconnu"),IF(A1873="BR",IFERROR(INDEX(fo_name,MATCH(D1873,fo_code,0))&amp;"","Fournisseur inconnu"),IF(A1873="BS",IF(ISNA(MATCH(D1873,p_services,0)),"Service inconnu",D1873&amp;""),""))))</f>
        <v/>
      </c>
      <c r="F1873" s="58" t="n"/>
      <c r="G1873" s="58" t="n"/>
      <c r="H1873" s="59" t="n"/>
      <c r="I1873" s="57" t="str">
        <f>IF(H1873="","",IFERROR(INDEX(art_des,MATCH(H1873,art_ref,0))&amp;"","Article inconnu"))</f>
        <v/>
      </c>
      <c r="J1873" s="60" t="str">
        <f>IF(H1873="","",IFERROR(INDEX(art_unit,MATCH(H1873,art_ref,0))&amp;"",""))</f>
        <v/>
      </c>
      <c r="K1873" s="59" t="n"/>
      <c r="L1873" s="59" t="n"/>
      <c r="M1873" s="61" t="str">
        <f>IF(OR(B1873="",NOT(ISNUMBER(K1873)),NOT(ISNUMBER(L1873))),"",IF(OR(K1873&lt;=0,L1873&lt;=0),"",ROUND(L1873-K1873,6)))</f>
        <v/>
      </c>
      <c r="N1873" s="58" t="n"/>
      <c r="O1873" s="62" t="n"/>
      <c r="P1873" s="63" t="str">
        <f>IF(OR(B1873="",NOT(ISNUMBER(L1873))),"",IF(L1873&lt;=0,"",IFERROR(ROUND(L1873*N(INDEX(art_w,MATCH(H1873,art_ref,0))),3),"")))</f>
        <v/>
      </c>
      <c r="Q1873" s="59" t="n"/>
      <c r="R1873" s="54" t="n"/>
      <c r="S1873" s="59" t="n"/>
      <c r="T1873" s="59" t="n"/>
      <c r="U1873" s="64" t="str">
        <f>IF(OR(B1873="",H1873=""),"",IFERROR(IF(A1873="BL",IF(N(INDEX(art_price,MATCH(H1873,art_ref,0)))=0,"",N(INDEX(art_price,MATCH(H1873,art_ref,0)))),IF(N(INDEX(art_cost,MATCH(H1873,art_ref,0)))=0,"",N(INDEX(art_cost,MATCH(H1873,art_ref,0))))),""))</f>
        <v/>
      </c>
      <c r="V1873" s="64" t="str">
        <f>IF(OR(U1873="",NOT(ISNUMBER(L1873))),"",IF(L1873&lt;=0,"",ROUND(L1873*U1873,2)))</f>
        <v/>
      </c>
      <c r="W1873" s="60" t="str">
        <f>IF(AND(B1873&lt;&gt;"",A1873&lt;&gt;"BS",F1873&lt;&gt;"",H1873&lt;&gt;"",ISNUMBER(K1873),ISNUMBER(L1873)),IF(AND(K1873&gt;0,L1873&gt;0,K1873-L1873&gt;0,COUNTIFS(A1874:A$2005,A1873,F1874:F$2005,F1873,H1874:H$2005,H1873,AA1874:AA$2005,"&gt;0")=0),ROUND(K1873-L1873,6),""),"")</f>
        <v/>
      </c>
      <c r="X1873" s="60" t="str">
        <f>IF(AND(A1873="",C1873="",D1873="",H1873="",L1873=""),"",IF(A1873="","Type manquant",IF(AND(A1873&lt;&gt;"BL",A1873&lt;&gt;"BR",A1873&lt;&gt;"BS"),"Type inconnu (BL, BR ou BS)",IF(AG1873=0,"Date manquante ou invalide",IF(D1873="",IF(A1873="BL","Client manquant",IF(A1873="BR","Fournisseur manquant","Service manquant")),IF(IF(A1873="BL",ISNA(MATCH(D1873,cl_code,0)),IF(A1873="BR",ISNA(MATCH(D1873,fo_code,0)),ISNA(MATCH(D1873,p_services,0)))),IF(A1873="BL","Client inconnu",IF(A1873="BR","Fournisseur inconnu","Service inconnu")),IF(H1873="","Article manquant",IF(ISNA(MATCH(H1873,art_ref,0)),"Article inconnu",IF(OR(NOT(ISNUMBER(L1873)),N(L1873)&lt;=0),"Quantité invalide",IF(AND(K1873&lt;&gt;"",OR(NOT(ISNUMBER(K1873)),N(K1873)&lt;=0)),"Qté commandée invalide",IF(AG1873&lt;SUMPRODUCT(MAX((A$6:A1872=A1873)*AG$6:AG1872)),"Date antérieure au bon précédent",IF(AND(A1873&lt;&gt;"BR",ISNUMBER(M1873),N(M1873)&gt;0),IF(A1873="BL","Livré plus que commandé","Sorti plus que demandé"),"OK"))))))))))))</f>
        <v/>
      </c>
      <c r="Y1873" s="57" t="str">
        <f>IF(AND(OR(A1873="BL",A1873="BR",A1873="BS"),AG1873&gt;0,D1873&lt;&gt;""),A1873&amp;"|"&amp;AG1873&amp;"|"&amp;D1873&amp;"|"&amp;F1873,"")</f>
        <v/>
      </c>
      <c r="Z1873" s="57" t="str">
        <f>IF(Y1873="","",IF(COUNTIF(Y$6:Y1872,Y1873)=0,1,0))</f>
        <v/>
      </c>
      <c r="AA1873" s="57" t="str">
        <f>IF(Y1873="","",IF(Z1873=1,COUNTIFS(A$6:A1873,A1873,Z$6:Z1873,1),INDEX(AA$6:AA1872,MATCH(Y1873,Y$6:Y1872,0))))</f>
        <v/>
      </c>
      <c r="AB1873" s="57" t="str">
        <f>IF(B1873="","",COUNTIF(B$6:B1873,B1873))</f>
        <v/>
      </c>
      <c r="AC1873" s="57" t="str">
        <f>IF(B1873="","",B1873&amp;"#"&amp;AB1873)</f>
        <v/>
      </c>
      <c r="AD1873" s="57" t="str">
        <f>IF(Z1873=1,A1873&amp;AA1873,"")</f>
        <v/>
      </c>
      <c r="AE1873" s="57" t="str">
        <f>IF(B1873="","",YEAR(C1873))</f>
        <v/>
      </c>
      <c r="AF1873" s="57" t="str">
        <f>IF(B1873="","",MONTH(C1873))</f>
        <v/>
      </c>
      <c r="AG1873" s="57">
        <f>IF(ISNUMBER(C1873),C1873,0)</f>
        <v>0.0</v>
      </c>
      <c r="AH1873" s="57" t="str">
        <f>IF(N(W1873)&gt;0,COUNTIF(W$6:W1873,"&gt;0"),"")</f>
        <v/>
      </c>
      <c r="AI1873" s="57" t="str">
        <f>IF(Z1873=1,COUNTIF(Z$6:Z1873,1),"")</f>
        <v/>
      </c>
    </row>
    <row r="1874">
      <c r="A1874" s="54" t="n"/>
      <c r="B1874" s="55" t="str">
        <f>IF(AA1874="","",A1874&amp;"-"&amp;RIGHT("000"&amp;AA1874,4))</f>
        <v/>
      </c>
      <c r="C1874" s="56" t="n"/>
      <c r="D1874" s="54" t="n"/>
      <c r="E1874" s="57" t="str">
        <f>IF(D1874="","",IF(A1874="BL",IFERROR(INDEX(cl_name,MATCH(D1874,cl_code,0))&amp;"","Client inconnu"),IF(A1874="BR",IFERROR(INDEX(fo_name,MATCH(D1874,fo_code,0))&amp;"","Fournisseur inconnu"),IF(A1874="BS",IF(ISNA(MATCH(D1874,p_services,0)),"Service inconnu",D1874&amp;""),""))))</f>
        <v/>
      </c>
      <c r="F1874" s="58" t="n"/>
      <c r="G1874" s="58" t="n"/>
      <c r="H1874" s="59" t="n"/>
      <c r="I1874" s="57" t="str">
        <f>IF(H1874="","",IFERROR(INDEX(art_des,MATCH(H1874,art_ref,0))&amp;"","Article inconnu"))</f>
        <v/>
      </c>
      <c r="J1874" s="60" t="str">
        <f>IF(H1874="","",IFERROR(INDEX(art_unit,MATCH(H1874,art_ref,0))&amp;"",""))</f>
        <v/>
      </c>
      <c r="K1874" s="59" t="n"/>
      <c r="L1874" s="59" t="n"/>
      <c r="M1874" s="61" t="str">
        <f>IF(OR(B1874="",NOT(ISNUMBER(K1874)),NOT(ISNUMBER(L1874))),"",IF(OR(K1874&lt;=0,L1874&lt;=0),"",ROUND(L1874-K1874,6)))</f>
        <v/>
      </c>
      <c r="N1874" s="58" t="n"/>
      <c r="O1874" s="62" t="n"/>
      <c r="P1874" s="63" t="str">
        <f>IF(OR(B1874="",NOT(ISNUMBER(L1874))),"",IF(L1874&lt;=0,"",IFERROR(ROUND(L1874*N(INDEX(art_w,MATCH(H1874,art_ref,0))),3),"")))</f>
        <v/>
      </c>
      <c r="Q1874" s="59" t="n"/>
      <c r="R1874" s="54" t="n"/>
      <c r="S1874" s="59" t="n"/>
      <c r="T1874" s="59" t="n"/>
      <c r="U1874" s="64" t="str">
        <f>IF(OR(B1874="",H1874=""),"",IFERROR(IF(A1874="BL",IF(N(INDEX(art_price,MATCH(H1874,art_ref,0)))=0,"",N(INDEX(art_price,MATCH(H1874,art_ref,0)))),IF(N(INDEX(art_cost,MATCH(H1874,art_ref,0)))=0,"",N(INDEX(art_cost,MATCH(H1874,art_ref,0))))),""))</f>
        <v/>
      </c>
      <c r="V1874" s="64" t="str">
        <f>IF(OR(U1874="",NOT(ISNUMBER(L1874))),"",IF(L1874&lt;=0,"",ROUND(L1874*U1874,2)))</f>
        <v/>
      </c>
      <c r="W1874" s="60" t="str">
        <f>IF(AND(B1874&lt;&gt;"",A1874&lt;&gt;"BS",F1874&lt;&gt;"",H1874&lt;&gt;"",ISNUMBER(K1874),ISNUMBER(L1874)),IF(AND(K1874&gt;0,L1874&gt;0,K1874-L1874&gt;0,COUNTIFS(A1875:A$2005,A1874,F1875:F$2005,F1874,H1875:H$2005,H1874,AA1875:AA$2005,"&gt;0")=0),ROUND(K1874-L1874,6),""),"")</f>
        <v/>
      </c>
      <c r="X1874" s="60" t="str">
        <f>IF(AND(A1874="",C1874="",D1874="",H1874="",L1874=""),"",IF(A1874="","Type manquant",IF(AND(A1874&lt;&gt;"BL",A1874&lt;&gt;"BR",A1874&lt;&gt;"BS"),"Type inconnu (BL, BR ou BS)",IF(AG1874=0,"Date manquante ou invalide",IF(D1874="",IF(A1874="BL","Client manquant",IF(A1874="BR","Fournisseur manquant","Service manquant")),IF(IF(A1874="BL",ISNA(MATCH(D1874,cl_code,0)),IF(A1874="BR",ISNA(MATCH(D1874,fo_code,0)),ISNA(MATCH(D1874,p_services,0)))),IF(A1874="BL","Client inconnu",IF(A1874="BR","Fournisseur inconnu","Service inconnu")),IF(H1874="","Article manquant",IF(ISNA(MATCH(H1874,art_ref,0)),"Article inconnu",IF(OR(NOT(ISNUMBER(L1874)),N(L1874)&lt;=0),"Quantité invalide",IF(AND(K1874&lt;&gt;"",OR(NOT(ISNUMBER(K1874)),N(K1874)&lt;=0)),"Qté commandée invalide",IF(AG1874&lt;SUMPRODUCT(MAX((A$6:A1873=A1874)*AG$6:AG1873)),"Date antérieure au bon précédent",IF(AND(A1874&lt;&gt;"BR",ISNUMBER(M1874),N(M1874)&gt;0),IF(A1874="BL","Livré plus que commandé","Sorti plus que demandé"),"OK"))))))))))))</f>
        <v/>
      </c>
      <c r="Y1874" s="57" t="str">
        <f>IF(AND(OR(A1874="BL",A1874="BR",A1874="BS"),AG1874&gt;0,D1874&lt;&gt;""),A1874&amp;"|"&amp;AG1874&amp;"|"&amp;D1874&amp;"|"&amp;F1874,"")</f>
        <v/>
      </c>
      <c r="Z1874" s="57" t="str">
        <f>IF(Y1874="","",IF(COUNTIF(Y$6:Y1873,Y1874)=0,1,0))</f>
        <v/>
      </c>
      <c r="AA1874" s="57" t="str">
        <f>IF(Y1874="","",IF(Z1874=1,COUNTIFS(A$6:A1874,A1874,Z$6:Z1874,1),INDEX(AA$6:AA1873,MATCH(Y1874,Y$6:Y1873,0))))</f>
        <v/>
      </c>
      <c r="AB1874" s="57" t="str">
        <f>IF(B1874="","",COUNTIF(B$6:B1874,B1874))</f>
        <v/>
      </c>
      <c r="AC1874" s="57" t="str">
        <f>IF(B1874="","",B1874&amp;"#"&amp;AB1874)</f>
        <v/>
      </c>
      <c r="AD1874" s="57" t="str">
        <f>IF(Z1874=1,A1874&amp;AA1874,"")</f>
        <v/>
      </c>
      <c r="AE1874" s="57" t="str">
        <f>IF(B1874="","",YEAR(C1874))</f>
        <v/>
      </c>
      <c r="AF1874" s="57" t="str">
        <f>IF(B1874="","",MONTH(C1874))</f>
        <v/>
      </c>
      <c r="AG1874" s="57">
        <f>IF(ISNUMBER(C1874),C1874,0)</f>
        <v>0.0</v>
      </c>
      <c r="AH1874" s="57" t="str">
        <f>IF(N(W1874)&gt;0,COUNTIF(W$6:W1874,"&gt;0"),"")</f>
        <v/>
      </c>
      <c r="AI1874" s="57" t="str">
        <f>IF(Z1874=1,COUNTIF(Z$6:Z1874,1),"")</f>
        <v/>
      </c>
    </row>
    <row r="1875">
      <c r="A1875" s="54" t="n"/>
      <c r="B1875" s="55" t="str">
        <f>IF(AA1875="","",A1875&amp;"-"&amp;RIGHT("000"&amp;AA1875,4))</f>
        <v/>
      </c>
      <c r="C1875" s="56" t="n"/>
      <c r="D1875" s="54" t="n"/>
      <c r="E1875" s="57" t="str">
        <f>IF(D1875="","",IF(A1875="BL",IFERROR(INDEX(cl_name,MATCH(D1875,cl_code,0))&amp;"","Client inconnu"),IF(A1875="BR",IFERROR(INDEX(fo_name,MATCH(D1875,fo_code,0))&amp;"","Fournisseur inconnu"),IF(A1875="BS",IF(ISNA(MATCH(D1875,p_services,0)),"Service inconnu",D1875&amp;""),""))))</f>
        <v/>
      </c>
      <c r="F1875" s="58" t="n"/>
      <c r="G1875" s="58" t="n"/>
      <c r="H1875" s="59" t="n"/>
      <c r="I1875" s="57" t="str">
        <f>IF(H1875="","",IFERROR(INDEX(art_des,MATCH(H1875,art_ref,0))&amp;"","Article inconnu"))</f>
        <v/>
      </c>
      <c r="J1875" s="60" t="str">
        <f>IF(H1875="","",IFERROR(INDEX(art_unit,MATCH(H1875,art_ref,0))&amp;"",""))</f>
        <v/>
      </c>
      <c r="K1875" s="59" t="n"/>
      <c r="L1875" s="59" t="n"/>
      <c r="M1875" s="61" t="str">
        <f>IF(OR(B1875="",NOT(ISNUMBER(K1875)),NOT(ISNUMBER(L1875))),"",IF(OR(K1875&lt;=0,L1875&lt;=0),"",ROUND(L1875-K1875,6)))</f>
        <v/>
      </c>
      <c r="N1875" s="58" t="n"/>
      <c r="O1875" s="62" t="n"/>
      <c r="P1875" s="63" t="str">
        <f>IF(OR(B1875="",NOT(ISNUMBER(L1875))),"",IF(L1875&lt;=0,"",IFERROR(ROUND(L1875*N(INDEX(art_w,MATCH(H1875,art_ref,0))),3),"")))</f>
        <v/>
      </c>
      <c r="Q1875" s="59" t="n"/>
      <c r="R1875" s="54" t="n"/>
      <c r="S1875" s="59" t="n"/>
      <c r="T1875" s="59" t="n"/>
      <c r="U1875" s="64" t="str">
        <f>IF(OR(B1875="",H1875=""),"",IFERROR(IF(A1875="BL",IF(N(INDEX(art_price,MATCH(H1875,art_ref,0)))=0,"",N(INDEX(art_price,MATCH(H1875,art_ref,0)))),IF(N(INDEX(art_cost,MATCH(H1875,art_ref,0)))=0,"",N(INDEX(art_cost,MATCH(H1875,art_ref,0))))),""))</f>
        <v/>
      </c>
      <c r="V1875" s="64" t="str">
        <f>IF(OR(U1875="",NOT(ISNUMBER(L1875))),"",IF(L1875&lt;=0,"",ROUND(L1875*U1875,2)))</f>
        <v/>
      </c>
      <c r="W1875" s="60" t="str">
        <f>IF(AND(B1875&lt;&gt;"",A1875&lt;&gt;"BS",F1875&lt;&gt;"",H1875&lt;&gt;"",ISNUMBER(K1875),ISNUMBER(L1875)),IF(AND(K1875&gt;0,L1875&gt;0,K1875-L1875&gt;0,COUNTIFS(A1876:A$2005,A1875,F1876:F$2005,F1875,H1876:H$2005,H1875,AA1876:AA$2005,"&gt;0")=0),ROUND(K1875-L1875,6),""),"")</f>
        <v/>
      </c>
      <c r="X1875" s="60" t="str">
        <f>IF(AND(A1875="",C1875="",D1875="",H1875="",L1875=""),"",IF(A1875="","Type manquant",IF(AND(A1875&lt;&gt;"BL",A1875&lt;&gt;"BR",A1875&lt;&gt;"BS"),"Type inconnu (BL, BR ou BS)",IF(AG1875=0,"Date manquante ou invalide",IF(D1875="",IF(A1875="BL","Client manquant",IF(A1875="BR","Fournisseur manquant","Service manquant")),IF(IF(A1875="BL",ISNA(MATCH(D1875,cl_code,0)),IF(A1875="BR",ISNA(MATCH(D1875,fo_code,0)),ISNA(MATCH(D1875,p_services,0)))),IF(A1875="BL","Client inconnu",IF(A1875="BR","Fournisseur inconnu","Service inconnu")),IF(H1875="","Article manquant",IF(ISNA(MATCH(H1875,art_ref,0)),"Article inconnu",IF(OR(NOT(ISNUMBER(L1875)),N(L1875)&lt;=0),"Quantité invalide",IF(AND(K1875&lt;&gt;"",OR(NOT(ISNUMBER(K1875)),N(K1875)&lt;=0)),"Qté commandée invalide",IF(AG1875&lt;SUMPRODUCT(MAX((A$6:A1874=A1875)*AG$6:AG1874)),"Date antérieure au bon précédent",IF(AND(A1875&lt;&gt;"BR",ISNUMBER(M1875),N(M1875)&gt;0),IF(A1875="BL","Livré plus que commandé","Sorti plus que demandé"),"OK"))))))))))))</f>
        <v/>
      </c>
      <c r="Y1875" s="57" t="str">
        <f>IF(AND(OR(A1875="BL",A1875="BR",A1875="BS"),AG1875&gt;0,D1875&lt;&gt;""),A1875&amp;"|"&amp;AG1875&amp;"|"&amp;D1875&amp;"|"&amp;F1875,"")</f>
        <v/>
      </c>
      <c r="Z1875" s="57" t="str">
        <f>IF(Y1875="","",IF(COUNTIF(Y$6:Y1874,Y1875)=0,1,0))</f>
        <v/>
      </c>
      <c r="AA1875" s="57" t="str">
        <f>IF(Y1875="","",IF(Z1875=1,COUNTIFS(A$6:A1875,A1875,Z$6:Z1875,1),INDEX(AA$6:AA1874,MATCH(Y1875,Y$6:Y1874,0))))</f>
        <v/>
      </c>
      <c r="AB1875" s="57" t="str">
        <f>IF(B1875="","",COUNTIF(B$6:B1875,B1875))</f>
        <v/>
      </c>
      <c r="AC1875" s="57" t="str">
        <f>IF(B1875="","",B1875&amp;"#"&amp;AB1875)</f>
        <v/>
      </c>
      <c r="AD1875" s="57" t="str">
        <f>IF(Z1875=1,A1875&amp;AA1875,"")</f>
        <v/>
      </c>
      <c r="AE1875" s="57" t="str">
        <f>IF(B1875="","",YEAR(C1875))</f>
        <v/>
      </c>
      <c r="AF1875" s="57" t="str">
        <f>IF(B1875="","",MONTH(C1875))</f>
        <v/>
      </c>
      <c r="AG1875" s="57">
        <f>IF(ISNUMBER(C1875),C1875,0)</f>
        <v>0.0</v>
      </c>
      <c r="AH1875" s="57" t="str">
        <f>IF(N(W1875)&gt;0,COUNTIF(W$6:W1875,"&gt;0"),"")</f>
        <v/>
      </c>
      <c r="AI1875" s="57" t="str">
        <f>IF(Z1875=1,COUNTIF(Z$6:Z1875,1),"")</f>
        <v/>
      </c>
    </row>
    <row r="1876">
      <c r="A1876" s="54" t="n"/>
      <c r="B1876" s="55" t="str">
        <f>IF(AA1876="","",A1876&amp;"-"&amp;RIGHT("000"&amp;AA1876,4))</f>
        <v/>
      </c>
      <c r="C1876" s="56" t="n"/>
      <c r="D1876" s="54" t="n"/>
      <c r="E1876" s="57" t="str">
        <f>IF(D1876="","",IF(A1876="BL",IFERROR(INDEX(cl_name,MATCH(D1876,cl_code,0))&amp;"","Client inconnu"),IF(A1876="BR",IFERROR(INDEX(fo_name,MATCH(D1876,fo_code,0))&amp;"","Fournisseur inconnu"),IF(A1876="BS",IF(ISNA(MATCH(D1876,p_services,0)),"Service inconnu",D1876&amp;""),""))))</f>
        <v/>
      </c>
      <c r="F1876" s="58" t="n"/>
      <c r="G1876" s="58" t="n"/>
      <c r="H1876" s="59" t="n"/>
      <c r="I1876" s="57" t="str">
        <f>IF(H1876="","",IFERROR(INDEX(art_des,MATCH(H1876,art_ref,0))&amp;"","Article inconnu"))</f>
        <v/>
      </c>
      <c r="J1876" s="60" t="str">
        <f>IF(H1876="","",IFERROR(INDEX(art_unit,MATCH(H1876,art_ref,0))&amp;"",""))</f>
        <v/>
      </c>
      <c r="K1876" s="59" t="n"/>
      <c r="L1876" s="59" t="n"/>
      <c r="M1876" s="61" t="str">
        <f>IF(OR(B1876="",NOT(ISNUMBER(K1876)),NOT(ISNUMBER(L1876))),"",IF(OR(K1876&lt;=0,L1876&lt;=0),"",ROUND(L1876-K1876,6)))</f>
        <v/>
      </c>
      <c r="N1876" s="58" t="n"/>
      <c r="O1876" s="62" t="n"/>
      <c r="P1876" s="63" t="str">
        <f>IF(OR(B1876="",NOT(ISNUMBER(L1876))),"",IF(L1876&lt;=0,"",IFERROR(ROUND(L1876*N(INDEX(art_w,MATCH(H1876,art_ref,0))),3),"")))</f>
        <v/>
      </c>
      <c r="Q1876" s="59" t="n"/>
      <c r="R1876" s="54" t="n"/>
      <c r="S1876" s="59" t="n"/>
      <c r="T1876" s="59" t="n"/>
      <c r="U1876" s="64" t="str">
        <f>IF(OR(B1876="",H1876=""),"",IFERROR(IF(A1876="BL",IF(N(INDEX(art_price,MATCH(H1876,art_ref,0)))=0,"",N(INDEX(art_price,MATCH(H1876,art_ref,0)))),IF(N(INDEX(art_cost,MATCH(H1876,art_ref,0)))=0,"",N(INDEX(art_cost,MATCH(H1876,art_ref,0))))),""))</f>
        <v/>
      </c>
      <c r="V1876" s="64" t="str">
        <f>IF(OR(U1876="",NOT(ISNUMBER(L1876))),"",IF(L1876&lt;=0,"",ROUND(L1876*U1876,2)))</f>
        <v/>
      </c>
      <c r="W1876" s="60" t="str">
        <f>IF(AND(B1876&lt;&gt;"",A1876&lt;&gt;"BS",F1876&lt;&gt;"",H1876&lt;&gt;"",ISNUMBER(K1876),ISNUMBER(L1876)),IF(AND(K1876&gt;0,L1876&gt;0,K1876-L1876&gt;0,COUNTIFS(A1877:A$2005,A1876,F1877:F$2005,F1876,H1877:H$2005,H1876,AA1877:AA$2005,"&gt;0")=0),ROUND(K1876-L1876,6),""),"")</f>
        <v/>
      </c>
      <c r="X1876" s="60" t="str">
        <f>IF(AND(A1876="",C1876="",D1876="",H1876="",L1876=""),"",IF(A1876="","Type manquant",IF(AND(A1876&lt;&gt;"BL",A1876&lt;&gt;"BR",A1876&lt;&gt;"BS"),"Type inconnu (BL, BR ou BS)",IF(AG1876=0,"Date manquante ou invalide",IF(D1876="",IF(A1876="BL","Client manquant",IF(A1876="BR","Fournisseur manquant","Service manquant")),IF(IF(A1876="BL",ISNA(MATCH(D1876,cl_code,0)),IF(A1876="BR",ISNA(MATCH(D1876,fo_code,0)),ISNA(MATCH(D1876,p_services,0)))),IF(A1876="BL","Client inconnu",IF(A1876="BR","Fournisseur inconnu","Service inconnu")),IF(H1876="","Article manquant",IF(ISNA(MATCH(H1876,art_ref,0)),"Article inconnu",IF(OR(NOT(ISNUMBER(L1876)),N(L1876)&lt;=0),"Quantité invalide",IF(AND(K1876&lt;&gt;"",OR(NOT(ISNUMBER(K1876)),N(K1876)&lt;=0)),"Qté commandée invalide",IF(AG1876&lt;SUMPRODUCT(MAX((A$6:A1875=A1876)*AG$6:AG1875)),"Date antérieure au bon précédent",IF(AND(A1876&lt;&gt;"BR",ISNUMBER(M1876),N(M1876)&gt;0),IF(A1876="BL","Livré plus que commandé","Sorti plus que demandé"),"OK"))))))))))))</f>
        <v/>
      </c>
      <c r="Y1876" s="57" t="str">
        <f>IF(AND(OR(A1876="BL",A1876="BR",A1876="BS"),AG1876&gt;0,D1876&lt;&gt;""),A1876&amp;"|"&amp;AG1876&amp;"|"&amp;D1876&amp;"|"&amp;F1876,"")</f>
        <v/>
      </c>
      <c r="Z1876" s="57" t="str">
        <f>IF(Y1876="","",IF(COUNTIF(Y$6:Y1875,Y1876)=0,1,0))</f>
        <v/>
      </c>
      <c r="AA1876" s="57" t="str">
        <f>IF(Y1876="","",IF(Z1876=1,COUNTIFS(A$6:A1876,A1876,Z$6:Z1876,1),INDEX(AA$6:AA1875,MATCH(Y1876,Y$6:Y1875,0))))</f>
        <v/>
      </c>
      <c r="AB1876" s="57" t="str">
        <f>IF(B1876="","",COUNTIF(B$6:B1876,B1876))</f>
        <v/>
      </c>
      <c r="AC1876" s="57" t="str">
        <f>IF(B1876="","",B1876&amp;"#"&amp;AB1876)</f>
        <v/>
      </c>
      <c r="AD1876" s="57" t="str">
        <f>IF(Z1876=1,A1876&amp;AA1876,"")</f>
        <v/>
      </c>
      <c r="AE1876" s="57" t="str">
        <f>IF(B1876="","",YEAR(C1876))</f>
        <v/>
      </c>
      <c r="AF1876" s="57" t="str">
        <f>IF(B1876="","",MONTH(C1876))</f>
        <v/>
      </c>
      <c r="AG1876" s="57">
        <f>IF(ISNUMBER(C1876),C1876,0)</f>
        <v>0.0</v>
      </c>
      <c r="AH1876" s="57" t="str">
        <f>IF(N(W1876)&gt;0,COUNTIF(W$6:W1876,"&gt;0"),"")</f>
        <v/>
      </c>
      <c r="AI1876" s="57" t="str">
        <f>IF(Z1876=1,COUNTIF(Z$6:Z1876,1),"")</f>
        <v/>
      </c>
    </row>
    <row r="1877">
      <c r="A1877" s="54" t="n"/>
      <c r="B1877" s="55" t="str">
        <f>IF(AA1877="","",A1877&amp;"-"&amp;RIGHT("000"&amp;AA1877,4))</f>
        <v/>
      </c>
      <c r="C1877" s="56" t="n"/>
      <c r="D1877" s="54" t="n"/>
      <c r="E1877" s="57" t="str">
        <f>IF(D1877="","",IF(A1877="BL",IFERROR(INDEX(cl_name,MATCH(D1877,cl_code,0))&amp;"","Client inconnu"),IF(A1877="BR",IFERROR(INDEX(fo_name,MATCH(D1877,fo_code,0))&amp;"","Fournisseur inconnu"),IF(A1877="BS",IF(ISNA(MATCH(D1877,p_services,0)),"Service inconnu",D1877&amp;""),""))))</f>
        <v/>
      </c>
      <c r="F1877" s="58" t="n"/>
      <c r="G1877" s="58" t="n"/>
      <c r="H1877" s="59" t="n"/>
      <c r="I1877" s="57" t="str">
        <f>IF(H1877="","",IFERROR(INDEX(art_des,MATCH(H1877,art_ref,0))&amp;"","Article inconnu"))</f>
        <v/>
      </c>
      <c r="J1877" s="60" t="str">
        <f>IF(H1877="","",IFERROR(INDEX(art_unit,MATCH(H1877,art_ref,0))&amp;"",""))</f>
        <v/>
      </c>
      <c r="K1877" s="59" t="n"/>
      <c r="L1877" s="59" t="n"/>
      <c r="M1877" s="61" t="str">
        <f>IF(OR(B1877="",NOT(ISNUMBER(K1877)),NOT(ISNUMBER(L1877))),"",IF(OR(K1877&lt;=0,L1877&lt;=0),"",ROUND(L1877-K1877,6)))</f>
        <v/>
      </c>
      <c r="N1877" s="58" t="n"/>
      <c r="O1877" s="62" t="n"/>
      <c r="P1877" s="63" t="str">
        <f>IF(OR(B1877="",NOT(ISNUMBER(L1877))),"",IF(L1877&lt;=0,"",IFERROR(ROUND(L1877*N(INDEX(art_w,MATCH(H1877,art_ref,0))),3),"")))</f>
        <v/>
      </c>
      <c r="Q1877" s="59" t="n"/>
      <c r="R1877" s="54" t="n"/>
      <c r="S1877" s="59" t="n"/>
      <c r="T1877" s="59" t="n"/>
      <c r="U1877" s="64" t="str">
        <f>IF(OR(B1877="",H1877=""),"",IFERROR(IF(A1877="BL",IF(N(INDEX(art_price,MATCH(H1877,art_ref,0)))=0,"",N(INDEX(art_price,MATCH(H1877,art_ref,0)))),IF(N(INDEX(art_cost,MATCH(H1877,art_ref,0)))=0,"",N(INDEX(art_cost,MATCH(H1877,art_ref,0))))),""))</f>
        <v/>
      </c>
      <c r="V1877" s="64" t="str">
        <f>IF(OR(U1877="",NOT(ISNUMBER(L1877))),"",IF(L1877&lt;=0,"",ROUND(L1877*U1877,2)))</f>
        <v/>
      </c>
      <c r="W1877" s="60" t="str">
        <f>IF(AND(B1877&lt;&gt;"",A1877&lt;&gt;"BS",F1877&lt;&gt;"",H1877&lt;&gt;"",ISNUMBER(K1877),ISNUMBER(L1877)),IF(AND(K1877&gt;0,L1877&gt;0,K1877-L1877&gt;0,COUNTIFS(A1878:A$2005,A1877,F1878:F$2005,F1877,H1878:H$2005,H1877,AA1878:AA$2005,"&gt;0")=0),ROUND(K1877-L1877,6),""),"")</f>
        <v/>
      </c>
      <c r="X1877" s="60" t="str">
        <f>IF(AND(A1877="",C1877="",D1877="",H1877="",L1877=""),"",IF(A1877="","Type manquant",IF(AND(A1877&lt;&gt;"BL",A1877&lt;&gt;"BR",A1877&lt;&gt;"BS"),"Type inconnu (BL, BR ou BS)",IF(AG1877=0,"Date manquante ou invalide",IF(D1877="",IF(A1877="BL","Client manquant",IF(A1877="BR","Fournisseur manquant","Service manquant")),IF(IF(A1877="BL",ISNA(MATCH(D1877,cl_code,0)),IF(A1877="BR",ISNA(MATCH(D1877,fo_code,0)),ISNA(MATCH(D1877,p_services,0)))),IF(A1877="BL","Client inconnu",IF(A1877="BR","Fournisseur inconnu","Service inconnu")),IF(H1877="","Article manquant",IF(ISNA(MATCH(H1877,art_ref,0)),"Article inconnu",IF(OR(NOT(ISNUMBER(L1877)),N(L1877)&lt;=0),"Quantité invalide",IF(AND(K1877&lt;&gt;"",OR(NOT(ISNUMBER(K1877)),N(K1877)&lt;=0)),"Qté commandée invalide",IF(AG1877&lt;SUMPRODUCT(MAX((A$6:A1876=A1877)*AG$6:AG1876)),"Date antérieure au bon précédent",IF(AND(A1877&lt;&gt;"BR",ISNUMBER(M1877),N(M1877)&gt;0),IF(A1877="BL","Livré plus que commandé","Sorti plus que demandé"),"OK"))))))))))))</f>
        <v/>
      </c>
      <c r="Y1877" s="57" t="str">
        <f>IF(AND(OR(A1877="BL",A1877="BR",A1877="BS"),AG1877&gt;0,D1877&lt;&gt;""),A1877&amp;"|"&amp;AG1877&amp;"|"&amp;D1877&amp;"|"&amp;F1877,"")</f>
        <v/>
      </c>
      <c r="Z1877" s="57" t="str">
        <f>IF(Y1877="","",IF(COUNTIF(Y$6:Y1876,Y1877)=0,1,0))</f>
        <v/>
      </c>
      <c r="AA1877" s="57" t="str">
        <f>IF(Y1877="","",IF(Z1877=1,COUNTIFS(A$6:A1877,A1877,Z$6:Z1877,1),INDEX(AA$6:AA1876,MATCH(Y1877,Y$6:Y1876,0))))</f>
        <v/>
      </c>
      <c r="AB1877" s="57" t="str">
        <f>IF(B1877="","",COUNTIF(B$6:B1877,B1877))</f>
        <v/>
      </c>
      <c r="AC1877" s="57" t="str">
        <f>IF(B1877="","",B1877&amp;"#"&amp;AB1877)</f>
        <v/>
      </c>
      <c r="AD1877" s="57" t="str">
        <f>IF(Z1877=1,A1877&amp;AA1877,"")</f>
        <v/>
      </c>
      <c r="AE1877" s="57" t="str">
        <f>IF(B1877="","",YEAR(C1877))</f>
        <v/>
      </c>
      <c r="AF1877" s="57" t="str">
        <f>IF(B1877="","",MONTH(C1877))</f>
        <v/>
      </c>
      <c r="AG1877" s="57">
        <f>IF(ISNUMBER(C1877),C1877,0)</f>
        <v>0.0</v>
      </c>
      <c r="AH1877" s="57" t="str">
        <f>IF(N(W1877)&gt;0,COUNTIF(W$6:W1877,"&gt;0"),"")</f>
        <v/>
      </c>
      <c r="AI1877" s="57" t="str">
        <f>IF(Z1877=1,COUNTIF(Z$6:Z1877,1),"")</f>
        <v/>
      </c>
    </row>
    <row r="1878">
      <c r="A1878" s="54" t="n"/>
      <c r="B1878" s="55" t="str">
        <f>IF(AA1878="","",A1878&amp;"-"&amp;RIGHT("000"&amp;AA1878,4))</f>
        <v/>
      </c>
      <c r="C1878" s="56" t="n"/>
      <c r="D1878" s="54" t="n"/>
      <c r="E1878" s="57" t="str">
        <f>IF(D1878="","",IF(A1878="BL",IFERROR(INDEX(cl_name,MATCH(D1878,cl_code,0))&amp;"","Client inconnu"),IF(A1878="BR",IFERROR(INDEX(fo_name,MATCH(D1878,fo_code,0))&amp;"","Fournisseur inconnu"),IF(A1878="BS",IF(ISNA(MATCH(D1878,p_services,0)),"Service inconnu",D1878&amp;""),""))))</f>
        <v/>
      </c>
      <c r="F1878" s="58" t="n"/>
      <c r="G1878" s="58" t="n"/>
      <c r="H1878" s="59" t="n"/>
      <c r="I1878" s="57" t="str">
        <f>IF(H1878="","",IFERROR(INDEX(art_des,MATCH(H1878,art_ref,0))&amp;"","Article inconnu"))</f>
        <v/>
      </c>
      <c r="J1878" s="60" t="str">
        <f>IF(H1878="","",IFERROR(INDEX(art_unit,MATCH(H1878,art_ref,0))&amp;"",""))</f>
        <v/>
      </c>
      <c r="K1878" s="59" t="n"/>
      <c r="L1878" s="59" t="n"/>
      <c r="M1878" s="61" t="str">
        <f>IF(OR(B1878="",NOT(ISNUMBER(K1878)),NOT(ISNUMBER(L1878))),"",IF(OR(K1878&lt;=0,L1878&lt;=0),"",ROUND(L1878-K1878,6)))</f>
        <v/>
      </c>
      <c r="N1878" s="58" t="n"/>
      <c r="O1878" s="62" t="n"/>
      <c r="P1878" s="63" t="str">
        <f>IF(OR(B1878="",NOT(ISNUMBER(L1878))),"",IF(L1878&lt;=0,"",IFERROR(ROUND(L1878*N(INDEX(art_w,MATCH(H1878,art_ref,0))),3),"")))</f>
        <v/>
      </c>
      <c r="Q1878" s="59" t="n"/>
      <c r="R1878" s="54" t="n"/>
      <c r="S1878" s="59" t="n"/>
      <c r="T1878" s="59" t="n"/>
      <c r="U1878" s="64" t="str">
        <f>IF(OR(B1878="",H1878=""),"",IFERROR(IF(A1878="BL",IF(N(INDEX(art_price,MATCH(H1878,art_ref,0)))=0,"",N(INDEX(art_price,MATCH(H1878,art_ref,0)))),IF(N(INDEX(art_cost,MATCH(H1878,art_ref,0)))=0,"",N(INDEX(art_cost,MATCH(H1878,art_ref,0))))),""))</f>
        <v/>
      </c>
      <c r="V1878" s="64" t="str">
        <f>IF(OR(U1878="",NOT(ISNUMBER(L1878))),"",IF(L1878&lt;=0,"",ROUND(L1878*U1878,2)))</f>
        <v/>
      </c>
      <c r="W1878" s="60" t="str">
        <f>IF(AND(B1878&lt;&gt;"",A1878&lt;&gt;"BS",F1878&lt;&gt;"",H1878&lt;&gt;"",ISNUMBER(K1878),ISNUMBER(L1878)),IF(AND(K1878&gt;0,L1878&gt;0,K1878-L1878&gt;0,COUNTIFS(A1879:A$2005,A1878,F1879:F$2005,F1878,H1879:H$2005,H1878,AA1879:AA$2005,"&gt;0")=0),ROUND(K1878-L1878,6),""),"")</f>
        <v/>
      </c>
      <c r="X1878" s="60" t="str">
        <f>IF(AND(A1878="",C1878="",D1878="",H1878="",L1878=""),"",IF(A1878="","Type manquant",IF(AND(A1878&lt;&gt;"BL",A1878&lt;&gt;"BR",A1878&lt;&gt;"BS"),"Type inconnu (BL, BR ou BS)",IF(AG1878=0,"Date manquante ou invalide",IF(D1878="",IF(A1878="BL","Client manquant",IF(A1878="BR","Fournisseur manquant","Service manquant")),IF(IF(A1878="BL",ISNA(MATCH(D1878,cl_code,0)),IF(A1878="BR",ISNA(MATCH(D1878,fo_code,0)),ISNA(MATCH(D1878,p_services,0)))),IF(A1878="BL","Client inconnu",IF(A1878="BR","Fournisseur inconnu","Service inconnu")),IF(H1878="","Article manquant",IF(ISNA(MATCH(H1878,art_ref,0)),"Article inconnu",IF(OR(NOT(ISNUMBER(L1878)),N(L1878)&lt;=0),"Quantité invalide",IF(AND(K1878&lt;&gt;"",OR(NOT(ISNUMBER(K1878)),N(K1878)&lt;=0)),"Qté commandée invalide",IF(AG1878&lt;SUMPRODUCT(MAX((A$6:A1877=A1878)*AG$6:AG1877)),"Date antérieure au bon précédent",IF(AND(A1878&lt;&gt;"BR",ISNUMBER(M1878),N(M1878)&gt;0),IF(A1878="BL","Livré plus que commandé","Sorti plus que demandé"),"OK"))))))))))))</f>
        <v/>
      </c>
      <c r="Y1878" s="57" t="str">
        <f>IF(AND(OR(A1878="BL",A1878="BR",A1878="BS"),AG1878&gt;0,D1878&lt;&gt;""),A1878&amp;"|"&amp;AG1878&amp;"|"&amp;D1878&amp;"|"&amp;F1878,"")</f>
        <v/>
      </c>
      <c r="Z1878" s="57" t="str">
        <f>IF(Y1878="","",IF(COUNTIF(Y$6:Y1877,Y1878)=0,1,0))</f>
        <v/>
      </c>
      <c r="AA1878" s="57" t="str">
        <f>IF(Y1878="","",IF(Z1878=1,COUNTIFS(A$6:A1878,A1878,Z$6:Z1878,1),INDEX(AA$6:AA1877,MATCH(Y1878,Y$6:Y1877,0))))</f>
        <v/>
      </c>
      <c r="AB1878" s="57" t="str">
        <f>IF(B1878="","",COUNTIF(B$6:B1878,B1878))</f>
        <v/>
      </c>
      <c r="AC1878" s="57" t="str">
        <f>IF(B1878="","",B1878&amp;"#"&amp;AB1878)</f>
        <v/>
      </c>
      <c r="AD1878" s="57" t="str">
        <f>IF(Z1878=1,A1878&amp;AA1878,"")</f>
        <v/>
      </c>
      <c r="AE1878" s="57" t="str">
        <f>IF(B1878="","",YEAR(C1878))</f>
        <v/>
      </c>
      <c r="AF1878" s="57" t="str">
        <f>IF(B1878="","",MONTH(C1878))</f>
        <v/>
      </c>
      <c r="AG1878" s="57">
        <f>IF(ISNUMBER(C1878),C1878,0)</f>
        <v>0.0</v>
      </c>
      <c r="AH1878" s="57" t="str">
        <f>IF(N(W1878)&gt;0,COUNTIF(W$6:W1878,"&gt;0"),"")</f>
        <v/>
      </c>
      <c r="AI1878" s="57" t="str">
        <f>IF(Z1878=1,COUNTIF(Z$6:Z1878,1),"")</f>
        <v/>
      </c>
    </row>
    <row r="1879">
      <c r="A1879" s="54" t="n"/>
      <c r="B1879" s="55" t="str">
        <f>IF(AA1879="","",A1879&amp;"-"&amp;RIGHT("000"&amp;AA1879,4))</f>
        <v/>
      </c>
      <c r="C1879" s="56" t="n"/>
      <c r="D1879" s="54" t="n"/>
      <c r="E1879" s="57" t="str">
        <f>IF(D1879="","",IF(A1879="BL",IFERROR(INDEX(cl_name,MATCH(D1879,cl_code,0))&amp;"","Client inconnu"),IF(A1879="BR",IFERROR(INDEX(fo_name,MATCH(D1879,fo_code,0))&amp;"","Fournisseur inconnu"),IF(A1879="BS",IF(ISNA(MATCH(D1879,p_services,0)),"Service inconnu",D1879&amp;""),""))))</f>
        <v/>
      </c>
      <c r="F1879" s="58" t="n"/>
      <c r="G1879" s="58" t="n"/>
      <c r="H1879" s="59" t="n"/>
      <c r="I1879" s="57" t="str">
        <f>IF(H1879="","",IFERROR(INDEX(art_des,MATCH(H1879,art_ref,0))&amp;"","Article inconnu"))</f>
        <v/>
      </c>
      <c r="J1879" s="60" t="str">
        <f>IF(H1879="","",IFERROR(INDEX(art_unit,MATCH(H1879,art_ref,0))&amp;"",""))</f>
        <v/>
      </c>
      <c r="K1879" s="59" t="n"/>
      <c r="L1879" s="59" t="n"/>
      <c r="M1879" s="61" t="str">
        <f>IF(OR(B1879="",NOT(ISNUMBER(K1879)),NOT(ISNUMBER(L1879))),"",IF(OR(K1879&lt;=0,L1879&lt;=0),"",ROUND(L1879-K1879,6)))</f>
        <v/>
      </c>
      <c r="N1879" s="58" t="n"/>
      <c r="O1879" s="62" t="n"/>
      <c r="P1879" s="63" t="str">
        <f>IF(OR(B1879="",NOT(ISNUMBER(L1879))),"",IF(L1879&lt;=0,"",IFERROR(ROUND(L1879*N(INDEX(art_w,MATCH(H1879,art_ref,0))),3),"")))</f>
        <v/>
      </c>
      <c r="Q1879" s="59" t="n"/>
      <c r="R1879" s="54" t="n"/>
      <c r="S1879" s="59" t="n"/>
      <c r="T1879" s="59" t="n"/>
      <c r="U1879" s="64" t="str">
        <f>IF(OR(B1879="",H1879=""),"",IFERROR(IF(A1879="BL",IF(N(INDEX(art_price,MATCH(H1879,art_ref,0)))=0,"",N(INDEX(art_price,MATCH(H1879,art_ref,0)))),IF(N(INDEX(art_cost,MATCH(H1879,art_ref,0)))=0,"",N(INDEX(art_cost,MATCH(H1879,art_ref,0))))),""))</f>
        <v/>
      </c>
      <c r="V1879" s="64" t="str">
        <f>IF(OR(U1879="",NOT(ISNUMBER(L1879))),"",IF(L1879&lt;=0,"",ROUND(L1879*U1879,2)))</f>
        <v/>
      </c>
      <c r="W1879" s="60" t="str">
        <f>IF(AND(B1879&lt;&gt;"",A1879&lt;&gt;"BS",F1879&lt;&gt;"",H1879&lt;&gt;"",ISNUMBER(K1879),ISNUMBER(L1879)),IF(AND(K1879&gt;0,L1879&gt;0,K1879-L1879&gt;0,COUNTIFS(A1880:A$2005,A1879,F1880:F$2005,F1879,H1880:H$2005,H1879,AA1880:AA$2005,"&gt;0")=0),ROUND(K1879-L1879,6),""),"")</f>
        <v/>
      </c>
      <c r="X1879" s="60" t="str">
        <f>IF(AND(A1879="",C1879="",D1879="",H1879="",L1879=""),"",IF(A1879="","Type manquant",IF(AND(A1879&lt;&gt;"BL",A1879&lt;&gt;"BR",A1879&lt;&gt;"BS"),"Type inconnu (BL, BR ou BS)",IF(AG1879=0,"Date manquante ou invalide",IF(D1879="",IF(A1879="BL","Client manquant",IF(A1879="BR","Fournisseur manquant","Service manquant")),IF(IF(A1879="BL",ISNA(MATCH(D1879,cl_code,0)),IF(A1879="BR",ISNA(MATCH(D1879,fo_code,0)),ISNA(MATCH(D1879,p_services,0)))),IF(A1879="BL","Client inconnu",IF(A1879="BR","Fournisseur inconnu","Service inconnu")),IF(H1879="","Article manquant",IF(ISNA(MATCH(H1879,art_ref,0)),"Article inconnu",IF(OR(NOT(ISNUMBER(L1879)),N(L1879)&lt;=0),"Quantité invalide",IF(AND(K1879&lt;&gt;"",OR(NOT(ISNUMBER(K1879)),N(K1879)&lt;=0)),"Qté commandée invalide",IF(AG1879&lt;SUMPRODUCT(MAX((A$6:A1878=A1879)*AG$6:AG1878)),"Date antérieure au bon précédent",IF(AND(A1879&lt;&gt;"BR",ISNUMBER(M1879),N(M1879)&gt;0),IF(A1879="BL","Livré plus que commandé","Sorti plus que demandé"),"OK"))))))))))))</f>
        <v/>
      </c>
      <c r="Y1879" s="57" t="str">
        <f>IF(AND(OR(A1879="BL",A1879="BR",A1879="BS"),AG1879&gt;0,D1879&lt;&gt;""),A1879&amp;"|"&amp;AG1879&amp;"|"&amp;D1879&amp;"|"&amp;F1879,"")</f>
        <v/>
      </c>
      <c r="Z1879" s="57" t="str">
        <f>IF(Y1879="","",IF(COUNTIF(Y$6:Y1878,Y1879)=0,1,0))</f>
        <v/>
      </c>
      <c r="AA1879" s="57" t="str">
        <f>IF(Y1879="","",IF(Z1879=1,COUNTIFS(A$6:A1879,A1879,Z$6:Z1879,1),INDEX(AA$6:AA1878,MATCH(Y1879,Y$6:Y1878,0))))</f>
        <v/>
      </c>
      <c r="AB1879" s="57" t="str">
        <f>IF(B1879="","",COUNTIF(B$6:B1879,B1879))</f>
        <v/>
      </c>
      <c r="AC1879" s="57" t="str">
        <f>IF(B1879="","",B1879&amp;"#"&amp;AB1879)</f>
        <v/>
      </c>
      <c r="AD1879" s="57" t="str">
        <f>IF(Z1879=1,A1879&amp;AA1879,"")</f>
        <v/>
      </c>
      <c r="AE1879" s="57" t="str">
        <f>IF(B1879="","",YEAR(C1879))</f>
        <v/>
      </c>
      <c r="AF1879" s="57" t="str">
        <f>IF(B1879="","",MONTH(C1879))</f>
        <v/>
      </c>
      <c r="AG1879" s="57">
        <f>IF(ISNUMBER(C1879),C1879,0)</f>
        <v>0.0</v>
      </c>
      <c r="AH1879" s="57" t="str">
        <f>IF(N(W1879)&gt;0,COUNTIF(W$6:W1879,"&gt;0"),"")</f>
        <v/>
      </c>
      <c r="AI1879" s="57" t="str">
        <f>IF(Z1879=1,COUNTIF(Z$6:Z1879,1),"")</f>
        <v/>
      </c>
    </row>
    <row r="1880">
      <c r="A1880" s="54" t="n"/>
      <c r="B1880" s="55" t="str">
        <f>IF(AA1880="","",A1880&amp;"-"&amp;RIGHT("000"&amp;AA1880,4))</f>
        <v/>
      </c>
      <c r="C1880" s="56" t="n"/>
      <c r="D1880" s="54" t="n"/>
      <c r="E1880" s="57" t="str">
        <f>IF(D1880="","",IF(A1880="BL",IFERROR(INDEX(cl_name,MATCH(D1880,cl_code,0))&amp;"","Client inconnu"),IF(A1880="BR",IFERROR(INDEX(fo_name,MATCH(D1880,fo_code,0))&amp;"","Fournisseur inconnu"),IF(A1880="BS",IF(ISNA(MATCH(D1880,p_services,0)),"Service inconnu",D1880&amp;""),""))))</f>
        <v/>
      </c>
      <c r="F1880" s="58" t="n"/>
      <c r="G1880" s="58" t="n"/>
      <c r="H1880" s="59" t="n"/>
      <c r="I1880" s="57" t="str">
        <f>IF(H1880="","",IFERROR(INDEX(art_des,MATCH(H1880,art_ref,0))&amp;"","Article inconnu"))</f>
        <v/>
      </c>
      <c r="J1880" s="60" t="str">
        <f>IF(H1880="","",IFERROR(INDEX(art_unit,MATCH(H1880,art_ref,0))&amp;"",""))</f>
        <v/>
      </c>
      <c r="K1880" s="59" t="n"/>
      <c r="L1880" s="59" t="n"/>
      <c r="M1880" s="61" t="str">
        <f>IF(OR(B1880="",NOT(ISNUMBER(K1880)),NOT(ISNUMBER(L1880))),"",IF(OR(K1880&lt;=0,L1880&lt;=0),"",ROUND(L1880-K1880,6)))</f>
        <v/>
      </c>
      <c r="N1880" s="58" t="n"/>
      <c r="O1880" s="62" t="n"/>
      <c r="P1880" s="63" t="str">
        <f>IF(OR(B1880="",NOT(ISNUMBER(L1880))),"",IF(L1880&lt;=0,"",IFERROR(ROUND(L1880*N(INDEX(art_w,MATCH(H1880,art_ref,0))),3),"")))</f>
        <v/>
      </c>
      <c r="Q1880" s="59" t="n"/>
      <c r="R1880" s="54" t="n"/>
      <c r="S1880" s="59" t="n"/>
      <c r="T1880" s="59" t="n"/>
      <c r="U1880" s="64" t="str">
        <f>IF(OR(B1880="",H1880=""),"",IFERROR(IF(A1880="BL",IF(N(INDEX(art_price,MATCH(H1880,art_ref,0)))=0,"",N(INDEX(art_price,MATCH(H1880,art_ref,0)))),IF(N(INDEX(art_cost,MATCH(H1880,art_ref,0)))=0,"",N(INDEX(art_cost,MATCH(H1880,art_ref,0))))),""))</f>
        <v/>
      </c>
      <c r="V1880" s="64" t="str">
        <f>IF(OR(U1880="",NOT(ISNUMBER(L1880))),"",IF(L1880&lt;=0,"",ROUND(L1880*U1880,2)))</f>
        <v/>
      </c>
      <c r="W1880" s="60" t="str">
        <f>IF(AND(B1880&lt;&gt;"",A1880&lt;&gt;"BS",F1880&lt;&gt;"",H1880&lt;&gt;"",ISNUMBER(K1880),ISNUMBER(L1880)),IF(AND(K1880&gt;0,L1880&gt;0,K1880-L1880&gt;0,COUNTIFS(A1881:A$2005,A1880,F1881:F$2005,F1880,H1881:H$2005,H1880,AA1881:AA$2005,"&gt;0")=0),ROUND(K1880-L1880,6),""),"")</f>
        <v/>
      </c>
      <c r="X1880" s="60" t="str">
        <f>IF(AND(A1880="",C1880="",D1880="",H1880="",L1880=""),"",IF(A1880="","Type manquant",IF(AND(A1880&lt;&gt;"BL",A1880&lt;&gt;"BR",A1880&lt;&gt;"BS"),"Type inconnu (BL, BR ou BS)",IF(AG1880=0,"Date manquante ou invalide",IF(D1880="",IF(A1880="BL","Client manquant",IF(A1880="BR","Fournisseur manquant","Service manquant")),IF(IF(A1880="BL",ISNA(MATCH(D1880,cl_code,0)),IF(A1880="BR",ISNA(MATCH(D1880,fo_code,0)),ISNA(MATCH(D1880,p_services,0)))),IF(A1880="BL","Client inconnu",IF(A1880="BR","Fournisseur inconnu","Service inconnu")),IF(H1880="","Article manquant",IF(ISNA(MATCH(H1880,art_ref,0)),"Article inconnu",IF(OR(NOT(ISNUMBER(L1880)),N(L1880)&lt;=0),"Quantité invalide",IF(AND(K1880&lt;&gt;"",OR(NOT(ISNUMBER(K1880)),N(K1880)&lt;=0)),"Qté commandée invalide",IF(AG1880&lt;SUMPRODUCT(MAX((A$6:A1879=A1880)*AG$6:AG1879)),"Date antérieure au bon précédent",IF(AND(A1880&lt;&gt;"BR",ISNUMBER(M1880),N(M1880)&gt;0),IF(A1880="BL","Livré plus que commandé","Sorti plus que demandé"),"OK"))))))))))))</f>
        <v/>
      </c>
      <c r="Y1880" s="57" t="str">
        <f>IF(AND(OR(A1880="BL",A1880="BR",A1880="BS"),AG1880&gt;0,D1880&lt;&gt;""),A1880&amp;"|"&amp;AG1880&amp;"|"&amp;D1880&amp;"|"&amp;F1880,"")</f>
        <v/>
      </c>
      <c r="Z1880" s="57" t="str">
        <f>IF(Y1880="","",IF(COUNTIF(Y$6:Y1879,Y1880)=0,1,0))</f>
        <v/>
      </c>
      <c r="AA1880" s="57" t="str">
        <f>IF(Y1880="","",IF(Z1880=1,COUNTIFS(A$6:A1880,A1880,Z$6:Z1880,1),INDEX(AA$6:AA1879,MATCH(Y1880,Y$6:Y1879,0))))</f>
        <v/>
      </c>
      <c r="AB1880" s="57" t="str">
        <f>IF(B1880="","",COUNTIF(B$6:B1880,B1880))</f>
        <v/>
      </c>
      <c r="AC1880" s="57" t="str">
        <f>IF(B1880="","",B1880&amp;"#"&amp;AB1880)</f>
        <v/>
      </c>
      <c r="AD1880" s="57" t="str">
        <f>IF(Z1880=1,A1880&amp;AA1880,"")</f>
        <v/>
      </c>
      <c r="AE1880" s="57" t="str">
        <f>IF(B1880="","",YEAR(C1880))</f>
        <v/>
      </c>
      <c r="AF1880" s="57" t="str">
        <f>IF(B1880="","",MONTH(C1880))</f>
        <v/>
      </c>
      <c r="AG1880" s="57">
        <f>IF(ISNUMBER(C1880),C1880,0)</f>
        <v>0.0</v>
      </c>
      <c r="AH1880" s="57" t="str">
        <f>IF(N(W1880)&gt;0,COUNTIF(W$6:W1880,"&gt;0"),"")</f>
        <v/>
      </c>
      <c r="AI1880" s="57" t="str">
        <f>IF(Z1880=1,COUNTIF(Z$6:Z1880,1),"")</f>
        <v/>
      </c>
    </row>
    <row r="1881">
      <c r="A1881" s="54" t="n"/>
      <c r="B1881" s="55" t="str">
        <f>IF(AA1881="","",A1881&amp;"-"&amp;RIGHT("000"&amp;AA1881,4))</f>
        <v/>
      </c>
      <c r="C1881" s="56" t="n"/>
      <c r="D1881" s="54" t="n"/>
      <c r="E1881" s="57" t="str">
        <f>IF(D1881="","",IF(A1881="BL",IFERROR(INDEX(cl_name,MATCH(D1881,cl_code,0))&amp;"","Client inconnu"),IF(A1881="BR",IFERROR(INDEX(fo_name,MATCH(D1881,fo_code,0))&amp;"","Fournisseur inconnu"),IF(A1881="BS",IF(ISNA(MATCH(D1881,p_services,0)),"Service inconnu",D1881&amp;""),""))))</f>
        <v/>
      </c>
      <c r="F1881" s="58" t="n"/>
      <c r="G1881" s="58" t="n"/>
      <c r="H1881" s="59" t="n"/>
      <c r="I1881" s="57" t="str">
        <f>IF(H1881="","",IFERROR(INDEX(art_des,MATCH(H1881,art_ref,0))&amp;"","Article inconnu"))</f>
        <v/>
      </c>
      <c r="J1881" s="60" t="str">
        <f>IF(H1881="","",IFERROR(INDEX(art_unit,MATCH(H1881,art_ref,0))&amp;"",""))</f>
        <v/>
      </c>
      <c r="K1881" s="59" t="n"/>
      <c r="L1881" s="59" t="n"/>
      <c r="M1881" s="61" t="str">
        <f>IF(OR(B1881="",NOT(ISNUMBER(K1881)),NOT(ISNUMBER(L1881))),"",IF(OR(K1881&lt;=0,L1881&lt;=0),"",ROUND(L1881-K1881,6)))</f>
        <v/>
      </c>
      <c r="N1881" s="58" t="n"/>
      <c r="O1881" s="62" t="n"/>
      <c r="P1881" s="63" t="str">
        <f>IF(OR(B1881="",NOT(ISNUMBER(L1881))),"",IF(L1881&lt;=0,"",IFERROR(ROUND(L1881*N(INDEX(art_w,MATCH(H1881,art_ref,0))),3),"")))</f>
        <v/>
      </c>
      <c r="Q1881" s="59" t="n"/>
      <c r="R1881" s="54" t="n"/>
      <c r="S1881" s="59" t="n"/>
      <c r="T1881" s="59" t="n"/>
      <c r="U1881" s="64" t="str">
        <f>IF(OR(B1881="",H1881=""),"",IFERROR(IF(A1881="BL",IF(N(INDEX(art_price,MATCH(H1881,art_ref,0)))=0,"",N(INDEX(art_price,MATCH(H1881,art_ref,0)))),IF(N(INDEX(art_cost,MATCH(H1881,art_ref,0)))=0,"",N(INDEX(art_cost,MATCH(H1881,art_ref,0))))),""))</f>
        <v/>
      </c>
      <c r="V1881" s="64" t="str">
        <f>IF(OR(U1881="",NOT(ISNUMBER(L1881))),"",IF(L1881&lt;=0,"",ROUND(L1881*U1881,2)))</f>
        <v/>
      </c>
      <c r="W1881" s="60" t="str">
        <f>IF(AND(B1881&lt;&gt;"",A1881&lt;&gt;"BS",F1881&lt;&gt;"",H1881&lt;&gt;"",ISNUMBER(K1881),ISNUMBER(L1881)),IF(AND(K1881&gt;0,L1881&gt;0,K1881-L1881&gt;0,COUNTIFS(A1882:A$2005,A1881,F1882:F$2005,F1881,H1882:H$2005,H1881,AA1882:AA$2005,"&gt;0")=0),ROUND(K1881-L1881,6),""),"")</f>
        <v/>
      </c>
      <c r="X1881" s="60" t="str">
        <f>IF(AND(A1881="",C1881="",D1881="",H1881="",L1881=""),"",IF(A1881="","Type manquant",IF(AND(A1881&lt;&gt;"BL",A1881&lt;&gt;"BR",A1881&lt;&gt;"BS"),"Type inconnu (BL, BR ou BS)",IF(AG1881=0,"Date manquante ou invalide",IF(D1881="",IF(A1881="BL","Client manquant",IF(A1881="BR","Fournisseur manquant","Service manquant")),IF(IF(A1881="BL",ISNA(MATCH(D1881,cl_code,0)),IF(A1881="BR",ISNA(MATCH(D1881,fo_code,0)),ISNA(MATCH(D1881,p_services,0)))),IF(A1881="BL","Client inconnu",IF(A1881="BR","Fournisseur inconnu","Service inconnu")),IF(H1881="","Article manquant",IF(ISNA(MATCH(H1881,art_ref,0)),"Article inconnu",IF(OR(NOT(ISNUMBER(L1881)),N(L1881)&lt;=0),"Quantité invalide",IF(AND(K1881&lt;&gt;"",OR(NOT(ISNUMBER(K1881)),N(K1881)&lt;=0)),"Qté commandée invalide",IF(AG1881&lt;SUMPRODUCT(MAX((A$6:A1880=A1881)*AG$6:AG1880)),"Date antérieure au bon précédent",IF(AND(A1881&lt;&gt;"BR",ISNUMBER(M1881),N(M1881)&gt;0),IF(A1881="BL","Livré plus que commandé","Sorti plus que demandé"),"OK"))))))))))))</f>
        <v/>
      </c>
      <c r="Y1881" s="57" t="str">
        <f>IF(AND(OR(A1881="BL",A1881="BR",A1881="BS"),AG1881&gt;0,D1881&lt;&gt;""),A1881&amp;"|"&amp;AG1881&amp;"|"&amp;D1881&amp;"|"&amp;F1881,"")</f>
        <v/>
      </c>
      <c r="Z1881" s="57" t="str">
        <f>IF(Y1881="","",IF(COUNTIF(Y$6:Y1880,Y1881)=0,1,0))</f>
        <v/>
      </c>
      <c r="AA1881" s="57" t="str">
        <f>IF(Y1881="","",IF(Z1881=1,COUNTIFS(A$6:A1881,A1881,Z$6:Z1881,1),INDEX(AA$6:AA1880,MATCH(Y1881,Y$6:Y1880,0))))</f>
        <v/>
      </c>
      <c r="AB1881" s="57" t="str">
        <f>IF(B1881="","",COUNTIF(B$6:B1881,B1881))</f>
        <v/>
      </c>
      <c r="AC1881" s="57" t="str">
        <f>IF(B1881="","",B1881&amp;"#"&amp;AB1881)</f>
        <v/>
      </c>
      <c r="AD1881" s="57" t="str">
        <f>IF(Z1881=1,A1881&amp;AA1881,"")</f>
        <v/>
      </c>
      <c r="AE1881" s="57" t="str">
        <f>IF(B1881="","",YEAR(C1881))</f>
        <v/>
      </c>
      <c r="AF1881" s="57" t="str">
        <f>IF(B1881="","",MONTH(C1881))</f>
        <v/>
      </c>
      <c r="AG1881" s="57">
        <f>IF(ISNUMBER(C1881),C1881,0)</f>
        <v>0.0</v>
      </c>
      <c r="AH1881" s="57" t="str">
        <f>IF(N(W1881)&gt;0,COUNTIF(W$6:W1881,"&gt;0"),"")</f>
        <v/>
      </c>
      <c r="AI1881" s="57" t="str">
        <f>IF(Z1881=1,COUNTIF(Z$6:Z1881,1),"")</f>
        <v/>
      </c>
    </row>
    <row r="1882">
      <c r="A1882" s="54" t="n"/>
      <c r="B1882" s="55" t="str">
        <f>IF(AA1882="","",A1882&amp;"-"&amp;RIGHT("000"&amp;AA1882,4))</f>
        <v/>
      </c>
      <c r="C1882" s="56" t="n"/>
      <c r="D1882" s="54" t="n"/>
      <c r="E1882" s="57" t="str">
        <f>IF(D1882="","",IF(A1882="BL",IFERROR(INDEX(cl_name,MATCH(D1882,cl_code,0))&amp;"","Client inconnu"),IF(A1882="BR",IFERROR(INDEX(fo_name,MATCH(D1882,fo_code,0))&amp;"","Fournisseur inconnu"),IF(A1882="BS",IF(ISNA(MATCH(D1882,p_services,0)),"Service inconnu",D1882&amp;""),""))))</f>
        <v/>
      </c>
      <c r="F1882" s="58" t="n"/>
      <c r="G1882" s="58" t="n"/>
      <c r="H1882" s="59" t="n"/>
      <c r="I1882" s="57" t="str">
        <f>IF(H1882="","",IFERROR(INDEX(art_des,MATCH(H1882,art_ref,0))&amp;"","Article inconnu"))</f>
        <v/>
      </c>
      <c r="J1882" s="60" t="str">
        <f>IF(H1882="","",IFERROR(INDEX(art_unit,MATCH(H1882,art_ref,0))&amp;"",""))</f>
        <v/>
      </c>
      <c r="K1882" s="59" t="n"/>
      <c r="L1882" s="59" t="n"/>
      <c r="M1882" s="61" t="str">
        <f>IF(OR(B1882="",NOT(ISNUMBER(K1882)),NOT(ISNUMBER(L1882))),"",IF(OR(K1882&lt;=0,L1882&lt;=0),"",ROUND(L1882-K1882,6)))</f>
        <v/>
      </c>
      <c r="N1882" s="58" t="n"/>
      <c r="O1882" s="62" t="n"/>
      <c r="P1882" s="63" t="str">
        <f>IF(OR(B1882="",NOT(ISNUMBER(L1882))),"",IF(L1882&lt;=0,"",IFERROR(ROUND(L1882*N(INDEX(art_w,MATCH(H1882,art_ref,0))),3),"")))</f>
        <v/>
      </c>
      <c r="Q1882" s="59" t="n"/>
      <c r="R1882" s="54" t="n"/>
      <c r="S1882" s="59" t="n"/>
      <c r="T1882" s="59" t="n"/>
      <c r="U1882" s="64" t="str">
        <f>IF(OR(B1882="",H1882=""),"",IFERROR(IF(A1882="BL",IF(N(INDEX(art_price,MATCH(H1882,art_ref,0)))=0,"",N(INDEX(art_price,MATCH(H1882,art_ref,0)))),IF(N(INDEX(art_cost,MATCH(H1882,art_ref,0)))=0,"",N(INDEX(art_cost,MATCH(H1882,art_ref,0))))),""))</f>
        <v/>
      </c>
      <c r="V1882" s="64" t="str">
        <f>IF(OR(U1882="",NOT(ISNUMBER(L1882))),"",IF(L1882&lt;=0,"",ROUND(L1882*U1882,2)))</f>
        <v/>
      </c>
      <c r="W1882" s="60" t="str">
        <f>IF(AND(B1882&lt;&gt;"",A1882&lt;&gt;"BS",F1882&lt;&gt;"",H1882&lt;&gt;"",ISNUMBER(K1882),ISNUMBER(L1882)),IF(AND(K1882&gt;0,L1882&gt;0,K1882-L1882&gt;0,COUNTIFS(A1883:A$2005,A1882,F1883:F$2005,F1882,H1883:H$2005,H1882,AA1883:AA$2005,"&gt;0")=0),ROUND(K1882-L1882,6),""),"")</f>
        <v/>
      </c>
      <c r="X1882" s="60" t="str">
        <f>IF(AND(A1882="",C1882="",D1882="",H1882="",L1882=""),"",IF(A1882="","Type manquant",IF(AND(A1882&lt;&gt;"BL",A1882&lt;&gt;"BR",A1882&lt;&gt;"BS"),"Type inconnu (BL, BR ou BS)",IF(AG1882=0,"Date manquante ou invalide",IF(D1882="",IF(A1882="BL","Client manquant",IF(A1882="BR","Fournisseur manquant","Service manquant")),IF(IF(A1882="BL",ISNA(MATCH(D1882,cl_code,0)),IF(A1882="BR",ISNA(MATCH(D1882,fo_code,0)),ISNA(MATCH(D1882,p_services,0)))),IF(A1882="BL","Client inconnu",IF(A1882="BR","Fournisseur inconnu","Service inconnu")),IF(H1882="","Article manquant",IF(ISNA(MATCH(H1882,art_ref,0)),"Article inconnu",IF(OR(NOT(ISNUMBER(L1882)),N(L1882)&lt;=0),"Quantité invalide",IF(AND(K1882&lt;&gt;"",OR(NOT(ISNUMBER(K1882)),N(K1882)&lt;=0)),"Qté commandée invalide",IF(AG1882&lt;SUMPRODUCT(MAX((A$6:A1881=A1882)*AG$6:AG1881)),"Date antérieure au bon précédent",IF(AND(A1882&lt;&gt;"BR",ISNUMBER(M1882),N(M1882)&gt;0),IF(A1882="BL","Livré plus que commandé","Sorti plus que demandé"),"OK"))))))))))))</f>
        <v/>
      </c>
      <c r="Y1882" s="57" t="str">
        <f>IF(AND(OR(A1882="BL",A1882="BR",A1882="BS"),AG1882&gt;0,D1882&lt;&gt;""),A1882&amp;"|"&amp;AG1882&amp;"|"&amp;D1882&amp;"|"&amp;F1882,"")</f>
        <v/>
      </c>
      <c r="Z1882" s="57" t="str">
        <f>IF(Y1882="","",IF(COUNTIF(Y$6:Y1881,Y1882)=0,1,0))</f>
        <v/>
      </c>
      <c r="AA1882" s="57" t="str">
        <f>IF(Y1882="","",IF(Z1882=1,COUNTIFS(A$6:A1882,A1882,Z$6:Z1882,1),INDEX(AA$6:AA1881,MATCH(Y1882,Y$6:Y1881,0))))</f>
        <v/>
      </c>
      <c r="AB1882" s="57" t="str">
        <f>IF(B1882="","",COUNTIF(B$6:B1882,B1882))</f>
        <v/>
      </c>
      <c r="AC1882" s="57" t="str">
        <f>IF(B1882="","",B1882&amp;"#"&amp;AB1882)</f>
        <v/>
      </c>
      <c r="AD1882" s="57" t="str">
        <f>IF(Z1882=1,A1882&amp;AA1882,"")</f>
        <v/>
      </c>
      <c r="AE1882" s="57" t="str">
        <f>IF(B1882="","",YEAR(C1882))</f>
        <v/>
      </c>
      <c r="AF1882" s="57" t="str">
        <f>IF(B1882="","",MONTH(C1882))</f>
        <v/>
      </c>
      <c r="AG1882" s="57">
        <f>IF(ISNUMBER(C1882),C1882,0)</f>
        <v>0.0</v>
      </c>
      <c r="AH1882" s="57" t="str">
        <f>IF(N(W1882)&gt;0,COUNTIF(W$6:W1882,"&gt;0"),"")</f>
        <v/>
      </c>
      <c r="AI1882" s="57" t="str">
        <f>IF(Z1882=1,COUNTIF(Z$6:Z1882,1),"")</f>
        <v/>
      </c>
    </row>
    <row r="1883">
      <c r="A1883" s="54" t="n"/>
      <c r="B1883" s="55" t="str">
        <f>IF(AA1883="","",A1883&amp;"-"&amp;RIGHT("000"&amp;AA1883,4))</f>
        <v/>
      </c>
      <c r="C1883" s="56" t="n"/>
      <c r="D1883" s="54" t="n"/>
      <c r="E1883" s="57" t="str">
        <f>IF(D1883="","",IF(A1883="BL",IFERROR(INDEX(cl_name,MATCH(D1883,cl_code,0))&amp;"","Client inconnu"),IF(A1883="BR",IFERROR(INDEX(fo_name,MATCH(D1883,fo_code,0))&amp;"","Fournisseur inconnu"),IF(A1883="BS",IF(ISNA(MATCH(D1883,p_services,0)),"Service inconnu",D1883&amp;""),""))))</f>
        <v/>
      </c>
      <c r="F1883" s="58" t="n"/>
      <c r="G1883" s="58" t="n"/>
      <c r="H1883" s="59" t="n"/>
      <c r="I1883" s="57" t="str">
        <f>IF(H1883="","",IFERROR(INDEX(art_des,MATCH(H1883,art_ref,0))&amp;"","Article inconnu"))</f>
        <v/>
      </c>
      <c r="J1883" s="60" t="str">
        <f>IF(H1883="","",IFERROR(INDEX(art_unit,MATCH(H1883,art_ref,0))&amp;"",""))</f>
        <v/>
      </c>
      <c r="K1883" s="59" t="n"/>
      <c r="L1883" s="59" t="n"/>
      <c r="M1883" s="61" t="str">
        <f>IF(OR(B1883="",NOT(ISNUMBER(K1883)),NOT(ISNUMBER(L1883))),"",IF(OR(K1883&lt;=0,L1883&lt;=0),"",ROUND(L1883-K1883,6)))</f>
        <v/>
      </c>
      <c r="N1883" s="58" t="n"/>
      <c r="O1883" s="62" t="n"/>
      <c r="P1883" s="63" t="str">
        <f>IF(OR(B1883="",NOT(ISNUMBER(L1883))),"",IF(L1883&lt;=0,"",IFERROR(ROUND(L1883*N(INDEX(art_w,MATCH(H1883,art_ref,0))),3),"")))</f>
        <v/>
      </c>
      <c r="Q1883" s="59" t="n"/>
      <c r="R1883" s="54" t="n"/>
      <c r="S1883" s="59" t="n"/>
      <c r="T1883" s="59" t="n"/>
      <c r="U1883" s="64" t="str">
        <f>IF(OR(B1883="",H1883=""),"",IFERROR(IF(A1883="BL",IF(N(INDEX(art_price,MATCH(H1883,art_ref,0)))=0,"",N(INDEX(art_price,MATCH(H1883,art_ref,0)))),IF(N(INDEX(art_cost,MATCH(H1883,art_ref,0)))=0,"",N(INDEX(art_cost,MATCH(H1883,art_ref,0))))),""))</f>
        <v/>
      </c>
      <c r="V1883" s="64" t="str">
        <f>IF(OR(U1883="",NOT(ISNUMBER(L1883))),"",IF(L1883&lt;=0,"",ROUND(L1883*U1883,2)))</f>
        <v/>
      </c>
      <c r="W1883" s="60" t="str">
        <f>IF(AND(B1883&lt;&gt;"",A1883&lt;&gt;"BS",F1883&lt;&gt;"",H1883&lt;&gt;"",ISNUMBER(K1883),ISNUMBER(L1883)),IF(AND(K1883&gt;0,L1883&gt;0,K1883-L1883&gt;0,COUNTIFS(A1884:A$2005,A1883,F1884:F$2005,F1883,H1884:H$2005,H1883,AA1884:AA$2005,"&gt;0")=0),ROUND(K1883-L1883,6),""),"")</f>
        <v/>
      </c>
      <c r="X1883" s="60" t="str">
        <f>IF(AND(A1883="",C1883="",D1883="",H1883="",L1883=""),"",IF(A1883="","Type manquant",IF(AND(A1883&lt;&gt;"BL",A1883&lt;&gt;"BR",A1883&lt;&gt;"BS"),"Type inconnu (BL, BR ou BS)",IF(AG1883=0,"Date manquante ou invalide",IF(D1883="",IF(A1883="BL","Client manquant",IF(A1883="BR","Fournisseur manquant","Service manquant")),IF(IF(A1883="BL",ISNA(MATCH(D1883,cl_code,0)),IF(A1883="BR",ISNA(MATCH(D1883,fo_code,0)),ISNA(MATCH(D1883,p_services,0)))),IF(A1883="BL","Client inconnu",IF(A1883="BR","Fournisseur inconnu","Service inconnu")),IF(H1883="","Article manquant",IF(ISNA(MATCH(H1883,art_ref,0)),"Article inconnu",IF(OR(NOT(ISNUMBER(L1883)),N(L1883)&lt;=0),"Quantité invalide",IF(AND(K1883&lt;&gt;"",OR(NOT(ISNUMBER(K1883)),N(K1883)&lt;=0)),"Qté commandée invalide",IF(AG1883&lt;SUMPRODUCT(MAX((A$6:A1882=A1883)*AG$6:AG1882)),"Date antérieure au bon précédent",IF(AND(A1883&lt;&gt;"BR",ISNUMBER(M1883),N(M1883)&gt;0),IF(A1883="BL","Livré plus que commandé","Sorti plus que demandé"),"OK"))))))))))))</f>
        <v/>
      </c>
      <c r="Y1883" s="57" t="str">
        <f>IF(AND(OR(A1883="BL",A1883="BR",A1883="BS"),AG1883&gt;0,D1883&lt;&gt;""),A1883&amp;"|"&amp;AG1883&amp;"|"&amp;D1883&amp;"|"&amp;F1883,"")</f>
        <v/>
      </c>
      <c r="Z1883" s="57" t="str">
        <f>IF(Y1883="","",IF(COUNTIF(Y$6:Y1882,Y1883)=0,1,0))</f>
        <v/>
      </c>
      <c r="AA1883" s="57" t="str">
        <f>IF(Y1883="","",IF(Z1883=1,COUNTIFS(A$6:A1883,A1883,Z$6:Z1883,1),INDEX(AA$6:AA1882,MATCH(Y1883,Y$6:Y1882,0))))</f>
        <v/>
      </c>
      <c r="AB1883" s="57" t="str">
        <f>IF(B1883="","",COUNTIF(B$6:B1883,B1883))</f>
        <v/>
      </c>
      <c r="AC1883" s="57" t="str">
        <f>IF(B1883="","",B1883&amp;"#"&amp;AB1883)</f>
        <v/>
      </c>
      <c r="AD1883" s="57" t="str">
        <f>IF(Z1883=1,A1883&amp;AA1883,"")</f>
        <v/>
      </c>
      <c r="AE1883" s="57" t="str">
        <f>IF(B1883="","",YEAR(C1883))</f>
        <v/>
      </c>
      <c r="AF1883" s="57" t="str">
        <f>IF(B1883="","",MONTH(C1883))</f>
        <v/>
      </c>
      <c r="AG1883" s="57">
        <f>IF(ISNUMBER(C1883),C1883,0)</f>
        <v>0.0</v>
      </c>
      <c r="AH1883" s="57" t="str">
        <f>IF(N(W1883)&gt;0,COUNTIF(W$6:W1883,"&gt;0"),"")</f>
        <v/>
      </c>
      <c r="AI1883" s="57" t="str">
        <f>IF(Z1883=1,COUNTIF(Z$6:Z1883,1),"")</f>
        <v/>
      </c>
    </row>
    <row r="1884">
      <c r="A1884" s="54" t="n"/>
      <c r="B1884" s="55" t="str">
        <f>IF(AA1884="","",A1884&amp;"-"&amp;RIGHT("000"&amp;AA1884,4))</f>
        <v/>
      </c>
      <c r="C1884" s="56" t="n"/>
      <c r="D1884" s="54" t="n"/>
      <c r="E1884" s="57" t="str">
        <f>IF(D1884="","",IF(A1884="BL",IFERROR(INDEX(cl_name,MATCH(D1884,cl_code,0))&amp;"","Client inconnu"),IF(A1884="BR",IFERROR(INDEX(fo_name,MATCH(D1884,fo_code,0))&amp;"","Fournisseur inconnu"),IF(A1884="BS",IF(ISNA(MATCH(D1884,p_services,0)),"Service inconnu",D1884&amp;""),""))))</f>
        <v/>
      </c>
      <c r="F1884" s="58" t="n"/>
      <c r="G1884" s="58" t="n"/>
      <c r="H1884" s="59" t="n"/>
      <c r="I1884" s="57" t="str">
        <f>IF(H1884="","",IFERROR(INDEX(art_des,MATCH(H1884,art_ref,0))&amp;"","Article inconnu"))</f>
        <v/>
      </c>
      <c r="J1884" s="60" t="str">
        <f>IF(H1884="","",IFERROR(INDEX(art_unit,MATCH(H1884,art_ref,0))&amp;"",""))</f>
        <v/>
      </c>
      <c r="K1884" s="59" t="n"/>
      <c r="L1884" s="59" t="n"/>
      <c r="M1884" s="61" t="str">
        <f>IF(OR(B1884="",NOT(ISNUMBER(K1884)),NOT(ISNUMBER(L1884))),"",IF(OR(K1884&lt;=0,L1884&lt;=0),"",ROUND(L1884-K1884,6)))</f>
        <v/>
      </c>
      <c r="N1884" s="58" t="n"/>
      <c r="O1884" s="62" t="n"/>
      <c r="P1884" s="63" t="str">
        <f>IF(OR(B1884="",NOT(ISNUMBER(L1884))),"",IF(L1884&lt;=0,"",IFERROR(ROUND(L1884*N(INDEX(art_w,MATCH(H1884,art_ref,0))),3),"")))</f>
        <v/>
      </c>
      <c r="Q1884" s="59" t="n"/>
      <c r="R1884" s="54" t="n"/>
      <c r="S1884" s="59" t="n"/>
      <c r="T1884" s="59" t="n"/>
      <c r="U1884" s="64" t="str">
        <f>IF(OR(B1884="",H1884=""),"",IFERROR(IF(A1884="BL",IF(N(INDEX(art_price,MATCH(H1884,art_ref,0)))=0,"",N(INDEX(art_price,MATCH(H1884,art_ref,0)))),IF(N(INDEX(art_cost,MATCH(H1884,art_ref,0)))=0,"",N(INDEX(art_cost,MATCH(H1884,art_ref,0))))),""))</f>
        <v/>
      </c>
      <c r="V1884" s="64" t="str">
        <f>IF(OR(U1884="",NOT(ISNUMBER(L1884))),"",IF(L1884&lt;=0,"",ROUND(L1884*U1884,2)))</f>
        <v/>
      </c>
      <c r="W1884" s="60" t="str">
        <f>IF(AND(B1884&lt;&gt;"",A1884&lt;&gt;"BS",F1884&lt;&gt;"",H1884&lt;&gt;"",ISNUMBER(K1884),ISNUMBER(L1884)),IF(AND(K1884&gt;0,L1884&gt;0,K1884-L1884&gt;0,COUNTIFS(A1885:A$2005,A1884,F1885:F$2005,F1884,H1885:H$2005,H1884,AA1885:AA$2005,"&gt;0")=0),ROUND(K1884-L1884,6),""),"")</f>
        <v/>
      </c>
      <c r="X1884" s="60" t="str">
        <f>IF(AND(A1884="",C1884="",D1884="",H1884="",L1884=""),"",IF(A1884="","Type manquant",IF(AND(A1884&lt;&gt;"BL",A1884&lt;&gt;"BR",A1884&lt;&gt;"BS"),"Type inconnu (BL, BR ou BS)",IF(AG1884=0,"Date manquante ou invalide",IF(D1884="",IF(A1884="BL","Client manquant",IF(A1884="BR","Fournisseur manquant","Service manquant")),IF(IF(A1884="BL",ISNA(MATCH(D1884,cl_code,0)),IF(A1884="BR",ISNA(MATCH(D1884,fo_code,0)),ISNA(MATCH(D1884,p_services,0)))),IF(A1884="BL","Client inconnu",IF(A1884="BR","Fournisseur inconnu","Service inconnu")),IF(H1884="","Article manquant",IF(ISNA(MATCH(H1884,art_ref,0)),"Article inconnu",IF(OR(NOT(ISNUMBER(L1884)),N(L1884)&lt;=0),"Quantité invalide",IF(AND(K1884&lt;&gt;"",OR(NOT(ISNUMBER(K1884)),N(K1884)&lt;=0)),"Qté commandée invalide",IF(AG1884&lt;SUMPRODUCT(MAX((A$6:A1883=A1884)*AG$6:AG1883)),"Date antérieure au bon précédent",IF(AND(A1884&lt;&gt;"BR",ISNUMBER(M1884),N(M1884)&gt;0),IF(A1884="BL","Livré plus que commandé","Sorti plus que demandé"),"OK"))))))))))))</f>
        <v/>
      </c>
      <c r="Y1884" s="57" t="str">
        <f>IF(AND(OR(A1884="BL",A1884="BR",A1884="BS"),AG1884&gt;0,D1884&lt;&gt;""),A1884&amp;"|"&amp;AG1884&amp;"|"&amp;D1884&amp;"|"&amp;F1884,"")</f>
        <v/>
      </c>
      <c r="Z1884" s="57" t="str">
        <f>IF(Y1884="","",IF(COUNTIF(Y$6:Y1883,Y1884)=0,1,0))</f>
        <v/>
      </c>
      <c r="AA1884" s="57" t="str">
        <f>IF(Y1884="","",IF(Z1884=1,COUNTIFS(A$6:A1884,A1884,Z$6:Z1884,1),INDEX(AA$6:AA1883,MATCH(Y1884,Y$6:Y1883,0))))</f>
        <v/>
      </c>
      <c r="AB1884" s="57" t="str">
        <f>IF(B1884="","",COUNTIF(B$6:B1884,B1884))</f>
        <v/>
      </c>
      <c r="AC1884" s="57" t="str">
        <f>IF(B1884="","",B1884&amp;"#"&amp;AB1884)</f>
        <v/>
      </c>
      <c r="AD1884" s="57" t="str">
        <f>IF(Z1884=1,A1884&amp;AA1884,"")</f>
        <v/>
      </c>
      <c r="AE1884" s="57" t="str">
        <f>IF(B1884="","",YEAR(C1884))</f>
        <v/>
      </c>
      <c r="AF1884" s="57" t="str">
        <f>IF(B1884="","",MONTH(C1884))</f>
        <v/>
      </c>
      <c r="AG1884" s="57">
        <f>IF(ISNUMBER(C1884),C1884,0)</f>
        <v>0.0</v>
      </c>
      <c r="AH1884" s="57" t="str">
        <f>IF(N(W1884)&gt;0,COUNTIF(W$6:W1884,"&gt;0"),"")</f>
        <v/>
      </c>
      <c r="AI1884" s="57" t="str">
        <f>IF(Z1884=1,COUNTIF(Z$6:Z1884,1),"")</f>
        <v/>
      </c>
    </row>
    <row r="1885">
      <c r="A1885" s="54" t="n"/>
      <c r="B1885" s="55" t="str">
        <f>IF(AA1885="","",A1885&amp;"-"&amp;RIGHT("000"&amp;AA1885,4))</f>
        <v/>
      </c>
      <c r="C1885" s="56" t="n"/>
      <c r="D1885" s="54" t="n"/>
      <c r="E1885" s="57" t="str">
        <f>IF(D1885="","",IF(A1885="BL",IFERROR(INDEX(cl_name,MATCH(D1885,cl_code,0))&amp;"","Client inconnu"),IF(A1885="BR",IFERROR(INDEX(fo_name,MATCH(D1885,fo_code,0))&amp;"","Fournisseur inconnu"),IF(A1885="BS",IF(ISNA(MATCH(D1885,p_services,0)),"Service inconnu",D1885&amp;""),""))))</f>
        <v/>
      </c>
      <c r="F1885" s="58" t="n"/>
      <c r="G1885" s="58" t="n"/>
      <c r="H1885" s="59" t="n"/>
      <c r="I1885" s="57" t="str">
        <f>IF(H1885="","",IFERROR(INDEX(art_des,MATCH(H1885,art_ref,0))&amp;"","Article inconnu"))</f>
        <v/>
      </c>
      <c r="J1885" s="60" t="str">
        <f>IF(H1885="","",IFERROR(INDEX(art_unit,MATCH(H1885,art_ref,0))&amp;"",""))</f>
        <v/>
      </c>
      <c r="K1885" s="59" t="n"/>
      <c r="L1885" s="59" t="n"/>
      <c r="M1885" s="61" t="str">
        <f>IF(OR(B1885="",NOT(ISNUMBER(K1885)),NOT(ISNUMBER(L1885))),"",IF(OR(K1885&lt;=0,L1885&lt;=0),"",ROUND(L1885-K1885,6)))</f>
        <v/>
      </c>
      <c r="N1885" s="58" t="n"/>
      <c r="O1885" s="62" t="n"/>
      <c r="P1885" s="63" t="str">
        <f>IF(OR(B1885="",NOT(ISNUMBER(L1885))),"",IF(L1885&lt;=0,"",IFERROR(ROUND(L1885*N(INDEX(art_w,MATCH(H1885,art_ref,0))),3),"")))</f>
        <v/>
      </c>
      <c r="Q1885" s="59" t="n"/>
      <c r="R1885" s="54" t="n"/>
      <c r="S1885" s="59" t="n"/>
      <c r="T1885" s="59" t="n"/>
      <c r="U1885" s="64" t="str">
        <f>IF(OR(B1885="",H1885=""),"",IFERROR(IF(A1885="BL",IF(N(INDEX(art_price,MATCH(H1885,art_ref,0)))=0,"",N(INDEX(art_price,MATCH(H1885,art_ref,0)))),IF(N(INDEX(art_cost,MATCH(H1885,art_ref,0)))=0,"",N(INDEX(art_cost,MATCH(H1885,art_ref,0))))),""))</f>
        <v/>
      </c>
      <c r="V1885" s="64" t="str">
        <f>IF(OR(U1885="",NOT(ISNUMBER(L1885))),"",IF(L1885&lt;=0,"",ROUND(L1885*U1885,2)))</f>
        <v/>
      </c>
      <c r="W1885" s="60" t="str">
        <f>IF(AND(B1885&lt;&gt;"",A1885&lt;&gt;"BS",F1885&lt;&gt;"",H1885&lt;&gt;"",ISNUMBER(K1885),ISNUMBER(L1885)),IF(AND(K1885&gt;0,L1885&gt;0,K1885-L1885&gt;0,COUNTIFS(A1886:A$2005,A1885,F1886:F$2005,F1885,H1886:H$2005,H1885,AA1886:AA$2005,"&gt;0")=0),ROUND(K1885-L1885,6),""),"")</f>
        <v/>
      </c>
      <c r="X1885" s="60" t="str">
        <f>IF(AND(A1885="",C1885="",D1885="",H1885="",L1885=""),"",IF(A1885="","Type manquant",IF(AND(A1885&lt;&gt;"BL",A1885&lt;&gt;"BR",A1885&lt;&gt;"BS"),"Type inconnu (BL, BR ou BS)",IF(AG1885=0,"Date manquante ou invalide",IF(D1885="",IF(A1885="BL","Client manquant",IF(A1885="BR","Fournisseur manquant","Service manquant")),IF(IF(A1885="BL",ISNA(MATCH(D1885,cl_code,0)),IF(A1885="BR",ISNA(MATCH(D1885,fo_code,0)),ISNA(MATCH(D1885,p_services,0)))),IF(A1885="BL","Client inconnu",IF(A1885="BR","Fournisseur inconnu","Service inconnu")),IF(H1885="","Article manquant",IF(ISNA(MATCH(H1885,art_ref,0)),"Article inconnu",IF(OR(NOT(ISNUMBER(L1885)),N(L1885)&lt;=0),"Quantité invalide",IF(AND(K1885&lt;&gt;"",OR(NOT(ISNUMBER(K1885)),N(K1885)&lt;=0)),"Qté commandée invalide",IF(AG1885&lt;SUMPRODUCT(MAX((A$6:A1884=A1885)*AG$6:AG1884)),"Date antérieure au bon précédent",IF(AND(A1885&lt;&gt;"BR",ISNUMBER(M1885),N(M1885)&gt;0),IF(A1885="BL","Livré plus que commandé","Sorti plus que demandé"),"OK"))))))))))))</f>
        <v/>
      </c>
      <c r="Y1885" s="57" t="str">
        <f>IF(AND(OR(A1885="BL",A1885="BR",A1885="BS"),AG1885&gt;0,D1885&lt;&gt;""),A1885&amp;"|"&amp;AG1885&amp;"|"&amp;D1885&amp;"|"&amp;F1885,"")</f>
        <v/>
      </c>
      <c r="Z1885" s="57" t="str">
        <f>IF(Y1885="","",IF(COUNTIF(Y$6:Y1884,Y1885)=0,1,0))</f>
        <v/>
      </c>
      <c r="AA1885" s="57" t="str">
        <f>IF(Y1885="","",IF(Z1885=1,COUNTIFS(A$6:A1885,A1885,Z$6:Z1885,1),INDEX(AA$6:AA1884,MATCH(Y1885,Y$6:Y1884,0))))</f>
        <v/>
      </c>
      <c r="AB1885" s="57" t="str">
        <f>IF(B1885="","",COUNTIF(B$6:B1885,B1885))</f>
        <v/>
      </c>
      <c r="AC1885" s="57" t="str">
        <f>IF(B1885="","",B1885&amp;"#"&amp;AB1885)</f>
        <v/>
      </c>
      <c r="AD1885" s="57" t="str">
        <f>IF(Z1885=1,A1885&amp;AA1885,"")</f>
        <v/>
      </c>
      <c r="AE1885" s="57" t="str">
        <f>IF(B1885="","",YEAR(C1885))</f>
        <v/>
      </c>
      <c r="AF1885" s="57" t="str">
        <f>IF(B1885="","",MONTH(C1885))</f>
        <v/>
      </c>
      <c r="AG1885" s="57">
        <f>IF(ISNUMBER(C1885),C1885,0)</f>
        <v>0.0</v>
      </c>
      <c r="AH1885" s="57" t="str">
        <f>IF(N(W1885)&gt;0,COUNTIF(W$6:W1885,"&gt;0"),"")</f>
        <v/>
      </c>
      <c r="AI1885" s="57" t="str">
        <f>IF(Z1885=1,COUNTIF(Z$6:Z1885,1),"")</f>
        <v/>
      </c>
    </row>
    <row r="1886">
      <c r="A1886" s="54" t="n"/>
      <c r="B1886" s="55" t="str">
        <f>IF(AA1886="","",A1886&amp;"-"&amp;RIGHT("000"&amp;AA1886,4))</f>
        <v/>
      </c>
      <c r="C1886" s="56" t="n"/>
      <c r="D1886" s="54" t="n"/>
      <c r="E1886" s="57" t="str">
        <f>IF(D1886="","",IF(A1886="BL",IFERROR(INDEX(cl_name,MATCH(D1886,cl_code,0))&amp;"","Client inconnu"),IF(A1886="BR",IFERROR(INDEX(fo_name,MATCH(D1886,fo_code,0))&amp;"","Fournisseur inconnu"),IF(A1886="BS",IF(ISNA(MATCH(D1886,p_services,0)),"Service inconnu",D1886&amp;""),""))))</f>
        <v/>
      </c>
      <c r="F1886" s="58" t="n"/>
      <c r="G1886" s="58" t="n"/>
      <c r="H1886" s="59" t="n"/>
      <c r="I1886" s="57" t="str">
        <f>IF(H1886="","",IFERROR(INDEX(art_des,MATCH(H1886,art_ref,0))&amp;"","Article inconnu"))</f>
        <v/>
      </c>
      <c r="J1886" s="60" t="str">
        <f>IF(H1886="","",IFERROR(INDEX(art_unit,MATCH(H1886,art_ref,0))&amp;"",""))</f>
        <v/>
      </c>
      <c r="K1886" s="59" t="n"/>
      <c r="L1886" s="59" t="n"/>
      <c r="M1886" s="61" t="str">
        <f>IF(OR(B1886="",NOT(ISNUMBER(K1886)),NOT(ISNUMBER(L1886))),"",IF(OR(K1886&lt;=0,L1886&lt;=0),"",ROUND(L1886-K1886,6)))</f>
        <v/>
      </c>
      <c r="N1886" s="58" t="n"/>
      <c r="O1886" s="62" t="n"/>
      <c r="P1886" s="63" t="str">
        <f>IF(OR(B1886="",NOT(ISNUMBER(L1886))),"",IF(L1886&lt;=0,"",IFERROR(ROUND(L1886*N(INDEX(art_w,MATCH(H1886,art_ref,0))),3),"")))</f>
        <v/>
      </c>
      <c r="Q1886" s="59" t="n"/>
      <c r="R1886" s="54" t="n"/>
      <c r="S1886" s="59" t="n"/>
      <c r="T1886" s="59" t="n"/>
      <c r="U1886" s="64" t="str">
        <f>IF(OR(B1886="",H1886=""),"",IFERROR(IF(A1886="BL",IF(N(INDEX(art_price,MATCH(H1886,art_ref,0)))=0,"",N(INDEX(art_price,MATCH(H1886,art_ref,0)))),IF(N(INDEX(art_cost,MATCH(H1886,art_ref,0)))=0,"",N(INDEX(art_cost,MATCH(H1886,art_ref,0))))),""))</f>
        <v/>
      </c>
      <c r="V1886" s="64" t="str">
        <f>IF(OR(U1886="",NOT(ISNUMBER(L1886))),"",IF(L1886&lt;=0,"",ROUND(L1886*U1886,2)))</f>
        <v/>
      </c>
      <c r="W1886" s="60" t="str">
        <f>IF(AND(B1886&lt;&gt;"",A1886&lt;&gt;"BS",F1886&lt;&gt;"",H1886&lt;&gt;"",ISNUMBER(K1886),ISNUMBER(L1886)),IF(AND(K1886&gt;0,L1886&gt;0,K1886-L1886&gt;0,COUNTIFS(A1887:A$2005,A1886,F1887:F$2005,F1886,H1887:H$2005,H1886,AA1887:AA$2005,"&gt;0")=0),ROUND(K1886-L1886,6),""),"")</f>
        <v/>
      </c>
      <c r="X1886" s="60" t="str">
        <f>IF(AND(A1886="",C1886="",D1886="",H1886="",L1886=""),"",IF(A1886="","Type manquant",IF(AND(A1886&lt;&gt;"BL",A1886&lt;&gt;"BR",A1886&lt;&gt;"BS"),"Type inconnu (BL, BR ou BS)",IF(AG1886=0,"Date manquante ou invalide",IF(D1886="",IF(A1886="BL","Client manquant",IF(A1886="BR","Fournisseur manquant","Service manquant")),IF(IF(A1886="BL",ISNA(MATCH(D1886,cl_code,0)),IF(A1886="BR",ISNA(MATCH(D1886,fo_code,0)),ISNA(MATCH(D1886,p_services,0)))),IF(A1886="BL","Client inconnu",IF(A1886="BR","Fournisseur inconnu","Service inconnu")),IF(H1886="","Article manquant",IF(ISNA(MATCH(H1886,art_ref,0)),"Article inconnu",IF(OR(NOT(ISNUMBER(L1886)),N(L1886)&lt;=0),"Quantité invalide",IF(AND(K1886&lt;&gt;"",OR(NOT(ISNUMBER(K1886)),N(K1886)&lt;=0)),"Qté commandée invalide",IF(AG1886&lt;SUMPRODUCT(MAX((A$6:A1885=A1886)*AG$6:AG1885)),"Date antérieure au bon précédent",IF(AND(A1886&lt;&gt;"BR",ISNUMBER(M1886),N(M1886)&gt;0),IF(A1886="BL","Livré plus que commandé","Sorti plus que demandé"),"OK"))))))))))))</f>
        <v/>
      </c>
      <c r="Y1886" s="57" t="str">
        <f>IF(AND(OR(A1886="BL",A1886="BR",A1886="BS"),AG1886&gt;0,D1886&lt;&gt;""),A1886&amp;"|"&amp;AG1886&amp;"|"&amp;D1886&amp;"|"&amp;F1886,"")</f>
        <v/>
      </c>
      <c r="Z1886" s="57" t="str">
        <f>IF(Y1886="","",IF(COUNTIF(Y$6:Y1885,Y1886)=0,1,0))</f>
        <v/>
      </c>
      <c r="AA1886" s="57" t="str">
        <f>IF(Y1886="","",IF(Z1886=1,COUNTIFS(A$6:A1886,A1886,Z$6:Z1886,1),INDEX(AA$6:AA1885,MATCH(Y1886,Y$6:Y1885,0))))</f>
        <v/>
      </c>
      <c r="AB1886" s="57" t="str">
        <f>IF(B1886="","",COUNTIF(B$6:B1886,B1886))</f>
        <v/>
      </c>
      <c r="AC1886" s="57" t="str">
        <f>IF(B1886="","",B1886&amp;"#"&amp;AB1886)</f>
        <v/>
      </c>
      <c r="AD1886" s="57" t="str">
        <f>IF(Z1886=1,A1886&amp;AA1886,"")</f>
        <v/>
      </c>
      <c r="AE1886" s="57" t="str">
        <f>IF(B1886="","",YEAR(C1886))</f>
        <v/>
      </c>
      <c r="AF1886" s="57" t="str">
        <f>IF(B1886="","",MONTH(C1886))</f>
        <v/>
      </c>
      <c r="AG1886" s="57">
        <f>IF(ISNUMBER(C1886),C1886,0)</f>
        <v>0.0</v>
      </c>
      <c r="AH1886" s="57" t="str">
        <f>IF(N(W1886)&gt;0,COUNTIF(W$6:W1886,"&gt;0"),"")</f>
        <v/>
      </c>
      <c r="AI1886" s="57" t="str">
        <f>IF(Z1886=1,COUNTIF(Z$6:Z1886,1),"")</f>
        <v/>
      </c>
    </row>
    <row r="1887">
      <c r="A1887" s="54" t="n"/>
      <c r="B1887" s="55" t="str">
        <f>IF(AA1887="","",A1887&amp;"-"&amp;RIGHT("000"&amp;AA1887,4))</f>
        <v/>
      </c>
      <c r="C1887" s="56" t="n"/>
      <c r="D1887" s="54" t="n"/>
      <c r="E1887" s="57" t="str">
        <f>IF(D1887="","",IF(A1887="BL",IFERROR(INDEX(cl_name,MATCH(D1887,cl_code,0))&amp;"","Client inconnu"),IF(A1887="BR",IFERROR(INDEX(fo_name,MATCH(D1887,fo_code,0))&amp;"","Fournisseur inconnu"),IF(A1887="BS",IF(ISNA(MATCH(D1887,p_services,0)),"Service inconnu",D1887&amp;""),""))))</f>
        <v/>
      </c>
      <c r="F1887" s="58" t="n"/>
      <c r="G1887" s="58" t="n"/>
      <c r="H1887" s="59" t="n"/>
      <c r="I1887" s="57" t="str">
        <f>IF(H1887="","",IFERROR(INDEX(art_des,MATCH(H1887,art_ref,0))&amp;"","Article inconnu"))</f>
        <v/>
      </c>
      <c r="J1887" s="60" t="str">
        <f>IF(H1887="","",IFERROR(INDEX(art_unit,MATCH(H1887,art_ref,0))&amp;"",""))</f>
        <v/>
      </c>
      <c r="K1887" s="59" t="n"/>
      <c r="L1887" s="59" t="n"/>
      <c r="M1887" s="61" t="str">
        <f>IF(OR(B1887="",NOT(ISNUMBER(K1887)),NOT(ISNUMBER(L1887))),"",IF(OR(K1887&lt;=0,L1887&lt;=0),"",ROUND(L1887-K1887,6)))</f>
        <v/>
      </c>
      <c r="N1887" s="58" t="n"/>
      <c r="O1887" s="62" t="n"/>
      <c r="P1887" s="63" t="str">
        <f>IF(OR(B1887="",NOT(ISNUMBER(L1887))),"",IF(L1887&lt;=0,"",IFERROR(ROUND(L1887*N(INDEX(art_w,MATCH(H1887,art_ref,0))),3),"")))</f>
        <v/>
      </c>
      <c r="Q1887" s="59" t="n"/>
      <c r="R1887" s="54" t="n"/>
      <c r="S1887" s="59" t="n"/>
      <c r="T1887" s="59" t="n"/>
      <c r="U1887" s="64" t="str">
        <f>IF(OR(B1887="",H1887=""),"",IFERROR(IF(A1887="BL",IF(N(INDEX(art_price,MATCH(H1887,art_ref,0)))=0,"",N(INDEX(art_price,MATCH(H1887,art_ref,0)))),IF(N(INDEX(art_cost,MATCH(H1887,art_ref,0)))=0,"",N(INDEX(art_cost,MATCH(H1887,art_ref,0))))),""))</f>
        <v/>
      </c>
      <c r="V1887" s="64" t="str">
        <f>IF(OR(U1887="",NOT(ISNUMBER(L1887))),"",IF(L1887&lt;=0,"",ROUND(L1887*U1887,2)))</f>
        <v/>
      </c>
      <c r="W1887" s="60" t="str">
        <f>IF(AND(B1887&lt;&gt;"",A1887&lt;&gt;"BS",F1887&lt;&gt;"",H1887&lt;&gt;"",ISNUMBER(K1887),ISNUMBER(L1887)),IF(AND(K1887&gt;0,L1887&gt;0,K1887-L1887&gt;0,COUNTIFS(A1888:A$2005,A1887,F1888:F$2005,F1887,H1888:H$2005,H1887,AA1888:AA$2005,"&gt;0")=0),ROUND(K1887-L1887,6),""),"")</f>
        <v/>
      </c>
      <c r="X1887" s="60" t="str">
        <f>IF(AND(A1887="",C1887="",D1887="",H1887="",L1887=""),"",IF(A1887="","Type manquant",IF(AND(A1887&lt;&gt;"BL",A1887&lt;&gt;"BR",A1887&lt;&gt;"BS"),"Type inconnu (BL, BR ou BS)",IF(AG1887=0,"Date manquante ou invalide",IF(D1887="",IF(A1887="BL","Client manquant",IF(A1887="BR","Fournisseur manquant","Service manquant")),IF(IF(A1887="BL",ISNA(MATCH(D1887,cl_code,0)),IF(A1887="BR",ISNA(MATCH(D1887,fo_code,0)),ISNA(MATCH(D1887,p_services,0)))),IF(A1887="BL","Client inconnu",IF(A1887="BR","Fournisseur inconnu","Service inconnu")),IF(H1887="","Article manquant",IF(ISNA(MATCH(H1887,art_ref,0)),"Article inconnu",IF(OR(NOT(ISNUMBER(L1887)),N(L1887)&lt;=0),"Quantité invalide",IF(AND(K1887&lt;&gt;"",OR(NOT(ISNUMBER(K1887)),N(K1887)&lt;=0)),"Qté commandée invalide",IF(AG1887&lt;SUMPRODUCT(MAX((A$6:A1886=A1887)*AG$6:AG1886)),"Date antérieure au bon précédent",IF(AND(A1887&lt;&gt;"BR",ISNUMBER(M1887),N(M1887)&gt;0),IF(A1887="BL","Livré plus que commandé","Sorti plus que demandé"),"OK"))))))))))))</f>
        <v/>
      </c>
      <c r="Y1887" s="57" t="str">
        <f>IF(AND(OR(A1887="BL",A1887="BR",A1887="BS"),AG1887&gt;0,D1887&lt;&gt;""),A1887&amp;"|"&amp;AG1887&amp;"|"&amp;D1887&amp;"|"&amp;F1887,"")</f>
        <v/>
      </c>
      <c r="Z1887" s="57" t="str">
        <f>IF(Y1887="","",IF(COUNTIF(Y$6:Y1886,Y1887)=0,1,0))</f>
        <v/>
      </c>
      <c r="AA1887" s="57" t="str">
        <f>IF(Y1887="","",IF(Z1887=1,COUNTIFS(A$6:A1887,A1887,Z$6:Z1887,1),INDEX(AA$6:AA1886,MATCH(Y1887,Y$6:Y1886,0))))</f>
        <v/>
      </c>
      <c r="AB1887" s="57" t="str">
        <f>IF(B1887="","",COUNTIF(B$6:B1887,B1887))</f>
        <v/>
      </c>
      <c r="AC1887" s="57" t="str">
        <f>IF(B1887="","",B1887&amp;"#"&amp;AB1887)</f>
        <v/>
      </c>
      <c r="AD1887" s="57" t="str">
        <f>IF(Z1887=1,A1887&amp;AA1887,"")</f>
        <v/>
      </c>
      <c r="AE1887" s="57" t="str">
        <f>IF(B1887="","",YEAR(C1887))</f>
        <v/>
      </c>
      <c r="AF1887" s="57" t="str">
        <f>IF(B1887="","",MONTH(C1887))</f>
        <v/>
      </c>
      <c r="AG1887" s="57">
        <f>IF(ISNUMBER(C1887),C1887,0)</f>
        <v>0.0</v>
      </c>
      <c r="AH1887" s="57" t="str">
        <f>IF(N(W1887)&gt;0,COUNTIF(W$6:W1887,"&gt;0"),"")</f>
        <v/>
      </c>
      <c r="AI1887" s="57" t="str">
        <f>IF(Z1887=1,COUNTIF(Z$6:Z1887,1),"")</f>
        <v/>
      </c>
    </row>
    <row r="1888">
      <c r="A1888" s="54" t="n"/>
      <c r="B1888" s="55" t="str">
        <f>IF(AA1888="","",A1888&amp;"-"&amp;RIGHT("000"&amp;AA1888,4))</f>
        <v/>
      </c>
      <c r="C1888" s="56" t="n"/>
      <c r="D1888" s="54" t="n"/>
      <c r="E1888" s="57" t="str">
        <f>IF(D1888="","",IF(A1888="BL",IFERROR(INDEX(cl_name,MATCH(D1888,cl_code,0))&amp;"","Client inconnu"),IF(A1888="BR",IFERROR(INDEX(fo_name,MATCH(D1888,fo_code,0))&amp;"","Fournisseur inconnu"),IF(A1888="BS",IF(ISNA(MATCH(D1888,p_services,0)),"Service inconnu",D1888&amp;""),""))))</f>
        <v/>
      </c>
      <c r="F1888" s="58" t="n"/>
      <c r="G1888" s="58" t="n"/>
      <c r="H1888" s="59" t="n"/>
      <c r="I1888" s="57" t="str">
        <f>IF(H1888="","",IFERROR(INDEX(art_des,MATCH(H1888,art_ref,0))&amp;"","Article inconnu"))</f>
        <v/>
      </c>
      <c r="J1888" s="60" t="str">
        <f>IF(H1888="","",IFERROR(INDEX(art_unit,MATCH(H1888,art_ref,0))&amp;"",""))</f>
        <v/>
      </c>
      <c r="K1888" s="59" t="n"/>
      <c r="L1888" s="59" t="n"/>
      <c r="M1888" s="61" t="str">
        <f>IF(OR(B1888="",NOT(ISNUMBER(K1888)),NOT(ISNUMBER(L1888))),"",IF(OR(K1888&lt;=0,L1888&lt;=0),"",ROUND(L1888-K1888,6)))</f>
        <v/>
      </c>
      <c r="N1888" s="58" t="n"/>
      <c r="O1888" s="62" t="n"/>
      <c r="P1888" s="63" t="str">
        <f>IF(OR(B1888="",NOT(ISNUMBER(L1888))),"",IF(L1888&lt;=0,"",IFERROR(ROUND(L1888*N(INDEX(art_w,MATCH(H1888,art_ref,0))),3),"")))</f>
        <v/>
      </c>
      <c r="Q1888" s="59" t="n"/>
      <c r="R1888" s="54" t="n"/>
      <c r="S1888" s="59" t="n"/>
      <c r="T1888" s="59" t="n"/>
      <c r="U1888" s="64" t="str">
        <f>IF(OR(B1888="",H1888=""),"",IFERROR(IF(A1888="BL",IF(N(INDEX(art_price,MATCH(H1888,art_ref,0)))=0,"",N(INDEX(art_price,MATCH(H1888,art_ref,0)))),IF(N(INDEX(art_cost,MATCH(H1888,art_ref,0)))=0,"",N(INDEX(art_cost,MATCH(H1888,art_ref,0))))),""))</f>
        <v/>
      </c>
      <c r="V1888" s="64" t="str">
        <f>IF(OR(U1888="",NOT(ISNUMBER(L1888))),"",IF(L1888&lt;=0,"",ROUND(L1888*U1888,2)))</f>
        <v/>
      </c>
      <c r="W1888" s="60" t="str">
        <f>IF(AND(B1888&lt;&gt;"",A1888&lt;&gt;"BS",F1888&lt;&gt;"",H1888&lt;&gt;"",ISNUMBER(K1888),ISNUMBER(L1888)),IF(AND(K1888&gt;0,L1888&gt;0,K1888-L1888&gt;0,COUNTIFS(A1889:A$2005,A1888,F1889:F$2005,F1888,H1889:H$2005,H1888,AA1889:AA$2005,"&gt;0")=0),ROUND(K1888-L1888,6),""),"")</f>
        <v/>
      </c>
      <c r="X1888" s="60" t="str">
        <f>IF(AND(A1888="",C1888="",D1888="",H1888="",L1888=""),"",IF(A1888="","Type manquant",IF(AND(A1888&lt;&gt;"BL",A1888&lt;&gt;"BR",A1888&lt;&gt;"BS"),"Type inconnu (BL, BR ou BS)",IF(AG1888=0,"Date manquante ou invalide",IF(D1888="",IF(A1888="BL","Client manquant",IF(A1888="BR","Fournisseur manquant","Service manquant")),IF(IF(A1888="BL",ISNA(MATCH(D1888,cl_code,0)),IF(A1888="BR",ISNA(MATCH(D1888,fo_code,0)),ISNA(MATCH(D1888,p_services,0)))),IF(A1888="BL","Client inconnu",IF(A1888="BR","Fournisseur inconnu","Service inconnu")),IF(H1888="","Article manquant",IF(ISNA(MATCH(H1888,art_ref,0)),"Article inconnu",IF(OR(NOT(ISNUMBER(L1888)),N(L1888)&lt;=0),"Quantité invalide",IF(AND(K1888&lt;&gt;"",OR(NOT(ISNUMBER(K1888)),N(K1888)&lt;=0)),"Qté commandée invalide",IF(AG1888&lt;SUMPRODUCT(MAX((A$6:A1887=A1888)*AG$6:AG1887)),"Date antérieure au bon précédent",IF(AND(A1888&lt;&gt;"BR",ISNUMBER(M1888),N(M1888)&gt;0),IF(A1888="BL","Livré plus que commandé","Sorti plus que demandé"),"OK"))))))))))))</f>
        <v/>
      </c>
      <c r="Y1888" s="57" t="str">
        <f>IF(AND(OR(A1888="BL",A1888="BR",A1888="BS"),AG1888&gt;0,D1888&lt;&gt;""),A1888&amp;"|"&amp;AG1888&amp;"|"&amp;D1888&amp;"|"&amp;F1888,"")</f>
        <v/>
      </c>
      <c r="Z1888" s="57" t="str">
        <f>IF(Y1888="","",IF(COUNTIF(Y$6:Y1887,Y1888)=0,1,0))</f>
        <v/>
      </c>
      <c r="AA1888" s="57" t="str">
        <f>IF(Y1888="","",IF(Z1888=1,COUNTIFS(A$6:A1888,A1888,Z$6:Z1888,1),INDEX(AA$6:AA1887,MATCH(Y1888,Y$6:Y1887,0))))</f>
        <v/>
      </c>
      <c r="AB1888" s="57" t="str">
        <f>IF(B1888="","",COUNTIF(B$6:B1888,B1888))</f>
        <v/>
      </c>
      <c r="AC1888" s="57" t="str">
        <f>IF(B1888="","",B1888&amp;"#"&amp;AB1888)</f>
        <v/>
      </c>
      <c r="AD1888" s="57" t="str">
        <f>IF(Z1888=1,A1888&amp;AA1888,"")</f>
        <v/>
      </c>
      <c r="AE1888" s="57" t="str">
        <f>IF(B1888="","",YEAR(C1888))</f>
        <v/>
      </c>
      <c r="AF1888" s="57" t="str">
        <f>IF(B1888="","",MONTH(C1888))</f>
        <v/>
      </c>
      <c r="AG1888" s="57">
        <f>IF(ISNUMBER(C1888),C1888,0)</f>
        <v>0.0</v>
      </c>
      <c r="AH1888" s="57" t="str">
        <f>IF(N(W1888)&gt;0,COUNTIF(W$6:W1888,"&gt;0"),"")</f>
        <v/>
      </c>
      <c r="AI1888" s="57" t="str">
        <f>IF(Z1888=1,COUNTIF(Z$6:Z1888,1),"")</f>
        <v/>
      </c>
    </row>
    <row r="1889">
      <c r="A1889" s="54" t="n"/>
      <c r="B1889" s="55" t="str">
        <f>IF(AA1889="","",A1889&amp;"-"&amp;RIGHT("000"&amp;AA1889,4))</f>
        <v/>
      </c>
      <c r="C1889" s="56" t="n"/>
      <c r="D1889" s="54" t="n"/>
      <c r="E1889" s="57" t="str">
        <f>IF(D1889="","",IF(A1889="BL",IFERROR(INDEX(cl_name,MATCH(D1889,cl_code,0))&amp;"","Client inconnu"),IF(A1889="BR",IFERROR(INDEX(fo_name,MATCH(D1889,fo_code,0))&amp;"","Fournisseur inconnu"),IF(A1889="BS",IF(ISNA(MATCH(D1889,p_services,0)),"Service inconnu",D1889&amp;""),""))))</f>
        <v/>
      </c>
      <c r="F1889" s="58" t="n"/>
      <c r="G1889" s="58" t="n"/>
      <c r="H1889" s="59" t="n"/>
      <c r="I1889" s="57" t="str">
        <f>IF(H1889="","",IFERROR(INDEX(art_des,MATCH(H1889,art_ref,0))&amp;"","Article inconnu"))</f>
        <v/>
      </c>
      <c r="J1889" s="60" t="str">
        <f>IF(H1889="","",IFERROR(INDEX(art_unit,MATCH(H1889,art_ref,0))&amp;"",""))</f>
        <v/>
      </c>
      <c r="K1889" s="59" t="n"/>
      <c r="L1889" s="59" t="n"/>
      <c r="M1889" s="61" t="str">
        <f>IF(OR(B1889="",NOT(ISNUMBER(K1889)),NOT(ISNUMBER(L1889))),"",IF(OR(K1889&lt;=0,L1889&lt;=0),"",ROUND(L1889-K1889,6)))</f>
        <v/>
      </c>
      <c r="N1889" s="58" t="n"/>
      <c r="O1889" s="62" t="n"/>
      <c r="P1889" s="63" t="str">
        <f>IF(OR(B1889="",NOT(ISNUMBER(L1889))),"",IF(L1889&lt;=0,"",IFERROR(ROUND(L1889*N(INDEX(art_w,MATCH(H1889,art_ref,0))),3),"")))</f>
        <v/>
      </c>
      <c r="Q1889" s="59" t="n"/>
      <c r="R1889" s="54" t="n"/>
      <c r="S1889" s="59" t="n"/>
      <c r="T1889" s="59" t="n"/>
      <c r="U1889" s="64" t="str">
        <f>IF(OR(B1889="",H1889=""),"",IFERROR(IF(A1889="BL",IF(N(INDEX(art_price,MATCH(H1889,art_ref,0)))=0,"",N(INDEX(art_price,MATCH(H1889,art_ref,0)))),IF(N(INDEX(art_cost,MATCH(H1889,art_ref,0)))=0,"",N(INDEX(art_cost,MATCH(H1889,art_ref,0))))),""))</f>
        <v/>
      </c>
      <c r="V1889" s="64" t="str">
        <f>IF(OR(U1889="",NOT(ISNUMBER(L1889))),"",IF(L1889&lt;=0,"",ROUND(L1889*U1889,2)))</f>
        <v/>
      </c>
      <c r="W1889" s="60" t="str">
        <f>IF(AND(B1889&lt;&gt;"",A1889&lt;&gt;"BS",F1889&lt;&gt;"",H1889&lt;&gt;"",ISNUMBER(K1889),ISNUMBER(L1889)),IF(AND(K1889&gt;0,L1889&gt;0,K1889-L1889&gt;0,COUNTIFS(A1890:A$2005,A1889,F1890:F$2005,F1889,H1890:H$2005,H1889,AA1890:AA$2005,"&gt;0")=0),ROUND(K1889-L1889,6),""),"")</f>
        <v/>
      </c>
      <c r="X1889" s="60" t="str">
        <f>IF(AND(A1889="",C1889="",D1889="",H1889="",L1889=""),"",IF(A1889="","Type manquant",IF(AND(A1889&lt;&gt;"BL",A1889&lt;&gt;"BR",A1889&lt;&gt;"BS"),"Type inconnu (BL, BR ou BS)",IF(AG1889=0,"Date manquante ou invalide",IF(D1889="",IF(A1889="BL","Client manquant",IF(A1889="BR","Fournisseur manquant","Service manquant")),IF(IF(A1889="BL",ISNA(MATCH(D1889,cl_code,0)),IF(A1889="BR",ISNA(MATCH(D1889,fo_code,0)),ISNA(MATCH(D1889,p_services,0)))),IF(A1889="BL","Client inconnu",IF(A1889="BR","Fournisseur inconnu","Service inconnu")),IF(H1889="","Article manquant",IF(ISNA(MATCH(H1889,art_ref,0)),"Article inconnu",IF(OR(NOT(ISNUMBER(L1889)),N(L1889)&lt;=0),"Quantité invalide",IF(AND(K1889&lt;&gt;"",OR(NOT(ISNUMBER(K1889)),N(K1889)&lt;=0)),"Qté commandée invalide",IF(AG1889&lt;SUMPRODUCT(MAX((A$6:A1888=A1889)*AG$6:AG1888)),"Date antérieure au bon précédent",IF(AND(A1889&lt;&gt;"BR",ISNUMBER(M1889),N(M1889)&gt;0),IF(A1889="BL","Livré plus que commandé","Sorti plus que demandé"),"OK"))))))))))))</f>
        <v/>
      </c>
      <c r="Y1889" s="57" t="str">
        <f>IF(AND(OR(A1889="BL",A1889="BR",A1889="BS"),AG1889&gt;0,D1889&lt;&gt;""),A1889&amp;"|"&amp;AG1889&amp;"|"&amp;D1889&amp;"|"&amp;F1889,"")</f>
        <v/>
      </c>
      <c r="Z1889" s="57" t="str">
        <f>IF(Y1889="","",IF(COUNTIF(Y$6:Y1888,Y1889)=0,1,0))</f>
        <v/>
      </c>
      <c r="AA1889" s="57" t="str">
        <f>IF(Y1889="","",IF(Z1889=1,COUNTIFS(A$6:A1889,A1889,Z$6:Z1889,1),INDEX(AA$6:AA1888,MATCH(Y1889,Y$6:Y1888,0))))</f>
        <v/>
      </c>
      <c r="AB1889" s="57" t="str">
        <f>IF(B1889="","",COUNTIF(B$6:B1889,B1889))</f>
        <v/>
      </c>
      <c r="AC1889" s="57" t="str">
        <f>IF(B1889="","",B1889&amp;"#"&amp;AB1889)</f>
        <v/>
      </c>
      <c r="AD1889" s="57" t="str">
        <f>IF(Z1889=1,A1889&amp;AA1889,"")</f>
        <v/>
      </c>
      <c r="AE1889" s="57" t="str">
        <f>IF(B1889="","",YEAR(C1889))</f>
        <v/>
      </c>
      <c r="AF1889" s="57" t="str">
        <f>IF(B1889="","",MONTH(C1889))</f>
        <v/>
      </c>
      <c r="AG1889" s="57">
        <f>IF(ISNUMBER(C1889),C1889,0)</f>
        <v>0.0</v>
      </c>
      <c r="AH1889" s="57" t="str">
        <f>IF(N(W1889)&gt;0,COUNTIF(W$6:W1889,"&gt;0"),"")</f>
        <v/>
      </c>
      <c r="AI1889" s="57" t="str">
        <f>IF(Z1889=1,COUNTIF(Z$6:Z1889,1),"")</f>
        <v/>
      </c>
    </row>
    <row r="1890">
      <c r="A1890" s="54" t="n"/>
      <c r="B1890" s="55" t="str">
        <f>IF(AA1890="","",A1890&amp;"-"&amp;RIGHT("000"&amp;AA1890,4))</f>
        <v/>
      </c>
      <c r="C1890" s="56" t="n"/>
      <c r="D1890" s="54" t="n"/>
      <c r="E1890" s="57" t="str">
        <f>IF(D1890="","",IF(A1890="BL",IFERROR(INDEX(cl_name,MATCH(D1890,cl_code,0))&amp;"","Client inconnu"),IF(A1890="BR",IFERROR(INDEX(fo_name,MATCH(D1890,fo_code,0))&amp;"","Fournisseur inconnu"),IF(A1890="BS",IF(ISNA(MATCH(D1890,p_services,0)),"Service inconnu",D1890&amp;""),""))))</f>
        <v/>
      </c>
      <c r="F1890" s="58" t="n"/>
      <c r="G1890" s="58" t="n"/>
      <c r="H1890" s="59" t="n"/>
      <c r="I1890" s="57" t="str">
        <f>IF(H1890="","",IFERROR(INDEX(art_des,MATCH(H1890,art_ref,0))&amp;"","Article inconnu"))</f>
        <v/>
      </c>
      <c r="J1890" s="60" t="str">
        <f>IF(H1890="","",IFERROR(INDEX(art_unit,MATCH(H1890,art_ref,0))&amp;"",""))</f>
        <v/>
      </c>
      <c r="K1890" s="59" t="n"/>
      <c r="L1890" s="59" t="n"/>
      <c r="M1890" s="61" t="str">
        <f>IF(OR(B1890="",NOT(ISNUMBER(K1890)),NOT(ISNUMBER(L1890))),"",IF(OR(K1890&lt;=0,L1890&lt;=0),"",ROUND(L1890-K1890,6)))</f>
        <v/>
      </c>
      <c r="N1890" s="58" t="n"/>
      <c r="O1890" s="62" t="n"/>
      <c r="P1890" s="63" t="str">
        <f>IF(OR(B1890="",NOT(ISNUMBER(L1890))),"",IF(L1890&lt;=0,"",IFERROR(ROUND(L1890*N(INDEX(art_w,MATCH(H1890,art_ref,0))),3),"")))</f>
        <v/>
      </c>
      <c r="Q1890" s="59" t="n"/>
      <c r="R1890" s="54" t="n"/>
      <c r="S1890" s="59" t="n"/>
      <c r="T1890" s="59" t="n"/>
      <c r="U1890" s="64" t="str">
        <f>IF(OR(B1890="",H1890=""),"",IFERROR(IF(A1890="BL",IF(N(INDEX(art_price,MATCH(H1890,art_ref,0)))=0,"",N(INDEX(art_price,MATCH(H1890,art_ref,0)))),IF(N(INDEX(art_cost,MATCH(H1890,art_ref,0)))=0,"",N(INDEX(art_cost,MATCH(H1890,art_ref,0))))),""))</f>
        <v/>
      </c>
      <c r="V1890" s="64" t="str">
        <f>IF(OR(U1890="",NOT(ISNUMBER(L1890))),"",IF(L1890&lt;=0,"",ROUND(L1890*U1890,2)))</f>
        <v/>
      </c>
      <c r="W1890" s="60" t="str">
        <f>IF(AND(B1890&lt;&gt;"",A1890&lt;&gt;"BS",F1890&lt;&gt;"",H1890&lt;&gt;"",ISNUMBER(K1890),ISNUMBER(L1890)),IF(AND(K1890&gt;0,L1890&gt;0,K1890-L1890&gt;0,COUNTIFS(A1891:A$2005,A1890,F1891:F$2005,F1890,H1891:H$2005,H1890,AA1891:AA$2005,"&gt;0")=0),ROUND(K1890-L1890,6),""),"")</f>
        <v/>
      </c>
      <c r="X1890" s="60" t="str">
        <f>IF(AND(A1890="",C1890="",D1890="",H1890="",L1890=""),"",IF(A1890="","Type manquant",IF(AND(A1890&lt;&gt;"BL",A1890&lt;&gt;"BR",A1890&lt;&gt;"BS"),"Type inconnu (BL, BR ou BS)",IF(AG1890=0,"Date manquante ou invalide",IF(D1890="",IF(A1890="BL","Client manquant",IF(A1890="BR","Fournisseur manquant","Service manquant")),IF(IF(A1890="BL",ISNA(MATCH(D1890,cl_code,0)),IF(A1890="BR",ISNA(MATCH(D1890,fo_code,0)),ISNA(MATCH(D1890,p_services,0)))),IF(A1890="BL","Client inconnu",IF(A1890="BR","Fournisseur inconnu","Service inconnu")),IF(H1890="","Article manquant",IF(ISNA(MATCH(H1890,art_ref,0)),"Article inconnu",IF(OR(NOT(ISNUMBER(L1890)),N(L1890)&lt;=0),"Quantité invalide",IF(AND(K1890&lt;&gt;"",OR(NOT(ISNUMBER(K1890)),N(K1890)&lt;=0)),"Qté commandée invalide",IF(AG1890&lt;SUMPRODUCT(MAX((A$6:A1889=A1890)*AG$6:AG1889)),"Date antérieure au bon précédent",IF(AND(A1890&lt;&gt;"BR",ISNUMBER(M1890),N(M1890)&gt;0),IF(A1890="BL","Livré plus que commandé","Sorti plus que demandé"),"OK"))))))))))))</f>
        <v/>
      </c>
      <c r="Y1890" s="57" t="str">
        <f>IF(AND(OR(A1890="BL",A1890="BR",A1890="BS"),AG1890&gt;0,D1890&lt;&gt;""),A1890&amp;"|"&amp;AG1890&amp;"|"&amp;D1890&amp;"|"&amp;F1890,"")</f>
        <v/>
      </c>
      <c r="Z1890" s="57" t="str">
        <f>IF(Y1890="","",IF(COUNTIF(Y$6:Y1889,Y1890)=0,1,0))</f>
        <v/>
      </c>
      <c r="AA1890" s="57" t="str">
        <f>IF(Y1890="","",IF(Z1890=1,COUNTIFS(A$6:A1890,A1890,Z$6:Z1890,1),INDEX(AA$6:AA1889,MATCH(Y1890,Y$6:Y1889,0))))</f>
        <v/>
      </c>
      <c r="AB1890" s="57" t="str">
        <f>IF(B1890="","",COUNTIF(B$6:B1890,B1890))</f>
        <v/>
      </c>
      <c r="AC1890" s="57" t="str">
        <f>IF(B1890="","",B1890&amp;"#"&amp;AB1890)</f>
        <v/>
      </c>
      <c r="AD1890" s="57" t="str">
        <f>IF(Z1890=1,A1890&amp;AA1890,"")</f>
        <v/>
      </c>
      <c r="AE1890" s="57" t="str">
        <f>IF(B1890="","",YEAR(C1890))</f>
        <v/>
      </c>
      <c r="AF1890" s="57" t="str">
        <f>IF(B1890="","",MONTH(C1890))</f>
        <v/>
      </c>
      <c r="AG1890" s="57">
        <f>IF(ISNUMBER(C1890),C1890,0)</f>
        <v>0.0</v>
      </c>
      <c r="AH1890" s="57" t="str">
        <f>IF(N(W1890)&gt;0,COUNTIF(W$6:W1890,"&gt;0"),"")</f>
        <v/>
      </c>
      <c r="AI1890" s="57" t="str">
        <f>IF(Z1890=1,COUNTIF(Z$6:Z1890,1),"")</f>
        <v/>
      </c>
    </row>
    <row r="1891">
      <c r="A1891" s="54" t="n"/>
      <c r="B1891" s="55" t="str">
        <f>IF(AA1891="","",A1891&amp;"-"&amp;RIGHT("000"&amp;AA1891,4))</f>
        <v/>
      </c>
      <c r="C1891" s="56" t="n"/>
      <c r="D1891" s="54" t="n"/>
      <c r="E1891" s="57" t="str">
        <f>IF(D1891="","",IF(A1891="BL",IFERROR(INDEX(cl_name,MATCH(D1891,cl_code,0))&amp;"","Client inconnu"),IF(A1891="BR",IFERROR(INDEX(fo_name,MATCH(D1891,fo_code,0))&amp;"","Fournisseur inconnu"),IF(A1891="BS",IF(ISNA(MATCH(D1891,p_services,0)),"Service inconnu",D1891&amp;""),""))))</f>
        <v/>
      </c>
      <c r="F1891" s="58" t="n"/>
      <c r="G1891" s="58" t="n"/>
      <c r="H1891" s="59" t="n"/>
      <c r="I1891" s="57" t="str">
        <f>IF(H1891="","",IFERROR(INDEX(art_des,MATCH(H1891,art_ref,0))&amp;"","Article inconnu"))</f>
        <v/>
      </c>
      <c r="J1891" s="60" t="str">
        <f>IF(H1891="","",IFERROR(INDEX(art_unit,MATCH(H1891,art_ref,0))&amp;"",""))</f>
        <v/>
      </c>
      <c r="K1891" s="59" t="n"/>
      <c r="L1891" s="59" t="n"/>
      <c r="M1891" s="61" t="str">
        <f>IF(OR(B1891="",NOT(ISNUMBER(K1891)),NOT(ISNUMBER(L1891))),"",IF(OR(K1891&lt;=0,L1891&lt;=0),"",ROUND(L1891-K1891,6)))</f>
        <v/>
      </c>
      <c r="N1891" s="58" t="n"/>
      <c r="O1891" s="62" t="n"/>
      <c r="P1891" s="63" t="str">
        <f>IF(OR(B1891="",NOT(ISNUMBER(L1891))),"",IF(L1891&lt;=0,"",IFERROR(ROUND(L1891*N(INDEX(art_w,MATCH(H1891,art_ref,0))),3),"")))</f>
        <v/>
      </c>
      <c r="Q1891" s="59" t="n"/>
      <c r="R1891" s="54" t="n"/>
      <c r="S1891" s="59" t="n"/>
      <c r="T1891" s="59" t="n"/>
      <c r="U1891" s="64" t="str">
        <f>IF(OR(B1891="",H1891=""),"",IFERROR(IF(A1891="BL",IF(N(INDEX(art_price,MATCH(H1891,art_ref,0)))=0,"",N(INDEX(art_price,MATCH(H1891,art_ref,0)))),IF(N(INDEX(art_cost,MATCH(H1891,art_ref,0)))=0,"",N(INDEX(art_cost,MATCH(H1891,art_ref,0))))),""))</f>
        <v/>
      </c>
      <c r="V1891" s="64" t="str">
        <f>IF(OR(U1891="",NOT(ISNUMBER(L1891))),"",IF(L1891&lt;=0,"",ROUND(L1891*U1891,2)))</f>
        <v/>
      </c>
      <c r="W1891" s="60" t="str">
        <f>IF(AND(B1891&lt;&gt;"",A1891&lt;&gt;"BS",F1891&lt;&gt;"",H1891&lt;&gt;"",ISNUMBER(K1891),ISNUMBER(L1891)),IF(AND(K1891&gt;0,L1891&gt;0,K1891-L1891&gt;0,COUNTIFS(A1892:A$2005,A1891,F1892:F$2005,F1891,H1892:H$2005,H1891,AA1892:AA$2005,"&gt;0")=0),ROUND(K1891-L1891,6),""),"")</f>
        <v/>
      </c>
      <c r="X1891" s="60" t="str">
        <f>IF(AND(A1891="",C1891="",D1891="",H1891="",L1891=""),"",IF(A1891="","Type manquant",IF(AND(A1891&lt;&gt;"BL",A1891&lt;&gt;"BR",A1891&lt;&gt;"BS"),"Type inconnu (BL, BR ou BS)",IF(AG1891=0,"Date manquante ou invalide",IF(D1891="",IF(A1891="BL","Client manquant",IF(A1891="BR","Fournisseur manquant","Service manquant")),IF(IF(A1891="BL",ISNA(MATCH(D1891,cl_code,0)),IF(A1891="BR",ISNA(MATCH(D1891,fo_code,0)),ISNA(MATCH(D1891,p_services,0)))),IF(A1891="BL","Client inconnu",IF(A1891="BR","Fournisseur inconnu","Service inconnu")),IF(H1891="","Article manquant",IF(ISNA(MATCH(H1891,art_ref,0)),"Article inconnu",IF(OR(NOT(ISNUMBER(L1891)),N(L1891)&lt;=0),"Quantité invalide",IF(AND(K1891&lt;&gt;"",OR(NOT(ISNUMBER(K1891)),N(K1891)&lt;=0)),"Qté commandée invalide",IF(AG1891&lt;SUMPRODUCT(MAX((A$6:A1890=A1891)*AG$6:AG1890)),"Date antérieure au bon précédent",IF(AND(A1891&lt;&gt;"BR",ISNUMBER(M1891),N(M1891)&gt;0),IF(A1891="BL","Livré plus que commandé","Sorti plus que demandé"),"OK"))))))))))))</f>
        <v/>
      </c>
      <c r="Y1891" s="57" t="str">
        <f>IF(AND(OR(A1891="BL",A1891="BR",A1891="BS"),AG1891&gt;0,D1891&lt;&gt;""),A1891&amp;"|"&amp;AG1891&amp;"|"&amp;D1891&amp;"|"&amp;F1891,"")</f>
        <v/>
      </c>
      <c r="Z1891" s="57" t="str">
        <f>IF(Y1891="","",IF(COUNTIF(Y$6:Y1890,Y1891)=0,1,0))</f>
        <v/>
      </c>
      <c r="AA1891" s="57" t="str">
        <f>IF(Y1891="","",IF(Z1891=1,COUNTIFS(A$6:A1891,A1891,Z$6:Z1891,1),INDEX(AA$6:AA1890,MATCH(Y1891,Y$6:Y1890,0))))</f>
        <v/>
      </c>
      <c r="AB1891" s="57" t="str">
        <f>IF(B1891="","",COUNTIF(B$6:B1891,B1891))</f>
        <v/>
      </c>
      <c r="AC1891" s="57" t="str">
        <f>IF(B1891="","",B1891&amp;"#"&amp;AB1891)</f>
        <v/>
      </c>
      <c r="AD1891" s="57" t="str">
        <f>IF(Z1891=1,A1891&amp;AA1891,"")</f>
        <v/>
      </c>
      <c r="AE1891" s="57" t="str">
        <f>IF(B1891="","",YEAR(C1891))</f>
        <v/>
      </c>
      <c r="AF1891" s="57" t="str">
        <f>IF(B1891="","",MONTH(C1891))</f>
        <v/>
      </c>
      <c r="AG1891" s="57">
        <f>IF(ISNUMBER(C1891),C1891,0)</f>
        <v>0.0</v>
      </c>
      <c r="AH1891" s="57" t="str">
        <f>IF(N(W1891)&gt;0,COUNTIF(W$6:W1891,"&gt;0"),"")</f>
        <v/>
      </c>
      <c r="AI1891" s="57" t="str">
        <f>IF(Z1891=1,COUNTIF(Z$6:Z1891,1),"")</f>
        <v/>
      </c>
    </row>
    <row r="1892">
      <c r="A1892" s="54" t="n"/>
      <c r="B1892" s="55" t="str">
        <f>IF(AA1892="","",A1892&amp;"-"&amp;RIGHT("000"&amp;AA1892,4))</f>
        <v/>
      </c>
      <c r="C1892" s="56" t="n"/>
      <c r="D1892" s="54" t="n"/>
      <c r="E1892" s="57" t="str">
        <f>IF(D1892="","",IF(A1892="BL",IFERROR(INDEX(cl_name,MATCH(D1892,cl_code,0))&amp;"","Client inconnu"),IF(A1892="BR",IFERROR(INDEX(fo_name,MATCH(D1892,fo_code,0))&amp;"","Fournisseur inconnu"),IF(A1892="BS",IF(ISNA(MATCH(D1892,p_services,0)),"Service inconnu",D1892&amp;""),""))))</f>
        <v/>
      </c>
      <c r="F1892" s="58" t="n"/>
      <c r="G1892" s="58" t="n"/>
      <c r="H1892" s="59" t="n"/>
      <c r="I1892" s="57" t="str">
        <f>IF(H1892="","",IFERROR(INDEX(art_des,MATCH(H1892,art_ref,0))&amp;"","Article inconnu"))</f>
        <v/>
      </c>
      <c r="J1892" s="60" t="str">
        <f>IF(H1892="","",IFERROR(INDEX(art_unit,MATCH(H1892,art_ref,0))&amp;"",""))</f>
        <v/>
      </c>
      <c r="K1892" s="59" t="n"/>
      <c r="L1892" s="59" t="n"/>
      <c r="M1892" s="61" t="str">
        <f>IF(OR(B1892="",NOT(ISNUMBER(K1892)),NOT(ISNUMBER(L1892))),"",IF(OR(K1892&lt;=0,L1892&lt;=0),"",ROUND(L1892-K1892,6)))</f>
        <v/>
      </c>
      <c r="N1892" s="58" t="n"/>
      <c r="O1892" s="62" t="n"/>
      <c r="P1892" s="63" t="str">
        <f>IF(OR(B1892="",NOT(ISNUMBER(L1892))),"",IF(L1892&lt;=0,"",IFERROR(ROUND(L1892*N(INDEX(art_w,MATCH(H1892,art_ref,0))),3),"")))</f>
        <v/>
      </c>
      <c r="Q1892" s="59" t="n"/>
      <c r="R1892" s="54" t="n"/>
      <c r="S1892" s="59" t="n"/>
      <c r="T1892" s="59" t="n"/>
      <c r="U1892" s="64" t="str">
        <f>IF(OR(B1892="",H1892=""),"",IFERROR(IF(A1892="BL",IF(N(INDEX(art_price,MATCH(H1892,art_ref,0)))=0,"",N(INDEX(art_price,MATCH(H1892,art_ref,0)))),IF(N(INDEX(art_cost,MATCH(H1892,art_ref,0)))=0,"",N(INDEX(art_cost,MATCH(H1892,art_ref,0))))),""))</f>
        <v/>
      </c>
      <c r="V1892" s="64" t="str">
        <f>IF(OR(U1892="",NOT(ISNUMBER(L1892))),"",IF(L1892&lt;=0,"",ROUND(L1892*U1892,2)))</f>
        <v/>
      </c>
      <c r="W1892" s="60" t="str">
        <f>IF(AND(B1892&lt;&gt;"",A1892&lt;&gt;"BS",F1892&lt;&gt;"",H1892&lt;&gt;"",ISNUMBER(K1892),ISNUMBER(L1892)),IF(AND(K1892&gt;0,L1892&gt;0,K1892-L1892&gt;0,COUNTIFS(A1893:A$2005,A1892,F1893:F$2005,F1892,H1893:H$2005,H1892,AA1893:AA$2005,"&gt;0")=0),ROUND(K1892-L1892,6),""),"")</f>
        <v/>
      </c>
      <c r="X1892" s="60" t="str">
        <f>IF(AND(A1892="",C1892="",D1892="",H1892="",L1892=""),"",IF(A1892="","Type manquant",IF(AND(A1892&lt;&gt;"BL",A1892&lt;&gt;"BR",A1892&lt;&gt;"BS"),"Type inconnu (BL, BR ou BS)",IF(AG1892=0,"Date manquante ou invalide",IF(D1892="",IF(A1892="BL","Client manquant",IF(A1892="BR","Fournisseur manquant","Service manquant")),IF(IF(A1892="BL",ISNA(MATCH(D1892,cl_code,0)),IF(A1892="BR",ISNA(MATCH(D1892,fo_code,0)),ISNA(MATCH(D1892,p_services,0)))),IF(A1892="BL","Client inconnu",IF(A1892="BR","Fournisseur inconnu","Service inconnu")),IF(H1892="","Article manquant",IF(ISNA(MATCH(H1892,art_ref,0)),"Article inconnu",IF(OR(NOT(ISNUMBER(L1892)),N(L1892)&lt;=0),"Quantité invalide",IF(AND(K1892&lt;&gt;"",OR(NOT(ISNUMBER(K1892)),N(K1892)&lt;=0)),"Qté commandée invalide",IF(AG1892&lt;SUMPRODUCT(MAX((A$6:A1891=A1892)*AG$6:AG1891)),"Date antérieure au bon précédent",IF(AND(A1892&lt;&gt;"BR",ISNUMBER(M1892),N(M1892)&gt;0),IF(A1892="BL","Livré plus que commandé","Sorti plus que demandé"),"OK"))))))))))))</f>
        <v/>
      </c>
      <c r="Y1892" s="57" t="str">
        <f>IF(AND(OR(A1892="BL",A1892="BR",A1892="BS"),AG1892&gt;0,D1892&lt;&gt;""),A1892&amp;"|"&amp;AG1892&amp;"|"&amp;D1892&amp;"|"&amp;F1892,"")</f>
        <v/>
      </c>
      <c r="Z1892" s="57" t="str">
        <f>IF(Y1892="","",IF(COUNTIF(Y$6:Y1891,Y1892)=0,1,0))</f>
        <v/>
      </c>
      <c r="AA1892" s="57" t="str">
        <f>IF(Y1892="","",IF(Z1892=1,COUNTIFS(A$6:A1892,A1892,Z$6:Z1892,1),INDEX(AA$6:AA1891,MATCH(Y1892,Y$6:Y1891,0))))</f>
        <v/>
      </c>
      <c r="AB1892" s="57" t="str">
        <f>IF(B1892="","",COUNTIF(B$6:B1892,B1892))</f>
        <v/>
      </c>
      <c r="AC1892" s="57" t="str">
        <f>IF(B1892="","",B1892&amp;"#"&amp;AB1892)</f>
        <v/>
      </c>
      <c r="AD1892" s="57" t="str">
        <f>IF(Z1892=1,A1892&amp;AA1892,"")</f>
        <v/>
      </c>
      <c r="AE1892" s="57" t="str">
        <f>IF(B1892="","",YEAR(C1892))</f>
        <v/>
      </c>
      <c r="AF1892" s="57" t="str">
        <f>IF(B1892="","",MONTH(C1892))</f>
        <v/>
      </c>
      <c r="AG1892" s="57">
        <f>IF(ISNUMBER(C1892),C1892,0)</f>
        <v>0.0</v>
      </c>
      <c r="AH1892" s="57" t="str">
        <f>IF(N(W1892)&gt;0,COUNTIF(W$6:W1892,"&gt;0"),"")</f>
        <v/>
      </c>
      <c r="AI1892" s="57" t="str">
        <f>IF(Z1892=1,COUNTIF(Z$6:Z1892,1),"")</f>
        <v/>
      </c>
    </row>
    <row r="1893">
      <c r="A1893" s="54" t="n"/>
      <c r="B1893" s="55" t="str">
        <f>IF(AA1893="","",A1893&amp;"-"&amp;RIGHT("000"&amp;AA1893,4))</f>
        <v/>
      </c>
      <c r="C1893" s="56" t="n"/>
      <c r="D1893" s="54" t="n"/>
      <c r="E1893" s="57" t="str">
        <f>IF(D1893="","",IF(A1893="BL",IFERROR(INDEX(cl_name,MATCH(D1893,cl_code,0))&amp;"","Client inconnu"),IF(A1893="BR",IFERROR(INDEX(fo_name,MATCH(D1893,fo_code,0))&amp;"","Fournisseur inconnu"),IF(A1893="BS",IF(ISNA(MATCH(D1893,p_services,0)),"Service inconnu",D1893&amp;""),""))))</f>
        <v/>
      </c>
      <c r="F1893" s="58" t="n"/>
      <c r="G1893" s="58" t="n"/>
      <c r="H1893" s="59" t="n"/>
      <c r="I1893" s="57" t="str">
        <f>IF(H1893="","",IFERROR(INDEX(art_des,MATCH(H1893,art_ref,0))&amp;"","Article inconnu"))</f>
        <v/>
      </c>
      <c r="J1893" s="60" t="str">
        <f>IF(H1893="","",IFERROR(INDEX(art_unit,MATCH(H1893,art_ref,0))&amp;"",""))</f>
        <v/>
      </c>
      <c r="K1893" s="59" t="n"/>
      <c r="L1893" s="59" t="n"/>
      <c r="M1893" s="61" t="str">
        <f>IF(OR(B1893="",NOT(ISNUMBER(K1893)),NOT(ISNUMBER(L1893))),"",IF(OR(K1893&lt;=0,L1893&lt;=0),"",ROUND(L1893-K1893,6)))</f>
        <v/>
      </c>
      <c r="N1893" s="58" t="n"/>
      <c r="O1893" s="62" t="n"/>
      <c r="P1893" s="63" t="str">
        <f>IF(OR(B1893="",NOT(ISNUMBER(L1893))),"",IF(L1893&lt;=0,"",IFERROR(ROUND(L1893*N(INDEX(art_w,MATCH(H1893,art_ref,0))),3),"")))</f>
        <v/>
      </c>
      <c r="Q1893" s="59" t="n"/>
      <c r="R1893" s="54" t="n"/>
      <c r="S1893" s="59" t="n"/>
      <c r="T1893" s="59" t="n"/>
      <c r="U1893" s="64" t="str">
        <f>IF(OR(B1893="",H1893=""),"",IFERROR(IF(A1893="BL",IF(N(INDEX(art_price,MATCH(H1893,art_ref,0)))=0,"",N(INDEX(art_price,MATCH(H1893,art_ref,0)))),IF(N(INDEX(art_cost,MATCH(H1893,art_ref,0)))=0,"",N(INDEX(art_cost,MATCH(H1893,art_ref,0))))),""))</f>
        <v/>
      </c>
      <c r="V1893" s="64" t="str">
        <f>IF(OR(U1893="",NOT(ISNUMBER(L1893))),"",IF(L1893&lt;=0,"",ROUND(L1893*U1893,2)))</f>
        <v/>
      </c>
      <c r="W1893" s="60" t="str">
        <f>IF(AND(B1893&lt;&gt;"",A1893&lt;&gt;"BS",F1893&lt;&gt;"",H1893&lt;&gt;"",ISNUMBER(K1893),ISNUMBER(L1893)),IF(AND(K1893&gt;0,L1893&gt;0,K1893-L1893&gt;0,COUNTIFS(A1894:A$2005,A1893,F1894:F$2005,F1893,H1894:H$2005,H1893,AA1894:AA$2005,"&gt;0")=0),ROUND(K1893-L1893,6),""),"")</f>
        <v/>
      </c>
      <c r="X1893" s="60" t="str">
        <f>IF(AND(A1893="",C1893="",D1893="",H1893="",L1893=""),"",IF(A1893="","Type manquant",IF(AND(A1893&lt;&gt;"BL",A1893&lt;&gt;"BR",A1893&lt;&gt;"BS"),"Type inconnu (BL, BR ou BS)",IF(AG1893=0,"Date manquante ou invalide",IF(D1893="",IF(A1893="BL","Client manquant",IF(A1893="BR","Fournisseur manquant","Service manquant")),IF(IF(A1893="BL",ISNA(MATCH(D1893,cl_code,0)),IF(A1893="BR",ISNA(MATCH(D1893,fo_code,0)),ISNA(MATCH(D1893,p_services,0)))),IF(A1893="BL","Client inconnu",IF(A1893="BR","Fournisseur inconnu","Service inconnu")),IF(H1893="","Article manquant",IF(ISNA(MATCH(H1893,art_ref,0)),"Article inconnu",IF(OR(NOT(ISNUMBER(L1893)),N(L1893)&lt;=0),"Quantité invalide",IF(AND(K1893&lt;&gt;"",OR(NOT(ISNUMBER(K1893)),N(K1893)&lt;=0)),"Qté commandée invalide",IF(AG1893&lt;SUMPRODUCT(MAX((A$6:A1892=A1893)*AG$6:AG1892)),"Date antérieure au bon précédent",IF(AND(A1893&lt;&gt;"BR",ISNUMBER(M1893),N(M1893)&gt;0),IF(A1893="BL","Livré plus que commandé","Sorti plus que demandé"),"OK"))))))))))))</f>
        <v/>
      </c>
      <c r="Y1893" s="57" t="str">
        <f>IF(AND(OR(A1893="BL",A1893="BR",A1893="BS"),AG1893&gt;0,D1893&lt;&gt;""),A1893&amp;"|"&amp;AG1893&amp;"|"&amp;D1893&amp;"|"&amp;F1893,"")</f>
        <v/>
      </c>
      <c r="Z1893" s="57" t="str">
        <f>IF(Y1893="","",IF(COUNTIF(Y$6:Y1892,Y1893)=0,1,0))</f>
        <v/>
      </c>
      <c r="AA1893" s="57" t="str">
        <f>IF(Y1893="","",IF(Z1893=1,COUNTIFS(A$6:A1893,A1893,Z$6:Z1893,1),INDEX(AA$6:AA1892,MATCH(Y1893,Y$6:Y1892,0))))</f>
        <v/>
      </c>
      <c r="AB1893" s="57" t="str">
        <f>IF(B1893="","",COUNTIF(B$6:B1893,B1893))</f>
        <v/>
      </c>
      <c r="AC1893" s="57" t="str">
        <f>IF(B1893="","",B1893&amp;"#"&amp;AB1893)</f>
        <v/>
      </c>
      <c r="AD1893" s="57" t="str">
        <f>IF(Z1893=1,A1893&amp;AA1893,"")</f>
        <v/>
      </c>
      <c r="AE1893" s="57" t="str">
        <f>IF(B1893="","",YEAR(C1893))</f>
        <v/>
      </c>
      <c r="AF1893" s="57" t="str">
        <f>IF(B1893="","",MONTH(C1893))</f>
        <v/>
      </c>
      <c r="AG1893" s="57">
        <f>IF(ISNUMBER(C1893),C1893,0)</f>
        <v>0.0</v>
      </c>
      <c r="AH1893" s="57" t="str">
        <f>IF(N(W1893)&gt;0,COUNTIF(W$6:W1893,"&gt;0"),"")</f>
        <v/>
      </c>
      <c r="AI1893" s="57" t="str">
        <f>IF(Z1893=1,COUNTIF(Z$6:Z1893,1),"")</f>
        <v/>
      </c>
    </row>
    <row r="1894">
      <c r="A1894" s="54" t="n"/>
      <c r="B1894" s="55" t="str">
        <f>IF(AA1894="","",A1894&amp;"-"&amp;RIGHT("000"&amp;AA1894,4))</f>
        <v/>
      </c>
      <c r="C1894" s="56" t="n"/>
      <c r="D1894" s="54" t="n"/>
      <c r="E1894" s="57" t="str">
        <f>IF(D1894="","",IF(A1894="BL",IFERROR(INDEX(cl_name,MATCH(D1894,cl_code,0))&amp;"","Client inconnu"),IF(A1894="BR",IFERROR(INDEX(fo_name,MATCH(D1894,fo_code,0))&amp;"","Fournisseur inconnu"),IF(A1894="BS",IF(ISNA(MATCH(D1894,p_services,0)),"Service inconnu",D1894&amp;""),""))))</f>
        <v/>
      </c>
      <c r="F1894" s="58" t="n"/>
      <c r="G1894" s="58" t="n"/>
      <c r="H1894" s="59" t="n"/>
      <c r="I1894" s="57" t="str">
        <f>IF(H1894="","",IFERROR(INDEX(art_des,MATCH(H1894,art_ref,0))&amp;"","Article inconnu"))</f>
        <v/>
      </c>
      <c r="J1894" s="60" t="str">
        <f>IF(H1894="","",IFERROR(INDEX(art_unit,MATCH(H1894,art_ref,0))&amp;"",""))</f>
        <v/>
      </c>
      <c r="K1894" s="59" t="n"/>
      <c r="L1894" s="59" t="n"/>
      <c r="M1894" s="61" t="str">
        <f>IF(OR(B1894="",NOT(ISNUMBER(K1894)),NOT(ISNUMBER(L1894))),"",IF(OR(K1894&lt;=0,L1894&lt;=0),"",ROUND(L1894-K1894,6)))</f>
        <v/>
      </c>
      <c r="N1894" s="58" t="n"/>
      <c r="O1894" s="62" t="n"/>
      <c r="P1894" s="63" t="str">
        <f>IF(OR(B1894="",NOT(ISNUMBER(L1894))),"",IF(L1894&lt;=0,"",IFERROR(ROUND(L1894*N(INDEX(art_w,MATCH(H1894,art_ref,0))),3),"")))</f>
        <v/>
      </c>
      <c r="Q1894" s="59" t="n"/>
      <c r="R1894" s="54" t="n"/>
      <c r="S1894" s="59" t="n"/>
      <c r="T1894" s="59" t="n"/>
      <c r="U1894" s="64" t="str">
        <f>IF(OR(B1894="",H1894=""),"",IFERROR(IF(A1894="BL",IF(N(INDEX(art_price,MATCH(H1894,art_ref,0)))=0,"",N(INDEX(art_price,MATCH(H1894,art_ref,0)))),IF(N(INDEX(art_cost,MATCH(H1894,art_ref,0)))=0,"",N(INDEX(art_cost,MATCH(H1894,art_ref,0))))),""))</f>
        <v/>
      </c>
      <c r="V1894" s="64" t="str">
        <f>IF(OR(U1894="",NOT(ISNUMBER(L1894))),"",IF(L1894&lt;=0,"",ROUND(L1894*U1894,2)))</f>
        <v/>
      </c>
      <c r="W1894" s="60" t="str">
        <f>IF(AND(B1894&lt;&gt;"",A1894&lt;&gt;"BS",F1894&lt;&gt;"",H1894&lt;&gt;"",ISNUMBER(K1894),ISNUMBER(L1894)),IF(AND(K1894&gt;0,L1894&gt;0,K1894-L1894&gt;0,COUNTIFS(A1895:A$2005,A1894,F1895:F$2005,F1894,H1895:H$2005,H1894,AA1895:AA$2005,"&gt;0")=0),ROUND(K1894-L1894,6),""),"")</f>
        <v/>
      </c>
      <c r="X1894" s="60" t="str">
        <f>IF(AND(A1894="",C1894="",D1894="",H1894="",L1894=""),"",IF(A1894="","Type manquant",IF(AND(A1894&lt;&gt;"BL",A1894&lt;&gt;"BR",A1894&lt;&gt;"BS"),"Type inconnu (BL, BR ou BS)",IF(AG1894=0,"Date manquante ou invalide",IF(D1894="",IF(A1894="BL","Client manquant",IF(A1894="BR","Fournisseur manquant","Service manquant")),IF(IF(A1894="BL",ISNA(MATCH(D1894,cl_code,0)),IF(A1894="BR",ISNA(MATCH(D1894,fo_code,0)),ISNA(MATCH(D1894,p_services,0)))),IF(A1894="BL","Client inconnu",IF(A1894="BR","Fournisseur inconnu","Service inconnu")),IF(H1894="","Article manquant",IF(ISNA(MATCH(H1894,art_ref,0)),"Article inconnu",IF(OR(NOT(ISNUMBER(L1894)),N(L1894)&lt;=0),"Quantité invalide",IF(AND(K1894&lt;&gt;"",OR(NOT(ISNUMBER(K1894)),N(K1894)&lt;=0)),"Qté commandée invalide",IF(AG1894&lt;SUMPRODUCT(MAX((A$6:A1893=A1894)*AG$6:AG1893)),"Date antérieure au bon précédent",IF(AND(A1894&lt;&gt;"BR",ISNUMBER(M1894),N(M1894)&gt;0),IF(A1894="BL","Livré plus que commandé","Sorti plus que demandé"),"OK"))))))))))))</f>
        <v/>
      </c>
      <c r="Y1894" s="57" t="str">
        <f>IF(AND(OR(A1894="BL",A1894="BR",A1894="BS"),AG1894&gt;0,D1894&lt;&gt;""),A1894&amp;"|"&amp;AG1894&amp;"|"&amp;D1894&amp;"|"&amp;F1894,"")</f>
        <v/>
      </c>
      <c r="Z1894" s="57" t="str">
        <f>IF(Y1894="","",IF(COUNTIF(Y$6:Y1893,Y1894)=0,1,0))</f>
        <v/>
      </c>
      <c r="AA1894" s="57" t="str">
        <f>IF(Y1894="","",IF(Z1894=1,COUNTIFS(A$6:A1894,A1894,Z$6:Z1894,1),INDEX(AA$6:AA1893,MATCH(Y1894,Y$6:Y1893,0))))</f>
        <v/>
      </c>
      <c r="AB1894" s="57" t="str">
        <f>IF(B1894="","",COUNTIF(B$6:B1894,B1894))</f>
        <v/>
      </c>
      <c r="AC1894" s="57" t="str">
        <f>IF(B1894="","",B1894&amp;"#"&amp;AB1894)</f>
        <v/>
      </c>
      <c r="AD1894" s="57" t="str">
        <f>IF(Z1894=1,A1894&amp;AA1894,"")</f>
        <v/>
      </c>
      <c r="AE1894" s="57" t="str">
        <f>IF(B1894="","",YEAR(C1894))</f>
        <v/>
      </c>
      <c r="AF1894" s="57" t="str">
        <f>IF(B1894="","",MONTH(C1894))</f>
        <v/>
      </c>
      <c r="AG1894" s="57">
        <f>IF(ISNUMBER(C1894),C1894,0)</f>
        <v>0.0</v>
      </c>
      <c r="AH1894" s="57" t="str">
        <f>IF(N(W1894)&gt;0,COUNTIF(W$6:W1894,"&gt;0"),"")</f>
        <v/>
      </c>
      <c r="AI1894" s="57" t="str">
        <f>IF(Z1894=1,COUNTIF(Z$6:Z1894,1),"")</f>
        <v/>
      </c>
    </row>
    <row r="1895">
      <c r="A1895" s="54" t="n"/>
      <c r="B1895" s="55" t="str">
        <f>IF(AA1895="","",A1895&amp;"-"&amp;RIGHT("000"&amp;AA1895,4))</f>
        <v/>
      </c>
      <c r="C1895" s="56" t="n"/>
      <c r="D1895" s="54" t="n"/>
      <c r="E1895" s="57" t="str">
        <f>IF(D1895="","",IF(A1895="BL",IFERROR(INDEX(cl_name,MATCH(D1895,cl_code,0))&amp;"","Client inconnu"),IF(A1895="BR",IFERROR(INDEX(fo_name,MATCH(D1895,fo_code,0))&amp;"","Fournisseur inconnu"),IF(A1895="BS",IF(ISNA(MATCH(D1895,p_services,0)),"Service inconnu",D1895&amp;""),""))))</f>
        <v/>
      </c>
      <c r="F1895" s="58" t="n"/>
      <c r="G1895" s="58" t="n"/>
      <c r="H1895" s="59" t="n"/>
      <c r="I1895" s="57" t="str">
        <f>IF(H1895="","",IFERROR(INDEX(art_des,MATCH(H1895,art_ref,0))&amp;"","Article inconnu"))</f>
        <v/>
      </c>
      <c r="J1895" s="60" t="str">
        <f>IF(H1895="","",IFERROR(INDEX(art_unit,MATCH(H1895,art_ref,0))&amp;"",""))</f>
        <v/>
      </c>
      <c r="K1895" s="59" t="n"/>
      <c r="L1895" s="59" t="n"/>
      <c r="M1895" s="61" t="str">
        <f>IF(OR(B1895="",NOT(ISNUMBER(K1895)),NOT(ISNUMBER(L1895))),"",IF(OR(K1895&lt;=0,L1895&lt;=0),"",ROUND(L1895-K1895,6)))</f>
        <v/>
      </c>
      <c r="N1895" s="58" t="n"/>
      <c r="O1895" s="62" t="n"/>
      <c r="P1895" s="63" t="str">
        <f>IF(OR(B1895="",NOT(ISNUMBER(L1895))),"",IF(L1895&lt;=0,"",IFERROR(ROUND(L1895*N(INDEX(art_w,MATCH(H1895,art_ref,0))),3),"")))</f>
        <v/>
      </c>
      <c r="Q1895" s="59" t="n"/>
      <c r="R1895" s="54" t="n"/>
      <c r="S1895" s="59" t="n"/>
      <c r="T1895" s="59" t="n"/>
      <c r="U1895" s="64" t="str">
        <f>IF(OR(B1895="",H1895=""),"",IFERROR(IF(A1895="BL",IF(N(INDEX(art_price,MATCH(H1895,art_ref,0)))=0,"",N(INDEX(art_price,MATCH(H1895,art_ref,0)))),IF(N(INDEX(art_cost,MATCH(H1895,art_ref,0)))=0,"",N(INDEX(art_cost,MATCH(H1895,art_ref,0))))),""))</f>
        <v/>
      </c>
      <c r="V1895" s="64" t="str">
        <f>IF(OR(U1895="",NOT(ISNUMBER(L1895))),"",IF(L1895&lt;=0,"",ROUND(L1895*U1895,2)))</f>
        <v/>
      </c>
      <c r="W1895" s="60" t="str">
        <f>IF(AND(B1895&lt;&gt;"",A1895&lt;&gt;"BS",F1895&lt;&gt;"",H1895&lt;&gt;"",ISNUMBER(K1895),ISNUMBER(L1895)),IF(AND(K1895&gt;0,L1895&gt;0,K1895-L1895&gt;0,COUNTIFS(A1896:A$2005,A1895,F1896:F$2005,F1895,H1896:H$2005,H1895,AA1896:AA$2005,"&gt;0")=0),ROUND(K1895-L1895,6),""),"")</f>
        <v/>
      </c>
      <c r="X1895" s="60" t="str">
        <f>IF(AND(A1895="",C1895="",D1895="",H1895="",L1895=""),"",IF(A1895="","Type manquant",IF(AND(A1895&lt;&gt;"BL",A1895&lt;&gt;"BR",A1895&lt;&gt;"BS"),"Type inconnu (BL, BR ou BS)",IF(AG1895=0,"Date manquante ou invalide",IF(D1895="",IF(A1895="BL","Client manquant",IF(A1895="BR","Fournisseur manquant","Service manquant")),IF(IF(A1895="BL",ISNA(MATCH(D1895,cl_code,0)),IF(A1895="BR",ISNA(MATCH(D1895,fo_code,0)),ISNA(MATCH(D1895,p_services,0)))),IF(A1895="BL","Client inconnu",IF(A1895="BR","Fournisseur inconnu","Service inconnu")),IF(H1895="","Article manquant",IF(ISNA(MATCH(H1895,art_ref,0)),"Article inconnu",IF(OR(NOT(ISNUMBER(L1895)),N(L1895)&lt;=0),"Quantité invalide",IF(AND(K1895&lt;&gt;"",OR(NOT(ISNUMBER(K1895)),N(K1895)&lt;=0)),"Qté commandée invalide",IF(AG1895&lt;SUMPRODUCT(MAX((A$6:A1894=A1895)*AG$6:AG1894)),"Date antérieure au bon précédent",IF(AND(A1895&lt;&gt;"BR",ISNUMBER(M1895),N(M1895)&gt;0),IF(A1895="BL","Livré plus que commandé","Sorti plus que demandé"),"OK"))))))))))))</f>
        <v/>
      </c>
      <c r="Y1895" s="57" t="str">
        <f>IF(AND(OR(A1895="BL",A1895="BR",A1895="BS"),AG1895&gt;0,D1895&lt;&gt;""),A1895&amp;"|"&amp;AG1895&amp;"|"&amp;D1895&amp;"|"&amp;F1895,"")</f>
        <v/>
      </c>
      <c r="Z1895" s="57" t="str">
        <f>IF(Y1895="","",IF(COUNTIF(Y$6:Y1894,Y1895)=0,1,0))</f>
        <v/>
      </c>
      <c r="AA1895" s="57" t="str">
        <f>IF(Y1895="","",IF(Z1895=1,COUNTIFS(A$6:A1895,A1895,Z$6:Z1895,1),INDEX(AA$6:AA1894,MATCH(Y1895,Y$6:Y1894,0))))</f>
        <v/>
      </c>
      <c r="AB1895" s="57" t="str">
        <f>IF(B1895="","",COUNTIF(B$6:B1895,B1895))</f>
        <v/>
      </c>
      <c r="AC1895" s="57" t="str">
        <f>IF(B1895="","",B1895&amp;"#"&amp;AB1895)</f>
        <v/>
      </c>
      <c r="AD1895" s="57" t="str">
        <f>IF(Z1895=1,A1895&amp;AA1895,"")</f>
        <v/>
      </c>
      <c r="AE1895" s="57" t="str">
        <f>IF(B1895="","",YEAR(C1895))</f>
        <v/>
      </c>
      <c r="AF1895" s="57" t="str">
        <f>IF(B1895="","",MONTH(C1895))</f>
        <v/>
      </c>
      <c r="AG1895" s="57">
        <f>IF(ISNUMBER(C1895),C1895,0)</f>
        <v>0.0</v>
      </c>
      <c r="AH1895" s="57" t="str">
        <f>IF(N(W1895)&gt;0,COUNTIF(W$6:W1895,"&gt;0"),"")</f>
        <v/>
      </c>
      <c r="AI1895" s="57" t="str">
        <f>IF(Z1895=1,COUNTIF(Z$6:Z1895,1),"")</f>
        <v/>
      </c>
    </row>
    <row r="1896">
      <c r="A1896" s="54" t="n"/>
      <c r="B1896" s="55" t="str">
        <f>IF(AA1896="","",A1896&amp;"-"&amp;RIGHT("000"&amp;AA1896,4))</f>
        <v/>
      </c>
      <c r="C1896" s="56" t="n"/>
      <c r="D1896" s="54" t="n"/>
      <c r="E1896" s="57" t="str">
        <f>IF(D1896="","",IF(A1896="BL",IFERROR(INDEX(cl_name,MATCH(D1896,cl_code,0))&amp;"","Client inconnu"),IF(A1896="BR",IFERROR(INDEX(fo_name,MATCH(D1896,fo_code,0))&amp;"","Fournisseur inconnu"),IF(A1896="BS",IF(ISNA(MATCH(D1896,p_services,0)),"Service inconnu",D1896&amp;""),""))))</f>
        <v/>
      </c>
      <c r="F1896" s="58" t="n"/>
      <c r="G1896" s="58" t="n"/>
      <c r="H1896" s="59" t="n"/>
      <c r="I1896" s="57" t="str">
        <f>IF(H1896="","",IFERROR(INDEX(art_des,MATCH(H1896,art_ref,0))&amp;"","Article inconnu"))</f>
        <v/>
      </c>
      <c r="J1896" s="60" t="str">
        <f>IF(H1896="","",IFERROR(INDEX(art_unit,MATCH(H1896,art_ref,0))&amp;"",""))</f>
        <v/>
      </c>
      <c r="K1896" s="59" t="n"/>
      <c r="L1896" s="59" t="n"/>
      <c r="M1896" s="61" t="str">
        <f>IF(OR(B1896="",NOT(ISNUMBER(K1896)),NOT(ISNUMBER(L1896))),"",IF(OR(K1896&lt;=0,L1896&lt;=0),"",ROUND(L1896-K1896,6)))</f>
        <v/>
      </c>
      <c r="N1896" s="58" t="n"/>
      <c r="O1896" s="62" t="n"/>
      <c r="P1896" s="63" t="str">
        <f>IF(OR(B1896="",NOT(ISNUMBER(L1896))),"",IF(L1896&lt;=0,"",IFERROR(ROUND(L1896*N(INDEX(art_w,MATCH(H1896,art_ref,0))),3),"")))</f>
        <v/>
      </c>
      <c r="Q1896" s="59" t="n"/>
      <c r="R1896" s="54" t="n"/>
      <c r="S1896" s="59" t="n"/>
      <c r="T1896" s="59" t="n"/>
      <c r="U1896" s="64" t="str">
        <f>IF(OR(B1896="",H1896=""),"",IFERROR(IF(A1896="BL",IF(N(INDEX(art_price,MATCH(H1896,art_ref,0)))=0,"",N(INDEX(art_price,MATCH(H1896,art_ref,0)))),IF(N(INDEX(art_cost,MATCH(H1896,art_ref,0)))=0,"",N(INDEX(art_cost,MATCH(H1896,art_ref,0))))),""))</f>
        <v/>
      </c>
      <c r="V1896" s="64" t="str">
        <f>IF(OR(U1896="",NOT(ISNUMBER(L1896))),"",IF(L1896&lt;=0,"",ROUND(L1896*U1896,2)))</f>
        <v/>
      </c>
      <c r="W1896" s="60" t="str">
        <f>IF(AND(B1896&lt;&gt;"",A1896&lt;&gt;"BS",F1896&lt;&gt;"",H1896&lt;&gt;"",ISNUMBER(K1896),ISNUMBER(L1896)),IF(AND(K1896&gt;0,L1896&gt;0,K1896-L1896&gt;0,COUNTIFS(A1897:A$2005,A1896,F1897:F$2005,F1896,H1897:H$2005,H1896,AA1897:AA$2005,"&gt;0")=0),ROUND(K1896-L1896,6),""),"")</f>
        <v/>
      </c>
      <c r="X1896" s="60" t="str">
        <f>IF(AND(A1896="",C1896="",D1896="",H1896="",L1896=""),"",IF(A1896="","Type manquant",IF(AND(A1896&lt;&gt;"BL",A1896&lt;&gt;"BR",A1896&lt;&gt;"BS"),"Type inconnu (BL, BR ou BS)",IF(AG1896=0,"Date manquante ou invalide",IF(D1896="",IF(A1896="BL","Client manquant",IF(A1896="BR","Fournisseur manquant","Service manquant")),IF(IF(A1896="BL",ISNA(MATCH(D1896,cl_code,0)),IF(A1896="BR",ISNA(MATCH(D1896,fo_code,0)),ISNA(MATCH(D1896,p_services,0)))),IF(A1896="BL","Client inconnu",IF(A1896="BR","Fournisseur inconnu","Service inconnu")),IF(H1896="","Article manquant",IF(ISNA(MATCH(H1896,art_ref,0)),"Article inconnu",IF(OR(NOT(ISNUMBER(L1896)),N(L1896)&lt;=0),"Quantité invalide",IF(AND(K1896&lt;&gt;"",OR(NOT(ISNUMBER(K1896)),N(K1896)&lt;=0)),"Qté commandée invalide",IF(AG1896&lt;SUMPRODUCT(MAX((A$6:A1895=A1896)*AG$6:AG1895)),"Date antérieure au bon précédent",IF(AND(A1896&lt;&gt;"BR",ISNUMBER(M1896),N(M1896)&gt;0),IF(A1896="BL","Livré plus que commandé","Sorti plus que demandé"),"OK"))))))))))))</f>
        <v/>
      </c>
      <c r="Y1896" s="57" t="str">
        <f>IF(AND(OR(A1896="BL",A1896="BR",A1896="BS"),AG1896&gt;0,D1896&lt;&gt;""),A1896&amp;"|"&amp;AG1896&amp;"|"&amp;D1896&amp;"|"&amp;F1896,"")</f>
        <v/>
      </c>
      <c r="Z1896" s="57" t="str">
        <f>IF(Y1896="","",IF(COUNTIF(Y$6:Y1895,Y1896)=0,1,0))</f>
        <v/>
      </c>
      <c r="AA1896" s="57" t="str">
        <f>IF(Y1896="","",IF(Z1896=1,COUNTIFS(A$6:A1896,A1896,Z$6:Z1896,1),INDEX(AA$6:AA1895,MATCH(Y1896,Y$6:Y1895,0))))</f>
        <v/>
      </c>
      <c r="AB1896" s="57" t="str">
        <f>IF(B1896="","",COUNTIF(B$6:B1896,B1896))</f>
        <v/>
      </c>
      <c r="AC1896" s="57" t="str">
        <f>IF(B1896="","",B1896&amp;"#"&amp;AB1896)</f>
        <v/>
      </c>
      <c r="AD1896" s="57" t="str">
        <f>IF(Z1896=1,A1896&amp;AA1896,"")</f>
        <v/>
      </c>
      <c r="AE1896" s="57" t="str">
        <f>IF(B1896="","",YEAR(C1896))</f>
        <v/>
      </c>
      <c r="AF1896" s="57" t="str">
        <f>IF(B1896="","",MONTH(C1896))</f>
        <v/>
      </c>
      <c r="AG1896" s="57">
        <f>IF(ISNUMBER(C1896),C1896,0)</f>
        <v>0.0</v>
      </c>
      <c r="AH1896" s="57" t="str">
        <f>IF(N(W1896)&gt;0,COUNTIF(W$6:W1896,"&gt;0"),"")</f>
        <v/>
      </c>
      <c r="AI1896" s="57" t="str">
        <f>IF(Z1896=1,COUNTIF(Z$6:Z1896,1),"")</f>
        <v/>
      </c>
    </row>
    <row r="1897">
      <c r="A1897" s="54" t="n"/>
      <c r="B1897" s="55" t="str">
        <f>IF(AA1897="","",A1897&amp;"-"&amp;RIGHT("000"&amp;AA1897,4))</f>
        <v/>
      </c>
      <c r="C1897" s="56" t="n"/>
      <c r="D1897" s="54" t="n"/>
      <c r="E1897" s="57" t="str">
        <f>IF(D1897="","",IF(A1897="BL",IFERROR(INDEX(cl_name,MATCH(D1897,cl_code,0))&amp;"","Client inconnu"),IF(A1897="BR",IFERROR(INDEX(fo_name,MATCH(D1897,fo_code,0))&amp;"","Fournisseur inconnu"),IF(A1897="BS",IF(ISNA(MATCH(D1897,p_services,0)),"Service inconnu",D1897&amp;""),""))))</f>
        <v/>
      </c>
      <c r="F1897" s="58" t="n"/>
      <c r="G1897" s="58" t="n"/>
      <c r="H1897" s="59" t="n"/>
      <c r="I1897" s="57" t="str">
        <f>IF(H1897="","",IFERROR(INDEX(art_des,MATCH(H1897,art_ref,0))&amp;"","Article inconnu"))</f>
        <v/>
      </c>
      <c r="J1897" s="60" t="str">
        <f>IF(H1897="","",IFERROR(INDEX(art_unit,MATCH(H1897,art_ref,0))&amp;"",""))</f>
        <v/>
      </c>
      <c r="K1897" s="59" t="n"/>
      <c r="L1897" s="59" t="n"/>
      <c r="M1897" s="61" t="str">
        <f>IF(OR(B1897="",NOT(ISNUMBER(K1897)),NOT(ISNUMBER(L1897))),"",IF(OR(K1897&lt;=0,L1897&lt;=0),"",ROUND(L1897-K1897,6)))</f>
        <v/>
      </c>
      <c r="N1897" s="58" t="n"/>
      <c r="O1897" s="62" t="n"/>
      <c r="P1897" s="63" t="str">
        <f>IF(OR(B1897="",NOT(ISNUMBER(L1897))),"",IF(L1897&lt;=0,"",IFERROR(ROUND(L1897*N(INDEX(art_w,MATCH(H1897,art_ref,0))),3),"")))</f>
        <v/>
      </c>
      <c r="Q1897" s="59" t="n"/>
      <c r="R1897" s="54" t="n"/>
      <c r="S1897" s="59" t="n"/>
      <c r="T1897" s="59" t="n"/>
      <c r="U1897" s="64" t="str">
        <f>IF(OR(B1897="",H1897=""),"",IFERROR(IF(A1897="BL",IF(N(INDEX(art_price,MATCH(H1897,art_ref,0)))=0,"",N(INDEX(art_price,MATCH(H1897,art_ref,0)))),IF(N(INDEX(art_cost,MATCH(H1897,art_ref,0)))=0,"",N(INDEX(art_cost,MATCH(H1897,art_ref,0))))),""))</f>
        <v/>
      </c>
      <c r="V1897" s="64" t="str">
        <f>IF(OR(U1897="",NOT(ISNUMBER(L1897))),"",IF(L1897&lt;=0,"",ROUND(L1897*U1897,2)))</f>
        <v/>
      </c>
      <c r="W1897" s="60" t="str">
        <f>IF(AND(B1897&lt;&gt;"",A1897&lt;&gt;"BS",F1897&lt;&gt;"",H1897&lt;&gt;"",ISNUMBER(K1897),ISNUMBER(L1897)),IF(AND(K1897&gt;0,L1897&gt;0,K1897-L1897&gt;0,COUNTIFS(A1898:A$2005,A1897,F1898:F$2005,F1897,H1898:H$2005,H1897,AA1898:AA$2005,"&gt;0")=0),ROUND(K1897-L1897,6),""),"")</f>
        <v/>
      </c>
      <c r="X1897" s="60" t="str">
        <f>IF(AND(A1897="",C1897="",D1897="",H1897="",L1897=""),"",IF(A1897="","Type manquant",IF(AND(A1897&lt;&gt;"BL",A1897&lt;&gt;"BR",A1897&lt;&gt;"BS"),"Type inconnu (BL, BR ou BS)",IF(AG1897=0,"Date manquante ou invalide",IF(D1897="",IF(A1897="BL","Client manquant",IF(A1897="BR","Fournisseur manquant","Service manquant")),IF(IF(A1897="BL",ISNA(MATCH(D1897,cl_code,0)),IF(A1897="BR",ISNA(MATCH(D1897,fo_code,0)),ISNA(MATCH(D1897,p_services,0)))),IF(A1897="BL","Client inconnu",IF(A1897="BR","Fournisseur inconnu","Service inconnu")),IF(H1897="","Article manquant",IF(ISNA(MATCH(H1897,art_ref,0)),"Article inconnu",IF(OR(NOT(ISNUMBER(L1897)),N(L1897)&lt;=0),"Quantité invalide",IF(AND(K1897&lt;&gt;"",OR(NOT(ISNUMBER(K1897)),N(K1897)&lt;=0)),"Qté commandée invalide",IF(AG1897&lt;SUMPRODUCT(MAX((A$6:A1896=A1897)*AG$6:AG1896)),"Date antérieure au bon précédent",IF(AND(A1897&lt;&gt;"BR",ISNUMBER(M1897),N(M1897)&gt;0),IF(A1897="BL","Livré plus que commandé","Sorti plus que demandé"),"OK"))))))))))))</f>
        <v/>
      </c>
      <c r="Y1897" s="57" t="str">
        <f>IF(AND(OR(A1897="BL",A1897="BR",A1897="BS"),AG1897&gt;0,D1897&lt;&gt;""),A1897&amp;"|"&amp;AG1897&amp;"|"&amp;D1897&amp;"|"&amp;F1897,"")</f>
        <v/>
      </c>
      <c r="Z1897" s="57" t="str">
        <f>IF(Y1897="","",IF(COUNTIF(Y$6:Y1896,Y1897)=0,1,0))</f>
        <v/>
      </c>
      <c r="AA1897" s="57" t="str">
        <f>IF(Y1897="","",IF(Z1897=1,COUNTIFS(A$6:A1897,A1897,Z$6:Z1897,1),INDEX(AA$6:AA1896,MATCH(Y1897,Y$6:Y1896,0))))</f>
        <v/>
      </c>
      <c r="AB1897" s="57" t="str">
        <f>IF(B1897="","",COUNTIF(B$6:B1897,B1897))</f>
        <v/>
      </c>
      <c r="AC1897" s="57" t="str">
        <f>IF(B1897="","",B1897&amp;"#"&amp;AB1897)</f>
        <v/>
      </c>
      <c r="AD1897" s="57" t="str">
        <f>IF(Z1897=1,A1897&amp;AA1897,"")</f>
        <v/>
      </c>
      <c r="AE1897" s="57" t="str">
        <f>IF(B1897="","",YEAR(C1897))</f>
        <v/>
      </c>
      <c r="AF1897" s="57" t="str">
        <f>IF(B1897="","",MONTH(C1897))</f>
        <v/>
      </c>
      <c r="AG1897" s="57">
        <f>IF(ISNUMBER(C1897),C1897,0)</f>
        <v>0.0</v>
      </c>
      <c r="AH1897" s="57" t="str">
        <f>IF(N(W1897)&gt;0,COUNTIF(W$6:W1897,"&gt;0"),"")</f>
        <v/>
      </c>
      <c r="AI1897" s="57" t="str">
        <f>IF(Z1897=1,COUNTIF(Z$6:Z1897,1),"")</f>
        <v/>
      </c>
    </row>
    <row r="1898">
      <c r="A1898" s="54" t="n"/>
      <c r="B1898" s="55" t="str">
        <f>IF(AA1898="","",A1898&amp;"-"&amp;RIGHT("000"&amp;AA1898,4))</f>
        <v/>
      </c>
      <c r="C1898" s="56" t="n"/>
      <c r="D1898" s="54" t="n"/>
      <c r="E1898" s="57" t="str">
        <f>IF(D1898="","",IF(A1898="BL",IFERROR(INDEX(cl_name,MATCH(D1898,cl_code,0))&amp;"","Client inconnu"),IF(A1898="BR",IFERROR(INDEX(fo_name,MATCH(D1898,fo_code,0))&amp;"","Fournisseur inconnu"),IF(A1898="BS",IF(ISNA(MATCH(D1898,p_services,0)),"Service inconnu",D1898&amp;""),""))))</f>
        <v/>
      </c>
      <c r="F1898" s="58" t="n"/>
      <c r="G1898" s="58" t="n"/>
      <c r="H1898" s="59" t="n"/>
      <c r="I1898" s="57" t="str">
        <f>IF(H1898="","",IFERROR(INDEX(art_des,MATCH(H1898,art_ref,0))&amp;"","Article inconnu"))</f>
        <v/>
      </c>
      <c r="J1898" s="60" t="str">
        <f>IF(H1898="","",IFERROR(INDEX(art_unit,MATCH(H1898,art_ref,0))&amp;"",""))</f>
        <v/>
      </c>
      <c r="K1898" s="59" t="n"/>
      <c r="L1898" s="59" t="n"/>
      <c r="M1898" s="61" t="str">
        <f>IF(OR(B1898="",NOT(ISNUMBER(K1898)),NOT(ISNUMBER(L1898))),"",IF(OR(K1898&lt;=0,L1898&lt;=0),"",ROUND(L1898-K1898,6)))</f>
        <v/>
      </c>
      <c r="N1898" s="58" t="n"/>
      <c r="O1898" s="62" t="n"/>
      <c r="P1898" s="63" t="str">
        <f>IF(OR(B1898="",NOT(ISNUMBER(L1898))),"",IF(L1898&lt;=0,"",IFERROR(ROUND(L1898*N(INDEX(art_w,MATCH(H1898,art_ref,0))),3),"")))</f>
        <v/>
      </c>
      <c r="Q1898" s="59" t="n"/>
      <c r="R1898" s="54" t="n"/>
      <c r="S1898" s="59" t="n"/>
      <c r="T1898" s="59" t="n"/>
      <c r="U1898" s="64" t="str">
        <f>IF(OR(B1898="",H1898=""),"",IFERROR(IF(A1898="BL",IF(N(INDEX(art_price,MATCH(H1898,art_ref,0)))=0,"",N(INDEX(art_price,MATCH(H1898,art_ref,0)))),IF(N(INDEX(art_cost,MATCH(H1898,art_ref,0)))=0,"",N(INDEX(art_cost,MATCH(H1898,art_ref,0))))),""))</f>
        <v/>
      </c>
      <c r="V1898" s="64" t="str">
        <f>IF(OR(U1898="",NOT(ISNUMBER(L1898))),"",IF(L1898&lt;=0,"",ROUND(L1898*U1898,2)))</f>
        <v/>
      </c>
      <c r="W1898" s="60" t="str">
        <f>IF(AND(B1898&lt;&gt;"",A1898&lt;&gt;"BS",F1898&lt;&gt;"",H1898&lt;&gt;"",ISNUMBER(K1898),ISNUMBER(L1898)),IF(AND(K1898&gt;0,L1898&gt;0,K1898-L1898&gt;0,COUNTIFS(A1899:A$2005,A1898,F1899:F$2005,F1898,H1899:H$2005,H1898,AA1899:AA$2005,"&gt;0")=0),ROUND(K1898-L1898,6),""),"")</f>
        <v/>
      </c>
      <c r="X1898" s="60" t="str">
        <f>IF(AND(A1898="",C1898="",D1898="",H1898="",L1898=""),"",IF(A1898="","Type manquant",IF(AND(A1898&lt;&gt;"BL",A1898&lt;&gt;"BR",A1898&lt;&gt;"BS"),"Type inconnu (BL, BR ou BS)",IF(AG1898=0,"Date manquante ou invalide",IF(D1898="",IF(A1898="BL","Client manquant",IF(A1898="BR","Fournisseur manquant","Service manquant")),IF(IF(A1898="BL",ISNA(MATCH(D1898,cl_code,0)),IF(A1898="BR",ISNA(MATCH(D1898,fo_code,0)),ISNA(MATCH(D1898,p_services,0)))),IF(A1898="BL","Client inconnu",IF(A1898="BR","Fournisseur inconnu","Service inconnu")),IF(H1898="","Article manquant",IF(ISNA(MATCH(H1898,art_ref,0)),"Article inconnu",IF(OR(NOT(ISNUMBER(L1898)),N(L1898)&lt;=0),"Quantité invalide",IF(AND(K1898&lt;&gt;"",OR(NOT(ISNUMBER(K1898)),N(K1898)&lt;=0)),"Qté commandée invalide",IF(AG1898&lt;SUMPRODUCT(MAX((A$6:A1897=A1898)*AG$6:AG1897)),"Date antérieure au bon précédent",IF(AND(A1898&lt;&gt;"BR",ISNUMBER(M1898),N(M1898)&gt;0),IF(A1898="BL","Livré plus que commandé","Sorti plus que demandé"),"OK"))))))))))))</f>
        <v/>
      </c>
      <c r="Y1898" s="57" t="str">
        <f>IF(AND(OR(A1898="BL",A1898="BR",A1898="BS"),AG1898&gt;0,D1898&lt;&gt;""),A1898&amp;"|"&amp;AG1898&amp;"|"&amp;D1898&amp;"|"&amp;F1898,"")</f>
        <v/>
      </c>
      <c r="Z1898" s="57" t="str">
        <f>IF(Y1898="","",IF(COUNTIF(Y$6:Y1897,Y1898)=0,1,0))</f>
        <v/>
      </c>
      <c r="AA1898" s="57" t="str">
        <f>IF(Y1898="","",IF(Z1898=1,COUNTIFS(A$6:A1898,A1898,Z$6:Z1898,1),INDEX(AA$6:AA1897,MATCH(Y1898,Y$6:Y1897,0))))</f>
        <v/>
      </c>
      <c r="AB1898" s="57" t="str">
        <f>IF(B1898="","",COUNTIF(B$6:B1898,B1898))</f>
        <v/>
      </c>
      <c r="AC1898" s="57" t="str">
        <f>IF(B1898="","",B1898&amp;"#"&amp;AB1898)</f>
        <v/>
      </c>
      <c r="AD1898" s="57" t="str">
        <f>IF(Z1898=1,A1898&amp;AA1898,"")</f>
        <v/>
      </c>
      <c r="AE1898" s="57" t="str">
        <f>IF(B1898="","",YEAR(C1898))</f>
        <v/>
      </c>
      <c r="AF1898" s="57" t="str">
        <f>IF(B1898="","",MONTH(C1898))</f>
        <v/>
      </c>
      <c r="AG1898" s="57">
        <f>IF(ISNUMBER(C1898),C1898,0)</f>
        <v>0.0</v>
      </c>
      <c r="AH1898" s="57" t="str">
        <f>IF(N(W1898)&gt;0,COUNTIF(W$6:W1898,"&gt;0"),"")</f>
        <v/>
      </c>
      <c r="AI1898" s="57" t="str">
        <f>IF(Z1898=1,COUNTIF(Z$6:Z1898,1),"")</f>
        <v/>
      </c>
    </row>
    <row r="1899">
      <c r="A1899" s="54" t="n"/>
      <c r="B1899" s="55" t="str">
        <f>IF(AA1899="","",A1899&amp;"-"&amp;RIGHT("000"&amp;AA1899,4))</f>
        <v/>
      </c>
      <c r="C1899" s="56" t="n"/>
      <c r="D1899" s="54" t="n"/>
      <c r="E1899" s="57" t="str">
        <f>IF(D1899="","",IF(A1899="BL",IFERROR(INDEX(cl_name,MATCH(D1899,cl_code,0))&amp;"","Client inconnu"),IF(A1899="BR",IFERROR(INDEX(fo_name,MATCH(D1899,fo_code,0))&amp;"","Fournisseur inconnu"),IF(A1899="BS",IF(ISNA(MATCH(D1899,p_services,0)),"Service inconnu",D1899&amp;""),""))))</f>
        <v/>
      </c>
      <c r="F1899" s="58" t="n"/>
      <c r="G1899" s="58" t="n"/>
      <c r="H1899" s="59" t="n"/>
      <c r="I1899" s="57" t="str">
        <f>IF(H1899="","",IFERROR(INDEX(art_des,MATCH(H1899,art_ref,0))&amp;"","Article inconnu"))</f>
        <v/>
      </c>
      <c r="J1899" s="60" t="str">
        <f>IF(H1899="","",IFERROR(INDEX(art_unit,MATCH(H1899,art_ref,0))&amp;"",""))</f>
        <v/>
      </c>
      <c r="K1899" s="59" t="n"/>
      <c r="L1899" s="59" t="n"/>
      <c r="M1899" s="61" t="str">
        <f>IF(OR(B1899="",NOT(ISNUMBER(K1899)),NOT(ISNUMBER(L1899))),"",IF(OR(K1899&lt;=0,L1899&lt;=0),"",ROUND(L1899-K1899,6)))</f>
        <v/>
      </c>
      <c r="N1899" s="58" t="n"/>
      <c r="O1899" s="62" t="n"/>
      <c r="P1899" s="63" t="str">
        <f>IF(OR(B1899="",NOT(ISNUMBER(L1899))),"",IF(L1899&lt;=0,"",IFERROR(ROUND(L1899*N(INDEX(art_w,MATCH(H1899,art_ref,0))),3),"")))</f>
        <v/>
      </c>
      <c r="Q1899" s="59" t="n"/>
      <c r="R1899" s="54" t="n"/>
      <c r="S1899" s="59" t="n"/>
      <c r="T1899" s="59" t="n"/>
      <c r="U1899" s="64" t="str">
        <f>IF(OR(B1899="",H1899=""),"",IFERROR(IF(A1899="BL",IF(N(INDEX(art_price,MATCH(H1899,art_ref,0)))=0,"",N(INDEX(art_price,MATCH(H1899,art_ref,0)))),IF(N(INDEX(art_cost,MATCH(H1899,art_ref,0)))=0,"",N(INDEX(art_cost,MATCH(H1899,art_ref,0))))),""))</f>
        <v/>
      </c>
      <c r="V1899" s="64" t="str">
        <f>IF(OR(U1899="",NOT(ISNUMBER(L1899))),"",IF(L1899&lt;=0,"",ROUND(L1899*U1899,2)))</f>
        <v/>
      </c>
      <c r="W1899" s="60" t="str">
        <f>IF(AND(B1899&lt;&gt;"",A1899&lt;&gt;"BS",F1899&lt;&gt;"",H1899&lt;&gt;"",ISNUMBER(K1899),ISNUMBER(L1899)),IF(AND(K1899&gt;0,L1899&gt;0,K1899-L1899&gt;0,COUNTIFS(A1900:A$2005,A1899,F1900:F$2005,F1899,H1900:H$2005,H1899,AA1900:AA$2005,"&gt;0")=0),ROUND(K1899-L1899,6),""),"")</f>
        <v/>
      </c>
      <c r="X1899" s="60" t="str">
        <f>IF(AND(A1899="",C1899="",D1899="",H1899="",L1899=""),"",IF(A1899="","Type manquant",IF(AND(A1899&lt;&gt;"BL",A1899&lt;&gt;"BR",A1899&lt;&gt;"BS"),"Type inconnu (BL, BR ou BS)",IF(AG1899=0,"Date manquante ou invalide",IF(D1899="",IF(A1899="BL","Client manquant",IF(A1899="BR","Fournisseur manquant","Service manquant")),IF(IF(A1899="BL",ISNA(MATCH(D1899,cl_code,0)),IF(A1899="BR",ISNA(MATCH(D1899,fo_code,0)),ISNA(MATCH(D1899,p_services,0)))),IF(A1899="BL","Client inconnu",IF(A1899="BR","Fournisseur inconnu","Service inconnu")),IF(H1899="","Article manquant",IF(ISNA(MATCH(H1899,art_ref,0)),"Article inconnu",IF(OR(NOT(ISNUMBER(L1899)),N(L1899)&lt;=0),"Quantité invalide",IF(AND(K1899&lt;&gt;"",OR(NOT(ISNUMBER(K1899)),N(K1899)&lt;=0)),"Qté commandée invalide",IF(AG1899&lt;SUMPRODUCT(MAX((A$6:A1898=A1899)*AG$6:AG1898)),"Date antérieure au bon précédent",IF(AND(A1899&lt;&gt;"BR",ISNUMBER(M1899),N(M1899)&gt;0),IF(A1899="BL","Livré plus que commandé","Sorti plus que demandé"),"OK"))))))))))))</f>
        <v/>
      </c>
      <c r="Y1899" s="57" t="str">
        <f>IF(AND(OR(A1899="BL",A1899="BR",A1899="BS"),AG1899&gt;0,D1899&lt;&gt;""),A1899&amp;"|"&amp;AG1899&amp;"|"&amp;D1899&amp;"|"&amp;F1899,"")</f>
        <v/>
      </c>
      <c r="Z1899" s="57" t="str">
        <f>IF(Y1899="","",IF(COUNTIF(Y$6:Y1898,Y1899)=0,1,0))</f>
        <v/>
      </c>
      <c r="AA1899" s="57" t="str">
        <f>IF(Y1899="","",IF(Z1899=1,COUNTIFS(A$6:A1899,A1899,Z$6:Z1899,1),INDEX(AA$6:AA1898,MATCH(Y1899,Y$6:Y1898,0))))</f>
        <v/>
      </c>
      <c r="AB1899" s="57" t="str">
        <f>IF(B1899="","",COUNTIF(B$6:B1899,B1899))</f>
        <v/>
      </c>
      <c r="AC1899" s="57" t="str">
        <f>IF(B1899="","",B1899&amp;"#"&amp;AB1899)</f>
        <v/>
      </c>
      <c r="AD1899" s="57" t="str">
        <f>IF(Z1899=1,A1899&amp;AA1899,"")</f>
        <v/>
      </c>
      <c r="AE1899" s="57" t="str">
        <f>IF(B1899="","",YEAR(C1899))</f>
        <v/>
      </c>
      <c r="AF1899" s="57" t="str">
        <f>IF(B1899="","",MONTH(C1899))</f>
        <v/>
      </c>
      <c r="AG1899" s="57">
        <f>IF(ISNUMBER(C1899),C1899,0)</f>
        <v>0.0</v>
      </c>
      <c r="AH1899" s="57" t="str">
        <f>IF(N(W1899)&gt;0,COUNTIF(W$6:W1899,"&gt;0"),"")</f>
        <v/>
      </c>
      <c r="AI1899" s="57" t="str">
        <f>IF(Z1899=1,COUNTIF(Z$6:Z1899,1),"")</f>
        <v/>
      </c>
    </row>
    <row r="1900">
      <c r="A1900" s="54" t="n"/>
      <c r="B1900" s="55" t="str">
        <f>IF(AA1900="","",A1900&amp;"-"&amp;RIGHT("000"&amp;AA1900,4))</f>
        <v/>
      </c>
      <c r="C1900" s="56" t="n"/>
      <c r="D1900" s="54" t="n"/>
      <c r="E1900" s="57" t="str">
        <f>IF(D1900="","",IF(A1900="BL",IFERROR(INDEX(cl_name,MATCH(D1900,cl_code,0))&amp;"","Client inconnu"),IF(A1900="BR",IFERROR(INDEX(fo_name,MATCH(D1900,fo_code,0))&amp;"","Fournisseur inconnu"),IF(A1900="BS",IF(ISNA(MATCH(D1900,p_services,0)),"Service inconnu",D1900&amp;""),""))))</f>
        <v/>
      </c>
      <c r="F1900" s="58" t="n"/>
      <c r="G1900" s="58" t="n"/>
      <c r="H1900" s="59" t="n"/>
      <c r="I1900" s="57" t="str">
        <f>IF(H1900="","",IFERROR(INDEX(art_des,MATCH(H1900,art_ref,0))&amp;"","Article inconnu"))</f>
        <v/>
      </c>
      <c r="J1900" s="60" t="str">
        <f>IF(H1900="","",IFERROR(INDEX(art_unit,MATCH(H1900,art_ref,0))&amp;"",""))</f>
        <v/>
      </c>
      <c r="K1900" s="59" t="n"/>
      <c r="L1900" s="59" t="n"/>
      <c r="M1900" s="61" t="str">
        <f>IF(OR(B1900="",NOT(ISNUMBER(K1900)),NOT(ISNUMBER(L1900))),"",IF(OR(K1900&lt;=0,L1900&lt;=0),"",ROUND(L1900-K1900,6)))</f>
        <v/>
      </c>
      <c r="N1900" s="58" t="n"/>
      <c r="O1900" s="62" t="n"/>
      <c r="P1900" s="63" t="str">
        <f>IF(OR(B1900="",NOT(ISNUMBER(L1900))),"",IF(L1900&lt;=0,"",IFERROR(ROUND(L1900*N(INDEX(art_w,MATCH(H1900,art_ref,0))),3),"")))</f>
        <v/>
      </c>
      <c r="Q1900" s="59" t="n"/>
      <c r="R1900" s="54" t="n"/>
      <c r="S1900" s="59" t="n"/>
      <c r="T1900" s="59" t="n"/>
      <c r="U1900" s="64" t="str">
        <f>IF(OR(B1900="",H1900=""),"",IFERROR(IF(A1900="BL",IF(N(INDEX(art_price,MATCH(H1900,art_ref,0)))=0,"",N(INDEX(art_price,MATCH(H1900,art_ref,0)))),IF(N(INDEX(art_cost,MATCH(H1900,art_ref,0)))=0,"",N(INDEX(art_cost,MATCH(H1900,art_ref,0))))),""))</f>
        <v/>
      </c>
      <c r="V1900" s="64" t="str">
        <f>IF(OR(U1900="",NOT(ISNUMBER(L1900))),"",IF(L1900&lt;=0,"",ROUND(L1900*U1900,2)))</f>
        <v/>
      </c>
      <c r="W1900" s="60" t="str">
        <f>IF(AND(B1900&lt;&gt;"",A1900&lt;&gt;"BS",F1900&lt;&gt;"",H1900&lt;&gt;"",ISNUMBER(K1900),ISNUMBER(L1900)),IF(AND(K1900&gt;0,L1900&gt;0,K1900-L1900&gt;0,COUNTIFS(A1901:A$2005,A1900,F1901:F$2005,F1900,H1901:H$2005,H1900,AA1901:AA$2005,"&gt;0")=0),ROUND(K1900-L1900,6),""),"")</f>
        <v/>
      </c>
      <c r="X1900" s="60" t="str">
        <f>IF(AND(A1900="",C1900="",D1900="",H1900="",L1900=""),"",IF(A1900="","Type manquant",IF(AND(A1900&lt;&gt;"BL",A1900&lt;&gt;"BR",A1900&lt;&gt;"BS"),"Type inconnu (BL, BR ou BS)",IF(AG1900=0,"Date manquante ou invalide",IF(D1900="",IF(A1900="BL","Client manquant",IF(A1900="BR","Fournisseur manquant","Service manquant")),IF(IF(A1900="BL",ISNA(MATCH(D1900,cl_code,0)),IF(A1900="BR",ISNA(MATCH(D1900,fo_code,0)),ISNA(MATCH(D1900,p_services,0)))),IF(A1900="BL","Client inconnu",IF(A1900="BR","Fournisseur inconnu","Service inconnu")),IF(H1900="","Article manquant",IF(ISNA(MATCH(H1900,art_ref,0)),"Article inconnu",IF(OR(NOT(ISNUMBER(L1900)),N(L1900)&lt;=0),"Quantité invalide",IF(AND(K1900&lt;&gt;"",OR(NOT(ISNUMBER(K1900)),N(K1900)&lt;=0)),"Qté commandée invalide",IF(AG1900&lt;SUMPRODUCT(MAX((A$6:A1899=A1900)*AG$6:AG1899)),"Date antérieure au bon précédent",IF(AND(A1900&lt;&gt;"BR",ISNUMBER(M1900),N(M1900)&gt;0),IF(A1900="BL","Livré plus que commandé","Sorti plus que demandé"),"OK"))))))))))))</f>
        <v/>
      </c>
      <c r="Y1900" s="57" t="str">
        <f>IF(AND(OR(A1900="BL",A1900="BR",A1900="BS"),AG1900&gt;0,D1900&lt;&gt;""),A1900&amp;"|"&amp;AG1900&amp;"|"&amp;D1900&amp;"|"&amp;F1900,"")</f>
        <v/>
      </c>
      <c r="Z1900" s="57" t="str">
        <f>IF(Y1900="","",IF(COUNTIF(Y$6:Y1899,Y1900)=0,1,0))</f>
        <v/>
      </c>
      <c r="AA1900" s="57" t="str">
        <f>IF(Y1900="","",IF(Z1900=1,COUNTIFS(A$6:A1900,A1900,Z$6:Z1900,1),INDEX(AA$6:AA1899,MATCH(Y1900,Y$6:Y1899,0))))</f>
        <v/>
      </c>
      <c r="AB1900" s="57" t="str">
        <f>IF(B1900="","",COUNTIF(B$6:B1900,B1900))</f>
        <v/>
      </c>
      <c r="AC1900" s="57" t="str">
        <f>IF(B1900="","",B1900&amp;"#"&amp;AB1900)</f>
        <v/>
      </c>
      <c r="AD1900" s="57" t="str">
        <f>IF(Z1900=1,A1900&amp;AA1900,"")</f>
        <v/>
      </c>
      <c r="AE1900" s="57" t="str">
        <f>IF(B1900="","",YEAR(C1900))</f>
        <v/>
      </c>
      <c r="AF1900" s="57" t="str">
        <f>IF(B1900="","",MONTH(C1900))</f>
        <v/>
      </c>
      <c r="AG1900" s="57">
        <f>IF(ISNUMBER(C1900),C1900,0)</f>
        <v>0.0</v>
      </c>
      <c r="AH1900" s="57" t="str">
        <f>IF(N(W1900)&gt;0,COUNTIF(W$6:W1900,"&gt;0"),"")</f>
        <v/>
      </c>
      <c r="AI1900" s="57" t="str">
        <f>IF(Z1900=1,COUNTIF(Z$6:Z1900,1),"")</f>
        <v/>
      </c>
    </row>
    <row r="1901">
      <c r="A1901" s="54" t="n"/>
      <c r="B1901" s="55" t="str">
        <f>IF(AA1901="","",A1901&amp;"-"&amp;RIGHT("000"&amp;AA1901,4))</f>
        <v/>
      </c>
      <c r="C1901" s="56" t="n"/>
      <c r="D1901" s="54" t="n"/>
      <c r="E1901" s="57" t="str">
        <f>IF(D1901="","",IF(A1901="BL",IFERROR(INDEX(cl_name,MATCH(D1901,cl_code,0))&amp;"","Client inconnu"),IF(A1901="BR",IFERROR(INDEX(fo_name,MATCH(D1901,fo_code,0))&amp;"","Fournisseur inconnu"),IF(A1901="BS",IF(ISNA(MATCH(D1901,p_services,0)),"Service inconnu",D1901&amp;""),""))))</f>
        <v/>
      </c>
      <c r="F1901" s="58" t="n"/>
      <c r="G1901" s="58" t="n"/>
      <c r="H1901" s="59" t="n"/>
      <c r="I1901" s="57" t="str">
        <f>IF(H1901="","",IFERROR(INDEX(art_des,MATCH(H1901,art_ref,0))&amp;"","Article inconnu"))</f>
        <v/>
      </c>
      <c r="J1901" s="60" t="str">
        <f>IF(H1901="","",IFERROR(INDEX(art_unit,MATCH(H1901,art_ref,0))&amp;"",""))</f>
        <v/>
      </c>
      <c r="K1901" s="59" t="n"/>
      <c r="L1901" s="59" t="n"/>
      <c r="M1901" s="61" t="str">
        <f>IF(OR(B1901="",NOT(ISNUMBER(K1901)),NOT(ISNUMBER(L1901))),"",IF(OR(K1901&lt;=0,L1901&lt;=0),"",ROUND(L1901-K1901,6)))</f>
        <v/>
      </c>
      <c r="N1901" s="58" t="n"/>
      <c r="O1901" s="62" t="n"/>
      <c r="P1901" s="63" t="str">
        <f>IF(OR(B1901="",NOT(ISNUMBER(L1901))),"",IF(L1901&lt;=0,"",IFERROR(ROUND(L1901*N(INDEX(art_w,MATCH(H1901,art_ref,0))),3),"")))</f>
        <v/>
      </c>
      <c r="Q1901" s="59" t="n"/>
      <c r="R1901" s="54" t="n"/>
      <c r="S1901" s="59" t="n"/>
      <c r="T1901" s="59" t="n"/>
      <c r="U1901" s="64" t="str">
        <f>IF(OR(B1901="",H1901=""),"",IFERROR(IF(A1901="BL",IF(N(INDEX(art_price,MATCH(H1901,art_ref,0)))=0,"",N(INDEX(art_price,MATCH(H1901,art_ref,0)))),IF(N(INDEX(art_cost,MATCH(H1901,art_ref,0)))=0,"",N(INDEX(art_cost,MATCH(H1901,art_ref,0))))),""))</f>
        <v/>
      </c>
      <c r="V1901" s="64" t="str">
        <f>IF(OR(U1901="",NOT(ISNUMBER(L1901))),"",IF(L1901&lt;=0,"",ROUND(L1901*U1901,2)))</f>
        <v/>
      </c>
      <c r="W1901" s="60" t="str">
        <f>IF(AND(B1901&lt;&gt;"",A1901&lt;&gt;"BS",F1901&lt;&gt;"",H1901&lt;&gt;"",ISNUMBER(K1901),ISNUMBER(L1901)),IF(AND(K1901&gt;0,L1901&gt;0,K1901-L1901&gt;0,COUNTIFS(A1902:A$2005,A1901,F1902:F$2005,F1901,H1902:H$2005,H1901,AA1902:AA$2005,"&gt;0")=0),ROUND(K1901-L1901,6),""),"")</f>
        <v/>
      </c>
      <c r="X1901" s="60" t="str">
        <f>IF(AND(A1901="",C1901="",D1901="",H1901="",L1901=""),"",IF(A1901="","Type manquant",IF(AND(A1901&lt;&gt;"BL",A1901&lt;&gt;"BR",A1901&lt;&gt;"BS"),"Type inconnu (BL, BR ou BS)",IF(AG1901=0,"Date manquante ou invalide",IF(D1901="",IF(A1901="BL","Client manquant",IF(A1901="BR","Fournisseur manquant","Service manquant")),IF(IF(A1901="BL",ISNA(MATCH(D1901,cl_code,0)),IF(A1901="BR",ISNA(MATCH(D1901,fo_code,0)),ISNA(MATCH(D1901,p_services,0)))),IF(A1901="BL","Client inconnu",IF(A1901="BR","Fournisseur inconnu","Service inconnu")),IF(H1901="","Article manquant",IF(ISNA(MATCH(H1901,art_ref,0)),"Article inconnu",IF(OR(NOT(ISNUMBER(L1901)),N(L1901)&lt;=0),"Quantité invalide",IF(AND(K1901&lt;&gt;"",OR(NOT(ISNUMBER(K1901)),N(K1901)&lt;=0)),"Qté commandée invalide",IF(AG1901&lt;SUMPRODUCT(MAX((A$6:A1900=A1901)*AG$6:AG1900)),"Date antérieure au bon précédent",IF(AND(A1901&lt;&gt;"BR",ISNUMBER(M1901),N(M1901)&gt;0),IF(A1901="BL","Livré plus que commandé","Sorti plus que demandé"),"OK"))))))))))))</f>
        <v/>
      </c>
      <c r="Y1901" s="57" t="str">
        <f>IF(AND(OR(A1901="BL",A1901="BR",A1901="BS"),AG1901&gt;0,D1901&lt;&gt;""),A1901&amp;"|"&amp;AG1901&amp;"|"&amp;D1901&amp;"|"&amp;F1901,"")</f>
        <v/>
      </c>
      <c r="Z1901" s="57" t="str">
        <f>IF(Y1901="","",IF(COUNTIF(Y$6:Y1900,Y1901)=0,1,0))</f>
        <v/>
      </c>
      <c r="AA1901" s="57" t="str">
        <f>IF(Y1901="","",IF(Z1901=1,COUNTIFS(A$6:A1901,A1901,Z$6:Z1901,1),INDEX(AA$6:AA1900,MATCH(Y1901,Y$6:Y1900,0))))</f>
        <v/>
      </c>
      <c r="AB1901" s="57" t="str">
        <f>IF(B1901="","",COUNTIF(B$6:B1901,B1901))</f>
        <v/>
      </c>
      <c r="AC1901" s="57" t="str">
        <f>IF(B1901="","",B1901&amp;"#"&amp;AB1901)</f>
        <v/>
      </c>
      <c r="AD1901" s="57" t="str">
        <f>IF(Z1901=1,A1901&amp;AA1901,"")</f>
        <v/>
      </c>
      <c r="AE1901" s="57" t="str">
        <f>IF(B1901="","",YEAR(C1901))</f>
        <v/>
      </c>
      <c r="AF1901" s="57" t="str">
        <f>IF(B1901="","",MONTH(C1901))</f>
        <v/>
      </c>
      <c r="AG1901" s="57">
        <f>IF(ISNUMBER(C1901),C1901,0)</f>
        <v>0.0</v>
      </c>
      <c r="AH1901" s="57" t="str">
        <f>IF(N(W1901)&gt;0,COUNTIF(W$6:W1901,"&gt;0"),"")</f>
        <v/>
      </c>
      <c r="AI1901" s="57" t="str">
        <f>IF(Z1901=1,COUNTIF(Z$6:Z1901,1),"")</f>
        <v/>
      </c>
    </row>
    <row r="1902">
      <c r="A1902" s="54" t="n"/>
      <c r="B1902" s="55" t="str">
        <f>IF(AA1902="","",A1902&amp;"-"&amp;RIGHT("000"&amp;AA1902,4))</f>
        <v/>
      </c>
      <c r="C1902" s="56" t="n"/>
      <c r="D1902" s="54" t="n"/>
      <c r="E1902" s="57" t="str">
        <f>IF(D1902="","",IF(A1902="BL",IFERROR(INDEX(cl_name,MATCH(D1902,cl_code,0))&amp;"","Client inconnu"),IF(A1902="BR",IFERROR(INDEX(fo_name,MATCH(D1902,fo_code,0))&amp;"","Fournisseur inconnu"),IF(A1902="BS",IF(ISNA(MATCH(D1902,p_services,0)),"Service inconnu",D1902&amp;""),""))))</f>
        <v/>
      </c>
      <c r="F1902" s="58" t="n"/>
      <c r="G1902" s="58" t="n"/>
      <c r="H1902" s="59" t="n"/>
      <c r="I1902" s="57" t="str">
        <f>IF(H1902="","",IFERROR(INDEX(art_des,MATCH(H1902,art_ref,0))&amp;"","Article inconnu"))</f>
        <v/>
      </c>
      <c r="J1902" s="60" t="str">
        <f>IF(H1902="","",IFERROR(INDEX(art_unit,MATCH(H1902,art_ref,0))&amp;"",""))</f>
        <v/>
      </c>
      <c r="K1902" s="59" t="n"/>
      <c r="L1902" s="59" t="n"/>
      <c r="M1902" s="61" t="str">
        <f>IF(OR(B1902="",NOT(ISNUMBER(K1902)),NOT(ISNUMBER(L1902))),"",IF(OR(K1902&lt;=0,L1902&lt;=0),"",ROUND(L1902-K1902,6)))</f>
        <v/>
      </c>
      <c r="N1902" s="58" t="n"/>
      <c r="O1902" s="62" t="n"/>
      <c r="P1902" s="63" t="str">
        <f>IF(OR(B1902="",NOT(ISNUMBER(L1902))),"",IF(L1902&lt;=0,"",IFERROR(ROUND(L1902*N(INDEX(art_w,MATCH(H1902,art_ref,0))),3),"")))</f>
        <v/>
      </c>
      <c r="Q1902" s="59" t="n"/>
      <c r="R1902" s="54" t="n"/>
      <c r="S1902" s="59" t="n"/>
      <c r="T1902" s="59" t="n"/>
      <c r="U1902" s="64" t="str">
        <f>IF(OR(B1902="",H1902=""),"",IFERROR(IF(A1902="BL",IF(N(INDEX(art_price,MATCH(H1902,art_ref,0)))=0,"",N(INDEX(art_price,MATCH(H1902,art_ref,0)))),IF(N(INDEX(art_cost,MATCH(H1902,art_ref,0)))=0,"",N(INDEX(art_cost,MATCH(H1902,art_ref,0))))),""))</f>
        <v/>
      </c>
      <c r="V1902" s="64" t="str">
        <f>IF(OR(U1902="",NOT(ISNUMBER(L1902))),"",IF(L1902&lt;=0,"",ROUND(L1902*U1902,2)))</f>
        <v/>
      </c>
      <c r="W1902" s="60" t="str">
        <f>IF(AND(B1902&lt;&gt;"",A1902&lt;&gt;"BS",F1902&lt;&gt;"",H1902&lt;&gt;"",ISNUMBER(K1902),ISNUMBER(L1902)),IF(AND(K1902&gt;0,L1902&gt;0,K1902-L1902&gt;0,COUNTIFS(A1903:A$2005,A1902,F1903:F$2005,F1902,H1903:H$2005,H1902,AA1903:AA$2005,"&gt;0")=0),ROUND(K1902-L1902,6),""),"")</f>
        <v/>
      </c>
      <c r="X1902" s="60" t="str">
        <f>IF(AND(A1902="",C1902="",D1902="",H1902="",L1902=""),"",IF(A1902="","Type manquant",IF(AND(A1902&lt;&gt;"BL",A1902&lt;&gt;"BR",A1902&lt;&gt;"BS"),"Type inconnu (BL, BR ou BS)",IF(AG1902=0,"Date manquante ou invalide",IF(D1902="",IF(A1902="BL","Client manquant",IF(A1902="BR","Fournisseur manquant","Service manquant")),IF(IF(A1902="BL",ISNA(MATCH(D1902,cl_code,0)),IF(A1902="BR",ISNA(MATCH(D1902,fo_code,0)),ISNA(MATCH(D1902,p_services,0)))),IF(A1902="BL","Client inconnu",IF(A1902="BR","Fournisseur inconnu","Service inconnu")),IF(H1902="","Article manquant",IF(ISNA(MATCH(H1902,art_ref,0)),"Article inconnu",IF(OR(NOT(ISNUMBER(L1902)),N(L1902)&lt;=0),"Quantité invalide",IF(AND(K1902&lt;&gt;"",OR(NOT(ISNUMBER(K1902)),N(K1902)&lt;=0)),"Qté commandée invalide",IF(AG1902&lt;SUMPRODUCT(MAX((A$6:A1901=A1902)*AG$6:AG1901)),"Date antérieure au bon précédent",IF(AND(A1902&lt;&gt;"BR",ISNUMBER(M1902),N(M1902)&gt;0),IF(A1902="BL","Livré plus que commandé","Sorti plus que demandé"),"OK"))))))))))))</f>
        <v/>
      </c>
      <c r="Y1902" s="57" t="str">
        <f>IF(AND(OR(A1902="BL",A1902="BR",A1902="BS"),AG1902&gt;0,D1902&lt;&gt;""),A1902&amp;"|"&amp;AG1902&amp;"|"&amp;D1902&amp;"|"&amp;F1902,"")</f>
        <v/>
      </c>
      <c r="Z1902" s="57" t="str">
        <f>IF(Y1902="","",IF(COUNTIF(Y$6:Y1901,Y1902)=0,1,0))</f>
        <v/>
      </c>
      <c r="AA1902" s="57" t="str">
        <f>IF(Y1902="","",IF(Z1902=1,COUNTIFS(A$6:A1902,A1902,Z$6:Z1902,1),INDEX(AA$6:AA1901,MATCH(Y1902,Y$6:Y1901,0))))</f>
        <v/>
      </c>
      <c r="AB1902" s="57" t="str">
        <f>IF(B1902="","",COUNTIF(B$6:B1902,B1902))</f>
        <v/>
      </c>
      <c r="AC1902" s="57" t="str">
        <f>IF(B1902="","",B1902&amp;"#"&amp;AB1902)</f>
        <v/>
      </c>
      <c r="AD1902" s="57" t="str">
        <f>IF(Z1902=1,A1902&amp;AA1902,"")</f>
        <v/>
      </c>
      <c r="AE1902" s="57" t="str">
        <f>IF(B1902="","",YEAR(C1902))</f>
        <v/>
      </c>
      <c r="AF1902" s="57" t="str">
        <f>IF(B1902="","",MONTH(C1902))</f>
        <v/>
      </c>
      <c r="AG1902" s="57">
        <f>IF(ISNUMBER(C1902),C1902,0)</f>
        <v>0.0</v>
      </c>
      <c r="AH1902" s="57" t="str">
        <f>IF(N(W1902)&gt;0,COUNTIF(W$6:W1902,"&gt;0"),"")</f>
        <v/>
      </c>
      <c r="AI1902" s="57" t="str">
        <f>IF(Z1902=1,COUNTIF(Z$6:Z1902,1),"")</f>
        <v/>
      </c>
    </row>
    <row r="1903">
      <c r="A1903" s="54" t="n"/>
      <c r="B1903" s="55" t="str">
        <f>IF(AA1903="","",A1903&amp;"-"&amp;RIGHT("000"&amp;AA1903,4))</f>
        <v/>
      </c>
      <c r="C1903" s="56" t="n"/>
      <c r="D1903" s="54" t="n"/>
      <c r="E1903" s="57" t="str">
        <f>IF(D1903="","",IF(A1903="BL",IFERROR(INDEX(cl_name,MATCH(D1903,cl_code,0))&amp;"","Client inconnu"),IF(A1903="BR",IFERROR(INDEX(fo_name,MATCH(D1903,fo_code,0))&amp;"","Fournisseur inconnu"),IF(A1903="BS",IF(ISNA(MATCH(D1903,p_services,0)),"Service inconnu",D1903&amp;""),""))))</f>
        <v/>
      </c>
      <c r="F1903" s="58" t="n"/>
      <c r="G1903" s="58" t="n"/>
      <c r="H1903" s="59" t="n"/>
      <c r="I1903" s="57" t="str">
        <f>IF(H1903="","",IFERROR(INDEX(art_des,MATCH(H1903,art_ref,0))&amp;"","Article inconnu"))</f>
        <v/>
      </c>
      <c r="J1903" s="60" t="str">
        <f>IF(H1903="","",IFERROR(INDEX(art_unit,MATCH(H1903,art_ref,0))&amp;"",""))</f>
        <v/>
      </c>
      <c r="K1903" s="59" t="n"/>
      <c r="L1903" s="59" t="n"/>
      <c r="M1903" s="61" t="str">
        <f>IF(OR(B1903="",NOT(ISNUMBER(K1903)),NOT(ISNUMBER(L1903))),"",IF(OR(K1903&lt;=0,L1903&lt;=0),"",ROUND(L1903-K1903,6)))</f>
        <v/>
      </c>
      <c r="N1903" s="58" t="n"/>
      <c r="O1903" s="62" t="n"/>
      <c r="P1903" s="63" t="str">
        <f>IF(OR(B1903="",NOT(ISNUMBER(L1903))),"",IF(L1903&lt;=0,"",IFERROR(ROUND(L1903*N(INDEX(art_w,MATCH(H1903,art_ref,0))),3),"")))</f>
        <v/>
      </c>
      <c r="Q1903" s="59" t="n"/>
      <c r="R1903" s="54" t="n"/>
      <c r="S1903" s="59" t="n"/>
      <c r="T1903" s="59" t="n"/>
      <c r="U1903" s="64" t="str">
        <f>IF(OR(B1903="",H1903=""),"",IFERROR(IF(A1903="BL",IF(N(INDEX(art_price,MATCH(H1903,art_ref,0)))=0,"",N(INDEX(art_price,MATCH(H1903,art_ref,0)))),IF(N(INDEX(art_cost,MATCH(H1903,art_ref,0)))=0,"",N(INDEX(art_cost,MATCH(H1903,art_ref,0))))),""))</f>
        <v/>
      </c>
      <c r="V1903" s="64" t="str">
        <f>IF(OR(U1903="",NOT(ISNUMBER(L1903))),"",IF(L1903&lt;=0,"",ROUND(L1903*U1903,2)))</f>
        <v/>
      </c>
      <c r="W1903" s="60" t="str">
        <f>IF(AND(B1903&lt;&gt;"",A1903&lt;&gt;"BS",F1903&lt;&gt;"",H1903&lt;&gt;"",ISNUMBER(K1903),ISNUMBER(L1903)),IF(AND(K1903&gt;0,L1903&gt;0,K1903-L1903&gt;0,COUNTIFS(A1904:A$2005,A1903,F1904:F$2005,F1903,H1904:H$2005,H1903,AA1904:AA$2005,"&gt;0")=0),ROUND(K1903-L1903,6),""),"")</f>
        <v/>
      </c>
      <c r="X1903" s="60" t="str">
        <f>IF(AND(A1903="",C1903="",D1903="",H1903="",L1903=""),"",IF(A1903="","Type manquant",IF(AND(A1903&lt;&gt;"BL",A1903&lt;&gt;"BR",A1903&lt;&gt;"BS"),"Type inconnu (BL, BR ou BS)",IF(AG1903=0,"Date manquante ou invalide",IF(D1903="",IF(A1903="BL","Client manquant",IF(A1903="BR","Fournisseur manquant","Service manquant")),IF(IF(A1903="BL",ISNA(MATCH(D1903,cl_code,0)),IF(A1903="BR",ISNA(MATCH(D1903,fo_code,0)),ISNA(MATCH(D1903,p_services,0)))),IF(A1903="BL","Client inconnu",IF(A1903="BR","Fournisseur inconnu","Service inconnu")),IF(H1903="","Article manquant",IF(ISNA(MATCH(H1903,art_ref,0)),"Article inconnu",IF(OR(NOT(ISNUMBER(L1903)),N(L1903)&lt;=0),"Quantité invalide",IF(AND(K1903&lt;&gt;"",OR(NOT(ISNUMBER(K1903)),N(K1903)&lt;=0)),"Qté commandée invalide",IF(AG1903&lt;SUMPRODUCT(MAX((A$6:A1902=A1903)*AG$6:AG1902)),"Date antérieure au bon précédent",IF(AND(A1903&lt;&gt;"BR",ISNUMBER(M1903),N(M1903)&gt;0),IF(A1903="BL","Livré plus que commandé","Sorti plus que demandé"),"OK"))))))))))))</f>
        <v/>
      </c>
      <c r="Y1903" s="57" t="str">
        <f>IF(AND(OR(A1903="BL",A1903="BR",A1903="BS"),AG1903&gt;0,D1903&lt;&gt;""),A1903&amp;"|"&amp;AG1903&amp;"|"&amp;D1903&amp;"|"&amp;F1903,"")</f>
        <v/>
      </c>
      <c r="Z1903" s="57" t="str">
        <f>IF(Y1903="","",IF(COUNTIF(Y$6:Y1902,Y1903)=0,1,0))</f>
        <v/>
      </c>
      <c r="AA1903" s="57" t="str">
        <f>IF(Y1903="","",IF(Z1903=1,COUNTIFS(A$6:A1903,A1903,Z$6:Z1903,1),INDEX(AA$6:AA1902,MATCH(Y1903,Y$6:Y1902,0))))</f>
        <v/>
      </c>
      <c r="AB1903" s="57" t="str">
        <f>IF(B1903="","",COUNTIF(B$6:B1903,B1903))</f>
        <v/>
      </c>
      <c r="AC1903" s="57" t="str">
        <f>IF(B1903="","",B1903&amp;"#"&amp;AB1903)</f>
        <v/>
      </c>
      <c r="AD1903" s="57" t="str">
        <f>IF(Z1903=1,A1903&amp;AA1903,"")</f>
        <v/>
      </c>
      <c r="AE1903" s="57" t="str">
        <f>IF(B1903="","",YEAR(C1903))</f>
        <v/>
      </c>
      <c r="AF1903" s="57" t="str">
        <f>IF(B1903="","",MONTH(C1903))</f>
        <v/>
      </c>
      <c r="AG1903" s="57">
        <f>IF(ISNUMBER(C1903),C1903,0)</f>
        <v>0.0</v>
      </c>
      <c r="AH1903" s="57" t="str">
        <f>IF(N(W1903)&gt;0,COUNTIF(W$6:W1903,"&gt;0"),"")</f>
        <v/>
      </c>
      <c r="AI1903" s="57" t="str">
        <f>IF(Z1903=1,COUNTIF(Z$6:Z1903,1),"")</f>
        <v/>
      </c>
    </row>
    <row r="1904">
      <c r="A1904" s="54" t="n"/>
      <c r="B1904" s="55" t="str">
        <f>IF(AA1904="","",A1904&amp;"-"&amp;RIGHT("000"&amp;AA1904,4))</f>
        <v/>
      </c>
      <c r="C1904" s="56" t="n"/>
      <c r="D1904" s="54" t="n"/>
      <c r="E1904" s="57" t="str">
        <f>IF(D1904="","",IF(A1904="BL",IFERROR(INDEX(cl_name,MATCH(D1904,cl_code,0))&amp;"","Client inconnu"),IF(A1904="BR",IFERROR(INDEX(fo_name,MATCH(D1904,fo_code,0))&amp;"","Fournisseur inconnu"),IF(A1904="BS",IF(ISNA(MATCH(D1904,p_services,0)),"Service inconnu",D1904&amp;""),""))))</f>
        <v/>
      </c>
      <c r="F1904" s="58" t="n"/>
      <c r="G1904" s="58" t="n"/>
      <c r="H1904" s="59" t="n"/>
      <c r="I1904" s="57" t="str">
        <f>IF(H1904="","",IFERROR(INDEX(art_des,MATCH(H1904,art_ref,0))&amp;"","Article inconnu"))</f>
        <v/>
      </c>
      <c r="J1904" s="60" t="str">
        <f>IF(H1904="","",IFERROR(INDEX(art_unit,MATCH(H1904,art_ref,0))&amp;"",""))</f>
        <v/>
      </c>
      <c r="K1904" s="59" t="n"/>
      <c r="L1904" s="59" t="n"/>
      <c r="M1904" s="61" t="str">
        <f>IF(OR(B1904="",NOT(ISNUMBER(K1904)),NOT(ISNUMBER(L1904))),"",IF(OR(K1904&lt;=0,L1904&lt;=0),"",ROUND(L1904-K1904,6)))</f>
        <v/>
      </c>
      <c r="N1904" s="58" t="n"/>
      <c r="O1904" s="62" t="n"/>
      <c r="P1904" s="63" t="str">
        <f>IF(OR(B1904="",NOT(ISNUMBER(L1904))),"",IF(L1904&lt;=0,"",IFERROR(ROUND(L1904*N(INDEX(art_w,MATCH(H1904,art_ref,0))),3),"")))</f>
        <v/>
      </c>
      <c r="Q1904" s="59" t="n"/>
      <c r="R1904" s="54" t="n"/>
      <c r="S1904" s="59" t="n"/>
      <c r="T1904" s="59" t="n"/>
      <c r="U1904" s="64" t="str">
        <f>IF(OR(B1904="",H1904=""),"",IFERROR(IF(A1904="BL",IF(N(INDEX(art_price,MATCH(H1904,art_ref,0)))=0,"",N(INDEX(art_price,MATCH(H1904,art_ref,0)))),IF(N(INDEX(art_cost,MATCH(H1904,art_ref,0)))=0,"",N(INDEX(art_cost,MATCH(H1904,art_ref,0))))),""))</f>
        <v/>
      </c>
      <c r="V1904" s="64" t="str">
        <f>IF(OR(U1904="",NOT(ISNUMBER(L1904))),"",IF(L1904&lt;=0,"",ROUND(L1904*U1904,2)))</f>
        <v/>
      </c>
      <c r="W1904" s="60" t="str">
        <f>IF(AND(B1904&lt;&gt;"",A1904&lt;&gt;"BS",F1904&lt;&gt;"",H1904&lt;&gt;"",ISNUMBER(K1904),ISNUMBER(L1904)),IF(AND(K1904&gt;0,L1904&gt;0,K1904-L1904&gt;0,COUNTIFS(A1905:A$2005,A1904,F1905:F$2005,F1904,H1905:H$2005,H1904,AA1905:AA$2005,"&gt;0")=0),ROUND(K1904-L1904,6),""),"")</f>
        <v/>
      </c>
      <c r="X1904" s="60" t="str">
        <f>IF(AND(A1904="",C1904="",D1904="",H1904="",L1904=""),"",IF(A1904="","Type manquant",IF(AND(A1904&lt;&gt;"BL",A1904&lt;&gt;"BR",A1904&lt;&gt;"BS"),"Type inconnu (BL, BR ou BS)",IF(AG1904=0,"Date manquante ou invalide",IF(D1904="",IF(A1904="BL","Client manquant",IF(A1904="BR","Fournisseur manquant","Service manquant")),IF(IF(A1904="BL",ISNA(MATCH(D1904,cl_code,0)),IF(A1904="BR",ISNA(MATCH(D1904,fo_code,0)),ISNA(MATCH(D1904,p_services,0)))),IF(A1904="BL","Client inconnu",IF(A1904="BR","Fournisseur inconnu","Service inconnu")),IF(H1904="","Article manquant",IF(ISNA(MATCH(H1904,art_ref,0)),"Article inconnu",IF(OR(NOT(ISNUMBER(L1904)),N(L1904)&lt;=0),"Quantité invalide",IF(AND(K1904&lt;&gt;"",OR(NOT(ISNUMBER(K1904)),N(K1904)&lt;=0)),"Qté commandée invalide",IF(AG1904&lt;SUMPRODUCT(MAX((A$6:A1903=A1904)*AG$6:AG1903)),"Date antérieure au bon précédent",IF(AND(A1904&lt;&gt;"BR",ISNUMBER(M1904),N(M1904)&gt;0),IF(A1904="BL","Livré plus que commandé","Sorti plus que demandé"),"OK"))))))))))))</f>
        <v/>
      </c>
      <c r="Y1904" s="57" t="str">
        <f>IF(AND(OR(A1904="BL",A1904="BR",A1904="BS"),AG1904&gt;0,D1904&lt;&gt;""),A1904&amp;"|"&amp;AG1904&amp;"|"&amp;D1904&amp;"|"&amp;F1904,"")</f>
        <v/>
      </c>
      <c r="Z1904" s="57" t="str">
        <f>IF(Y1904="","",IF(COUNTIF(Y$6:Y1903,Y1904)=0,1,0))</f>
        <v/>
      </c>
      <c r="AA1904" s="57" t="str">
        <f>IF(Y1904="","",IF(Z1904=1,COUNTIFS(A$6:A1904,A1904,Z$6:Z1904,1),INDEX(AA$6:AA1903,MATCH(Y1904,Y$6:Y1903,0))))</f>
        <v/>
      </c>
      <c r="AB1904" s="57" t="str">
        <f>IF(B1904="","",COUNTIF(B$6:B1904,B1904))</f>
        <v/>
      </c>
      <c r="AC1904" s="57" t="str">
        <f>IF(B1904="","",B1904&amp;"#"&amp;AB1904)</f>
        <v/>
      </c>
      <c r="AD1904" s="57" t="str">
        <f>IF(Z1904=1,A1904&amp;AA1904,"")</f>
        <v/>
      </c>
      <c r="AE1904" s="57" t="str">
        <f>IF(B1904="","",YEAR(C1904))</f>
        <v/>
      </c>
      <c r="AF1904" s="57" t="str">
        <f>IF(B1904="","",MONTH(C1904))</f>
        <v/>
      </c>
      <c r="AG1904" s="57">
        <f>IF(ISNUMBER(C1904),C1904,0)</f>
        <v>0.0</v>
      </c>
      <c r="AH1904" s="57" t="str">
        <f>IF(N(W1904)&gt;0,COUNTIF(W$6:W1904,"&gt;0"),"")</f>
        <v/>
      </c>
      <c r="AI1904" s="57" t="str">
        <f>IF(Z1904=1,COUNTIF(Z$6:Z1904,1),"")</f>
        <v/>
      </c>
    </row>
    <row r="1905">
      <c r="A1905" s="54" t="n"/>
      <c r="B1905" s="55" t="str">
        <f>IF(AA1905="","",A1905&amp;"-"&amp;RIGHT("000"&amp;AA1905,4))</f>
        <v/>
      </c>
      <c r="C1905" s="56" t="n"/>
      <c r="D1905" s="54" t="n"/>
      <c r="E1905" s="57" t="str">
        <f>IF(D1905="","",IF(A1905="BL",IFERROR(INDEX(cl_name,MATCH(D1905,cl_code,0))&amp;"","Client inconnu"),IF(A1905="BR",IFERROR(INDEX(fo_name,MATCH(D1905,fo_code,0))&amp;"","Fournisseur inconnu"),IF(A1905="BS",IF(ISNA(MATCH(D1905,p_services,0)),"Service inconnu",D1905&amp;""),""))))</f>
        <v/>
      </c>
      <c r="F1905" s="58" t="n"/>
      <c r="G1905" s="58" t="n"/>
      <c r="H1905" s="59" t="n"/>
      <c r="I1905" s="57" t="str">
        <f>IF(H1905="","",IFERROR(INDEX(art_des,MATCH(H1905,art_ref,0))&amp;"","Article inconnu"))</f>
        <v/>
      </c>
      <c r="J1905" s="60" t="str">
        <f>IF(H1905="","",IFERROR(INDEX(art_unit,MATCH(H1905,art_ref,0))&amp;"",""))</f>
        <v/>
      </c>
      <c r="K1905" s="59" t="n"/>
      <c r="L1905" s="59" t="n"/>
      <c r="M1905" s="61" t="str">
        <f>IF(OR(B1905="",NOT(ISNUMBER(K1905)),NOT(ISNUMBER(L1905))),"",IF(OR(K1905&lt;=0,L1905&lt;=0),"",ROUND(L1905-K1905,6)))</f>
        <v/>
      </c>
      <c r="N1905" s="58" t="n"/>
      <c r="O1905" s="62" t="n"/>
      <c r="P1905" s="63" t="str">
        <f>IF(OR(B1905="",NOT(ISNUMBER(L1905))),"",IF(L1905&lt;=0,"",IFERROR(ROUND(L1905*N(INDEX(art_w,MATCH(H1905,art_ref,0))),3),"")))</f>
        <v/>
      </c>
      <c r="Q1905" s="59" t="n"/>
      <c r="R1905" s="54" t="n"/>
      <c r="S1905" s="59" t="n"/>
      <c r="T1905" s="59" t="n"/>
      <c r="U1905" s="64" t="str">
        <f>IF(OR(B1905="",H1905=""),"",IFERROR(IF(A1905="BL",IF(N(INDEX(art_price,MATCH(H1905,art_ref,0)))=0,"",N(INDEX(art_price,MATCH(H1905,art_ref,0)))),IF(N(INDEX(art_cost,MATCH(H1905,art_ref,0)))=0,"",N(INDEX(art_cost,MATCH(H1905,art_ref,0))))),""))</f>
        <v/>
      </c>
      <c r="V1905" s="64" t="str">
        <f>IF(OR(U1905="",NOT(ISNUMBER(L1905))),"",IF(L1905&lt;=0,"",ROUND(L1905*U1905,2)))</f>
        <v/>
      </c>
      <c r="W1905" s="60" t="str">
        <f>IF(AND(B1905&lt;&gt;"",A1905&lt;&gt;"BS",F1905&lt;&gt;"",H1905&lt;&gt;"",ISNUMBER(K1905),ISNUMBER(L1905)),IF(AND(K1905&gt;0,L1905&gt;0,K1905-L1905&gt;0,COUNTIFS(A1906:A$2005,A1905,F1906:F$2005,F1905,H1906:H$2005,H1905,AA1906:AA$2005,"&gt;0")=0),ROUND(K1905-L1905,6),""),"")</f>
        <v/>
      </c>
      <c r="X1905" s="60" t="str">
        <f>IF(AND(A1905="",C1905="",D1905="",H1905="",L1905=""),"",IF(A1905="","Type manquant",IF(AND(A1905&lt;&gt;"BL",A1905&lt;&gt;"BR",A1905&lt;&gt;"BS"),"Type inconnu (BL, BR ou BS)",IF(AG1905=0,"Date manquante ou invalide",IF(D1905="",IF(A1905="BL","Client manquant",IF(A1905="BR","Fournisseur manquant","Service manquant")),IF(IF(A1905="BL",ISNA(MATCH(D1905,cl_code,0)),IF(A1905="BR",ISNA(MATCH(D1905,fo_code,0)),ISNA(MATCH(D1905,p_services,0)))),IF(A1905="BL","Client inconnu",IF(A1905="BR","Fournisseur inconnu","Service inconnu")),IF(H1905="","Article manquant",IF(ISNA(MATCH(H1905,art_ref,0)),"Article inconnu",IF(OR(NOT(ISNUMBER(L1905)),N(L1905)&lt;=0),"Quantité invalide",IF(AND(K1905&lt;&gt;"",OR(NOT(ISNUMBER(K1905)),N(K1905)&lt;=0)),"Qté commandée invalide",IF(AG1905&lt;SUMPRODUCT(MAX((A$6:A1904=A1905)*AG$6:AG1904)),"Date antérieure au bon précédent",IF(AND(A1905&lt;&gt;"BR",ISNUMBER(M1905),N(M1905)&gt;0),IF(A1905="BL","Livré plus que commandé","Sorti plus que demandé"),"OK"))))))))))))</f>
        <v/>
      </c>
      <c r="Y1905" s="57" t="str">
        <f>IF(AND(OR(A1905="BL",A1905="BR",A1905="BS"),AG1905&gt;0,D1905&lt;&gt;""),A1905&amp;"|"&amp;AG1905&amp;"|"&amp;D1905&amp;"|"&amp;F1905,"")</f>
        <v/>
      </c>
      <c r="Z1905" s="57" t="str">
        <f>IF(Y1905="","",IF(COUNTIF(Y$6:Y1904,Y1905)=0,1,0))</f>
        <v/>
      </c>
      <c r="AA1905" s="57" t="str">
        <f>IF(Y1905="","",IF(Z1905=1,COUNTIFS(A$6:A1905,A1905,Z$6:Z1905,1),INDEX(AA$6:AA1904,MATCH(Y1905,Y$6:Y1904,0))))</f>
        <v/>
      </c>
      <c r="AB1905" s="57" t="str">
        <f>IF(B1905="","",COUNTIF(B$6:B1905,B1905))</f>
        <v/>
      </c>
      <c r="AC1905" s="57" t="str">
        <f>IF(B1905="","",B1905&amp;"#"&amp;AB1905)</f>
        <v/>
      </c>
      <c r="AD1905" s="57" t="str">
        <f>IF(Z1905=1,A1905&amp;AA1905,"")</f>
        <v/>
      </c>
      <c r="AE1905" s="57" t="str">
        <f>IF(B1905="","",YEAR(C1905))</f>
        <v/>
      </c>
      <c r="AF1905" s="57" t="str">
        <f>IF(B1905="","",MONTH(C1905))</f>
        <v/>
      </c>
      <c r="AG1905" s="57">
        <f>IF(ISNUMBER(C1905),C1905,0)</f>
        <v>0.0</v>
      </c>
      <c r="AH1905" s="57" t="str">
        <f>IF(N(W1905)&gt;0,COUNTIF(W$6:W1905,"&gt;0"),"")</f>
        <v/>
      </c>
      <c r="AI1905" s="57" t="str">
        <f>IF(Z1905=1,COUNTIF(Z$6:Z1905,1),"")</f>
        <v/>
      </c>
    </row>
    <row r="1906">
      <c r="A1906" s="54" t="n"/>
      <c r="B1906" s="55" t="str">
        <f>IF(AA1906="","",A1906&amp;"-"&amp;RIGHT("000"&amp;AA1906,4))</f>
        <v/>
      </c>
      <c r="C1906" s="56" t="n"/>
      <c r="D1906" s="54" t="n"/>
      <c r="E1906" s="57" t="str">
        <f>IF(D1906="","",IF(A1906="BL",IFERROR(INDEX(cl_name,MATCH(D1906,cl_code,0))&amp;"","Client inconnu"),IF(A1906="BR",IFERROR(INDEX(fo_name,MATCH(D1906,fo_code,0))&amp;"","Fournisseur inconnu"),IF(A1906="BS",IF(ISNA(MATCH(D1906,p_services,0)),"Service inconnu",D1906&amp;""),""))))</f>
        <v/>
      </c>
      <c r="F1906" s="58" t="n"/>
      <c r="G1906" s="58" t="n"/>
      <c r="H1906" s="59" t="n"/>
      <c r="I1906" s="57" t="str">
        <f>IF(H1906="","",IFERROR(INDEX(art_des,MATCH(H1906,art_ref,0))&amp;"","Article inconnu"))</f>
        <v/>
      </c>
      <c r="J1906" s="60" t="str">
        <f>IF(H1906="","",IFERROR(INDEX(art_unit,MATCH(H1906,art_ref,0))&amp;"",""))</f>
        <v/>
      </c>
      <c r="K1906" s="59" t="n"/>
      <c r="L1906" s="59" t="n"/>
      <c r="M1906" s="61" t="str">
        <f>IF(OR(B1906="",NOT(ISNUMBER(K1906)),NOT(ISNUMBER(L1906))),"",IF(OR(K1906&lt;=0,L1906&lt;=0),"",ROUND(L1906-K1906,6)))</f>
        <v/>
      </c>
      <c r="N1906" s="58" t="n"/>
      <c r="O1906" s="62" t="n"/>
      <c r="P1906" s="63" t="str">
        <f>IF(OR(B1906="",NOT(ISNUMBER(L1906))),"",IF(L1906&lt;=0,"",IFERROR(ROUND(L1906*N(INDEX(art_w,MATCH(H1906,art_ref,0))),3),"")))</f>
        <v/>
      </c>
      <c r="Q1906" s="59" t="n"/>
      <c r="R1906" s="54" t="n"/>
      <c r="S1906" s="59" t="n"/>
      <c r="T1906" s="59" t="n"/>
      <c r="U1906" s="64" t="str">
        <f>IF(OR(B1906="",H1906=""),"",IFERROR(IF(A1906="BL",IF(N(INDEX(art_price,MATCH(H1906,art_ref,0)))=0,"",N(INDEX(art_price,MATCH(H1906,art_ref,0)))),IF(N(INDEX(art_cost,MATCH(H1906,art_ref,0)))=0,"",N(INDEX(art_cost,MATCH(H1906,art_ref,0))))),""))</f>
        <v/>
      </c>
      <c r="V1906" s="64" t="str">
        <f>IF(OR(U1906="",NOT(ISNUMBER(L1906))),"",IF(L1906&lt;=0,"",ROUND(L1906*U1906,2)))</f>
        <v/>
      </c>
      <c r="W1906" s="60" t="str">
        <f>IF(AND(B1906&lt;&gt;"",A1906&lt;&gt;"BS",F1906&lt;&gt;"",H1906&lt;&gt;"",ISNUMBER(K1906),ISNUMBER(L1906)),IF(AND(K1906&gt;0,L1906&gt;0,K1906-L1906&gt;0,COUNTIFS(A1907:A$2005,A1906,F1907:F$2005,F1906,H1907:H$2005,H1906,AA1907:AA$2005,"&gt;0")=0),ROUND(K1906-L1906,6),""),"")</f>
        <v/>
      </c>
      <c r="X1906" s="60" t="str">
        <f>IF(AND(A1906="",C1906="",D1906="",H1906="",L1906=""),"",IF(A1906="","Type manquant",IF(AND(A1906&lt;&gt;"BL",A1906&lt;&gt;"BR",A1906&lt;&gt;"BS"),"Type inconnu (BL, BR ou BS)",IF(AG1906=0,"Date manquante ou invalide",IF(D1906="",IF(A1906="BL","Client manquant",IF(A1906="BR","Fournisseur manquant","Service manquant")),IF(IF(A1906="BL",ISNA(MATCH(D1906,cl_code,0)),IF(A1906="BR",ISNA(MATCH(D1906,fo_code,0)),ISNA(MATCH(D1906,p_services,0)))),IF(A1906="BL","Client inconnu",IF(A1906="BR","Fournisseur inconnu","Service inconnu")),IF(H1906="","Article manquant",IF(ISNA(MATCH(H1906,art_ref,0)),"Article inconnu",IF(OR(NOT(ISNUMBER(L1906)),N(L1906)&lt;=0),"Quantité invalide",IF(AND(K1906&lt;&gt;"",OR(NOT(ISNUMBER(K1906)),N(K1906)&lt;=0)),"Qté commandée invalide",IF(AG1906&lt;SUMPRODUCT(MAX((A$6:A1905=A1906)*AG$6:AG1905)),"Date antérieure au bon précédent",IF(AND(A1906&lt;&gt;"BR",ISNUMBER(M1906),N(M1906)&gt;0),IF(A1906="BL","Livré plus que commandé","Sorti plus que demandé"),"OK"))))))))))))</f>
        <v/>
      </c>
      <c r="Y1906" s="57" t="str">
        <f>IF(AND(OR(A1906="BL",A1906="BR",A1906="BS"),AG1906&gt;0,D1906&lt;&gt;""),A1906&amp;"|"&amp;AG1906&amp;"|"&amp;D1906&amp;"|"&amp;F1906,"")</f>
        <v/>
      </c>
      <c r="Z1906" s="57" t="str">
        <f>IF(Y1906="","",IF(COUNTIF(Y$6:Y1905,Y1906)=0,1,0))</f>
        <v/>
      </c>
      <c r="AA1906" s="57" t="str">
        <f>IF(Y1906="","",IF(Z1906=1,COUNTIFS(A$6:A1906,A1906,Z$6:Z1906,1),INDEX(AA$6:AA1905,MATCH(Y1906,Y$6:Y1905,0))))</f>
        <v/>
      </c>
      <c r="AB1906" s="57" t="str">
        <f>IF(B1906="","",COUNTIF(B$6:B1906,B1906))</f>
        <v/>
      </c>
      <c r="AC1906" s="57" t="str">
        <f>IF(B1906="","",B1906&amp;"#"&amp;AB1906)</f>
        <v/>
      </c>
      <c r="AD1906" s="57" t="str">
        <f>IF(Z1906=1,A1906&amp;AA1906,"")</f>
        <v/>
      </c>
      <c r="AE1906" s="57" t="str">
        <f>IF(B1906="","",YEAR(C1906))</f>
        <v/>
      </c>
      <c r="AF1906" s="57" t="str">
        <f>IF(B1906="","",MONTH(C1906))</f>
        <v/>
      </c>
      <c r="AG1906" s="57">
        <f>IF(ISNUMBER(C1906),C1906,0)</f>
        <v>0.0</v>
      </c>
      <c r="AH1906" s="57" t="str">
        <f>IF(N(W1906)&gt;0,COUNTIF(W$6:W1906,"&gt;0"),"")</f>
        <v/>
      </c>
      <c r="AI1906" s="57" t="str">
        <f>IF(Z1906=1,COUNTIF(Z$6:Z1906,1),"")</f>
        <v/>
      </c>
    </row>
    <row r="1907">
      <c r="A1907" s="54" t="n"/>
      <c r="B1907" s="55" t="str">
        <f>IF(AA1907="","",A1907&amp;"-"&amp;RIGHT("000"&amp;AA1907,4))</f>
        <v/>
      </c>
      <c r="C1907" s="56" t="n"/>
      <c r="D1907" s="54" t="n"/>
      <c r="E1907" s="57" t="str">
        <f>IF(D1907="","",IF(A1907="BL",IFERROR(INDEX(cl_name,MATCH(D1907,cl_code,0))&amp;"","Client inconnu"),IF(A1907="BR",IFERROR(INDEX(fo_name,MATCH(D1907,fo_code,0))&amp;"","Fournisseur inconnu"),IF(A1907="BS",IF(ISNA(MATCH(D1907,p_services,0)),"Service inconnu",D1907&amp;""),""))))</f>
        <v/>
      </c>
      <c r="F1907" s="58" t="n"/>
      <c r="G1907" s="58" t="n"/>
      <c r="H1907" s="59" t="n"/>
      <c r="I1907" s="57" t="str">
        <f>IF(H1907="","",IFERROR(INDEX(art_des,MATCH(H1907,art_ref,0))&amp;"","Article inconnu"))</f>
        <v/>
      </c>
      <c r="J1907" s="60" t="str">
        <f>IF(H1907="","",IFERROR(INDEX(art_unit,MATCH(H1907,art_ref,0))&amp;"",""))</f>
        <v/>
      </c>
      <c r="K1907" s="59" t="n"/>
      <c r="L1907" s="59" t="n"/>
      <c r="M1907" s="61" t="str">
        <f>IF(OR(B1907="",NOT(ISNUMBER(K1907)),NOT(ISNUMBER(L1907))),"",IF(OR(K1907&lt;=0,L1907&lt;=0),"",ROUND(L1907-K1907,6)))</f>
        <v/>
      </c>
      <c r="N1907" s="58" t="n"/>
      <c r="O1907" s="62" t="n"/>
      <c r="P1907" s="63" t="str">
        <f>IF(OR(B1907="",NOT(ISNUMBER(L1907))),"",IF(L1907&lt;=0,"",IFERROR(ROUND(L1907*N(INDEX(art_w,MATCH(H1907,art_ref,0))),3),"")))</f>
        <v/>
      </c>
      <c r="Q1907" s="59" t="n"/>
      <c r="R1907" s="54" t="n"/>
      <c r="S1907" s="59" t="n"/>
      <c r="T1907" s="59" t="n"/>
      <c r="U1907" s="64" t="str">
        <f>IF(OR(B1907="",H1907=""),"",IFERROR(IF(A1907="BL",IF(N(INDEX(art_price,MATCH(H1907,art_ref,0)))=0,"",N(INDEX(art_price,MATCH(H1907,art_ref,0)))),IF(N(INDEX(art_cost,MATCH(H1907,art_ref,0)))=0,"",N(INDEX(art_cost,MATCH(H1907,art_ref,0))))),""))</f>
        <v/>
      </c>
      <c r="V1907" s="64" t="str">
        <f>IF(OR(U1907="",NOT(ISNUMBER(L1907))),"",IF(L1907&lt;=0,"",ROUND(L1907*U1907,2)))</f>
        <v/>
      </c>
      <c r="W1907" s="60" t="str">
        <f>IF(AND(B1907&lt;&gt;"",A1907&lt;&gt;"BS",F1907&lt;&gt;"",H1907&lt;&gt;"",ISNUMBER(K1907),ISNUMBER(L1907)),IF(AND(K1907&gt;0,L1907&gt;0,K1907-L1907&gt;0,COUNTIFS(A1908:A$2005,A1907,F1908:F$2005,F1907,H1908:H$2005,H1907,AA1908:AA$2005,"&gt;0")=0),ROUND(K1907-L1907,6),""),"")</f>
        <v/>
      </c>
      <c r="X1907" s="60" t="str">
        <f>IF(AND(A1907="",C1907="",D1907="",H1907="",L1907=""),"",IF(A1907="","Type manquant",IF(AND(A1907&lt;&gt;"BL",A1907&lt;&gt;"BR",A1907&lt;&gt;"BS"),"Type inconnu (BL, BR ou BS)",IF(AG1907=0,"Date manquante ou invalide",IF(D1907="",IF(A1907="BL","Client manquant",IF(A1907="BR","Fournisseur manquant","Service manquant")),IF(IF(A1907="BL",ISNA(MATCH(D1907,cl_code,0)),IF(A1907="BR",ISNA(MATCH(D1907,fo_code,0)),ISNA(MATCH(D1907,p_services,0)))),IF(A1907="BL","Client inconnu",IF(A1907="BR","Fournisseur inconnu","Service inconnu")),IF(H1907="","Article manquant",IF(ISNA(MATCH(H1907,art_ref,0)),"Article inconnu",IF(OR(NOT(ISNUMBER(L1907)),N(L1907)&lt;=0),"Quantité invalide",IF(AND(K1907&lt;&gt;"",OR(NOT(ISNUMBER(K1907)),N(K1907)&lt;=0)),"Qté commandée invalide",IF(AG1907&lt;SUMPRODUCT(MAX((A$6:A1906=A1907)*AG$6:AG1906)),"Date antérieure au bon précédent",IF(AND(A1907&lt;&gt;"BR",ISNUMBER(M1907),N(M1907)&gt;0),IF(A1907="BL","Livré plus que commandé","Sorti plus que demandé"),"OK"))))))))))))</f>
        <v/>
      </c>
      <c r="Y1907" s="57" t="str">
        <f>IF(AND(OR(A1907="BL",A1907="BR",A1907="BS"),AG1907&gt;0,D1907&lt;&gt;""),A1907&amp;"|"&amp;AG1907&amp;"|"&amp;D1907&amp;"|"&amp;F1907,"")</f>
        <v/>
      </c>
      <c r="Z1907" s="57" t="str">
        <f>IF(Y1907="","",IF(COUNTIF(Y$6:Y1906,Y1907)=0,1,0))</f>
        <v/>
      </c>
      <c r="AA1907" s="57" t="str">
        <f>IF(Y1907="","",IF(Z1907=1,COUNTIFS(A$6:A1907,A1907,Z$6:Z1907,1),INDEX(AA$6:AA1906,MATCH(Y1907,Y$6:Y1906,0))))</f>
        <v/>
      </c>
      <c r="AB1907" s="57" t="str">
        <f>IF(B1907="","",COUNTIF(B$6:B1907,B1907))</f>
        <v/>
      </c>
      <c r="AC1907" s="57" t="str">
        <f>IF(B1907="","",B1907&amp;"#"&amp;AB1907)</f>
        <v/>
      </c>
      <c r="AD1907" s="57" t="str">
        <f>IF(Z1907=1,A1907&amp;AA1907,"")</f>
        <v/>
      </c>
      <c r="AE1907" s="57" t="str">
        <f>IF(B1907="","",YEAR(C1907))</f>
        <v/>
      </c>
      <c r="AF1907" s="57" t="str">
        <f>IF(B1907="","",MONTH(C1907))</f>
        <v/>
      </c>
      <c r="AG1907" s="57">
        <f>IF(ISNUMBER(C1907),C1907,0)</f>
        <v>0.0</v>
      </c>
      <c r="AH1907" s="57" t="str">
        <f>IF(N(W1907)&gt;0,COUNTIF(W$6:W1907,"&gt;0"),"")</f>
        <v/>
      </c>
      <c r="AI1907" s="57" t="str">
        <f>IF(Z1907=1,COUNTIF(Z$6:Z1907,1),"")</f>
        <v/>
      </c>
    </row>
    <row r="1908">
      <c r="A1908" s="54" t="n"/>
      <c r="B1908" s="55" t="str">
        <f>IF(AA1908="","",A1908&amp;"-"&amp;RIGHT("000"&amp;AA1908,4))</f>
        <v/>
      </c>
      <c r="C1908" s="56" t="n"/>
      <c r="D1908" s="54" t="n"/>
      <c r="E1908" s="57" t="str">
        <f>IF(D1908="","",IF(A1908="BL",IFERROR(INDEX(cl_name,MATCH(D1908,cl_code,0))&amp;"","Client inconnu"),IF(A1908="BR",IFERROR(INDEX(fo_name,MATCH(D1908,fo_code,0))&amp;"","Fournisseur inconnu"),IF(A1908="BS",IF(ISNA(MATCH(D1908,p_services,0)),"Service inconnu",D1908&amp;""),""))))</f>
        <v/>
      </c>
      <c r="F1908" s="58" t="n"/>
      <c r="G1908" s="58" t="n"/>
      <c r="H1908" s="59" t="n"/>
      <c r="I1908" s="57" t="str">
        <f>IF(H1908="","",IFERROR(INDEX(art_des,MATCH(H1908,art_ref,0))&amp;"","Article inconnu"))</f>
        <v/>
      </c>
      <c r="J1908" s="60" t="str">
        <f>IF(H1908="","",IFERROR(INDEX(art_unit,MATCH(H1908,art_ref,0))&amp;"",""))</f>
        <v/>
      </c>
      <c r="K1908" s="59" t="n"/>
      <c r="L1908" s="59" t="n"/>
      <c r="M1908" s="61" t="str">
        <f>IF(OR(B1908="",NOT(ISNUMBER(K1908)),NOT(ISNUMBER(L1908))),"",IF(OR(K1908&lt;=0,L1908&lt;=0),"",ROUND(L1908-K1908,6)))</f>
        <v/>
      </c>
      <c r="N1908" s="58" t="n"/>
      <c r="O1908" s="62" t="n"/>
      <c r="P1908" s="63" t="str">
        <f>IF(OR(B1908="",NOT(ISNUMBER(L1908))),"",IF(L1908&lt;=0,"",IFERROR(ROUND(L1908*N(INDEX(art_w,MATCH(H1908,art_ref,0))),3),"")))</f>
        <v/>
      </c>
      <c r="Q1908" s="59" t="n"/>
      <c r="R1908" s="54" t="n"/>
      <c r="S1908" s="59" t="n"/>
      <c r="T1908" s="59" t="n"/>
      <c r="U1908" s="64" t="str">
        <f>IF(OR(B1908="",H1908=""),"",IFERROR(IF(A1908="BL",IF(N(INDEX(art_price,MATCH(H1908,art_ref,0)))=0,"",N(INDEX(art_price,MATCH(H1908,art_ref,0)))),IF(N(INDEX(art_cost,MATCH(H1908,art_ref,0)))=0,"",N(INDEX(art_cost,MATCH(H1908,art_ref,0))))),""))</f>
        <v/>
      </c>
      <c r="V1908" s="64" t="str">
        <f>IF(OR(U1908="",NOT(ISNUMBER(L1908))),"",IF(L1908&lt;=0,"",ROUND(L1908*U1908,2)))</f>
        <v/>
      </c>
      <c r="W1908" s="60" t="str">
        <f>IF(AND(B1908&lt;&gt;"",A1908&lt;&gt;"BS",F1908&lt;&gt;"",H1908&lt;&gt;"",ISNUMBER(K1908),ISNUMBER(L1908)),IF(AND(K1908&gt;0,L1908&gt;0,K1908-L1908&gt;0,COUNTIFS(A1909:A$2005,A1908,F1909:F$2005,F1908,H1909:H$2005,H1908,AA1909:AA$2005,"&gt;0")=0),ROUND(K1908-L1908,6),""),"")</f>
        <v/>
      </c>
      <c r="X1908" s="60" t="str">
        <f>IF(AND(A1908="",C1908="",D1908="",H1908="",L1908=""),"",IF(A1908="","Type manquant",IF(AND(A1908&lt;&gt;"BL",A1908&lt;&gt;"BR",A1908&lt;&gt;"BS"),"Type inconnu (BL, BR ou BS)",IF(AG1908=0,"Date manquante ou invalide",IF(D1908="",IF(A1908="BL","Client manquant",IF(A1908="BR","Fournisseur manquant","Service manquant")),IF(IF(A1908="BL",ISNA(MATCH(D1908,cl_code,0)),IF(A1908="BR",ISNA(MATCH(D1908,fo_code,0)),ISNA(MATCH(D1908,p_services,0)))),IF(A1908="BL","Client inconnu",IF(A1908="BR","Fournisseur inconnu","Service inconnu")),IF(H1908="","Article manquant",IF(ISNA(MATCH(H1908,art_ref,0)),"Article inconnu",IF(OR(NOT(ISNUMBER(L1908)),N(L1908)&lt;=0),"Quantité invalide",IF(AND(K1908&lt;&gt;"",OR(NOT(ISNUMBER(K1908)),N(K1908)&lt;=0)),"Qté commandée invalide",IF(AG1908&lt;SUMPRODUCT(MAX((A$6:A1907=A1908)*AG$6:AG1907)),"Date antérieure au bon précédent",IF(AND(A1908&lt;&gt;"BR",ISNUMBER(M1908),N(M1908)&gt;0),IF(A1908="BL","Livré plus que commandé","Sorti plus que demandé"),"OK"))))))))))))</f>
        <v/>
      </c>
      <c r="Y1908" s="57" t="str">
        <f>IF(AND(OR(A1908="BL",A1908="BR",A1908="BS"),AG1908&gt;0,D1908&lt;&gt;""),A1908&amp;"|"&amp;AG1908&amp;"|"&amp;D1908&amp;"|"&amp;F1908,"")</f>
        <v/>
      </c>
      <c r="Z1908" s="57" t="str">
        <f>IF(Y1908="","",IF(COUNTIF(Y$6:Y1907,Y1908)=0,1,0))</f>
        <v/>
      </c>
      <c r="AA1908" s="57" t="str">
        <f>IF(Y1908="","",IF(Z1908=1,COUNTIFS(A$6:A1908,A1908,Z$6:Z1908,1),INDEX(AA$6:AA1907,MATCH(Y1908,Y$6:Y1907,0))))</f>
        <v/>
      </c>
      <c r="AB1908" s="57" t="str">
        <f>IF(B1908="","",COUNTIF(B$6:B1908,B1908))</f>
        <v/>
      </c>
      <c r="AC1908" s="57" t="str">
        <f>IF(B1908="","",B1908&amp;"#"&amp;AB1908)</f>
        <v/>
      </c>
      <c r="AD1908" s="57" t="str">
        <f>IF(Z1908=1,A1908&amp;AA1908,"")</f>
        <v/>
      </c>
      <c r="AE1908" s="57" t="str">
        <f>IF(B1908="","",YEAR(C1908))</f>
        <v/>
      </c>
      <c r="AF1908" s="57" t="str">
        <f>IF(B1908="","",MONTH(C1908))</f>
        <v/>
      </c>
      <c r="AG1908" s="57">
        <f>IF(ISNUMBER(C1908),C1908,0)</f>
        <v>0.0</v>
      </c>
      <c r="AH1908" s="57" t="str">
        <f>IF(N(W1908)&gt;0,COUNTIF(W$6:W1908,"&gt;0"),"")</f>
        <v/>
      </c>
      <c r="AI1908" s="57" t="str">
        <f>IF(Z1908=1,COUNTIF(Z$6:Z1908,1),"")</f>
        <v/>
      </c>
    </row>
    <row r="1909">
      <c r="A1909" s="54" t="n"/>
      <c r="B1909" s="55" t="str">
        <f>IF(AA1909="","",A1909&amp;"-"&amp;RIGHT("000"&amp;AA1909,4))</f>
        <v/>
      </c>
      <c r="C1909" s="56" t="n"/>
      <c r="D1909" s="54" t="n"/>
      <c r="E1909" s="57" t="str">
        <f>IF(D1909="","",IF(A1909="BL",IFERROR(INDEX(cl_name,MATCH(D1909,cl_code,0))&amp;"","Client inconnu"),IF(A1909="BR",IFERROR(INDEX(fo_name,MATCH(D1909,fo_code,0))&amp;"","Fournisseur inconnu"),IF(A1909="BS",IF(ISNA(MATCH(D1909,p_services,0)),"Service inconnu",D1909&amp;""),""))))</f>
        <v/>
      </c>
      <c r="F1909" s="58" t="n"/>
      <c r="G1909" s="58" t="n"/>
      <c r="H1909" s="59" t="n"/>
      <c r="I1909" s="57" t="str">
        <f>IF(H1909="","",IFERROR(INDEX(art_des,MATCH(H1909,art_ref,0))&amp;"","Article inconnu"))</f>
        <v/>
      </c>
      <c r="J1909" s="60" t="str">
        <f>IF(H1909="","",IFERROR(INDEX(art_unit,MATCH(H1909,art_ref,0))&amp;"",""))</f>
        <v/>
      </c>
      <c r="K1909" s="59" t="n"/>
      <c r="L1909" s="59" t="n"/>
      <c r="M1909" s="61" t="str">
        <f>IF(OR(B1909="",NOT(ISNUMBER(K1909)),NOT(ISNUMBER(L1909))),"",IF(OR(K1909&lt;=0,L1909&lt;=0),"",ROUND(L1909-K1909,6)))</f>
        <v/>
      </c>
      <c r="N1909" s="58" t="n"/>
      <c r="O1909" s="62" t="n"/>
      <c r="P1909" s="63" t="str">
        <f>IF(OR(B1909="",NOT(ISNUMBER(L1909))),"",IF(L1909&lt;=0,"",IFERROR(ROUND(L1909*N(INDEX(art_w,MATCH(H1909,art_ref,0))),3),"")))</f>
        <v/>
      </c>
      <c r="Q1909" s="59" t="n"/>
      <c r="R1909" s="54" t="n"/>
      <c r="S1909" s="59" t="n"/>
      <c r="T1909" s="59" t="n"/>
      <c r="U1909" s="64" t="str">
        <f>IF(OR(B1909="",H1909=""),"",IFERROR(IF(A1909="BL",IF(N(INDEX(art_price,MATCH(H1909,art_ref,0)))=0,"",N(INDEX(art_price,MATCH(H1909,art_ref,0)))),IF(N(INDEX(art_cost,MATCH(H1909,art_ref,0)))=0,"",N(INDEX(art_cost,MATCH(H1909,art_ref,0))))),""))</f>
        <v/>
      </c>
      <c r="V1909" s="64" t="str">
        <f>IF(OR(U1909="",NOT(ISNUMBER(L1909))),"",IF(L1909&lt;=0,"",ROUND(L1909*U1909,2)))</f>
        <v/>
      </c>
      <c r="W1909" s="60" t="str">
        <f>IF(AND(B1909&lt;&gt;"",A1909&lt;&gt;"BS",F1909&lt;&gt;"",H1909&lt;&gt;"",ISNUMBER(K1909),ISNUMBER(L1909)),IF(AND(K1909&gt;0,L1909&gt;0,K1909-L1909&gt;0,COUNTIFS(A1910:A$2005,A1909,F1910:F$2005,F1909,H1910:H$2005,H1909,AA1910:AA$2005,"&gt;0")=0),ROUND(K1909-L1909,6),""),"")</f>
        <v/>
      </c>
      <c r="X1909" s="60" t="str">
        <f>IF(AND(A1909="",C1909="",D1909="",H1909="",L1909=""),"",IF(A1909="","Type manquant",IF(AND(A1909&lt;&gt;"BL",A1909&lt;&gt;"BR",A1909&lt;&gt;"BS"),"Type inconnu (BL, BR ou BS)",IF(AG1909=0,"Date manquante ou invalide",IF(D1909="",IF(A1909="BL","Client manquant",IF(A1909="BR","Fournisseur manquant","Service manquant")),IF(IF(A1909="BL",ISNA(MATCH(D1909,cl_code,0)),IF(A1909="BR",ISNA(MATCH(D1909,fo_code,0)),ISNA(MATCH(D1909,p_services,0)))),IF(A1909="BL","Client inconnu",IF(A1909="BR","Fournisseur inconnu","Service inconnu")),IF(H1909="","Article manquant",IF(ISNA(MATCH(H1909,art_ref,0)),"Article inconnu",IF(OR(NOT(ISNUMBER(L1909)),N(L1909)&lt;=0),"Quantité invalide",IF(AND(K1909&lt;&gt;"",OR(NOT(ISNUMBER(K1909)),N(K1909)&lt;=0)),"Qté commandée invalide",IF(AG1909&lt;SUMPRODUCT(MAX((A$6:A1908=A1909)*AG$6:AG1908)),"Date antérieure au bon précédent",IF(AND(A1909&lt;&gt;"BR",ISNUMBER(M1909),N(M1909)&gt;0),IF(A1909="BL","Livré plus que commandé","Sorti plus que demandé"),"OK"))))))))))))</f>
        <v/>
      </c>
      <c r="Y1909" s="57" t="str">
        <f>IF(AND(OR(A1909="BL",A1909="BR",A1909="BS"),AG1909&gt;0,D1909&lt;&gt;""),A1909&amp;"|"&amp;AG1909&amp;"|"&amp;D1909&amp;"|"&amp;F1909,"")</f>
        <v/>
      </c>
      <c r="Z1909" s="57" t="str">
        <f>IF(Y1909="","",IF(COUNTIF(Y$6:Y1908,Y1909)=0,1,0))</f>
        <v/>
      </c>
      <c r="AA1909" s="57" t="str">
        <f>IF(Y1909="","",IF(Z1909=1,COUNTIFS(A$6:A1909,A1909,Z$6:Z1909,1),INDEX(AA$6:AA1908,MATCH(Y1909,Y$6:Y1908,0))))</f>
        <v/>
      </c>
      <c r="AB1909" s="57" t="str">
        <f>IF(B1909="","",COUNTIF(B$6:B1909,B1909))</f>
        <v/>
      </c>
      <c r="AC1909" s="57" t="str">
        <f>IF(B1909="","",B1909&amp;"#"&amp;AB1909)</f>
        <v/>
      </c>
      <c r="AD1909" s="57" t="str">
        <f>IF(Z1909=1,A1909&amp;AA1909,"")</f>
        <v/>
      </c>
      <c r="AE1909" s="57" t="str">
        <f>IF(B1909="","",YEAR(C1909))</f>
        <v/>
      </c>
      <c r="AF1909" s="57" t="str">
        <f>IF(B1909="","",MONTH(C1909))</f>
        <v/>
      </c>
      <c r="AG1909" s="57">
        <f>IF(ISNUMBER(C1909),C1909,0)</f>
        <v>0.0</v>
      </c>
      <c r="AH1909" s="57" t="str">
        <f>IF(N(W1909)&gt;0,COUNTIF(W$6:W1909,"&gt;0"),"")</f>
        <v/>
      </c>
      <c r="AI1909" s="57" t="str">
        <f>IF(Z1909=1,COUNTIF(Z$6:Z1909,1),"")</f>
        <v/>
      </c>
    </row>
    <row r="1910">
      <c r="A1910" s="54" t="n"/>
      <c r="B1910" s="55" t="str">
        <f>IF(AA1910="","",A1910&amp;"-"&amp;RIGHT("000"&amp;AA1910,4))</f>
        <v/>
      </c>
      <c r="C1910" s="56" t="n"/>
      <c r="D1910" s="54" t="n"/>
      <c r="E1910" s="57" t="str">
        <f>IF(D1910="","",IF(A1910="BL",IFERROR(INDEX(cl_name,MATCH(D1910,cl_code,0))&amp;"","Client inconnu"),IF(A1910="BR",IFERROR(INDEX(fo_name,MATCH(D1910,fo_code,0))&amp;"","Fournisseur inconnu"),IF(A1910="BS",IF(ISNA(MATCH(D1910,p_services,0)),"Service inconnu",D1910&amp;""),""))))</f>
        <v/>
      </c>
      <c r="F1910" s="58" t="n"/>
      <c r="G1910" s="58" t="n"/>
      <c r="H1910" s="59" t="n"/>
      <c r="I1910" s="57" t="str">
        <f>IF(H1910="","",IFERROR(INDEX(art_des,MATCH(H1910,art_ref,0))&amp;"","Article inconnu"))</f>
        <v/>
      </c>
      <c r="J1910" s="60" t="str">
        <f>IF(H1910="","",IFERROR(INDEX(art_unit,MATCH(H1910,art_ref,0))&amp;"",""))</f>
        <v/>
      </c>
      <c r="K1910" s="59" t="n"/>
      <c r="L1910" s="59" t="n"/>
      <c r="M1910" s="61" t="str">
        <f>IF(OR(B1910="",NOT(ISNUMBER(K1910)),NOT(ISNUMBER(L1910))),"",IF(OR(K1910&lt;=0,L1910&lt;=0),"",ROUND(L1910-K1910,6)))</f>
        <v/>
      </c>
      <c r="N1910" s="58" t="n"/>
      <c r="O1910" s="62" t="n"/>
      <c r="P1910" s="63" t="str">
        <f>IF(OR(B1910="",NOT(ISNUMBER(L1910))),"",IF(L1910&lt;=0,"",IFERROR(ROUND(L1910*N(INDEX(art_w,MATCH(H1910,art_ref,0))),3),"")))</f>
        <v/>
      </c>
      <c r="Q1910" s="59" t="n"/>
      <c r="R1910" s="54" t="n"/>
      <c r="S1910" s="59" t="n"/>
      <c r="T1910" s="59" t="n"/>
      <c r="U1910" s="64" t="str">
        <f>IF(OR(B1910="",H1910=""),"",IFERROR(IF(A1910="BL",IF(N(INDEX(art_price,MATCH(H1910,art_ref,0)))=0,"",N(INDEX(art_price,MATCH(H1910,art_ref,0)))),IF(N(INDEX(art_cost,MATCH(H1910,art_ref,0)))=0,"",N(INDEX(art_cost,MATCH(H1910,art_ref,0))))),""))</f>
        <v/>
      </c>
      <c r="V1910" s="64" t="str">
        <f>IF(OR(U1910="",NOT(ISNUMBER(L1910))),"",IF(L1910&lt;=0,"",ROUND(L1910*U1910,2)))</f>
        <v/>
      </c>
      <c r="W1910" s="60" t="str">
        <f>IF(AND(B1910&lt;&gt;"",A1910&lt;&gt;"BS",F1910&lt;&gt;"",H1910&lt;&gt;"",ISNUMBER(K1910),ISNUMBER(L1910)),IF(AND(K1910&gt;0,L1910&gt;0,K1910-L1910&gt;0,COUNTIFS(A1911:A$2005,A1910,F1911:F$2005,F1910,H1911:H$2005,H1910,AA1911:AA$2005,"&gt;0")=0),ROUND(K1910-L1910,6),""),"")</f>
        <v/>
      </c>
      <c r="X1910" s="60" t="str">
        <f>IF(AND(A1910="",C1910="",D1910="",H1910="",L1910=""),"",IF(A1910="","Type manquant",IF(AND(A1910&lt;&gt;"BL",A1910&lt;&gt;"BR",A1910&lt;&gt;"BS"),"Type inconnu (BL, BR ou BS)",IF(AG1910=0,"Date manquante ou invalide",IF(D1910="",IF(A1910="BL","Client manquant",IF(A1910="BR","Fournisseur manquant","Service manquant")),IF(IF(A1910="BL",ISNA(MATCH(D1910,cl_code,0)),IF(A1910="BR",ISNA(MATCH(D1910,fo_code,0)),ISNA(MATCH(D1910,p_services,0)))),IF(A1910="BL","Client inconnu",IF(A1910="BR","Fournisseur inconnu","Service inconnu")),IF(H1910="","Article manquant",IF(ISNA(MATCH(H1910,art_ref,0)),"Article inconnu",IF(OR(NOT(ISNUMBER(L1910)),N(L1910)&lt;=0),"Quantité invalide",IF(AND(K1910&lt;&gt;"",OR(NOT(ISNUMBER(K1910)),N(K1910)&lt;=0)),"Qté commandée invalide",IF(AG1910&lt;SUMPRODUCT(MAX((A$6:A1909=A1910)*AG$6:AG1909)),"Date antérieure au bon précédent",IF(AND(A1910&lt;&gt;"BR",ISNUMBER(M1910),N(M1910)&gt;0),IF(A1910="BL","Livré plus que commandé","Sorti plus que demandé"),"OK"))))))))))))</f>
        <v/>
      </c>
      <c r="Y1910" s="57" t="str">
        <f>IF(AND(OR(A1910="BL",A1910="BR",A1910="BS"),AG1910&gt;0,D1910&lt;&gt;""),A1910&amp;"|"&amp;AG1910&amp;"|"&amp;D1910&amp;"|"&amp;F1910,"")</f>
        <v/>
      </c>
      <c r="Z1910" s="57" t="str">
        <f>IF(Y1910="","",IF(COUNTIF(Y$6:Y1909,Y1910)=0,1,0))</f>
        <v/>
      </c>
      <c r="AA1910" s="57" t="str">
        <f>IF(Y1910="","",IF(Z1910=1,COUNTIFS(A$6:A1910,A1910,Z$6:Z1910,1),INDEX(AA$6:AA1909,MATCH(Y1910,Y$6:Y1909,0))))</f>
        <v/>
      </c>
      <c r="AB1910" s="57" t="str">
        <f>IF(B1910="","",COUNTIF(B$6:B1910,B1910))</f>
        <v/>
      </c>
      <c r="AC1910" s="57" t="str">
        <f>IF(B1910="","",B1910&amp;"#"&amp;AB1910)</f>
        <v/>
      </c>
      <c r="AD1910" s="57" t="str">
        <f>IF(Z1910=1,A1910&amp;AA1910,"")</f>
        <v/>
      </c>
      <c r="AE1910" s="57" t="str">
        <f>IF(B1910="","",YEAR(C1910))</f>
        <v/>
      </c>
      <c r="AF1910" s="57" t="str">
        <f>IF(B1910="","",MONTH(C1910))</f>
        <v/>
      </c>
      <c r="AG1910" s="57">
        <f>IF(ISNUMBER(C1910),C1910,0)</f>
        <v>0.0</v>
      </c>
      <c r="AH1910" s="57" t="str">
        <f>IF(N(W1910)&gt;0,COUNTIF(W$6:W1910,"&gt;0"),"")</f>
        <v/>
      </c>
      <c r="AI1910" s="57" t="str">
        <f>IF(Z1910=1,COUNTIF(Z$6:Z1910,1),"")</f>
        <v/>
      </c>
    </row>
    <row r="1911">
      <c r="A1911" s="54" t="n"/>
      <c r="B1911" s="55" t="str">
        <f>IF(AA1911="","",A1911&amp;"-"&amp;RIGHT("000"&amp;AA1911,4))</f>
        <v/>
      </c>
      <c r="C1911" s="56" t="n"/>
      <c r="D1911" s="54" t="n"/>
      <c r="E1911" s="57" t="str">
        <f>IF(D1911="","",IF(A1911="BL",IFERROR(INDEX(cl_name,MATCH(D1911,cl_code,0))&amp;"","Client inconnu"),IF(A1911="BR",IFERROR(INDEX(fo_name,MATCH(D1911,fo_code,0))&amp;"","Fournisseur inconnu"),IF(A1911="BS",IF(ISNA(MATCH(D1911,p_services,0)),"Service inconnu",D1911&amp;""),""))))</f>
        <v/>
      </c>
      <c r="F1911" s="58" t="n"/>
      <c r="G1911" s="58" t="n"/>
      <c r="H1911" s="59" t="n"/>
      <c r="I1911" s="57" t="str">
        <f>IF(H1911="","",IFERROR(INDEX(art_des,MATCH(H1911,art_ref,0))&amp;"","Article inconnu"))</f>
        <v/>
      </c>
      <c r="J1911" s="60" t="str">
        <f>IF(H1911="","",IFERROR(INDEX(art_unit,MATCH(H1911,art_ref,0))&amp;"",""))</f>
        <v/>
      </c>
      <c r="K1911" s="59" t="n"/>
      <c r="L1911" s="59" t="n"/>
      <c r="M1911" s="61" t="str">
        <f>IF(OR(B1911="",NOT(ISNUMBER(K1911)),NOT(ISNUMBER(L1911))),"",IF(OR(K1911&lt;=0,L1911&lt;=0),"",ROUND(L1911-K1911,6)))</f>
        <v/>
      </c>
      <c r="N1911" s="58" t="n"/>
      <c r="O1911" s="62" t="n"/>
      <c r="P1911" s="63" t="str">
        <f>IF(OR(B1911="",NOT(ISNUMBER(L1911))),"",IF(L1911&lt;=0,"",IFERROR(ROUND(L1911*N(INDEX(art_w,MATCH(H1911,art_ref,0))),3),"")))</f>
        <v/>
      </c>
      <c r="Q1911" s="59" t="n"/>
      <c r="R1911" s="54" t="n"/>
      <c r="S1911" s="59" t="n"/>
      <c r="T1911" s="59" t="n"/>
      <c r="U1911" s="64" t="str">
        <f>IF(OR(B1911="",H1911=""),"",IFERROR(IF(A1911="BL",IF(N(INDEX(art_price,MATCH(H1911,art_ref,0)))=0,"",N(INDEX(art_price,MATCH(H1911,art_ref,0)))),IF(N(INDEX(art_cost,MATCH(H1911,art_ref,0)))=0,"",N(INDEX(art_cost,MATCH(H1911,art_ref,0))))),""))</f>
        <v/>
      </c>
      <c r="V1911" s="64" t="str">
        <f>IF(OR(U1911="",NOT(ISNUMBER(L1911))),"",IF(L1911&lt;=0,"",ROUND(L1911*U1911,2)))</f>
        <v/>
      </c>
      <c r="W1911" s="60" t="str">
        <f>IF(AND(B1911&lt;&gt;"",A1911&lt;&gt;"BS",F1911&lt;&gt;"",H1911&lt;&gt;"",ISNUMBER(K1911),ISNUMBER(L1911)),IF(AND(K1911&gt;0,L1911&gt;0,K1911-L1911&gt;0,COUNTIFS(A1912:A$2005,A1911,F1912:F$2005,F1911,H1912:H$2005,H1911,AA1912:AA$2005,"&gt;0")=0),ROUND(K1911-L1911,6),""),"")</f>
        <v/>
      </c>
      <c r="X1911" s="60" t="str">
        <f>IF(AND(A1911="",C1911="",D1911="",H1911="",L1911=""),"",IF(A1911="","Type manquant",IF(AND(A1911&lt;&gt;"BL",A1911&lt;&gt;"BR",A1911&lt;&gt;"BS"),"Type inconnu (BL, BR ou BS)",IF(AG1911=0,"Date manquante ou invalide",IF(D1911="",IF(A1911="BL","Client manquant",IF(A1911="BR","Fournisseur manquant","Service manquant")),IF(IF(A1911="BL",ISNA(MATCH(D1911,cl_code,0)),IF(A1911="BR",ISNA(MATCH(D1911,fo_code,0)),ISNA(MATCH(D1911,p_services,0)))),IF(A1911="BL","Client inconnu",IF(A1911="BR","Fournisseur inconnu","Service inconnu")),IF(H1911="","Article manquant",IF(ISNA(MATCH(H1911,art_ref,0)),"Article inconnu",IF(OR(NOT(ISNUMBER(L1911)),N(L1911)&lt;=0),"Quantité invalide",IF(AND(K1911&lt;&gt;"",OR(NOT(ISNUMBER(K1911)),N(K1911)&lt;=0)),"Qté commandée invalide",IF(AG1911&lt;SUMPRODUCT(MAX((A$6:A1910=A1911)*AG$6:AG1910)),"Date antérieure au bon précédent",IF(AND(A1911&lt;&gt;"BR",ISNUMBER(M1911),N(M1911)&gt;0),IF(A1911="BL","Livré plus que commandé","Sorti plus que demandé"),"OK"))))))))))))</f>
        <v/>
      </c>
      <c r="Y1911" s="57" t="str">
        <f>IF(AND(OR(A1911="BL",A1911="BR",A1911="BS"),AG1911&gt;0,D1911&lt;&gt;""),A1911&amp;"|"&amp;AG1911&amp;"|"&amp;D1911&amp;"|"&amp;F1911,"")</f>
        <v/>
      </c>
      <c r="Z1911" s="57" t="str">
        <f>IF(Y1911="","",IF(COUNTIF(Y$6:Y1910,Y1911)=0,1,0))</f>
        <v/>
      </c>
      <c r="AA1911" s="57" t="str">
        <f>IF(Y1911="","",IF(Z1911=1,COUNTIFS(A$6:A1911,A1911,Z$6:Z1911,1),INDEX(AA$6:AA1910,MATCH(Y1911,Y$6:Y1910,0))))</f>
        <v/>
      </c>
      <c r="AB1911" s="57" t="str">
        <f>IF(B1911="","",COUNTIF(B$6:B1911,B1911))</f>
        <v/>
      </c>
      <c r="AC1911" s="57" t="str">
        <f>IF(B1911="","",B1911&amp;"#"&amp;AB1911)</f>
        <v/>
      </c>
      <c r="AD1911" s="57" t="str">
        <f>IF(Z1911=1,A1911&amp;AA1911,"")</f>
        <v/>
      </c>
      <c r="AE1911" s="57" t="str">
        <f>IF(B1911="","",YEAR(C1911))</f>
        <v/>
      </c>
      <c r="AF1911" s="57" t="str">
        <f>IF(B1911="","",MONTH(C1911))</f>
        <v/>
      </c>
      <c r="AG1911" s="57">
        <f>IF(ISNUMBER(C1911),C1911,0)</f>
        <v>0.0</v>
      </c>
      <c r="AH1911" s="57" t="str">
        <f>IF(N(W1911)&gt;0,COUNTIF(W$6:W1911,"&gt;0"),"")</f>
        <v/>
      </c>
      <c r="AI1911" s="57" t="str">
        <f>IF(Z1911=1,COUNTIF(Z$6:Z1911,1),"")</f>
        <v/>
      </c>
    </row>
    <row r="1912">
      <c r="A1912" s="54" t="n"/>
      <c r="B1912" s="55" t="str">
        <f>IF(AA1912="","",A1912&amp;"-"&amp;RIGHT("000"&amp;AA1912,4))</f>
        <v/>
      </c>
      <c r="C1912" s="56" t="n"/>
      <c r="D1912" s="54" t="n"/>
      <c r="E1912" s="57" t="str">
        <f>IF(D1912="","",IF(A1912="BL",IFERROR(INDEX(cl_name,MATCH(D1912,cl_code,0))&amp;"","Client inconnu"),IF(A1912="BR",IFERROR(INDEX(fo_name,MATCH(D1912,fo_code,0))&amp;"","Fournisseur inconnu"),IF(A1912="BS",IF(ISNA(MATCH(D1912,p_services,0)),"Service inconnu",D1912&amp;""),""))))</f>
        <v/>
      </c>
      <c r="F1912" s="58" t="n"/>
      <c r="G1912" s="58" t="n"/>
      <c r="H1912" s="59" t="n"/>
      <c r="I1912" s="57" t="str">
        <f>IF(H1912="","",IFERROR(INDEX(art_des,MATCH(H1912,art_ref,0))&amp;"","Article inconnu"))</f>
        <v/>
      </c>
      <c r="J1912" s="60" t="str">
        <f>IF(H1912="","",IFERROR(INDEX(art_unit,MATCH(H1912,art_ref,0))&amp;"",""))</f>
        <v/>
      </c>
      <c r="K1912" s="59" t="n"/>
      <c r="L1912" s="59" t="n"/>
      <c r="M1912" s="61" t="str">
        <f>IF(OR(B1912="",NOT(ISNUMBER(K1912)),NOT(ISNUMBER(L1912))),"",IF(OR(K1912&lt;=0,L1912&lt;=0),"",ROUND(L1912-K1912,6)))</f>
        <v/>
      </c>
      <c r="N1912" s="58" t="n"/>
      <c r="O1912" s="62" t="n"/>
      <c r="P1912" s="63" t="str">
        <f>IF(OR(B1912="",NOT(ISNUMBER(L1912))),"",IF(L1912&lt;=0,"",IFERROR(ROUND(L1912*N(INDEX(art_w,MATCH(H1912,art_ref,0))),3),"")))</f>
        <v/>
      </c>
      <c r="Q1912" s="59" t="n"/>
      <c r="R1912" s="54" t="n"/>
      <c r="S1912" s="59" t="n"/>
      <c r="T1912" s="59" t="n"/>
      <c r="U1912" s="64" t="str">
        <f>IF(OR(B1912="",H1912=""),"",IFERROR(IF(A1912="BL",IF(N(INDEX(art_price,MATCH(H1912,art_ref,0)))=0,"",N(INDEX(art_price,MATCH(H1912,art_ref,0)))),IF(N(INDEX(art_cost,MATCH(H1912,art_ref,0)))=0,"",N(INDEX(art_cost,MATCH(H1912,art_ref,0))))),""))</f>
        <v/>
      </c>
      <c r="V1912" s="64" t="str">
        <f>IF(OR(U1912="",NOT(ISNUMBER(L1912))),"",IF(L1912&lt;=0,"",ROUND(L1912*U1912,2)))</f>
        <v/>
      </c>
      <c r="W1912" s="60" t="str">
        <f>IF(AND(B1912&lt;&gt;"",A1912&lt;&gt;"BS",F1912&lt;&gt;"",H1912&lt;&gt;"",ISNUMBER(K1912),ISNUMBER(L1912)),IF(AND(K1912&gt;0,L1912&gt;0,K1912-L1912&gt;0,COUNTIFS(A1913:A$2005,A1912,F1913:F$2005,F1912,H1913:H$2005,H1912,AA1913:AA$2005,"&gt;0")=0),ROUND(K1912-L1912,6),""),"")</f>
        <v/>
      </c>
      <c r="X1912" s="60" t="str">
        <f>IF(AND(A1912="",C1912="",D1912="",H1912="",L1912=""),"",IF(A1912="","Type manquant",IF(AND(A1912&lt;&gt;"BL",A1912&lt;&gt;"BR",A1912&lt;&gt;"BS"),"Type inconnu (BL, BR ou BS)",IF(AG1912=0,"Date manquante ou invalide",IF(D1912="",IF(A1912="BL","Client manquant",IF(A1912="BR","Fournisseur manquant","Service manquant")),IF(IF(A1912="BL",ISNA(MATCH(D1912,cl_code,0)),IF(A1912="BR",ISNA(MATCH(D1912,fo_code,0)),ISNA(MATCH(D1912,p_services,0)))),IF(A1912="BL","Client inconnu",IF(A1912="BR","Fournisseur inconnu","Service inconnu")),IF(H1912="","Article manquant",IF(ISNA(MATCH(H1912,art_ref,0)),"Article inconnu",IF(OR(NOT(ISNUMBER(L1912)),N(L1912)&lt;=0),"Quantité invalide",IF(AND(K1912&lt;&gt;"",OR(NOT(ISNUMBER(K1912)),N(K1912)&lt;=0)),"Qté commandée invalide",IF(AG1912&lt;SUMPRODUCT(MAX((A$6:A1911=A1912)*AG$6:AG1911)),"Date antérieure au bon précédent",IF(AND(A1912&lt;&gt;"BR",ISNUMBER(M1912),N(M1912)&gt;0),IF(A1912="BL","Livré plus que commandé","Sorti plus que demandé"),"OK"))))))))))))</f>
        <v/>
      </c>
      <c r="Y1912" s="57" t="str">
        <f>IF(AND(OR(A1912="BL",A1912="BR",A1912="BS"),AG1912&gt;0,D1912&lt;&gt;""),A1912&amp;"|"&amp;AG1912&amp;"|"&amp;D1912&amp;"|"&amp;F1912,"")</f>
        <v/>
      </c>
      <c r="Z1912" s="57" t="str">
        <f>IF(Y1912="","",IF(COUNTIF(Y$6:Y1911,Y1912)=0,1,0))</f>
        <v/>
      </c>
      <c r="AA1912" s="57" t="str">
        <f>IF(Y1912="","",IF(Z1912=1,COUNTIFS(A$6:A1912,A1912,Z$6:Z1912,1),INDEX(AA$6:AA1911,MATCH(Y1912,Y$6:Y1911,0))))</f>
        <v/>
      </c>
      <c r="AB1912" s="57" t="str">
        <f>IF(B1912="","",COUNTIF(B$6:B1912,B1912))</f>
        <v/>
      </c>
      <c r="AC1912" s="57" t="str">
        <f>IF(B1912="","",B1912&amp;"#"&amp;AB1912)</f>
        <v/>
      </c>
      <c r="AD1912" s="57" t="str">
        <f>IF(Z1912=1,A1912&amp;AA1912,"")</f>
        <v/>
      </c>
      <c r="AE1912" s="57" t="str">
        <f>IF(B1912="","",YEAR(C1912))</f>
        <v/>
      </c>
      <c r="AF1912" s="57" t="str">
        <f>IF(B1912="","",MONTH(C1912))</f>
        <v/>
      </c>
      <c r="AG1912" s="57">
        <f>IF(ISNUMBER(C1912),C1912,0)</f>
        <v>0.0</v>
      </c>
      <c r="AH1912" s="57" t="str">
        <f>IF(N(W1912)&gt;0,COUNTIF(W$6:W1912,"&gt;0"),"")</f>
        <v/>
      </c>
      <c r="AI1912" s="57" t="str">
        <f>IF(Z1912=1,COUNTIF(Z$6:Z1912,1),"")</f>
        <v/>
      </c>
    </row>
    <row r="1913">
      <c r="A1913" s="54" t="n"/>
      <c r="B1913" s="55" t="str">
        <f>IF(AA1913="","",A1913&amp;"-"&amp;RIGHT("000"&amp;AA1913,4))</f>
        <v/>
      </c>
      <c r="C1913" s="56" t="n"/>
      <c r="D1913" s="54" t="n"/>
      <c r="E1913" s="57" t="str">
        <f>IF(D1913="","",IF(A1913="BL",IFERROR(INDEX(cl_name,MATCH(D1913,cl_code,0))&amp;"","Client inconnu"),IF(A1913="BR",IFERROR(INDEX(fo_name,MATCH(D1913,fo_code,0))&amp;"","Fournisseur inconnu"),IF(A1913="BS",IF(ISNA(MATCH(D1913,p_services,0)),"Service inconnu",D1913&amp;""),""))))</f>
        <v/>
      </c>
      <c r="F1913" s="58" t="n"/>
      <c r="G1913" s="58" t="n"/>
      <c r="H1913" s="59" t="n"/>
      <c r="I1913" s="57" t="str">
        <f>IF(H1913="","",IFERROR(INDEX(art_des,MATCH(H1913,art_ref,0))&amp;"","Article inconnu"))</f>
        <v/>
      </c>
      <c r="J1913" s="60" t="str">
        <f>IF(H1913="","",IFERROR(INDEX(art_unit,MATCH(H1913,art_ref,0))&amp;"",""))</f>
        <v/>
      </c>
      <c r="K1913" s="59" t="n"/>
      <c r="L1913" s="59" t="n"/>
      <c r="M1913" s="61" t="str">
        <f>IF(OR(B1913="",NOT(ISNUMBER(K1913)),NOT(ISNUMBER(L1913))),"",IF(OR(K1913&lt;=0,L1913&lt;=0),"",ROUND(L1913-K1913,6)))</f>
        <v/>
      </c>
      <c r="N1913" s="58" t="n"/>
      <c r="O1913" s="62" t="n"/>
      <c r="P1913" s="63" t="str">
        <f>IF(OR(B1913="",NOT(ISNUMBER(L1913))),"",IF(L1913&lt;=0,"",IFERROR(ROUND(L1913*N(INDEX(art_w,MATCH(H1913,art_ref,0))),3),"")))</f>
        <v/>
      </c>
      <c r="Q1913" s="59" t="n"/>
      <c r="R1913" s="54" t="n"/>
      <c r="S1913" s="59" t="n"/>
      <c r="T1913" s="59" t="n"/>
      <c r="U1913" s="64" t="str">
        <f>IF(OR(B1913="",H1913=""),"",IFERROR(IF(A1913="BL",IF(N(INDEX(art_price,MATCH(H1913,art_ref,0)))=0,"",N(INDEX(art_price,MATCH(H1913,art_ref,0)))),IF(N(INDEX(art_cost,MATCH(H1913,art_ref,0)))=0,"",N(INDEX(art_cost,MATCH(H1913,art_ref,0))))),""))</f>
        <v/>
      </c>
      <c r="V1913" s="64" t="str">
        <f>IF(OR(U1913="",NOT(ISNUMBER(L1913))),"",IF(L1913&lt;=0,"",ROUND(L1913*U1913,2)))</f>
        <v/>
      </c>
      <c r="W1913" s="60" t="str">
        <f>IF(AND(B1913&lt;&gt;"",A1913&lt;&gt;"BS",F1913&lt;&gt;"",H1913&lt;&gt;"",ISNUMBER(K1913),ISNUMBER(L1913)),IF(AND(K1913&gt;0,L1913&gt;0,K1913-L1913&gt;0,COUNTIFS(A1914:A$2005,A1913,F1914:F$2005,F1913,H1914:H$2005,H1913,AA1914:AA$2005,"&gt;0")=0),ROUND(K1913-L1913,6),""),"")</f>
        <v/>
      </c>
      <c r="X1913" s="60" t="str">
        <f>IF(AND(A1913="",C1913="",D1913="",H1913="",L1913=""),"",IF(A1913="","Type manquant",IF(AND(A1913&lt;&gt;"BL",A1913&lt;&gt;"BR",A1913&lt;&gt;"BS"),"Type inconnu (BL, BR ou BS)",IF(AG1913=0,"Date manquante ou invalide",IF(D1913="",IF(A1913="BL","Client manquant",IF(A1913="BR","Fournisseur manquant","Service manquant")),IF(IF(A1913="BL",ISNA(MATCH(D1913,cl_code,0)),IF(A1913="BR",ISNA(MATCH(D1913,fo_code,0)),ISNA(MATCH(D1913,p_services,0)))),IF(A1913="BL","Client inconnu",IF(A1913="BR","Fournisseur inconnu","Service inconnu")),IF(H1913="","Article manquant",IF(ISNA(MATCH(H1913,art_ref,0)),"Article inconnu",IF(OR(NOT(ISNUMBER(L1913)),N(L1913)&lt;=0),"Quantité invalide",IF(AND(K1913&lt;&gt;"",OR(NOT(ISNUMBER(K1913)),N(K1913)&lt;=0)),"Qté commandée invalide",IF(AG1913&lt;SUMPRODUCT(MAX((A$6:A1912=A1913)*AG$6:AG1912)),"Date antérieure au bon précédent",IF(AND(A1913&lt;&gt;"BR",ISNUMBER(M1913),N(M1913)&gt;0),IF(A1913="BL","Livré plus que commandé","Sorti plus que demandé"),"OK"))))))))))))</f>
        <v/>
      </c>
      <c r="Y1913" s="57" t="str">
        <f>IF(AND(OR(A1913="BL",A1913="BR",A1913="BS"),AG1913&gt;0,D1913&lt;&gt;""),A1913&amp;"|"&amp;AG1913&amp;"|"&amp;D1913&amp;"|"&amp;F1913,"")</f>
        <v/>
      </c>
      <c r="Z1913" s="57" t="str">
        <f>IF(Y1913="","",IF(COUNTIF(Y$6:Y1912,Y1913)=0,1,0))</f>
        <v/>
      </c>
      <c r="AA1913" s="57" t="str">
        <f>IF(Y1913="","",IF(Z1913=1,COUNTIFS(A$6:A1913,A1913,Z$6:Z1913,1),INDEX(AA$6:AA1912,MATCH(Y1913,Y$6:Y1912,0))))</f>
        <v/>
      </c>
      <c r="AB1913" s="57" t="str">
        <f>IF(B1913="","",COUNTIF(B$6:B1913,B1913))</f>
        <v/>
      </c>
      <c r="AC1913" s="57" t="str">
        <f>IF(B1913="","",B1913&amp;"#"&amp;AB1913)</f>
        <v/>
      </c>
      <c r="AD1913" s="57" t="str">
        <f>IF(Z1913=1,A1913&amp;AA1913,"")</f>
        <v/>
      </c>
      <c r="AE1913" s="57" t="str">
        <f>IF(B1913="","",YEAR(C1913))</f>
        <v/>
      </c>
      <c r="AF1913" s="57" t="str">
        <f>IF(B1913="","",MONTH(C1913))</f>
        <v/>
      </c>
      <c r="AG1913" s="57">
        <f>IF(ISNUMBER(C1913),C1913,0)</f>
        <v>0.0</v>
      </c>
      <c r="AH1913" s="57" t="str">
        <f>IF(N(W1913)&gt;0,COUNTIF(W$6:W1913,"&gt;0"),"")</f>
        <v/>
      </c>
      <c r="AI1913" s="57" t="str">
        <f>IF(Z1913=1,COUNTIF(Z$6:Z1913,1),"")</f>
        <v/>
      </c>
    </row>
    <row r="1914">
      <c r="A1914" s="54" t="n"/>
      <c r="B1914" s="55" t="str">
        <f>IF(AA1914="","",A1914&amp;"-"&amp;RIGHT("000"&amp;AA1914,4))</f>
        <v/>
      </c>
      <c r="C1914" s="56" t="n"/>
      <c r="D1914" s="54" t="n"/>
      <c r="E1914" s="57" t="str">
        <f>IF(D1914="","",IF(A1914="BL",IFERROR(INDEX(cl_name,MATCH(D1914,cl_code,0))&amp;"","Client inconnu"),IF(A1914="BR",IFERROR(INDEX(fo_name,MATCH(D1914,fo_code,0))&amp;"","Fournisseur inconnu"),IF(A1914="BS",IF(ISNA(MATCH(D1914,p_services,0)),"Service inconnu",D1914&amp;""),""))))</f>
        <v/>
      </c>
      <c r="F1914" s="58" t="n"/>
      <c r="G1914" s="58" t="n"/>
      <c r="H1914" s="59" t="n"/>
      <c r="I1914" s="57" t="str">
        <f>IF(H1914="","",IFERROR(INDEX(art_des,MATCH(H1914,art_ref,0))&amp;"","Article inconnu"))</f>
        <v/>
      </c>
      <c r="J1914" s="60" t="str">
        <f>IF(H1914="","",IFERROR(INDEX(art_unit,MATCH(H1914,art_ref,0))&amp;"",""))</f>
        <v/>
      </c>
      <c r="K1914" s="59" t="n"/>
      <c r="L1914" s="59" t="n"/>
      <c r="M1914" s="61" t="str">
        <f>IF(OR(B1914="",NOT(ISNUMBER(K1914)),NOT(ISNUMBER(L1914))),"",IF(OR(K1914&lt;=0,L1914&lt;=0),"",ROUND(L1914-K1914,6)))</f>
        <v/>
      </c>
      <c r="N1914" s="58" t="n"/>
      <c r="O1914" s="62" t="n"/>
      <c r="P1914" s="63" t="str">
        <f>IF(OR(B1914="",NOT(ISNUMBER(L1914))),"",IF(L1914&lt;=0,"",IFERROR(ROUND(L1914*N(INDEX(art_w,MATCH(H1914,art_ref,0))),3),"")))</f>
        <v/>
      </c>
      <c r="Q1914" s="59" t="n"/>
      <c r="R1914" s="54" t="n"/>
      <c r="S1914" s="59" t="n"/>
      <c r="T1914" s="59" t="n"/>
      <c r="U1914" s="64" t="str">
        <f>IF(OR(B1914="",H1914=""),"",IFERROR(IF(A1914="BL",IF(N(INDEX(art_price,MATCH(H1914,art_ref,0)))=0,"",N(INDEX(art_price,MATCH(H1914,art_ref,0)))),IF(N(INDEX(art_cost,MATCH(H1914,art_ref,0)))=0,"",N(INDEX(art_cost,MATCH(H1914,art_ref,0))))),""))</f>
        <v/>
      </c>
      <c r="V1914" s="64" t="str">
        <f>IF(OR(U1914="",NOT(ISNUMBER(L1914))),"",IF(L1914&lt;=0,"",ROUND(L1914*U1914,2)))</f>
        <v/>
      </c>
      <c r="W1914" s="60" t="str">
        <f>IF(AND(B1914&lt;&gt;"",A1914&lt;&gt;"BS",F1914&lt;&gt;"",H1914&lt;&gt;"",ISNUMBER(K1914),ISNUMBER(L1914)),IF(AND(K1914&gt;0,L1914&gt;0,K1914-L1914&gt;0,COUNTIFS(A1915:A$2005,A1914,F1915:F$2005,F1914,H1915:H$2005,H1914,AA1915:AA$2005,"&gt;0")=0),ROUND(K1914-L1914,6),""),"")</f>
        <v/>
      </c>
      <c r="X1914" s="60" t="str">
        <f>IF(AND(A1914="",C1914="",D1914="",H1914="",L1914=""),"",IF(A1914="","Type manquant",IF(AND(A1914&lt;&gt;"BL",A1914&lt;&gt;"BR",A1914&lt;&gt;"BS"),"Type inconnu (BL, BR ou BS)",IF(AG1914=0,"Date manquante ou invalide",IF(D1914="",IF(A1914="BL","Client manquant",IF(A1914="BR","Fournisseur manquant","Service manquant")),IF(IF(A1914="BL",ISNA(MATCH(D1914,cl_code,0)),IF(A1914="BR",ISNA(MATCH(D1914,fo_code,0)),ISNA(MATCH(D1914,p_services,0)))),IF(A1914="BL","Client inconnu",IF(A1914="BR","Fournisseur inconnu","Service inconnu")),IF(H1914="","Article manquant",IF(ISNA(MATCH(H1914,art_ref,0)),"Article inconnu",IF(OR(NOT(ISNUMBER(L1914)),N(L1914)&lt;=0),"Quantité invalide",IF(AND(K1914&lt;&gt;"",OR(NOT(ISNUMBER(K1914)),N(K1914)&lt;=0)),"Qté commandée invalide",IF(AG1914&lt;SUMPRODUCT(MAX((A$6:A1913=A1914)*AG$6:AG1913)),"Date antérieure au bon précédent",IF(AND(A1914&lt;&gt;"BR",ISNUMBER(M1914),N(M1914)&gt;0),IF(A1914="BL","Livré plus que commandé","Sorti plus que demandé"),"OK"))))))))))))</f>
        <v/>
      </c>
      <c r="Y1914" s="57" t="str">
        <f>IF(AND(OR(A1914="BL",A1914="BR",A1914="BS"),AG1914&gt;0,D1914&lt;&gt;""),A1914&amp;"|"&amp;AG1914&amp;"|"&amp;D1914&amp;"|"&amp;F1914,"")</f>
        <v/>
      </c>
      <c r="Z1914" s="57" t="str">
        <f>IF(Y1914="","",IF(COUNTIF(Y$6:Y1913,Y1914)=0,1,0))</f>
        <v/>
      </c>
      <c r="AA1914" s="57" t="str">
        <f>IF(Y1914="","",IF(Z1914=1,COUNTIFS(A$6:A1914,A1914,Z$6:Z1914,1),INDEX(AA$6:AA1913,MATCH(Y1914,Y$6:Y1913,0))))</f>
        <v/>
      </c>
      <c r="AB1914" s="57" t="str">
        <f>IF(B1914="","",COUNTIF(B$6:B1914,B1914))</f>
        <v/>
      </c>
      <c r="AC1914" s="57" t="str">
        <f>IF(B1914="","",B1914&amp;"#"&amp;AB1914)</f>
        <v/>
      </c>
      <c r="AD1914" s="57" t="str">
        <f>IF(Z1914=1,A1914&amp;AA1914,"")</f>
        <v/>
      </c>
      <c r="AE1914" s="57" t="str">
        <f>IF(B1914="","",YEAR(C1914))</f>
        <v/>
      </c>
      <c r="AF1914" s="57" t="str">
        <f>IF(B1914="","",MONTH(C1914))</f>
        <v/>
      </c>
      <c r="AG1914" s="57">
        <f>IF(ISNUMBER(C1914),C1914,0)</f>
        <v>0.0</v>
      </c>
      <c r="AH1914" s="57" t="str">
        <f>IF(N(W1914)&gt;0,COUNTIF(W$6:W1914,"&gt;0"),"")</f>
        <v/>
      </c>
      <c r="AI1914" s="57" t="str">
        <f>IF(Z1914=1,COUNTIF(Z$6:Z1914,1),"")</f>
        <v/>
      </c>
    </row>
    <row r="1915">
      <c r="A1915" s="54" t="n"/>
      <c r="B1915" s="55" t="str">
        <f>IF(AA1915="","",A1915&amp;"-"&amp;RIGHT("000"&amp;AA1915,4))</f>
        <v/>
      </c>
      <c r="C1915" s="56" t="n"/>
      <c r="D1915" s="54" t="n"/>
      <c r="E1915" s="57" t="str">
        <f>IF(D1915="","",IF(A1915="BL",IFERROR(INDEX(cl_name,MATCH(D1915,cl_code,0))&amp;"","Client inconnu"),IF(A1915="BR",IFERROR(INDEX(fo_name,MATCH(D1915,fo_code,0))&amp;"","Fournisseur inconnu"),IF(A1915="BS",IF(ISNA(MATCH(D1915,p_services,0)),"Service inconnu",D1915&amp;""),""))))</f>
        <v/>
      </c>
      <c r="F1915" s="58" t="n"/>
      <c r="G1915" s="58" t="n"/>
      <c r="H1915" s="59" t="n"/>
      <c r="I1915" s="57" t="str">
        <f>IF(H1915="","",IFERROR(INDEX(art_des,MATCH(H1915,art_ref,0))&amp;"","Article inconnu"))</f>
        <v/>
      </c>
      <c r="J1915" s="60" t="str">
        <f>IF(H1915="","",IFERROR(INDEX(art_unit,MATCH(H1915,art_ref,0))&amp;"",""))</f>
        <v/>
      </c>
      <c r="K1915" s="59" t="n"/>
      <c r="L1915" s="59" t="n"/>
      <c r="M1915" s="61" t="str">
        <f>IF(OR(B1915="",NOT(ISNUMBER(K1915)),NOT(ISNUMBER(L1915))),"",IF(OR(K1915&lt;=0,L1915&lt;=0),"",ROUND(L1915-K1915,6)))</f>
        <v/>
      </c>
      <c r="N1915" s="58" t="n"/>
      <c r="O1915" s="62" t="n"/>
      <c r="P1915" s="63" t="str">
        <f>IF(OR(B1915="",NOT(ISNUMBER(L1915))),"",IF(L1915&lt;=0,"",IFERROR(ROUND(L1915*N(INDEX(art_w,MATCH(H1915,art_ref,0))),3),"")))</f>
        <v/>
      </c>
      <c r="Q1915" s="59" t="n"/>
      <c r="R1915" s="54" t="n"/>
      <c r="S1915" s="59" t="n"/>
      <c r="T1915" s="59" t="n"/>
      <c r="U1915" s="64" t="str">
        <f>IF(OR(B1915="",H1915=""),"",IFERROR(IF(A1915="BL",IF(N(INDEX(art_price,MATCH(H1915,art_ref,0)))=0,"",N(INDEX(art_price,MATCH(H1915,art_ref,0)))),IF(N(INDEX(art_cost,MATCH(H1915,art_ref,0)))=0,"",N(INDEX(art_cost,MATCH(H1915,art_ref,0))))),""))</f>
        <v/>
      </c>
      <c r="V1915" s="64" t="str">
        <f>IF(OR(U1915="",NOT(ISNUMBER(L1915))),"",IF(L1915&lt;=0,"",ROUND(L1915*U1915,2)))</f>
        <v/>
      </c>
      <c r="W1915" s="60" t="str">
        <f>IF(AND(B1915&lt;&gt;"",A1915&lt;&gt;"BS",F1915&lt;&gt;"",H1915&lt;&gt;"",ISNUMBER(K1915),ISNUMBER(L1915)),IF(AND(K1915&gt;0,L1915&gt;0,K1915-L1915&gt;0,COUNTIFS(A1916:A$2005,A1915,F1916:F$2005,F1915,H1916:H$2005,H1915,AA1916:AA$2005,"&gt;0")=0),ROUND(K1915-L1915,6),""),"")</f>
        <v/>
      </c>
      <c r="X1915" s="60" t="str">
        <f>IF(AND(A1915="",C1915="",D1915="",H1915="",L1915=""),"",IF(A1915="","Type manquant",IF(AND(A1915&lt;&gt;"BL",A1915&lt;&gt;"BR",A1915&lt;&gt;"BS"),"Type inconnu (BL, BR ou BS)",IF(AG1915=0,"Date manquante ou invalide",IF(D1915="",IF(A1915="BL","Client manquant",IF(A1915="BR","Fournisseur manquant","Service manquant")),IF(IF(A1915="BL",ISNA(MATCH(D1915,cl_code,0)),IF(A1915="BR",ISNA(MATCH(D1915,fo_code,0)),ISNA(MATCH(D1915,p_services,0)))),IF(A1915="BL","Client inconnu",IF(A1915="BR","Fournisseur inconnu","Service inconnu")),IF(H1915="","Article manquant",IF(ISNA(MATCH(H1915,art_ref,0)),"Article inconnu",IF(OR(NOT(ISNUMBER(L1915)),N(L1915)&lt;=0),"Quantité invalide",IF(AND(K1915&lt;&gt;"",OR(NOT(ISNUMBER(K1915)),N(K1915)&lt;=0)),"Qté commandée invalide",IF(AG1915&lt;SUMPRODUCT(MAX((A$6:A1914=A1915)*AG$6:AG1914)),"Date antérieure au bon précédent",IF(AND(A1915&lt;&gt;"BR",ISNUMBER(M1915),N(M1915)&gt;0),IF(A1915="BL","Livré plus que commandé","Sorti plus que demandé"),"OK"))))))))))))</f>
        <v/>
      </c>
      <c r="Y1915" s="57" t="str">
        <f>IF(AND(OR(A1915="BL",A1915="BR",A1915="BS"),AG1915&gt;0,D1915&lt;&gt;""),A1915&amp;"|"&amp;AG1915&amp;"|"&amp;D1915&amp;"|"&amp;F1915,"")</f>
        <v/>
      </c>
      <c r="Z1915" s="57" t="str">
        <f>IF(Y1915="","",IF(COUNTIF(Y$6:Y1914,Y1915)=0,1,0))</f>
        <v/>
      </c>
      <c r="AA1915" s="57" t="str">
        <f>IF(Y1915="","",IF(Z1915=1,COUNTIFS(A$6:A1915,A1915,Z$6:Z1915,1),INDEX(AA$6:AA1914,MATCH(Y1915,Y$6:Y1914,0))))</f>
        <v/>
      </c>
      <c r="AB1915" s="57" t="str">
        <f>IF(B1915="","",COUNTIF(B$6:B1915,B1915))</f>
        <v/>
      </c>
      <c r="AC1915" s="57" t="str">
        <f>IF(B1915="","",B1915&amp;"#"&amp;AB1915)</f>
        <v/>
      </c>
      <c r="AD1915" s="57" t="str">
        <f>IF(Z1915=1,A1915&amp;AA1915,"")</f>
        <v/>
      </c>
      <c r="AE1915" s="57" t="str">
        <f>IF(B1915="","",YEAR(C1915))</f>
        <v/>
      </c>
      <c r="AF1915" s="57" t="str">
        <f>IF(B1915="","",MONTH(C1915))</f>
        <v/>
      </c>
      <c r="AG1915" s="57">
        <f>IF(ISNUMBER(C1915),C1915,0)</f>
        <v>0.0</v>
      </c>
      <c r="AH1915" s="57" t="str">
        <f>IF(N(W1915)&gt;0,COUNTIF(W$6:W1915,"&gt;0"),"")</f>
        <v/>
      </c>
      <c r="AI1915" s="57" t="str">
        <f>IF(Z1915=1,COUNTIF(Z$6:Z1915,1),"")</f>
        <v/>
      </c>
    </row>
    <row r="1916">
      <c r="A1916" s="54" t="n"/>
      <c r="B1916" s="55" t="str">
        <f>IF(AA1916="","",A1916&amp;"-"&amp;RIGHT("000"&amp;AA1916,4))</f>
        <v/>
      </c>
      <c r="C1916" s="56" t="n"/>
      <c r="D1916" s="54" t="n"/>
      <c r="E1916" s="57" t="str">
        <f>IF(D1916="","",IF(A1916="BL",IFERROR(INDEX(cl_name,MATCH(D1916,cl_code,0))&amp;"","Client inconnu"),IF(A1916="BR",IFERROR(INDEX(fo_name,MATCH(D1916,fo_code,0))&amp;"","Fournisseur inconnu"),IF(A1916="BS",IF(ISNA(MATCH(D1916,p_services,0)),"Service inconnu",D1916&amp;""),""))))</f>
        <v/>
      </c>
      <c r="F1916" s="58" t="n"/>
      <c r="G1916" s="58" t="n"/>
      <c r="H1916" s="59" t="n"/>
      <c r="I1916" s="57" t="str">
        <f>IF(H1916="","",IFERROR(INDEX(art_des,MATCH(H1916,art_ref,0))&amp;"","Article inconnu"))</f>
        <v/>
      </c>
      <c r="J1916" s="60" t="str">
        <f>IF(H1916="","",IFERROR(INDEX(art_unit,MATCH(H1916,art_ref,0))&amp;"",""))</f>
        <v/>
      </c>
      <c r="K1916" s="59" t="n"/>
      <c r="L1916" s="59" t="n"/>
      <c r="M1916" s="61" t="str">
        <f>IF(OR(B1916="",NOT(ISNUMBER(K1916)),NOT(ISNUMBER(L1916))),"",IF(OR(K1916&lt;=0,L1916&lt;=0),"",ROUND(L1916-K1916,6)))</f>
        <v/>
      </c>
      <c r="N1916" s="58" t="n"/>
      <c r="O1916" s="62" t="n"/>
      <c r="P1916" s="63" t="str">
        <f>IF(OR(B1916="",NOT(ISNUMBER(L1916))),"",IF(L1916&lt;=0,"",IFERROR(ROUND(L1916*N(INDEX(art_w,MATCH(H1916,art_ref,0))),3),"")))</f>
        <v/>
      </c>
      <c r="Q1916" s="59" t="n"/>
      <c r="R1916" s="54" t="n"/>
      <c r="S1916" s="59" t="n"/>
      <c r="T1916" s="59" t="n"/>
      <c r="U1916" s="64" t="str">
        <f>IF(OR(B1916="",H1916=""),"",IFERROR(IF(A1916="BL",IF(N(INDEX(art_price,MATCH(H1916,art_ref,0)))=0,"",N(INDEX(art_price,MATCH(H1916,art_ref,0)))),IF(N(INDEX(art_cost,MATCH(H1916,art_ref,0)))=0,"",N(INDEX(art_cost,MATCH(H1916,art_ref,0))))),""))</f>
        <v/>
      </c>
      <c r="V1916" s="64" t="str">
        <f>IF(OR(U1916="",NOT(ISNUMBER(L1916))),"",IF(L1916&lt;=0,"",ROUND(L1916*U1916,2)))</f>
        <v/>
      </c>
      <c r="W1916" s="60" t="str">
        <f>IF(AND(B1916&lt;&gt;"",A1916&lt;&gt;"BS",F1916&lt;&gt;"",H1916&lt;&gt;"",ISNUMBER(K1916),ISNUMBER(L1916)),IF(AND(K1916&gt;0,L1916&gt;0,K1916-L1916&gt;0,COUNTIFS(A1917:A$2005,A1916,F1917:F$2005,F1916,H1917:H$2005,H1916,AA1917:AA$2005,"&gt;0")=0),ROUND(K1916-L1916,6),""),"")</f>
        <v/>
      </c>
      <c r="X1916" s="60" t="str">
        <f>IF(AND(A1916="",C1916="",D1916="",H1916="",L1916=""),"",IF(A1916="","Type manquant",IF(AND(A1916&lt;&gt;"BL",A1916&lt;&gt;"BR",A1916&lt;&gt;"BS"),"Type inconnu (BL, BR ou BS)",IF(AG1916=0,"Date manquante ou invalide",IF(D1916="",IF(A1916="BL","Client manquant",IF(A1916="BR","Fournisseur manquant","Service manquant")),IF(IF(A1916="BL",ISNA(MATCH(D1916,cl_code,0)),IF(A1916="BR",ISNA(MATCH(D1916,fo_code,0)),ISNA(MATCH(D1916,p_services,0)))),IF(A1916="BL","Client inconnu",IF(A1916="BR","Fournisseur inconnu","Service inconnu")),IF(H1916="","Article manquant",IF(ISNA(MATCH(H1916,art_ref,0)),"Article inconnu",IF(OR(NOT(ISNUMBER(L1916)),N(L1916)&lt;=0),"Quantité invalide",IF(AND(K1916&lt;&gt;"",OR(NOT(ISNUMBER(K1916)),N(K1916)&lt;=0)),"Qté commandée invalide",IF(AG1916&lt;SUMPRODUCT(MAX((A$6:A1915=A1916)*AG$6:AG1915)),"Date antérieure au bon précédent",IF(AND(A1916&lt;&gt;"BR",ISNUMBER(M1916),N(M1916)&gt;0),IF(A1916="BL","Livré plus que commandé","Sorti plus que demandé"),"OK"))))))))))))</f>
        <v/>
      </c>
      <c r="Y1916" s="57" t="str">
        <f>IF(AND(OR(A1916="BL",A1916="BR",A1916="BS"),AG1916&gt;0,D1916&lt;&gt;""),A1916&amp;"|"&amp;AG1916&amp;"|"&amp;D1916&amp;"|"&amp;F1916,"")</f>
        <v/>
      </c>
      <c r="Z1916" s="57" t="str">
        <f>IF(Y1916="","",IF(COUNTIF(Y$6:Y1915,Y1916)=0,1,0))</f>
        <v/>
      </c>
      <c r="AA1916" s="57" t="str">
        <f>IF(Y1916="","",IF(Z1916=1,COUNTIFS(A$6:A1916,A1916,Z$6:Z1916,1),INDEX(AA$6:AA1915,MATCH(Y1916,Y$6:Y1915,0))))</f>
        <v/>
      </c>
      <c r="AB1916" s="57" t="str">
        <f>IF(B1916="","",COUNTIF(B$6:B1916,B1916))</f>
        <v/>
      </c>
      <c r="AC1916" s="57" t="str">
        <f>IF(B1916="","",B1916&amp;"#"&amp;AB1916)</f>
        <v/>
      </c>
      <c r="AD1916" s="57" t="str">
        <f>IF(Z1916=1,A1916&amp;AA1916,"")</f>
        <v/>
      </c>
      <c r="AE1916" s="57" t="str">
        <f>IF(B1916="","",YEAR(C1916))</f>
        <v/>
      </c>
      <c r="AF1916" s="57" t="str">
        <f>IF(B1916="","",MONTH(C1916))</f>
        <v/>
      </c>
      <c r="AG1916" s="57">
        <f>IF(ISNUMBER(C1916),C1916,0)</f>
        <v>0.0</v>
      </c>
      <c r="AH1916" s="57" t="str">
        <f>IF(N(W1916)&gt;0,COUNTIF(W$6:W1916,"&gt;0"),"")</f>
        <v/>
      </c>
      <c r="AI1916" s="57" t="str">
        <f>IF(Z1916=1,COUNTIF(Z$6:Z1916,1),"")</f>
        <v/>
      </c>
    </row>
    <row r="1917">
      <c r="A1917" s="54" t="n"/>
      <c r="B1917" s="55" t="str">
        <f>IF(AA1917="","",A1917&amp;"-"&amp;RIGHT("000"&amp;AA1917,4))</f>
        <v/>
      </c>
      <c r="C1917" s="56" t="n"/>
      <c r="D1917" s="54" t="n"/>
      <c r="E1917" s="57" t="str">
        <f>IF(D1917="","",IF(A1917="BL",IFERROR(INDEX(cl_name,MATCH(D1917,cl_code,0))&amp;"","Client inconnu"),IF(A1917="BR",IFERROR(INDEX(fo_name,MATCH(D1917,fo_code,0))&amp;"","Fournisseur inconnu"),IF(A1917="BS",IF(ISNA(MATCH(D1917,p_services,0)),"Service inconnu",D1917&amp;""),""))))</f>
        <v/>
      </c>
      <c r="F1917" s="58" t="n"/>
      <c r="G1917" s="58" t="n"/>
      <c r="H1917" s="59" t="n"/>
      <c r="I1917" s="57" t="str">
        <f>IF(H1917="","",IFERROR(INDEX(art_des,MATCH(H1917,art_ref,0))&amp;"","Article inconnu"))</f>
        <v/>
      </c>
      <c r="J1917" s="60" t="str">
        <f>IF(H1917="","",IFERROR(INDEX(art_unit,MATCH(H1917,art_ref,0))&amp;"",""))</f>
        <v/>
      </c>
      <c r="K1917" s="59" t="n"/>
      <c r="L1917" s="59" t="n"/>
      <c r="M1917" s="61" t="str">
        <f>IF(OR(B1917="",NOT(ISNUMBER(K1917)),NOT(ISNUMBER(L1917))),"",IF(OR(K1917&lt;=0,L1917&lt;=0),"",ROUND(L1917-K1917,6)))</f>
        <v/>
      </c>
      <c r="N1917" s="58" t="n"/>
      <c r="O1917" s="62" t="n"/>
      <c r="P1917" s="63" t="str">
        <f>IF(OR(B1917="",NOT(ISNUMBER(L1917))),"",IF(L1917&lt;=0,"",IFERROR(ROUND(L1917*N(INDEX(art_w,MATCH(H1917,art_ref,0))),3),"")))</f>
        <v/>
      </c>
      <c r="Q1917" s="59" t="n"/>
      <c r="R1917" s="54" t="n"/>
      <c r="S1917" s="59" t="n"/>
      <c r="T1917" s="59" t="n"/>
      <c r="U1917" s="64" t="str">
        <f>IF(OR(B1917="",H1917=""),"",IFERROR(IF(A1917="BL",IF(N(INDEX(art_price,MATCH(H1917,art_ref,0)))=0,"",N(INDEX(art_price,MATCH(H1917,art_ref,0)))),IF(N(INDEX(art_cost,MATCH(H1917,art_ref,0)))=0,"",N(INDEX(art_cost,MATCH(H1917,art_ref,0))))),""))</f>
        <v/>
      </c>
      <c r="V1917" s="64" t="str">
        <f>IF(OR(U1917="",NOT(ISNUMBER(L1917))),"",IF(L1917&lt;=0,"",ROUND(L1917*U1917,2)))</f>
        <v/>
      </c>
      <c r="W1917" s="60" t="str">
        <f>IF(AND(B1917&lt;&gt;"",A1917&lt;&gt;"BS",F1917&lt;&gt;"",H1917&lt;&gt;"",ISNUMBER(K1917),ISNUMBER(L1917)),IF(AND(K1917&gt;0,L1917&gt;0,K1917-L1917&gt;0,COUNTIFS(A1918:A$2005,A1917,F1918:F$2005,F1917,H1918:H$2005,H1917,AA1918:AA$2005,"&gt;0")=0),ROUND(K1917-L1917,6),""),"")</f>
        <v/>
      </c>
      <c r="X1917" s="60" t="str">
        <f>IF(AND(A1917="",C1917="",D1917="",H1917="",L1917=""),"",IF(A1917="","Type manquant",IF(AND(A1917&lt;&gt;"BL",A1917&lt;&gt;"BR",A1917&lt;&gt;"BS"),"Type inconnu (BL, BR ou BS)",IF(AG1917=0,"Date manquante ou invalide",IF(D1917="",IF(A1917="BL","Client manquant",IF(A1917="BR","Fournisseur manquant","Service manquant")),IF(IF(A1917="BL",ISNA(MATCH(D1917,cl_code,0)),IF(A1917="BR",ISNA(MATCH(D1917,fo_code,0)),ISNA(MATCH(D1917,p_services,0)))),IF(A1917="BL","Client inconnu",IF(A1917="BR","Fournisseur inconnu","Service inconnu")),IF(H1917="","Article manquant",IF(ISNA(MATCH(H1917,art_ref,0)),"Article inconnu",IF(OR(NOT(ISNUMBER(L1917)),N(L1917)&lt;=0),"Quantité invalide",IF(AND(K1917&lt;&gt;"",OR(NOT(ISNUMBER(K1917)),N(K1917)&lt;=0)),"Qté commandée invalide",IF(AG1917&lt;SUMPRODUCT(MAX((A$6:A1916=A1917)*AG$6:AG1916)),"Date antérieure au bon précédent",IF(AND(A1917&lt;&gt;"BR",ISNUMBER(M1917),N(M1917)&gt;0),IF(A1917="BL","Livré plus que commandé","Sorti plus que demandé"),"OK"))))))))))))</f>
        <v/>
      </c>
      <c r="Y1917" s="57" t="str">
        <f>IF(AND(OR(A1917="BL",A1917="BR",A1917="BS"),AG1917&gt;0,D1917&lt;&gt;""),A1917&amp;"|"&amp;AG1917&amp;"|"&amp;D1917&amp;"|"&amp;F1917,"")</f>
        <v/>
      </c>
      <c r="Z1917" s="57" t="str">
        <f>IF(Y1917="","",IF(COUNTIF(Y$6:Y1916,Y1917)=0,1,0))</f>
        <v/>
      </c>
      <c r="AA1917" s="57" t="str">
        <f>IF(Y1917="","",IF(Z1917=1,COUNTIFS(A$6:A1917,A1917,Z$6:Z1917,1),INDEX(AA$6:AA1916,MATCH(Y1917,Y$6:Y1916,0))))</f>
        <v/>
      </c>
      <c r="AB1917" s="57" t="str">
        <f>IF(B1917="","",COUNTIF(B$6:B1917,B1917))</f>
        <v/>
      </c>
      <c r="AC1917" s="57" t="str">
        <f>IF(B1917="","",B1917&amp;"#"&amp;AB1917)</f>
        <v/>
      </c>
      <c r="AD1917" s="57" t="str">
        <f>IF(Z1917=1,A1917&amp;AA1917,"")</f>
        <v/>
      </c>
      <c r="AE1917" s="57" t="str">
        <f>IF(B1917="","",YEAR(C1917))</f>
        <v/>
      </c>
      <c r="AF1917" s="57" t="str">
        <f>IF(B1917="","",MONTH(C1917))</f>
        <v/>
      </c>
      <c r="AG1917" s="57">
        <f>IF(ISNUMBER(C1917),C1917,0)</f>
        <v>0.0</v>
      </c>
      <c r="AH1917" s="57" t="str">
        <f>IF(N(W1917)&gt;0,COUNTIF(W$6:W1917,"&gt;0"),"")</f>
        <v/>
      </c>
      <c r="AI1917" s="57" t="str">
        <f>IF(Z1917=1,COUNTIF(Z$6:Z1917,1),"")</f>
        <v/>
      </c>
    </row>
    <row r="1918">
      <c r="A1918" s="54" t="n"/>
      <c r="B1918" s="55" t="str">
        <f>IF(AA1918="","",A1918&amp;"-"&amp;RIGHT("000"&amp;AA1918,4))</f>
        <v/>
      </c>
      <c r="C1918" s="56" t="n"/>
      <c r="D1918" s="54" t="n"/>
      <c r="E1918" s="57" t="str">
        <f>IF(D1918="","",IF(A1918="BL",IFERROR(INDEX(cl_name,MATCH(D1918,cl_code,0))&amp;"","Client inconnu"),IF(A1918="BR",IFERROR(INDEX(fo_name,MATCH(D1918,fo_code,0))&amp;"","Fournisseur inconnu"),IF(A1918="BS",IF(ISNA(MATCH(D1918,p_services,0)),"Service inconnu",D1918&amp;""),""))))</f>
        <v/>
      </c>
      <c r="F1918" s="58" t="n"/>
      <c r="G1918" s="58" t="n"/>
      <c r="H1918" s="59" t="n"/>
      <c r="I1918" s="57" t="str">
        <f>IF(H1918="","",IFERROR(INDEX(art_des,MATCH(H1918,art_ref,0))&amp;"","Article inconnu"))</f>
        <v/>
      </c>
      <c r="J1918" s="60" t="str">
        <f>IF(H1918="","",IFERROR(INDEX(art_unit,MATCH(H1918,art_ref,0))&amp;"",""))</f>
        <v/>
      </c>
      <c r="K1918" s="59" t="n"/>
      <c r="L1918" s="59" t="n"/>
      <c r="M1918" s="61" t="str">
        <f>IF(OR(B1918="",NOT(ISNUMBER(K1918)),NOT(ISNUMBER(L1918))),"",IF(OR(K1918&lt;=0,L1918&lt;=0),"",ROUND(L1918-K1918,6)))</f>
        <v/>
      </c>
      <c r="N1918" s="58" t="n"/>
      <c r="O1918" s="62" t="n"/>
      <c r="P1918" s="63" t="str">
        <f>IF(OR(B1918="",NOT(ISNUMBER(L1918))),"",IF(L1918&lt;=0,"",IFERROR(ROUND(L1918*N(INDEX(art_w,MATCH(H1918,art_ref,0))),3),"")))</f>
        <v/>
      </c>
      <c r="Q1918" s="59" t="n"/>
      <c r="R1918" s="54" t="n"/>
      <c r="S1918" s="59" t="n"/>
      <c r="T1918" s="59" t="n"/>
      <c r="U1918" s="64" t="str">
        <f>IF(OR(B1918="",H1918=""),"",IFERROR(IF(A1918="BL",IF(N(INDEX(art_price,MATCH(H1918,art_ref,0)))=0,"",N(INDEX(art_price,MATCH(H1918,art_ref,0)))),IF(N(INDEX(art_cost,MATCH(H1918,art_ref,0)))=0,"",N(INDEX(art_cost,MATCH(H1918,art_ref,0))))),""))</f>
        <v/>
      </c>
      <c r="V1918" s="64" t="str">
        <f>IF(OR(U1918="",NOT(ISNUMBER(L1918))),"",IF(L1918&lt;=0,"",ROUND(L1918*U1918,2)))</f>
        <v/>
      </c>
      <c r="W1918" s="60" t="str">
        <f>IF(AND(B1918&lt;&gt;"",A1918&lt;&gt;"BS",F1918&lt;&gt;"",H1918&lt;&gt;"",ISNUMBER(K1918),ISNUMBER(L1918)),IF(AND(K1918&gt;0,L1918&gt;0,K1918-L1918&gt;0,COUNTIFS(A1919:A$2005,A1918,F1919:F$2005,F1918,H1919:H$2005,H1918,AA1919:AA$2005,"&gt;0")=0),ROUND(K1918-L1918,6),""),"")</f>
        <v/>
      </c>
      <c r="X1918" s="60" t="str">
        <f>IF(AND(A1918="",C1918="",D1918="",H1918="",L1918=""),"",IF(A1918="","Type manquant",IF(AND(A1918&lt;&gt;"BL",A1918&lt;&gt;"BR",A1918&lt;&gt;"BS"),"Type inconnu (BL, BR ou BS)",IF(AG1918=0,"Date manquante ou invalide",IF(D1918="",IF(A1918="BL","Client manquant",IF(A1918="BR","Fournisseur manquant","Service manquant")),IF(IF(A1918="BL",ISNA(MATCH(D1918,cl_code,0)),IF(A1918="BR",ISNA(MATCH(D1918,fo_code,0)),ISNA(MATCH(D1918,p_services,0)))),IF(A1918="BL","Client inconnu",IF(A1918="BR","Fournisseur inconnu","Service inconnu")),IF(H1918="","Article manquant",IF(ISNA(MATCH(H1918,art_ref,0)),"Article inconnu",IF(OR(NOT(ISNUMBER(L1918)),N(L1918)&lt;=0),"Quantité invalide",IF(AND(K1918&lt;&gt;"",OR(NOT(ISNUMBER(K1918)),N(K1918)&lt;=0)),"Qté commandée invalide",IF(AG1918&lt;SUMPRODUCT(MAX((A$6:A1917=A1918)*AG$6:AG1917)),"Date antérieure au bon précédent",IF(AND(A1918&lt;&gt;"BR",ISNUMBER(M1918),N(M1918)&gt;0),IF(A1918="BL","Livré plus que commandé","Sorti plus que demandé"),"OK"))))))))))))</f>
        <v/>
      </c>
      <c r="Y1918" s="57" t="str">
        <f>IF(AND(OR(A1918="BL",A1918="BR",A1918="BS"),AG1918&gt;0,D1918&lt;&gt;""),A1918&amp;"|"&amp;AG1918&amp;"|"&amp;D1918&amp;"|"&amp;F1918,"")</f>
        <v/>
      </c>
      <c r="Z1918" s="57" t="str">
        <f>IF(Y1918="","",IF(COUNTIF(Y$6:Y1917,Y1918)=0,1,0))</f>
        <v/>
      </c>
      <c r="AA1918" s="57" t="str">
        <f>IF(Y1918="","",IF(Z1918=1,COUNTIFS(A$6:A1918,A1918,Z$6:Z1918,1),INDEX(AA$6:AA1917,MATCH(Y1918,Y$6:Y1917,0))))</f>
        <v/>
      </c>
      <c r="AB1918" s="57" t="str">
        <f>IF(B1918="","",COUNTIF(B$6:B1918,B1918))</f>
        <v/>
      </c>
      <c r="AC1918" s="57" t="str">
        <f>IF(B1918="","",B1918&amp;"#"&amp;AB1918)</f>
        <v/>
      </c>
      <c r="AD1918" s="57" t="str">
        <f>IF(Z1918=1,A1918&amp;AA1918,"")</f>
        <v/>
      </c>
      <c r="AE1918" s="57" t="str">
        <f>IF(B1918="","",YEAR(C1918))</f>
        <v/>
      </c>
      <c r="AF1918" s="57" t="str">
        <f>IF(B1918="","",MONTH(C1918))</f>
        <v/>
      </c>
      <c r="AG1918" s="57">
        <f>IF(ISNUMBER(C1918),C1918,0)</f>
        <v>0.0</v>
      </c>
      <c r="AH1918" s="57" t="str">
        <f>IF(N(W1918)&gt;0,COUNTIF(W$6:W1918,"&gt;0"),"")</f>
        <v/>
      </c>
      <c r="AI1918" s="57" t="str">
        <f>IF(Z1918=1,COUNTIF(Z$6:Z1918,1),"")</f>
        <v/>
      </c>
    </row>
    <row r="1919">
      <c r="A1919" s="54" t="n"/>
      <c r="B1919" s="55" t="str">
        <f>IF(AA1919="","",A1919&amp;"-"&amp;RIGHT("000"&amp;AA1919,4))</f>
        <v/>
      </c>
      <c r="C1919" s="56" t="n"/>
      <c r="D1919" s="54" t="n"/>
      <c r="E1919" s="57" t="str">
        <f>IF(D1919="","",IF(A1919="BL",IFERROR(INDEX(cl_name,MATCH(D1919,cl_code,0))&amp;"","Client inconnu"),IF(A1919="BR",IFERROR(INDEX(fo_name,MATCH(D1919,fo_code,0))&amp;"","Fournisseur inconnu"),IF(A1919="BS",IF(ISNA(MATCH(D1919,p_services,0)),"Service inconnu",D1919&amp;""),""))))</f>
        <v/>
      </c>
      <c r="F1919" s="58" t="n"/>
      <c r="G1919" s="58" t="n"/>
      <c r="H1919" s="59" t="n"/>
      <c r="I1919" s="57" t="str">
        <f>IF(H1919="","",IFERROR(INDEX(art_des,MATCH(H1919,art_ref,0))&amp;"","Article inconnu"))</f>
        <v/>
      </c>
      <c r="J1919" s="60" t="str">
        <f>IF(H1919="","",IFERROR(INDEX(art_unit,MATCH(H1919,art_ref,0))&amp;"",""))</f>
        <v/>
      </c>
      <c r="K1919" s="59" t="n"/>
      <c r="L1919" s="59" t="n"/>
      <c r="M1919" s="61" t="str">
        <f>IF(OR(B1919="",NOT(ISNUMBER(K1919)),NOT(ISNUMBER(L1919))),"",IF(OR(K1919&lt;=0,L1919&lt;=0),"",ROUND(L1919-K1919,6)))</f>
        <v/>
      </c>
      <c r="N1919" s="58" t="n"/>
      <c r="O1919" s="62" t="n"/>
      <c r="P1919" s="63" t="str">
        <f>IF(OR(B1919="",NOT(ISNUMBER(L1919))),"",IF(L1919&lt;=0,"",IFERROR(ROUND(L1919*N(INDEX(art_w,MATCH(H1919,art_ref,0))),3),"")))</f>
        <v/>
      </c>
      <c r="Q1919" s="59" t="n"/>
      <c r="R1919" s="54" t="n"/>
      <c r="S1919" s="59" t="n"/>
      <c r="T1919" s="59" t="n"/>
      <c r="U1919" s="64" t="str">
        <f>IF(OR(B1919="",H1919=""),"",IFERROR(IF(A1919="BL",IF(N(INDEX(art_price,MATCH(H1919,art_ref,0)))=0,"",N(INDEX(art_price,MATCH(H1919,art_ref,0)))),IF(N(INDEX(art_cost,MATCH(H1919,art_ref,0)))=0,"",N(INDEX(art_cost,MATCH(H1919,art_ref,0))))),""))</f>
        <v/>
      </c>
      <c r="V1919" s="64" t="str">
        <f>IF(OR(U1919="",NOT(ISNUMBER(L1919))),"",IF(L1919&lt;=0,"",ROUND(L1919*U1919,2)))</f>
        <v/>
      </c>
      <c r="W1919" s="60" t="str">
        <f>IF(AND(B1919&lt;&gt;"",A1919&lt;&gt;"BS",F1919&lt;&gt;"",H1919&lt;&gt;"",ISNUMBER(K1919),ISNUMBER(L1919)),IF(AND(K1919&gt;0,L1919&gt;0,K1919-L1919&gt;0,COUNTIFS(A1920:A$2005,A1919,F1920:F$2005,F1919,H1920:H$2005,H1919,AA1920:AA$2005,"&gt;0")=0),ROUND(K1919-L1919,6),""),"")</f>
        <v/>
      </c>
      <c r="X1919" s="60" t="str">
        <f>IF(AND(A1919="",C1919="",D1919="",H1919="",L1919=""),"",IF(A1919="","Type manquant",IF(AND(A1919&lt;&gt;"BL",A1919&lt;&gt;"BR",A1919&lt;&gt;"BS"),"Type inconnu (BL, BR ou BS)",IF(AG1919=0,"Date manquante ou invalide",IF(D1919="",IF(A1919="BL","Client manquant",IF(A1919="BR","Fournisseur manquant","Service manquant")),IF(IF(A1919="BL",ISNA(MATCH(D1919,cl_code,0)),IF(A1919="BR",ISNA(MATCH(D1919,fo_code,0)),ISNA(MATCH(D1919,p_services,0)))),IF(A1919="BL","Client inconnu",IF(A1919="BR","Fournisseur inconnu","Service inconnu")),IF(H1919="","Article manquant",IF(ISNA(MATCH(H1919,art_ref,0)),"Article inconnu",IF(OR(NOT(ISNUMBER(L1919)),N(L1919)&lt;=0),"Quantité invalide",IF(AND(K1919&lt;&gt;"",OR(NOT(ISNUMBER(K1919)),N(K1919)&lt;=0)),"Qté commandée invalide",IF(AG1919&lt;SUMPRODUCT(MAX((A$6:A1918=A1919)*AG$6:AG1918)),"Date antérieure au bon précédent",IF(AND(A1919&lt;&gt;"BR",ISNUMBER(M1919),N(M1919)&gt;0),IF(A1919="BL","Livré plus que commandé","Sorti plus que demandé"),"OK"))))))))))))</f>
        <v/>
      </c>
      <c r="Y1919" s="57" t="str">
        <f>IF(AND(OR(A1919="BL",A1919="BR",A1919="BS"),AG1919&gt;0,D1919&lt;&gt;""),A1919&amp;"|"&amp;AG1919&amp;"|"&amp;D1919&amp;"|"&amp;F1919,"")</f>
        <v/>
      </c>
      <c r="Z1919" s="57" t="str">
        <f>IF(Y1919="","",IF(COUNTIF(Y$6:Y1918,Y1919)=0,1,0))</f>
        <v/>
      </c>
      <c r="AA1919" s="57" t="str">
        <f>IF(Y1919="","",IF(Z1919=1,COUNTIFS(A$6:A1919,A1919,Z$6:Z1919,1),INDEX(AA$6:AA1918,MATCH(Y1919,Y$6:Y1918,0))))</f>
        <v/>
      </c>
      <c r="AB1919" s="57" t="str">
        <f>IF(B1919="","",COUNTIF(B$6:B1919,B1919))</f>
        <v/>
      </c>
      <c r="AC1919" s="57" t="str">
        <f>IF(B1919="","",B1919&amp;"#"&amp;AB1919)</f>
        <v/>
      </c>
      <c r="AD1919" s="57" t="str">
        <f>IF(Z1919=1,A1919&amp;AA1919,"")</f>
        <v/>
      </c>
      <c r="AE1919" s="57" t="str">
        <f>IF(B1919="","",YEAR(C1919))</f>
        <v/>
      </c>
      <c r="AF1919" s="57" t="str">
        <f>IF(B1919="","",MONTH(C1919))</f>
        <v/>
      </c>
      <c r="AG1919" s="57">
        <f>IF(ISNUMBER(C1919),C1919,0)</f>
        <v>0.0</v>
      </c>
      <c r="AH1919" s="57" t="str">
        <f>IF(N(W1919)&gt;0,COUNTIF(W$6:W1919,"&gt;0"),"")</f>
        <v/>
      </c>
      <c r="AI1919" s="57" t="str">
        <f>IF(Z1919=1,COUNTIF(Z$6:Z1919,1),"")</f>
        <v/>
      </c>
    </row>
    <row r="1920">
      <c r="A1920" s="54" t="n"/>
      <c r="B1920" s="55" t="str">
        <f>IF(AA1920="","",A1920&amp;"-"&amp;RIGHT("000"&amp;AA1920,4))</f>
        <v/>
      </c>
      <c r="C1920" s="56" t="n"/>
      <c r="D1920" s="54" t="n"/>
      <c r="E1920" s="57" t="str">
        <f>IF(D1920="","",IF(A1920="BL",IFERROR(INDEX(cl_name,MATCH(D1920,cl_code,0))&amp;"","Client inconnu"),IF(A1920="BR",IFERROR(INDEX(fo_name,MATCH(D1920,fo_code,0))&amp;"","Fournisseur inconnu"),IF(A1920="BS",IF(ISNA(MATCH(D1920,p_services,0)),"Service inconnu",D1920&amp;""),""))))</f>
        <v/>
      </c>
      <c r="F1920" s="58" t="n"/>
      <c r="G1920" s="58" t="n"/>
      <c r="H1920" s="59" t="n"/>
      <c r="I1920" s="57" t="str">
        <f>IF(H1920="","",IFERROR(INDEX(art_des,MATCH(H1920,art_ref,0))&amp;"","Article inconnu"))</f>
        <v/>
      </c>
      <c r="J1920" s="60" t="str">
        <f>IF(H1920="","",IFERROR(INDEX(art_unit,MATCH(H1920,art_ref,0))&amp;"",""))</f>
        <v/>
      </c>
      <c r="K1920" s="59" t="n"/>
      <c r="L1920" s="59" t="n"/>
      <c r="M1920" s="61" t="str">
        <f>IF(OR(B1920="",NOT(ISNUMBER(K1920)),NOT(ISNUMBER(L1920))),"",IF(OR(K1920&lt;=0,L1920&lt;=0),"",ROUND(L1920-K1920,6)))</f>
        <v/>
      </c>
      <c r="N1920" s="58" t="n"/>
      <c r="O1920" s="62" t="n"/>
      <c r="P1920" s="63" t="str">
        <f>IF(OR(B1920="",NOT(ISNUMBER(L1920))),"",IF(L1920&lt;=0,"",IFERROR(ROUND(L1920*N(INDEX(art_w,MATCH(H1920,art_ref,0))),3),"")))</f>
        <v/>
      </c>
      <c r="Q1920" s="59" t="n"/>
      <c r="R1920" s="54" t="n"/>
      <c r="S1920" s="59" t="n"/>
      <c r="T1920" s="59" t="n"/>
      <c r="U1920" s="64" t="str">
        <f>IF(OR(B1920="",H1920=""),"",IFERROR(IF(A1920="BL",IF(N(INDEX(art_price,MATCH(H1920,art_ref,0)))=0,"",N(INDEX(art_price,MATCH(H1920,art_ref,0)))),IF(N(INDEX(art_cost,MATCH(H1920,art_ref,0)))=0,"",N(INDEX(art_cost,MATCH(H1920,art_ref,0))))),""))</f>
        <v/>
      </c>
      <c r="V1920" s="64" t="str">
        <f>IF(OR(U1920="",NOT(ISNUMBER(L1920))),"",IF(L1920&lt;=0,"",ROUND(L1920*U1920,2)))</f>
        <v/>
      </c>
      <c r="W1920" s="60" t="str">
        <f>IF(AND(B1920&lt;&gt;"",A1920&lt;&gt;"BS",F1920&lt;&gt;"",H1920&lt;&gt;"",ISNUMBER(K1920),ISNUMBER(L1920)),IF(AND(K1920&gt;0,L1920&gt;0,K1920-L1920&gt;0,COUNTIFS(A1921:A$2005,A1920,F1921:F$2005,F1920,H1921:H$2005,H1920,AA1921:AA$2005,"&gt;0")=0),ROUND(K1920-L1920,6),""),"")</f>
        <v/>
      </c>
      <c r="X1920" s="60" t="str">
        <f>IF(AND(A1920="",C1920="",D1920="",H1920="",L1920=""),"",IF(A1920="","Type manquant",IF(AND(A1920&lt;&gt;"BL",A1920&lt;&gt;"BR",A1920&lt;&gt;"BS"),"Type inconnu (BL, BR ou BS)",IF(AG1920=0,"Date manquante ou invalide",IF(D1920="",IF(A1920="BL","Client manquant",IF(A1920="BR","Fournisseur manquant","Service manquant")),IF(IF(A1920="BL",ISNA(MATCH(D1920,cl_code,0)),IF(A1920="BR",ISNA(MATCH(D1920,fo_code,0)),ISNA(MATCH(D1920,p_services,0)))),IF(A1920="BL","Client inconnu",IF(A1920="BR","Fournisseur inconnu","Service inconnu")),IF(H1920="","Article manquant",IF(ISNA(MATCH(H1920,art_ref,0)),"Article inconnu",IF(OR(NOT(ISNUMBER(L1920)),N(L1920)&lt;=0),"Quantité invalide",IF(AND(K1920&lt;&gt;"",OR(NOT(ISNUMBER(K1920)),N(K1920)&lt;=0)),"Qté commandée invalide",IF(AG1920&lt;SUMPRODUCT(MAX((A$6:A1919=A1920)*AG$6:AG1919)),"Date antérieure au bon précédent",IF(AND(A1920&lt;&gt;"BR",ISNUMBER(M1920),N(M1920)&gt;0),IF(A1920="BL","Livré plus que commandé","Sorti plus que demandé"),"OK"))))))))))))</f>
        <v/>
      </c>
      <c r="Y1920" s="57" t="str">
        <f>IF(AND(OR(A1920="BL",A1920="BR",A1920="BS"),AG1920&gt;0,D1920&lt;&gt;""),A1920&amp;"|"&amp;AG1920&amp;"|"&amp;D1920&amp;"|"&amp;F1920,"")</f>
        <v/>
      </c>
      <c r="Z1920" s="57" t="str">
        <f>IF(Y1920="","",IF(COUNTIF(Y$6:Y1919,Y1920)=0,1,0))</f>
        <v/>
      </c>
      <c r="AA1920" s="57" t="str">
        <f>IF(Y1920="","",IF(Z1920=1,COUNTIFS(A$6:A1920,A1920,Z$6:Z1920,1),INDEX(AA$6:AA1919,MATCH(Y1920,Y$6:Y1919,0))))</f>
        <v/>
      </c>
      <c r="AB1920" s="57" t="str">
        <f>IF(B1920="","",COUNTIF(B$6:B1920,B1920))</f>
        <v/>
      </c>
      <c r="AC1920" s="57" t="str">
        <f>IF(B1920="","",B1920&amp;"#"&amp;AB1920)</f>
        <v/>
      </c>
      <c r="AD1920" s="57" t="str">
        <f>IF(Z1920=1,A1920&amp;AA1920,"")</f>
        <v/>
      </c>
      <c r="AE1920" s="57" t="str">
        <f>IF(B1920="","",YEAR(C1920))</f>
        <v/>
      </c>
      <c r="AF1920" s="57" t="str">
        <f>IF(B1920="","",MONTH(C1920))</f>
        <v/>
      </c>
      <c r="AG1920" s="57">
        <f>IF(ISNUMBER(C1920),C1920,0)</f>
        <v>0.0</v>
      </c>
      <c r="AH1920" s="57" t="str">
        <f>IF(N(W1920)&gt;0,COUNTIF(W$6:W1920,"&gt;0"),"")</f>
        <v/>
      </c>
      <c r="AI1920" s="57" t="str">
        <f>IF(Z1920=1,COUNTIF(Z$6:Z1920,1),"")</f>
        <v/>
      </c>
    </row>
    <row r="1921">
      <c r="A1921" s="54" t="n"/>
      <c r="B1921" s="55" t="str">
        <f>IF(AA1921="","",A1921&amp;"-"&amp;RIGHT("000"&amp;AA1921,4))</f>
        <v/>
      </c>
      <c r="C1921" s="56" t="n"/>
      <c r="D1921" s="54" t="n"/>
      <c r="E1921" s="57" t="str">
        <f>IF(D1921="","",IF(A1921="BL",IFERROR(INDEX(cl_name,MATCH(D1921,cl_code,0))&amp;"","Client inconnu"),IF(A1921="BR",IFERROR(INDEX(fo_name,MATCH(D1921,fo_code,0))&amp;"","Fournisseur inconnu"),IF(A1921="BS",IF(ISNA(MATCH(D1921,p_services,0)),"Service inconnu",D1921&amp;""),""))))</f>
        <v/>
      </c>
      <c r="F1921" s="58" t="n"/>
      <c r="G1921" s="58" t="n"/>
      <c r="H1921" s="59" t="n"/>
      <c r="I1921" s="57" t="str">
        <f>IF(H1921="","",IFERROR(INDEX(art_des,MATCH(H1921,art_ref,0))&amp;"","Article inconnu"))</f>
        <v/>
      </c>
      <c r="J1921" s="60" t="str">
        <f>IF(H1921="","",IFERROR(INDEX(art_unit,MATCH(H1921,art_ref,0))&amp;"",""))</f>
        <v/>
      </c>
      <c r="K1921" s="59" t="n"/>
      <c r="L1921" s="59" t="n"/>
      <c r="M1921" s="61" t="str">
        <f>IF(OR(B1921="",NOT(ISNUMBER(K1921)),NOT(ISNUMBER(L1921))),"",IF(OR(K1921&lt;=0,L1921&lt;=0),"",ROUND(L1921-K1921,6)))</f>
        <v/>
      </c>
      <c r="N1921" s="58" t="n"/>
      <c r="O1921" s="62" t="n"/>
      <c r="P1921" s="63" t="str">
        <f>IF(OR(B1921="",NOT(ISNUMBER(L1921))),"",IF(L1921&lt;=0,"",IFERROR(ROUND(L1921*N(INDEX(art_w,MATCH(H1921,art_ref,0))),3),"")))</f>
        <v/>
      </c>
      <c r="Q1921" s="59" t="n"/>
      <c r="R1921" s="54" t="n"/>
      <c r="S1921" s="59" t="n"/>
      <c r="T1921" s="59" t="n"/>
      <c r="U1921" s="64" t="str">
        <f>IF(OR(B1921="",H1921=""),"",IFERROR(IF(A1921="BL",IF(N(INDEX(art_price,MATCH(H1921,art_ref,0)))=0,"",N(INDEX(art_price,MATCH(H1921,art_ref,0)))),IF(N(INDEX(art_cost,MATCH(H1921,art_ref,0)))=0,"",N(INDEX(art_cost,MATCH(H1921,art_ref,0))))),""))</f>
        <v/>
      </c>
      <c r="V1921" s="64" t="str">
        <f>IF(OR(U1921="",NOT(ISNUMBER(L1921))),"",IF(L1921&lt;=0,"",ROUND(L1921*U1921,2)))</f>
        <v/>
      </c>
      <c r="W1921" s="60" t="str">
        <f>IF(AND(B1921&lt;&gt;"",A1921&lt;&gt;"BS",F1921&lt;&gt;"",H1921&lt;&gt;"",ISNUMBER(K1921),ISNUMBER(L1921)),IF(AND(K1921&gt;0,L1921&gt;0,K1921-L1921&gt;0,COUNTIFS(A1922:A$2005,A1921,F1922:F$2005,F1921,H1922:H$2005,H1921,AA1922:AA$2005,"&gt;0")=0),ROUND(K1921-L1921,6),""),"")</f>
        <v/>
      </c>
      <c r="X1921" s="60" t="str">
        <f>IF(AND(A1921="",C1921="",D1921="",H1921="",L1921=""),"",IF(A1921="","Type manquant",IF(AND(A1921&lt;&gt;"BL",A1921&lt;&gt;"BR",A1921&lt;&gt;"BS"),"Type inconnu (BL, BR ou BS)",IF(AG1921=0,"Date manquante ou invalide",IF(D1921="",IF(A1921="BL","Client manquant",IF(A1921="BR","Fournisseur manquant","Service manquant")),IF(IF(A1921="BL",ISNA(MATCH(D1921,cl_code,0)),IF(A1921="BR",ISNA(MATCH(D1921,fo_code,0)),ISNA(MATCH(D1921,p_services,0)))),IF(A1921="BL","Client inconnu",IF(A1921="BR","Fournisseur inconnu","Service inconnu")),IF(H1921="","Article manquant",IF(ISNA(MATCH(H1921,art_ref,0)),"Article inconnu",IF(OR(NOT(ISNUMBER(L1921)),N(L1921)&lt;=0),"Quantité invalide",IF(AND(K1921&lt;&gt;"",OR(NOT(ISNUMBER(K1921)),N(K1921)&lt;=0)),"Qté commandée invalide",IF(AG1921&lt;SUMPRODUCT(MAX((A$6:A1920=A1921)*AG$6:AG1920)),"Date antérieure au bon précédent",IF(AND(A1921&lt;&gt;"BR",ISNUMBER(M1921),N(M1921)&gt;0),IF(A1921="BL","Livré plus que commandé","Sorti plus que demandé"),"OK"))))))))))))</f>
        <v/>
      </c>
      <c r="Y1921" s="57" t="str">
        <f>IF(AND(OR(A1921="BL",A1921="BR",A1921="BS"),AG1921&gt;0,D1921&lt;&gt;""),A1921&amp;"|"&amp;AG1921&amp;"|"&amp;D1921&amp;"|"&amp;F1921,"")</f>
        <v/>
      </c>
      <c r="Z1921" s="57" t="str">
        <f>IF(Y1921="","",IF(COUNTIF(Y$6:Y1920,Y1921)=0,1,0))</f>
        <v/>
      </c>
      <c r="AA1921" s="57" t="str">
        <f>IF(Y1921="","",IF(Z1921=1,COUNTIFS(A$6:A1921,A1921,Z$6:Z1921,1),INDEX(AA$6:AA1920,MATCH(Y1921,Y$6:Y1920,0))))</f>
        <v/>
      </c>
      <c r="AB1921" s="57" t="str">
        <f>IF(B1921="","",COUNTIF(B$6:B1921,B1921))</f>
        <v/>
      </c>
      <c r="AC1921" s="57" t="str">
        <f>IF(B1921="","",B1921&amp;"#"&amp;AB1921)</f>
        <v/>
      </c>
      <c r="AD1921" s="57" t="str">
        <f>IF(Z1921=1,A1921&amp;AA1921,"")</f>
        <v/>
      </c>
      <c r="AE1921" s="57" t="str">
        <f>IF(B1921="","",YEAR(C1921))</f>
        <v/>
      </c>
      <c r="AF1921" s="57" t="str">
        <f>IF(B1921="","",MONTH(C1921))</f>
        <v/>
      </c>
      <c r="AG1921" s="57">
        <f>IF(ISNUMBER(C1921),C1921,0)</f>
        <v>0.0</v>
      </c>
      <c r="AH1921" s="57" t="str">
        <f>IF(N(W1921)&gt;0,COUNTIF(W$6:W1921,"&gt;0"),"")</f>
        <v/>
      </c>
      <c r="AI1921" s="57" t="str">
        <f>IF(Z1921=1,COUNTIF(Z$6:Z1921,1),"")</f>
        <v/>
      </c>
    </row>
    <row r="1922">
      <c r="A1922" s="54" t="n"/>
      <c r="B1922" s="55" t="str">
        <f>IF(AA1922="","",A1922&amp;"-"&amp;RIGHT("000"&amp;AA1922,4))</f>
        <v/>
      </c>
      <c r="C1922" s="56" t="n"/>
      <c r="D1922" s="54" t="n"/>
      <c r="E1922" s="57" t="str">
        <f>IF(D1922="","",IF(A1922="BL",IFERROR(INDEX(cl_name,MATCH(D1922,cl_code,0))&amp;"","Client inconnu"),IF(A1922="BR",IFERROR(INDEX(fo_name,MATCH(D1922,fo_code,0))&amp;"","Fournisseur inconnu"),IF(A1922="BS",IF(ISNA(MATCH(D1922,p_services,0)),"Service inconnu",D1922&amp;""),""))))</f>
        <v/>
      </c>
      <c r="F1922" s="58" t="n"/>
      <c r="G1922" s="58" t="n"/>
      <c r="H1922" s="59" t="n"/>
      <c r="I1922" s="57" t="str">
        <f>IF(H1922="","",IFERROR(INDEX(art_des,MATCH(H1922,art_ref,0))&amp;"","Article inconnu"))</f>
        <v/>
      </c>
      <c r="J1922" s="60" t="str">
        <f>IF(H1922="","",IFERROR(INDEX(art_unit,MATCH(H1922,art_ref,0))&amp;"",""))</f>
        <v/>
      </c>
      <c r="K1922" s="59" t="n"/>
      <c r="L1922" s="59" t="n"/>
      <c r="M1922" s="61" t="str">
        <f>IF(OR(B1922="",NOT(ISNUMBER(K1922)),NOT(ISNUMBER(L1922))),"",IF(OR(K1922&lt;=0,L1922&lt;=0),"",ROUND(L1922-K1922,6)))</f>
        <v/>
      </c>
      <c r="N1922" s="58" t="n"/>
      <c r="O1922" s="62" t="n"/>
      <c r="P1922" s="63" t="str">
        <f>IF(OR(B1922="",NOT(ISNUMBER(L1922))),"",IF(L1922&lt;=0,"",IFERROR(ROUND(L1922*N(INDEX(art_w,MATCH(H1922,art_ref,0))),3),"")))</f>
        <v/>
      </c>
      <c r="Q1922" s="59" t="n"/>
      <c r="R1922" s="54" t="n"/>
      <c r="S1922" s="59" t="n"/>
      <c r="T1922" s="59" t="n"/>
      <c r="U1922" s="64" t="str">
        <f>IF(OR(B1922="",H1922=""),"",IFERROR(IF(A1922="BL",IF(N(INDEX(art_price,MATCH(H1922,art_ref,0)))=0,"",N(INDEX(art_price,MATCH(H1922,art_ref,0)))),IF(N(INDEX(art_cost,MATCH(H1922,art_ref,0)))=0,"",N(INDEX(art_cost,MATCH(H1922,art_ref,0))))),""))</f>
        <v/>
      </c>
      <c r="V1922" s="64" t="str">
        <f>IF(OR(U1922="",NOT(ISNUMBER(L1922))),"",IF(L1922&lt;=0,"",ROUND(L1922*U1922,2)))</f>
        <v/>
      </c>
      <c r="W1922" s="60" t="str">
        <f>IF(AND(B1922&lt;&gt;"",A1922&lt;&gt;"BS",F1922&lt;&gt;"",H1922&lt;&gt;"",ISNUMBER(K1922),ISNUMBER(L1922)),IF(AND(K1922&gt;0,L1922&gt;0,K1922-L1922&gt;0,COUNTIFS(A1923:A$2005,A1922,F1923:F$2005,F1922,H1923:H$2005,H1922,AA1923:AA$2005,"&gt;0")=0),ROUND(K1922-L1922,6),""),"")</f>
        <v/>
      </c>
      <c r="X1922" s="60" t="str">
        <f>IF(AND(A1922="",C1922="",D1922="",H1922="",L1922=""),"",IF(A1922="","Type manquant",IF(AND(A1922&lt;&gt;"BL",A1922&lt;&gt;"BR",A1922&lt;&gt;"BS"),"Type inconnu (BL, BR ou BS)",IF(AG1922=0,"Date manquante ou invalide",IF(D1922="",IF(A1922="BL","Client manquant",IF(A1922="BR","Fournisseur manquant","Service manquant")),IF(IF(A1922="BL",ISNA(MATCH(D1922,cl_code,0)),IF(A1922="BR",ISNA(MATCH(D1922,fo_code,0)),ISNA(MATCH(D1922,p_services,0)))),IF(A1922="BL","Client inconnu",IF(A1922="BR","Fournisseur inconnu","Service inconnu")),IF(H1922="","Article manquant",IF(ISNA(MATCH(H1922,art_ref,0)),"Article inconnu",IF(OR(NOT(ISNUMBER(L1922)),N(L1922)&lt;=0),"Quantité invalide",IF(AND(K1922&lt;&gt;"",OR(NOT(ISNUMBER(K1922)),N(K1922)&lt;=0)),"Qté commandée invalide",IF(AG1922&lt;SUMPRODUCT(MAX((A$6:A1921=A1922)*AG$6:AG1921)),"Date antérieure au bon précédent",IF(AND(A1922&lt;&gt;"BR",ISNUMBER(M1922),N(M1922)&gt;0),IF(A1922="BL","Livré plus que commandé","Sorti plus que demandé"),"OK"))))))))))))</f>
        <v/>
      </c>
      <c r="Y1922" s="57" t="str">
        <f>IF(AND(OR(A1922="BL",A1922="BR",A1922="BS"),AG1922&gt;0,D1922&lt;&gt;""),A1922&amp;"|"&amp;AG1922&amp;"|"&amp;D1922&amp;"|"&amp;F1922,"")</f>
        <v/>
      </c>
      <c r="Z1922" s="57" t="str">
        <f>IF(Y1922="","",IF(COUNTIF(Y$6:Y1921,Y1922)=0,1,0))</f>
        <v/>
      </c>
      <c r="AA1922" s="57" t="str">
        <f>IF(Y1922="","",IF(Z1922=1,COUNTIFS(A$6:A1922,A1922,Z$6:Z1922,1),INDEX(AA$6:AA1921,MATCH(Y1922,Y$6:Y1921,0))))</f>
        <v/>
      </c>
      <c r="AB1922" s="57" t="str">
        <f>IF(B1922="","",COUNTIF(B$6:B1922,B1922))</f>
        <v/>
      </c>
      <c r="AC1922" s="57" t="str">
        <f>IF(B1922="","",B1922&amp;"#"&amp;AB1922)</f>
        <v/>
      </c>
      <c r="AD1922" s="57" t="str">
        <f>IF(Z1922=1,A1922&amp;AA1922,"")</f>
        <v/>
      </c>
      <c r="AE1922" s="57" t="str">
        <f>IF(B1922="","",YEAR(C1922))</f>
        <v/>
      </c>
      <c r="AF1922" s="57" t="str">
        <f>IF(B1922="","",MONTH(C1922))</f>
        <v/>
      </c>
      <c r="AG1922" s="57">
        <f>IF(ISNUMBER(C1922),C1922,0)</f>
        <v>0.0</v>
      </c>
      <c r="AH1922" s="57" t="str">
        <f>IF(N(W1922)&gt;0,COUNTIF(W$6:W1922,"&gt;0"),"")</f>
        <v/>
      </c>
      <c r="AI1922" s="57" t="str">
        <f>IF(Z1922=1,COUNTIF(Z$6:Z1922,1),"")</f>
        <v/>
      </c>
    </row>
    <row r="1923">
      <c r="A1923" s="54" t="n"/>
      <c r="B1923" s="55" t="str">
        <f>IF(AA1923="","",A1923&amp;"-"&amp;RIGHT("000"&amp;AA1923,4))</f>
        <v/>
      </c>
      <c r="C1923" s="56" t="n"/>
      <c r="D1923" s="54" t="n"/>
      <c r="E1923" s="57" t="str">
        <f>IF(D1923="","",IF(A1923="BL",IFERROR(INDEX(cl_name,MATCH(D1923,cl_code,0))&amp;"","Client inconnu"),IF(A1923="BR",IFERROR(INDEX(fo_name,MATCH(D1923,fo_code,0))&amp;"","Fournisseur inconnu"),IF(A1923="BS",IF(ISNA(MATCH(D1923,p_services,0)),"Service inconnu",D1923&amp;""),""))))</f>
        <v/>
      </c>
      <c r="F1923" s="58" t="n"/>
      <c r="G1923" s="58" t="n"/>
      <c r="H1923" s="59" t="n"/>
      <c r="I1923" s="57" t="str">
        <f>IF(H1923="","",IFERROR(INDEX(art_des,MATCH(H1923,art_ref,0))&amp;"","Article inconnu"))</f>
        <v/>
      </c>
      <c r="J1923" s="60" t="str">
        <f>IF(H1923="","",IFERROR(INDEX(art_unit,MATCH(H1923,art_ref,0))&amp;"",""))</f>
        <v/>
      </c>
      <c r="K1923" s="59" t="n"/>
      <c r="L1923" s="59" t="n"/>
      <c r="M1923" s="61" t="str">
        <f>IF(OR(B1923="",NOT(ISNUMBER(K1923)),NOT(ISNUMBER(L1923))),"",IF(OR(K1923&lt;=0,L1923&lt;=0),"",ROUND(L1923-K1923,6)))</f>
        <v/>
      </c>
      <c r="N1923" s="58" t="n"/>
      <c r="O1923" s="62" t="n"/>
      <c r="P1923" s="63" t="str">
        <f>IF(OR(B1923="",NOT(ISNUMBER(L1923))),"",IF(L1923&lt;=0,"",IFERROR(ROUND(L1923*N(INDEX(art_w,MATCH(H1923,art_ref,0))),3),"")))</f>
        <v/>
      </c>
      <c r="Q1923" s="59" t="n"/>
      <c r="R1923" s="54" t="n"/>
      <c r="S1923" s="59" t="n"/>
      <c r="T1923" s="59" t="n"/>
      <c r="U1923" s="64" t="str">
        <f>IF(OR(B1923="",H1923=""),"",IFERROR(IF(A1923="BL",IF(N(INDEX(art_price,MATCH(H1923,art_ref,0)))=0,"",N(INDEX(art_price,MATCH(H1923,art_ref,0)))),IF(N(INDEX(art_cost,MATCH(H1923,art_ref,0)))=0,"",N(INDEX(art_cost,MATCH(H1923,art_ref,0))))),""))</f>
        <v/>
      </c>
      <c r="V1923" s="64" t="str">
        <f>IF(OR(U1923="",NOT(ISNUMBER(L1923))),"",IF(L1923&lt;=0,"",ROUND(L1923*U1923,2)))</f>
        <v/>
      </c>
      <c r="W1923" s="60" t="str">
        <f>IF(AND(B1923&lt;&gt;"",A1923&lt;&gt;"BS",F1923&lt;&gt;"",H1923&lt;&gt;"",ISNUMBER(K1923),ISNUMBER(L1923)),IF(AND(K1923&gt;0,L1923&gt;0,K1923-L1923&gt;0,COUNTIFS(A1924:A$2005,A1923,F1924:F$2005,F1923,H1924:H$2005,H1923,AA1924:AA$2005,"&gt;0")=0),ROUND(K1923-L1923,6),""),"")</f>
        <v/>
      </c>
      <c r="X1923" s="60" t="str">
        <f>IF(AND(A1923="",C1923="",D1923="",H1923="",L1923=""),"",IF(A1923="","Type manquant",IF(AND(A1923&lt;&gt;"BL",A1923&lt;&gt;"BR",A1923&lt;&gt;"BS"),"Type inconnu (BL, BR ou BS)",IF(AG1923=0,"Date manquante ou invalide",IF(D1923="",IF(A1923="BL","Client manquant",IF(A1923="BR","Fournisseur manquant","Service manquant")),IF(IF(A1923="BL",ISNA(MATCH(D1923,cl_code,0)),IF(A1923="BR",ISNA(MATCH(D1923,fo_code,0)),ISNA(MATCH(D1923,p_services,0)))),IF(A1923="BL","Client inconnu",IF(A1923="BR","Fournisseur inconnu","Service inconnu")),IF(H1923="","Article manquant",IF(ISNA(MATCH(H1923,art_ref,0)),"Article inconnu",IF(OR(NOT(ISNUMBER(L1923)),N(L1923)&lt;=0),"Quantité invalide",IF(AND(K1923&lt;&gt;"",OR(NOT(ISNUMBER(K1923)),N(K1923)&lt;=0)),"Qté commandée invalide",IF(AG1923&lt;SUMPRODUCT(MAX((A$6:A1922=A1923)*AG$6:AG1922)),"Date antérieure au bon précédent",IF(AND(A1923&lt;&gt;"BR",ISNUMBER(M1923),N(M1923)&gt;0),IF(A1923="BL","Livré plus que commandé","Sorti plus que demandé"),"OK"))))))))))))</f>
        <v/>
      </c>
      <c r="Y1923" s="57" t="str">
        <f>IF(AND(OR(A1923="BL",A1923="BR",A1923="BS"),AG1923&gt;0,D1923&lt;&gt;""),A1923&amp;"|"&amp;AG1923&amp;"|"&amp;D1923&amp;"|"&amp;F1923,"")</f>
        <v/>
      </c>
      <c r="Z1923" s="57" t="str">
        <f>IF(Y1923="","",IF(COUNTIF(Y$6:Y1922,Y1923)=0,1,0))</f>
        <v/>
      </c>
      <c r="AA1923" s="57" t="str">
        <f>IF(Y1923="","",IF(Z1923=1,COUNTIFS(A$6:A1923,A1923,Z$6:Z1923,1),INDEX(AA$6:AA1922,MATCH(Y1923,Y$6:Y1922,0))))</f>
        <v/>
      </c>
      <c r="AB1923" s="57" t="str">
        <f>IF(B1923="","",COUNTIF(B$6:B1923,B1923))</f>
        <v/>
      </c>
      <c r="AC1923" s="57" t="str">
        <f>IF(B1923="","",B1923&amp;"#"&amp;AB1923)</f>
        <v/>
      </c>
      <c r="AD1923" s="57" t="str">
        <f>IF(Z1923=1,A1923&amp;AA1923,"")</f>
        <v/>
      </c>
      <c r="AE1923" s="57" t="str">
        <f>IF(B1923="","",YEAR(C1923))</f>
        <v/>
      </c>
      <c r="AF1923" s="57" t="str">
        <f>IF(B1923="","",MONTH(C1923))</f>
        <v/>
      </c>
      <c r="AG1923" s="57">
        <f>IF(ISNUMBER(C1923),C1923,0)</f>
        <v>0.0</v>
      </c>
      <c r="AH1923" s="57" t="str">
        <f>IF(N(W1923)&gt;0,COUNTIF(W$6:W1923,"&gt;0"),"")</f>
        <v/>
      </c>
      <c r="AI1923" s="57" t="str">
        <f>IF(Z1923=1,COUNTIF(Z$6:Z1923,1),"")</f>
        <v/>
      </c>
    </row>
    <row r="1924">
      <c r="A1924" s="54" t="n"/>
      <c r="B1924" s="55" t="str">
        <f>IF(AA1924="","",A1924&amp;"-"&amp;RIGHT("000"&amp;AA1924,4))</f>
        <v/>
      </c>
      <c r="C1924" s="56" t="n"/>
      <c r="D1924" s="54" t="n"/>
      <c r="E1924" s="57" t="str">
        <f>IF(D1924="","",IF(A1924="BL",IFERROR(INDEX(cl_name,MATCH(D1924,cl_code,0))&amp;"","Client inconnu"),IF(A1924="BR",IFERROR(INDEX(fo_name,MATCH(D1924,fo_code,0))&amp;"","Fournisseur inconnu"),IF(A1924="BS",IF(ISNA(MATCH(D1924,p_services,0)),"Service inconnu",D1924&amp;""),""))))</f>
        <v/>
      </c>
      <c r="F1924" s="58" t="n"/>
      <c r="G1924" s="58" t="n"/>
      <c r="H1924" s="59" t="n"/>
      <c r="I1924" s="57" t="str">
        <f>IF(H1924="","",IFERROR(INDEX(art_des,MATCH(H1924,art_ref,0))&amp;"","Article inconnu"))</f>
        <v/>
      </c>
      <c r="J1924" s="60" t="str">
        <f>IF(H1924="","",IFERROR(INDEX(art_unit,MATCH(H1924,art_ref,0))&amp;"",""))</f>
        <v/>
      </c>
      <c r="K1924" s="59" t="n"/>
      <c r="L1924" s="59" t="n"/>
      <c r="M1924" s="61" t="str">
        <f>IF(OR(B1924="",NOT(ISNUMBER(K1924)),NOT(ISNUMBER(L1924))),"",IF(OR(K1924&lt;=0,L1924&lt;=0),"",ROUND(L1924-K1924,6)))</f>
        <v/>
      </c>
      <c r="N1924" s="58" t="n"/>
      <c r="O1924" s="62" t="n"/>
      <c r="P1924" s="63" t="str">
        <f>IF(OR(B1924="",NOT(ISNUMBER(L1924))),"",IF(L1924&lt;=0,"",IFERROR(ROUND(L1924*N(INDEX(art_w,MATCH(H1924,art_ref,0))),3),"")))</f>
        <v/>
      </c>
      <c r="Q1924" s="59" t="n"/>
      <c r="R1924" s="54" t="n"/>
      <c r="S1924" s="59" t="n"/>
      <c r="T1924" s="59" t="n"/>
      <c r="U1924" s="64" t="str">
        <f>IF(OR(B1924="",H1924=""),"",IFERROR(IF(A1924="BL",IF(N(INDEX(art_price,MATCH(H1924,art_ref,0)))=0,"",N(INDEX(art_price,MATCH(H1924,art_ref,0)))),IF(N(INDEX(art_cost,MATCH(H1924,art_ref,0)))=0,"",N(INDEX(art_cost,MATCH(H1924,art_ref,0))))),""))</f>
        <v/>
      </c>
      <c r="V1924" s="64" t="str">
        <f>IF(OR(U1924="",NOT(ISNUMBER(L1924))),"",IF(L1924&lt;=0,"",ROUND(L1924*U1924,2)))</f>
        <v/>
      </c>
      <c r="W1924" s="60" t="str">
        <f>IF(AND(B1924&lt;&gt;"",A1924&lt;&gt;"BS",F1924&lt;&gt;"",H1924&lt;&gt;"",ISNUMBER(K1924),ISNUMBER(L1924)),IF(AND(K1924&gt;0,L1924&gt;0,K1924-L1924&gt;0,COUNTIFS(A1925:A$2005,A1924,F1925:F$2005,F1924,H1925:H$2005,H1924,AA1925:AA$2005,"&gt;0")=0),ROUND(K1924-L1924,6),""),"")</f>
        <v/>
      </c>
      <c r="X1924" s="60" t="str">
        <f>IF(AND(A1924="",C1924="",D1924="",H1924="",L1924=""),"",IF(A1924="","Type manquant",IF(AND(A1924&lt;&gt;"BL",A1924&lt;&gt;"BR",A1924&lt;&gt;"BS"),"Type inconnu (BL, BR ou BS)",IF(AG1924=0,"Date manquante ou invalide",IF(D1924="",IF(A1924="BL","Client manquant",IF(A1924="BR","Fournisseur manquant","Service manquant")),IF(IF(A1924="BL",ISNA(MATCH(D1924,cl_code,0)),IF(A1924="BR",ISNA(MATCH(D1924,fo_code,0)),ISNA(MATCH(D1924,p_services,0)))),IF(A1924="BL","Client inconnu",IF(A1924="BR","Fournisseur inconnu","Service inconnu")),IF(H1924="","Article manquant",IF(ISNA(MATCH(H1924,art_ref,0)),"Article inconnu",IF(OR(NOT(ISNUMBER(L1924)),N(L1924)&lt;=0),"Quantité invalide",IF(AND(K1924&lt;&gt;"",OR(NOT(ISNUMBER(K1924)),N(K1924)&lt;=0)),"Qté commandée invalide",IF(AG1924&lt;SUMPRODUCT(MAX((A$6:A1923=A1924)*AG$6:AG1923)),"Date antérieure au bon précédent",IF(AND(A1924&lt;&gt;"BR",ISNUMBER(M1924),N(M1924)&gt;0),IF(A1924="BL","Livré plus que commandé","Sorti plus que demandé"),"OK"))))))))))))</f>
        <v/>
      </c>
      <c r="Y1924" s="57" t="str">
        <f>IF(AND(OR(A1924="BL",A1924="BR",A1924="BS"),AG1924&gt;0,D1924&lt;&gt;""),A1924&amp;"|"&amp;AG1924&amp;"|"&amp;D1924&amp;"|"&amp;F1924,"")</f>
        <v/>
      </c>
      <c r="Z1924" s="57" t="str">
        <f>IF(Y1924="","",IF(COUNTIF(Y$6:Y1923,Y1924)=0,1,0))</f>
        <v/>
      </c>
      <c r="AA1924" s="57" t="str">
        <f>IF(Y1924="","",IF(Z1924=1,COUNTIFS(A$6:A1924,A1924,Z$6:Z1924,1),INDEX(AA$6:AA1923,MATCH(Y1924,Y$6:Y1923,0))))</f>
        <v/>
      </c>
      <c r="AB1924" s="57" t="str">
        <f>IF(B1924="","",COUNTIF(B$6:B1924,B1924))</f>
        <v/>
      </c>
      <c r="AC1924" s="57" t="str">
        <f>IF(B1924="","",B1924&amp;"#"&amp;AB1924)</f>
        <v/>
      </c>
      <c r="AD1924" s="57" t="str">
        <f>IF(Z1924=1,A1924&amp;AA1924,"")</f>
        <v/>
      </c>
      <c r="AE1924" s="57" t="str">
        <f>IF(B1924="","",YEAR(C1924))</f>
        <v/>
      </c>
      <c r="AF1924" s="57" t="str">
        <f>IF(B1924="","",MONTH(C1924))</f>
        <v/>
      </c>
      <c r="AG1924" s="57">
        <f>IF(ISNUMBER(C1924),C1924,0)</f>
        <v>0.0</v>
      </c>
      <c r="AH1924" s="57" t="str">
        <f>IF(N(W1924)&gt;0,COUNTIF(W$6:W1924,"&gt;0"),"")</f>
        <v/>
      </c>
      <c r="AI1924" s="57" t="str">
        <f>IF(Z1924=1,COUNTIF(Z$6:Z1924,1),"")</f>
        <v/>
      </c>
    </row>
    <row r="1925">
      <c r="A1925" s="54" t="n"/>
      <c r="B1925" s="55" t="str">
        <f>IF(AA1925="","",A1925&amp;"-"&amp;RIGHT("000"&amp;AA1925,4))</f>
        <v/>
      </c>
      <c r="C1925" s="56" t="n"/>
      <c r="D1925" s="54" t="n"/>
      <c r="E1925" s="57" t="str">
        <f>IF(D1925="","",IF(A1925="BL",IFERROR(INDEX(cl_name,MATCH(D1925,cl_code,0))&amp;"","Client inconnu"),IF(A1925="BR",IFERROR(INDEX(fo_name,MATCH(D1925,fo_code,0))&amp;"","Fournisseur inconnu"),IF(A1925="BS",IF(ISNA(MATCH(D1925,p_services,0)),"Service inconnu",D1925&amp;""),""))))</f>
        <v/>
      </c>
      <c r="F1925" s="58" t="n"/>
      <c r="G1925" s="58" t="n"/>
      <c r="H1925" s="59" t="n"/>
      <c r="I1925" s="57" t="str">
        <f>IF(H1925="","",IFERROR(INDEX(art_des,MATCH(H1925,art_ref,0))&amp;"","Article inconnu"))</f>
        <v/>
      </c>
      <c r="J1925" s="60" t="str">
        <f>IF(H1925="","",IFERROR(INDEX(art_unit,MATCH(H1925,art_ref,0))&amp;"",""))</f>
        <v/>
      </c>
      <c r="K1925" s="59" t="n"/>
      <c r="L1925" s="59" t="n"/>
      <c r="M1925" s="61" t="str">
        <f>IF(OR(B1925="",NOT(ISNUMBER(K1925)),NOT(ISNUMBER(L1925))),"",IF(OR(K1925&lt;=0,L1925&lt;=0),"",ROUND(L1925-K1925,6)))</f>
        <v/>
      </c>
      <c r="N1925" s="58" t="n"/>
      <c r="O1925" s="62" t="n"/>
      <c r="P1925" s="63" t="str">
        <f>IF(OR(B1925="",NOT(ISNUMBER(L1925))),"",IF(L1925&lt;=0,"",IFERROR(ROUND(L1925*N(INDEX(art_w,MATCH(H1925,art_ref,0))),3),"")))</f>
        <v/>
      </c>
      <c r="Q1925" s="59" t="n"/>
      <c r="R1925" s="54" t="n"/>
      <c r="S1925" s="59" t="n"/>
      <c r="T1925" s="59" t="n"/>
      <c r="U1925" s="64" t="str">
        <f>IF(OR(B1925="",H1925=""),"",IFERROR(IF(A1925="BL",IF(N(INDEX(art_price,MATCH(H1925,art_ref,0)))=0,"",N(INDEX(art_price,MATCH(H1925,art_ref,0)))),IF(N(INDEX(art_cost,MATCH(H1925,art_ref,0)))=0,"",N(INDEX(art_cost,MATCH(H1925,art_ref,0))))),""))</f>
        <v/>
      </c>
      <c r="V1925" s="64" t="str">
        <f>IF(OR(U1925="",NOT(ISNUMBER(L1925))),"",IF(L1925&lt;=0,"",ROUND(L1925*U1925,2)))</f>
        <v/>
      </c>
      <c r="W1925" s="60" t="str">
        <f>IF(AND(B1925&lt;&gt;"",A1925&lt;&gt;"BS",F1925&lt;&gt;"",H1925&lt;&gt;"",ISNUMBER(K1925),ISNUMBER(L1925)),IF(AND(K1925&gt;0,L1925&gt;0,K1925-L1925&gt;0,COUNTIFS(A1926:A$2005,A1925,F1926:F$2005,F1925,H1926:H$2005,H1925,AA1926:AA$2005,"&gt;0")=0),ROUND(K1925-L1925,6),""),"")</f>
        <v/>
      </c>
      <c r="X1925" s="60" t="str">
        <f>IF(AND(A1925="",C1925="",D1925="",H1925="",L1925=""),"",IF(A1925="","Type manquant",IF(AND(A1925&lt;&gt;"BL",A1925&lt;&gt;"BR",A1925&lt;&gt;"BS"),"Type inconnu (BL, BR ou BS)",IF(AG1925=0,"Date manquante ou invalide",IF(D1925="",IF(A1925="BL","Client manquant",IF(A1925="BR","Fournisseur manquant","Service manquant")),IF(IF(A1925="BL",ISNA(MATCH(D1925,cl_code,0)),IF(A1925="BR",ISNA(MATCH(D1925,fo_code,0)),ISNA(MATCH(D1925,p_services,0)))),IF(A1925="BL","Client inconnu",IF(A1925="BR","Fournisseur inconnu","Service inconnu")),IF(H1925="","Article manquant",IF(ISNA(MATCH(H1925,art_ref,0)),"Article inconnu",IF(OR(NOT(ISNUMBER(L1925)),N(L1925)&lt;=0),"Quantité invalide",IF(AND(K1925&lt;&gt;"",OR(NOT(ISNUMBER(K1925)),N(K1925)&lt;=0)),"Qté commandée invalide",IF(AG1925&lt;SUMPRODUCT(MAX((A$6:A1924=A1925)*AG$6:AG1924)),"Date antérieure au bon précédent",IF(AND(A1925&lt;&gt;"BR",ISNUMBER(M1925),N(M1925)&gt;0),IF(A1925="BL","Livré plus que commandé","Sorti plus que demandé"),"OK"))))))))))))</f>
        <v/>
      </c>
      <c r="Y1925" s="57" t="str">
        <f>IF(AND(OR(A1925="BL",A1925="BR",A1925="BS"),AG1925&gt;0,D1925&lt;&gt;""),A1925&amp;"|"&amp;AG1925&amp;"|"&amp;D1925&amp;"|"&amp;F1925,"")</f>
        <v/>
      </c>
      <c r="Z1925" s="57" t="str">
        <f>IF(Y1925="","",IF(COUNTIF(Y$6:Y1924,Y1925)=0,1,0))</f>
        <v/>
      </c>
      <c r="AA1925" s="57" t="str">
        <f>IF(Y1925="","",IF(Z1925=1,COUNTIFS(A$6:A1925,A1925,Z$6:Z1925,1),INDEX(AA$6:AA1924,MATCH(Y1925,Y$6:Y1924,0))))</f>
        <v/>
      </c>
      <c r="AB1925" s="57" t="str">
        <f>IF(B1925="","",COUNTIF(B$6:B1925,B1925))</f>
        <v/>
      </c>
      <c r="AC1925" s="57" t="str">
        <f>IF(B1925="","",B1925&amp;"#"&amp;AB1925)</f>
        <v/>
      </c>
      <c r="AD1925" s="57" t="str">
        <f>IF(Z1925=1,A1925&amp;AA1925,"")</f>
        <v/>
      </c>
      <c r="AE1925" s="57" t="str">
        <f>IF(B1925="","",YEAR(C1925))</f>
        <v/>
      </c>
      <c r="AF1925" s="57" t="str">
        <f>IF(B1925="","",MONTH(C1925))</f>
        <v/>
      </c>
      <c r="AG1925" s="57">
        <f>IF(ISNUMBER(C1925),C1925,0)</f>
        <v>0.0</v>
      </c>
      <c r="AH1925" s="57" t="str">
        <f>IF(N(W1925)&gt;0,COUNTIF(W$6:W1925,"&gt;0"),"")</f>
        <v/>
      </c>
      <c r="AI1925" s="57" t="str">
        <f>IF(Z1925=1,COUNTIF(Z$6:Z1925,1),"")</f>
        <v/>
      </c>
    </row>
    <row r="1926">
      <c r="A1926" s="54" t="n"/>
      <c r="B1926" s="55" t="str">
        <f>IF(AA1926="","",A1926&amp;"-"&amp;RIGHT("000"&amp;AA1926,4))</f>
        <v/>
      </c>
      <c r="C1926" s="56" t="n"/>
      <c r="D1926" s="54" t="n"/>
      <c r="E1926" s="57" t="str">
        <f>IF(D1926="","",IF(A1926="BL",IFERROR(INDEX(cl_name,MATCH(D1926,cl_code,0))&amp;"","Client inconnu"),IF(A1926="BR",IFERROR(INDEX(fo_name,MATCH(D1926,fo_code,0))&amp;"","Fournisseur inconnu"),IF(A1926="BS",IF(ISNA(MATCH(D1926,p_services,0)),"Service inconnu",D1926&amp;""),""))))</f>
        <v/>
      </c>
      <c r="F1926" s="58" t="n"/>
      <c r="G1926" s="58" t="n"/>
      <c r="H1926" s="59" t="n"/>
      <c r="I1926" s="57" t="str">
        <f>IF(H1926="","",IFERROR(INDEX(art_des,MATCH(H1926,art_ref,0))&amp;"","Article inconnu"))</f>
        <v/>
      </c>
      <c r="J1926" s="60" t="str">
        <f>IF(H1926="","",IFERROR(INDEX(art_unit,MATCH(H1926,art_ref,0))&amp;"",""))</f>
        <v/>
      </c>
      <c r="K1926" s="59" t="n"/>
      <c r="L1926" s="59" t="n"/>
      <c r="M1926" s="61" t="str">
        <f>IF(OR(B1926="",NOT(ISNUMBER(K1926)),NOT(ISNUMBER(L1926))),"",IF(OR(K1926&lt;=0,L1926&lt;=0),"",ROUND(L1926-K1926,6)))</f>
        <v/>
      </c>
      <c r="N1926" s="58" t="n"/>
      <c r="O1926" s="62" t="n"/>
      <c r="P1926" s="63" t="str">
        <f>IF(OR(B1926="",NOT(ISNUMBER(L1926))),"",IF(L1926&lt;=0,"",IFERROR(ROUND(L1926*N(INDEX(art_w,MATCH(H1926,art_ref,0))),3),"")))</f>
        <v/>
      </c>
      <c r="Q1926" s="59" t="n"/>
      <c r="R1926" s="54" t="n"/>
      <c r="S1926" s="59" t="n"/>
      <c r="T1926" s="59" t="n"/>
      <c r="U1926" s="64" t="str">
        <f>IF(OR(B1926="",H1926=""),"",IFERROR(IF(A1926="BL",IF(N(INDEX(art_price,MATCH(H1926,art_ref,0)))=0,"",N(INDEX(art_price,MATCH(H1926,art_ref,0)))),IF(N(INDEX(art_cost,MATCH(H1926,art_ref,0)))=0,"",N(INDEX(art_cost,MATCH(H1926,art_ref,0))))),""))</f>
        <v/>
      </c>
      <c r="V1926" s="64" t="str">
        <f>IF(OR(U1926="",NOT(ISNUMBER(L1926))),"",IF(L1926&lt;=0,"",ROUND(L1926*U1926,2)))</f>
        <v/>
      </c>
      <c r="W1926" s="60" t="str">
        <f>IF(AND(B1926&lt;&gt;"",A1926&lt;&gt;"BS",F1926&lt;&gt;"",H1926&lt;&gt;"",ISNUMBER(K1926),ISNUMBER(L1926)),IF(AND(K1926&gt;0,L1926&gt;0,K1926-L1926&gt;0,COUNTIFS(A1927:A$2005,A1926,F1927:F$2005,F1926,H1927:H$2005,H1926,AA1927:AA$2005,"&gt;0")=0),ROUND(K1926-L1926,6),""),"")</f>
        <v/>
      </c>
      <c r="X1926" s="60" t="str">
        <f>IF(AND(A1926="",C1926="",D1926="",H1926="",L1926=""),"",IF(A1926="","Type manquant",IF(AND(A1926&lt;&gt;"BL",A1926&lt;&gt;"BR",A1926&lt;&gt;"BS"),"Type inconnu (BL, BR ou BS)",IF(AG1926=0,"Date manquante ou invalide",IF(D1926="",IF(A1926="BL","Client manquant",IF(A1926="BR","Fournisseur manquant","Service manquant")),IF(IF(A1926="BL",ISNA(MATCH(D1926,cl_code,0)),IF(A1926="BR",ISNA(MATCH(D1926,fo_code,0)),ISNA(MATCH(D1926,p_services,0)))),IF(A1926="BL","Client inconnu",IF(A1926="BR","Fournisseur inconnu","Service inconnu")),IF(H1926="","Article manquant",IF(ISNA(MATCH(H1926,art_ref,0)),"Article inconnu",IF(OR(NOT(ISNUMBER(L1926)),N(L1926)&lt;=0),"Quantité invalide",IF(AND(K1926&lt;&gt;"",OR(NOT(ISNUMBER(K1926)),N(K1926)&lt;=0)),"Qté commandée invalide",IF(AG1926&lt;SUMPRODUCT(MAX((A$6:A1925=A1926)*AG$6:AG1925)),"Date antérieure au bon précédent",IF(AND(A1926&lt;&gt;"BR",ISNUMBER(M1926),N(M1926)&gt;0),IF(A1926="BL","Livré plus que commandé","Sorti plus que demandé"),"OK"))))))))))))</f>
        <v/>
      </c>
      <c r="Y1926" s="57" t="str">
        <f>IF(AND(OR(A1926="BL",A1926="BR",A1926="BS"),AG1926&gt;0,D1926&lt;&gt;""),A1926&amp;"|"&amp;AG1926&amp;"|"&amp;D1926&amp;"|"&amp;F1926,"")</f>
        <v/>
      </c>
      <c r="Z1926" s="57" t="str">
        <f>IF(Y1926="","",IF(COUNTIF(Y$6:Y1925,Y1926)=0,1,0))</f>
        <v/>
      </c>
      <c r="AA1926" s="57" t="str">
        <f>IF(Y1926="","",IF(Z1926=1,COUNTIFS(A$6:A1926,A1926,Z$6:Z1926,1),INDEX(AA$6:AA1925,MATCH(Y1926,Y$6:Y1925,0))))</f>
        <v/>
      </c>
      <c r="AB1926" s="57" t="str">
        <f>IF(B1926="","",COUNTIF(B$6:B1926,B1926))</f>
        <v/>
      </c>
      <c r="AC1926" s="57" t="str">
        <f>IF(B1926="","",B1926&amp;"#"&amp;AB1926)</f>
        <v/>
      </c>
      <c r="AD1926" s="57" t="str">
        <f>IF(Z1926=1,A1926&amp;AA1926,"")</f>
        <v/>
      </c>
      <c r="AE1926" s="57" t="str">
        <f>IF(B1926="","",YEAR(C1926))</f>
        <v/>
      </c>
      <c r="AF1926" s="57" t="str">
        <f>IF(B1926="","",MONTH(C1926))</f>
        <v/>
      </c>
      <c r="AG1926" s="57">
        <f>IF(ISNUMBER(C1926),C1926,0)</f>
        <v>0.0</v>
      </c>
      <c r="AH1926" s="57" t="str">
        <f>IF(N(W1926)&gt;0,COUNTIF(W$6:W1926,"&gt;0"),"")</f>
        <v/>
      </c>
      <c r="AI1926" s="57" t="str">
        <f>IF(Z1926=1,COUNTIF(Z$6:Z1926,1),"")</f>
        <v/>
      </c>
    </row>
    <row r="1927">
      <c r="A1927" s="54" t="n"/>
      <c r="B1927" s="55" t="str">
        <f>IF(AA1927="","",A1927&amp;"-"&amp;RIGHT("000"&amp;AA1927,4))</f>
        <v/>
      </c>
      <c r="C1927" s="56" t="n"/>
      <c r="D1927" s="54" t="n"/>
      <c r="E1927" s="57" t="str">
        <f>IF(D1927="","",IF(A1927="BL",IFERROR(INDEX(cl_name,MATCH(D1927,cl_code,0))&amp;"","Client inconnu"),IF(A1927="BR",IFERROR(INDEX(fo_name,MATCH(D1927,fo_code,0))&amp;"","Fournisseur inconnu"),IF(A1927="BS",IF(ISNA(MATCH(D1927,p_services,0)),"Service inconnu",D1927&amp;""),""))))</f>
        <v/>
      </c>
      <c r="F1927" s="58" t="n"/>
      <c r="G1927" s="58" t="n"/>
      <c r="H1927" s="59" t="n"/>
      <c r="I1927" s="57" t="str">
        <f>IF(H1927="","",IFERROR(INDEX(art_des,MATCH(H1927,art_ref,0))&amp;"","Article inconnu"))</f>
        <v/>
      </c>
      <c r="J1927" s="60" t="str">
        <f>IF(H1927="","",IFERROR(INDEX(art_unit,MATCH(H1927,art_ref,0))&amp;"",""))</f>
        <v/>
      </c>
      <c r="K1927" s="59" t="n"/>
      <c r="L1927" s="59" t="n"/>
      <c r="M1927" s="61" t="str">
        <f>IF(OR(B1927="",NOT(ISNUMBER(K1927)),NOT(ISNUMBER(L1927))),"",IF(OR(K1927&lt;=0,L1927&lt;=0),"",ROUND(L1927-K1927,6)))</f>
        <v/>
      </c>
      <c r="N1927" s="58" t="n"/>
      <c r="O1927" s="62" t="n"/>
      <c r="P1927" s="63" t="str">
        <f>IF(OR(B1927="",NOT(ISNUMBER(L1927))),"",IF(L1927&lt;=0,"",IFERROR(ROUND(L1927*N(INDEX(art_w,MATCH(H1927,art_ref,0))),3),"")))</f>
        <v/>
      </c>
      <c r="Q1927" s="59" t="n"/>
      <c r="R1927" s="54" t="n"/>
      <c r="S1927" s="59" t="n"/>
      <c r="T1927" s="59" t="n"/>
      <c r="U1927" s="64" t="str">
        <f>IF(OR(B1927="",H1927=""),"",IFERROR(IF(A1927="BL",IF(N(INDEX(art_price,MATCH(H1927,art_ref,0)))=0,"",N(INDEX(art_price,MATCH(H1927,art_ref,0)))),IF(N(INDEX(art_cost,MATCH(H1927,art_ref,0)))=0,"",N(INDEX(art_cost,MATCH(H1927,art_ref,0))))),""))</f>
        <v/>
      </c>
      <c r="V1927" s="64" t="str">
        <f>IF(OR(U1927="",NOT(ISNUMBER(L1927))),"",IF(L1927&lt;=0,"",ROUND(L1927*U1927,2)))</f>
        <v/>
      </c>
      <c r="W1927" s="60" t="str">
        <f>IF(AND(B1927&lt;&gt;"",A1927&lt;&gt;"BS",F1927&lt;&gt;"",H1927&lt;&gt;"",ISNUMBER(K1927),ISNUMBER(L1927)),IF(AND(K1927&gt;0,L1927&gt;0,K1927-L1927&gt;0,COUNTIFS(A1928:A$2005,A1927,F1928:F$2005,F1927,H1928:H$2005,H1927,AA1928:AA$2005,"&gt;0")=0),ROUND(K1927-L1927,6),""),"")</f>
        <v/>
      </c>
      <c r="X1927" s="60" t="str">
        <f>IF(AND(A1927="",C1927="",D1927="",H1927="",L1927=""),"",IF(A1927="","Type manquant",IF(AND(A1927&lt;&gt;"BL",A1927&lt;&gt;"BR",A1927&lt;&gt;"BS"),"Type inconnu (BL, BR ou BS)",IF(AG1927=0,"Date manquante ou invalide",IF(D1927="",IF(A1927="BL","Client manquant",IF(A1927="BR","Fournisseur manquant","Service manquant")),IF(IF(A1927="BL",ISNA(MATCH(D1927,cl_code,0)),IF(A1927="BR",ISNA(MATCH(D1927,fo_code,0)),ISNA(MATCH(D1927,p_services,0)))),IF(A1927="BL","Client inconnu",IF(A1927="BR","Fournisseur inconnu","Service inconnu")),IF(H1927="","Article manquant",IF(ISNA(MATCH(H1927,art_ref,0)),"Article inconnu",IF(OR(NOT(ISNUMBER(L1927)),N(L1927)&lt;=0),"Quantité invalide",IF(AND(K1927&lt;&gt;"",OR(NOT(ISNUMBER(K1927)),N(K1927)&lt;=0)),"Qté commandée invalide",IF(AG1927&lt;SUMPRODUCT(MAX((A$6:A1926=A1927)*AG$6:AG1926)),"Date antérieure au bon précédent",IF(AND(A1927&lt;&gt;"BR",ISNUMBER(M1927),N(M1927)&gt;0),IF(A1927="BL","Livré plus que commandé","Sorti plus que demandé"),"OK"))))))))))))</f>
        <v/>
      </c>
      <c r="Y1927" s="57" t="str">
        <f>IF(AND(OR(A1927="BL",A1927="BR",A1927="BS"),AG1927&gt;0,D1927&lt;&gt;""),A1927&amp;"|"&amp;AG1927&amp;"|"&amp;D1927&amp;"|"&amp;F1927,"")</f>
        <v/>
      </c>
      <c r="Z1927" s="57" t="str">
        <f>IF(Y1927="","",IF(COUNTIF(Y$6:Y1926,Y1927)=0,1,0))</f>
        <v/>
      </c>
      <c r="AA1927" s="57" t="str">
        <f>IF(Y1927="","",IF(Z1927=1,COUNTIFS(A$6:A1927,A1927,Z$6:Z1927,1),INDEX(AA$6:AA1926,MATCH(Y1927,Y$6:Y1926,0))))</f>
        <v/>
      </c>
      <c r="AB1927" s="57" t="str">
        <f>IF(B1927="","",COUNTIF(B$6:B1927,B1927))</f>
        <v/>
      </c>
      <c r="AC1927" s="57" t="str">
        <f>IF(B1927="","",B1927&amp;"#"&amp;AB1927)</f>
        <v/>
      </c>
      <c r="AD1927" s="57" t="str">
        <f>IF(Z1927=1,A1927&amp;AA1927,"")</f>
        <v/>
      </c>
      <c r="AE1927" s="57" t="str">
        <f>IF(B1927="","",YEAR(C1927))</f>
        <v/>
      </c>
      <c r="AF1927" s="57" t="str">
        <f>IF(B1927="","",MONTH(C1927))</f>
        <v/>
      </c>
      <c r="AG1927" s="57">
        <f>IF(ISNUMBER(C1927),C1927,0)</f>
        <v>0.0</v>
      </c>
      <c r="AH1927" s="57" t="str">
        <f>IF(N(W1927)&gt;0,COUNTIF(W$6:W1927,"&gt;0"),"")</f>
        <v/>
      </c>
      <c r="AI1927" s="57" t="str">
        <f>IF(Z1927=1,COUNTIF(Z$6:Z1927,1),"")</f>
        <v/>
      </c>
    </row>
    <row r="1928">
      <c r="A1928" s="54" t="n"/>
      <c r="B1928" s="55" t="str">
        <f>IF(AA1928="","",A1928&amp;"-"&amp;RIGHT("000"&amp;AA1928,4))</f>
        <v/>
      </c>
      <c r="C1928" s="56" t="n"/>
      <c r="D1928" s="54" t="n"/>
      <c r="E1928" s="57" t="str">
        <f>IF(D1928="","",IF(A1928="BL",IFERROR(INDEX(cl_name,MATCH(D1928,cl_code,0))&amp;"","Client inconnu"),IF(A1928="BR",IFERROR(INDEX(fo_name,MATCH(D1928,fo_code,0))&amp;"","Fournisseur inconnu"),IF(A1928="BS",IF(ISNA(MATCH(D1928,p_services,0)),"Service inconnu",D1928&amp;""),""))))</f>
        <v/>
      </c>
      <c r="F1928" s="58" t="n"/>
      <c r="G1928" s="58" t="n"/>
      <c r="H1928" s="59" t="n"/>
      <c r="I1928" s="57" t="str">
        <f>IF(H1928="","",IFERROR(INDEX(art_des,MATCH(H1928,art_ref,0))&amp;"","Article inconnu"))</f>
        <v/>
      </c>
      <c r="J1928" s="60" t="str">
        <f>IF(H1928="","",IFERROR(INDEX(art_unit,MATCH(H1928,art_ref,0))&amp;"",""))</f>
        <v/>
      </c>
      <c r="K1928" s="59" t="n"/>
      <c r="L1928" s="59" t="n"/>
      <c r="M1928" s="61" t="str">
        <f>IF(OR(B1928="",NOT(ISNUMBER(K1928)),NOT(ISNUMBER(L1928))),"",IF(OR(K1928&lt;=0,L1928&lt;=0),"",ROUND(L1928-K1928,6)))</f>
        <v/>
      </c>
      <c r="N1928" s="58" t="n"/>
      <c r="O1928" s="62" t="n"/>
      <c r="P1928" s="63" t="str">
        <f>IF(OR(B1928="",NOT(ISNUMBER(L1928))),"",IF(L1928&lt;=0,"",IFERROR(ROUND(L1928*N(INDEX(art_w,MATCH(H1928,art_ref,0))),3),"")))</f>
        <v/>
      </c>
      <c r="Q1928" s="59" t="n"/>
      <c r="R1928" s="54" t="n"/>
      <c r="S1928" s="59" t="n"/>
      <c r="T1928" s="59" t="n"/>
      <c r="U1928" s="64" t="str">
        <f>IF(OR(B1928="",H1928=""),"",IFERROR(IF(A1928="BL",IF(N(INDEX(art_price,MATCH(H1928,art_ref,0)))=0,"",N(INDEX(art_price,MATCH(H1928,art_ref,0)))),IF(N(INDEX(art_cost,MATCH(H1928,art_ref,0)))=0,"",N(INDEX(art_cost,MATCH(H1928,art_ref,0))))),""))</f>
        <v/>
      </c>
      <c r="V1928" s="64" t="str">
        <f>IF(OR(U1928="",NOT(ISNUMBER(L1928))),"",IF(L1928&lt;=0,"",ROUND(L1928*U1928,2)))</f>
        <v/>
      </c>
      <c r="W1928" s="60" t="str">
        <f>IF(AND(B1928&lt;&gt;"",A1928&lt;&gt;"BS",F1928&lt;&gt;"",H1928&lt;&gt;"",ISNUMBER(K1928),ISNUMBER(L1928)),IF(AND(K1928&gt;0,L1928&gt;0,K1928-L1928&gt;0,COUNTIFS(A1929:A$2005,A1928,F1929:F$2005,F1928,H1929:H$2005,H1928,AA1929:AA$2005,"&gt;0")=0),ROUND(K1928-L1928,6),""),"")</f>
        <v/>
      </c>
      <c r="X1928" s="60" t="str">
        <f>IF(AND(A1928="",C1928="",D1928="",H1928="",L1928=""),"",IF(A1928="","Type manquant",IF(AND(A1928&lt;&gt;"BL",A1928&lt;&gt;"BR",A1928&lt;&gt;"BS"),"Type inconnu (BL, BR ou BS)",IF(AG1928=0,"Date manquante ou invalide",IF(D1928="",IF(A1928="BL","Client manquant",IF(A1928="BR","Fournisseur manquant","Service manquant")),IF(IF(A1928="BL",ISNA(MATCH(D1928,cl_code,0)),IF(A1928="BR",ISNA(MATCH(D1928,fo_code,0)),ISNA(MATCH(D1928,p_services,0)))),IF(A1928="BL","Client inconnu",IF(A1928="BR","Fournisseur inconnu","Service inconnu")),IF(H1928="","Article manquant",IF(ISNA(MATCH(H1928,art_ref,0)),"Article inconnu",IF(OR(NOT(ISNUMBER(L1928)),N(L1928)&lt;=0),"Quantité invalide",IF(AND(K1928&lt;&gt;"",OR(NOT(ISNUMBER(K1928)),N(K1928)&lt;=0)),"Qté commandée invalide",IF(AG1928&lt;SUMPRODUCT(MAX((A$6:A1927=A1928)*AG$6:AG1927)),"Date antérieure au bon précédent",IF(AND(A1928&lt;&gt;"BR",ISNUMBER(M1928),N(M1928)&gt;0),IF(A1928="BL","Livré plus que commandé","Sorti plus que demandé"),"OK"))))))))))))</f>
        <v/>
      </c>
      <c r="Y1928" s="57" t="str">
        <f>IF(AND(OR(A1928="BL",A1928="BR",A1928="BS"),AG1928&gt;0,D1928&lt;&gt;""),A1928&amp;"|"&amp;AG1928&amp;"|"&amp;D1928&amp;"|"&amp;F1928,"")</f>
        <v/>
      </c>
      <c r="Z1928" s="57" t="str">
        <f>IF(Y1928="","",IF(COUNTIF(Y$6:Y1927,Y1928)=0,1,0))</f>
        <v/>
      </c>
      <c r="AA1928" s="57" t="str">
        <f>IF(Y1928="","",IF(Z1928=1,COUNTIFS(A$6:A1928,A1928,Z$6:Z1928,1),INDEX(AA$6:AA1927,MATCH(Y1928,Y$6:Y1927,0))))</f>
        <v/>
      </c>
      <c r="AB1928" s="57" t="str">
        <f>IF(B1928="","",COUNTIF(B$6:B1928,B1928))</f>
        <v/>
      </c>
      <c r="AC1928" s="57" t="str">
        <f>IF(B1928="","",B1928&amp;"#"&amp;AB1928)</f>
        <v/>
      </c>
      <c r="AD1928" s="57" t="str">
        <f>IF(Z1928=1,A1928&amp;AA1928,"")</f>
        <v/>
      </c>
      <c r="AE1928" s="57" t="str">
        <f>IF(B1928="","",YEAR(C1928))</f>
        <v/>
      </c>
      <c r="AF1928" s="57" t="str">
        <f>IF(B1928="","",MONTH(C1928))</f>
        <v/>
      </c>
      <c r="AG1928" s="57">
        <f>IF(ISNUMBER(C1928),C1928,0)</f>
        <v>0.0</v>
      </c>
      <c r="AH1928" s="57" t="str">
        <f>IF(N(W1928)&gt;0,COUNTIF(W$6:W1928,"&gt;0"),"")</f>
        <v/>
      </c>
      <c r="AI1928" s="57" t="str">
        <f>IF(Z1928=1,COUNTIF(Z$6:Z1928,1),"")</f>
        <v/>
      </c>
    </row>
    <row r="1929">
      <c r="A1929" s="54" t="n"/>
      <c r="B1929" s="55" t="str">
        <f>IF(AA1929="","",A1929&amp;"-"&amp;RIGHT("000"&amp;AA1929,4))</f>
        <v/>
      </c>
      <c r="C1929" s="56" t="n"/>
      <c r="D1929" s="54" t="n"/>
      <c r="E1929" s="57" t="str">
        <f>IF(D1929="","",IF(A1929="BL",IFERROR(INDEX(cl_name,MATCH(D1929,cl_code,0))&amp;"","Client inconnu"),IF(A1929="BR",IFERROR(INDEX(fo_name,MATCH(D1929,fo_code,0))&amp;"","Fournisseur inconnu"),IF(A1929="BS",IF(ISNA(MATCH(D1929,p_services,0)),"Service inconnu",D1929&amp;""),""))))</f>
        <v/>
      </c>
      <c r="F1929" s="58" t="n"/>
      <c r="G1929" s="58" t="n"/>
      <c r="H1929" s="59" t="n"/>
      <c r="I1929" s="57" t="str">
        <f>IF(H1929="","",IFERROR(INDEX(art_des,MATCH(H1929,art_ref,0))&amp;"","Article inconnu"))</f>
        <v/>
      </c>
      <c r="J1929" s="60" t="str">
        <f>IF(H1929="","",IFERROR(INDEX(art_unit,MATCH(H1929,art_ref,0))&amp;"",""))</f>
        <v/>
      </c>
      <c r="K1929" s="59" t="n"/>
      <c r="L1929" s="59" t="n"/>
      <c r="M1929" s="61" t="str">
        <f>IF(OR(B1929="",NOT(ISNUMBER(K1929)),NOT(ISNUMBER(L1929))),"",IF(OR(K1929&lt;=0,L1929&lt;=0),"",ROUND(L1929-K1929,6)))</f>
        <v/>
      </c>
      <c r="N1929" s="58" t="n"/>
      <c r="O1929" s="62" t="n"/>
      <c r="P1929" s="63" t="str">
        <f>IF(OR(B1929="",NOT(ISNUMBER(L1929))),"",IF(L1929&lt;=0,"",IFERROR(ROUND(L1929*N(INDEX(art_w,MATCH(H1929,art_ref,0))),3),"")))</f>
        <v/>
      </c>
      <c r="Q1929" s="59" t="n"/>
      <c r="R1929" s="54" t="n"/>
      <c r="S1929" s="59" t="n"/>
      <c r="T1929" s="59" t="n"/>
      <c r="U1929" s="64" t="str">
        <f>IF(OR(B1929="",H1929=""),"",IFERROR(IF(A1929="BL",IF(N(INDEX(art_price,MATCH(H1929,art_ref,0)))=0,"",N(INDEX(art_price,MATCH(H1929,art_ref,0)))),IF(N(INDEX(art_cost,MATCH(H1929,art_ref,0)))=0,"",N(INDEX(art_cost,MATCH(H1929,art_ref,0))))),""))</f>
        <v/>
      </c>
      <c r="V1929" s="64" t="str">
        <f>IF(OR(U1929="",NOT(ISNUMBER(L1929))),"",IF(L1929&lt;=0,"",ROUND(L1929*U1929,2)))</f>
        <v/>
      </c>
      <c r="W1929" s="60" t="str">
        <f>IF(AND(B1929&lt;&gt;"",A1929&lt;&gt;"BS",F1929&lt;&gt;"",H1929&lt;&gt;"",ISNUMBER(K1929),ISNUMBER(L1929)),IF(AND(K1929&gt;0,L1929&gt;0,K1929-L1929&gt;0,COUNTIFS(A1930:A$2005,A1929,F1930:F$2005,F1929,H1930:H$2005,H1929,AA1930:AA$2005,"&gt;0")=0),ROUND(K1929-L1929,6),""),"")</f>
        <v/>
      </c>
      <c r="X1929" s="60" t="str">
        <f>IF(AND(A1929="",C1929="",D1929="",H1929="",L1929=""),"",IF(A1929="","Type manquant",IF(AND(A1929&lt;&gt;"BL",A1929&lt;&gt;"BR",A1929&lt;&gt;"BS"),"Type inconnu (BL, BR ou BS)",IF(AG1929=0,"Date manquante ou invalide",IF(D1929="",IF(A1929="BL","Client manquant",IF(A1929="BR","Fournisseur manquant","Service manquant")),IF(IF(A1929="BL",ISNA(MATCH(D1929,cl_code,0)),IF(A1929="BR",ISNA(MATCH(D1929,fo_code,0)),ISNA(MATCH(D1929,p_services,0)))),IF(A1929="BL","Client inconnu",IF(A1929="BR","Fournisseur inconnu","Service inconnu")),IF(H1929="","Article manquant",IF(ISNA(MATCH(H1929,art_ref,0)),"Article inconnu",IF(OR(NOT(ISNUMBER(L1929)),N(L1929)&lt;=0),"Quantité invalide",IF(AND(K1929&lt;&gt;"",OR(NOT(ISNUMBER(K1929)),N(K1929)&lt;=0)),"Qté commandée invalide",IF(AG1929&lt;SUMPRODUCT(MAX((A$6:A1928=A1929)*AG$6:AG1928)),"Date antérieure au bon précédent",IF(AND(A1929&lt;&gt;"BR",ISNUMBER(M1929),N(M1929)&gt;0),IF(A1929="BL","Livré plus que commandé","Sorti plus que demandé"),"OK"))))))))))))</f>
        <v/>
      </c>
      <c r="Y1929" s="57" t="str">
        <f>IF(AND(OR(A1929="BL",A1929="BR",A1929="BS"),AG1929&gt;0,D1929&lt;&gt;""),A1929&amp;"|"&amp;AG1929&amp;"|"&amp;D1929&amp;"|"&amp;F1929,"")</f>
        <v/>
      </c>
      <c r="Z1929" s="57" t="str">
        <f>IF(Y1929="","",IF(COUNTIF(Y$6:Y1928,Y1929)=0,1,0))</f>
        <v/>
      </c>
      <c r="AA1929" s="57" t="str">
        <f>IF(Y1929="","",IF(Z1929=1,COUNTIFS(A$6:A1929,A1929,Z$6:Z1929,1),INDEX(AA$6:AA1928,MATCH(Y1929,Y$6:Y1928,0))))</f>
        <v/>
      </c>
      <c r="AB1929" s="57" t="str">
        <f>IF(B1929="","",COUNTIF(B$6:B1929,B1929))</f>
        <v/>
      </c>
      <c r="AC1929" s="57" t="str">
        <f>IF(B1929="","",B1929&amp;"#"&amp;AB1929)</f>
        <v/>
      </c>
      <c r="AD1929" s="57" t="str">
        <f>IF(Z1929=1,A1929&amp;AA1929,"")</f>
        <v/>
      </c>
      <c r="AE1929" s="57" t="str">
        <f>IF(B1929="","",YEAR(C1929))</f>
        <v/>
      </c>
      <c r="AF1929" s="57" t="str">
        <f>IF(B1929="","",MONTH(C1929))</f>
        <v/>
      </c>
      <c r="AG1929" s="57">
        <f>IF(ISNUMBER(C1929),C1929,0)</f>
        <v>0.0</v>
      </c>
      <c r="AH1929" s="57" t="str">
        <f>IF(N(W1929)&gt;0,COUNTIF(W$6:W1929,"&gt;0"),"")</f>
        <v/>
      </c>
      <c r="AI1929" s="57" t="str">
        <f>IF(Z1929=1,COUNTIF(Z$6:Z1929,1),"")</f>
        <v/>
      </c>
    </row>
    <row r="1930">
      <c r="A1930" s="54" t="n"/>
      <c r="B1930" s="55" t="str">
        <f>IF(AA1930="","",A1930&amp;"-"&amp;RIGHT("000"&amp;AA1930,4))</f>
        <v/>
      </c>
      <c r="C1930" s="56" t="n"/>
      <c r="D1930" s="54" t="n"/>
      <c r="E1930" s="57" t="str">
        <f>IF(D1930="","",IF(A1930="BL",IFERROR(INDEX(cl_name,MATCH(D1930,cl_code,0))&amp;"","Client inconnu"),IF(A1930="BR",IFERROR(INDEX(fo_name,MATCH(D1930,fo_code,0))&amp;"","Fournisseur inconnu"),IF(A1930="BS",IF(ISNA(MATCH(D1930,p_services,0)),"Service inconnu",D1930&amp;""),""))))</f>
        <v/>
      </c>
      <c r="F1930" s="58" t="n"/>
      <c r="G1930" s="58" t="n"/>
      <c r="H1930" s="59" t="n"/>
      <c r="I1930" s="57" t="str">
        <f>IF(H1930="","",IFERROR(INDEX(art_des,MATCH(H1930,art_ref,0))&amp;"","Article inconnu"))</f>
        <v/>
      </c>
      <c r="J1930" s="60" t="str">
        <f>IF(H1930="","",IFERROR(INDEX(art_unit,MATCH(H1930,art_ref,0))&amp;"",""))</f>
        <v/>
      </c>
      <c r="K1930" s="59" t="n"/>
      <c r="L1930" s="59" t="n"/>
      <c r="M1930" s="61" t="str">
        <f>IF(OR(B1930="",NOT(ISNUMBER(K1930)),NOT(ISNUMBER(L1930))),"",IF(OR(K1930&lt;=0,L1930&lt;=0),"",ROUND(L1930-K1930,6)))</f>
        <v/>
      </c>
      <c r="N1930" s="58" t="n"/>
      <c r="O1930" s="62" t="n"/>
      <c r="P1930" s="63" t="str">
        <f>IF(OR(B1930="",NOT(ISNUMBER(L1930))),"",IF(L1930&lt;=0,"",IFERROR(ROUND(L1930*N(INDEX(art_w,MATCH(H1930,art_ref,0))),3),"")))</f>
        <v/>
      </c>
      <c r="Q1930" s="59" t="n"/>
      <c r="R1930" s="54" t="n"/>
      <c r="S1930" s="59" t="n"/>
      <c r="T1930" s="59" t="n"/>
      <c r="U1930" s="64" t="str">
        <f>IF(OR(B1930="",H1930=""),"",IFERROR(IF(A1930="BL",IF(N(INDEX(art_price,MATCH(H1930,art_ref,0)))=0,"",N(INDEX(art_price,MATCH(H1930,art_ref,0)))),IF(N(INDEX(art_cost,MATCH(H1930,art_ref,0)))=0,"",N(INDEX(art_cost,MATCH(H1930,art_ref,0))))),""))</f>
        <v/>
      </c>
      <c r="V1930" s="64" t="str">
        <f>IF(OR(U1930="",NOT(ISNUMBER(L1930))),"",IF(L1930&lt;=0,"",ROUND(L1930*U1930,2)))</f>
        <v/>
      </c>
      <c r="W1930" s="60" t="str">
        <f>IF(AND(B1930&lt;&gt;"",A1930&lt;&gt;"BS",F1930&lt;&gt;"",H1930&lt;&gt;"",ISNUMBER(K1930),ISNUMBER(L1930)),IF(AND(K1930&gt;0,L1930&gt;0,K1930-L1930&gt;0,COUNTIFS(A1931:A$2005,A1930,F1931:F$2005,F1930,H1931:H$2005,H1930,AA1931:AA$2005,"&gt;0")=0),ROUND(K1930-L1930,6),""),"")</f>
        <v/>
      </c>
      <c r="X1930" s="60" t="str">
        <f>IF(AND(A1930="",C1930="",D1930="",H1930="",L1930=""),"",IF(A1930="","Type manquant",IF(AND(A1930&lt;&gt;"BL",A1930&lt;&gt;"BR",A1930&lt;&gt;"BS"),"Type inconnu (BL, BR ou BS)",IF(AG1930=0,"Date manquante ou invalide",IF(D1930="",IF(A1930="BL","Client manquant",IF(A1930="BR","Fournisseur manquant","Service manquant")),IF(IF(A1930="BL",ISNA(MATCH(D1930,cl_code,0)),IF(A1930="BR",ISNA(MATCH(D1930,fo_code,0)),ISNA(MATCH(D1930,p_services,0)))),IF(A1930="BL","Client inconnu",IF(A1930="BR","Fournisseur inconnu","Service inconnu")),IF(H1930="","Article manquant",IF(ISNA(MATCH(H1930,art_ref,0)),"Article inconnu",IF(OR(NOT(ISNUMBER(L1930)),N(L1930)&lt;=0),"Quantité invalide",IF(AND(K1930&lt;&gt;"",OR(NOT(ISNUMBER(K1930)),N(K1930)&lt;=0)),"Qté commandée invalide",IF(AG1930&lt;SUMPRODUCT(MAX((A$6:A1929=A1930)*AG$6:AG1929)),"Date antérieure au bon précédent",IF(AND(A1930&lt;&gt;"BR",ISNUMBER(M1930),N(M1930)&gt;0),IF(A1930="BL","Livré plus que commandé","Sorti plus que demandé"),"OK"))))))))))))</f>
        <v/>
      </c>
      <c r="Y1930" s="57" t="str">
        <f>IF(AND(OR(A1930="BL",A1930="BR",A1930="BS"),AG1930&gt;0,D1930&lt;&gt;""),A1930&amp;"|"&amp;AG1930&amp;"|"&amp;D1930&amp;"|"&amp;F1930,"")</f>
        <v/>
      </c>
      <c r="Z1930" s="57" t="str">
        <f>IF(Y1930="","",IF(COUNTIF(Y$6:Y1929,Y1930)=0,1,0))</f>
        <v/>
      </c>
      <c r="AA1930" s="57" t="str">
        <f>IF(Y1930="","",IF(Z1930=1,COUNTIFS(A$6:A1930,A1930,Z$6:Z1930,1),INDEX(AA$6:AA1929,MATCH(Y1930,Y$6:Y1929,0))))</f>
        <v/>
      </c>
      <c r="AB1930" s="57" t="str">
        <f>IF(B1930="","",COUNTIF(B$6:B1930,B1930))</f>
        <v/>
      </c>
      <c r="AC1930" s="57" t="str">
        <f>IF(B1930="","",B1930&amp;"#"&amp;AB1930)</f>
        <v/>
      </c>
      <c r="AD1930" s="57" t="str">
        <f>IF(Z1930=1,A1930&amp;AA1930,"")</f>
        <v/>
      </c>
      <c r="AE1930" s="57" t="str">
        <f>IF(B1930="","",YEAR(C1930))</f>
        <v/>
      </c>
      <c r="AF1930" s="57" t="str">
        <f>IF(B1930="","",MONTH(C1930))</f>
        <v/>
      </c>
      <c r="AG1930" s="57">
        <f>IF(ISNUMBER(C1930),C1930,0)</f>
        <v>0.0</v>
      </c>
      <c r="AH1930" s="57" t="str">
        <f>IF(N(W1930)&gt;0,COUNTIF(W$6:W1930,"&gt;0"),"")</f>
        <v/>
      </c>
      <c r="AI1930" s="57" t="str">
        <f>IF(Z1930=1,COUNTIF(Z$6:Z1930,1),"")</f>
        <v/>
      </c>
    </row>
    <row r="1931">
      <c r="A1931" s="54" t="n"/>
      <c r="B1931" s="55" t="str">
        <f>IF(AA1931="","",A1931&amp;"-"&amp;RIGHT("000"&amp;AA1931,4))</f>
        <v/>
      </c>
      <c r="C1931" s="56" t="n"/>
      <c r="D1931" s="54" t="n"/>
      <c r="E1931" s="57" t="str">
        <f>IF(D1931="","",IF(A1931="BL",IFERROR(INDEX(cl_name,MATCH(D1931,cl_code,0))&amp;"","Client inconnu"),IF(A1931="BR",IFERROR(INDEX(fo_name,MATCH(D1931,fo_code,0))&amp;"","Fournisseur inconnu"),IF(A1931="BS",IF(ISNA(MATCH(D1931,p_services,0)),"Service inconnu",D1931&amp;""),""))))</f>
        <v/>
      </c>
      <c r="F1931" s="58" t="n"/>
      <c r="G1931" s="58" t="n"/>
      <c r="H1931" s="59" t="n"/>
      <c r="I1931" s="57" t="str">
        <f>IF(H1931="","",IFERROR(INDEX(art_des,MATCH(H1931,art_ref,0))&amp;"","Article inconnu"))</f>
        <v/>
      </c>
      <c r="J1931" s="60" t="str">
        <f>IF(H1931="","",IFERROR(INDEX(art_unit,MATCH(H1931,art_ref,0))&amp;"",""))</f>
        <v/>
      </c>
      <c r="K1931" s="59" t="n"/>
      <c r="L1931" s="59" t="n"/>
      <c r="M1931" s="61" t="str">
        <f>IF(OR(B1931="",NOT(ISNUMBER(K1931)),NOT(ISNUMBER(L1931))),"",IF(OR(K1931&lt;=0,L1931&lt;=0),"",ROUND(L1931-K1931,6)))</f>
        <v/>
      </c>
      <c r="N1931" s="58" t="n"/>
      <c r="O1931" s="62" t="n"/>
      <c r="P1931" s="63" t="str">
        <f>IF(OR(B1931="",NOT(ISNUMBER(L1931))),"",IF(L1931&lt;=0,"",IFERROR(ROUND(L1931*N(INDEX(art_w,MATCH(H1931,art_ref,0))),3),"")))</f>
        <v/>
      </c>
      <c r="Q1931" s="59" t="n"/>
      <c r="R1931" s="54" t="n"/>
      <c r="S1931" s="59" t="n"/>
      <c r="T1931" s="59" t="n"/>
      <c r="U1931" s="64" t="str">
        <f>IF(OR(B1931="",H1931=""),"",IFERROR(IF(A1931="BL",IF(N(INDEX(art_price,MATCH(H1931,art_ref,0)))=0,"",N(INDEX(art_price,MATCH(H1931,art_ref,0)))),IF(N(INDEX(art_cost,MATCH(H1931,art_ref,0)))=0,"",N(INDEX(art_cost,MATCH(H1931,art_ref,0))))),""))</f>
        <v/>
      </c>
      <c r="V1931" s="64" t="str">
        <f>IF(OR(U1931="",NOT(ISNUMBER(L1931))),"",IF(L1931&lt;=0,"",ROUND(L1931*U1931,2)))</f>
        <v/>
      </c>
      <c r="W1931" s="60" t="str">
        <f>IF(AND(B1931&lt;&gt;"",A1931&lt;&gt;"BS",F1931&lt;&gt;"",H1931&lt;&gt;"",ISNUMBER(K1931),ISNUMBER(L1931)),IF(AND(K1931&gt;0,L1931&gt;0,K1931-L1931&gt;0,COUNTIFS(A1932:A$2005,A1931,F1932:F$2005,F1931,H1932:H$2005,H1931,AA1932:AA$2005,"&gt;0")=0),ROUND(K1931-L1931,6),""),"")</f>
        <v/>
      </c>
      <c r="X1931" s="60" t="str">
        <f>IF(AND(A1931="",C1931="",D1931="",H1931="",L1931=""),"",IF(A1931="","Type manquant",IF(AND(A1931&lt;&gt;"BL",A1931&lt;&gt;"BR",A1931&lt;&gt;"BS"),"Type inconnu (BL, BR ou BS)",IF(AG1931=0,"Date manquante ou invalide",IF(D1931="",IF(A1931="BL","Client manquant",IF(A1931="BR","Fournisseur manquant","Service manquant")),IF(IF(A1931="BL",ISNA(MATCH(D1931,cl_code,0)),IF(A1931="BR",ISNA(MATCH(D1931,fo_code,0)),ISNA(MATCH(D1931,p_services,0)))),IF(A1931="BL","Client inconnu",IF(A1931="BR","Fournisseur inconnu","Service inconnu")),IF(H1931="","Article manquant",IF(ISNA(MATCH(H1931,art_ref,0)),"Article inconnu",IF(OR(NOT(ISNUMBER(L1931)),N(L1931)&lt;=0),"Quantité invalide",IF(AND(K1931&lt;&gt;"",OR(NOT(ISNUMBER(K1931)),N(K1931)&lt;=0)),"Qté commandée invalide",IF(AG1931&lt;SUMPRODUCT(MAX((A$6:A1930=A1931)*AG$6:AG1930)),"Date antérieure au bon précédent",IF(AND(A1931&lt;&gt;"BR",ISNUMBER(M1931),N(M1931)&gt;0),IF(A1931="BL","Livré plus que commandé","Sorti plus que demandé"),"OK"))))))))))))</f>
        <v/>
      </c>
      <c r="Y1931" s="57" t="str">
        <f>IF(AND(OR(A1931="BL",A1931="BR",A1931="BS"),AG1931&gt;0,D1931&lt;&gt;""),A1931&amp;"|"&amp;AG1931&amp;"|"&amp;D1931&amp;"|"&amp;F1931,"")</f>
        <v/>
      </c>
      <c r="Z1931" s="57" t="str">
        <f>IF(Y1931="","",IF(COUNTIF(Y$6:Y1930,Y1931)=0,1,0))</f>
        <v/>
      </c>
      <c r="AA1931" s="57" t="str">
        <f>IF(Y1931="","",IF(Z1931=1,COUNTIFS(A$6:A1931,A1931,Z$6:Z1931,1),INDEX(AA$6:AA1930,MATCH(Y1931,Y$6:Y1930,0))))</f>
        <v/>
      </c>
      <c r="AB1931" s="57" t="str">
        <f>IF(B1931="","",COUNTIF(B$6:B1931,B1931))</f>
        <v/>
      </c>
      <c r="AC1931" s="57" t="str">
        <f>IF(B1931="","",B1931&amp;"#"&amp;AB1931)</f>
        <v/>
      </c>
      <c r="AD1931" s="57" t="str">
        <f>IF(Z1931=1,A1931&amp;AA1931,"")</f>
        <v/>
      </c>
      <c r="AE1931" s="57" t="str">
        <f>IF(B1931="","",YEAR(C1931))</f>
        <v/>
      </c>
      <c r="AF1931" s="57" t="str">
        <f>IF(B1931="","",MONTH(C1931))</f>
        <v/>
      </c>
      <c r="AG1931" s="57">
        <f>IF(ISNUMBER(C1931),C1931,0)</f>
        <v>0.0</v>
      </c>
      <c r="AH1931" s="57" t="str">
        <f>IF(N(W1931)&gt;0,COUNTIF(W$6:W1931,"&gt;0"),"")</f>
        <v/>
      </c>
      <c r="AI1931" s="57" t="str">
        <f>IF(Z1931=1,COUNTIF(Z$6:Z1931,1),"")</f>
        <v/>
      </c>
    </row>
    <row r="1932">
      <c r="A1932" s="54" t="n"/>
      <c r="B1932" s="55" t="str">
        <f>IF(AA1932="","",A1932&amp;"-"&amp;RIGHT("000"&amp;AA1932,4))</f>
        <v/>
      </c>
      <c r="C1932" s="56" t="n"/>
      <c r="D1932" s="54" t="n"/>
      <c r="E1932" s="57" t="str">
        <f>IF(D1932="","",IF(A1932="BL",IFERROR(INDEX(cl_name,MATCH(D1932,cl_code,0))&amp;"","Client inconnu"),IF(A1932="BR",IFERROR(INDEX(fo_name,MATCH(D1932,fo_code,0))&amp;"","Fournisseur inconnu"),IF(A1932="BS",IF(ISNA(MATCH(D1932,p_services,0)),"Service inconnu",D1932&amp;""),""))))</f>
        <v/>
      </c>
      <c r="F1932" s="58" t="n"/>
      <c r="G1932" s="58" t="n"/>
      <c r="H1932" s="59" t="n"/>
      <c r="I1932" s="57" t="str">
        <f>IF(H1932="","",IFERROR(INDEX(art_des,MATCH(H1932,art_ref,0))&amp;"","Article inconnu"))</f>
        <v/>
      </c>
      <c r="J1932" s="60" t="str">
        <f>IF(H1932="","",IFERROR(INDEX(art_unit,MATCH(H1932,art_ref,0))&amp;"",""))</f>
        <v/>
      </c>
      <c r="K1932" s="59" t="n"/>
      <c r="L1932" s="59" t="n"/>
      <c r="M1932" s="61" t="str">
        <f>IF(OR(B1932="",NOT(ISNUMBER(K1932)),NOT(ISNUMBER(L1932))),"",IF(OR(K1932&lt;=0,L1932&lt;=0),"",ROUND(L1932-K1932,6)))</f>
        <v/>
      </c>
      <c r="N1932" s="58" t="n"/>
      <c r="O1932" s="62" t="n"/>
      <c r="P1932" s="63" t="str">
        <f>IF(OR(B1932="",NOT(ISNUMBER(L1932))),"",IF(L1932&lt;=0,"",IFERROR(ROUND(L1932*N(INDEX(art_w,MATCH(H1932,art_ref,0))),3),"")))</f>
        <v/>
      </c>
      <c r="Q1932" s="59" t="n"/>
      <c r="R1932" s="54" t="n"/>
      <c r="S1932" s="59" t="n"/>
      <c r="T1932" s="59" t="n"/>
      <c r="U1932" s="64" t="str">
        <f>IF(OR(B1932="",H1932=""),"",IFERROR(IF(A1932="BL",IF(N(INDEX(art_price,MATCH(H1932,art_ref,0)))=0,"",N(INDEX(art_price,MATCH(H1932,art_ref,0)))),IF(N(INDEX(art_cost,MATCH(H1932,art_ref,0)))=0,"",N(INDEX(art_cost,MATCH(H1932,art_ref,0))))),""))</f>
        <v/>
      </c>
      <c r="V1932" s="64" t="str">
        <f>IF(OR(U1932="",NOT(ISNUMBER(L1932))),"",IF(L1932&lt;=0,"",ROUND(L1932*U1932,2)))</f>
        <v/>
      </c>
      <c r="W1932" s="60" t="str">
        <f>IF(AND(B1932&lt;&gt;"",A1932&lt;&gt;"BS",F1932&lt;&gt;"",H1932&lt;&gt;"",ISNUMBER(K1932),ISNUMBER(L1932)),IF(AND(K1932&gt;0,L1932&gt;0,K1932-L1932&gt;0,COUNTIFS(A1933:A$2005,A1932,F1933:F$2005,F1932,H1933:H$2005,H1932,AA1933:AA$2005,"&gt;0")=0),ROUND(K1932-L1932,6),""),"")</f>
        <v/>
      </c>
      <c r="X1932" s="60" t="str">
        <f>IF(AND(A1932="",C1932="",D1932="",H1932="",L1932=""),"",IF(A1932="","Type manquant",IF(AND(A1932&lt;&gt;"BL",A1932&lt;&gt;"BR",A1932&lt;&gt;"BS"),"Type inconnu (BL, BR ou BS)",IF(AG1932=0,"Date manquante ou invalide",IF(D1932="",IF(A1932="BL","Client manquant",IF(A1932="BR","Fournisseur manquant","Service manquant")),IF(IF(A1932="BL",ISNA(MATCH(D1932,cl_code,0)),IF(A1932="BR",ISNA(MATCH(D1932,fo_code,0)),ISNA(MATCH(D1932,p_services,0)))),IF(A1932="BL","Client inconnu",IF(A1932="BR","Fournisseur inconnu","Service inconnu")),IF(H1932="","Article manquant",IF(ISNA(MATCH(H1932,art_ref,0)),"Article inconnu",IF(OR(NOT(ISNUMBER(L1932)),N(L1932)&lt;=0),"Quantité invalide",IF(AND(K1932&lt;&gt;"",OR(NOT(ISNUMBER(K1932)),N(K1932)&lt;=0)),"Qté commandée invalide",IF(AG1932&lt;SUMPRODUCT(MAX((A$6:A1931=A1932)*AG$6:AG1931)),"Date antérieure au bon précédent",IF(AND(A1932&lt;&gt;"BR",ISNUMBER(M1932),N(M1932)&gt;0),IF(A1932="BL","Livré plus que commandé","Sorti plus que demandé"),"OK"))))))))))))</f>
        <v/>
      </c>
      <c r="Y1932" s="57" t="str">
        <f>IF(AND(OR(A1932="BL",A1932="BR",A1932="BS"),AG1932&gt;0,D1932&lt;&gt;""),A1932&amp;"|"&amp;AG1932&amp;"|"&amp;D1932&amp;"|"&amp;F1932,"")</f>
        <v/>
      </c>
      <c r="Z1932" s="57" t="str">
        <f>IF(Y1932="","",IF(COUNTIF(Y$6:Y1931,Y1932)=0,1,0))</f>
        <v/>
      </c>
      <c r="AA1932" s="57" t="str">
        <f>IF(Y1932="","",IF(Z1932=1,COUNTIFS(A$6:A1932,A1932,Z$6:Z1932,1),INDEX(AA$6:AA1931,MATCH(Y1932,Y$6:Y1931,0))))</f>
        <v/>
      </c>
      <c r="AB1932" s="57" t="str">
        <f>IF(B1932="","",COUNTIF(B$6:B1932,B1932))</f>
        <v/>
      </c>
      <c r="AC1932" s="57" t="str">
        <f>IF(B1932="","",B1932&amp;"#"&amp;AB1932)</f>
        <v/>
      </c>
      <c r="AD1932" s="57" t="str">
        <f>IF(Z1932=1,A1932&amp;AA1932,"")</f>
        <v/>
      </c>
      <c r="AE1932" s="57" t="str">
        <f>IF(B1932="","",YEAR(C1932))</f>
        <v/>
      </c>
      <c r="AF1932" s="57" t="str">
        <f>IF(B1932="","",MONTH(C1932))</f>
        <v/>
      </c>
      <c r="AG1932" s="57">
        <f>IF(ISNUMBER(C1932),C1932,0)</f>
        <v>0.0</v>
      </c>
      <c r="AH1932" s="57" t="str">
        <f>IF(N(W1932)&gt;0,COUNTIF(W$6:W1932,"&gt;0"),"")</f>
        <v/>
      </c>
      <c r="AI1932" s="57" t="str">
        <f>IF(Z1932=1,COUNTIF(Z$6:Z1932,1),"")</f>
        <v/>
      </c>
    </row>
    <row r="1933">
      <c r="A1933" s="54" t="n"/>
      <c r="B1933" s="55" t="str">
        <f>IF(AA1933="","",A1933&amp;"-"&amp;RIGHT("000"&amp;AA1933,4))</f>
        <v/>
      </c>
      <c r="C1933" s="56" t="n"/>
      <c r="D1933" s="54" t="n"/>
      <c r="E1933" s="57" t="str">
        <f>IF(D1933="","",IF(A1933="BL",IFERROR(INDEX(cl_name,MATCH(D1933,cl_code,0))&amp;"","Client inconnu"),IF(A1933="BR",IFERROR(INDEX(fo_name,MATCH(D1933,fo_code,0))&amp;"","Fournisseur inconnu"),IF(A1933="BS",IF(ISNA(MATCH(D1933,p_services,0)),"Service inconnu",D1933&amp;""),""))))</f>
        <v/>
      </c>
      <c r="F1933" s="58" t="n"/>
      <c r="G1933" s="58" t="n"/>
      <c r="H1933" s="59" t="n"/>
      <c r="I1933" s="57" t="str">
        <f>IF(H1933="","",IFERROR(INDEX(art_des,MATCH(H1933,art_ref,0))&amp;"","Article inconnu"))</f>
        <v/>
      </c>
      <c r="J1933" s="60" t="str">
        <f>IF(H1933="","",IFERROR(INDEX(art_unit,MATCH(H1933,art_ref,0))&amp;"",""))</f>
        <v/>
      </c>
      <c r="K1933" s="59" t="n"/>
      <c r="L1933" s="59" t="n"/>
      <c r="M1933" s="61" t="str">
        <f>IF(OR(B1933="",NOT(ISNUMBER(K1933)),NOT(ISNUMBER(L1933))),"",IF(OR(K1933&lt;=0,L1933&lt;=0),"",ROUND(L1933-K1933,6)))</f>
        <v/>
      </c>
      <c r="N1933" s="58" t="n"/>
      <c r="O1933" s="62" t="n"/>
      <c r="P1933" s="63" t="str">
        <f>IF(OR(B1933="",NOT(ISNUMBER(L1933))),"",IF(L1933&lt;=0,"",IFERROR(ROUND(L1933*N(INDEX(art_w,MATCH(H1933,art_ref,0))),3),"")))</f>
        <v/>
      </c>
      <c r="Q1933" s="59" t="n"/>
      <c r="R1933" s="54" t="n"/>
      <c r="S1933" s="59" t="n"/>
      <c r="T1933" s="59" t="n"/>
      <c r="U1933" s="64" t="str">
        <f>IF(OR(B1933="",H1933=""),"",IFERROR(IF(A1933="BL",IF(N(INDEX(art_price,MATCH(H1933,art_ref,0)))=0,"",N(INDEX(art_price,MATCH(H1933,art_ref,0)))),IF(N(INDEX(art_cost,MATCH(H1933,art_ref,0)))=0,"",N(INDEX(art_cost,MATCH(H1933,art_ref,0))))),""))</f>
        <v/>
      </c>
      <c r="V1933" s="64" t="str">
        <f>IF(OR(U1933="",NOT(ISNUMBER(L1933))),"",IF(L1933&lt;=0,"",ROUND(L1933*U1933,2)))</f>
        <v/>
      </c>
      <c r="W1933" s="60" t="str">
        <f>IF(AND(B1933&lt;&gt;"",A1933&lt;&gt;"BS",F1933&lt;&gt;"",H1933&lt;&gt;"",ISNUMBER(K1933),ISNUMBER(L1933)),IF(AND(K1933&gt;0,L1933&gt;0,K1933-L1933&gt;0,COUNTIFS(A1934:A$2005,A1933,F1934:F$2005,F1933,H1934:H$2005,H1933,AA1934:AA$2005,"&gt;0")=0),ROUND(K1933-L1933,6),""),"")</f>
        <v/>
      </c>
      <c r="X1933" s="60" t="str">
        <f>IF(AND(A1933="",C1933="",D1933="",H1933="",L1933=""),"",IF(A1933="","Type manquant",IF(AND(A1933&lt;&gt;"BL",A1933&lt;&gt;"BR",A1933&lt;&gt;"BS"),"Type inconnu (BL, BR ou BS)",IF(AG1933=0,"Date manquante ou invalide",IF(D1933="",IF(A1933="BL","Client manquant",IF(A1933="BR","Fournisseur manquant","Service manquant")),IF(IF(A1933="BL",ISNA(MATCH(D1933,cl_code,0)),IF(A1933="BR",ISNA(MATCH(D1933,fo_code,0)),ISNA(MATCH(D1933,p_services,0)))),IF(A1933="BL","Client inconnu",IF(A1933="BR","Fournisseur inconnu","Service inconnu")),IF(H1933="","Article manquant",IF(ISNA(MATCH(H1933,art_ref,0)),"Article inconnu",IF(OR(NOT(ISNUMBER(L1933)),N(L1933)&lt;=0),"Quantité invalide",IF(AND(K1933&lt;&gt;"",OR(NOT(ISNUMBER(K1933)),N(K1933)&lt;=0)),"Qté commandée invalide",IF(AG1933&lt;SUMPRODUCT(MAX((A$6:A1932=A1933)*AG$6:AG1932)),"Date antérieure au bon précédent",IF(AND(A1933&lt;&gt;"BR",ISNUMBER(M1933),N(M1933)&gt;0),IF(A1933="BL","Livré plus que commandé","Sorti plus que demandé"),"OK"))))))))))))</f>
        <v/>
      </c>
      <c r="Y1933" s="57" t="str">
        <f>IF(AND(OR(A1933="BL",A1933="BR",A1933="BS"),AG1933&gt;0,D1933&lt;&gt;""),A1933&amp;"|"&amp;AG1933&amp;"|"&amp;D1933&amp;"|"&amp;F1933,"")</f>
        <v/>
      </c>
      <c r="Z1933" s="57" t="str">
        <f>IF(Y1933="","",IF(COUNTIF(Y$6:Y1932,Y1933)=0,1,0))</f>
        <v/>
      </c>
      <c r="AA1933" s="57" t="str">
        <f>IF(Y1933="","",IF(Z1933=1,COUNTIFS(A$6:A1933,A1933,Z$6:Z1933,1),INDEX(AA$6:AA1932,MATCH(Y1933,Y$6:Y1932,0))))</f>
        <v/>
      </c>
      <c r="AB1933" s="57" t="str">
        <f>IF(B1933="","",COUNTIF(B$6:B1933,B1933))</f>
        <v/>
      </c>
      <c r="AC1933" s="57" t="str">
        <f>IF(B1933="","",B1933&amp;"#"&amp;AB1933)</f>
        <v/>
      </c>
      <c r="AD1933" s="57" t="str">
        <f>IF(Z1933=1,A1933&amp;AA1933,"")</f>
        <v/>
      </c>
      <c r="AE1933" s="57" t="str">
        <f>IF(B1933="","",YEAR(C1933))</f>
        <v/>
      </c>
      <c r="AF1933" s="57" t="str">
        <f>IF(B1933="","",MONTH(C1933))</f>
        <v/>
      </c>
      <c r="AG1933" s="57">
        <f>IF(ISNUMBER(C1933),C1933,0)</f>
        <v>0.0</v>
      </c>
      <c r="AH1933" s="57" t="str">
        <f>IF(N(W1933)&gt;0,COUNTIF(W$6:W1933,"&gt;0"),"")</f>
        <v/>
      </c>
      <c r="AI1933" s="57" t="str">
        <f>IF(Z1933=1,COUNTIF(Z$6:Z1933,1),"")</f>
        <v/>
      </c>
    </row>
    <row r="1934">
      <c r="A1934" s="54" t="n"/>
      <c r="B1934" s="55" t="str">
        <f>IF(AA1934="","",A1934&amp;"-"&amp;RIGHT("000"&amp;AA1934,4))</f>
        <v/>
      </c>
      <c r="C1934" s="56" t="n"/>
      <c r="D1934" s="54" t="n"/>
      <c r="E1934" s="57" t="str">
        <f>IF(D1934="","",IF(A1934="BL",IFERROR(INDEX(cl_name,MATCH(D1934,cl_code,0))&amp;"","Client inconnu"),IF(A1934="BR",IFERROR(INDEX(fo_name,MATCH(D1934,fo_code,0))&amp;"","Fournisseur inconnu"),IF(A1934="BS",IF(ISNA(MATCH(D1934,p_services,0)),"Service inconnu",D1934&amp;""),""))))</f>
        <v/>
      </c>
      <c r="F1934" s="58" t="n"/>
      <c r="G1934" s="58" t="n"/>
      <c r="H1934" s="59" t="n"/>
      <c r="I1934" s="57" t="str">
        <f>IF(H1934="","",IFERROR(INDEX(art_des,MATCH(H1934,art_ref,0))&amp;"","Article inconnu"))</f>
        <v/>
      </c>
      <c r="J1934" s="60" t="str">
        <f>IF(H1934="","",IFERROR(INDEX(art_unit,MATCH(H1934,art_ref,0))&amp;"",""))</f>
        <v/>
      </c>
      <c r="K1934" s="59" t="n"/>
      <c r="L1934" s="59" t="n"/>
      <c r="M1934" s="61" t="str">
        <f>IF(OR(B1934="",NOT(ISNUMBER(K1934)),NOT(ISNUMBER(L1934))),"",IF(OR(K1934&lt;=0,L1934&lt;=0),"",ROUND(L1934-K1934,6)))</f>
        <v/>
      </c>
      <c r="N1934" s="58" t="n"/>
      <c r="O1934" s="62" t="n"/>
      <c r="P1934" s="63" t="str">
        <f>IF(OR(B1934="",NOT(ISNUMBER(L1934))),"",IF(L1934&lt;=0,"",IFERROR(ROUND(L1934*N(INDEX(art_w,MATCH(H1934,art_ref,0))),3),"")))</f>
        <v/>
      </c>
      <c r="Q1934" s="59" t="n"/>
      <c r="R1934" s="54" t="n"/>
      <c r="S1934" s="59" t="n"/>
      <c r="T1934" s="59" t="n"/>
      <c r="U1934" s="64" t="str">
        <f>IF(OR(B1934="",H1934=""),"",IFERROR(IF(A1934="BL",IF(N(INDEX(art_price,MATCH(H1934,art_ref,0)))=0,"",N(INDEX(art_price,MATCH(H1934,art_ref,0)))),IF(N(INDEX(art_cost,MATCH(H1934,art_ref,0)))=0,"",N(INDEX(art_cost,MATCH(H1934,art_ref,0))))),""))</f>
        <v/>
      </c>
      <c r="V1934" s="64" t="str">
        <f>IF(OR(U1934="",NOT(ISNUMBER(L1934))),"",IF(L1934&lt;=0,"",ROUND(L1934*U1934,2)))</f>
        <v/>
      </c>
      <c r="W1934" s="60" t="str">
        <f>IF(AND(B1934&lt;&gt;"",A1934&lt;&gt;"BS",F1934&lt;&gt;"",H1934&lt;&gt;"",ISNUMBER(K1934),ISNUMBER(L1934)),IF(AND(K1934&gt;0,L1934&gt;0,K1934-L1934&gt;0,COUNTIFS(A1935:A$2005,A1934,F1935:F$2005,F1934,H1935:H$2005,H1934,AA1935:AA$2005,"&gt;0")=0),ROUND(K1934-L1934,6),""),"")</f>
        <v/>
      </c>
      <c r="X1934" s="60" t="str">
        <f>IF(AND(A1934="",C1934="",D1934="",H1934="",L1934=""),"",IF(A1934="","Type manquant",IF(AND(A1934&lt;&gt;"BL",A1934&lt;&gt;"BR",A1934&lt;&gt;"BS"),"Type inconnu (BL, BR ou BS)",IF(AG1934=0,"Date manquante ou invalide",IF(D1934="",IF(A1934="BL","Client manquant",IF(A1934="BR","Fournisseur manquant","Service manquant")),IF(IF(A1934="BL",ISNA(MATCH(D1934,cl_code,0)),IF(A1934="BR",ISNA(MATCH(D1934,fo_code,0)),ISNA(MATCH(D1934,p_services,0)))),IF(A1934="BL","Client inconnu",IF(A1934="BR","Fournisseur inconnu","Service inconnu")),IF(H1934="","Article manquant",IF(ISNA(MATCH(H1934,art_ref,0)),"Article inconnu",IF(OR(NOT(ISNUMBER(L1934)),N(L1934)&lt;=0),"Quantité invalide",IF(AND(K1934&lt;&gt;"",OR(NOT(ISNUMBER(K1934)),N(K1934)&lt;=0)),"Qté commandée invalide",IF(AG1934&lt;SUMPRODUCT(MAX((A$6:A1933=A1934)*AG$6:AG1933)),"Date antérieure au bon précédent",IF(AND(A1934&lt;&gt;"BR",ISNUMBER(M1934),N(M1934)&gt;0),IF(A1934="BL","Livré plus que commandé","Sorti plus que demandé"),"OK"))))))))))))</f>
        <v/>
      </c>
      <c r="Y1934" s="57" t="str">
        <f>IF(AND(OR(A1934="BL",A1934="BR",A1934="BS"),AG1934&gt;0,D1934&lt;&gt;""),A1934&amp;"|"&amp;AG1934&amp;"|"&amp;D1934&amp;"|"&amp;F1934,"")</f>
        <v/>
      </c>
      <c r="Z1934" s="57" t="str">
        <f>IF(Y1934="","",IF(COUNTIF(Y$6:Y1933,Y1934)=0,1,0))</f>
        <v/>
      </c>
      <c r="AA1934" s="57" t="str">
        <f>IF(Y1934="","",IF(Z1934=1,COUNTIFS(A$6:A1934,A1934,Z$6:Z1934,1),INDEX(AA$6:AA1933,MATCH(Y1934,Y$6:Y1933,0))))</f>
        <v/>
      </c>
      <c r="AB1934" s="57" t="str">
        <f>IF(B1934="","",COUNTIF(B$6:B1934,B1934))</f>
        <v/>
      </c>
      <c r="AC1934" s="57" t="str">
        <f>IF(B1934="","",B1934&amp;"#"&amp;AB1934)</f>
        <v/>
      </c>
      <c r="AD1934" s="57" t="str">
        <f>IF(Z1934=1,A1934&amp;AA1934,"")</f>
        <v/>
      </c>
      <c r="AE1934" s="57" t="str">
        <f>IF(B1934="","",YEAR(C1934))</f>
        <v/>
      </c>
      <c r="AF1934" s="57" t="str">
        <f>IF(B1934="","",MONTH(C1934))</f>
        <v/>
      </c>
      <c r="AG1934" s="57">
        <f>IF(ISNUMBER(C1934),C1934,0)</f>
        <v>0.0</v>
      </c>
      <c r="AH1934" s="57" t="str">
        <f>IF(N(W1934)&gt;0,COUNTIF(W$6:W1934,"&gt;0"),"")</f>
        <v/>
      </c>
      <c r="AI1934" s="57" t="str">
        <f>IF(Z1934=1,COUNTIF(Z$6:Z1934,1),"")</f>
        <v/>
      </c>
    </row>
    <row r="1935">
      <c r="A1935" s="54" t="n"/>
      <c r="B1935" s="55" t="str">
        <f>IF(AA1935="","",A1935&amp;"-"&amp;RIGHT("000"&amp;AA1935,4))</f>
        <v/>
      </c>
      <c r="C1935" s="56" t="n"/>
      <c r="D1935" s="54" t="n"/>
      <c r="E1935" s="57" t="str">
        <f>IF(D1935="","",IF(A1935="BL",IFERROR(INDEX(cl_name,MATCH(D1935,cl_code,0))&amp;"","Client inconnu"),IF(A1935="BR",IFERROR(INDEX(fo_name,MATCH(D1935,fo_code,0))&amp;"","Fournisseur inconnu"),IF(A1935="BS",IF(ISNA(MATCH(D1935,p_services,0)),"Service inconnu",D1935&amp;""),""))))</f>
        <v/>
      </c>
      <c r="F1935" s="58" t="n"/>
      <c r="G1935" s="58" t="n"/>
      <c r="H1935" s="59" t="n"/>
      <c r="I1935" s="57" t="str">
        <f>IF(H1935="","",IFERROR(INDEX(art_des,MATCH(H1935,art_ref,0))&amp;"","Article inconnu"))</f>
        <v/>
      </c>
      <c r="J1935" s="60" t="str">
        <f>IF(H1935="","",IFERROR(INDEX(art_unit,MATCH(H1935,art_ref,0))&amp;"",""))</f>
        <v/>
      </c>
      <c r="K1935" s="59" t="n"/>
      <c r="L1935" s="59" t="n"/>
      <c r="M1935" s="61" t="str">
        <f>IF(OR(B1935="",NOT(ISNUMBER(K1935)),NOT(ISNUMBER(L1935))),"",IF(OR(K1935&lt;=0,L1935&lt;=0),"",ROUND(L1935-K1935,6)))</f>
        <v/>
      </c>
      <c r="N1935" s="58" t="n"/>
      <c r="O1935" s="62" t="n"/>
      <c r="P1935" s="63" t="str">
        <f>IF(OR(B1935="",NOT(ISNUMBER(L1935))),"",IF(L1935&lt;=0,"",IFERROR(ROUND(L1935*N(INDEX(art_w,MATCH(H1935,art_ref,0))),3),"")))</f>
        <v/>
      </c>
      <c r="Q1935" s="59" t="n"/>
      <c r="R1935" s="54" t="n"/>
      <c r="S1935" s="59" t="n"/>
      <c r="T1935" s="59" t="n"/>
      <c r="U1935" s="64" t="str">
        <f>IF(OR(B1935="",H1935=""),"",IFERROR(IF(A1935="BL",IF(N(INDEX(art_price,MATCH(H1935,art_ref,0)))=0,"",N(INDEX(art_price,MATCH(H1935,art_ref,0)))),IF(N(INDEX(art_cost,MATCH(H1935,art_ref,0)))=0,"",N(INDEX(art_cost,MATCH(H1935,art_ref,0))))),""))</f>
        <v/>
      </c>
      <c r="V1935" s="64" t="str">
        <f>IF(OR(U1935="",NOT(ISNUMBER(L1935))),"",IF(L1935&lt;=0,"",ROUND(L1935*U1935,2)))</f>
        <v/>
      </c>
      <c r="W1935" s="60" t="str">
        <f>IF(AND(B1935&lt;&gt;"",A1935&lt;&gt;"BS",F1935&lt;&gt;"",H1935&lt;&gt;"",ISNUMBER(K1935),ISNUMBER(L1935)),IF(AND(K1935&gt;0,L1935&gt;0,K1935-L1935&gt;0,COUNTIFS(A1936:A$2005,A1935,F1936:F$2005,F1935,H1936:H$2005,H1935,AA1936:AA$2005,"&gt;0")=0),ROUND(K1935-L1935,6),""),"")</f>
        <v/>
      </c>
      <c r="X1935" s="60" t="str">
        <f>IF(AND(A1935="",C1935="",D1935="",H1935="",L1935=""),"",IF(A1935="","Type manquant",IF(AND(A1935&lt;&gt;"BL",A1935&lt;&gt;"BR",A1935&lt;&gt;"BS"),"Type inconnu (BL, BR ou BS)",IF(AG1935=0,"Date manquante ou invalide",IF(D1935="",IF(A1935="BL","Client manquant",IF(A1935="BR","Fournisseur manquant","Service manquant")),IF(IF(A1935="BL",ISNA(MATCH(D1935,cl_code,0)),IF(A1935="BR",ISNA(MATCH(D1935,fo_code,0)),ISNA(MATCH(D1935,p_services,0)))),IF(A1935="BL","Client inconnu",IF(A1935="BR","Fournisseur inconnu","Service inconnu")),IF(H1935="","Article manquant",IF(ISNA(MATCH(H1935,art_ref,0)),"Article inconnu",IF(OR(NOT(ISNUMBER(L1935)),N(L1935)&lt;=0),"Quantité invalide",IF(AND(K1935&lt;&gt;"",OR(NOT(ISNUMBER(K1935)),N(K1935)&lt;=0)),"Qté commandée invalide",IF(AG1935&lt;SUMPRODUCT(MAX((A$6:A1934=A1935)*AG$6:AG1934)),"Date antérieure au bon précédent",IF(AND(A1935&lt;&gt;"BR",ISNUMBER(M1935),N(M1935)&gt;0),IF(A1935="BL","Livré plus que commandé","Sorti plus que demandé"),"OK"))))))))))))</f>
        <v/>
      </c>
      <c r="Y1935" s="57" t="str">
        <f>IF(AND(OR(A1935="BL",A1935="BR",A1935="BS"),AG1935&gt;0,D1935&lt;&gt;""),A1935&amp;"|"&amp;AG1935&amp;"|"&amp;D1935&amp;"|"&amp;F1935,"")</f>
        <v/>
      </c>
      <c r="Z1935" s="57" t="str">
        <f>IF(Y1935="","",IF(COUNTIF(Y$6:Y1934,Y1935)=0,1,0))</f>
        <v/>
      </c>
      <c r="AA1935" s="57" t="str">
        <f>IF(Y1935="","",IF(Z1935=1,COUNTIFS(A$6:A1935,A1935,Z$6:Z1935,1),INDEX(AA$6:AA1934,MATCH(Y1935,Y$6:Y1934,0))))</f>
        <v/>
      </c>
      <c r="AB1935" s="57" t="str">
        <f>IF(B1935="","",COUNTIF(B$6:B1935,B1935))</f>
        <v/>
      </c>
      <c r="AC1935" s="57" t="str">
        <f>IF(B1935="","",B1935&amp;"#"&amp;AB1935)</f>
        <v/>
      </c>
      <c r="AD1935" s="57" t="str">
        <f>IF(Z1935=1,A1935&amp;AA1935,"")</f>
        <v/>
      </c>
      <c r="AE1935" s="57" t="str">
        <f>IF(B1935="","",YEAR(C1935))</f>
        <v/>
      </c>
      <c r="AF1935" s="57" t="str">
        <f>IF(B1935="","",MONTH(C1935))</f>
        <v/>
      </c>
      <c r="AG1935" s="57">
        <f>IF(ISNUMBER(C1935),C1935,0)</f>
        <v>0.0</v>
      </c>
      <c r="AH1935" s="57" t="str">
        <f>IF(N(W1935)&gt;0,COUNTIF(W$6:W1935,"&gt;0"),"")</f>
        <v/>
      </c>
      <c r="AI1935" s="57" t="str">
        <f>IF(Z1935=1,COUNTIF(Z$6:Z1935,1),"")</f>
        <v/>
      </c>
    </row>
    <row r="1936">
      <c r="A1936" s="54" t="n"/>
      <c r="B1936" s="55" t="str">
        <f>IF(AA1936="","",A1936&amp;"-"&amp;RIGHT("000"&amp;AA1936,4))</f>
        <v/>
      </c>
      <c r="C1936" s="56" t="n"/>
      <c r="D1936" s="54" t="n"/>
      <c r="E1936" s="57" t="str">
        <f>IF(D1936="","",IF(A1936="BL",IFERROR(INDEX(cl_name,MATCH(D1936,cl_code,0))&amp;"","Client inconnu"),IF(A1936="BR",IFERROR(INDEX(fo_name,MATCH(D1936,fo_code,0))&amp;"","Fournisseur inconnu"),IF(A1936="BS",IF(ISNA(MATCH(D1936,p_services,0)),"Service inconnu",D1936&amp;""),""))))</f>
        <v/>
      </c>
      <c r="F1936" s="58" t="n"/>
      <c r="G1936" s="58" t="n"/>
      <c r="H1936" s="59" t="n"/>
      <c r="I1936" s="57" t="str">
        <f>IF(H1936="","",IFERROR(INDEX(art_des,MATCH(H1936,art_ref,0))&amp;"","Article inconnu"))</f>
        <v/>
      </c>
      <c r="J1936" s="60" t="str">
        <f>IF(H1936="","",IFERROR(INDEX(art_unit,MATCH(H1936,art_ref,0))&amp;"",""))</f>
        <v/>
      </c>
      <c r="K1936" s="59" t="n"/>
      <c r="L1936" s="59" t="n"/>
      <c r="M1936" s="61" t="str">
        <f>IF(OR(B1936="",NOT(ISNUMBER(K1936)),NOT(ISNUMBER(L1936))),"",IF(OR(K1936&lt;=0,L1936&lt;=0),"",ROUND(L1936-K1936,6)))</f>
        <v/>
      </c>
      <c r="N1936" s="58" t="n"/>
      <c r="O1936" s="62" t="n"/>
      <c r="P1936" s="63" t="str">
        <f>IF(OR(B1936="",NOT(ISNUMBER(L1936))),"",IF(L1936&lt;=0,"",IFERROR(ROUND(L1936*N(INDEX(art_w,MATCH(H1936,art_ref,0))),3),"")))</f>
        <v/>
      </c>
      <c r="Q1936" s="59" t="n"/>
      <c r="R1936" s="54" t="n"/>
      <c r="S1936" s="59" t="n"/>
      <c r="T1936" s="59" t="n"/>
      <c r="U1936" s="64" t="str">
        <f>IF(OR(B1936="",H1936=""),"",IFERROR(IF(A1936="BL",IF(N(INDEX(art_price,MATCH(H1936,art_ref,0)))=0,"",N(INDEX(art_price,MATCH(H1936,art_ref,0)))),IF(N(INDEX(art_cost,MATCH(H1936,art_ref,0)))=0,"",N(INDEX(art_cost,MATCH(H1936,art_ref,0))))),""))</f>
        <v/>
      </c>
      <c r="V1936" s="64" t="str">
        <f>IF(OR(U1936="",NOT(ISNUMBER(L1936))),"",IF(L1936&lt;=0,"",ROUND(L1936*U1936,2)))</f>
        <v/>
      </c>
      <c r="W1936" s="60" t="str">
        <f>IF(AND(B1936&lt;&gt;"",A1936&lt;&gt;"BS",F1936&lt;&gt;"",H1936&lt;&gt;"",ISNUMBER(K1936),ISNUMBER(L1936)),IF(AND(K1936&gt;0,L1936&gt;0,K1936-L1936&gt;0,COUNTIFS(A1937:A$2005,A1936,F1937:F$2005,F1936,H1937:H$2005,H1936,AA1937:AA$2005,"&gt;0")=0),ROUND(K1936-L1936,6),""),"")</f>
        <v/>
      </c>
      <c r="X1936" s="60" t="str">
        <f>IF(AND(A1936="",C1936="",D1936="",H1936="",L1936=""),"",IF(A1936="","Type manquant",IF(AND(A1936&lt;&gt;"BL",A1936&lt;&gt;"BR",A1936&lt;&gt;"BS"),"Type inconnu (BL, BR ou BS)",IF(AG1936=0,"Date manquante ou invalide",IF(D1936="",IF(A1936="BL","Client manquant",IF(A1936="BR","Fournisseur manquant","Service manquant")),IF(IF(A1936="BL",ISNA(MATCH(D1936,cl_code,0)),IF(A1936="BR",ISNA(MATCH(D1936,fo_code,0)),ISNA(MATCH(D1936,p_services,0)))),IF(A1936="BL","Client inconnu",IF(A1936="BR","Fournisseur inconnu","Service inconnu")),IF(H1936="","Article manquant",IF(ISNA(MATCH(H1936,art_ref,0)),"Article inconnu",IF(OR(NOT(ISNUMBER(L1936)),N(L1936)&lt;=0),"Quantité invalide",IF(AND(K1936&lt;&gt;"",OR(NOT(ISNUMBER(K1936)),N(K1936)&lt;=0)),"Qté commandée invalide",IF(AG1936&lt;SUMPRODUCT(MAX((A$6:A1935=A1936)*AG$6:AG1935)),"Date antérieure au bon précédent",IF(AND(A1936&lt;&gt;"BR",ISNUMBER(M1936),N(M1936)&gt;0),IF(A1936="BL","Livré plus que commandé","Sorti plus que demandé"),"OK"))))))))))))</f>
        <v/>
      </c>
      <c r="Y1936" s="57" t="str">
        <f>IF(AND(OR(A1936="BL",A1936="BR",A1936="BS"),AG1936&gt;0,D1936&lt;&gt;""),A1936&amp;"|"&amp;AG1936&amp;"|"&amp;D1936&amp;"|"&amp;F1936,"")</f>
        <v/>
      </c>
      <c r="Z1936" s="57" t="str">
        <f>IF(Y1936="","",IF(COUNTIF(Y$6:Y1935,Y1936)=0,1,0))</f>
        <v/>
      </c>
      <c r="AA1936" s="57" t="str">
        <f>IF(Y1936="","",IF(Z1936=1,COUNTIFS(A$6:A1936,A1936,Z$6:Z1936,1),INDEX(AA$6:AA1935,MATCH(Y1936,Y$6:Y1935,0))))</f>
        <v/>
      </c>
      <c r="AB1936" s="57" t="str">
        <f>IF(B1936="","",COUNTIF(B$6:B1936,B1936))</f>
        <v/>
      </c>
      <c r="AC1936" s="57" t="str">
        <f>IF(B1936="","",B1936&amp;"#"&amp;AB1936)</f>
        <v/>
      </c>
      <c r="AD1936" s="57" t="str">
        <f>IF(Z1936=1,A1936&amp;AA1936,"")</f>
        <v/>
      </c>
      <c r="AE1936" s="57" t="str">
        <f>IF(B1936="","",YEAR(C1936))</f>
        <v/>
      </c>
      <c r="AF1936" s="57" t="str">
        <f>IF(B1936="","",MONTH(C1936))</f>
        <v/>
      </c>
      <c r="AG1936" s="57">
        <f>IF(ISNUMBER(C1936),C1936,0)</f>
        <v>0.0</v>
      </c>
      <c r="AH1936" s="57" t="str">
        <f>IF(N(W1936)&gt;0,COUNTIF(W$6:W1936,"&gt;0"),"")</f>
        <v/>
      </c>
      <c r="AI1936" s="57" t="str">
        <f>IF(Z1936=1,COUNTIF(Z$6:Z1936,1),"")</f>
        <v/>
      </c>
    </row>
    <row r="1937">
      <c r="A1937" s="54" t="n"/>
      <c r="B1937" s="55" t="str">
        <f>IF(AA1937="","",A1937&amp;"-"&amp;RIGHT("000"&amp;AA1937,4))</f>
        <v/>
      </c>
      <c r="C1937" s="56" t="n"/>
      <c r="D1937" s="54" t="n"/>
      <c r="E1937" s="57" t="str">
        <f>IF(D1937="","",IF(A1937="BL",IFERROR(INDEX(cl_name,MATCH(D1937,cl_code,0))&amp;"","Client inconnu"),IF(A1937="BR",IFERROR(INDEX(fo_name,MATCH(D1937,fo_code,0))&amp;"","Fournisseur inconnu"),IF(A1937="BS",IF(ISNA(MATCH(D1937,p_services,0)),"Service inconnu",D1937&amp;""),""))))</f>
        <v/>
      </c>
      <c r="F1937" s="58" t="n"/>
      <c r="G1937" s="58" t="n"/>
      <c r="H1937" s="59" t="n"/>
      <c r="I1937" s="57" t="str">
        <f>IF(H1937="","",IFERROR(INDEX(art_des,MATCH(H1937,art_ref,0))&amp;"","Article inconnu"))</f>
        <v/>
      </c>
      <c r="J1937" s="60" t="str">
        <f>IF(H1937="","",IFERROR(INDEX(art_unit,MATCH(H1937,art_ref,0))&amp;"",""))</f>
        <v/>
      </c>
      <c r="K1937" s="59" t="n"/>
      <c r="L1937" s="59" t="n"/>
      <c r="M1937" s="61" t="str">
        <f>IF(OR(B1937="",NOT(ISNUMBER(K1937)),NOT(ISNUMBER(L1937))),"",IF(OR(K1937&lt;=0,L1937&lt;=0),"",ROUND(L1937-K1937,6)))</f>
        <v/>
      </c>
      <c r="N1937" s="58" t="n"/>
      <c r="O1937" s="62" t="n"/>
      <c r="P1937" s="63" t="str">
        <f>IF(OR(B1937="",NOT(ISNUMBER(L1937))),"",IF(L1937&lt;=0,"",IFERROR(ROUND(L1937*N(INDEX(art_w,MATCH(H1937,art_ref,0))),3),"")))</f>
        <v/>
      </c>
      <c r="Q1937" s="59" t="n"/>
      <c r="R1937" s="54" t="n"/>
      <c r="S1937" s="59" t="n"/>
      <c r="T1937" s="59" t="n"/>
      <c r="U1937" s="64" t="str">
        <f>IF(OR(B1937="",H1937=""),"",IFERROR(IF(A1937="BL",IF(N(INDEX(art_price,MATCH(H1937,art_ref,0)))=0,"",N(INDEX(art_price,MATCH(H1937,art_ref,0)))),IF(N(INDEX(art_cost,MATCH(H1937,art_ref,0)))=0,"",N(INDEX(art_cost,MATCH(H1937,art_ref,0))))),""))</f>
        <v/>
      </c>
      <c r="V1937" s="64" t="str">
        <f>IF(OR(U1937="",NOT(ISNUMBER(L1937))),"",IF(L1937&lt;=0,"",ROUND(L1937*U1937,2)))</f>
        <v/>
      </c>
      <c r="W1937" s="60" t="str">
        <f>IF(AND(B1937&lt;&gt;"",A1937&lt;&gt;"BS",F1937&lt;&gt;"",H1937&lt;&gt;"",ISNUMBER(K1937),ISNUMBER(L1937)),IF(AND(K1937&gt;0,L1937&gt;0,K1937-L1937&gt;0,COUNTIFS(A1938:A$2005,A1937,F1938:F$2005,F1937,H1938:H$2005,H1937,AA1938:AA$2005,"&gt;0")=0),ROUND(K1937-L1937,6),""),"")</f>
        <v/>
      </c>
      <c r="X1937" s="60" t="str">
        <f>IF(AND(A1937="",C1937="",D1937="",H1937="",L1937=""),"",IF(A1937="","Type manquant",IF(AND(A1937&lt;&gt;"BL",A1937&lt;&gt;"BR",A1937&lt;&gt;"BS"),"Type inconnu (BL, BR ou BS)",IF(AG1937=0,"Date manquante ou invalide",IF(D1937="",IF(A1937="BL","Client manquant",IF(A1937="BR","Fournisseur manquant","Service manquant")),IF(IF(A1937="BL",ISNA(MATCH(D1937,cl_code,0)),IF(A1937="BR",ISNA(MATCH(D1937,fo_code,0)),ISNA(MATCH(D1937,p_services,0)))),IF(A1937="BL","Client inconnu",IF(A1937="BR","Fournisseur inconnu","Service inconnu")),IF(H1937="","Article manquant",IF(ISNA(MATCH(H1937,art_ref,0)),"Article inconnu",IF(OR(NOT(ISNUMBER(L1937)),N(L1937)&lt;=0),"Quantité invalide",IF(AND(K1937&lt;&gt;"",OR(NOT(ISNUMBER(K1937)),N(K1937)&lt;=0)),"Qté commandée invalide",IF(AG1937&lt;SUMPRODUCT(MAX((A$6:A1936=A1937)*AG$6:AG1936)),"Date antérieure au bon précédent",IF(AND(A1937&lt;&gt;"BR",ISNUMBER(M1937),N(M1937)&gt;0),IF(A1937="BL","Livré plus que commandé","Sorti plus que demandé"),"OK"))))))))))))</f>
        <v/>
      </c>
      <c r="Y1937" s="57" t="str">
        <f>IF(AND(OR(A1937="BL",A1937="BR",A1937="BS"),AG1937&gt;0,D1937&lt;&gt;""),A1937&amp;"|"&amp;AG1937&amp;"|"&amp;D1937&amp;"|"&amp;F1937,"")</f>
        <v/>
      </c>
      <c r="Z1937" s="57" t="str">
        <f>IF(Y1937="","",IF(COUNTIF(Y$6:Y1936,Y1937)=0,1,0))</f>
        <v/>
      </c>
      <c r="AA1937" s="57" t="str">
        <f>IF(Y1937="","",IF(Z1937=1,COUNTIFS(A$6:A1937,A1937,Z$6:Z1937,1),INDEX(AA$6:AA1936,MATCH(Y1937,Y$6:Y1936,0))))</f>
        <v/>
      </c>
      <c r="AB1937" s="57" t="str">
        <f>IF(B1937="","",COUNTIF(B$6:B1937,B1937))</f>
        <v/>
      </c>
      <c r="AC1937" s="57" t="str">
        <f>IF(B1937="","",B1937&amp;"#"&amp;AB1937)</f>
        <v/>
      </c>
      <c r="AD1937" s="57" t="str">
        <f>IF(Z1937=1,A1937&amp;AA1937,"")</f>
        <v/>
      </c>
      <c r="AE1937" s="57" t="str">
        <f>IF(B1937="","",YEAR(C1937))</f>
        <v/>
      </c>
      <c r="AF1937" s="57" t="str">
        <f>IF(B1937="","",MONTH(C1937))</f>
        <v/>
      </c>
      <c r="AG1937" s="57">
        <f>IF(ISNUMBER(C1937),C1937,0)</f>
        <v>0.0</v>
      </c>
      <c r="AH1937" s="57" t="str">
        <f>IF(N(W1937)&gt;0,COUNTIF(W$6:W1937,"&gt;0"),"")</f>
        <v/>
      </c>
      <c r="AI1937" s="57" t="str">
        <f>IF(Z1937=1,COUNTIF(Z$6:Z1937,1),"")</f>
        <v/>
      </c>
    </row>
    <row r="1938">
      <c r="A1938" s="54" t="n"/>
      <c r="B1938" s="55" t="str">
        <f>IF(AA1938="","",A1938&amp;"-"&amp;RIGHT("000"&amp;AA1938,4))</f>
        <v/>
      </c>
      <c r="C1938" s="56" t="n"/>
      <c r="D1938" s="54" t="n"/>
      <c r="E1938" s="57" t="str">
        <f>IF(D1938="","",IF(A1938="BL",IFERROR(INDEX(cl_name,MATCH(D1938,cl_code,0))&amp;"","Client inconnu"),IF(A1938="BR",IFERROR(INDEX(fo_name,MATCH(D1938,fo_code,0))&amp;"","Fournisseur inconnu"),IF(A1938="BS",IF(ISNA(MATCH(D1938,p_services,0)),"Service inconnu",D1938&amp;""),""))))</f>
        <v/>
      </c>
      <c r="F1938" s="58" t="n"/>
      <c r="G1938" s="58" t="n"/>
      <c r="H1938" s="59" t="n"/>
      <c r="I1938" s="57" t="str">
        <f>IF(H1938="","",IFERROR(INDEX(art_des,MATCH(H1938,art_ref,0))&amp;"","Article inconnu"))</f>
        <v/>
      </c>
      <c r="J1938" s="60" t="str">
        <f>IF(H1938="","",IFERROR(INDEX(art_unit,MATCH(H1938,art_ref,0))&amp;"",""))</f>
        <v/>
      </c>
      <c r="K1938" s="59" t="n"/>
      <c r="L1938" s="59" t="n"/>
      <c r="M1938" s="61" t="str">
        <f>IF(OR(B1938="",NOT(ISNUMBER(K1938)),NOT(ISNUMBER(L1938))),"",IF(OR(K1938&lt;=0,L1938&lt;=0),"",ROUND(L1938-K1938,6)))</f>
        <v/>
      </c>
      <c r="N1938" s="58" t="n"/>
      <c r="O1938" s="62" t="n"/>
      <c r="P1938" s="63" t="str">
        <f>IF(OR(B1938="",NOT(ISNUMBER(L1938))),"",IF(L1938&lt;=0,"",IFERROR(ROUND(L1938*N(INDEX(art_w,MATCH(H1938,art_ref,0))),3),"")))</f>
        <v/>
      </c>
      <c r="Q1938" s="59" t="n"/>
      <c r="R1938" s="54" t="n"/>
      <c r="S1938" s="59" t="n"/>
      <c r="T1938" s="59" t="n"/>
      <c r="U1938" s="64" t="str">
        <f>IF(OR(B1938="",H1938=""),"",IFERROR(IF(A1938="BL",IF(N(INDEX(art_price,MATCH(H1938,art_ref,0)))=0,"",N(INDEX(art_price,MATCH(H1938,art_ref,0)))),IF(N(INDEX(art_cost,MATCH(H1938,art_ref,0)))=0,"",N(INDEX(art_cost,MATCH(H1938,art_ref,0))))),""))</f>
        <v/>
      </c>
      <c r="V1938" s="64" t="str">
        <f>IF(OR(U1938="",NOT(ISNUMBER(L1938))),"",IF(L1938&lt;=0,"",ROUND(L1938*U1938,2)))</f>
        <v/>
      </c>
      <c r="W1938" s="60" t="str">
        <f>IF(AND(B1938&lt;&gt;"",A1938&lt;&gt;"BS",F1938&lt;&gt;"",H1938&lt;&gt;"",ISNUMBER(K1938),ISNUMBER(L1938)),IF(AND(K1938&gt;0,L1938&gt;0,K1938-L1938&gt;0,COUNTIFS(A1939:A$2005,A1938,F1939:F$2005,F1938,H1939:H$2005,H1938,AA1939:AA$2005,"&gt;0")=0),ROUND(K1938-L1938,6),""),"")</f>
        <v/>
      </c>
      <c r="X1938" s="60" t="str">
        <f>IF(AND(A1938="",C1938="",D1938="",H1938="",L1938=""),"",IF(A1938="","Type manquant",IF(AND(A1938&lt;&gt;"BL",A1938&lt;&gt;"BR",A1938&lt;&gt;"BS"),"Type inconnu (BL, BR ou BS)",IF(AG1938=0,"Date manquante ou invalide",IF(D1938="",IF(A1938="BL","Client manquant",IF(A1938="BR","Fournisseur manquant","Service manquant")),IF(IF(A1938="BL",ISNA(MATCH(D1938,cl_code,0)),IF(A1938="BR",ISNA(MATCH(D1938,fo_code,0)),ISNA(MATCH(D1938,p_services,0)))),IF(A1938="BL","Client inconnu",IF(A1938="BR","Fournisseur inconnu","Service inconnu")),IF(H1938="","Article manquant",IF(ISNA(MATCH(H1938,art_ref,0)),"Article inconnu",IF(OR(NOT(ISNUMBER(L1938)),N(L1938)&lt;=0),"Quantité invalide",IF(AND(K1938&lt;&gt;"",OR(NOT(ISNUMBER(K1938)),N(K1938)&lt;=0)),"Qté commandée invalide",IF(AG1938&lt;SUMPRODUCT(MAX((A$6:A1937=A1938)*AG$6:AG1937)),"Date antérieure au bon précédent",IF(AND(A1938&lt;&gt;"BR",ISNUMBER(M1938),N(M1938)&gt;0),IF(A1938="BL","Livré plus que commandé","Sorti plus que demandé"),"OK"))))))))))))</f>
        <v/>
      </c>
      <c r="Y1938" s="57" t="str">
        <f>IF(AND(OR(A1938="BL",A1938="BR",A1938="BS"),AG1938&gt;0,D1938&lt;&gt;""),A1938&amp;"|"&amp;AG1938&amp;"|"&amp;D1938&amp;"|"&amp;F1938,"")</f>
        <v/>
      </c>
      <c r="Z1938" s="57" t="str">
        <f>IF(Y1938="","",IF(COUNTIF(Y$6:Y1937,Y1938)=0,1,0))</f>
        <v/>
      </c>
      <c r="AA1938" s="57" t="str">
        <f>IF(Y1938="","",IF(Z1938=1,COUNTIFS(A$6:A1938,A1938,Z$6:Z1938,1),INDEX(AA$6:AA1937,MATCH(Y1938,Y$6:Y1937,0))))</f>
        <v/>
      </c>
      <c r="AB1938" s="57" t="str">
        <f>IF(B1938="","",COUNTIF(B$6:B1938,B1938))</f>
        <v/>
      </c>
      <c r="AC1938" s="57" t="str">
        <f>IF(B1938="","",B1938&amp;"#"&amp;AB1938)</f>
        <v/>
      </c>
      <c r="AD1938" s="57" t="str">
        <f>IF(Z1938=1,A1938&amp;AA1938,"")</f>
        <v/>
      </c>
      <c r="AE1938" s="57" t="str">
        <f>IF(B1938="","",YEAR(C1938))</f>
        <v/>
      </c>
      <c r="AF1938" s="57" t="str">
        <f>IF(B1938="","",MONTH(C1938))</f>
        <v/>
      </c>
      <c r="AG1938" s="57">
        <f>IF(ISNUMBER(C1938),C1938,0)</f>
        <v>0.0</v>
      </c>
      <c r="AH1938" s="57" t="str">
        <f>IF(N(W1938)&gt;0,COUNTIF(W$6:W1938,"&gt;0"),"")</f>
        <v/>
      </c>
      <c r="AI1938" s="57" t="str">
        <f>IF(Z1938=1,COUNTIF(Z$6:Z1938,1),"")</f>
        <v/>
      </c>
    </row>
    <row r="1939">
      <c r="A1939" s="54" t="n"/>
      <c r="B1939" s="55" t="str">
        <f>IF(AA1939="","",A1939&amp;"-"&amp;RIGHT("000"&amp;AA1939,4))</f>
        <v/>
      </c>
      <c r="C1939" s="56" t="n"/>
      <c r="D1939" s="54" t="n"/>
      <c r="E1939" s="57" t="str">
        <f>IF(D1939="","",IF(A1939="BL",IFERROR(INDEX(cl_name,MATCH(D1939,cl_code,0))&amp;"","Client inconnu"),IF(A1939="BR",IFERROR(INDEX(fo_name,MATCH(D1939,fo_code,0))&amp;"","Fournisseur inconnu"),IF(A1939="BS",IF(ISNA(MATCH(D1939,p_services,0)),"Service inconnu",D1939&amp;""),""))))</f>
        <v/>
      </c>
      <c r="F1939" s="58" t="n"/>
      <c r="G1939" s="58" t="n"/>
      <c r="H1939" s="59" t="n"/>
      <c r="I1939" s="57" t="str">
        <f>IF(H1939="","",IFERROR(INDEX(art_des,MATCH(H1939,art_ref,0))&amp;"","Article inconnu"))</f>
        <v/>
      </c>
      <c r="J1939" s="60" t="str">
        <f>IF(H1939="","",IFERROR(INDEX(art_unit,MATCH(H1939,art_ref,0))&amp;"",""))</f>
        <v/>
      </c>
      <c r="K1939" s="59" t="n"/>
      <c r="L1939" s="59" t="n"/>
      <c r="M1939" s="61" t="str">
        <f>IF(OR(B1939="",NOT(ISNUMBER(K1939)),NOT(ISNUMBER(L1939))),"",IF(OR(K1939&lt;=0,L1939&lt;=0),"",ROUND(L1939-K1939,6)))</f>
        <v/>
      </c>
      <c r="N1939" s="58" t="n"/>
      <c r="O1939" s="62" t="n"/>
      <c r="P1939" s="63" t="str">
        <f>IF(OR(B1939="",NOT(ISNUMBER(L1939))),"",IF(L1939&lt;=0,"",IFERROR(ROUND(L1939*N(INDEX(art_w,MATCH(H1939,art_ref,0))),3),"")))</f>
        <v/>
      </c>
      <c r="Q1939" s="59" t="n"/>
      <c r="R1939" s="54" t="n"/>
      <c r="S1939" s="59" t="n"/>
      <c r="T1939" s="59" t="n"/>
      <c r="U1939" s="64" t="str">
        <f>IF(OR(B1939="",H1939=""),"",IFERROR(IF(A1939="BL",IF(N(INDEX(art_price,MATCH(H1939,art_ref,0)))=0,"",N(INDEX(art_price,MATCH(H1939,art_ref,0)))),IF(N(INDEX(art_cost,MATCH(H1939,art_ref,0)))=0,"",N(INDEX(art_cost,MATCH(H1939,art_ref,0))))),""))</f>
        <v/>
      </c>
      <c r="V1939" s="64" t="str">
        <f>IF(OR(U1939="",NOT(ISNUMBER(L1939))),"",IF(L1939&lt;=0,"",ROUND(L1939*U1939,2)))</f>
        <v/>
      </c>
      <c r="W1939" s="60" t="str">
        <f>IF(AND(B1939&lt;&gt;"",A1939&lt;&gt;"BS",F1939&lt;&gt;"",H1939&lt;&gt;"",ISNUMBER(K1939),ISNUMBER(L1939)),IF(AND(K1939&gt;0,L1939&gt;0,K1939-L1939&gt;0,COUNTIFS(A1940:A$2005,A1939,F1940:F$2005,F1939,H1940:H$2005,H1939,AA1940:AA$2005,"&gt;0")=0),ROUND(K1939-L1939,6),""),"")</f>
        <v/>
      </c>
      <c r="X1939" s="60" t="str">
        <f>IF(AND(A1939="",C1939="",D1939="",H1939="",L1939=""),"",IF(A1939="","Type manquant",IF(AND(A1939&lt;&gt;"BL",A1939&lt;&gt;"BR",A1939&lt;&gt;"BS"),"Type inconnu (BL, BR ou BS)",IF(AG1939=0,"Date manquante ou invalide",IF(D1939="",IF(A1939="BL","Client manquant",IF(A1939="BR","Fournisseur manquant","Service manquant")),IF(IF(A1939="BL",ISNA(MATCH(D1939,cl_code,0)),IF(A1939="BR",ISNA(MATCH(D1939,fo_code,0)),ISNA(MATCH(D1939,p_services,0)))),IF(A1939="BL","Client inconnu",IF(A1939="BR","Fournisseur inconnu","Service inconnu")),IF(H1939="","Article manquant",IF(ISNA(MATCH(H1939,art_ref,0)),"Article inconnu",IF(OR(NOT(ISNUMBER(L1939)),N(L1939)&lt;=0),"Quantité invalide",IF(AND(K1939&lt;&gt;"",OR(NOT(ISNUMBER(K1939)),N(K1939)&lt;=0)),"Qté commandée invalide",IF(AG1939&lt;SUMPRODUCT(MAX((A$6:A1938=A1939)*AG$6:AG1938)),"Date antérieure au bon précédent",IF(AND(A1939&lt;&gt;"BR",ISNUMBER(M1939),N(M1939)&gt;0),IF(A1939="BL","Livré plus que commandé","Sorti plus que demandé"),"OK"))))))))))))</f>
        <v/>
      </c>
      <c r="Y1939" s="57" t="str">
        <f>IF(AND(OR(A1939="BL",A1939="BR",A1939="BS"),AG1939&gt;0,D1939&lt;&gt;""),A1939&amp;"|"&amp;AG1939&amp;"|"&amp;D1939&amp;"|"&amp;F1939,"")</f>
        <v/>
      </c>
      <c r="Z1939" s="57" t="str">
        <f>IF(Y1939="","",IF(COUNTIF(Y$6:Y1938,Y1939)=0,1,0))</f>
        <v/>
      </c>
      <c r="AA1939" s="57" t="str">
        <f>IF(Y1939="","",IF(Z1939=1,COUNTIFS(A$6:A1939,A1939,Z$6:Z1939,1),INDEX(AA$6:AA1938,MATCH(Y1939,Y$6:Y1938,0))))</f>
        <v/>
      </c>
      <c r="AB1939" s="57" t="str">
        <f>IF(B1939="","",COUNTIF(B$6:B1939,B1939))</f>
        <v/>
      </c>
      <c r="AC1939" s="57" t="str">
        <f>IF(B1939="","",B1939&amp;"#"&amp;AB1939)</f>
        <v/>
      </c>
      <c r="AD1939" s="57" t="str">
        <f>IF(Z1939=1,A1939&amp;AA1939,"")</f>
        <v/>
      </c>
      <c r="AE1939" s="57" t="str">
        <f>IF(B1939="","",YEAR(C1939))</f>
        <v/>
      </c>
      <c r="AF1939" s="57" t="str">
        <f>IF(B1939="","",MONTH(C1939))</f>
        <v/>
      </c>
      <c r="AG1939" s="57">
        <f>IF(ISNUMBER(C1939),C1939,0)</f>
        <v>0.0</v>
      </c>
      <c r="AH1939" s="57" t="str">
        <f>IF(N(W1939)&gt;0,COUNTIF(W$6:W1939,"&gt;0"),"")</f>
        <v/>
      </c>
      <c r="AI1939" s="57" t="str">
        <f>IF(Z1939=1,COUNTIF(Z$6:Z1939,1),"")</f>
        <v/>
      </c>
    </row>
    <row r="1940">
      <c r="A1940" s="54" t="n"/>
      <c r="B1940" s="55" t="str">
        <f>IF(AA1940="","",A1940&amp;"-"&amp;RIGHT("000"&amp;AA1940,4))</f>
        <v/>
      </c>
      <c r="C1940" s="56" t="n"/>
      <c r="D1940" s="54" t="n"/>
      <c r="E1940" s="57" t="str">
        <f>IF(D1940="","",IF(A1940="BL",IFERROR(INDEX(cl_name,MATCH(D1940,cl_code,0))&amp;"","Client inconnu"),IF(A1940="BR",IFERROR(INDEX(fo_name,MATCH(D1940,fo_code,0))&amp;"","Fournisseur inconnu"),IF(A1940="BS",IF(ISNA(MATCH(D1940,p_services,0)),"Service inconnu",D1940&amp;""),""))))</f>
        <v/>
      </c>
      <c r="F1940" s="58" t="n"/>
      <c r="G1940" s="58" t="n"/>
      <c r="H1940" s="59" t="n"/>
      <c r="I1940" s="57" t="str">
        <f>IF(H1940="","",IFERROR(INDEX(art_des,MATCH(H1940,art_ref,0))&amp;"","Article inconnu"))</f>
        <v/>
      </c>
      <c r="J1940" s="60" t="str">
        <f>IF(H1940="","",IFERROR(INDEX(art_unit,MATCH(H1940,art_ref,0))&amp;"",""))</f>
        <v/>
      </c>
      <c r="K1940" s="59" t="n"/>
      <c r="L1940" s="59" t="n"/>
      <c r="M1940" s="61" t="str">
        <f>IF(OR(B1940="",NOT(ISNUMBER(K1940)),NOT(ISNUMBER(L1940))),"",IF(OR(K1940&lt;=0,L1940&lt;=0),"",ROUND(L1940-K1940,6)))</f>
        <v/>
      </c>
      <c r="N1940" s="58" t="n"/>
      <c r="O1940" s="62" t="n"/>
      <c r="P1940" s="63" t="str">
        <f>IF(OR(B1940="",NOT(ISNUMBER(L1940))),"",IF(L1940&lt;=0,"",IFERROR(ROUND(L1940*N(INDEX(art_w,MATCH(H1940,art_ref,0))),3),"")))</f>
        <v/>
      </c>
      <c r="Q1940" s="59" t="n"/>
      <c r="R1940" s="54" t="n"/>
      <c r="S1940" s="59" t="n"/>
      <c r="T1940" s="59" t="n"/>
      <c r="U1940" s="64" t="str">
        <f>IF(OR(B1940="",H1940=""),"",IFERROR(IF(A1940="BL",IF(N(INDEX(art_price,MATCH(H1940,art_ref,0)))=0,"",N(INDEX(art_price,MATCH(H1940,art_ref,0)))),IF(N(INDEX(art_cost,MATCH(H1940,art_ref,0)))=0,"",N(INDEX(art_cost,MATCH(H1940,art_ref,0))))),""))</f>
        <v/>
      </c>
      <c r="V1940" s="64" t="str">
        <f>IF(OR(U1940="",NOT(ISNUMBER(L1940))),"",IF(L1940&lt;=0,"",ROUND(L1940*U1940,2)))</f>
        <v/>
      </c>
      <c r="W1940" s="60" t="str">
        <f>IF(AND(B1940&lt;&gt;"",A1940&lt;&gt;"BS",F1940&lt;&gt;"",H1940&lt;&gt;"",ISNUMBER(K1940),ISNUMBER(L1940)),IF(AND(K1940&gt;0,L1940&gt;0,K1940-L1940&gt;0,COUNTIFS(A1941:A$2005,A1940,F1941:F$2005,F1940,H1941:H$2005,H1940,AA1941:AA$2005,"&gt;0")=0),ROUND(K1940-L1940,6),""),"")</f>
        <v/>
      </c>
      <c r="X1940" s="60" t="str">
        <f>IF(AND(A1940="",C1940="",D1940="",H1940="",L1940=""),"",IF(A1940="","Type manquant",IF(AND(A1940&lt;&gt;"BL",A1940&lt;&gt;"BR",A1940&lt;&gt;"BS"),"Type inconnu (BL, BR ou BS)",IF(AG1940=0,"Date manquante ou invalide",IF(D1940="",IF(A1940="BL","Client manquant",IF(A1940="BR","Fournisseur manquant","Service manquant")),IF(IF(A1940="BL",ISNA(MATCH(D1940,cl_code,0)),IF(A1940="BR",ISNA(MATCH(D1940,fo_code,0)),ISNA(MATCH(D1940,p_services,0)))),IF(A1940="BL","Client inconnu",IF(A1940="BR","Fournisseur inconnu","Service inconnu")),IF(H1940="","Article manquant",IF(ISNA(MATCH(H1940,art_ref,0)),"Article inconnu",IF(OR(NOT(ISNUMBER(L1940)),N(L1940)&lt;=0),"Quantité invalide",IF(AND(K1940&lt;&gt;"",OR(NOT(ISNUMBER(K1940)),N(K1940)&lt;=0)),"Qté commandée invalide",IF(AG1940&lt;SUMPRODUCT(MAX((A$6:A1939=A1940)*AG$6:AG1939)),"Date antérieure au bon précédent",IF(AND(A1940&lt;&gt;"BR",ISNUMBER(M1940),N(M1940)&gt;0),IF(A1940="BL","Livré plus que commandé","Sorti plus que demandé"),"OK"))))))))))))</f>
        <v/>
      </c>
      <c r="Y1940" s="57" t="str">
        <f>IF(AND(OR(A1940="BL",A1940="BR",A1940="BS"),AG1940&gt;0,D1940&lt;&gt;""),A1940&amp;"|"&amp;AG1940&amp;"|"&amp;D1940&amp;"|"&amp;F1940,"")</f>
        <v/>
      </c>
      <c r="Z1940" s="57" t="str">
        <f>IF(Y1940="","",IF(COUNTIF(Y$6:Y1939,Y1940)=0,1,0))</f>
        <v/>
      </c>
      <c r="AA1940" s="57" t="str">
        <f>IF(Y1940="","",IF(Z1940=1,COUNTIFS(A$6:A1940,A1940,Z$6:Z1940,1),INDEX(AA$6:AA1939,MATCH(Y1940,Y$6:Y1939,0))))</f>
        <v/>
      </c>
      <c r="AB1940" s="57" t="str">
        <f>IF(B1940="","",COUNTIF(B$6:B1940,B1940))</f>
        <v/>
      </c>
      <c r="AC1940" s="57" t="str">
        <f>IF(B1940="","",B1940&amp;"#"&amp;AB1940)</f>
        <v/>
      </c>
      <c r="AD1940" s="57" t="str">
        <f>IF(Z1940=1,A1940&amp;AA1940,"")</f>
        <v/>
      </c>
      <c r="AE1940" s="57" t="str">
        <f>IF(B1940="","",YEAR(C1940))</f>
        <v/>
      </c>
      <c r="AF1940" s="57" t="str">
        <f>IF(B1940="","",MONTH(C1940))</f>
        <v/>
      </c>
      <c r="AG1940" s="57">
        <f>IF(ISNUMBER(C1940),C1940,0)</f>
        <v>0.0</v>
      </c>
      <c r="AH1940" s="57" t="str">
        <f>IF(N(W1940)&gt;0,COUNTIF(W$6:W1940,"&gt;0"),"")</f>
        <v/>
      </c>
      <c r="AI1940" s="57" t="str">
        <f>IF(Z1940=1,COUNTIF(Z$6:Z1940,1),"")</f>
        <v/>
      </c>
    </row>
    <row r="1941">
      <c r="A1941" s="54" t="n"/>
      <c r="B1941" s="55" t="str">
        <f>IF(AA1941="","",A1941&amp;"-"&amp;RIGHT("000"&amp;AA1941,4))</f>
        <v/>
      </c>
      <c r="C1941" s="56" t="n"/>
      <c r="D1941" s="54" t="n"/>
      <c r="E1941" s="57" t="str">
        <f>IF(D1941="","",IF(A1941="BL",IFERROR(INDEX(cl_name,MATCH(D1941,cl_code,0))&amp;"","Client inconnu"),IF(A1941="BR",IFERROR(INDEX(fo_name,MATCH(D1941,fo_code,0))&amp;"","Fournisseur inconnu"),IF(A1941="BS",IF(ISNA(MATCH(D1941,p_services,0)),"Service inconnu",D1941&amp;""),""))))</f>
        <v/>
      </c>
      <c r="F1941" s="58" t="n"/>
      <c r="G1941" s="58" t="n"/>
      <c r="H1941" s="59" t="n"/>
      <c r="I1941" s="57" t="str">
        <f>IF(H1941="","",IFERROR(INDEX(art_des,MATCH(H1941,art_ref,0))&amp;"","Article inconnu"))</f>
        <v/>
      </c>
      <c r="J1941" s="60" t="str">
        <f>IF(H1941="","",IFERROR(INDEX(art_unit,MATCH(H1941,art_ref,0))&amp;"",""))</f>
        <v/>
      </c>
      <c r="K1941" s="59" t="n"/>
      <c r="L1941" s="59" t="n"/>
      <c r="M1941" s="61" t="str">
        <f>IF(OR(B1941="",NOT(ISNUMBER(K1941)),NOT(ISNUMBER(L1941))),"",IF(OR(K1941&lt;=0,L1941&lt;=0),"",ROUND(L1941-K1941,6)))</f>
        <v/>
      </c>
      <c r="N1941" s="58" t="n"/>
      <c r="O1941" s="62" t="n"/>
      <c r="P1941" s="63" t="str">
        <f>IF(OR(B1941="",NOT(ISNUMBER(L1941))),"",IF(L1941&lt;=0,"",IFERROR(ROUND(L1941*N(INDEX(art_w,MATCH(H1941,art_ref,0))),3),"")))</f>
        <v/>
      </c>
      <c r="Q1941" s="59" t="n"/>
      <c r="R1941" s="54" t="n"/>
      <c r="S1941" s="59" t="n"/>
      <c r="T1941" s="59" t="n"/>
      <c r="U1941" s="64" t="str">
        <f>IF(OR(B1941="",H1941=""),"",IFERROR(IF(A1941="BL",IF(N(INDEX(art_price,MATCH(H1941,art_ref,0)))=0,"",N(INDEX(art_price,MATCH(H1941,art_ref,0)))),IF(N(INDEX(art_cost,MATCH(H1941,art_ref,0)))=0,"",N(INDEX(art_cost,MATCH(H1941,art_ref,0))))),""))</f>
        <v/>
      </c>
      <c r="V1941" s="64" t="str">
        <f>IF(OR(U1941="",NOT(ISNUMBER(L1941))),"",IF(L1941&lt;=0,"",ROUND(L1941*U1941,2)))</f>
        <v/>
      </c>
      <c r="W1941" s="60" t="str">
        <f>IF(AND(B1941&lt;&gt;"",A1941&lt;&gt;"BS",F1941&lt;&gt;"",H1941&lt;&gt;"",ISNUMBER(K1941),ISNUMBER(L1941)),IF(AND(K1941&gt;0,L1941&gt;0,K1941-L1941&gt;0,COUNTIFS(A1942:A$2005,A1941,F1942:F$2005,F1941,H1942:H$2005,H1941,AA1942:AA$2005,"&gt;0")=0),ROUND(K1941-L1941,6),""),"")</f>
        <v/>
      </c>
      <c r="X1941" s="60" t="str">
        <f>IF(AND(A1941="",C1941="",D1941="",H1941="",L1941=""),"",IF(A1941="","Type manquant",IF(AND(A1941&lt;&gt;"BL",A1941&lt;&gt;"BR",A1941&lt;&gt;"BS"),"Type inconnu (BL, BR ou BS)",IF(AG1941=0,"Date manquante ou invalide",IF(D1941="",IF(A1941="BL","Client manquant",IF(A1941="BR","Fournisseur manquant","Service manquant")),IF(IF(A1941="BL",ISNA(MATCH(D1941,cl_code,0)),IF(A1941="BR",ISNA(MATCH(D1941,fo_code,0)),ISNA(MATCH(D1941,p_services,0)))),IF(A1941="BL","Client inconnu",IF(A1941="BR","Fournisseur inconnu","Service inconnu")),IF(H1941="","Article manquant",IF(ISNA(MATCH(H1941,art_ref,0)),"Article inconnu",IF(OR(NOT(ISNUMBER(L1941)),N(L1941)&lt;=0),"Quantité invalide",IF(AND(K1941&lt;&gt;"",OR(NOT(ISNUMBER(K1941)),N(K1941)&lt;=0)),"Qté commandée invalide",IF(AG1941&lt;SUMPRODUCT(MAX((A$6:A1940=A1941)*AG$6:AG1940)),"Date antérieure au bon précédent",IF(AND(A1941&lt;&gt;"BR",ISNUMBER(M1941),N(M1941)&gt;0),IF(A1941="BL","Livré plus que commandé","Sorti plus que demandé"),"OK"))))))))))))</f>
        <v/>
      </c>
      <c r="Y1941" s="57" t="str">
        <f>IF(AND(OR(A1941="BL",A1941="BR",A1941="BS"),AG1941&gt;0,D1941&lt;&gt;""),A1941&amp;"|"&amp;AG1941&amp;"|"&amp;D1941&amp;"|"&amp;F1941,"")</f>
        <v/>
      </c>
      <c r="Z1941" s="57" t="str">
        <f>IF(Y1941="","",IF(COUNTIF(Y$6:Y1940,Y1941)=0,1,0))</f>
        <v/>
      </c>
      <c r="AA1941" s="57" t="str">
        <f>IF(Y1941="","",IF(Z1941=1,COUNTIFS(A$6:A1941,A1941,Z$6:Z1941,1),INDEX(AA$6:AA1940,MATCH(Y1941,Y$6:Y1940,0))))</f>
        <v/>
      </c>
      <c r="AB1941" s="57" t="str">
        <f>IF(B1941="","",COUNTIF(B$6:B1941,B1941))</f>
        <v/>
      </c>
      <c r="AC1941" s="57" t="str">
        <f>IF(B1941="","",B1941&amp;"#"&amp;AB1941)</f>
        <v/>
      </c>
      <c r="AD1941" s="57" t="str">
        <f>IF(Z1941=1,A1941&amp;AA1941,"")</f>
        <v/>
      </c>
      <c r="AE1941" s="57" t="str">
        <f>IF(B1941="","",YEAR(C1941))</f>
        <v/>
      </c>
      <c r="AF1941" s="57" t="str">
        <f>IF(B1941="","",MONTH(C1941))</f>
        <v/>
      </c>
      <c r="AG1941" s="57">
        <f>IF(ISNUMBER(C1941),C1941,0)</f>
        <v>0.0</v>
      </c>
      <c r="AH1941" s="57" t="str">
        <f>IF(N(W1941)&gt;0,COUNTIF(W$6:W1941,"&gt;0"),"")</f>
        <v/>
      </c>
      <c r="AI1941" s="57" t="str">
        <f>IF(Z1941=1,COUNTIF(Z$6:Z1941,1),"")</f>
        <v/>
      </c>
    </row>
    <row r="1942">
      <c r="A1942" s="54" t="n"/>
      <c r="B1942" s="55" t="str">
        <f>IF(AA1942="","",A1942&amp;"-"&amp;RIGHT("000"&amp;AA1942,4))</f>
        <v/>
      </c>
      <c r="C1942" s="56" t="n"/>
      <c r="D1942" s="54" t="n"/>
      <c r="E1942" s="57" t="str">
        <f>IF(D1942="","",IF(A1942="BL",IFERROR(INDEX(cl_name,MATCH(D1942,cl_code,0))&amp;"","Client inconnu"),IF(A1942="BR",IFERROR(INDEX(fo_name,MATCH(D1942,fo_code,0))&amp;"","Fournisseur inconnu"),IF(A1942="BS",IF(ISNA(MATCH(D1942,p_services,0)),"Service inconnu",D1942&amp;""),""))))</f>
        <v/>
      </c>
      <c r="F1942" s="58" t="n"/>
      <c r="G1942" s="58" t="n"/>
      <c r="H1942" s="59" t="n"/>
      <c r="I1942" s="57" t="str">
        <f>IF(H1942="","",IFERROR(INDEX(art_des,MATCH(H1942,art_ref,0))&amp;"","Article inconnu"))</f>
        <v/>
      </c>
      <c r="J1942" s="60" t="str">
        <f>IF(H1942="","",IFERROR(INDEX(art_unit,MATCH(H1942,art_ref,0))&amp;"",""))</f>
        <v/>
      </c>
      <c r="K1942" s="59" t="n"/>
      <c r="L1942" s="59" t="n"/>
      <c r="M1942" s="61" t="str">
        <f>IF(OR(B1942="",NOT(ISNUMBER(K1942)),NOT(ISNUMBER(L1942))),"",IF(OR(K1942&lt;=0,L1942&lt;=0),"",ROUND(L1942-K1942,6)))</f>
        <v/>
      </c>
      <c r="N1942" s="58" t="n"/>
      <c r="O1942" s="62" t="n"/>
      <c r="P1942" s="63" t="str">
        <f>IF(OR(B1942="",NOT(ISNUMBER(L1942))),"",IF(L1942&lt;=0,"",IFERROR(ROUND(L1942*N(INDEX(art_w,MATCH(H1942,art_ref,0))),3),"")))</f>
        <v/>
      </c>
      <c r="Q1942" s="59" t="n"/>
      <c r="R1942" s="54" t="n"/>
      <c r="S1942" s="59" t="n"/>
      <c r="T1942" s="59" t="n"/>
      <c r="U1942" s="64" t="str">
        <f>IF(OR(B1942="",H1942=""),"",IFERROR(IF(A1942="BL",IF(N(INDEX(art_price,MATCH(H1942,art_ref,0)))=0,"",N(INDEX(art_price,MATCH(H1942,art_ref,0)))),IF(N(INDEX(art_cost,MATCH(H1942,art_ref,0)))=0,"",N(INDEX(art_cost,MATCH(H1942,art_ref,0))))),""))</f>
        <v/>
      </c>
      <c r="V1942" s="64" t="str">
        <f>IF(OR(U1942="",NOT(ISNUMBER(L1942))),"",IF(L1942&lt;=0,"",ROUND(L1942*U1942,2)))</f>
        <v/>
      </c>
      <c r="W1942" s="60" t="str">
        <f>IF(AND(B1942&lt;&gt;"",A1942&lt;&gt;"BS",F1942&lt;&gt;"",H1942&lt;&gt;"",ISNUMBER(K1942),ISNUMBER(L1942)),IF(AND(K1942&gt;0,L1942&gt;0,K1942-L1942&gt;0,COUNTIFS(A1943:A$2005,A1942,F1943:F$2005,F1942,H1943:H$2005,H1942,AA1943:AA$2005,"&gt;0")=0),ROUND(K1942-L1942,6),""),"")</f>
        <v/>
      </c>
      <c r="X1942" s="60" t="str">
        <f>IF(AND(A1942="",C1942="",D1942="",H1942="",L1942=""),"",IF(A1942="","Type manquant",IF(AND(A1942&lt;&gt;"BL",A1942&lt;&gt;"BR",A1942&lt;&gt;"BS"),"Type inconnu (BL, BR ou BS)",IF(AG1942=0,"Date manquante ou invalide",IF(D1942="",IF(A1942="BL","Client manquant",IF(A1942="BR","Fournisseur manquant","Service manquant")),IF(IF(A1942="BL",ISNA(MATCH(D1942,cl_code,0)),IF(A1942="BR",ISNA(MATCH(D1942,fo_code,0)),ISNA(MATCH(D1942,p_services,0)))),IF(A1942="BL","Client inconnu",IF(A1942="BR","Fournisseur inconnu","Service inconnu")),IF(H1942="","Article manquant",IF(ISNA(MATCH(H1942,art_ref,0)),"Article inconnu",IF(OR(NOT(ISNUMBER(L1942)),N(L1942)&lt;=0),"Quantité invalide",IF(AND(K1942&lt;&gt;"",OR(NOT(ISNUMBER(K1942)),N(K1942)&lt;=0)),"Qté commandée invalide",IF(AG1942&lt;SUMPRODUCT(MAX((A$6:A1941=A1942)*AG$6:AG1941)),"Date antérieure au bon précédent",IF(AND(A1942&lt;&gt;"BR",ISNUMBER(M1942),N(M1942)&gt;0),IF(A1942="BL","Livré plus que commandé","Sorti plus que demandé"),"OK"))))))))))))</f>
        <v/>
      </c>
      <c r="Y1942" s="57" t="str">
        <f>IF(AND(OR(A1942="BL",A1942="BR",A1942="BS"),AG1942&gt;0,D1942&lt;&gt;""),A1942&amp;"|"&amp;AG1942&amp;"|"&amp;D1942&amp;"|"&amp;F1942,"")</f>
        <v/>
      </c>
      <c r="Z1942" s="57" t="str">
        <f>IF(Y1942="","",IF(COUNTIF(Y$6:Y1941,Y1942)=0,1,0))</f>
        <v/>
      </c>
      <c r="AA1942" s="57" t="str">
        <f>IF(Y1942="","",IF(Z1942=1,COUNTIFS(A$6:A1942,A1942,Z$6:Z1942,1),INDEX(AA$6:AA1941,MATCH(Y1942,Y$6:Y1941,0))))</f>
        <v/>
      </c>
      <c r="AB1942" s="57" t="str">
        <f>IF(B1942="","",COUNTIF(B$6:B1942,B1942))</f>
        <v/>
      </c>
      <c r="AC1942" s="57" t="str">
        <f>IF(B1942="","",B1942&amp;"#"&amp;AB1942)</f>
        <v/>
      </c>
      <c r="AD1942" s="57" t="str">
        <f>IF(Z1942=1,A1942&amp;AA1942,"")</f>
        <v/>
      </c>
      <c r="AE1942" s="57" t="str">
        <f>IF(B1942="","",YEAR(C1942))</f>
        <v/>
      </c>
      <c r="AF1942" s="57" t="str">
        <f>IF(B1942="","",MONTH(C1942))</f>
        <v/>
      </c>
      <c r="AG1942" s="57">
        <f>IF(ISNUMBER(C1942),C1942,0)</f>
        <v>0.0</v>
      </c>
      <c r="AH1942" s="57" t="str">
        <f>IF(N(W1942)&gt;0,COUNTIF(W$6:W1942,"&gt;0"),"")</f>
        <v/>
      </c>
      <c r="AI1942" s="57" t="str">
        <f>IF(Z1942=1,COUNTIF(Z$6:Z1942,1),"")</f>
        <v/>
      </c>
    </row>
    <row r="1943">
      <c r="A1943" s="54" t="n"/>
      <c r="B1943" s="55" t="str">
        <f>IF(AA1943="","",A1943&amp;"-"&amp;RIGHT("000"&amp;AA1943,4))</f>
        <v/>
      </c>
      <c r="C1943" s="56" t="n"/>
      <c r="D1943" s="54" t="n"/>
      <c r="E1943" s="57" t="str">
        <f>IF(D1943="","",IF(A1943="BL",IFERROR(INDEX(cl_name,MATCH(D1943,cl_code,0))&amp;"","Client inconnu"),IF(A1943="BR",IFERROR(INDEX(fo_name,MATCH(D1943,fo_code,0))&amp;"","Fournisseur inconnu"),IF(A1943="BS",IF(ISNA(MATCH(D1943,p_services,0)),"Service inconnu",D1943&amp;""),""))))</f>
        <v/>
      </c>
      <c r="F1943" s="58" t="n"/>
      <c r="G1943" s="58" t="n"/>
      <c r="H1943" s="59" t="n"/>
      <c r="I1943" s="57" t="str">
        <f>IF(H1943="","",IFERROR(INDEX(art_des,MATCH(H1943,art_ref,0))&amp;"","Article inconnu"))</f>
        <v/>
      </c>
      <c r="J1943" s="60" t="str">
        <f>IF(H1943="","",IFERROR(INDEX(art_unit,MATCH(H1943,art_ref,0))&amp;"",""))</f>
        <v/>
      </c>
      <c r="K1943" s="59" t="n"/>
      <c r="L1943" s="59" t="n"/>
      <c r="M1943" s="61" t="str">
        <f>IF(OR(B1943="",NOT(ISNUMBER(K1943)),NOT(ISNUMBER(L1943))),"",IF(OR(K1943&lt;=0,L1943&lt;=0),"",ROUND(L1943-K1943,6)))</f>
        <v/>
      </c>
      <c r="N1943" s="58" t="n"/>
      <c r="O1943" s="62" t="n"/>
      <c r="P1943" s="63" t="str">
        <f>IF(OR(B1943="",NOT(ISNUMBER(L1943))),"",IF(L1943&lt;=0,"",IFERROR(ROUND(L1943*N(INDEX(art_w,MATCH(H1943,art_ref,0))),3),"")))</f>
        <v/>
      </c>
      <c r="Q1943" s="59" t="n"/>
      <c r="R1943" s="54" t="n"/>
      <c r="S1943" s="59" t="n"/>
      <c r="T1943" s="59" t="n"/>
      <c r="U1943" s="64" t="str">
        <f>IF(OR(B1943="",H1943=""),"",IFERROR(IF(A1943="BL",IF(N(INDEX(art_price,MATCH(H1943,art_ref,0)))=0,"",N(INDEX(art_price,MATCH(H1943,art_ref,0)))),IF(N(INDEX(art_cost,MATCH(H1943,art_ref,0)))=0,"",N(INDEX(art_cost,MATCH(H1943,art_ref,0))))),""))</f>
        <v/>
      </c>
      <c r="V1943" s="64" t="str">
        <f>IF(OR(U1943="",NOT(ISNUMBER(L1943))),"",IF(L1943&lt;=0,"",ROUND(L1943*U1943,2)))</f>
        <v/>
      </c>
      <c r="W1943" s="60" t="str">
        <f>IF(AND(B1943&lt;&gt;"",A1943&lt;&gt;"BS",F1943&lt;&gt;"",H1943&lt;&gt;"",ISNUMBER(K1943),ISNUMBER(L1943)),IF(AND(K1943&gt;0,L1943&gt;0,K1943-L1943&gt;0,COUNTIFS(A1944:A$2005,A1943,F1944:F$2005,F1943,H1944:H$2005,H1943,AA1944:AA$2005,"&gt;0")=0),ROUND(K1943-L1943,6),""),"")</f>
        <v/>
      </c>
      <c r="X1943" s="60" t="str">
        <f>IF(AND(A1943="",C1943="",D1943="",H1943="",L1943=""),"",IF(A1943="","Type manquant",IF(AND(A1943&lt;&gt;"BL",A1943&lt;&gt;"BR",A1943&lt;&gt;"BS"),"Type inconnu (BL, BR ou BS)",IF(AG1943=0,"Date manquante ou invalide",IF(D1943="",IF(A1943="BL","Client manquant",IF(A1943="BR","Fournisseur manquant","Service manquant")),IF(IF(A1943="BL",ISNA(MATCH(D1943,cl_code,0)),IF(A1943="BR",ISNA(MATCH(D1943,fo_code,0)),ISNA(MATCH(D1943,p_services,0)))),IF(A1943="BL","Client inconnu",IF(A1943="BR","Fournisseur inconnu","Service inconnu")),IF(H1943="","Article manquant",IF(ISNA(MATCH(H1943,art_ref,0)),"Article inconnu",IF(OR(NOT(ISNUMBER(L1943)),N(L1943)&lt;=0),"Quantité invalide",IF(AND(K1943&lt;&gt;"",OR(NOT(ISNUMBER(K1943)),N(K1943)&lt;=0)),"Qté commandée invalide",IF(AG1943&lt;SUMPRODUCT(MAX((A$6:A1942=A1943)*AG$6:AG1942)),"Date antérieure au bon précédent",IF(AND(A1943&lt;&gt;"BR",ISNUMBER(M1943),N(M1943)&gt;0),IF(A1943="BL","Livré plus que commandé","Sorti plus que demandé"),"OK"))))))))))))</f>
        <v/>
      </c>
      <c r="Y1943" s="57" t="str">
        <f>IF(AND(OR(A1943="BL",A1943="BR",A1943="BS"),AG1943&gt;0,D1943&lt;&gt;""),A1943&amp;"|"&amp;AG1943&amp;"|"&amp;D1943&amp;"|"&amp;F1943,"")</f>
        <v/>
      </c>
      <c r="Z1943" s="57" t="str">
        <f>IF(Y1943="","",IF(COUNTIF(Y$6:Y1942,Y1943)=0,1,0))</f>
        <v/>
      </c>
      <c r="AA1943" s="57" t="str">
        <f>IF(Y1943="","",IF(Z1943=1,COUNTIFS(A$6:A1943,A1943,Z$6:Z1943,1),INDEX(AA$6:AA1942,MATCH(Y1943,Y$6:Y1942,0))))</f>
        <v/>
      </c>
      <c r="AB1943" s="57" t="str">
        <f>IF(B1943="","",COUNTIF(B$6:B1943,B1943))</f>
        <v/>
      </c>
      <c r="AC1943" s="57" t="str">
        <f>IF(B1943="","",B1943&amp;"#"&amp;AB1943)</f>
        <v/>
      </c>
      <c r="AD1943" s="57" t="str">
        <f>IF(Z1943=1,A1943&amp;AA1943,"")</f>
        <v/>
      </c>
      <c r="AE1943" s="57" t="str">
        <f>IF(B1943="","",YEAR(C1943))</f>
        <v/>
      </c>
      <c r="AF1943" s="57" t="str">
        <f>IF(B1943="","",MONTH(C1943))</f>
        <v/>
      </c>
      <c r="AG1943" s="57">
        <f>IF(ISNUMBER(C1943),C1943,0)</f>
        <v>0.0</v>
      </c>
      <c r="AH1943" s="57" t="str">
        <f>IF(N(W1943)&gt;0,COUNTIF(W$6:W1943,"&gt;0"),"")</f>
        <v/>
      </c>
      <c r="AI1943" s="57" t="str">
        <f>IF(Z1943=1,COUNTIF(Z$6:Z1943,1),"")</f>
        <v/>
      </c>
    </row>
    <row r="1944">
      <c r="A1944" s="54" t="n"/>
      <c r="B1944" s="55" t="str">
        <f>IF(AA1944="","",A1944&amp;"-"&amp;RIGHT("000"&amp;AA1944,4))</f>
        <v/>
      </c>
      <c r="C1944" s="56" t="n"/>
      <c r="D1944" s="54" t="n"/>
      <c r="E1944" s="57" t="str">
        <f>IF(D1944="","",IF(A1944="BL",IFERROR(INDEX(cl_name,MATCH(D1944,cl_code,0))&amp;"","Client inconnu"),IF(A1944="BR",IFERROR(INDEX(fo_name,MATCH(D1944,fo_code,0))&amp;"","Fournisseur inconnu"),IF(A1944="BS",IF(ISNA(MATCH(D1944,p_services,0)),"Service inconnu",D1944&amp;""),""))))</f>
        <v/>
      </c>
      <c r="F1944" s="58" t="n"/>
      <c r="G1944" s="58" t="n"/>
      <c r="H1944" s="59" t="n"/>
      <c r="I1944" s="57" t="str">
        <f>IF(H1944="","",IFERROR(INDEX(art_des,MATCH(H1944,art_ref,0))&amp;"","Article inconnu"))</f>
        <v/>
      </c>
      <c r="J1944" s="60" t="str">
        <f>IF(H1944="","",IFERROR(INDEX(art_unit,MATCH(H1944,art_ref,0))&amp;"",""))</f>
        <v/>
      </c>
      <c r="K1944" s="59" t="n"/>
      <c r="L1944" s="59" t="n"/>
      <c r="M1944" s="61" t="str">
        <f>IF(OR(B1944="",NOT(ISNUMBER(K1944)),NOT(ISNUMBER(L1944))),"",IF(OR(K1944&lt;=0,L1944&lt;=0),"",ROUND(L1944-K1944,6)))</f>
        <v/>
      </c>
      <c r="N1944" s="58" t="n"/>
      <c r="O1944" s="62" t="n"/>
      <c r="P1944" s="63" t="str">
        <f>IF(OR(B1944="",NOT(ISNUMBER(L1944))),"",IF(L1944&lt;=0,"",IFERROR(ROUND(L1944*N(INDEX(art_w,MATCH(H1944,art_ref,0))),3),"")))</f>
        <v/>
      </c>
      <c r="Q1944" s="59" t="n"/>
      <c r="R1944" s="54" t="n"/>
      <c r="S1944" s="59" t="n"/>
      <c r="T1944" s="59" t="n"/>
      <c r="U1944" s="64" t="str">
        <f>IF(OR(B1944="",H1944=""),"",IFERROR(IF(A1944="BL",IF(N(INDEX(art_price,MATCH(H1944,art_ref,0)))=0,"",N(INDEX(art_price,MATCH(H1944,art_ref,0)))),IF(N(INDEX(art_cost,MATCH(H1944,art_ref,0)))=0,"",N(INDEX(art_cost,MATCH(H1944,art_ref,0))))),""))</f>
        <v/>
      </c>
      <c r="V1944" s="64" t="str">
        <f>IF(OR(U1944="",NOT(ISNUMBER(L1944))),"",IF(L1944&lt;=0,"",ROUND(L1944*U1944,2)))</f>
        <v/>
      </c>
      <c r="W1944" s="60" t="str">
        <f>IF(AND(B1944&lt;&gt;"",A1944&lt;&gt;"BS",F1944&lt;&gt;"",H1944&lt;&gt;"",ISNUMBER(K1944),ISNUMBER(L1944)),IF(AND(K1944&gt;0,L1944&gt;0,K1944-L1944&gt;0,COUNTIFS(A1945:A$2005,A1944,F1945:F$2005,F1944,H1945:H$2005,H1944,AA1945:AA$2005,"&gt;0")=0),ROUND(K1944-L1944,6),""),"")</f>
        <v/>
      </c>
      <c r="X1944" s="60" t="str">
        <f>IF(AND(A1944="",C1944="",D1944="",H1944="",L1944=""),"",IF(A1944="","Type manquant",IF(AND(A1944&lt;&gt;"BL",A1944&lt;&gt;"BR",A1944&lt;&gt;"BS"),"Type inconnu (BL, BR ou BS)",IF(AG1944=0,"Date manquante ou invalide",IF(D1944="",IF(A1944="BL","Client manquant",IF(A1944="BR","Fournisseur manquant","Service manquant")),IF(IF(A1944="BL",ISNA(MATCH(D1944,cl_code,0)),IF(A1944="BR",ISNA(MATCH(D1944,fo_code,0)),ISNA(MATCH(D1944,p_services,0)))),IF(A1944="BL","Client inconnu",IF(A1944="BR","Fournisseur inconnu","Service inconnu")),IF(H1944="","Article manquant",IF(ISNA(MATCH(H1944,art_ref,0)),"Article inconnu",IF(OR(NOT(ISNUMBER(L1944)),N(L1944)&lt;=0),"Quantité invalide",IF(AND(K1944&lt;&gt;"",OR(NOT(ISNUMBER(K1944)),N(K1944)&lt;=0)),"Qté commandée invalide",IF(AG1944&lt;SUMPRODUCT(MAX((A$6:A1943=A1944)*AG$6:AG1943)),"Date antérieure au bon précédent",IF(AND(A1944&lt;&gt;"BR",ISNUMBER(M1944),N(M1944)&gt;0),IF(A1944="BL","Livré plus que commandé","Sorti plus que demandé"),"OK"))))))))))))</f>
        <v/>
      </c>
      <c r="Y1944" s="57" t="str">
        <f>IF(AND(OR(A1944="BL",A1944="BR",A1944="BS"),AG1944&gt;0,D1944&lt;&gt;""),A1944&amp;"|"&amp;AG1944&amp;"|"&amp;D1944&amp;"|"&amp;F1944,"")</f>
        <v/>
      </c>
      <c r="Z1944" s="57" t="str">
        <f>IF(Y1944="","",IF(COUNTIF(Y$6:Y1943,Y1944)=0,1,0))</f>
        <v/>
      </c>
      <c r="AA1944" s="57" t="str">
        <f>IF(Y1944="","",IF(Z1944=1,COUNTIFS(A$6:A1944,A1944,Z$6:Z1944,1),INDEX(AA$6:AA1943,MATCH(Y1944,Y$6:Y1943,0))))</f>
        <v/>
      </c>
      <c r="AB1944" s="57" t="str">
        <f>IF(B1944="","",COUNTIF(B$6:B1944,B1944))</f>
        <v/>
      </c>
      <c r="AC1944" s="57" t="str">
        <f>IF(B1944="","",B1944&amp;"#"&amp;AB1944)</f>
        <v/>
      </c>
      <c r="AD1944" s="57" t="str">
        <f>IF(Z1944=1,A1944&amp;AA1944,"")</f>
        <v/>
      </c>
      <c r="AE1944" s="57" t="str">
        <f>IF(B1944="","",YEAR(C1944))</f>
        <v/>
      </c>
      <c r="AF1944" s="57" t="str">
        <f>IF(B1944="","",MONTH(C1944))</f>
        <v/>
      </c>
      <c r="AG1944" s="57">
        <f>IF(ISNUMBER(C1944),C1944,0)</f>
        <v>0.0</v>
      </c>
      <c r="AH1944" s="57" t="str">
        <f>IF(N(W1944)&gt;0,COUNTIF(W$6:W1944,"&gt;0"),"")</f>
        <v/>
      </c>
      <c r="AI1944" s="57" t="str">
        <f>IF(Z1944=1,COUNTIF(Z$6:Z1944,1),"")</f>
        <v/>
      </c>
    </row>
    <row r="1945">
      <c r="A1945" s="54" t="n"/>
      <c r="B1945" s="55" t="str">
        <f>IF(AA1945="","",A1945&amp;"-"&amp;RIGHT("000"&amp;AA1945,4))</f>
        <v/>
      </c>
      <c r="C1945" s="56" t="n"/>
      <c r="D1945" s="54" t="n"/>
      <c r="E1945" s="57" t="str">
        <f>IF(D1945="","",IF(A1945="BL",IFERROR(INDEX(cl_name,MATCH(D1945,cl_code,0))&amp;"","Client inconnu"),IF(A1945="BR",IFERROR(INDEX(fo_name,MATCH(D1945,fo_code,0))&amp;"","Fournisseur inconnu"),IF(A1945="BS",IF(ISNA(MATCH(D1945,p_services,0)),"Service inconnu",D1945&amp;""),""))))</f>
        <v/>
      </c>
      <c r="F1945" s="58" t="n"/>
      <c r="G1945" s="58" t="n"/>
      <c r="H1945" s="59" t="n"/>
      <c r="I1945" s="57" t="str">
        <f>IF(H1945="","",IFERROR(INDEX(art_des,MATCH(H1945,art_ref,0))&amp;"","Article inconnu"))</f>
        <v/>
      </c>
      <c r="J1945" s="60" t="str">
        <f>IF(H1945="","",IFERROR(INDEX(art_unit,MATCH(H1945,art_ref,0))&amp;"",""))</f>
        <v/>
      </c>
      <c r="K1945" s="59" t="n"/>
      <c r="L1945" s="59" t="n"/>
      <c r="M1945" s="61" t="str">
        <f>IF(OR(B1945="",NOT(ISNUMBER(K1945)),NOT(ISNUMBER(L1945))),"",IF(OR(K1945&lt;=0,L1945&lt;=0),"",ROUND(L1945-K1945,6)))</f>
        <v/>
      </c>
      <c r="N1945" s="58" t="n"/>
      <c r="O1945" s="62" t="n"/>
      <c r="P1945" s="63" t="str">
        <f>IF(OR(B1945="",NOT(ISNUMBER(L1945))),"",IF(L1945&lt;=0,"",IFERROR(ROUND(L1945*N(INDEX(art_w,MATCH(H1945,art_ref,0))),3),"")))</f>
        <v/>
      </c>
      <c r="Q1945" s="59" t="n"/>
      <c r="R1945" s="54" t="n"/>
      <c r="S1945" s="59" t="n"/>
      <c r="T1945" s="59" t="n"/>
      <c r="U1945" s="64" t="str">
        <f>IF(OR(B1945="",H1945=""),"",IFERROR(IF(A1945="BL",IF(N(INDEX(art_price,MATCH(H1945,art_ref,0)))=0,"",N(INDEX(art_price,MATCH(H1945,art_ref,0)))),IF(N(INDEX(art_cost,MATCH(H1945,art_ref,0)))=0,"",N(INDEX(art_cost,MATCH(H1945,art_ref,0))))),""))</f>
        <v/>
      </c>
      <c r="V1945" s="64" t="str">
        <f>IF(OR(U1945="",NOT(ISNUMBER(L1945))),"",IF(L1945&lt;=0,"",ROUND(L1945*U1945,2)))</f>
        <v/>
      </c>
      <c r="W1945" s="60" t="str">
        <f>IF(AND(B1945&lt;&gt;"",A1945&lt;&gt;"BS",F1945&lt;&gt;"",H1945&lt;&gt;"",ISNUMBER(K1945),ISNUMBER(L1945)),IF(AND(K1945&gt;0,L1945&gt;0,K1945-L1945&gt;0,COUNTIFS(A1946:A$2005,A1945,F1946:F$2005,F1945,H1946:H$2005,H1945,AA1946:AA$2005,"&gt;0")=0),ROUND(K1945-L1945,6),""),"")</f>
        <v/>
      </c>
      <c r="X1945" s="60" t="str">
        <f>IF(AND(A1945="",C1945="",D1945="",H1945="",L1945=""),"",IF(A1945="","Type manquant",IF(AND(A1945&lt;&gt;"BL",A1945&lt;&gt;"BR",A1945&lt;&gt;"BS"),"Type inconnu (BL, BR ou BS)",IF(AG1945=0,"Date manquante ou invalide",IF(D1945="",IF(A1945="BL","Client manquant",IF(A1945="BR","Fournisseur manquant","Service manquant")),IF(IF(A1945="BL",ISNA(MATCH(D1945,cl_code,0)),IF(A1945="BR",ISNA(MATCH(D1945,fo_code,0)),ISNA(MATCH(D1945,p_services,0)))),IF(A1945="BL","Client inconnu",IF(A1945="BR","Fournisseur inconnu","Service inconnu")),IF(H1945="","Article manquant",IF(ISNA(MATCH(H1945,art_ref,0)),"Article inconnu",IF(OR(NOT(ISNUMBER(L1945)),N(L1945)&lt;=0),"Quantité invalide",IF(AND(K1945&lt;&gt;"",OR(NOT(ISNUMBER(K1945)),N(K1945)&lt;=0)),"Qté commandée invalide",IF(AG1945&lt;SUMPRODUCT(MAX((A$6:A1944=A1945)*AG$6:AG1944)),"Date antérieure au bon précédent",IF(AND(A1945&lt;&gt;"BR",ISNUMBER(M1945),N(M1945)&gt;0),IF(A1945="BL","Livré plus que commandé","Sorti plus que demandé"),"OK"))))))))))))</f>
        <v/>
      </c>
      <c r="Y1945" s="57" t="str">
        <f>IF(AND(OR(A1945="BL",A1945="BR",A1945="BS"),AG1945&gt;0,D1945&lt;&gt;""),A1945&amp;"|"&amp;AG1945&amp;"|"&amp;D1945&amp;"|"&amp;F1945,"")</f>
        <v/>
      </c>
      <c r="Z1945" s="57" t="str">
        <f>IF(Y1945="","",IF(COUNTIF(Y$6:Y1944,Y1945)=0,1,0))</f>
        <v/>
      </c>
      <c r="AA1945" s="57" t="str">
        <f>IF(Y1945="","",IF(Z1945=1,COUNTIFS(A$6:A1945,A1945,Z$6:Z1945,1),INDEX(AA$6:AA1944,MATCH(Y1945,Y$6:Y1944,0))))</f>
        <v/>
      </c>
      <c r="AB1945" s="57" t="str">
        <f>IF(B1945="","",COUNTIF(B$6:B1945,B1945))</f>
        <v/>
      </c>
      <c r="AC1945" s="57" t="str">
        <f>IF(B1945="","",B1945&amp;"#"&amp;AB1945)</f>
        <v/>
      </c>
      <c r="AD1945" s="57" t="str">
        <f>IF(Z1945=1,A1945&amp;AA1945,"")</f>
        <v/>
      </c>
      <c r="AE1945" s="57" t="str">
        <f>IF(B1945="","",YEAR(C1945))</f>
        <v/>
      </c>
      <c r="AF1945" s="57" t="str">
        <f>IF(B1945="","",MONTH(C1945))</f>
        <v/>
      </c>
      <c r="AG1945" s="57">
        <f>IF(ISNUMBER(C1945),C1945,0)</f>
        <v>0.0</v>
      </c>
      <c r="AH1945" s="57" t="str">
        <f>IF(N(W1945)&gt;0,COUNTIF(W$6:W1945,"&gt;0"),"")</f>
        <v/>
      </c>
      <c r="AI1945" s="57" t="str">
        <f>IF(Z1945=1,COUNTIF(Z$6:Z1945,1),"")</f>
        <v/>
      </c>
    </row>
    <row r="1946">
      <c r="A1946" s="54" t="n"/>
      <c r="B1946" s="55" t="str">
        <f>IF(AA1946="","",A1946&amp;"-"&amp;RIGHT("000"&amp;AA1946,4))</f>
        <v/>
      </c>
      <c r="C1946" s="56" t="n"/>
      <c r="D1946" s="54" t="n"/>
      <c r="E1946" s="57" t="str">
        <f>IF(D1946="","",IF(A1946="BL",IFERROR(INDEX(cl_name,MATCH(D1946,cl_code,0))&amp;"","Client inconnu"),IF(A1946="BR",IFERROR(INDEX(fo_name,MATCH(D1946,fo_code,0))&amp;"","Fournisseur inconnu"),IF(A1946="BS",IF(ISNA(MATCH(D1946,p_services,0)),"Service inconnu",D1946&amp;""),""))))</f>
        <v/>
      </c>
      <c r="F1946" s="58" t="n"/>
      <c r="G1946" s="58" t="n"/>
      <c r="H1946" s="59" t="n"/>
      <c r="I1946" s="57" t="str">
        <f>IF(H1946="","",IFERROR(INDEX(art_des,MATCH(H1946,art_ref,0))&amp;"","Article inconnu"))</f>
        <v/>
      </c>
      <c r="J1946" s="60" t="str">
        <f>IF(H1946="","",IFERROR(INDEX(art_unit,MATCH(H1946,art_ref,0))&amp;"",""))</f>
        <v/>
      </c>
      <c r="K1946" s="59" t="n"/>
      <c r="L1946" s="59" t="n"/>
      <c r="M1946" s="61" t="str">
        <f>IF(OR(B1946="",NOT(ISNUMBER(K1946)),NOT(ISNUMBER(L1946))),"",IF(OR(K1946&lt;=0,L1946&lt;=0),"",ROUND(L1946-K1946,6)))</f>
        <v/>
      </c>
      <c r="N1946" s="58" t="n"/>
      <c r="O1946" s="62" t="n"/>
      <c r="P1946" s="63" t="str">
        <f>IF(OR(B1946="",NOT(ISNUMBER(L1946))),"",IF(L1946&lt;=0,"",IFERROR(ROUND(L1946*N(INDEX(art_w,MATCH(H1946,art_ref,0))),3),"")))</f>
        <v/>
      </c>
      <c r="Q1946" s="59" t="n"/>
      <c r="R1946" s="54" t="n"/>
      <c r="S1946" s="59" t="n"/>
      <c r="T1946" s="59" t="n"/>
      <c r="U1946" s="64" t="str">
        <f>IF(OR(B1946="",H1946=""),"",IFERROR(IF(A1946="BL",IF(N(INDEX(art_price,MATCH(H1946,art_ref,0)))=0,"",N(INDEX(art_price,MATCH(H1946,art_ref,0)))),IF(N(INDEX(art_cost,MATCH(H1946,art_ref,0)))=0,"",N(INDEX(art_cost,MATCH(H1946,art_ref,0))))),""))</f>
        <v/>
      </c>
      <c r="V1946" s="64" t="str">
        <f>IF(OR(U1946="",NOT(ISNUMBER(L1946))),"",IF(L1946&lt;=0,"",ROUND(L1946*U1946,2)))</f>
        <v/>
      </c>
      <c r="W1946" s="60" t="str">
        <f>IF(AND(B1946&lt;&gt;"",A1946&lt;&gt;"BS",F1946&lt;&gt;"",H1946&lt;&gt;"",ISNUMBER(K1946),ISNUMBER(L1946)),IF(AND(K1946&gt;0,L1946&gt;0,K1946-L1946&gt;0,COUNTIFS(A1947:A$2005,A1946,F1947:F$2005,F1946,H1947:H$2005,H1946,AA1947:AA$2005,"&gt;0")=0),ROUND(K1946-L1946,6),""),"")</f>
        <v/>
      </c>
      <c r="X1946" s="60" t="str">
        <f>IF(AND(A1946="",C1946="",D1946="",H1946="",L1946=""),"",IF(A1946="","Type manquant",IF(AND(A1946&lt;&gt;"BL",A1946&lt;&gt;"BR",A1946&lt;&gt;"BS"),"Type inconnu (BL, BR ou BS)",IF(AG1946=0,"Date manquante ou invalide",IF(D1946="",IF(A1946="BL","Client manquant",IF(A1946="BR","Fournisseur manquant","Service manquant")),IF(IF(A1946="BL",ISNA(MATCH(D1946,cl_code,0)),IF(A1946="BR",ISNA(MATCH(D1946,fo_code,0)),ISNA(MATCH(D1946,p_services,0)))),IF(A1946="BL","Client inconnu",IF(A1946="BR","Fournisseur inconnu","Service inconnu")),IF(H1946="","Article manquant",IF(ISNA(MATCH(H1946,art_ref,0)),"Article inconnu",IF(OR(NOT(ISNUMBER(L1946)),N(L1946)&lt;=0),"Quantité invalide",IF(AND(K1946&lt;&gt;"",OR(NOT(ISNUMBER(K1946)),N(K1946)&lt;=0)),"Qté commandée invalide",IF(AG1946&lt;SUMPRODUCT(MAX((A$6:A1945=A1946)*AG$6:AG1945)),"Date antérieure au bon précédent",IF(AND(A1946&lt;&gt;"BR",ISNUMBER(M1946),N(M1946)&gt;0),IF(A1946="BL","Livré plus que commandé","Sorti plus que demandé"),"OK"))))))))))))</f>
        <v/>
      </c>
      <c r="Y1946" s="57" t="str">
        <f>IF(AND(OR(A1946="BL",A1946="BR",A1946="BS"),AG1946&gt;0,D1946&lt;&gt;""),A1946&amp;"|"&amp;AG1946&amp;"|"&amp;D1946&amp;"|"&amp;F1946,"")</f>
        <v/>
      </c>
      <c r="Z1946" s="57" t="str">
        <f>IF(Y1946="","",IF(COUNTIF(Y$6:Y1945,Y1946)=0,1,0))</f>
        <v/>
      </c>
      <c r="AA1946" s="57" t="str">
        <f>IF(Y1946="","",IF(Z1946=1,COUNTIFS(A$6:A1946,A1946,Z$6:Z1946,1),INDEX(AA$6:AA1945,MATCH(Y1946,Y$6:Y1945,0))))</f>
        <v/>
      </c>
      <c r="AB1946" s="57" t="str">
        <f>IF(B1946="","",COUNTIF(B$6:B1946,B1946))</f>
        <v/>
      </c>
      <c r="AC1946" s="57" t="str">
        <f>IF(B1946="","",B1946&amp;"#"&amp;AB1946)</f>
        <v/>
      </c>
      <c r="AD1946" s="57" t="str">
        <f>IF(Z1946=1,A1946&amp;AA1946,"")</f>
        <v/>
      </c>
      <c r="AE1946" s="57" t="str">
        <f>IF(B1946="","",YEAR(C1946))</f>
        <v/>
      </c>
      <c r="AF1946" s="57" t="str">
        <f>IF(B1946="","",MONTH(C1946))</f>
        <v/>
      </c>
      <c r="AG1946" s="57">
        <f>IF(ISNUMBER(C1946),C1946,0)</f>
        <v>0.0</v>
      </c>
      <c r="AH1946" s="57" t="str">
        <f>IF(N(W1946)&gt;0,COUNTIF(W$6:W1946,"&gt;0"),"")</f>
        <v/>
      </c>
      <c r="AI1946" s="57" t="str">
        <f>IF(Z1946=1,COUNTIF(Z$6:Z1946,1),"")</f>
        <v/>
      </c>
    </row>
    <row r="1947">
      <c r="A1947" s="54" t="n"/>
      <c r="B1947" s="55" t="str">
        <f>IF(AA1947="","",A1947&amp;"-"&amp;RIGHT("000"&amp;AA1947,4))</f>
        <v/>
      </c>
      <c r="C1947" s="56" t="n"/>
      <c r="D1947" s="54" t="n"/>
      <c r="E1947" s="57" t="str">
        <f>IF(D1947="","",IF(A1947="BL",IFERROR(INDEX(cl_name,MATCH(D1947,cl_code,0))&amp;"","Client inconnu"),IF(A1947="BR",IFERROR(INDEX(fo_name,MATCH(D1947,fo_code,0))&amp;"","Fournisseur inconnu"),IF(A1947="BS",IF(ISNA(MATCH(D1947,p_services,0)),"Service inconnu",D1947&amp;""),""))))</f>
        <v/>
      </c>
      <c r="F1947" s="58" t="n"/>
      <c r="G1947" s="58" t="n"/>
      <c r="H1947" s="59" t="n"/>
      <c r="I1947" s="57" t="str">
        <f>IF(H1947="","",IFERROR(INDEX(art_des,MATCH(H1947,art_ref,0))&amp;"","Article inconnu"))</f>
        <v/>
      </c>
      <c r="J1947" s="60" t="str">
        <f>IF(H1947="","",IFERROR(INDEX(art_unit,MATCH(H1947,art_ref,0))&amp;"",""))</f>
        <v/>
      </c>
      <c r="K1947" s="59" t="n"/>
      <c r="L1947" s="59" t="n"/>
      <c r="M1947" s="61" t="str">
        <f>IF(OR(B1947="",NOT(ISNUMBER(K1947)),NOT(ISNUMBER(L1947))),"",IF(OR(K1947&lt;=0,L1947&lt;=0),"",ROUND(L1947-K1947,6)))</f>
        <v/>
      </c>
      <c r="N1947" s="58" t="n"/>
      <c r="O1947" s="62" t="n"/>
      <c r="P1947" s="63" t="str">
        <f>IF(OR(B1947="",NOT(ISNUMBER(L1947))),"",IF(L1947&lt;=0,"",IFERROR(ROUND(L1947*N(INDEX(art_w,MATCH(H1947,art_ref,0))),3),"")))</f>
        <v/>
      </c>
      <c r="Q1947" s="59" t="n"/>
      <c r="R1947" s="54" t="n"/>
      <c r="S1947" s="59" t="n"/>
      <c r="T1947" s="59" t="n"/>
      <c r="U1947" s="64" t="str">
        <f>IF(OR(B1947="",H1947=""),"",IFERROR(IF(A1947="BL",IF(N(INDEX(art_price,MATCH(H1947,art_ref,0)))=0,"",N(INDEX(art_price,MATCH(H1947,art_ref,0)))),IF(N(INDEX(art_cost,MATCH(H1947,art_ref,0)))=0,"",N(INDEX(art_cost,MATCH(H1947,art_ref,0))))),""))</f>
        <v/>
      </c>
      <c r="V1947" s="64" t="str">
        <f>IF(OR(U1947="",NOT(ISNUMBER(L1947))),"",IF(L1947&lt;=0,"",ROUND(L1947*U1947,2)))</f>
        <v/>
      </c>
      <c r="W1947" s="60" t="str">
        <f>IF(AND(B1947&lt;&gt;"",A1947&lt;&gt;"BS",F1947&lt;&gt;"",H1947&lt;&gt;"",ISNUMBER(K1947),ISNUMBER(L1947)),IF(AND(K1947&gt;0,L1947&gt;0,K1947-L1947&gt;0,COUNTIFS(A1948:A$2005,A1947,F1948:F$2005,F1947,H1948:H$2005,H1947,AA1948:AA$2005,"&gt;0")=0),ROUND(K1947-L1947,6),""),"")</f>
        <v/>
      </c>
      <c r="X1947" s="60" t="str">
        <f>IF(AND(A1947="",C1947="",D1947="",H1947="",L1947=""),"",IF(A1947="","Type manquant",IF(AND(A1947&lt;&gt;"BL",A1947&lt;&gt;"BR",A1947&lt;&gt;"BS"),"Type inconnu (BL, BR ou BS)",IF(AG1947=0,"Date manquante ou invalide",IF(D1947="",IF(A1947="BL","Client manquant",IF(A1947="BR","Fournisseur manquant","Service manquant")),IF(IF(A1947="BL",ISNA(MATCH(D1947,cl_code,0)),IF(A1947="BR",ISNA(MATCH(D1947,fo_code,0)),ISNA(MATCH(D1947,p_services,0)))),IF(A1947="BL","Client inconnu",IF(A1947="BR","Fournisseur inconnu","Service inconnu")),IF(H1947="","Article manquant",IF(ISNA(MATCH(H1947,art_ref,0)),"Article inconnu",IF(OR(NOT(ISNUMBER(L1947)),N(L1947)&lt;=0),"Quantité invalide",IF(AND(K1947&lt;&gt;"",OR(NOT(ISNUMBER(K1947)),N(K1947)&lt;=0)),"Qté commandée invalide",IF(AG1947&lt;SUMPRODUCT(MAX((A$6:A1946=A1947)*AG$6:AG1946)),"Date antérieure au bon précédent",IF(AND(A1947&lt;&gt;"BR",ISNUMBER(M1947),N(M1947)&gt;0),IF(A1947="BL","Livré plus que commandé","Sorti plus que demandé"),"OK"))))))))))))</f>
        <v/>
      </c>
      <c r="Y1947" s="57" t="str">
        <f>IF(AND(OR(A1947="BL",A1947="BR",A1947="BS"),AG1947&gt;0,D1947&lt;&gt;""),A1947&amp;"|"&amp;AG1947&amp;"|"&amp;D1947&amp;"|"&amp;F1947,"")</f>
        <v/>
      </c>
      <c r="Z1947" s="57" t="str">
        <f>IF(Y1947="","",IF(COUNTIF(Y$6:Y1946,Y1947)=0,1,0))</f>
        <v/>
      </c>
      <c r="AA1947" s="57" t="str">
        <f>IF(Y1947="","",IF(Z1947=1,COUNTIFS(A$6:A1947,A1947,Z$6:Z1947,1),INDEX(AA$6:AA1946,MATCH(Y1947,Y$6:Y1946,0))))</f>
        <v/>
      </c>
      <c r="AB1947" s="57" t="str">
        <f>IF(B1947="","",COUNTIF(B$6:B1947,B1947))</f>
        <v/>
      </c>
      <c r="AC1947" s="57" t="str">
        <f>IF(B1947="","",B1947&amp;"#"&amp;AB1947)</f>
        <v/>
      </c>
      <c r="AD1947" s="57" t="str">
        <f>IF(Z1947=1,A1947&amp;AA1947,"")</f>
        <v/>
      </c>
      <c r="AE1947" s="57" t="str">
        <f>IF(B1947="","",YEAR(C1947))</f>
        <v/>
      </c>
      <c r="AF1947" s="57" t="str">
        <f>IF(B1947="","",MONTH(C1947))</f>
        <v/>
      </c>
      <c r="AG1947" s="57">
        <f>IF(ISNUMBER(C1947),C1947,0)</f>
        <v>0.0</v>
      </c>
      <c r="AH1947" s="57" t="str">
        <f>IF(N(W1947)&gt;0,COUNTIF(W$6:W1947,"&gt;0"),"")</f>
        <v/>
      </c>
      <c r="AI1947" s="57" t="str">
        <f>IF(Z1947=1,COUNTIF(Z$6:Z1947,1),"")</f>
        <v/>
      </c>
    </row>
    <row r="1948">
      <c r="A1948" s="54" t="n"/>
      <c r="B1948" s="55" t="str">
        <f>IF(AA1948="","",A1948&amp;"-"&amp;RIGHT("000"&amp;AA1948,4))</f>
        <v/>
      </c>
      <c r="C1948" s="56" t="n"/>
      <c r="D1948" s="54" t="n"/>
      <c r="E1948" s="57" t="str">
        <f>IF(D1948="","",IF(A1948="BL",IFERROR(INDEX(cl_name,MATCH(D1948,cl_code,0))&amp;"","Client inconnu"),IF(A1948="BR",IFERROR(INDEX(fo_name,MATCH(D1948,fo_code,0))&amp;"","Fournisseur inconnu"),IF(A1948="BS",IF(ISNA(MATCH(D1948,p_services,0)),"Service inconnu",D1948&amp;""),""))))</f>
        <v/>
      </c>
      <c r="F1948" s="58" t="n"/>
      <c r="G1948" s="58" t="n"/>
      <c r="H1948" s="59" t="n"/>
      <c r="I1948" s="57" t="str">
        <f>IF(H1948="","",IFERROR(INDEX(art_des,MATCH(H1948,art_ref,0))&amp;"","Article inconnu"))</f>
        <v/>
      </c>
      <c r="J1948" s="60" t="str">
        <f>IF(H1948="","",IFERROR(INDEX(art_unit,MATCH(H1948,art_ref,0))&amp;"",""))</f>
        <v/>
      </c>
      <c r="K1948" s="59" t="n"/>
      <c r="L1948" s="59" t="n"/>
      <c r="M1948" s="61" t="str">
        <f>IF(OR(B1948="",NOT(ISNUMBER(K1948)),NOT(ISNUMBER(L1948))),"",IF(OR(K1948&lt;=0,L1948&lt;=0),"",ROUND(L1948-K1948,6)))</f>
        <v/>
      </c>
      <c r="N1948" s="58" t="n"/>
      <c r="O1948" s="62" t="n"/>
      <c r="P1948" s="63" t="str">
        <f>IF(OR(B1948="",NOT(ISNUMBER(L1948))),"",IF(L1948&lt;=0,"",IFERROR(ROUND(L1948*N(INDEX(art_w,MATCH(H1948,art_ref,0))),3),"")))</f>
        <v/>
      </c>
      <c r="Q1948" s="59" t="n"/>
      <c r="R1948" s="54" t="n"/>
      <c r="S1948" s="59" t="n"/>
      <c r="T1948" s="59" t="n"/>
      <c r="U1948" s="64" t="str">
        <f>IF(OR(B1948="",H1948=""),"",IFERROR(IF(A1948="BL",IF(N(INDEX(art_price,MATCH(H1948,art_ref,0)))=0,"",N(INDEX(art_price,MATCH(H1948,art_ref,0)))),IF(N(INDEX(art_cost,MATCH(H1948,art_ref,0)))=0,"",N(INDEX(art_cost,MATCH(H1948,art_ref,0))))),""))</f>
        <v/>
      </c>
      <c r="V1948" s="64" t="str">
        <f>IF(OR(U1948="",NOT(ISNUMBER(L1948))),"",IF(L1948&lt;=0,"",ROUND(L1948*U1948,2)))</f>
        <v/>
      </c>
      <c r="W1948" s="60" t="str">
        <f>IF(AND(B1948&lt;&gt;"",A1948&lt;&gt;"BS",F1948&lt;&gt;"",H1948&lt;&gt;"",ISNUMBER(K1948),ISNUMBER(L1948)),IF(AND(K1948&gt;0,L1948&gt;0,K1948-L1948&gt;0,COUNTIFS(A1949:A$2005,A1948,F1949:F$2005,F1948,H1949:H$2005,H1948,AA1949:AA$2005,"&gt;0")=0),ROUND(K1948-L1948,6),""),"")</f>
        <v/>
      </c>
      <c r="X1948" s="60" t="str">
        <f>IF(AND(A1948="",C1948="",D1948="",H1948="",L1948=""),"",IF(A1948="","Type manquant",IF(AND(A1948&lt;&gt;"BL",A1948&lt;&gt;"BR",A1948&lt;&gt;"BS"),"Type inconnu (BL, BR ou BS)",IF(AG1948=0,"Date manquante ou invalide",IF(D1948="",IF(A1948="BL","Client manquant",IF(A1948="BR","Fournisseur manquant","Service manquant")),IF(IF(A1948="BL",ISNA(MATCH(D1948,cl_code,0)),IF(A1948="BR",ISNA(MATCH(D1948,fo_code,0)),ISNA(MATCH(D1948,p_services,0)))),IF(A1948="BL","Client inconnu",IF(A1948="BR","Fournisseur inconnu","Service inconnu")),IF(H1948="","Article manquant",IF(ISNA(MATCH(H1948,art_ref,0)),"Article inconnu",IF(OR(NOT(ISNUMBER(L1948)),N(L1948)&lt;=0),"Quantité invalide",IF(AND(K1948&lt;&gt;"",OR(NOT(ISNUMBER(K1948)),N(K1948)&lt;=0)),"Qté commandée invalide",IF(AG1948&lt;SUMPRODUCT(MAX((A$6:A1947=A1948)*AG$6:AG1947)),"Date antérieure au bon précédent",IF(AND(A1948&lt;&gt;"BR",ISNUMBER(M1948),N(M1948)&gt;0),IF(A1948="BL","Livré plus que commandé","Sorti plus que demandé"),"OK"))))))))))))</f>
        <v/>
      </c>
      <c r="Y1948" s="57" t="str">
        <f>IF(AND(OR(A1948="BL",A1948="BR",A1948="BS"),AG1948&gt;0,D1948&lt;&gt;""),A1948&amp;"|"&amp;AG1948&amp;"|"&amp;D1948&amp;"|"&amp;F1948,"")</f>
        <v/>
      </c>
      <c r="Z1948" s="57" t="str">
        <f>IF(Y1948="","",IF(COUNTIF(Y$6:Y1947,Y1948)=0,1,0))</f>
        <v/>
      </c>
      <c r="AA1948" s="57" t="str">
        <f>IF(Y1948="","",IF(Z1948=1,COUNTIFS(A$6:A1948,A1948,Z$6:Z1948,1),INDEX(AA$6:AA1947,MATCH(Y1948,Y$6:Y1947,0))))</f>
        <v/>
      </c>
      <c r="AB1948" s="57" t="str">
        <f>IF(B1948="","",COUNTIF(B$6:B1948,B1948))</f>
        <v/>
      </c>
      <c r="AC1948" s="57" t="str">
        <f>IF(B1948="","",B1948&amp;"#"&amp;AB1948)</f>
        <v/>
      </c>
      <c r="AD1948" s="57" t="str">
        <f>IF(Z1948=1,A1948&amp;AA1948,"")</f>
        <v/>
      </c>
      <c r="AE1948" s="57" t="str">
        <f>IF(B1948="","",YEAR(C1948))</f>
        <v/>
      </c>
      <c r="AF1948" s="57" t="str">
        <f>IF(B1948="","",MONTH(C1948))</f>
        <v/>
      </c>
      <c r="AG1948" s="57">
        <f>IF(ISNUMBER(C1948),C1948,0)</f>
        <v>0.0</v>
      </c>
      <c r="AH1948" s="57" t="str">
        <f>IF(N(W1948)&gt;0,COUNTIF(W$6:W1948,"&gt;0"),"")</f>
        <v/>
      </c>
      <c r="AI1948" s="57" t="str">
        <f>IF(Z1948=1,COUNTIF(Z$6:Z1948,1),"")</f>
        <v/>
      </c>
    </row>
    <row r="1949">
      <c r="A1949" s="54" t="n"/>
      <c r="B1949" s="55" t="str">
        <f>IF(AA1949="","",A1949&amp;"-"&amp;RIGHT("000"&amp;AA1949,4))</f>
        <v/>
      </c>
      <c r="C1949" s="56" t="n"/>
      <c r="D1949" s="54" t="n"/>
      <c r="E1949" s="57" t="str">
        <f>IF(D1949="","",IF(A1949="BL",IFERROR(INDEX(cl_name,MATCH(D1949,cl_code,0))&amp;"","Client inconnu"),IF(A1949="BR",IFERROR(INDEX(fo_name,MATCH(D1949,fo_code,0))&amp;"","Fournisseur inconnu"),IF(A1949="BS",IF(ISNA(MATCH(D1949,p_services,0)),"Service inconnu",D1949&amp;""),""))))</f>
        <v/>
      </c>
      <c r="F1949" s="58" t="n"/>
      <c r="G1949" s="58" t="n"/>
      <c r="H1949" s="59" t="n"/>
      <c r="I1949" s="57" t="str">
        <f>IF(H1949="","",IFERROR(INDEX(art_des,MATCH(H1949,art_ref,0))&amp;"","Article inconnu"))</f>
        <v/>
      </c>
      <c r="J1949" s="60" t="str">
        <f>IF(H1949="","",IFERROR(INDEX(art_unit,MATCH(H1949,art_ref,0))&amp;"",""))</f>
        <v/>
      </c>
      <c r="K1949" s="59" t="n"/>
      <c r="L1949" s="59" t="n"/>
      <c r="M1949" s="61" t="str">
        <f>IF(OR(B1949="",NOT(ISNUMBER(K1949)),NOT(ISNUMBER(L1949))),"",IF(OR(K1949&lt;=0,L1949&lt;=0),"",ROUND(L1949-K1949,6)))</f>
        <v/>
      </c>
      <c r="N1949" s="58" t="n"/>
      <c r="O1949" s="62" t="n"/>
      <c r="P1949" s="63" t="str">
        <f>IF(OR(B1949="",NOT(ISNUMBER(L1949))),"",IF(L1949&lt;=0,"",IFERROR(ROUND(L1949*N(INDEX(art_w,MATCH(H1949,art_ref,0))),3),"")))</f>
        <v/>
      </c>
      <c r="Q1949" s="59" t="n"/>
      <c r="R1949" s="54" t="n"/>
      <c r="S1949" s="59" t="n"/>
      <c r="T1949" s="59" t="n"/>
      <c r="U1949" s="64" t="str">
        <f>IF(OR(B1949="",H1949=""),"",IFERROR(IF(A1949="BL",IF(N(INDEX(art_price,MATCH(H1949,art_ref,0)))=0,"",N(INDEX(art_price,MATCH(H1949,art_ref,0)))),IF(N(INDEX(art_cost,MATCH(H1949,art_ref,0)))=0,"",N(INDEX(art_cost,MATCH(H1949,art_ref,0))))),""))</f>
        <v/>
      </c>
      <c r="V1949" s="64" t="str">
        <f>IF(OR(U1949="",NOT(ISNUMBER(L1949))),"",IF(L1949&lt;=0,"",ROUND(L1949*U1949,2)))</f>
        <v/>
      </c>
      <c r="W1949" s="60" t="str">
        <f>IF(AND(B1949&lt;&gt;"",A1949&lt;&gt;"BS",F1949&lt;&gt;"",H1949&lt;&gt;"",ISNUMBER(K1949),ISNUMBER(L1949)),IF(AND(K1949&gt;0,L1949&gt;0,K1949-L1949&gt;0,COUNTIFS(A1950:A$2005,A1949,F1950:F$2005,F1949,H1950:H$2005,H1949,AA1950:AA$2005,"&gt;0")=0),ROUND(K1949-L1949,6),""),"")</f>
        <v/>
      </c>
      <c r="X1949" s="60" t="str">
        <f>IF(AND(A1949="",C1949="",D1949="",H1949="",L1949=""),"",IF(A1949="","Type manquant",IF(AND(A1949&lt;&gt;"BL",A1949&lt;&gt;"BR",A1949&lt;&gt;"BS"),"Type inconnu (BL, BR ou BS)",IF(AG1949=0,"Date manquante ou invalide",IF(D1949="",IF(A1949="BL","Client manquant",IF(A1949="BR","Fournisseur manquant","Service manquant")),IF(IF(A1949="BL",ISNA(MATCH(D1949,cl_code,0)),IF(A1949="BR",ISNA(MATCH(D1949,fo_code,0)),ISNA(MATCH(D1949,p_services,0)))),IF(A1949="BL","Client inconnu",IF(A1949="BR","Fournisseur inconnu","Service inconnu")),IF(H1949="","Article manquant",IF(ISNA(MATCH(H1949,art_ref,0)),"Article inconnu",IF(OR(NOT(ISNUMBER(L1949)),N(L1949)&lt;=0),"Quantité invalide",IF(AND(K1949&lt;&gt;"",OR(NOT(ISNUMBER(K1949)),N(K1949)&lt;=0)),"Qté commandée invalide",IF(AG1949&lt;SUMPRODUCT(MAX((A$6:A1948=A1949)*AG$6:AG1948)),"Date antérieure au bon précédent",IF(AND(A1949&lt;&gt;"BR",ISNUMBER(M1949),N(M1949)&gt;0),IF(A1949="BL","Livré plus que commandé","Sorti plus que demandé"),"OK"))))))))))))</f>
        <v/>
      </c>
      <c r="Y1949" s="57" t="str">
        <f>IF(AND(OR(A1949="BL",A1949="BR",A1949="BS"),AG1949&gt;0,D1949&lt;&gt;""),A1949&amp;"|"&amp;AG1949&amp;"|"&amp;D1949&amp;"|"&amp;F1949,"")</f>
        <v/>
      </c>
      <c r="Z1949" s="57" t="str">
        <f>IF(Y1949="","",IF(COUNTIF(Y$6:Y1948,Y1949)=0,1,0))</f>
        <v/>
      </c>
      <c r="AA1949" s="57" t="str">
        <f>IF(Y1949="","",IF(Z1949=1,COUNTIFS(A$6:A1949,A1949,Z$6:Z1949,1),INDEX(AA$6:AA1948,MATCH(Y1949,Y$6:Y1948,0))))</f>
        <v/>
      </c>
      <c r="AB1949" s="57" t="str">
        <f>IF(B1949="","",COUNTIF(B$6:B1949,B1949))</f>
        <v/>
      </c>
      <c r="AC1949" s="57" t="str">
        <f>IF(B1949="","",B1949&amp;"#"&amp;AB1949)</f>
        <v/>
      </c>
      <c r="AD1949" s="57" t="str">
        <f>IF(Z1949=1,A1949&amp;AA1949,"")</f>
        <v/>
      </c>
      <c r="AE1949" s="57" t="str">
        <f>IF(B1949="","",YEAR(C1949))</f>
        <v/>
      </c>
      <c r="AF1949" s="57" t="str">
        <f>IF(B1949="","",MONTH(C1949))</f>
        <v/>
      </c>
      <c r="AG1949" s="57">
        <f>IF(ISNUMBER(C1949),C1949,0)</f>
        <v>0.0</v>
      </c>
      <c r="AH1949" s="57" t="str">
        <f>IF(N(W1949)&gt;0,COUNTIF(W$6:W1949,"&gt;0"),"")</f>
        <v/>
      </c>
      <c r="AI1949" s="57" t="str">
        <f>IF(Z1949=1,COUNTIF(Z$6:Z1949,1),"")</f>
        <v/>
      </c>
    </row>
    <row r="1950">
      <c r="A1950" s="54" t="n"/>
      <c r="B1950" s="55" t="str">
        <f>IF(AA1950="","",A1950&amp;"-"&amp;RIGHT("000"&amp;AA1950,4))</f>
        <v/>
      </c>
      <c r="C1950" s="56" t="n"/>
      <c r="D1950" s="54" t="n"/>
      <c r="E1950" s="57" t="str">
        <f>IF(D1950="","",IF(A1950="BL",IFERROR(INDEX(cl_name,MATCH(D1950,cl_code,0))&amp;"","Client inconnu"),IF(A1950="BR",IFERROR(INDEX(fo_name,MATCH(D1950,fo_code,0))&amp;"","Fournisseur inconnu"),IF(A1950="BS",IF(ISNA(MATCH(D1950,p_services,0)),"Service inconnu",D1950&amp;""),""))))</f>
        <v/>
      </c>
      <c r="F1950" s="58" t="n"/>
      <c r="G1950" s="58" t="n"/>
      <c r="H1950" s="59" t="n"/>
      <c r="I1950" s="57" t="str">
        <f>IF(H1950="","",IFERROR(INDEX(art_des,MATCH(H1950,art_ref,0))&amp;"","Article inconnu"))</f>
        <v/>
      </c>
      <c r="J1950" s="60" t="str">
        <f>IF(H1950="","",IFERROR(INDEX(art_unit,MATCH(H1950,art_ref,0))&amp;"",""))</f>
        <v/>
      </c>
      <c r="K1950" s="59" t="n"/>
      <c r="L1950" s="59" t="n"/>
      <c r="M1950" s="61" t="str">
        <f>IF(OR(B1950="",NOT(ISNUMBER(K1950)),NOT(ISNUMBER(L1950))),"",IF(OR(K1950&lt;=0,L1950&lt;=0),"",ROUND(L1950-K1950,6)))</f>
        <v/>
      </c>
      <c r="N1950" s="58" t="n"/>
      <c r="O1950" s="62" t="n"/>
      <c r="P1950" s="63" t="str">
        <f>IF(OR(B1950="",NOT(ISNUMBER(L1950))),"",IF(L1950&lt;=0,"",IFERROR(ROUND(L1950*N(INDEX(art_w,MATCH(H1950,art_ref,0))),3),"")))</f>
        <v/>
      </c>
      <c r="Q1950" s="59" t="n"/>
      <c r="R1950" s="54" t="n"/>
      <c r="S1950" s="59" t="n"/>
      <c r="T1950" s="59" t="n"/>
      <c r="U1950" s="64" t="str">
        <f>IF(OR(B1950="",H1950=""),"",IFERROR(IF(A1950="BL",IF(N(INDEX(art_price,MATCH(H1950,art_ref,0)))=0,"",N(INDEX(art_price,MATCH(H1950,art_ref,0)))),IF(N(INDEX(art_cost,MATCH(H1950,art_ref,0)))=0,"",N(INDEX(art_cost,MATCH(H1950,art_ref,0))))),""))</f>
        <v/>
      </c>
      <c r="V1950" s="64" t="str">
        <f>IF(OR(U1950="",NOT(ISNUMBER(L1950))),"",IF(L1950&lt;=0,"",ROUND(L1950*U1950,2)))</f>
        <v/>
      </c>
      <c r="W1950" s="60" t="str">
        <f>IF(AND(B1950&lt;&gt;"",A1950&lt;&gt;"BS",F1950&lt;&gt;"",H1950&lt;&gt;"",ISNUMBER(K1950),ISNUMBER(L1950)),IF(AND(K1950&gt;0,L1950&gt;0,K1950-L1950&gt;0,COUNTIFS(A1951:A$2005,A1950,F1951:F$2005,F1950,H1951:H$2005,H1950,AA1951:AA$2005,"&gt;0")=0),ROUND(K1950-L1950,6),""),"")</f>
        <v/>
      </c>
      <c r="X1950" s="60" t="str">
        <f>IF(AND(A1950="",C1950="",D1950="",H1950="",L1950=""),"",IF(A1950="","Type manquant",IF(AND(A1950&lt;&gt;"BL",A1950&lt;&gt;"BR",A1950&lt;&gt;"BS"),"Type inconnu (BL, BR ou BS)",IF(AG1950=0,"Date manquante ou invalide",IF(D1950="",IF(A1950="BL","Client manquant",IF(A1950="BR","Fournisseur manquant","Service manquant")),IF(IF(A1950="BL",ISNA(MATCH(D1950,cl_code,0)),IF(A1950="BR",ISNA(MATCH(D1950,fo_code,0)),ISNA(MATCH(D1950,p_services,0)))),IF(A1950="BL","Client inconnu",IF(A1950="BR","Fournisseur inconnu","Service inconnu")),IF(H1950="","Article manquant",IF(ISNA(MATCH(H1950,art_ref,0)),"Article inconnu",IF(OR(NOT(ISNUMBER(L1950)),N(L1950)&lt;=0),"Quantité invalide",IF(AND(K1950&lt;&gt;"",OR(NOT(ISNUMBER(K1950)),N(K1950)&lt;=0)),"Qté commandée invalide",IF(AG1950&lt;SUMPRODUCT(MAX((A$6:A1949=A1950)*AG$6:AG1949)),"Date antérieure au bon précédent",IF(AND(A1950&lt;&gt;"BR",ISNUMBER(M1950),N(M1950)&gt;0),IF(A1950="BL","Livré plus que commandé","Sorti plus que demandé"),"OK"))))))))))))</f>
        <v/>
      </c>
      <c r="Y1950" s="57" t="str">
        <f>IF(AND(OR(A1950="BL",A1950="BR",A1950="BS"),AG1950&gt;0,D1950&lt;&gt;""),A1950&amp;"|"&amp;AG1950&amp;"|"&amp;D1950&amp;"|"&amp;F1950,"")</f>
        <v/>
      </c>
      <c r="Z1950" s="57" t="str">
        <f>IF(Y1950="","",IF(COUNTIF(Y$6:Y1949,Y1950)=0,1,0))</f>
        <v/>
      </c>
      <c r="AA1950" s="57" t="str">
        <f>IF(Y1950="","",IF(Z1950=1,COUNTIFS(A$6:A1950,A1950,Z$6:Z1950,1),INDEX(AA$6:AA1949,MATCH(Y1950,Y$6:Y1949,0))))</f>
        <v/>
      </c>
      <c r="AB1950" s="57" t="str">
        <f>IF(B1950="","",COUNTIF(B$6:B1950,B1950))</f>
        <v/>
      </c>
      <c r="AC1950" s="57" t="str">
        <f>IF(B1950="","",B1950&amp;"#"&amp;AB1950)</f>
        <v/>
      </c>
      <c r="AD1950" s="57" t="str">
        <f>IF(Z1950=1,A1950&amp;AA1950,"")</f>
        <v/>
      </c>
      <c r="AE1950" s="57" t="str">
        <f>IF(B1950="","",YEAR(C1950))</f>
        <v/>
      </c>
      <c r="AF1950" s="57" t="str">
        <f>IF(B1950="","",MONTH(C1950))</f>
        <v/>
      </c>
      <c r="AG1950" s="57">
        <f>IF(ISNUMBER(C1950),C1950,0)</f>
        <v>0.0</v>
      </c>
      <c r="AH1950" s="57" t="str">
        <f>IF(N(W1950)&gt;0,COUNTIF(W$6:W1950,"&gt;0"),"")</f>
        <v/>
      </c>
      <c r="AI1950" s="57" t="str">
        <f>IF(Z1950=1,COUNTIF(Z$6:Z1950,1),"")</f>
        <v/>
      </c>
    </row>
    <row r="1951">
      <c r="A1951" s="54" t="n"/>
      <c r="B1951" s="55" t="str">
        <f>IF(AA1951="","",A1951&amp;"-"&amp;RIGHT("000"&amp;AA1951,4))</f>
        <v/>
      </c>
      <c r="C1951" s="56" t="n"/>
      <c r="D1951" s="54" t="n"/>
      <c r="E1951" s="57" t="str">
        <f>IF(D1951="","",IF(A1951="BL",IFERROR(INDEX(cl_name,MATCH(D1951,cl_code,0))&amp;"","Client inconnu"),IF(A1951="BR",IFERROR(INDEX(fo_name,MATCH(D1951,fo_code,0))&amp;"","Fournisseur inconnu"),IF(A1951="BS",IF(ISNA(MATCH(D1951,p_services,0)),"Service inconnu",D1951&amp;""),""))))</f>
        <v/>
      </c>
      <c r="F1951" s="58" t="n"/>
      <c r="G1951" s="58" t="n"/>
      <c r="H1951" s="59" t="n"/>
      <c r="I1951" s="57" t="str">
        <f>IF(H1951="","",IFERROR(INDEX(art_des,MATCH(H1951,art_ref,0))&amp;"","Article inconnu"))</f>
        <v/>
      </c>
      <c r="J1951" s="60" t="str">
        <f>IF(H1951="","",IFERROR(INDEX(art_unit,MATCH(H1951,art_ref,0))&amp;"",""))</f>
        <v/>
      </c>
      <c r="K1951" s="59" t="n"/>
      <c r="L1951" s="59" t="n"/>
      <c r="M1951" s="61" t="str">
        <f>IF(OR(B1951="",NOT(ISNUMBER(K1951)),NOT(ISNUMBER(L1951))),"",IF(OR(K1951&lt;=0,L1951&lt;=0),"",ROUND(L1951-K1951,6)))</f>
        <v/>
      </c>
      <c r="N1951" s="58" t="n"/>
      <c r="O1951" s="62" t="n"/>
      <c r="P1951" s="63" t="str">
        <f>IF(OR(B1951="",NOT(ISNUMBER(L1951))),"",IF(L1951&lt;=0,"",IFERROR(ROUND(L1951*N(INDEX(art_w,MATCH(H1951,art_ref,0))),3),"")))</f>
        <v/>
      </c>
      <c r="Q1951" s="59" t="n"/>
      <c r="R1951" s="54" t="n"/>
      <c r="S1951" s="59" t="n"/>
      <c r="T1951" s="59" t="n"/>
      <c r="U1951" s="64" t="str">
        <f>IF(OR(B1951="",H1951=""),"",IFERROR(IF(A1951="BL",IF(N(INDEX(art_price,MATCH(H1951,art_ref,0)))=0,"",N(INDEX(art_price,MATCH(H1951,art_ref,0)))),IF(N(INDEX(art_cost,MATCH(H1951,art_ref,0)))=0,"",N(INDEX(art_cost,MATCH(H1951,art_ref,0))))),""))</f>
        <v/>
      </c>
      <c r="V1951" s="64" t="str">
        <f>IF(OR(U1951="",NOT(ISNUMBER(L1951))),"",IF(L1951&lt;=0,"",ROUND(L1951*U1951,2)))</f>
        <v/>
      </c>
      <c r="W1951" s="60" t="str">
        <f>IF(AND(B1951&lt;&gt;"",A1951&lt;&gt;"BS",F1951&lt;&gt;"",H1951&lt;&gt;"",ISNUMBER(K1951),ISNUMBER(L1951)),IF(AND(K1951&gt;0,L1951&gt;0,K1951-L1951&gt;0,COUNTIFS(A1952:A$2005,A1951,F1952:F$2005,F1951,H1952:H$2005,H1951,AA1952:AA$2005,"&gt;0")=0),ROUND(K1951-L1951,6),""),"")</f>
        <v/>
      </c>
      <c r="X1951" s="60" t="str">
        <f>IF(AND(A1951="",C1951="",D1951="",H1951="",L1951=""),"",IF(A1951="","Type manquant",IF(AND(A1951&lt;&gt;"BL",A1951&lt;&gt;"BR",A1951&lt;&gt;"BS"),"Type inconnu (BL, BR ou BS)",IF(AG1951=0,"Date manquante ou invalide",IF(D1951="",IF(A1951="BL","Client manquant",IF(A1951="BR","Fournisseur manquant","Service manquant")),IF(IF(A1951="BL",ISNA(MATCH(D1951,cl_code,0)),IF(A1951="BR",ISNA(MATCH(D1951,fo_code,0)),ISNA(MATCH(D1951,p_services,0)))),IF(A1951="BL","Client inconnu",IF(A1951="BR","Fournisseur inconnu","Service inconnu")),IF(H1951="","Article manquant",IF(ISNA(MATCH(H1951,art_ref,0)),"Article inconnu",IF(OR(NOT(ISNUMBER(L1951)),N(L1951)&lt;=0),"Quantité invalide",IF(AND(K1951&lt;&gt;"",OR(NOT(ISNUMBER(K1951)),N(K1951)&lt;=0)),"Qté commandée invalide",IF(AG1951&lt;SUMPRODUCT(MAX((A$6:A1950=A1951)*AG$6:AG1950)),"Date antérieure au bon précédent",IF(AND(A1951&lt;&gt;"BR",ISNUMBER(M1951),N(M1951)&gt;0),IF(A1951="BL","Livré plus que commandé","Sorti plus que demandé"),"OK"))))))))))))</f>
        <v/>
      </c>
      <c r="Y1951" s="57" t="str">
        <f>IF(AND(OR(A1951="BL",A1951="BR",A1951="BS"),AG1951&gt;0,D1951&lt;&gt;""),A1951&amp;"|"&amp;AG1951&amp;"|"&amp;D1951&amp;"|"&amp;F1951,"")</f>
        <v/>
      </c>
      <c r="Z1951" s="57" t="str">
        <f>IF(Y1951="","",IF(COUNTIF(Y$6:Y1950,Y1951)=0,1,0))</f>
        <v/>
      </c>
      <c r="AA1951" s="57" t="str">
        <f>IF(Y1951="","",IF(Z1951=1,COUNTIFS(A$6:A1951,A1951,Z$6:Z1951,1),INDEX(AA$6:AA1950,MATCH(Y1951,Y$6:Y1950,0))))</f>
        <v/>
      </c>
      <c r="AB1951" s="57" t="str">
        <f>IF(B1951="","",COUNTIF(B$6:B1951,B1951))</f>
        <v/>
      </c>
      <c r="AC1951" s="57" t="str">
        <f>IF(B1951="","",B1951&amp;"#"&amp;AB1951)</f>
        <v/>
      </c>
      <c r="AD1951" s="57" t="str">
        <f>IF(Z1951=1,A1951&amp;AA1951,"")</f>
        <v/>
      </c>
      <c r="AE1951" s="57" t="str">
        <f>IF(B1951="","",YEAR(C1951))</f>
        <v/>
      </c>
      <c r="AF1951" s="57" t="str">
        <f>IF(B1951="","",MONTH(C1951))</f>
        <v/>
      </c>
      <c r="AG1951" s="57">
        <f>IF(ISNUMBER(C1951),C1951,0)</f>
        <v>0.0</v>
      </c>
      <c r="AH1951" s="57" t="str">
        <f>IF(N(W1951)&gt;0,COUNTIF(W$6:W1951,"&gt;0"),"")</f>
        <v/>
      </c>
      <c r="AI1951" s="57" t="str">
        <f>IF(Z1951=1,COUNTIF(Z$6:Z1951,1),"")</f>
        <v/>
      </c>
    </row>
    <row r="1952">
      <c r="A1952" s="54" t="n"/>
      <c r="B1952" s="55" t="str">
        <f>IF(AA1952="","",A1952&amp;"-"&amp;RIGHT("000"&amp;AA1952,4))</f>
        <v/>
      </c>
      <c r="C1952" s="56" t="n"/>
      <c r="D1952" s="54" t="n"/>
      <c r="E1952" s="57" t="str">
        <f>IF(D1952="","",IF(A1952="BL",IFERROR(INDEX(cl_name,MATCH(D1952,cl_code,0))&amp;"","Client inconnu"),IF(A1952="BR",IFERROR(INDEX(fo_name,MATCH(D1952,fo_code,0))&amp;"","Fournisseur inconnu"),IF(A1952="BS",IF(ISNA(MATCH(D1952,p_services,0)),"Service inconnu",D1952&amp;""),""))))</f>
        <v/>
      </c>
      <c r="F1952" s="58" t="n"/>
      <c r="G1952" s="58" t="n"/>
      <c r="H1952" s="59" t="n"/>
      <c r="I1952" s="57" t="str">
        <f>IF(H1952="","",IFERROR(INDEX(art_des,MATCH(H1952,art_ref,0))&amp;"","Article inconnu"))</f>
        <v/>
      </c>
      <c r="J1952" s="60" t="str">
        <f>IF(H1952="","",IFERROR(INDEX(art_unit,MATCH(H1952,art_ref,0))&amp;"",""))</f>
        <v/>
      </c>
      <c r="K1952" s="59" t="n"/>
      <c r="L1952" s="59" t="n"/>
      <c r="M1952" s="61" t="str">
        <f>IF(OR(B1952="",NOT(ISNUMBER(K1952)),NOT(ISNUMBER(L1952))),"",IF(OR(K1952&lt;=0,L1952&lt;=0),"",ROUND(L1952-K1952,6)))</f>
        <v/>
      </c>
      <c r="N1952" s="58" t="n"/>
      <c r="O1952" s="62" t="n"/>
      <c r="P1952" s="63" t="str">
        <f>IF(OR(B1952="",NOT(ISNUMBER(L1952))),"",IF(L1952&lt;=0,"",IFERROR(ROUND(L1952*N(INDEX(art_w,MATCH(H1952,art_ref,0))),3),"")))</f>
        <v/>
      </c>
      <c r="Q1952" s="59" t="n"/>
      <c r="R1952" s="54" t="n"/>
      <c r="S1952" s="59" t="n"/>
      <c r="T1952" s="59" t="n"/>
      <c r="U1952" s="64" t="str">
        <f>IF(OR(B1952="",H1952=""),"",IFERROR(IF(A1952="BL",IF(N(INDEX(art_price,MATCH(H1952,art_ref,0)))=0,"",N(INDEX(art_price,MATCH(H1952,art_ref,0)))),IF(N(INDEX(art_cost,MATCH(H1952,art_ref,0)))=0,"",N(INDEX(art_cost,MATCH(H1952,art_ref,0))))),""))</f>
        <v/>
      </c>
      <c r="V1952" s="64" t="str">
        <f>IF(OR(U1952="",NOT(ISNUMBER(L1952))),"",IF(L1952&lt;=0,"",ROUND(L1952*U1952,2)))</f>
        <v/>
      </c>
      <c r="W1952" s="60" t="str">
        <f>IF(AND(B1952&lt;&gt;"",A1952&lt;&gt;"BS",F1952&lt;&gt;"",H1952&lt;&gt;"",ISNUMBER(K1952),ISNUMBER(L1952)),IF(AND(K1952&gt;0,L1952&gt;0,K1952-L1952&gt;0,COUNTIFS(A1953:A$2005,A1952,F1953:F$2005,F1952,H1953:H$2005,H1952,AA1953:AA$2005,"&gt;0")=0),ROUND(K1952-L1952,6),""),"")</f>
        <v/>
      </c>
      <c r="X1952" s="60" t="str">
        <f>IF(AND(A1952="",C1952="",D1952="",H1952="",L1952=""),"",IF(A1952="","Type manquant",IF(AND(A1952&lt;&gt;"BL",A1952&lt;&gt;"BR",A1952&lt;&gt;"BS"),"Type inconnu (BL, BR ou BS)",IF(AG1952=0,"Date manquante ou invalide",IF(D1952="",IF(A1952="BL","Client manquant",IF(A1952="BR","Fournisseur manquant","Service manquant")),IF(IF(A1952="BL",ISNA(MATCH(D1952,cl_code,0)),IF(A1952="BR",ISNA(MATCH(D1952,fo_code,0)),ISNA(MATCH(D1952,p_services,0)))),IF(A1952="BL","Client inconnu",IF(A1952="BR","Fournisseur inconnu","Service inconnu")),IF(H1952="","Article manquant",IF(ISNA(MATCH(H1952,art_ref,0)),"Article inconnu",IF(OR(NOT(ISNUMBER(L1952)),N(L1952)&lt;=0),"Quantité invalide",IF(AND(K1952&lt;&gt;"",OR(NOT(ISNUMBER(K1952)),N(K1952)&lt;=0)),"Qté commandée invalide",IF(AG1952&lt;SUMPRODUCT(MAX((A$6:A1951=A1952)*AG$6:AG1951)),"Date antérieure au bon précédent",IF(AND(A1952&lt;&gt;"BR",ISNUMBER(M1952),N(M1952)&gt;0),IF(A1952="BL","Livré plus que commandé","Sorti plus que demandé"),"OK"))))))))))))</f>
        <v/>
      </c>
      <c r="Y1952" s="57" t="str">
        <f>IF(AND(OR(A1952="BL",A1952="BR",A1952="BS"),AG1952&gt;0,D1952&lt;&gt;""),A1952&amp;"|"&amp;AG1952&amp;"|"&amp;D1952&amp;"|"&amp;F1952,"")</f>
        <v/>
      </c>
      <c r="Z1952" s="57" t="str">
        <f>IF(Y1952="","",IF(COUNTIF(Y$6:Y1951,Y1952)=0,1,0))</f>
        <v/>
      </c>
      <c r="AA1952" s="57" t="str">
        <f>IF(Y1952="","",IF(Z1952=1,COUNTIFS(A$6:A1952,A1952,Z$6:Z1952,1),INDEX(AA$6:AA1951,MATCH(Y1952,Y$6:Y1951,0))))</f>
        <v/>
      </c>
      <c r="AB1952" s="57" t="str">
        <f>IF(B1952="","",COUNTIF(B$6:B1952,B1952))</f>
        <v/>
      </c>
      <c r="AC1952" s="57" t="str">
        <f>IF(B1952="","",B1952&amp;"#"&amp;AB1952)</f>
        <v/>
      </c>
      <c r="AD1952" s="57" t="str">
        <f>IF(Z1952=1,A1952&amp;AA1952,"")</f>
        <v/>
      </c>
      <c r="AE1952" s="57" t="str">
        <f>IF(B1952="","",YEAR(C1952))</f>
        <v/>
      </c>
      <c r="AF1952" s="57" t="str">
        <f>IF(B1952="","",MONTH(C1952))</f>
        <v/>
      </c>
      <c r="AG1952" s="57">
        <f>IF(ISNUMBER(C1952),C1952,0)</f>
        <v>0.0</v>
      </c>
      <c r="AH1952" s="57" t="str">
        <f>IF(N(W1952)&gt;0,COUNTIF(W$6:W1952,"&gt;0"),"")</f>
        <v/>
      </c>
      <c r="AI1952" s="57" t="str">
        <f>IF(Z1952=1,COUNTIF(Z$6:Z1952,1),"")</f>
        <v/>
      </c>
    </row>
    <row r="1953">
      <c r="A1953" s="54" t="n"/>
      <c r="B1953" s="55" t="str">
        <f>IF(AA1953="","",A1953&amp;"-"&amp;RIGHT("000"&amp;AA1953,4))</f>
        <v/>
      </c>
      <c r="C1953" s="56" t="n"/>
      <c r="D1953" s="54" t="n"/>
      <c r="E1953" s="57" t="str">
        <f>IF(D1953="","",IF(A1953="BL",IFERROR(INDEX(cl_name,MATCH(D1953,cl_code,0))&amp;"","Client inconnu"),IF(A1953="BR",IFERROR(INDEX(fo_name,MATCH(D1953,fo_code,0))&amp;"","Fournisseur inconnu"),IF(A1953="BS",IF(ISNA(MATCH(D1953,p_services,0)),"Service inconnu",D1953&amp;""),""))))</f>
        <v/>
      </c>
      <c r="F1953" s="58" t="n"/>
      <c r="G1953" s="58" t="n"/>
      <c r="H1953" s="59" t="n"/>
      <c r="I1953" s="57" t="str">
        <f>IF(H1953="","",IFERROR(INDEX(art_des,MATCH(H1953,art_ref,0))&amp;"","Article inconnu"))</f>
        <v/>
      </c>
      <c r="J1953" s="60" t="str">
        <f>IF(H1953="","",IFERROR(INDEX(art_unit,MATCH(H1953,art_ref,0))&amp;"",""))</f>
        <v/>
      </c>
      <c r="K1953" s="59" t="n"/>
      <c r="L1953" s="59" t="n"/>
      <c r="M1953" s="61" t="str">
        <f>IF(OR(B1953="",NOT(ISNUMBER(K1953)),NOT(ISNUMBER(L1953))),"",IF(OR(K1953&lt;=0,L1953&lt;=0),"",ROUND(L1953-K1953,6)))</f>
        <v/>
      </c>
      <c r="N1953" s="58" t="n"/>
      <c r="O1953" s="62" t="n"/>
      <c r="P1953" s="63" t="str">
        <f>IF(OR(B1953="",NOT(ISNUMBER(L1953))),"",IF(L1953&lt;=0,"",IFERROR(ROUND(L1953*N(INDEX(art_w,MATCH(H1953,art_ref,0))),3),"")))</f>
        <v/>
      </c>
      <c r="Q1953" s="59" t="n"/>
      <c r="R1953" s="54" t="n"/>
      <c r="S1953" s="59" t="n"/>
      <c r="T1953" s="59" t="n"/>
      <c r="U1953" s="64" t="str">
        <f>IF(OR(B1953="",H1953=""),"",IFERROR(IF(A1953="BL",IF(N(INDEX(art_price,MATCH(H1953,art_ref,0)))=0,"",N(INDEX(art_price,MATCH(H1953,art_ref,0)))),IF(N(INDEX(art_cost,MATCH(H1953,art_ref,0)))=0,"",N(INDEX(art_cost,MATCH(H1953,art_ref,0))))),""))</f>
        <v/>
      </c>
      <c r="V1953" s="64" t="str">
        <f>IF(OR(U1953="",NOT(ISNUMBER(L1953))),"",IF(L1953&lt;=0,"",ROUND(L1953*U1953,2)))</f>
        <v/>
      </c>
      <c r="W1953" s="60" t="str">
        <f>IF(AND(B1953&lt;&gt;"",A1953&lt;&gt;"BS",F1953&lt;&gt;"",H1953&lt;&gt;"",ISNUMBER(K1953),ISNUMBER(L1953)),IF(AND(K1953&gt;0,L1953&gt;0,K1953-L1953&gt;0,COUNTIFS(A1954:A$2005,A1953,F1954:F$2005,F1953,H1954:H$2005,H1953,AA1954:AA$2005,"&gt;0")=0),ROUND(K1953-L1953,6),""),"")</f>
        <v/>
      </c>
      <c r="X1953" s="60" t="str">
        <f>IF(AND(A1953="",C1953="",D1953="",H1953="",L1953=""),"",IF(A1953="","Type manquant",IF(AND(A1953&lt;&gt;"BL",A1953&lt;&gt;"BR",A1953&lt;&gt;"BS"),"Type inconnu (BL, BR ou BS)",IF(AG1953=0,"Date manquante ou invalide",IF(D1953="",IF(A1953="BL","Client manquant",IF(A1953="BR","Fournisseur manquant","Service manquant")),IF(IF(A1953="BL",ISNA(MATCH(D1953,cl_code,0)),IF(A1953="BR",ISNA(MATCH(D1953,fo_code,0)),ISNA(MATCH(D1953,p_services,0)))),IF(A1953="BL","Client inconnu",IF(A1953="BR","Fournisseur inconnu","Service inconnu")),IF(H1953="","Article manquant",IF(ISNA(MATCH(H1953,art_ref,0)),"Article inconnu",IF(OR(NOT(ISNUMBER(L1953)),N(L1953)&lt;=0),"Quantité invalide",IF(AND(K1953&lt;&gt;"",OR(NOT(ISNUMBER(K1953)),N(K1953)&lt;=0)),"Qté commandée invalide",IF(AG1953&lt;SUMPRODUCT(MAX((A$6:A1952=A1953)*AG$6:AG1952)),"Date antérieure au bon précédent",IF(AND(A1953&lt;&gt;"BR",ISNUMBER(M1953),N(M1953)&gt;0),IF(A1953="BL","Livré plus que commandé","Sorti plus que demandé"),"OK"))))))))))))</f>
        <v/>
      </c>
      <c r="Y1953" s="57" t="str">
        <f>IF(AND(OR(A1953="BL",A1953="BR",A1953="BS"),AG1953&gt;0,D1953&lt;&gt;""),A1953&amp;"|"&amp;AG1953&amp;"|"&amp;D1953&amp;"|"&amp;F1953,"")</f>
        <v/>
      </c>
      <c r="Z1953" s="57" t="str">
        <f>IF(Y1953="","",IF(COUNTIF(Y$6:Y1952,Y1953)=0,1,0))</f>
        <v/>
      </c>
      <c r="AA1953" s="57" t="str">
        <f>IF(Y1953="","",IF(Z1953=1,COUNTIFS(A$6:A1953,A1953,Z$6:Z1953,1),INDEX(AA$6:AA1952,MATCH(Y1953,Y$6:Y1952,0))))</f>
        <v/>
      </c>
      <c r="AB1953" s="57" t="str">
        <f>IF(B1953="","",COUNTIF(B$6:B1953,B1953))</f>
        <v/>
      </c>
      <c r="AC1953" s="57" t="str">
        <f>IF(B1953="","",B1953&amp;"#"&amp;AB1953)</f>
        <v/>
      </c>
      <c r="AD1953" s="57" t="str">
        <f>IF(Z1953=1,A1953&amp;AA1953,"")</f>
        <v/>
      </c>
      <c r="AE1953" s="57" t="str">
        <f>IF(B1953="","",YEAR(C1953))</f>
        <v/>
      </c>
      <c r="AF1953" s="57" t="str">
        <f>IF(B1953="","",MONTH(C1953))</f>
        <v/>
      </c>
      <c r="AG1953" s="57">
        <f>IF(ISNUMBER(C1953),C1953,0)</f>
        <v>0.0</v>
      </c>
      <c r="AH1953" s="57" t="str">
        <f>IF(N(W1953)&gt;0,COUNTIF(W$6:W1953,"&gt;0"),"")</f>
        <v/>
      </c>
      <c r="AI1953" s="57" t="str">
        <f>IF(Z1953=1,COUNTIF(Z$6:Z1953,1),"")</f>
        <v/>
      </c>
    </row>
    <row r="1954">
      <c r="A1954" s="54" t="n"/>
      <c r="B1954" s="55" t="str">
        <f>IF(AA1954="","",A1954&amp;"-"&amp;RIGHT("000"&amp;AA1954,4))</f>
        <v/>
      </c>
      <c r="C1954" s="56" t="n"/>
      <c r="D1954" s="54" t="n"/>
      <c r="E1954" s="57" t="str">
        <f>IF(D1954="","",IF(A1954="BL",IFERROR(INDEX(cl_name,MATCH(D1954,cl_code,0))&amp;"","Client inconnu"),IF(A1954="BR",IFERROR(INDEX(fo_name,MATCH(D1954,fo_code,0))&amp;"","Fournisseur inconnu"),IF(A1954="BS",IF(ISNA(MATCH(D1954,p_services,0)),"Service inconnu",D1954&amp;""),""))))</f>
        <v/>
      </c>
      <c r="F1954" s="58" t="n"/>
      <c r="G1954" s="58" t="n"/>
      <c r="H1954" s="59" t="n"/>
      <c r="I1954" s="57" t="str">
        <f>IF(H1954="","",IFERROR(INDEX(art_des,MATCH(H1954,art_ref,0))&amp;"","Article inconnu"))</f>
        <v/>
      </c>
      <c r="J1954" s="60" t="str">
        <f>IF(H1954="","",IFERROR(INDEX(art_unit,MATCH(H1954,art_ref,0))&amp;"",""))</f>
        <v/>
      </c>
      <c r="K1954" s="59" t="n"/>
      <c r="L1954" s="59" t="n"/>
      <c r="M1954" s="61" t="str">
        <f>IF(OR(B1954="",NOT(ISNUMBER(K1954)),NOT(ISNUMBER(L1954))),"",IF(OR(K1954&lt;=0,L1954&lt;=0),"",ROUND(L1954-K1954,6)))</f>
        <v/>
      </c>
      <c r="N1954" s="58" t="n"/>
      <c r="O1954" s="62" t="n"/>
      <c r="P1954" s="63" t="str">
        <f>IF(OR(B1954="",NOT(ISNUMBER(L1954))),"",IF(L1954&lt;=0,"",IFERROR(ROUND(L1954*N(INDEX(art_w,MATCH(H1954,art_ref,0))),3),"")))</f>
        <v/>
      </c>
      <c r="Q1954" s="59" t="n"/>
      <c r="R1954" s="54" t="n"/>
      <c r="S1954" s="59" t="n"/>
      <c r="T1954" s="59" t="n"/>
      <c r="U1954" s="64" t="str">
        <f>IF(OR(B1954="",H1954=""),"",IFERROR(IF(A1954="BL",IF(N(INDEX(art_price,MATCH(H1954,art_ref,0)))=0,"",N(INDEX(art_price,MATCH(H1954,art_ref,0)))),IF(N(INDEX(art_cost,MATCH(H1954,art_ref,0)))=0,"",N(INDEX(art_cost,MATCH(H1954,art_ref,0))))),""))</f>
        <v/>
      </c>
      <c r="V1954" s="64" t="str">
        <f>IF(OR(U1954="",NOT(ISNUMBER(L1954))),"",IF(L1954&lt;=0,"",ROUND(L1954*U1954,2)))</f>
        <v/>
      </c>
      <c r="W1954" s="60" t="str">
        <f>IF(AND(B1954&lt;&gt;"",A1954&lt;&gt;"BS",F1954&lt;&gt;"",H1954&lt;&gt;"",ISNUMBER(K1954),ISNUMBER(L1954)),IF(AND(K1954&gt;0,L1954&gt;0,K1954-L1954&gt;0,COUNTIFS(A1955:A$2005,A1954,F1955:F$2005,F1954,H1955:H$2005,H1954,AA1955:AA$2005,"&gt;0")=0),ROUND(K1954-L1954,6),""),"")</f>
        <v/>
      </c>
      <c r="X1954" s="60" t="str">
        <f>IF(AND(A1954="",C1954="",D1954="",H1954="",L1954=""),"",IF(A1954="","Type manquant",IF(AND(A1954&lt;&gt;"BL",A1954&lt;&gt;"BR",A1954&lt;&gt;"BS"),"Type inconnu (BL, BR ou BS)",IF(AG1954=0,"Date manquante ou invalide",IF(D1954="",IF(A1954="BL","Client manquant",IF(A1954="BR","Fournisseur manquant","Service manquant")),IF(IF(A1954="BL",ISNA(MATCH(D1954,cl_code,0)),IF(A1954="BR",ISNA(MATCH(D1954,fo_code,0)),ISNA(MATCH(D1954,p_services,0)))),IF(A1954="BL","Client inconnu",IF(A1954="BR","Fournisseur inconnu","Service inconnu")),IF(H1954="","Article manquant",IF(ISNA(MATCH(H1954,art_ref,0)),"Article inconnu",IF(OR(NOT(ISNUMBER(L1954)),N(L1954)&lt;=0),"Quantité invalide",IF(AND(K1954&lt;&gt;"",OR(NOT(ISNUMBER(K1954)),N(K1954)&lt;=0)),"Qté commandée invalide",IF(AG1954&lt;SUMPRODUCT(MAX((A$6:A1953=A1954)*AG$6:AG1953)),"Date antérieure au bon précédent",IF(AND(A1954&lt;&gt;"BR",ISNUMBER(M1954),N(M1954)&gt;0),IF(A1954="BL","Livré plus que commandé","Sorti plus que demandé"),"OK"))))))))))))</f>
        <v/>
      </c>
      <c r="Y1954" s="57" t="str">
        <f>IF(AND(OR(A1954="BL",A1954="BR",A1954="BS"),AG1954&gt;0,D1954&lt;&gt;""),A1954&amp;"|"&amp;AG1954&amp;"|"&amp;D1954&amp;"|"&amp;F1954,"")</f>
        <v/>
      </c>
      <c r="Z1954" s="57" t="str">
        <f>IF(Y1954="","",IF(COUNTIF(Y$6:Y1953,Y1954)=0,1,0))</f>
        <v/>
      </c>
      <c r="AA1954" s="57" t="str">
        <f>IF(Y1954="","",IF(Z1954=1,COUNTIFS(A$6:A1954,A1954,Z$6:Z1954,1),INDEX(AA$6:AA1953,MATCH(Y1954,Y$6:Y1953,0))))</f>
        <v/>
      </c>
      <c r="AB1954" s="57" t="str">
        <f>IF(B1954="","",COUNTIF(B$6:B1954,B1954))</f>
        <v/>
      </c>
      <c r="AC1954" s="57" t="str">
        <f>IF(B1954="","",B1954&amp;"#"&amp;AB1954)</f>
        <v/>
      </c>
      <c r="AD1954" s="57" t="str">
        <f>IF(Z1954=1,A1954&amp;AA1954,"")</f>
        <v/>
      </c>
      <c r="AE1954" s="57" t="str">
        <f>IF(B1954="","",YEAR(C1954))</f>
        <v/>
      </c>
      <c r="AF1954" s="57" t="str">
        <f>IF(B1954="","",MONTH(C1954))</f>
        <v/>
      </c>
      <c r="AG1954" s="57">
        <f>IF(ISNUMBER(C1954),C1954,0)</f>
        <v>0.0</v>
      </c>
      <c r="AH1954" s="57" t="str">
        <f>IF(N(W1954)&gt;0,COUNTIF(W$6:W1954,"&gt;0"),"")</f>
        <v/>
      </c>
      <c r="AI1954" s="57" t="str">
        <f>IF(Z1954=1,COUNTIF(Z$6:Z1954,1),"")</f>
        <v/>
      </c>
    </row>
    <row r="1955">
      <c r="A1955" s="54" t="n"/>
      <c r="B1955" s="55" t="str">
        <f>IF(AA1955="","",A1955&amp;"-"&amp;RIGHT("000"&amp;AA1955,4))</f>
        <v/>
      </c>
      <c r="C1955" s="56" t="n"/>
      <c r="D1955" s="54" t="n"/>
      <c r="E1955" s="57" t="str">
        <f>IF(D1955="","",IF(A1955="BL",IFERROR(INDEX(cl_name,MATCH(D1955,cl_code,0))&amp;"","Client inconnu"),IF(A1955="BR",IFERROR(INDEX(fo_name,MATCH(D1955,fo_code,0))&amp;"","Fournisseur inconnu"),IF(A1955="BS",IF(ISNA(MATCH(D1955,p_services,0)),"Service inconnu",D1955&amp;""),""))))</f>
        <v/>
      </c>
      <c r="F1955" s="58" t="n"/>
      <c r="G1955" s="58" t="n"/>
      <c r="H1955" s="59" t="n"/>
      <c r="I1955" s="57" t="str">
        <f>IF(H1955="","",IFERROR(INDEX(art_des,MATCH(H1955,art_ref,0))&amp;"","Article inconnu"))</f>
        <v/>
      </c>
      <c r="J1955" s="60" t="str">
        <f>IF(H1955="","",IFERROR(INDEX(art_unit,MATCH(H1955,art_ref,0))&amp;"",""))</f>
        <v/>
      </c>
      <c r="K1955" s="59" t="n"/>
      <c r="L1955" s="59" t="n"/>
      <c r="M1955" s="61" t="str">
        <f>IF(OR(B1955="",NOT(ISNUMBER(K1955)),NOT(ISNUMBER(L1955))),"",IF(OR(K1955&lt;=0,L1955&lt;=0),"",ROUND(L1955-K1955,6)))</f>
        <v/>
      </c>
      <c r="N1955" s="58" t="n"/>
      <c r="O1955" s="62" t="n"/>
      <c r="P1955" s="63" t="str">
        <f>IF(OR(B1955="",NOT(ISNUMBER(L1955))),"",IF(L1955&lt;=0,"",IFERROR(ROUND(L1955*N(INDEX(art_w,MATCH(H1955,art_ref,0))),3),"")))</f>
        <v/>
      </c>
      <c r="Q1955" s="59" t="n"/>
      <c r="R1955" s="54" t="n"/>
      <c r="S1955" s="59" t="n"/>
      <c r="T1955" s="59" t="n"/>
      <c r="U1955" s="64" t="str">
        <f>IF(OR(B1955="",H1955=""),"",IFERROR(IF(A1955="BL",IF(N(INDEX(art_price,MATCH(H1955,art_ref,0)))=0,"",N(INDEX(art_price,MATCH(H1955,art_ref,0)))),IF(N(INDEX(art_cost,MATCH(H1955,art_ref,0)))=0,"",N(INDEX(art_cost,MATCH(H1955,art_ref,0))))),""))</f>
        <v/>
      </c>
      <c r="V1955" s="64" t="str">
        <f>IF(OR(U1955="",NOT(ISNUMBER(L1955))),"",IF(L1955&lt;=0,"",ROUND(L1955*U1955,2)))</f>
        <v/>
      </c>
      <c r="W1955" s="60" t="str">
        <f>IF(AND(B1955&lt;&gt;"",A1955&lt;&gt;"BS",F1955&lt;&gt;"",H1955&lt;&gt;"",ISNUMBER(K1955),ISNUMBER(L1955)),IF(AND(K1955&gt;0,L1955&gt;0,K1955-L1955&gt;0,COUNTIFS(A1956:A$2005,A1955,F1956:F$2005,F1955,H1956:H$2005,H1955,AA1956:AA$2005,"&gt;0")=0),ROUND(K1955-L1955,6),""),"")</f>
        <v/>
      </c>
      <c r="X1955" s="60" t="str">
        <f>IF(AND(A1955="",C1955="",D1955="",H1955="",L1955=""),"",IF(A1955="","Type manquant",IF(AND(A1955&lt;&gt;"BL",A1955&lt;&gt;"BR",A1955&lt;&gt;"BS"),"Type inconnu (BL, BR ou BS)",IF(AG1955=0,"Date manquante ou invalide",IF(D1955="",IF(A1955="BL","Client manquant",IF(A1955="BR","Fournisseur manquant","Service manquant")),IF(IF(A1955="BL",ISNA(MATCH(D1955,cl_code,0)),IF(A1955="BR",ISNA(MATCH(D1955,fo_code,0)),ISNA(MATCH(D1955,p_services,0)))),IF(A1955="BL","Client inconnu",IF(A1955="BR","Fournisseur inconnu","Service inconnu")),IF(H1955="","Article manquant",IF(ISNA(MATCH(H1955,art_ref,0)),"Article inconnu",IF(OR(NOT(ISNUMBER(L1955)),N(L1955)&lt;=0),"Quantité invalide",IF(AND(K1955&lt;&gt;"",OR(NOT(ISNUMBER(K1955)),N(K1955)&lt;=0)),"Qté commandée invalide",IF(AG1955&lt;SUMPRODUCT(MAX((A$6:A1954=A1955)*AG$6:AG1954)),"Date antérieure au bon précédent",IF(AND(A1955&lt;&gt;"BR",ISNUMBER(M1955),N(M1955)&gt;0),IF(A1955="BL","Livré plus que commandé","Sorti plus que demandé"),"OK"))))))))))))</f>
        <v/>
      </c>
      <c r="Y1955" s="57" t="str">
        <f>IF(AND(OR(A1955="BL",A1955="BR",A1955="BS"),AG1955&gt;0,D1955&lt;&gt;""),A1955&amp;"|"&amp;AG1955&amp;"|"&amp;D1955&amp;"|"&amp;F1955,"")</f>
        <v/>
      </c>
      <c r="Z1955" s="57" t="str">
        <f>IF(Y1955="","",IF(COUNTIF(Y$6:Y1954,Y1955)=0,1,0))</f>
        <v/>
      </c>
      <c r="AA1955" s="57" t="str">
        <f>IF(Y1955="","",IF(Z1955=1,COUNTIFS(A$6:A1955,A1955,Z$6:Z1955,1),INDEX(AA$6:AA1954,MATCH(Y1955,Y$6:Y1954,0))))</f>
        <v/>
      </c>
      <c r="AB1955" s="57" t="str">
        <f>IF(B1955="","",COUNTIF(B$6:B1955,B1955))</f>
        <v/>
      </c>
      <c r="AC1955" s="57" t="str">
        <f>IF(B1955="","",B1955&amp;"#"&amp;AB1955)</f>
        <v/>
      </c>
      <c r="AD1955" s="57" t="str">
        <f>IF(Z1955=1,A1955&amp;AA1955,"")</f>
        <v/>
      </c>
      <c r="AE1955" s="57" t="str">
        <f>IF(B1955="","",YEAR(C1955))</f>
        <v/>
      </c>
      <c r="AF1955" s="57" t="str">
        <f>IF(B1955="","",MONTH(C1955))</f>
        <v/>
      </c>
      <c r="AG1955" s="57">
        <f>IF(ISNUMBER(C1955),C1955,0)</f>
        <v>0.0</v>
      </c>
      <c r="AH1955" s="57" t="str">
        <f>IF(N(W1955)&gt;0,COUNTIF(W$6:W1955,"&gt;0"),"")</f>
        <v/>
      </c>
      <c r="AI1955" s="57" t="str">
        <f>IF(Z1955=1,COUNTIF(Z$6:Z1955,1),"")</f>
        <v/>
      </c>
    </row>
    <row r="1956">
      <c r="A1956" s="54" t="n"/>
      <c r="B1956" s="55" t="str">
        <f>IF(AA1956="","",A1956&amp;"-"&amp;RIGHT("000"&amp;AA1956,4))</f>
        <v/>
      </c>
      <c r="C1956" s="56" t="n"/>
      <c r="D1956" s="54" t="n"/>
      <c r="E1956" s="57" t="str">
        <f>IF(D1956="","",IF(A1956="BL",IFERROR(INDEX(cl_name,MATCH(D1956,cl_code,0))&amp;"","Client inconnu"),IF(A1956="BR",IFERROR(INDEX(fo_name,MATCH(D1956,fo_code,0))&amp;"","Fournisseur inconnu"),IF(A1956="BS",IF(ISNA(MATCH(D1956,p_services,0)),"Service inconnu",D1956&amp;""),""))))</f>
        <v/>
      </c>
      <c r="F1956" s="58" t="n"/>
      <c r="G1956" s="58" t="n"/>
      <c r="H1956" s="59" t="n"/>
      <c r="I1956" s="57" t="str">
        <f>IF(H1956="","",IFERROR(INDEX(art_des,MATCH(H1956,art_ref,0))&amp;"","Article inconnu"))</f>
        <v/>
      </c>
      <c r="J1956" s="60" t="str">
        <f>IF(H1956="","",IFERROR(INDEX(art_unit,MATCH(H1956,art_ref,0))&amp;"",""))</f>
        <v/>
      </c>
      <c r="K1956" s="59" t="n"/>
      <c r="L1956" s="59" t="n"/>
      <c r="M1956" s="61" t="str">
        <f>IF(OR(B1956="",NOT(ISNUMBER(K1956)),NOT(ISNUMBER(L1956))),"",IF(OR(K1956&lt;=0,L1956&lt;=0),"",ROUND(L1956-K1956,6)))</f>
        <v/>
      </c>
      <c r="N1956" s="58" t="n"/>
      <c r="O1956" s="62" t="n"/>
      <c r="P1956" s="63" t="str">
        <f>IF(OR(B1956="",NOT(ISNUMBER(L1956))),"",IF(L1956&lt;=0,"",IFERROR(ROUND(L1956*N(INDEX(art_w,MATCH(H1956,art_ref,0))),3),"")))</f>
        <v/>
      </c>
      <c r="Q1956" s="59" t="n"/>
      <c r="R1956" s="54" t="n"/>
      <c r="S1956" s="59" t="n"/>
      <c r="T1956" s="59" t="n"/>
      <c r="U1956" s="64" t="str">
        <f>IF(OR(B1956="",H1956=""),"",IFERROR(IF(A1956="BL",IF(N(INDEX(art_price,MATCH(H1956,art_ref,0)))=0,"",N(INDEX(art_price,MATCH(H1956,art_ref,0)))),IF(N(INDEX(art_cost,MATCH(H1956,art_ref,0)))=0,"",N(INDEX(art_cost,MATCH(H1956,art_ref,0))))),""))</f>
        <v/>
      </c>
      <c r="V1956" s="64" t="str">
        <f>IF(OR(U1956="",NOT(ISNUMBER(L1956))),"",IF(L1956&lt;=0,"",ROUND(L1956*U1956,2)))</f>
        <v/>
      </c>
      <c r="W1956" s="60" t="str">
        <f>IF(AND(B1956&lt;&gt;"",A1956&lt;&gt;"BS",F1956&lt;&gt;"",H1956&lt;&gt;"",ISNUMBER(K1956),ISNUMBER(L1956)),IF(AND(K1956&gt;0,L1956&gt;0,K1956-L1956&gt;0,COUNTIFS(A1957:A$2005,A1956,F1957:F$2005,F1956,H1957:H$2005,H1956,AA1957:AA$2005,"&gt;0")=0),ROUND(K1956-L1956,6),""),"")</f>
        <v/>
      </c>
      <c r="X1956" s="60" t="str">
        <f>IF(AND(A1956="",C1956="",D1956="",H1956="",L1956=""),"",IF(A1956="","Type manquant",IF(AND(A1956&lt;&gt;"BL",A1956&lt;&gt;"BR",A1956&lt;&gt;"BS"),"Type inconnu (BL, BR ou BS)",IF(AG1956=0,"Date manquante ou invalide",IF(D1956="",IF(A1956="BL","Client manquant",IF(A1956="BR","Fournisseur manquant","Service manquant")),IF(IF(A1956="BL",ISNA(MATCH(D1956,cl_code,0)),IF(A1956="BR",ISNA(MATCH(D1956,fo_code,0)),ISNA(MATCH(D1956,p_services,0)))),IF(A1956="BL","Client inconnu",IF(A1956="BR","Fournisseur inconnu","Service inconnu")),IF(H1956="","Article manquant",IF(ISNA(MATCH(H1956,art_ref,0)),"Article inconnu",IF(OR(NOT(ISNUMBER(L1956)),N(L1956)&lt;=0),"Quantité invalide",IF(AND(K1956&lt;&gt;"",OR(NOT(ISNUMBER(K1956)),N(K1956)&lt;=0)),"Qté commandée invalide",IF(AG1956&lt;SUMPRODUCT(MAX((A$6:A1955=A1956)*AG$6:AG1955)),"Date antérieure au bon précédent",IF(AND(A1956&lt;&gt;"BR",ISNUMBER(M1956),N(M1956)&gt;0),IF(A1956="BL","Livré plus que commandé","Sorti plus que demandé"),"OK"))))))))))))</f>
        <v/>
      </c>
      <c r="Y1956" s="57" t="str">
        <f>IF(AND(OR(A1956="BL",A1956="BR",A1956="BS"),AG1956&gt;0,D1956&lt;&gt;""),A1956&amp;"|"&amp;AG1956&amp;"|"&amp;D1956&amp;"|"&amp;F1956,"")</f>
        <v/>
      </c>
      <c r="Z1956" s="57" t="str">
        <f>IF(Y1956="","",IF(COUNTIF(Y$6:Y1955,Y1956)=0,1,0))</f>
        <v/>
      </c>
      <c r="AA1956" s="57" t="str">
        <f>IF(Y1956="","",IF(Z1956=1,COUNTIFS(A$6:A1956,A1956,Z$6:Z1956,1),INDEX(AA$6:AA1955,MATCH(Y1956,Y$6:Y1955,0))))</f>
        <v/>
      </c>
      <c r="AB1956" s="57" t="str">
        <f>IF(B1956="","",COUNTIF(B$6:B1956,B1956))</f>
        <v/>
      </c>
      <c r="AC1956" s="57" t="str">
        <f>IF(B1956="","",B1956&amp;"#"&amp;AB1956)</f>
        <v/>
      </c>
      <c r="AD1956" s="57" t="str">
        <f>IF(Z1956=1,A1956&amp;AA1956,"")</f>
        <v/>
      </c>
      <c r="AE1956" s="57" t="str">
        <f>IF(B1956="","",YEAR(C1956))</f>
        <v/>
      </c>
      <c r="AF1956" s="57" t="str">
        <f>IF(B1956="","",MONTH(C1956))</f>
        <v/>
      </c>
      <c r="AG1956" s="57">
        <f>IF(ISNUMBER(C1956),C1956,0)</f>
        <v>0.0</v>
      </c>
      <c r="AH1956" s="57" t="str">
        <f>IF(N(W1956)&gt;0,COUNTIF(W$6:W1956,"&gt;0"),"")</f>
        <v/>
      </c>
      <c r="AI1956" s="57" t="str">
        <f>IF(Z1956=1,COUNTIF(Z$6:Z1956,1),"")</f>
        <v/>
      </c>
    </row>
    <row r="1957">
      <c r="A1957" s="54" t="n"/>
      <c r="B1957" s="55" t="str">
        <f>IF(AA1957="","",A1957&amp;"-"&amp;RIGHT("000"&amp;AA1957,4))</f>
        <v/>
      </c>
      <c r="C1957" s="56" t="n"/>
      <c r="D1957" s="54" t="n"/>
      <c r="E1957" s="57" t="str">
        <f>IF(D1957="","",IF(A1957="BL",IFERROR(INDEX(cl_name,MATCH(D1957,cl_code,0))&amp;"","Client inconnu"),IF(A1957="BR",IFERROR(INDEX(fo_name,MATCH(D1957,fo_code,0))&amp;"","Fournisseur inconnu"),IF(A1957="BS",IF(ISNA(MATCH(D1957,p_services,0)),"Service inconnu",D1957&amp;""),""))))</f>
        <v/>
      </c>
      <c r="F1957" s="58" t="n"/>
      <c r="G1957" s="58" t="n"/>
      <c r="H1957" s="59" t="n"/>
      <c r="I1957" s="57" t="str">
        <f>IF(H1957="","",IFERROR(INDEX(art_des,MATCH(H1957,art_ref,0))&amp;"","Article inconnu"))</f>
        <v/>
      </c>
      <c r="J1957" s="60" t="str">
        <f>IF(H1957="","",IFERROR(INDEX(art_unit,MATCH(H1957,art_ref,0))&amp;"",""))</f>
        <v/>
      </c>
      <c r="K1957" s="59" t="n"/>
      <c r="L1957" s="59" t="n"/>
      <c r="M1957" s="61" t="str">
        <f>IF(OR(B1957="",NOT(ISNUMBER(K1957)),NOT(ISNUMBER(L1957))),"",IF(OR(K1957&lt;=0,L1957&lt;=0),"",ROUND(L1957-K1957,6)))</f>
        <v/>
      </c>
      <c r="N1957" s="58" t="n"/>
      <c r="O1957" s="62" t="n"/>
      <c r="P1957" s="63" t="str">
        <f>IF(OR(B1957="",NOT(ISNUMBER(L1957))),"",IF(L1957&lt;=0,"",IFERROR(ROUND(L1957*N(INDEX(art_w,MATCH(H1957,art_ref,0))),3),"")))</f>
        <v/>
      </c>
      <c r="Q1957" s="59" t="n"/>
      <c r="R1957" s="54" t="n"/>
      <c r="S1957" s="59" t="n"/>
      <c r="T1957" s="59" t="n"/>
      <c r="U1957" s="64" t="str">
        <f>IF(OR(B1957="",H1957=""),"",IFERROR(IF(A1957="BL",IF(N(INDEX(art_price,MATCH(H1957,art_ref,0)))=0,"",N(INDEX(art_price,MATCH(H1957,art_ref,0)))),IF(N(INDEX(art_cost,MATCH(H1957,art_ref,0)))=0,"",N(INDEX(art_cost,MATCH(H1957,art_ref,0))))),""))</f>
        <v/>
      </c>
      <c r="V1957" s="64" t="str">
        <f>IF(OR(U1957="",NOT(ISNUMBER(L1957))),"",IF(L1957&lt;=0,"",ROUND(L1957*U1957,2)))</f>
        <v/>
      </c>
      <c r="W1957" s="60" t="str">
        <f>IF(AND(B1957&lt;&gt;"",A1957&lt;&gt;"BS",F1957&lt;&gt;"",H1957&lt;&gt;"",ISNUMBER(K1957),ISNUMBER(L1957)),IF(AND(K1957&gt;0,L1957&gt;0,K1957-L1957&gt;0,COUNTIFS(A1958:A$2005,A1957,F1958:F$2005,F1957,H1958:H$2005,H1957,AA1958:AA$2005,"&gt;0")=0),ROUND(K1957-L1957,6),""),"")</f>
        <v/>
      </c>
      <c r="X1957" s="60" t="str">
        <f>IF(AND(A1957="",C1957="",D1957="",H1957="",L1957=""),"",IF(A1957="","Type manquant",IF(AND(A1957&lt;&gt;"BL",A1957&lt;&gt;"BR",A1957&lt;&gt;"BS"),"Type inconnu (BL, BR ou BS)",IF(AG1957=0,"Date manquante ou invalide",IF(D1957="",IF(A1957="BL","Client manquant",IF(A1957="BR","Fournisseur manquant","Service manquant")),IF(IF(A1957="BL",ISNA(MATCH(D1957,cl_code,0)),IF(A1957="BR",ISNA(MATCH(D1957,fo_code,0)),ISNA(MATCH(D1957,p_services,0)))),IF(A1957="BL","Client inconnu",IF(A1957="BR","Fournisseur inconnu","Service inconnu")),IF(H1957="","Article manquant",IF(ISNA(MATCH(H1957,art_ref,0)),"Article inconnu",IF(OR(NOT(ISNUMBER(L1957)),N(L1957)&lt;=0),"Quantité invalide",IF(AND(K1957&lt;&gt;"",OR(NOT(ISNUMBER(K1957)),N(K1957)&lt;=0)),"Qté commandée invalide",IF(AG1957&lt;SUMPRODUCT(MAX((A$6:A1956=A1957)*AG$6:AG1956)),"Date antérieure au bon précédent",IF(AND(A1957&lt;&gt;"BR",ISNUMBER(M1957),N(M1957)&gt;0),IF(A1957="BL","Livré plus que commandé","Sorti plus que demandé"),"OK"))))))))))))</f>
        <v/>
      </c>
      <c r="Y1957" s="57" t="str">
        <f>IF(AND(OR(A1957="BL",A1957="BR",A1957="BS"),AG1957&gt;0,D1957&lt;&gt;""),A1957&amp;"|"&amp;AG1957&amp;"|"&amp;D1957&amp;"|"&amp;F1957,"")</f>
        <v/>
      </c>
      <c r="Z1957" s="57" t="str">
        <f>IF(Y1957="","",IF(COUNTIF(Y$6:Y1956,Y1957)=0,1,0))</f>
        <v/>
      </c>
      <c r="AA1957" s="57" t="str">
        <f>IF(Y1957="","",IF(Z1957=1,COUNTIFS(A$6:A1957,A1957,Z$6:Z1957,1),INDEX(AA$6:AA1956,MATCH(Y1957,Y$6:Y1956,0))))</f>
        <v/>
      </c>
      <c r="AB1957" s="57" t="str">
        <f>IF(B1957="","",COUNTIF(B$6:B1957,B1957))</f>
        <v/>
      </c>
      <c r="AC1957" s="57" t="str">
        <f>IF(B1957="","",B1957&amp;"#"&amp;AB1957)</f>
        <v/>
      </c>
      <c r="AD1957" s="57" t="str">
        <f>IF(Z1957=1,A1957&amp;AA1957,"")</f>
        <v/>
      </c>
      <c r="AE1957" s="57" t="str">
        <f>IF(B1957="","",YEAR(C1957))</f>
        <v/>
      </c>
      <c r="AF1957" s="57" t="str">
        <f>IF(B1957="","",MONTH(C1957))</f>
        <v/>
      </c>
      <c r="AG1957" s="57">
        <f>IF(ISNUMBER(C1957),C1957,0)</f>
        <v>0.0</v>
      </c>
      <c r="AH1957" s="57" t="str">
        <f>IF(N(W1957)&gt;0,COUNTIF(W$6:W1957,"&gt;0"),"")</f>
        <v/>
      </c>
      <c r="AI1957" s="57" t="str">
        <f>IF(Z1957=1,COUNTIF(Z$6:Z1957,1),"")</f>
        <v/>
      </c>
    </row>
    <row r="1958">
      <c r="A1958" s="54" t="n"/>
      <c r="B1958" s="55" t="str">
        <f>IF(AA1958="","",A1958&amp;"-"&amp;RIGHT("000"&amp;AA1958,4))</f>
        <v/>
      </c>
      <c r="C1958" s="56" t="n"/>
      <c r="D1958" s="54" t="n"/>
      <c r="E1958" s="57" t="str">
        <f>IF(D1958="","",IF(A1958="BL",IFERROR(INDEX(cl_name,MATCH(D1958,cl_code,0))&amp;"","Client inconnu"),IF(A1958="BR",IFERROR(INDEX(fo_name,MATCH(D1958,fo_code,0))&amp;"","Fournisseur inconnu"),IF(A1958="BS",IF(ISNA(MATCH(D1958,p_services,0)),"Service inconnu",D1958&amp;""),""))))</f>
        <v/>
      </c>
      <c r="F1958" s="58" t="n"/>
      <c r="G1958" s="58" t="n"/>
      <c r="H1958" s="59" t="n"/>
      <c r="I1958" s="57" t="str">
        <f>IF(H1958="","",IFERROR(INDEX(art_des,MATCH(H1958,art_ref,0))&amp;"","Article inconnu"))</f>
        <v/>
      </c>
      <c r="J1958" s="60" t="str">
        <f>IF(H1958="","",IFERROR(INDEX(art_unit,MATCH(H1958,art_ref,0))&amp;"",""))</f>
        <v/>
      </c>
      <c r="K1958" s="59" t="n"/>
      <c r="L1958" s="59" t="n"/>
      <c r="M1958" s="61" t="str">
        <f>IF(OR(B1958="",NOT(ISNUMBER(K1958)),NOT(ISNUMBER(L1958))),"",IF(OR(K1958&lt;=0,L1958&lt;=0),"",ROUND(L1958-K1958,6)))</f>
        <v/>
      </c>
      <c r="N1958" s="58" t="n"/>
      <c r="O1958" s="62" t="n"/>
      <c r="P1958" s="63" t="str">
        <f>IF(OR(B1958="",NOT(ISNUMBER(L1958))),"",IF(L1958&lt;=0,"",IFERROR(ROUND(L1958*N(INDEX(art_w,MATCH(H1958,art_ref,0))),3),"")))</f>
        <v/>
      </c>
      <c r="Q1958" s="59" t="n"/>
      <c r="R1958" s="54" t="n"/>
      <c r="S1958" s="59" t="n"/>
      <c r="T1958" s="59" t="n"/>
      <c r="U1958" s="64" t="str">
        <f>IF(OR(B1958="",H1958=""),"",IFERROR(IF(A1958="BL",IF(N(INDEX(art_price,MATCH(H1958,art_ref,0)))=0,"",N(INDEX(art_price,MATCH(H1958,art_ref,0)))),IF(N(INDEX(art_cost,MATCH(H1958,art_ref,0)))=0,"",N(INDEX(art_cost,MATCH(H1958,art_ref,0))))),""))</f>
        <v/>
      </c>
      <c r="V1958" s="64" t="str">
        <f>IF(OR(U1958="",NOT(ISNUMBER(L1958))),"",IF(L1958&lt;=0,"",ROUND(L1958*U1958,2)))</f>
        <v/>
      </c>
      <c r="W1958" s="60" t="str">
        <f>IF(AND(B1958&lt;&gt;"",A1958&lt;&gt;"BS",F1958&lt;&gt;"",H1958&lt;&gt;"",ISNUMBER(K1958),ISNUMBER(L1958)),IF(AND(K1958&gt;0,L1958&gt;0,K1958-L1958&gt;0,COUNTIFS(A1959:A$2005,A1958,F1959:F$2005,F1958,H1959:H$2005,H1958,AA1959:AA$2005,"&gt;0")=0),ROUND(K1958-L1958,6),""),"")</f>
        <v/>
      </c>
      <c r="X1958" s="60" t="str">
        <f>IF(AND(A1958="",C1958="",D1958="",H1958="",L1958=""),"",IF(A1958="","Type manquant",IF(AND(A1958&lt;&gt;"BL",A1958&lt;&gt;"BR",A1958&lt;&gt;"BS"),"Type inconnu (BL, BR ou BS)",IF(AG1958=0,"Date manquante ou invalide",IF(D1958="",IF(A1958="BL","Client manquant",IF(A1958="BR","Fournisseur manquant","Service manquant")),IF(IF(A1958="BL",ISNA(MATCH(D1958,cl_code,0)),IF(A1958="BR",ISNA(MATCH(D1958,fo_code,0)),ISNA(MATCH(D1958,p_services,0)))),IF(A1958="BL","Client inconnu",IF(A1958="BR","Fournisseur inconnu","Service inconnu")),IF(H1958="","Article manquant",IF(ISNA(MATCH(H1958,art_ref,0)),"Article inconnu",IF(OR(NOT(ISNUMBER(L1958)),N(L1958)&lt;=0),"Quantité invalide",IF(AND(K1958&lt;&gt;"",OR(NOT(ISNUMBER(K1958)),N(K1958)&lt;=0)),"Qté commandée invalide",IF(AG1958&lt;SUMPRODUCT(MAX((A$6:A1957=A1958)*AG$6:AG1957)),"Date antérieure au bon précédent",IF(AND(A1958&lt;&gt;"BR",ISNUMBER(M1958),N(M1958)&gt;0),IF(A1958="BL","Livré plus que commandé","Sorti plus que demandé"),"OK"))))))))))))</f>
        <v/>
      </c>
      <c r="Y1958" s="57" t="str">
        <f>IF(AND(OR(A1958="BL",A1958="BR",A1958="BS"),AG1958&gt;0,D1958&lt;&gt;""),A1958&amp;"|"&amp;AG1958&amp;"|"&amp;D1958&amp;"|"&amp;F1958,"")</f>
        <v/>
      </c>
      <c r="Z1958" s="57" t="str">
        <f>IF(Y1958="","",IF(COUNTIF(Y$6:Y1957,Y1958)=0,1,0))</f>
        <v/>
      </c>
      <c r="AA1958" s="57" t="str">
        <f>IF(Y1958="","",IF(Z1958=1,COUNTIFS(A$6:A1958,A1958,Z$6:Z1958,1),INDEX(AA$6:AA1957,MATCH(Y1958,Y$6:Y1957,0))))</f>
        <v/>
      </c>
      <c r="AB1958" s="57" t="str">
        <f>IF(B1958="","",COUNTIF(B$6:B1958,B1958))</f>
        <v/>
      </c>
      <c r="AC1958" s="57" t="str">
        <f>IF(B1958="","",B1958&amp;"#"&amp;AB1958)</f>
        <v/>
      </c>
      <c r="AD1958" s="57" t="str">
        <f>IF(Z1958=1,A1958&amp;AA1958,"")</f>
        <v/>
      </c>
      <c r="AE1958" s="57" t="str">
        <f>IF(B1958="","",YEAR(C1958))</f>
        <v/>
      </c>
      <c r="AF1958" s="57" t="str">
        <f>IF(B1958="","",MONTH(C1958))</f>
        <v/>
      </c>
      <c r="AG1958" s="57">
        <f>IF(ISNUMBER(C1958),C1958,0)</f>
        <v>0.0</v>
      </c>
      <c r="AH1958" s="57" t="str">
        <f>IF(N(W1958)&gt;0,COUNTIF(W$6:W1958,"&gt;0"),"")</f>
        <v/>
      </c>
      <c r="AI1958" s="57" t="str">
        <f>IF(Z1958=1,COUNTIF(Z$6:Z1958,1),"")</f>
        <v/>
      </c>
    </row>
    <row r="1959">
      <c r="A1959" s="54" t="n"/>
      <c r="B1959" s="55" t="str">
        <f>IF(AA1959="","",A1959&amp;"-"&amp;RIGHT("000"&amp;AA1959,4))</f>
        <v/>
      </c>
      <c r="C1959" s="56" t="n"/>
      <c r="D1959" s="54" t="n"/>
      <c r="E1959" s="57" t="str">
        <f>IF(D1959="","",IF(A1959="BL",IFERROR(INDEX(cl_name,MATCH(D1959,cl_code,0))&amp;"","Client inconnu"),IF(A1959="BR",IFERROR(INDEX(fo_name,MATCH(D1959,fo_code,0))&amp;"","Fournisseur inconnu"),IF(A1959="BS",IF(ISNA(MATCH(D1959,p_services,0)),"Service inconnu",D1959&amp;""),""))))</f>
        <v/>
      </c>
      <c r="F1959" s="58" t="n"/>
      <c r="G1959" s="58" t="n"/>
      <c r="H1959" s="59" t="n"/>
      <c r="I1959" s="57" t="str">
        <f>IF(H1959="","",IFERROR(INDEX(art_des,MATCH(H1959,art_ref,0))&amp;"","Article inconnu"))</f>
        <v/>
      </c>
      <c r="J1959" s="60" t="str">
        <f>IF(H1959="","",IFERROR(INDEX(art_unit,MATCH(H1959,art_ref,0))&amp;"",""))</f>
        <v/>
      </c>
      <c r="K1959" s="59" t="n"/>
      <c r="L1959" s="59" t="n"/>
      <c r="M1959" s="61" t="str">
        <f>IF(OR(B1959="",NOT(ISNUMBER(K1959)),NOT(ISNUMBER(L1959))),"",IF(OR(K1959&lt;=0,L1959&lt;=0),"",ROUND(L1959-K1959,6)))</f>
        <v/>
      </c>
      <c r="N1959" s="58" t="n"/>
      <c r="O1959" s="62" t="n"/>
      <c r="P1959" s="63" t="str">
        <f>IF(OR(B1959="",NOT(ISNUMBER(L1959))),"",IF(L1959&lt;=0,"",IFERROR(ROUND(L1959*N(INDEX(art_w,MATCH(H1959,art_ref,0))),3),"")))</f>
        <v/>
      </c>
      <c r="Q1959" s="59" t="n"/>
      <c r="R1959" s="54" t="n"/>
      <c r="S1959" s="59" t="n"/>
      <c r="T1959" s="59" t="n"/>
      <c r="U1959" s="64" t="str">
        <f>IF(OR(B1959="",H1959=""),"",IFERROR(IF(A1959="BL",IF(N(INDEX(art_price,MATCH(H1959,art_ref,0)))=0,"",N(INDEX(art_price,MATCH(H1959,art_ref,0)))),IF(N(INDEX(art_cost,MATCH(H1959,art_ref,0)))=0,"",N(INDEX(art_cost,MATCH(H1959,art_ref,0))))),""))</f>
        <v/>
      </c>
      <c r="V1959" s="64" t="str">
        <f>IF(OR(U1959="",NOT(ISNUMBER(L1959))),"",IF(L1959&lt;=0,"",ROUND(L1959*U1959,2)))</f>
        <v/>
      </c>
      <c r="W1959" s="60" t="str">
        <f>IF(AND(B1959&lt;&gt;"",A1959&lt;&gt;"BS",F1959&lt;&gt;"",H1959&lt;&gt;"",ISNUMBER(K1959),ISNUMBER(L1959)),IF(AND(K1959&gt;0,L1959&gt;0,K1959-L1959&gt;0,COUNTIFS(A1960:A$2005,A1959,F1960:F$2005,F1959,H1960:H$2005,H1959,AA1960:AA$2005,"&gt;0")=0),ROUND(K1959-L1959,6),""),"")</f>
        <v/>
      </c>
      <c r="X1959" s="60" t="str">
        <f>IF(AND(A1959="",C1959="",D1959="",H1959="",L1959=""),"",IF(A1959="","Type manquant",IF(AND(A1959&lt;&gt;"BL",A1959&lt;&gt;"BR",A1959&lt;&gt;"BS"),"Type inconnu (BL, BR ou BS)",IF(AG1959=0,"Date manquante ou invalide",IF(D1959="",IF(A1959="BL","Client manquant",IF(A1959="BR","Fournisseur manquant","Service manquant")),IF(IF(A1959="BL",ISNA(MATCH(D1959,cl_code,0)),IF(A1959="BR",ISNA(MATCH(D1959,fo_code,0)),ISNA(MATCH(D1959,p_services,0)))),IF(A1959="BL","Client inconnu",IF(A1959="BR","Fournisseur inconnu","Service inconnu")),IF(H1959="","Article manquant",IF(ISNA(MATCH(H1959,art_ref,0)),"Article inconnu",IF(OR(NOT(ISNUMBER(L1959)),N(L1959)&lt;=0),"Quantité invalide",IF(AND(K1959&lt;&gt;"",OR(NOT(ISNUMBER(K1959)),N(K1959)&lt;=0)),"Qté commandée invalide",IF(AG1959&lt;SUMPRODUCT(MAX((A$6:A1958=A1959)*AG$6:AG1958)),"Date antérieure au bon précédent",IF(AND(A1959&lt;&gt;"BR",ISNUMBER(M1959),N(M1959)&gt;0),IF(A1959="BL","Livré plus que commandé","Sorti plus que demandé"),"OK"))))))))))))</f>
        <v/>
      </c>
      <c r="Y1959" s="57" t="str">
        <f>IF(AND(OR(A1959="BL",A1959="BR",A1959="BS"),AG1959&gt;0,D1959&lt;&gt;""),A1959&amp;"|"&amp;AG1959&amp;"|"&amp;D1959&amp;"|"&amp;F1959,"")</f>
        <v/>
      </c>
      <c r="Z1959" s="57" t="str">
        <f>IF(Y1959="","",IF(COUNTIF(Y$6:Y1958,Y1959)=0,1,0))</f>
        <v/>
      </c>
      <c r="AA1959" s="57" t="str">
        <f>IF(Y1959="","",IF(Z1959=1,COUNTIFS(A$6:A1959,A1959,Z$6:Z1959,1),INDEX(AA$6:AA1958,MATCH(Y1959,Y$6:Y1958,0))))</f>
        <v/>
      </c>
      <c r="AB1959" s="57" t="str">
        <f>IF(B1959="","",COUNTIF(B$6:B1959,B1959))</f>
        <v/>
      </c>
      <c r="AC1959" s="57" t="str">
        <f>IF(B1959="","",B1959&amp;"#"&amp;AB1959)</f>
        <v/>
      </c>
      <c r="AD1959" s="57" t="str">
        <f>IF(Z1959=1,A1959&amp;AA1959,"")</f>
        <v/>
      </c>
      <c r="AE1959" s="57" t="str">
        <f>IF(B1959="","",YEAR(C1959))</f>
        <v/>
      </c>
      <c r="AF1959" s="57" t="str">
        <f>IF(B1959="","",MONTH(C1959))</f>
        <v/>
      </c>
      <c r="AG1959" s="57">
        <f>IF(ISNUMBER(C1959),C1959,0)</f>
        <v>0.0</v>
      </c>
      <c r="AH1959" s="57" t="str">
        <f>IF(N(W1959)&gt;0,COUNTIF(W$6:W1959,"&gt;0"),"")</f>
        <v/>
      </c>
      <c r="AI1959" s="57" t="str">
        <f>IF(Z1959=1,COUNTIF(Z$6:Z1959,1),"")</f>
        <v/>
      </c>
    </row>
    <row r="1960">
      <c r="A1960" s="54" t="n"/>
      <c r="B1960" s="55" t="str">
        <f>IF(AA1960="","",A1960&amp;"-"&amp;RIGHT("000"&amp;AA1960,4))</f>
        <v/>
      </c>
      <c r="C1960" s="56" t="n"/>
      <c r="D1960" s="54" t="n"/>
      <c r="E1960" s="57" t="str">
        <f>IF(D1960="","",IF(A1960="BL",IFERROR(INDEX(cl_name,MATCH(D1960,cl_code,0))&amp;"","Client inconnu"),IF(A1960="BR",IFERROR(INDEX(fo_name,MATCH(D1960,fo_code,0))&amp;"","Fournisseur inconnu"),IF(A1960="BS",IF(ISNA(MATCH(D1960,p_services,0)),"Service inconnu",D1960&amp;""),""))))</f>
        <v/>
      </c>
      <c r="F1960" s="58" t="n"/>
      <c r="G1960" s="58" t="n"/>
      <c r="H1960" s="59" t="n"/>
      <c r="I1960" s="57" t="str">
        <f>IF(H1960="","",IFERROR(INDEX(art_des,MATCH(H1960,art_ref,0))&amp;"","Article inconnu"))</f>
        <v/>
      </c>
      <c r="J1960" s="60" t="str">
        <f>IF(H1960="","",IFERROR(INDEX(art_unit,MATCH(H1960,art_ref,0))&amp;"",""))</f>
        <v/>
      </c>
      <c r="K1960" s="59" t="n"/>
      <c r="L1960" s="59" t="n"/>
      <c r="M1960" s="61" t="str">
        <f>IF(OR(B1960="",NOT(ISNUMBER(K1960)),NOT(ISNUMBER(L1960))),"",IF(OR(K1960&lt;=0,L1960&lt;=0),"",ROUND(L1960-K1960,6)))</f>
        <v/>
      </c>
      <c r="N1960" s="58" t="n"/>
      <c r="O1960" s="62" t="n"/>
      <c r="P1960" s="63" t="str">
        <f>IF(OR(B1960="",NOT(ISNUMBER(L1960))),"",IF(L1960&lt;=0,"",IFERROR(ROUND(L1960*N(INDEX(art_w,MATCH(H1960,art_ref,0))),3),"")))</f>
        <v/>
      </c>
      <c r="Q1960" s="59" t="n"/>
      <c r="R1960" s="54" t="n"/>
      <c r="S1960" s="59" t="n"/>
      <c r="T1960" s="59" t="n"/>
      <c r="U1960" s="64" t="str">
        <f>IF(OR(B1960="",H1960=""),"",IFERROR(IF(A1960="BL",IF(N(INDEX(art_price,MATCH(H1960,art_ref,0)))=0,"",N(INDEX(art_price,MATCH(H1960,art_ref,0)))),IF(N(INDEX(art_cost,MATCH(H1960,art_ref,0)))=0,"",N(INDEX(art_cost,MATCH(H1960,art_ref,0))))),""))</f>
        <v/>
      </c>
      <c r="V1960" s="64" t="str">
        <f>IF(OR(U1960="",NOT(ISNUMBER(L1960))),"",IF(L1960&lt;=0,"",ROUND(L1960*U1960,2)))</f>
        <v/>
      </c>
      <c r="W1960" s="60" t="str">
        <f>IF(AND(B1960&lt;&gt;"",A1960&lt;&gt;"BS",F1960&lt;&gt;"",H1960&lt;&gt;"",ISNUMBER(K1960),ISNUMBER(L1960)),IF(AND(K1960&gt;0,L1960&gt;0,K1960-L1960&gt;0,COUNTIFS(A1961:A$2005,A1960,F1961:F$2005,F1960,H1961:H$2005,H1960,AA1961:AA$2005,"&gt;0")=0),ROUND(K1960-L1960,6),""),"")</f>
        <v/>
      </c>
      <c r="X1960" s="60" t="str">
        <f>IF(AND(A1960="",C1960="",D1960="",H1960="",L1960=""),"",IF(A1960="","Type manquant",IF(AND(A1960&lt;&gt;"BL",A1960&lt;&gt;"BR",A1960&lt;&gt;"BS"),"Type inconnu (BL, BR ou BS)",IF(AG1960=0,"Date manquante ou invalide",IF(D1960="",IF(A1960="BL","Client manquant",IF(A1960="BR","Fournisseur manquant","Service manquant")),IF(IF(A1960="BL",ISNA(MATCH(D1960,cl_code,0)),IF(A1960="BR",ISNA(MATCH(D1960,fo_code,0)),ISNA(MATCH(D1960,p_services,0)))),IF(A1960="BL","Client inconnu",IF(A1960="BR","Fournisseur inconnu","Service inconnu")),IF(H1960="","Article manquant",IF(ISNA(MATCH(H1960,art_ref,0)),"Article inconnu",IF(OR(NOT(ISNUMBER(L1960)),N(L1960)&lt;=0),"Quantité invalide",IF(AND(K1960&lt;&gt;"",OR(NOT(ISNUMBER(K1960)),N(K1960)&lt;=0)),"Qté commandée invalide",IF(AG1960&lt;SUMPRODUCT(MAX((A$6:A1959=A1960)*AG$6:AG1959)),"Date antérieure au bon précédent",IF(AND(A1960&lt;&gt;"BR",ISNUMBER(M1960),N(M1960)&gt;0),IF(A1960="BL","Livré plus que commandé","Sorti plus que demandé"),"OK"))))))))))))</f>
        <v/>
      </c>
      <c r="Y1960" s="57" t="str">
        <f>IF(AND(OR(A1960="BL",A1960="BR",A1960="BS"),AG1960&gt;0,D1960&lt;&gt;""),A1960&amp;"|"&amp;AG1960&amp;"|"&amp;D1960&amp;"|"&amp;F1960,"")</f>
        <v/>
      </c>
      <c r="Z1960" s="57" t="str">
        <f>IF(Y1960="","",IF(COUNTIF(Y$6:Y1959,Y1960)=0,1,0))</f>
        <v/>
      </c>
      <c r="AA1960" s="57" t="str">
        <f>IF(Y1960="","",IF(Z1960=1,COUNTIFS(A$6:A1960,A1960,Z$6:Z1960,1),INDEX(AA$6:AA1959,MATCH(Y1960,Y$6:Y1959,0))))</f>
        <v/>
      </c>
      <c r="AB1960" s="57" t="str">
        <f>IF(B1960="","",COUNTIF(B$6:B1960,B1960))</f>
        <v/>
      </c>
      <c r="AC1960" s="57" t="str">
        <f>IF(B1960="","",B1960&amp;"#"&amp;AB1960)</f>
        <v/>
      </c>
      <c r="AD1960" s="57" t="str">
        <f>IF(Z1960=1,A1960&amp;AA1960,"")</f>
        <v/>
      </c>
      <c r="AE1960" s="57" t="str">
        <f>IF(B1960="","",YEAR(C1960))</f>
        <v/>
      </c>
      <c r="AF1960" s="57" t="str">
        <f>IF(B1960="","",MONTH(C1960))</f>
        <v/>
      </c>
      <c r="AG1960" s="57">
        <f>IF(ISNUMBER(C1960),C1960,0)</f>
        <v>0.0</v>
      </c>
      <c r="AH1960" s="57" t="str">
        <f>IF(N(W1960)&gt;0,COUNTIF(W$6:W1960,"&gt;0"),"")</f>
        <v/>
      </c>
      <c r="AI1960" s="57" t="str">
        <f>IF(Z1960=1,COUNTIF(Z$6:Z1960,1),"")</f>
        <v/>
      </c>
    </row>
    <row r="1961">
      <c r="A1961" s="54" t="n"/>
      <c r="B1961" s="55" t="str">
        <f>IF(AA1961="","",A1961&amp;"-"&amp;RIGHT("000"&amp;AA1961,4))</f>
        <v/>
      </c>
      <c r="C1961" s="56" t="n"/>
      <c r="D1961" s="54" t="n"/>
      <c r="E1961" s="57" t="str">
        <f>IF(D1961="","",IF(A1961="BL",IFERROR(INDEX(cl_name,MATCH(D1961,cl_code,0))&amp;"","Client inconnu"),IF(A1961="BR",IFERROR(INDEX(fo_name,MATCH(D1961,fo_code,0))&amp;"","Fournisseur inconnu"),IF(A1961="BS",IF(ISNA(MATCH(D1961,p_services,0)),"Service inconnu",D1961&amp;""),""))))</f>
        <v/>
      </c>
      <c r="F1961" s="58" t="n"/>
      <c r="G1961" s="58" t="n"/>
      <c r="H1961" s="59" t="n"/>
      <c r="I1961" s="57" t="str">
        <f>IF(H1961="","",IFERROR(INDEX(art_des,MATCH(H1961,art_ref,0))&amp;"","Article inconnu"))</f>
        <v/>
      </c>
      <c r="J1961" s="60" t="str">
        <f>IF(H1961="","",IFERROR(INDEX(art_unit,MATCH(H1961,art_ref,0))&amp;"",""))</f>
        <v/>
      </c>
      <c r="K1961" s="59" t="n"/>
      <c r="L1961" s="59" t="n"/>
      <c r="M1961" s="61" t="str">
        <f>IF(OR(B1961="",NOT(ISNUMBER(K1961)),NOT(ISNUMBER(L1961))),"",IF(OR(K1961&lt;=0,L1961&lt;=0),"",ROUND(L1961-K1961,6)))</f>
        <v/>
      </c>
      <c r="N1961" s="58" t="n"/>
      <c r="O1961" s="62" t="n"/>
      <c r="P1961" s="63" t="str">
        <f>IF(OR(B1961="",NOT(ISNUMBER(L1961))),"",IF(L1961&lt;=0,"",IFERROR(ROUND(L1961*N(INDEX(art_w,MATCH(H1961,art_ref,0))),3),"")))</f>
        <v/>
      </c>
      <c r="Q1961" s="59" t="n"/>
      <c r="R1961" s="54" t="n"/>
      <c r="S1961" s="59" t="n"/>
      <c r="T1961" s="59" t="n"/>
      <c r="U1961" s="64" t="str">
        <f>IF(OR(B1961="",H1961=""),"",IFERROR(IF(A1961="BL",IF(N(INDEX(art_price,MATCH(H1961,art_ref,0)))=0,"",N(INDEX(art_price,MATCH(H1961,art_ref,0)))),IF(N(INDEX(art_cost,MATCH(H1961,art_ref,0)))=0,"",N(INDEX(art_cost,MATCH(H1961,art_ref,0))))),""))</f>
        <v/>
      </c>
      <c r="V1961" s="64" t="str">
        <f>IF(OR(U1961="",NOT(ISNUMBER(L1961))),"",IF(L1961&lt;=0,"",ROUND(L1961*U1961,2)))</f>
        <v/>
      </c>
      <c r="W1961" s="60" t="str">
        <f>IF(AND(B1961&lt;&gt;"",A1961&lt;&gt;"BS",F1961&lt;&gt;"",H1961&lt;&gt;"",ISNUMBER(K1961),ISNUMBER(L1961)),IF(AND(K1961&gt;0,L1961&gt;0,K1961-L1961&gt;0,COUNTIFS(A1962:A$2005,A1961,F1962:F$2005,F1961,H1962:H$2005,H1961,AA1962:AA$2005,"&gt;0")=0),ROUND(K1961-L1961,6),""),"")</f>
        <v/>
      </c>
      <c r="X1961" s="60" t="str">
        <f>IF(AND(A1961="",C1961="",D1961="",H1961="",L1961=""),"",IF(A1961="","Type manquant",IF(AND(A1961&lt;&gt;"BL",A1961&lt;&gt;"BR",A1961&lt;&gt;"BS"),"Type inconnu (BL, BR ou BS)",IF(AG1961=0,"Date manquante ou invalide",IF(D1961="",IF(A1961="BL","Client manquant",IF(A1961="BR","Fournisseur manquant","Service manquant")),IF(IF(A1961="BL",ISNA(MATCH(D1961,cl_code,0)),IF(A1961="BR",ISNA(MATCH(D1961,fo_code,0)),ISNA(MATCH(D1961,p_services,0)))),IF(A1961="BL","Client inconnu",IF(A1961="BR","Fournisseur inconnu","Service inconnu")),IF(H1961="","Article manquant",IF(ISNA(MATCH(H1961,art_ref,0)),"Article inconnu",IF(OR(NOT(ISNUMBER(L1961)),N(L1961)&lt;=0),"Quantité invalide",IF(AND(K1961&lt;&gt;"",OR(NOT(ISNUMBER(K1961)),N(K1961)&lt;=0)),"Qté commandée invalide",IF(AG1961&lt;SUMPRODUCT(MAX((A$6:A1960=A1961)*AG$6:AG1960)),"Date antérieure au bon précédent",IF(AND(A1961&lt;&gt;"BR",ISNUMBER(M1961),N(M1961)&gt;0),IF(A1961="BL","Livré plus que commandé","Sorti plus que demandé"),"OK"))))))))))))</f>
        <v/>
      </c>
      <c r="Y1961" s="57" t="str">
        <f>IF(AND(OR(A1961="BL",A1961="BR",A1961="BS"),AG1961&gt;0,D1961&lt;&gt;""),A1961&amp;"|"&amp;AG1961&amp;"|"&amp;D1961&amp;"|"&amp;F1961,"")</f>
        <v/>
      </c>
      <c r="Z1961" s="57" t="str">
        <f>IF(Y1961="","",IF(COUNTIF(Y$6:Y1960,Y1961)=0,1,0))</f>
        <v/>
      </c>
      <c r="AA1961" s="57" t="str">
        <f>IF(Y1961="","",IF(Z1961=1,COUNTIFS(A$6:A1961,A1961,Z$6:Z1961,1),INDEX(AA$6:AA1960,MATCH(Y1961,Y$6:Y1960,0))))</f>
        <v/>
      </c>
      <c r="AB1961" s="57" t="str">
        <f>IF(B1961="","",COUNTIF(B$6:B1961,B1961))</f>
        <v/>
      </c>
      <c r="AC1961" s="57" t="str">
        <f>IF(B1961="","",B1961&amp;"#"&amp;AB1961)</f>
        <v/>
      </c>
      <c r="AD1961" s="57" t="str">
        <f>IF(Z1961=1,A1961&amp;AA1961,"")</f>
        <v/>
      </c>
      <c r="AE1961" s="57" t="str">
        <f>IF(B1961="","",YEAR(C1961))</f>
        <v/>
      </c>
      <c r="AF1961" s="57" t="str">
        <f>IF(B1961="","",MONTH(C1961))</f>
        <v/>
      </c>
      <c r="AG1961" s="57">
        <f>IF(ISNUMBER(C1961),C1961,0)</f>
        <v>0.0</v>
      </c>
      <c r="AH1961" s="57" t="str">
        <f>IF(N(W1961)&gt;0,COUNTIF(W$6:W1961,"&gt;0"),"")</f>
        <v/>
      </c>
      <c r="AI1961" s="57" t="str">
        <f>IF(Z1961=1,COUNTIF(Z$6:Z1961,1),"")</f>
        <v/>
      </c>
    </row>
    <row r="1962">
      <c r="A1962" s="54" t="n"/>
      <c r="B1962" s="55" t="str">
        <f>IF(AA1962="","",A1962&amp;"-"&amp;RIGHT("000"&amp;AA1962,4))</f>
        <v/>
      </c>
      <c r="C1962" s="56" t="n"/>
      <c r="D1962" s="54" t="n"/>
      <c r="E1962" s="57" t="str">
        <f>IF(D1962="","",IF(A1962="BL",IFERROR(INDEX(cl_name,MATCH(D1962,cl_code,0))&amp;"","Client inconnu"),IF(A1962="BR",IFERROR(INDEX(fo_name,MATCH(D1962,fo_code,0))&amp;"","Fournisseur inconnu"),IF(A1962="BS",IF(ISNA(MATCH(D1962,p_services,0)),"Service inconnu",D1962&amp;""),""))))</f>
        <v/>
      </c>
      <c r="F1962" s="58" t="n"/>
      <c r="G1962" s="58" t="n"/>
      <c r="H1962" s="59" t="n"/>
      <c r="I1962" s="57" t="str">
        <f>IF(H1962="","",IFERROR(INDEX(art_des,MATCH(H1962,art_ref,0))&amp;"","Article inconnu"))</f>
        <v/>
      </c>
      <c r="J1962" s="60" t="str">
        <f>IF(H1962="","",IFERROR(INDEX(art_unit,MATCH(H1962,art_ref,0))&amp;"",""))</f>
        <v/>
      </c>
      <c r="K1962" s="59" t="n"/>
      <c r="L1962" s="59" t="n"/>
      <c r="M1962" s="61" t="str">
        <f>IF(OR(B1962="",NOT(ISNUMBER(K1962)),NOT(ISNUMBER(L1962))),"",IF(OR(K1962&lt;=0,L1962&lt;=0),"",ROUND(L1962-K1962,6)))</f>
        <v/>
      </c>
      <c r="N1962" s="58" t="n"/>
      <c r="O1962" s="62" t="n"/>
      <c r="P1962" s="63" t="str">
        <f>IF(OR(B1962="",NOT(ISNUMBER(L1962))),"",IF(L1962&lt;=0,"",IFERROR(ROUND(L1962*N(INDEX(art_w,MATCH(H1962,art_ref,0))),3),"")))</f>
        <v/>
      </c>
      <c r="Q1962" s="59" t="n"/>
      <c r="R1962" s="54" t="n"/>
      <c r="S1962" s="59" t="n"/>
      <c r="T1962" s="59" t="n"/>
      <c r="U1962" s="64" t="str">
        <f>IF(OR(B1962="",H1962=""),"",IFERROR(IF(A1962="BL",IF(N(INDEX(art_price,MATCH(H1962,art_ref,0)))=0,"",N(INDEX(art_price,MATCH(H1962,art_ref,0)))),IF(N(INDEX(art_cost,MATCH(H1962,art_ref,0)))=0,"",N(INDEX(art_cost,MATCH(H1962,art_ref,0))))),""))</f>
        <v/>
      </c>
      <c r="V1962" s="64" t="str">
        <f>IF(OR(U1962="",NOT(ISNUMBER(L1962))),"",IF(L1962&lt;=0,"",ROUND(L1962*U1962,2)))</f>
        <v/>
      </c>
      <c r="W1962" s="60" t="str">
        <f>IF(AND(B1962&lt;&gt;"",A1962&lt;&gt;"BS",F1962&lt;&gt;"",H1962&lt;&gt;"",ISNUMBER(K1962),ISNUMBER(L1962)),IF(AND(K1962&gt;0,L1962&gt;0,K1962-L1962&gt;0,COUNTIFS(A1963:A$2005,A1962,F1963:F$2005,F1962,H1963:H$2005,H1962,AA1963:AA$2005,"&gt;0")=0),ROUND(K1962-L1962,6),""),"")</f>
        <v/>
      </c>
      <c r="X1962" s="60" t="str">
        <f>IF(AND(A1962="",C1962="",D1962="",H1962="",L1962=""),"",IF(A1962="","Type manquant",IF(AND(A1962&lt;&gt;"BL",A1962&lt;&gt;"BR",A1962&lt;&gt;"BS"),"Type inconnu (BL, BR ou BS)",IF(AG1962=0,"Date manquante ou invalide",IF(D1962="",IF(A1962="BL","Client manquant",IF(A1962="BR","Fournisseur manquant","Service manquant")),IF(IF(A1962="BL",ISNA(MATCH(D1962,cl_code,0)),IF(A1962="BR",ISNA(MATCH(D1962,fo_code,0)),ISNA(MATCH(D1962,p_services,0)))),IF(A1962="BL","Client inconnu",IF(A1962="BR","Fournisseur inconnu","Service inconnu")),IF(H1962="","Article manquant",IF(ISNA(MATCH(H1962,art_ref,0)),"Article inconnu",IF(OR(NOT(ISNUMBER(L1962)),N(L1962)&lt;=0),"Quantité invalide",IF(AND(K1962&lt;&gt;"",OR(NOT(ISNUMBER(K1962)),N(K1962)&lt;=0)),"Qté commandée invalide",IF(AG1962&lt;SUMPRODUCT(MAX((A$6:A1961=A1962)*AG$6:AG1961)),"Date antérieure au bon précédent",IF(AND(A1962&lt;&gt;"BR",ISNUMBER(M1962),N(M1962)&gt;0),IF(A1962="BL","Livré plus que commandé","Sorti plus que demandé"),"OK"))))))))))))</f>
        <v/>
      </c>
      <c r="Y1962" s="57" t="str">
        <f>IF(AND(OR(A1962="BL",A1962="BR",A1962="BS"),AG1962&gt;0,D1962&lt;&gt;""),A1962&amp;"|"&amp;AG1962&amp;"|"&amp;D1962&amp;"|"&amp;F1962,"")</f>
        <v/>
      </c>
      <c r="Z1962" s="57" t="str">
        <f>IF(Y1962="","",IF(COUNTIF(Y$6:Y1961,Y1962)=0,1,0))</f>
        <v/>
      </c>
      <c r="AA1962" s="57" t="str">
        <f>IF(Y1962="","",IF(Z1962=1,COUNTIFS(A$6:A1962,A1962,Z$6:Z1962,1),INDEX(AA$6:AA1961,MATCH(Y1962,Y$6:Y1961,0))))</f>
        <v/>
      </c>
      <c r="AB1962" s="57" t="str">
        <f>IF(B1962="","",COUNTIF(B$6:B1962,B1962))</f>
        <v/>
      </c>
      <c r="AC1962" s="57" t="str">
        <f>IF(B1962="","",B1962&amp;"#"&amp;AB1962)</f>
        <v/>
      </c>
      <c r="AD1962" s="57" t="str">
        <f>IF(Z1962=1,A1962&amp;AA1962,"")</f>
        <v/>
      </c>
      <c r="AE1962" s="57" t="str">
        <f>IF(B1962="","",YEAR(C1962))</f>
        <v/>
      </c>
      <c r="AF1962" s="57" t="str">
        <f>IF(B1962="","",MONTH(C1962))</f>
        <v/>
      </c>
      <c r="AG1962" s="57">
        <f>IF(ISNUMBER(C1962),C1962,0)</f>
        <v>0.0</v>
      </c>
      <c r="AH1962" s="57" t="str">
        <f>IF(N(W1962)&gt;0,COUNTIF(W$6:W1962,"&gt;0"),"")</f>
        <v/>
      </c>
      <c r="AI1962" s="57" t="str">
        <f>IF(Z1962=1,COUNTIF(Z$6:Z1962,1),"")</f>
        <v/>
      </c>
    </row>
    <row r="1963">
      <c r="A1963" s="54" t="n"/>
      <c r="B1963" s="55" t="str">
        <f>IF(AA1963="","",A1963&amp;"-"&amp;RIGHT("000"&amp;AA1963,4))</f>
        <v/>
      </c>
      <c r="C1963" s="56" t="n"/>
      <c r="D1963" s="54" t="n"/>
      <c r="E1963" s="57" t="str">
        <f>IF(D1963="","",IF(A1963="BL",IFERROR(INDEX(cl_name,MATCH(D1963,cl_code,0))&amp;"","Client inconnu"),IF(A1963="BR",IFERROR(INDEX(fo_name,MATCH(D1963,fo_code,0))&amp;"","Fournisseur inconnu"),IF(A1963="BS",IF(ISNA(MATCH(D1963,p_services,0)),"Service inconnu",D1963&amp;""),""))))</f>
        <v/>
      </c>
      <c r="F1963" s="58" t="n"/>
      <c r="G1963" s="58" t="n"/>
      <c r="H1963" s="59" t="n"/>
      <c r="I1963" s="57" t="str">
        <f>IF(H1963="","",IFERROR(INDEX(art_des,MATCH(H1963,art_ref,0))&amp;"","Article inconnu"))</f>
        <v/>
      </c>
      <c r="J1963" s="60" t="str">
        <f>IF(H1963="","",IFERROR(INDEX(art_unit,MATCH(H1963,art_ref,0))&amp;"",""))</f>
        <v/>
      </c>
      <c r="K1963" s="59" t="n"/>
      <c r="L1963" s="59" t="n"/>
      <c r="M1963" s="61" t="str">
        <f>IF(OR(B1963="",NOT(ISNUMBER(K1963)),NOT(ISNUMBER(L1963))),"",IF(OR(K1963&lt;=0,L1963&lt;=0),"",ROUND(L1963-K1963,6)))</f>
        <v/>
      </c>
      <c r="N1963" s="58" t="n"/>
      <c r="O1963" s="62" t="n"/>
      <c r="P1963" s="63" t="str">
        <f>IF(OR(B1963="",NOT(ISNUMBER(L1963))),"",IF(L1963&lt;=0,"",IFERROR(ROUND(L1963*N(INDEX(art_w,MATCH(H1963,art_ref,0))),3),"")))</f>
        <v/>
      </c>
      <c r="Q1963" s="59" t="n"/>
      <c r="R1963" s="54" t="n"/>
      <c r="S1963" s="59" t="n"/>
      <c r="T1963" s="59" t="n"/>
      <c r="U1963" s="64" t="str">
        <f>IF(OR(B1963="",H1963=""),"",IFERROR(IF(A1963="BL",IF(N(INDEX(art_price,MATCH(H1963,art_ref,0)))=0,"",N(INDEX(art_price,MATCH(H1963,art_ref,0)))),IF(N(INDEX(art_cost,MATCH(H1963,art_ref,0)))=0,"",N(INDEX(art_cost,MATCH(H1963,art_ref,0))))),""))</f>
        <v/>
      </c>
      <c r="V1963" s="64" t="str">
        <f>IF(OR(U1963="",NOT(ISNUMBER(L1963))),"",IF(L1963&lt;=0,"",ROUND(L1963*U1963,2)))</f>
        <v/>
      </c>
      <c r="W1963" s="60" t="str">
        <f>IF(AND(B1963&lt;&gt;"",A1963&lt;&gt;"BS",F1963&lt;&gt;"",H1963&lt;&gt;"",ISNUMBER(K1963),ISNUMBER(L1963)),IF(AND(K1963&gt;0,L1963&gt;0,K1963-L1963&gt;0,COUNTIFS(A1964:A$2005,A1963,F1964:F$2005,F1963,H1964:H$2005,H1963,AA1964:AA$2005,"&gt;0")=0),ROUND(K1963-L1963,6),""),"")</f>
        <v/>
      </c>
      <c r="X1963" s="60" t="str">
        <f>IF(AND(A1963="",C1963="",D1963="",H1963="",L1963=""),"",IF(A1963="","Type manquant",IF(AND(A1963&lt;&gt;"BL",A1963&lt;&gt;"BR",A1963&lt;&gt;"BS"),"Type inconnu (BL, BR ou BS)",IF(AG1963=0,"Date manquante ou invalide",IF(D1963="",IF(A1963="BL","Client manquant",IF(A1963="BR","Fournisseur manquant","Service manquant")),IF(IF(A1963="BL",ISNA(MATCH(D1963,cl_code,0)),IF(A1963="BR",ISNA(MATCH(D1963,fo_code,0)),ISNA(MATCH(D1963,p_services,0)))),IF(A1963="BL","Client inconnu",IF(A1963="BR","Fournisseur inconnu","Service inconnu")),IF(H1963="","Article manquant",IF(ISNA(MATCH(H1963,art_ref,0)),"Article inconnu",IF(OR(NOT(ISNUMBER(L1963)),N(L1963)&lt;=0),"Quantité invalide",IF(AND(K1963&lt;&gt;"",OR(NOT(ISNUMBER(K1963)),N(K1963)&lt;=0)),"Qté commandée invalide",IF(AG1963&lt;SUMPRODUCT(MAX((A$6:A1962=A1963)*AG$6:AG1962)),"Date antérieure au bon précédent",IF(AND(A1963&lt;&gt;"BR",ISNUMBER(M1963),N(M1963)&gt;0),IF(A1963="BL","Livré plus que commandé","Sorti plus que demandé"),"OK"))))))))))))</f>
        <v/>
      </c>
      <c r="Y1963" s="57" t="str">
        <f>IF(AND(OR(A1963="BL",A1963="BR",A1963="BS"),AG1963&gt;0,D1963&lt;&gt;""),A1963&amp;"|"&amp;AG1963&amp;"|"&amp;D1963&amp;"|"&amp;F1963,"")</f>
        <v/>
      </c>
      <c r="Z1963" s="57" t="str">
        <f>IF(Y1963="","",IF(COUNTIF(Y$6:Y1962,Y1963)=0,1,0))</f>
        <v/>
      </c>
      <c r="AA1963" s="57" t="str">
        <f>IF(Y1963="","",IF(Z1963=1,COUNTIFS(A$6:A1963,A1963,Z$6:Z1963,1),INDEX(AA$6:AA1962,MATCH(Y1963,Y$6:Y1962,0))))</f>
        <v/>
      </c>
      <c r="AB1963" s="57" t="str">
        <f>IF(B1963="","",COUNTIF(B$6:B1963,B1963))</f>
        <v/>
      </c>
      <c r="AC1963" s="57" t="str">
        <f>IF(B1963="","",B1963&amp;"#"&amp;AB1963)</f>
        <v/>
      </c>
      <c r="AD1963" s="57" t="str">
        <f>IF(Z1963=1,A1963&amp;AA1963,"")</f>
        <v/>
      </c>
      <c r="AE1963" s="57" t="str">
        <f>IF(B1963="","",YEAR(C1963))</f>
        <v/>
      </c>
      <c r="AF1963" s="57" t="str">
        <f>IF(B1963="","",MONTH(C1963))</f>
        <v/>
      </c>
      <c r="AG1963" s="57">
        <f>IF(ISNUMBER(C1963),C1963,0)</f>
        <v>0.0</v>
      </c>
      <c r="AH1963" s="57" t="str">
        <f>IF(N(W1963)&gt;0,COUNTIF(W$6:W1963,"&gt;0"),"")</f>
        <v/>
      </c>
      <c r="AI1963" s="57" t="str">
        <f>IF(Z1963=1,COUNTIF(Z$6:Z1963,1),"")</f>
        <v/>
      </c>
    </row>
    <row r="1964">
      <c r="A1964" s="54" t="n"/>
      <c r="B1964" s="55" t="str">
        <f>IF(AA1964="","",A1964&amp;"-"&amp;RIGHT("000"&amp;AA1964,4))</f>
        <v/>
      </c>
      <c r="C1964" s="56" t="n"/>
      <c r="D1964" s="54" t="n"/>
      <c r="E1964" s="57" t="str">
        <f>IF(D1964="","",IF(A1964="BL",IFERROR(INDEX(cl_name,MATCH(D1964,cl_code,0))&amp;"","Client inconnu"),IF(A1964="BR",IFERROR(INDEX(fo_name,MATCH(D1964,fo_code,0))&amp;"","Fournisseur inconnu"),IF(A1964="BS",IF(ISNA(MATCH(D1964,p_services,0)),"Service inconnu",D1964&amp;""),""))))</f>
        <v/>
      </c>
      <c r="F1964" s="58" t="n"/>
      <c r="G1964" s="58" t="n"/>
      <c r="H1964" s="59" t="n"/>
      <c r="I1964" s="57" t="str">
        <f>IF(H1964="","",IFERROR(INDEX(art_des,MATCH(H1964,art_ref,0))&amp;"","Article inconnu"))</f>
        <v/>
      </c>
      <c r="J1964" s="60" t="str">
        <f>IF(H1964="","",IFERROR(INDEX(art_unit,MATCH(H1964,art_ref,0))&amp;"",""))</f>
        <v/>
      </c>
      <c r="K1964" s="59" t="n"/>
      <c r="L1964" s="59" t="n"/>
      <c r="M1964" s="61" t="str">
        <f>IF(OR(B1964="",NOT(ISNUMBER(K1964)),NOT(ISNUMBER(L1964))),"",IF(OR(K1964&lt;=0,L1964&lt;=0),"",ROUND(L1964-K1964,6)))</f>
        <v/>
      </c>
      <c r="N1964" s="58" t="n"/>
      <c r="O1964" s="62" t="n"/>
      <c r="P1964" s="63" t="str">
        <f>IF(OR(B1964="",NOT(ISNUMBER(L1964))),"",IF(L1964&lt;=0,"",IFERROR(ROUND(L1964*N(INDEX(art_w,MATCH(H1964,art_ref,0))),3),"")))</f>
        <v/>
      </c>
      <c r="Q1964" s="59" t="n"/>
      <c r="R1964" s="54" t="n"/>
      <c r="S1964" s="59" t="n"/>
      <c r="T1964" s="59" t="n"/>
      <c r="U1964" s="64" t="str">
        <f>IF(OR(B1964="",H1964=""),"",IFERROR(IF(A1964="BL",IF(N(INDEX(art_price,MATCH(H1964,art_ref,0)))=0,"",N(INDEX(art_price,MATCH(H1964,art_ref,0)))),IF(N(INDEX(art_cost,MATCH(H1964,art_ref,0)))=0,"",N(INDEX(art_cost,MATCH(H1964,art_ref,0))))),""))</f>
        <v/>
      </c>
      <c r="V1964" s="64" t="str">
        <f>IF(OR(U1964="",NOT(ISNUMBER(L1964))),"",IF(L1964&lt;=0,"",ROUND(L1964*U1964,2)))</f>
        <v/>
      </c>
      <c r="W1964" s="60" t="str">
        <f>IF(AND(B1964&lt;&gt;"",A1964&lt;&gt;"BS",F1964&lt;&gt;"",H1964&lt;&gt;"",ISNUMBER(K1964),ISNUMBER(L1964)),IF(AND(K1964&gt;0,L1964&gt;0,K1964-L1964&gt;0,COUNTIFS(A1965:A$2005,A1964,F1965:F$2005,F1964,H1965:H$2005,H1964,AA1965:AA$2005,"&gt;0")=0),ROUND(K1964-L1964,6),""),"")</f>
        <v/>
      </c>
      <c r="X1964" s="60" t="str">
        <f>IF(AND(A1964="",C1964="",D1964="",H1964="",L1964=""),"",IF(A1964="","Type manquant",IF(AND(A1964&lt;&gt;"BL",A1964&lt;&gt;"BR",A1964&lt;&gt;"BS"),"Type inconnu (BL, BR ou BS)",IF(AG1964=0,"Date manquante ou invalide",IF(D1964="",IF(A1964="BL","Client manquant",IF(A1964="BR","Fournisseur manquant","Service manquant")),IF(IF(A1964="BL",ISNA(MATCH(D1964,cl_code,0)),IF(A1964="BR",ISNA(MATCH(D1964,fo_code,0)),ISNA(MATCH(D1964,p_services,0)))),IF(A1964="BL","Client inconnu",IF(A1964="BR","Fournisseur inconnu","Service inconnu")),IF(H1964="","Article manquant",IF(ISNA(MATCH(H1964,art_ref,0)),"Article inconnu",IF(OR(NOT(ISNUMBER(L1964)),N(L1964)&lt;=0),"Quantité invalide",IF(AND(K1964&lt;&gt;"",OR(NOT(ISNUMBER(K1964)),N(K1964)&lt;=0)),"Qté commandée invalide",IF(AG1964&lt;SUMPRODUCT(MAX((A$6:A1963=A1964)*AG$6:AG1963)),"Date antérieure au bon précédent",IF(AND(A1964&lt;&gt;"BR",ISNUMBER(M1964),N(M1964)&gt;0),IF(A1964="BL","Livré plus que commandé","Sorti plus que demandé"),"OK"))))))))))))</f>
        <v/>
      </c>
      <c r="Y1964" s="57" t="str">
        <f>IF(AND(OR(A1964="BL",A1964="BR",A1964="BS"),AG1964&gt;0,D1964&lt;&gt;""),A1964&amp;"|"&amp;AG1964&amp;"|"&amp;D1964&amp;"|"&amp;F1964,"")</f>
        <v/>
      </c>
      <c r="Z1964" s="57" t="str">
        <f>IF(Y1964="","",IF(COUNTIF(Y$6:Y1963,Y1964)=0,1,0))</f>
        <v/>
      </c>
      <c r="AA1964" s="57" t="str">
        <f>IF(Y1964="","",IF(Z1964=1,COUNTIFS(A$6:A1964,A1964,Z$6:Z1964,1),INDEX(AA$6:AA1963,MATCH(Y1964,Y$6:Y1963,0))))</f>
        <v/>
      </c>
      <c r="AB1964" s="57" t="str">
        <f>IF(B1964="","",COUNTIF(B$6:B1964,B1964))</f>
        <v/>
      </c>
      <c r="AC1964" s="57" t="str">
        <f>IF(B1964="","",B1964&amp;"#"&amp;AB1964)</f>
        <v/>
      </c>
      <c r="AD1964" s="57" t="str">
        <f>IF(Z1964=1,A1964&amp;AA1964,"")</f>
        <v/>
      </c>
      <c r="AE1964" s="57" t="str">
        <f>IF(B1964="","",YEAR(C1964))</f>
        <v/>
      </c>
      <c r="AF1964" s="57" t="str">
        <f>IF(B1964="","",MONTH(C1964))</f>
        <v/>
      </c>
      <c r="AG1964" s="57">
        <f>IF(ISNUMBER(C1964),C1964,0)</f>
        <v>0.0</v>
      </c>
      <c r="AH1964" s="57" t="str">
        <f>IF(N(W1964)&gt;0,COUNTIF(W$6:W1964,"&gt;0"),"")</f>
        <v/>
      </c>
      <c r="AI1964" s="57" t="str">
        <f>IF(Z1964=1,COUNTIF(Z$6:Z1964,1),"")</f>
        <v/>
      </c>
    </row>
    <row r="1965">
      <c r="A1965" s="54" t="n"/>
      <c r="B1965" s="55" t="str">
        <f>IF(AA1965="","",A1965&amp;"-"&amp;RIGHT("000"&amp;AA1965,4))</f>
        <v/>
      </c>
      <c r="C1965" s="56" t="n"/>
      <c r="D1965" s="54" t="n"/>
      <c r="E1965" s="57" t="str">
        <f>IF(D1965="","",IF(A1965="BL",IFERROR(INDEX(cl_name,MATCH(D1965,cl_code,0))&amp;"","Client inconnu"),IF(A1965="BR",IFERROR(INDEX(fo_name,MATCH(D1965,fo_code,0))&amp;"","Fournisseur inconnu"),IF(A1965="BS",IF(ISNA(MATCH(D1965,p_services,0)),"Service inconnu",D1965&amp;""),""))))</f>
        <v/>
      </c>
      <c r="F1965" s="58" t="n"/>
      <c r="G1965" s="58" t="n"/>
      <c r="H1965" s="59" t="n"/>
      <c r="I1965" s="57" t="str">
        <f>IF(H1965="","",IFERROR(INDEX(art_des,MATCH(H1965,art_ref,0))&amp;"","Article inconnu"))</f>
        <v/>
      </c>
      <c r="J1965" s="60" t="str">
        <f>IF(H1965="","",IFERROR(INDEX(art_unit,MATCH(H1965,art_ref,0))&amp;"",""))</f>
        <v/>
      </c>
      <c r="K1965" s="59" t="n"/>
      <c r="L1965" s="59" t="n"/>
      <c r="M1965" s="61" t="str">
        <f>IF(OR(B1965="",NOT(ISNUMBER(K1965)),NOT(ISNUMBER(L1965))),"",IF(OR(K1965&lt;=0,L1965&lt;=0),"",ROUND(L1965-K1965,6)))</f>
        <v/>
      </c>
      <c r="N1965" s="58" t="n"/>
      <c r="O1965" s="62" t="n"/>
      <c r="P1965" s="63" t="str">
        <f>IF(OR(B1965="",NOT(ISNUMBER(L1965))),"",IF(L1965&lt;=0,"",IFERROR(ROUND(L1965*N(INDEX(art_w,MATCH(H1965,art_ref,0))),3),"")))</f>
        <v/>
      </c>
      <c r="Q1965" s="59" t="n"/>
      <c r="R1965" s="54" t="n"/>
      <c r="S1965" s="59" t="n"/>
      <c r="T1965" s="59" t="n"/>
      <c r="U1965" s="64" t="str">
        <f>IF(OR(B1965="",H1965=""),"",IFERROR(IF(A1965="BL",IF(N(INDEX(art_price,MATCH(H1965,art_ref,0)))=0,"",N(INDEX(art_price,MATCH(H1965,art_ref,0)))),IF(N(INDEX(art_cost,MATCH(H1965,art_ref,0)))=0,"",N(INDEX(art_cost,MATCH(H1965,art_ref,0))))),""))</f>
        <v/>
      </c>
      <c r="V1965" s="64" t="str">
        <f>IF(OR(U1965="",NOT(ISNUMBER(L1965))),"",IF(L1965&lt;=0,"",ROUND(L1965*U1965,2)))</f>
        <v/>
      </c>
      <c r="W1965" s="60" t="str">
        <f>IF(AND(B1965&lt;&gt;"",A1965&lt;&gt;"BS",F1965&lt;&gt;"",H1965&lt;&gt;"",ISNUMBER(K1965),ISNUMBER(L1965)),IF(AND(K1965&gt;0,L1965&gt;0,K1965-L1965&gt;0,COUNTIFS(A1966:A$2005,A1965,F1966:F$2005,F1965,H1966:H$2005,H1965,AA1966:AA$2005,"&gt;0")=0),ROUND(K1965-L1965,6),""),"")</f>
        <v/>
      </c>
      <c r="X1965" s="60" t="str">
        <f>IF(AND(A1965="",C1965="",D1965="",H1965="",L1965=""),"",IF(A1965="","Type manquant",IF(AND(A1965&lt;&gt;"BL",A1965&lt;&gt;"BR",A1965&lt;&gt;"BS"),"Type inconnu (BL, BR ou BS)",IF(AG1965=0,"Date manquante ou invalide",IF(D1965="",IF(A1965="BL","Client manquant",IF(A1965="BR","Fournisseur manquant","Service manquant")),IF(IF(A1965="BL",ISNA(MATCH(D1965,cl_code,0)),IF(A1965="BR",ISNA(MATCH(D1965,fo_code,0)),ISNA(MATCH(D1965,p_services,0)))),IF(A1965="BL","Client inconnu",IF(A1965="BR","Fournisseur inconnu","Service inconnu")),IF(H1965="","Article manquant",IF(ISNA(MATCH(H1965,art_ref,0)),"Article inconnu",IF(OR(NOT(ISNUMBER(L1965)),N(L1965)&lt;=0),"Quantité invalide",IF(AND(K1965&lt;&gt;"",OR(NOT(ISNUMBER(K1965)),N(K1965)&lt;=0)),"Qté commandée invalide",IF(AG1965&lt;SUMPRODUCT(MAX((A$6:A1964=A1965)*AG$6:AG1964)),"Date antérieure au bon précédent",IF(AND(A1965&lt;&gt;"BR",ISNUMBER(M1965),N(M1965)&gt;0),IF(A1965="BL","Livré plus que commandé","Sorti plus que demandé"),"OK"))))))))))))</f>
        <v/>
      </c>
      <c r="Y1965" s="57" t="str">
        <f>IF(AND(OR(A1965="BL",A1965="BR",A1965="BS"),AG1965&gt;0,D1965&lt;&gt;""),A1965&amp;"|"&amp;AG1965&amp;"|"&amp;D1965&amp;"|"&amp;F1965,"")</f>
        <v/>
      </c>
      <c r="Z1965" s="57" t="str">
        <f>IF(Y1965="","",IF(COUNTIF(Y$6:Y1964,Y1965)=0,1,0))</f>
        <v/>
      </c>
      <c r="AA1965" s="57" t="str">
        <f>IF(Y1965="","",IF(Z1965=1,COUNTIFS(A$6:A1965,A1965,Z$6:Z1965,1),INDEX(AA$6:AA1964,MATCH(Y1965,Y$6:Y1964,0))))</f>
        <v/>
      </c>
      <c r="AB1965" s="57" t="str">
        <f>IF(B1965="","",COUNTIF(B$6:B1965,B1965))</f>
        <v/>
      </c>
      <c r="AC1965" s="57" t="str">
        <f>IF(B1965="","",B1965&amp;"#"&amp;AB1965)</f>
        <v/>
      </c>
      <c r="AD1965" s="57" t="str">
        <f>IF(Z1965=1,A1965&amp;AA1965,"")</f>
        <v/>
      </c>
      <c r="AE1965" s="57" t="str">
        <f>IF(B1965="","",YEAR(C1965))</f>
        <v/>
      </c>
      <c r="AF1965" s="57" t="str">
        <f>IF(B1965="","",MONTH(C1965))</f>
        <v/>
      </c>
      <c r="AG1965" s="57">
        <f>IF(ISNUMBER(C1965),C1965,0)</f>
        <v>0.0</v>
      </c>
      <c r="AH1965" s="57" t="str">
        <f>IF(N(W1965)&gt;0,COUNTIF(W$6:W1965,"&gt;0"),"")</f>
        <v/>
      </c>
      <c r="AI1965" s="57" t="str">
        <f>IF(Z1965=1,COUNTIF(Z$6:Z1965,1),"")</f>
        <v/>
      </c>
    </row>
    <row r="1966">
      <c r="A1966" s="54" t="n"/>
      <c r="B1966" s="55" t="str">
        <f>IF(AA1966="","",A1966&amp;"-"&amp;RIGHT("000"&amp;AA1966,4))</f>
        <v/>
      </c>
      <c r="C1966" s="56" t="n"/>
      <c r="D1966" s="54" t="n"/>
      <c r="E1966" s="57" t="str">
        <f>IF(D1966="","",IF(A1966="BL",IFERROR(INDEX(cl_name,MATCH(D1966,cl_code,0))&amp;"","Client inconnu"),IF(A1966="BR",IFERROR(INDEX(fo_name,MATCH(D1966,fo_code,0))&amp;"","Fournisseur inconnu"),IF(A1966="BS",IF(ISNA(MATCH(D1966,p_services,0)),"Service inconnu",D1966&amp;""),""))))</f>
        <v/>
      </c>
      <c r="F1966" s="58" t="n"/>
      <c r="G1966" s="58" t="n"/>
      <c r="H1966" s="59" t="n"/>
      <c r="I1966" s="57" t="str">
        <f>IF(H1966="","",IFERROR(INDEX(art_des,MATCH(H1966,art_ref,0))&amp;"","Article inconnu"))</f>
        <v/>
      </c>
      <c r="J1966" s="60" t="str">
        <f>IF(H1966="","",IFERROR(INDEX(art_unit,MATCH(H1966,art_ref,0))&amp;"",""))</f>
        <v/>
      </c>
      <c r="K1966" s="59" t="n"/>
      <c r="L1966" s="59" t="n"/>
      <c r="M1966" s="61" t="str">
        <f>IF(OR(B1966="",NOT(ISNUMBER(K1966)),NOT(ISNUMBER(L1966))),"",IF(OR(K1966&lt;=0,L1966&lt;=0),"",ROUND(L1966-K1966,6)))</f>
        <v/>
      </c>
      <c r="N1966" s="58" t="n"/>
      <c r="O1966" s="62" t="n"/>
      <c r="P1966" s="63" t="str">
        <f>IF(OR(B1966="",NOT(ISNUMBER(L1966))),"",IF(L1966&lt;=0,"",IFERROR(ROUND(L1966*N(INDEX(art_w,MATCH(H1966,art_ref,0))),3),"")))</f>
        <v/>
      </c>
      <c r="Q1966" s="59" t="n"/>
      <c r="R1966" s="54" t="n"/>
      <c r="S1966" s="59" t="n"/>
      <c r="T1966" s="59" t="n"/>
      <c r="U1966" s="64" t="str">
        <f>IF(OR(B1966="",H1966=""),"",IFERROR(IF(A1966="BL",IF(N(INDEX(art_price,MATCH(H1966,art_ref,0)))=0,"",N(INDEX(art_price,MATCH(H1966,art_ref,0)))),IF(N(INDEX(art_cost,MATCH(H1966,art_ref,0)))=0,"",N(INDEX(art_cost,MATCH(H1966,art_ref,0))))),""))</f>
        <v/>
      </c>
      <c r="V1966" s="64" t="str">
        <f>IF(OR(U1966="",NOT(ISNUMBER(L1966))),"",IF(L1966&lt;=0,"",ROUND(L1966*U1966,2)))</f>
        <v/>
      </c>
      <c r="W1966" s="60" t="str">
        <f>IF(AND(B1966&lt;&gt;"",A1966&lt;&gt;"BS",F1966&lt;&gt;"",H1966&lt;&gt;"",ISNUMBER(K1966),ISNUMBER(L1966)),IF(AND(K1966&gt;0,L1966&gt;0,K1966-L1966&gt;0,COUNTIFS(A1967:A$2005,A1966,F1967:F$2005,F1966,H1967:H$2005,H1966,AA1967:AA$2005,"&gt;0")=0),ROUND(K1966-L1966,6),""),"")</f>
        <v/>
      </c>
      <c r="X1966" s="60" t="str">
        <f>IF(AND(A1966="",C1966="",D1966="",H1966="",L1966=""),"",IF(A1966="","Type manquant",IF(AND(A1966&lt;&gt;"BL",A1966&lt;&gt;"BR",A1966&lt;&gt;"BS"),"Type inconnu (BL, BR ou BS)",IF(AG1966=0,"Date manquante ou invalide",IF(D1966="",IF(A1966="BL","Client manquant",IF(A1966="BR","Fournisseur manquant","Service manquant")),IF(IF(A1966="BL",ISNA(MATCH(D1966,cl_code,0)),IF(A1966="BR",ISNA(MATCH(D1966,fo_code,0)),ISNA(MATCH(D1966,p_services,0)))),IF(A1966="BL","Client inconnu",IF(A1966="BR","Fournisseur inconnu","Service inconnu")),IF(H1966="","Article manquant",IF(ISNA(MATCH(H1966,art_ref,0)),"Article inconnu",IF(OR(NOT(ISNUMBER(L1966)),N(L1966)&lt;=0),"Quantité invalide",IF(AND(K1966&lt;&gt;"",OR(NOT(ISNUMBER(K1966)),N(K1966)&lt;=0)),"Qté commandée invalide",IF(AG1966&lt;SUMPRODUCT(MAX((A$6:A1965=A1966)*AG$6:AG1965)),"Date antérieure au bon précédent",IF(AND(A1966&lt;&gt;"BR",ISNUMBER(M1966),N(M1966)&gt;0),IF(A1966="BL","Livré plus que commandé","Sorti plus que demandé"),"OK"))))))))))))</f>
        <v/>
      </c>
      <c r="Y1966" s="57" t="str">
        <f>IF(AND(OR(A1966="BL",A1966="BR",A1966="BS"),AG1966&gt;0,D1966&lt;&gt;""),A1966&amp;"|"&amp;AG1966&amp;"|"&amp;D1966&amp;"|"&amp;F1966,"")</f>
        <v/>
      </c>
      <c r="Z1966" s="57" t="str">
        <f>IF(Y1966="","",IF(COUNTIF(Y$6:Y1965,Y1966)=0,1,0))</f>
        <v/>
      </c>
      <c r="AA1966" s="57" t="str">
        <f>IF(Y1966="","",IF(Z1966=1,COUNTIFS(A$6:A1966,A1966,Z$6:Z1966,1),INDEX(AA$6:AA1965,MATCH(Y1966,Y$6:Y1965,0))))</f>
        <v/>
      </c>
      <c r="AB1966" s="57" t="str">
        <f>IF(B1966="","",COUNTIF(B$6:B1966,B1966))</f>
        <v/>
      </c>
      <c r="AC1966" s="57" t="str">
        <f>IF(B1966="","",B1966&amp;"#"&amp;AB1966)</f>
        <v/>
      </c>
      <c r="AD1966" s="57" t="str">
        <f>IF(Z1966=1,A1966&amp;AA1966,"")</f>
        <v/>
      </c>
      <c r="AE1966" s="57" t="str">
        <f>IF(B1966="","",YEAR(C1966))</f>
        <v/>
      </c>
      <c r="AF1966" s="57" t="str">
        <f>IF(B1966="","",MONTH(C1966))</f>
        <v/>
      </c>
      <c r="AG1966" s="57">
        <f>IF(ISNUMBER(C1966),C1966,0)</f>
        <v>0.0</v>
      </c>
      <c r="AH1966" s="57" t="str">
        <f>IF(N(W1966)&gt;0,COUNTIF(W$6:W1966,"&gt;0"),"")</f>
        <v/>
      </c>
      <c r="AI1966" s="57" t="str">
        <f>IF(Z1966=1,COUNTIF(Z$6:Z1966,1),"")</f>
        <v/>
      </c>
    </row>
    <row r="1967">
      <c r="A1967" s="54" t="n"/>
      <c r="B1967" s="55" t="str">
        <f>IF(AA1967="","",A1967&amp;"-"&amp;RIGHT("000"&amp;AA1967,4))</f>
        <v/>
      </c>
      <c r="C1967" s="56" t="n"/>
      <c r="D1967" s="54" t="n"/>
      <c r="E1967" s="57" t="str">
        <f>IF(D1967="","",IF(A1967="BL",IFERROR(INDEX(cl_name,MATCH(D1967,cl_code,0))&amp;"","Client inconnu"),IF(A1967="BR",IFERROR(INDEX(fo_name,MATCH(D1967,fo_code,0))&amp;"","Fournisseur inconnu"),IF(A1967="BS",IF(ISNA(MATCH(D1967,p_services,0)),"Service inconnu",D1967&amp;""),""))))</f>
        <v/>
      </c>
      <c r="F1967" s="58" t="n"/>
      <c r="G1967" s="58" t="n"/>
      <c r="H1967" s="59" t="n"/>
      <c r="I1967" s="57" t="str">
        <f>IF(H1967="","",IFERROR(INDEX(art_des,MATCH(H1967,art_ref,0))&amp;"","Article inconnu"))</f>
        <v/>
      </c>
      <c r="J1967" s="60" t="str">
        <f>IF(H1967="","",IFERROR(INDEX(art_unit,MATCH(H1967,art_ref,0))&amp;"",""))</f>
        <v/>
      </c>
      <c r="K1967" s="59" t="n"/>
      <c r="L1967" s="59" t="n"/>
      <c r="M1967" s="61" t="str">
        <f>IF(OR(B1967="",NOT(ISNUMBER(K1967)),NOT(ISNUMBER(L1967))),"",IF(OR(K1967&lt;=0,L1967&lt;=0),"",ROUND(L1967-K1967,6)))</f>
        <v/>
      </c>
      <c r="N1967" s="58" t="n"/>
      <c r="O1967" s="62" t="n"/>
      <c r="P1967" s="63" t="str">
        <f>IF(OR(B1967="",NOT(ISNUMBER(L1967))),"",IF(L1967&lt;=0,"",IFERROR(ROUND(L1967*N(INDEX(art_w,MATCH(H1967,art_ref,0))),3),"")))</f>
        <v/>
      </c>
      <c r="Q1967" s="59" t="n"/>
      <c r="R1967" s="54" t="n"/>
      <c r="S1967" s="59" t="n"/>
      <c r="T1967" s="59" t="n"/>
      <c r="U1967" s="64" t="str">
        <f>IF(OR(B1967="",H1967=""),"",IFERROR(IF(A1967="BL",IF(N(INDEX(art_price,MATCH(H1967,art_ref,0)))=0,"",N(INDEX(art_price,MATCH(H1967,art_ref,0)))),IF(N(INDEX(art_cost,MATCH(H1967,art_ref,0)))=0,"",N(INDEX(art_cost,MATCH(H1967,art_ref,0))))),""))</f>
        <v/>
      </c>
      <c r="V1967" s="64" t="str">
        <f>IF(OR(U1967="",NOT(ISNUMBER(L1967))),"",IF(L1967&lt;=0,"",ROUND(L1967*U1967,2)))</f>
        <v/>
      </c>
      <c r="W1967" s="60" t="str">
        <f>IF(AND(B1967&lt;&gt;"",A1967&lt;&gt;"BS",F1967&lt;&gt;"",H1967&lt;&gt;"",ISNUMBER(K1967),ISNUMBER(L1967)),IF(AND(K1967&gt;0,L1967&gt;0,K1967-L1967&gt;0,COUNTIFS(A1968:A$2005,A1967,F1968:F$2005,F1967,H1968:H$2005,H1967,AA1968:AA$2005,"&gt;0")=0),ROUND(K1967-L1967,6),""),"")</f>
        <v/>
      </c>
      <c r="X1967" s="60" t="str">
        <f>IF(AND(A1967="",C1967="",D1967="",H1967="",L1967=""),"",IF(A1967="","Type manquant",IF(AND(A1967&lt;&gt;"BL",A1967&lt;&gt;"BR",A1967&lt;&gt;"BS"),"Type inconnu (BL, BR ou BS)",IF(AG1967=0,"Date manquante ou invalide",IF(D1967="",IF(A1967="BL","Client manquant",IF(A1967="BR","Fournisseur manquant","Service manquant")),IF(IF(A1967="BL",ISNA(MATCH(D1967,cl_code,0)),IF(A1967="BR",ISNA(MATCH(D1967,fo_code,0)),ISNA(MATCH(D1967,p_services,0)))),IF(A1967="BL","Client inconnu",IF(A1967="BR","Fournisseur inconnu","Service inconnu")),IF(H1967="","Article manquant",IF(ISNA(MATCH(H1967,art_ref,0)),"Article inconnu",IF(OR(NOT(ISNUMBER(L1967)),N(L1967)&lt;=0),"Quantité invalide",IF(AND(K1967&lt;&gt;"",OR(NOT(ISNUMBER(K1967)),N(K1967)&lt;=0)),"Qté commandée invalide",IF(AG1967&lt;SUMPRODUCT(MAX((A$6:A1966=A1967)*AG$6:AG1966)),"Date antérieure au bon précédent",IF(AND(A1967&lt;&gt;"BR",ISNUMBER(M1967),N(M1967)&gt;0),IF(A1967="BL","Livré plus que commandé","Sorti plus que demandé"),"OK"))))))))))))</f>
        <v/>
      </c>
      <c r="Y1967" s="57" t="str">
        <f>IF(AND(OR(A1967="BL",A1967="BR",A1967="BS"),AG1967&gt;0,D1967&lt;&gt;""),A1967&amp;"|"&amp;AG1967&amp;"|"&amp;D1967&amp;"|"&amp;F1967,"")</f>
        <v/>
      </c>
      <c r="Z1967" s="57" t="str">
        <f>IF(Y1967="","",IF(COUNTIF(Y$6:Y1966,Y1967)=0,1,0))</f>
        <v/>
      </c>
      <c r="AA1967" s="57" t="str">
        <f>IF(Y1967="","",IF(Z1967=1,COUNTIFS(A$6:A1967,A1967,Z$6:Z1967,1),INDEX(AA$6:AA1966,MATCH(Y1967,Y$6:Y1966,0))))</f>
        <v/>
      </c>
      <c r="AB1967" s="57" t="str">
        <f>IF(B1967="","",COUNTIF(B$6:B1967,B1967))</f>
        <v/>
      </c>
      <c r="AC1967" s="57" t="str">
        <f>IF(B1967="","",B1967&amp;"#"&amp;AB1967)</f>
        <v/>
      </c>
      <c r="AD1967" s="57" t="str">
        <f>IF(Z1967=1,A1967&amp;AA1967,"")</f>
        <v/>
      </c>
      <c r="AE1967" s="57" t="str">
        <f>IF(B1967="","",YEAR(C1967))</f>
        <v/>
      </c>
      <c r="AF1967" s="57" t="str">
        <f>IF(B1967="","",MONTH(C1967))</f>
        <v/>
      </c>
      <c r="AG1967" s="57">
        <f>IF(ISNUMBER(C1967),C1967,0)</f>
        <v>0.0</v>
      </c>
      <c r="AH1967" s="57" t="str">
        <f>IF(N(W1967)&gt;0,COUNTIF(W$6:W1967,"&gt;0"),"")</f>
        <v/>
      </c>
      <c r="AI1967" s="57" t="str">
        <f>IF(Z1967=1,COUNTIF(Z$6:Z1967,1),"")</f>
        <v/>
      </c>
    </row>
    <row r="1968">
      <c r="A1968" s="54" t="n"/>
      <c r="B1968" s="55" t="str">
        <f>IF(AA1968="","",A1968&amp;"-"&amp;RIGHT("000"&amp;AA1968,4))</f>
        <v/>
      </c>
      <c r="C1968" s="56" t="n"/>
      <c r="D1968" s="54" t="n"/>
      <c r="E1968" s="57" t="str">
        <f>IF(D1968="","",IF(A1968="BL",IFERROR(INDEX(cl_name,MATCH(D1968,cl_code,0))&amp;"","Client inconnu"),IF(A1968="BR",IFERROR(INDEX(fo_name,MATCH(D1968,fo_code,0))&amp;"","Fournisseur inconnu"),IF(A1968="BS",IF(ISNA(MATCH(D1968,p_services,0)),"Service inconnu",D1968&amp;""),""))))</f>
        <v/>
      </c>
      <c r="F1968" s="58" t="n"/>
      <c r="G1968" s="58" t="n"/>
      <c r="H1968" s="59" t="n"/>
      <c r="I1968" s="57" t="str">
        <f>IF(H1968="","",IFERROR(INDEX(art_des,MATCH(H1968,art_ref,0))&amp;"","Article inconnu"))</f>
        <v/>
      </c>
      <c r="J1968" s="60" t="str">
        <f>IF(H1968="","",IFERROR(INDEX(art_unit,MATCH(H1968,art_ref,0))&amp;"",""))</f>
        <v/>
      </c>
      <c r="K1968" s="59" t="n"/>
      <c r="L1968" s="59" t="n"/>
      <c r="M1968" s="61" t="str">
        <f>IF(OR(B1968="",NOT(ISNUMBER(K1968)),NOT(ISNUMBER(L1968))),"",IF(OR(K1968&lt;=0,L1968&lt;=0),"",ROUND(L1968-K1968,6)))</f>
        <v/>
      </c>
      <c r="N1968" s="58" t="n"/>
      <c r="O1968" s="62" t="n"/>
      <c r="P1968" s="63" t="str">
        <f>IF(OR(B1968="",NOT(ISNUMBER(L1968))),"",IF(L1968&lt;=0,"",IFERROR(ROUND(L1968*N(INDEX(art_w,MATCH(H1968,art_ref,0))),3),"")))</f>
        <v/>
      </c>
      <c r="Q1968" s="59" t="n"/>
      <c r="R1968" s="54" t="n"/>
      <c r="S1968" s="59" t="n"/>
      <c r="T1968" s="59" t="n"/>
      <c r="U1968" s="64" t="str">
        <f>IF(OR(B1968="",H1968=""),"",IFERROR(IF(A1968="BL",IF(N(INDEX(art_price,MATCH(H1968,art_ref,0)))=0,"",N(INDEX(art_price,MATCH(H1968,art_ref,0)))),IF(N(INDEX(art_cost,MATCH(H1968,art_ref,0)))=0,"",N(INDEX(art_cost,MATCH(H1968,art_ref,0))))),""))</f>
        <v/>
      </c>
      <c r="V1968" s="64" t="str">
        <f>IF(OR(U1968="",NOT(ISNUMBER(L1968))),"",IF(L1968&lt;=0,"",ROUND(L1968*U1968,2)))</f>
        <v/>
      </c>
      <c r="W1968" s="60" t="str">
        <f>IF(AND(B1968&lt;&gt;"",A1968&lt;&gt;"BS",F1968&lt;&gt;"",H1968&lt;&gt;"",ISNUMBER(K1968),ISNUMBER(L1968)),IF(AND(K1968&gt;0,L1968&gt;0,K1968-L1968&gt;0,COUNTIFS(A1969:A$2005,A1968,F1969:F$2005,F1968,H1969:H$2005,H1968,AA1969:AA$2005,"&gt;0")=0),ROUND(K1968-L1968,6),""),"")</f>
        <v/>
      </c>
      <c r="X1968" s="60" t="str">
        <f>IF(AND(A1968="",C1968="",D1968="",H1968="",L1968=""),"",IF(A1968="","Type manquant",IF(AND(A1968&lt;&gt;"BL",A1968&lt;&gt;"BR",A1968&lt;&gt;"BS"),"Type inconnu (BL, BR ou BS)",IF(AG1968=0,"Date manquante ou invalide",IF(D1968="",IF(A1968="BL","Client manquant",IF(A1968="BR","Fournisseur manquant","Service manquant")),IF(IF(A1968="BL",ISNA(MATCH(D1968,cl_code,0)),IF(A1968="BR",ISNA(MATCH(D1968,fo_code,0)),ISNA(MATCH(D1968,p_services,0)))),IF(A1968="BL","Client inconnu",IF(A1968="BR","Fournisseur inconnu","Service inconnu")),IF(H1968="","Article manquant",IF(ISNA(MATCH(H1968,art_ref,0)),"Article inconnu",IF(OR(NOT(ISNUMBER(L1968)),N(L1968)&lt;=0),"Quantité invalide",IF(AND(K1968&lt;&gt;"",OR(NOT(ISNUMBER(K1968)),N(K1968)&lt;=0)),"Qté commandée invalide",IF(AG1968&lt;SUMPRODUCT(MAX((A$6:A1967=A1968)*AG$6:AG1967)),"Date antérieure au bon précédent",IF(AND(A1968&lt;&gt;"BR",ISNUMBER(M1968),N(M1968)&gt;0),IF(A1968="BL","Livré plus que commandé","Sorti plus que demandé"),"OK"))))))))))))</f>
        <v/>
      </c>
      <c r="Y1968" s="57" t="str">
        <f>IF(AND(OR(A1968="BL",A1968="BR",A1968="BS"),AG1968&gt;0,D1968&lt;&gt;""),A1968&amp;"|"&amp;AG1968&amp;"|"&amp;D1968&amp;"|"&amp;F1968,"")</f>
        <v/>
      </c>
      <c r="Z1968" s="57" t="str">
        <f>IF(Y1968="","",IF(COUNTIF(Y$6:Y1967,Y1968)=0,1,0))</f>
        <v/>
      </c>
      <c r="AA1968" s="57" t="str">
        <f>IF(Y1968="","",IF(Z1968=1,COUNTIFS(A$6:A1968,A1968,Z$6:Z1968,1),INDEX(AA$6:AA1967,MATCH(Y1968,Y$6:Y1967,0))))</f>
        <v/>
      </c>
      <c r="AB1968" s="57" t="str">
        <f>IF(B1968="","",COUNTIF(B$6:B1968,B1968))</f>
        <v/>
      </c>
      <c r="AC1968" s="57" t="str">
        <f>IF(B1968="","",B1968&amp;"#"&amp;AB1968)</f>
        <v/>
      </c>
      <c r="AD1968" s="57" t="str">
        <f>IF(Z1968=1,A1968&amp;AA1968,"")</f>
        <v/>
      </c>
      <c r="AE1968" s="57" t="str">
        <f>IF(B1968="","",YEAR(C1968))</f>
        <v/>
      </c>
      <c r="AF1968" s="57" t="str">
        <f>IF(B1968="","",MONTH(C1968))</f>
        <v/>
      </c>
      <c r="AG1968" s="57">
        <f>IF(ISNUMBER(C1968),C1968,0)</f>
        <v>0.0</v>
      </c>
      <c r="AH1968" s="57" t="str">
        <f>IF(N(W1968)&gt;0,COUNTIF(W$6:W1968,"&gt;0"),"")</f>
        <v/>
      </c>
      <c r="AI1968" s="57" t="str">
        <f>IF(Z1968=1,COUNTIF(Z$6:Z1968,1),"")</f>
        <v/>
      </c>
    </row>
    <row r="1969">
      <c r="A1969" s="54" t="n"/>
      <c r="B1969" s="55" t="str">
        <f>IF(AA1969="","",A1969&amp;"-"&amp;RIGHT("000"&amp;AA1969,4))</f>
        <v/>
      </c>
      <c r="C1969" s="56" t="n"/>
      <c r="D1969" s="54" t="n"/>
      <c r="E1969" s="57" t="str">
        <f>IF(D1969="","",IF(A1969="BL",IFERROR(INDEX(cl_name,MATCH(D1969,cl_code,0))&amp;"","Client inconnu"),IF(A1969="BR",IFERROR(INDEX(fo_name,MATCH(D1969,fo_code,0))&amp;"","Fournisseur inconnu"),IF(A1969="BS",IF(ISNA(MATCH(D1969,p_services,0)),"Service inconnu",D1969&amp;""),""))))</f>
        <v/>
      </c>
      <c r="F1969" s="58" t="n"/>
      <c r="G1969" s="58" t="n"/>
      <c r="H1969" s="59" t="n"/>
      <c r="I1969" s="57" t="str">
        <f>IF(H1969="","",IFERROR(INDEX(art_des,MATCH(H1969,art_ref,0))&amp;"","Article inconnu"))</f>
        <v/>
      </c>
      <c r="J1969" s="60" t="str">
        <f>IF(H1969="","",IFERROR(INDEX(art_unit,MATCH(H1969,art_ref,0))&amp;"",""))</f>
        <v/>
      </c>
      <c r="K1969" s="59" t="n"/>
      <c r="L1969" s="59" t="n"/>
      <c r="M1969" s="61" t="str">
        <f>IF(OR(B1969="",NOT(ISNUMBER(K1969)),NOT(ISNUMBER(L1969))),"",IF(OR(K1969&lt;=0,L1969&lt;=0),"",ROUND(L1969-K1969,6)))</f>
        <v/>
      </c>
      <c r="N1969" s="58" t="n"/>
      <c r="O1969" s="62" t="n"/>
      <c r="P1969" s="63" t="str">
        <f>IF(OR(B1969="",NOT(ISNUMBER(L1969))),"",IF(L1969&lt;=0,"",IFERROR(ROUND(L1969*N(INDEX(art_w,MATCH(H1969,art_ref,0))),3),"")))</f>
        <v/>
      </c>
      <c r="Q1969" s="59" t="n"/>
      <c r="R1969" s="54" t="n"/>
      <c r="S1969" s="59" t="n"/>
      <c r="T1969" s="59" t="n"/>
      <c r="U1969" s="64" t="str">
        <f>IF(OR(B1969="",H1969=""),"",IFERROR(IF(A1969="BL",IF(N(INDEX(art_price,MATCH(H1969,art_ref,0)))=0,"",N(INDEX(art_price,MATCH(H1969,art_ref,0)))),IF(N(INDEX(art_cost,MATCH(H1969,art_ref,0)))=0,"",N(INDEX(art_cost,MATCH(H1969,art_ref,0))))),""))</f>
        <v/>
      </c>
      <c r="V1969" s="64" t="str">
        <f>IF(OR(U1969="",NOT(ISNUMBER(L1969))),"",IF(L1969&lt;=0,"",ROUND(L1969*U1969,2)))</f>
        <v/>
      </c>
      <c r="W1969" s="60" t="str">
        <f>IF(AND(B1969&lt;&gt;"",A1969&lt;&gt;"BS",F1969&lt;&gt;"",H1969&lt;&gt;"",ISNUMBER(K1969),ISNUMBER(L1969)),IF(AND(K1969&gt;0,L1969&gt;0,K1969-L1969&gt;0,COUNTIFS(A1970:A$2005,A1969,F1970:F$2005,F1969,H1970:H$2005,H1969,AA1970:AA$2005,"&gt;0")=0),ROUND(K1969-L1969,6),""),"")</f>
        <v/>
      </c>
      <c r="X1969" s="60" t="str">
        <f>IF(AND(A1969="",C1969="",D1969="",H1969="",L1969=""),"",IF(A1969="","Type manquant",IF(AND(A1969&lt;&gt;"BL",A1969&lt;&gt;"BR",A1969&lt;&gt;"BS"),"Type inconnu (BL, BR ou BS)",IF(AG1969=0,"Date manquante ou invalide",IF(D1969="",IF(A1969="BL","Client manquant",IF(A1969="BR","Fournisseur manquant","Service manquant")),IF(IF(A1969="BL",ISNA(MATCH(D1969,cl_code,0)),IF(A1969="BR",ISNA(MATCH(D1969,fo_code,0)),ISNA(MATCH(D1969,p_services,0)))),IF(A1969="BL","Client inconnu",IF(A1969="BR","Fournisseur inconnu","Service inconnu")),IF(H1969="","Article manquant",IF(ISNA(MATCH(H1969,art_ref,0)),"Article inconnu",IF(OR(NOT(ISNUMBER(L1969)),N(L1969)&lt;=0),"Quantité invalide",IF(AND(K1969&lt;&gt;"",OR(NOT(ISNUMBER(K1969)),N(K1969)&lt;=0)),"Qté commandée invalide",IF(AG1969&lt;SUMPRODUCT(MAX((A$6:A1968=A1969)*AG$6:AG1968)),"Date antérieure au bon précédent",IF(AND(A1969&lt;&gt;"BR",ISNUMBER(M1969),N(M1969)&gt;0),IF(A1969="BL","Livré plus que commandé","Sorti plus que demandé"),"OK"))))))))))))</f>
        <v/>
      </c>
      <c r="Y1969" s="57" t="str">
        <f>IF(AND(OR(A1969="BL",A1969="BR",A1969="BS"),AG1969&gt;0,D1969&lt;&gt;""),A1969&amp;"|"&amp;AG1969&amp;"|"&amp;D1969&amp;"|"&amp;F1969,"")</f>
        <v/>
      </c>
      <c r="Z1969" s="57" t="str">
        <f>IF(Y1969="","",IF(COUNTIF(Y$6:Y1968,Y1969)=0,1,0))</f>
        <v/>
      </c>
      <c r="AA1969" s="57" t="str">
        <f>IF(Y1969="","",IF(Z1969=1,COUNTIFS(A$6:A1969,A1969,Z$6:Z1969,1),INDEX(AA$6:AA1968,MATCH(Y1969,Y$6:Y1968,0))))</f>
        <v/>
      </c>
      <c r="AB1969" s="57" t="str">
        <f>IF(B1969="","",COUNTIF(B$6:B1969,B1969))</f>
        <v/>
      </c>
      <c r="AC1969" s="57" t="str">
        <f>IF(B1969="","",B1969&amp;"#"&amp;AB1969)</f>
        <v/>
      </c>
      <c r="AD1969" s="57" t="str">
        <f>IF(Z1969=1,A1969&amp;AA1969,"")</f>
        <v/>
      </c>
      <c r="AE1969" s="57" t="str">
        <f>IF(B1969="","",YEAR(C1969))</f>
        <v/>
      </c>
      <c r="AF1969" s="57" t="str">
        <f>IF(B1969="","",MONTH(C1969))</f>
        <v/>
      </c>
      <c r="AG1969" s="57">
        <f>IF(ISNUMBER(C1969),C1969,0)</f>
        <v>0.0</v>
      </c>
      <c r="AH1969" s="57" t="str">
        <f>IF(N(W1969)&gt;0,COUNTIF(W$6:W1969,"&gt;0"),"")</f>
        <v/>
      </c>
      <c r="AI1969" s="57" t="str">
        <f>IF(Z1969=1,COUNTIF(Z$6:Z1969,1),"")</f>
        <v/>
      </c>
    </row>
    <row r="1970">
      <c r="A1970" s="54" t="n"/>
      <c r="B1970" s="55" t="str">
        <f>IF(AA1970="","",A1970&amp;"-"&amp;RIGHT("000"&amp;AA1970,4))</f>
        <v/>
      </c>
      <c r="C1970" s="56" t="n"/>
      <c r="D1970" s="54" t="n"/>
      <c r="E1970" s="57" t="str">
        <f>IF(D1970="","",IF(A1970="BL",IFERROR(INDEX(cl_name,MATCH(D1970,cl_code,0))&amp;"","Client inconnu"),IF(A1970="BR",IFERROR(INDEX(fo_name,MATCH(D1970,fo_code,0))&amp;"","Fournisseur inconnu"),IF(A1970="BS",IF(ISNA(MATCH(D1970,p_services,0)),"Service inconnu",D1970&amp;""),""))))</f>
        <v/>
      </c>
      <c r="F1970" s="58" t="n"/>
      <c r="G1970" s="58" t="n"/>
      <c r="H1970" s="59" t="n"/>
      <c r="I1970" s="57" t="str">
        <f>IF(H1970="","",IFERROR(INDEX(art_des,MATCH(H1970,art_ref,0))&amp;"","Article inconnu"))</f>
        <v/>
      </c>
      <c r="J1970" s="60" t="str">
        <f>IF(H1970="","",IFERROR(INDEX(art_unit,MATCH(H1970,art_ref,0))&amp;"",""))</f>
        <v/>
      </c>
      <c r="K1970" s="59" t="n"/>
      <c r="L1970" s="59" t="n"/>
      <c r="M1970" s="61" t="str">
        <f>IF(OR(B1970="",NOT(ISNUMBER(K1970)),NOT(ISNUMBER(L1970))),"",IF(OR(K1970&lt;=0,L1970&lt;=0),"",ROUND(L1970-K1970,6)))</f>
        <v/>
      </c>
      <c r="N1970" s="58" t="n"/>
      <c r="O1970" s="62" t="n"/>
      <c r="P1970" s="63" t="str">
        <f>IF(OR(B1970="",NOT(ISNUMBER(L1970))),"",IF(L1970&lt;=0,"",IFERROR(ROUND(L1970*N(INDEX(art_w,MATCH(H1970,art_ref,0))),3),"")))</f>
        <v/>
      </c>
      <c r="Q1970" s="59" t="n"/>
      <c r="R1970" s="54" t="n"/>
      <c r="S1970" s="59" t="n"/>
      <c r="T1970" s="59" t="n"/>
      <c r="U1970" s="64" t="str">
        <f>IF(OR(B1970="",H1970=""),"",IFERROR(IF(A1970="BL",IF(N(INDEX(art_price,MATCH(H1970,art_ref,0)))=0,"",N(INDEX(art_price,MATCH(H1970,art_ref,0)))),IF(N(INDEX(art_cost,MATCH(H1970,art_ref,0)))=0,"",N(INDEX(art_cost,MATCH(H1970,art_ref,0))))),""))</f>
        <v/>
      </c>
      <c r="V1970" s="64" t="str">
        <f>IF(OR(U1970="",NOT(ISNUMBER(L1970))),"",IF(L1970&lt;=0,"",ROUND(L1970*U1970,2)))</f>
        <v/>
      </c>
      <c r="W1970" s="60" t="str">
        <f>IF(AND(B1970&lt;&gt;"",A1970&lt;&gt;"BS",F1970&lt;&gt;"",H1970&lt;&gt;"",ISNUMBER(K1970),ISNUMBER(L1970)),IF(AND(K1970&gt;0,L1970&gt;0,K1970-L1970&gt;0,COUNTIFS(A1971:A$2005,A1970,F1971:F$2005,F1970,H1971:H$2005,H1970,AA1971:AA$2005,"&gt;0")=0),ROUND(K1970-L1970,6),""),"")</f>
        <v/>
      </c>
      <c r="X1970" s="60" t="str">
        <f>IF(AND(A1970="",C1970="",D1970="",H1970="",L1970=""),"",IF(A1970="","Type manquant",IF(AND(A1970&lt;&gt;"BL",A1970&lt;&gt;"BR",A1970&lt;&gt;"BS"),"Type inconnu (BL, BR ou BS)",IF(AG1970=0,"Date manquante ou invalide",IF(D1970="",IF(A1970="BL","Client manquant",IF(A1970="BR","Fournisseur manquant","Service manquant")),IF(IF(A1970="BL",ISNA(MATCH(D1970,cl_code,0)),IF(A1970="BR",ISNA(MATCH(D1970,fo_code,0)),ISNA(MATCH(D1970,p_services,0)))),IF(A1970="BL","Client inconnu",IF(A1970="BR","Fournisseur inconnu","Service inconnu")),IF(H1970="","Article manquant",IF(ISNA(MATCH(H1970,art_ref,0)),"Article inconnu",IF(OR(NOT(ISNUMBER(L1970)),N(L1970)&lt;=0),"Quantité invalide",IF(AND(K1970&lt;&gt;"",OR(NOT(ISNUMBER(K1970)),N(K1970)&lt;=0)),"Qté commandée invalide",IF(AG1970&lt;SUMPRODUCT(MAX((A$6:A1969=A1970)*AG$6:AG1969)),"Date antérieure au bon précédent",IF(AND(A1970&lt;&gt;"BR",ISNUMBER(M1970),N(M1970)&gt;0),IF(A1970="BL","Livré plus que commandé","Sorti plus que demandé"),"OK"))))))))))))</f>
        <v/>
      </c>
      <c r="Y1970" s="57" t="str">
        <f>IF(AND(OR(A1970="BL",A1970="BR",A1970="BS"),AG1970&gt;0,D1970&lt;&gt;""),A1970&amp;"|"&amp;AG1970&amp;"|"&amp;D1970&amp;"|"&amp;F1970,"")</f>
        <v/>
      </c>
      <c r="Z1970" s="57" t="str">
        <f>IF(Y1970="","",IF(COUNTIF(Y$6:Y1969,Y1970)=0,1,0))</f>
        <v/>
      </c>
      <c r="AA1970" s="57" t="str">
        <f>IF(Y1970="","",IF(Z1970=1,COUNTIFS(A$6:A1970,A1970,Z$6:Z1970,1),INDEX(AA$6:AA1969,MATCH(Y1970,Y$6:Y1969,0))))</f>
        <v/>
      </c>
      <c r="AB1970" s="57" t="str">
        <f>IF(B1970="","",COUNTIF(B$6:B1970,B1970))</f>
        <v/>
      </c>
      <c r="AC1970" s="57" t="str">
        <f>IF(B1970="","",B1970&amp;"#"&amp;AB1970)</f>
        <v/>
      </c>
      <c r="AD1970" s="57" t="str">
        <f>IF(Z1970=1,A1970&amp;AA1970,"")</f>
        <v/>
      </c>
      <c r="AE1970" s="57" t="str">
        <f>IF(B1970="","",YEAR(C1970))</f>
        <v/>
      </c>
      <c r="AF1970" s="57" t="str">
        <f>IF(B1970="","",MONTH(C1970))</f>
        <v/>
      </c>
      <c r="AG1970" s="57">
        <f>IF(ISNUMBER(C1970),C1970,0)</f>
        <v>0.0</v>
      </c>
      <c r="AH1970" s="57" t="str">
        <f>IF(N(W1970)&gt;0,COUNTIF(W$6:W1970,"&gt;0"),"")</f>
        <v/>
      </c>
      <c r="AI1970" s="57" t="str">
        <f>IF(Z1970=1,COUNTIF(Z$6:Z1970,1),"")</f>
        <v/>
      </c>
    </row>
    <row r="1971">
      <c r="A1971" s="54" t="n"/>
      <c r="B1971" s="55" t="str">
        <f>IF(AA1971="","",A1971&amp;"-"&amp;RIGHT("000"&amp;AA1971,4))</f>
        <v/>
      </c>
      <c r="C1971" s="56" t="n"/>
      <c r="D1971" s="54" t="n"/>
      <c r="E1971" s="57" t="str">
        <f>IF(D1971="","",IF(A1971="BL",IFERROR(INDEX(cl_name,MATCH(D1971,cl_code,0))&amp;"","Client inconnu"),IF(A1971="BR",IFERROR(INDEX(fo_name,MATCH(D1971,fo_code,0))&amp;"","Fournisseur inconnu"),IF(A1971="BS",IF(ISNA(MATCH(D1971,p_services,0)),"Service inconnu",D1971&amp;""),""))))</f>
        <v/>
      </c>
      <c r="F1971" s="58" t="n"/>
      <c r="G1971" s="58" t="n"/>
      <c r="H1971" s="59" t="n"/>
      <c r="I1971" s="57" t="str">
        <f>IF(H1971="","",IFERROR(INDEX(art_des,MATCH(H1971,art_ref,0))&amp;"","Article inconnu"))</f>
        <v/>
      </c>
      <c r="J1971" s="60" t="str">
        <f>IF(H1971="","",IFERROR(INDEX(art_unit,MATCH(H1971,art_ref,0))&amp;"",""))</f>
        <v/>
      </c>
      <c r="K1971" s="59" t="n"/>
      <c r="L1971" s="59" t="n"/>
      <c r="M1971" s="61" t="str">
        <f>IF(OR(B1971="",NOT(ISNUMBER(K1971)),NOT(ISNUMBER(L1971))),"",IF(OR(K1971&lt;=0,L1971&lt;=0),"",ROUND(L1971-K1971,6)))</f>
        <v/>
      </c>
      <c r="N1971" s="58" t="n"/>
      <c r="O1971" s="62" t="n"/>
      <c r="P1971" s="63" t="str">
        <f>IF(OR(B1971="",NOT(ISNUMBER(L1971))),"",IF(L1971&lt;=0,"",IFERROR(ROUND(L1971*N(INDEX(art_w,MATCH(H1971,art_ref,0))),3),"")))</f>
        <v/>
      </c>
      <c r="Q1971" s="59" t="n"/>
      <c r="R1971" s="54" t="n"/>
      <c r="S1971" s="59" t="n"/>
      <c r="T1971" s="59" t="n"/>
      <c r="U1971" s="64" t="str">
        <f>IF(OR(B1971="",H1971=""),"",IFERROR(IF(A1971="BL",IF(N(INDEX(art_price,MATCH(H1971,art_ref,0)))=0,"",N(INDEX(art_price,MATCH(H1971,art_ref,0)))),IF(N(INDEX(art_cost,MATCH(H1971,art_ref,0)))=0,"",N(INDEX(art_cost,MATCH(H1971,art_ref,0))))),""))</f>
        <v/>
      </c>
      <c r="V1971" s="64" t="str">
        <f>IF(OR(U1971="",NOT(ISNUMBER(L1971))),"",IF(L1971&lt;=0,"",ROUND(L1971*U1971,2)))</f>
        <v/>
      </c>
      <c r="W1971" s="60" t="str">
        <f>IF(AND(B1971&lt;&gt;"",A1971&lt;&gt;"BS",F1971&lt;&gt;"",H1971&lt;&gt;"",ISNUMBER(K1971),ISNUMBER(L1971)),IF(AND(K1971&gt;0,L1971&gt;0,K1971-L1971&gt;0,COUNTIFS(A1972:A$2005,A1971,F1972:F$2005,F1971,H1972:H$2005,H1971,AA1972:AA$2005,"&gt;0")=0),ROUND(K1971-L1971,6),""),"")</f>
        <v/>
      </c>
      <c r="X1971" s="60" t="str">
        <f>IF(AND(A1971="",C1971="",D1971="",H1971="",L1971=""),"",IF(A1971="","Type manquant",IF(AND(A1971&lt;&gt;"BL",A1971&lt;&gt;"BR",A1971&lt;&gt;"BS"),"Type inconnu (BL, BR ou BS)",IF(AG1971=0,"Date manquante ou invalide",IF(D1971="",IF(A1971="BL","Client manquant",IF(A1971="BR","Fournisseur manquant","Service manquant")),IF(IF(A1971="BL",ISNA(MATCH(D1971,cl_code,0)),IF(A1971="BR",ISNA(MATCH(D1971,fo_code,0)),ISNA(MATCH(D1971,p_services,0)))),IF(A1971="BL","Client inconnu",IF(A1971="BR","Fournisseur inconnu","Service inconnu")),IF(H1971="","Article manquant",IF(ISNA(MATCH(H1971,art_ref,0)),"Article inconnu",IF(OR(NOT(ISNUMBER(L1971)),N(L1971)&lt;=0),"Quantité invalide",IF(AND(K1971&lt;&gt;"",OR(NOT(ISNUMBER(K1971)),N(K1971)&lt;=0)),"Qté commandée invalide",IF(AG1971&lt;SUMPRODUCT(MAX((A$6:A1970=A1971)*AG$6:AG1970)),"Date antérieure au bon précédent",IF(AND(A1971&lt;&gt;"BR",ISNUMBER(M1971),N(M1971)&gt;0),IF(A1971="BL","Livré plus que commandé","Sorti plus que demandé"),"OK"))))))))))))</f>
        <v/>
      </c>
      <c r="Y1971" s="57" t="str">
        <f>IF(AND(OR(A1971="BL",A1971="BR",A1971="BS"),AG1971&gt;0,D1971&lt;&gt;""),A1971&amp;"|"&amp;AG1971&amp;"|"&amp;D1971&amp;"|"&amp;F1971,"")</f>
        <v/>
      </c>
      <c r="Z1971" s="57" t="str">
        <f>IF(Y1971="","",IF(COUNTIF(Y$6:Y1970,Y1971)=0,1,0))</f>
        <v/>
      </c>
      <c r="AA1971" s="57" t="str">
        <f>IF(Y1971="","",IF(Z1971=1,COUNTIFS(A$6:A1971,A1971,Z$6:Z1971,1),INDEX(AA$6:AA1970,MATCH(Y1971,Y$6:Y1970,0))))</f>
        <v/>
      </c>
      <c r="AB1971" s="57" t="str">
        <f>IF(B1971="","",COUNTIF(B$6:B1971,B1971))</f>
        <v/>
      </c>
      <c r="AC1971" s="57" t="str">
        <f>IF(B1971="","",B1971&amp;"#"&amp;AB1971)</f>
        <v/>
      </c>
      <c r="AD1971" s="57" t="str">
        <f>IF(Z1971=1,A1971&amp;AA1971,"")</f>
        <v/>
      </c>
      <c r="AE1971" s="57" t="str">
        <f>IF(B1971="","",YEAR(C1971))</f>
        <v/>
      </c>
      <c r="AF1971" s="57" t="str">
        <f>IF(B1971="","",MONTH(C1971))</f>
        <v/>
      </c>
      <c r="AG1971" s="57">
        <f>IF(ISNUMBER(C1971),C1971,0)</f>
        <v>0.0</v>
      </c>
      <c r="AH1971" s="57" t="str">
        <f>IF(N(W1971)&gt;0,COUNTIF(W$6:W1971,"&gt;0"),"")</f>
        <v/>
      </c>
      <c r="AI1971" s="57" t="str">
        <f>IF(Z1971=1,COUNTIF(Z$6:Z1971,1),"")</f>
        <v/>
      </c>
    </row>
    <row r="1972">
      <c r="A1972" s="54" t="n"/>
      <c r="B1972" s="55" t="str">
        <f>IF(AA1972="","",A1972&amp;"-"&amp;RIGHT("000"&amp;AA1972,4))</f>
        <v/>
      </c>
      <c r="C1972" s="56" t="n"/>
      <c r="D1972" s="54" t="n"/>
      <c r="E1972" s="57" t="str">
        <f>IF(D1972="","",IF(A1972="BL",IFERROR(INDEX(cl_name,MATCH(D1972,cl_code,0))&amp;"","Client inconnu"),IF(A1972="BR",IFERROR(INDEX(fo_name,MATCH(D1972,fo_code,0))&amp;"","Fournisseur inconnu"),IF(A1972="BS",IF(ISNA(MATCH(D1972,p_services,0)),"Service inconnu",D1972&amp;""),""))))</f>
        <v/>
      </c>
      <c r="F1972" s="58" t="n"/>
      <c r="G1972" s="58" t="n"/>
      <c r="H1972" s="59" t="n"/>
      <c r="I1972" s="57" t="str">
        <f>IF(H1972="","",IFERROR(INDEX(art_des,MATCH(H1972,art_ref,0))&amp;"","Article inconnu"))</f>
        <v/>
      </c>
      <c r="J1972" s="60" t="str">
        <f>IF(H1972="","",IFERROR(INDEX(art_unit,MATCH(H1972,art_ref,0))&amp;"",""))</f>
        <v/>
      </c>
      <c r="K1972" s="59" t="n"/>
      <c r="L1972" s="59" t="n"/>
      <c r="M1972" s="61" t="str">
        <f>IF(OR(B1972="",NOT(ISNUMBER(K1972)),NOT(ISNUMBER(L1972))),"",IF(OR(K1972&lt;=0,L1972&lt;=0),"",ROUND(L1972-K1972,6)))</f>
        <v/>
      </c>
      <c r="N1972" s="58" t="n"/>
      <c r="O1972" s="62" t="n"/>
      <c r="P1972" s="63" t="str">
        <f>IF(OR(B1972="",NOT(ISNUMBER(L1972))),"",IF(L1972&lt;=0,"",IFERROR(ROUND(L1972*N(INDEX(art_w,MATCH(H1972,art_ref,0))),3),"")))</f>
        <v/>
      </c>
      <c r="Q1972" s="59" t="n"/>
      <c r="R1972" s="54" t="n"/>
      <c r="S1972" s="59" t="n"/>
      <c r="T1972" s="59" t="n"/>
      <c r="U1972" s="64" t="str">
        <f>IF(OR(B1972="",H1972=""),"",IFERROR(IF(A1972="BL",IF(N(INDEX(art_price,MATCH(H1972,art_ref,0)))=0,"",N(INDEX(art_price,MATCH(H1972,art_ref,0)))),IF(N(INDEX(art_cost,MATCH(H1972,art_ref,0)))=0,"",N(INDEX(art_cost,MATCH(H1972,art_ref,0))))),""))</f>
        <v/>
      </c>
      <c r="V1972" s="64" t="str">
        <f>IF(OR(U1972="",NOT(ISNUMBER(L1972))),"",IF(L1972&lt;=0,"",ROUND(L1972*U1972,2)))</f>
        <v/>
      </c>
      <c r="W1972" s="60" t="str">
        <f>IF(AND(B1972&lt;&gt;"",A1972&lt;&gt;"BS",F1972&lt;&gt;"",H1972&lt;&gt;"",ISNUMBER(K1972),ISNUMBER(L1972)),IF(AND(K1972&gt;0,L1972&gt;0,K1972-L1972&gt;0,COUNTIFS(A1973:A$2005,A1972,F1973:F$2005,F1972,H1973:H$2005,H1972,AA1973:AA$2005,"&gt;0")=0),ROUND(K1972-L1972,6),""),"")</f>
        <v/>
      </c>
      <c r="X1972" s="60" t="str">
        <f>IF(AND(A1972="",C1972="",D1972="",H1972="",L1972=""),"",IF(A1972="","Type manquant",IF(AND(A1972&lt;&gt;"BL",A1972&lt;&gt;"BR",A1972&lt;&gt;"BS"),"Type inconnu (BL, BR ou BS)",IF(AG1972=0,"Date manquante ou invalide",IF(D1972="",IF(A1972="BL","Client manquant",IF(A1972="BR","Fournisseur manquant","Service manquant")),IF(IF(A1972="BL",ISNA(MATCH(D1972,cl_code,0)),IF(A1972="BR",ISNA(MATCH(D1972,fo_code,0)),ISNA(MATCH(D1972,p_services,0)))),IF(A1972="BL","Client inconnu",IF(A1972="BR","Fournisseur inconnu","Service inconnu")),IF(H1972="","Article manquant",IF(ISNA(MATCH(H1972,art_ref,0)),"Article inconnu",IF(OR(NOT(ISNUMBER(L1972)),N(L1972)&lt;=0),"Quantité invalide",IF(AND(K1972&lt;&gt;"",OR(NOT(ISNUMBER(K1972)),N(K1972)&lt;=0)),"Qté commandée invalide",IF(AG1972&lt;SUMPRODUCT(MAX((A$6:A1971=A1972)*AG$6:AG1971)),"Date antérieure au bon précédent",IF(AND(A1972&lt;&gt;"BR",ISNUMBER(M1972),N(M1972)&gt;0),IF(A1972="BL","Livré plus que commandé","Sorti plus que demandé"),"OK"))))))))))))</f>
        <v/>
      </c>
      <c r="Y1972" s="57" t="str">
        <f>IF(AND(OR(A1972="BL",A1972="BR",A1972="BS"),AG1972&gt;0,D1972&lt;&gt;""),A1972&amp;"|"&amp;AG1972&amp;"|"&amp;D1972&amp;"|"&amp;F1972,"")</f>
        <v/>
      </c>
      <c r="Z1972" s="57" t="str">
        <f>IF(Y1972="","",IF(COUNTIF(Y$6:Y1971,Y1972)=0,1,0))</f>
        <v/>
      </c>
      <c r="AA1972" s="57" t="str">
        <f>IF(Y1972="","",IF(Z1972=1,COUNTIFS(A$6:A1972,A1972,Z$6:Z1972,1),INDEX(AA$6:AA1971,MATCH(Y1972,Y$6:Y1971,0))))</f>
        <v/>
      </c>
      <c r="AB1972" s="57" t="str">
        <f>IF(B1972="","",COUNTIF(B$6:B1972,B1972))</f>
        <v/>
      </c>
      <c r="AC1972" s="57" t="str">
        <f>IF(B1972="","",B1972&amp;"#"&amp;AB1972)</f>
        <v/>
      </c>
      <c r="AD1972" s="57" t="str">
        <f>IF(Z1972=1,A1972&amp;AA1972,"")</f>
        <v/>
      </c>
      <c r="AE1972" s="57" t="str">
        <f>IF(B1972="","",YEAR(C1972))</f>
        <v/>
      </c>
      <c r="AF1972" s="57" t="str">
        <f>IF(B1972="","",MONTH(C1972))</f>
        <v/>
      </c>
      <c r="AG1972" s="57">
        <f>IF(ISNUMBER(C1972),C1972,0)</f>
        <v>0.0</v>
      </c>
      <c r="AH1972" s="57" t="str">
        <f>IF(N(W1972)&gt;0,COUNTIF(W$6:W1972,"&gt;0"),"")</f>
        <v/>
      </c>
      <c r="AI1972" s="57" t="str">
        <f>IF(Z1972=1,COUNTIF(Z$6:Z1972,1),"")</f>
        <v/>
      </c>
    </row>
    <row r="1973">
      <c r="A1973" s="54" t="n"/>
      <c r="B1973" s="55" t="str">
        <f>IF(AA1973="","",A1973&amp;"-"&amp;RIGHT("000"&amp;AA1973,4))</f>
        <v/>
      </c>
      <c r="C1973" s="56" t="n"/>
      <c r="D1973" s="54" t="n"/>
      <c r="E1973" s="57" t="str">
        <f>IF(D1973="","",IF(A1973="BL",IFERROR(INDEX(cl_name,MATCH(D1973,cl_code,0))&amp;"","Client inconnu"),IF(A1973="BR",IFERROR(INDEX(fo_name,MATCH(D1973,fo_code,0))&amp;"","Fournisseur inconnu"),IF(A1973="BS",IF(ISNA(MATCH(D1973,p_services,0)),"Service inconnu",D1973&amp;""),""))))</f>
        <v/>
      </c>
      <c r="F1973" s="58" t="n"/>
      <c r="G1973" s="58" t="n"/>
      <c r="H1973" s="59" t="n"/>
      <c r="I1973" s="57" t="str">
        <f>IF(H1973="","",IFERROR(INDEX(art_des,MATCH(H1973,art_ref,0))&amp;"","Article inconnu"))</f>
        <v/>
      </c>
      <c r="J1973" s="60" t="str">
        <f>IF(H1973="","",IFERROR(INDEX(art_unit,MATCH(H1973,art_ref,0))&amp;"",""))</f>
        <v/>
      </c>
      <c r="K1973" s="59" t="n"/>
      <c r="L1973" s="59" t="n"/>
      <c r="M1973" s="61" t="str">
        <f>IF(OR(B1973="",NOT(ISNUMBER(K1973)),NOT(ISNUMBER(L1973))),"",IF(OR(K1973&lt;=0,L1973&lt;=0),"",ROUND(L1973-K1973,6)))</f>
        <v/>
      </c>
      <c r="N1973" s="58" t="n"/>
      <c r="O1973" s="62" t="n"/>
      <c r="P1973" s="63" t="str">
        <f>IF(OR(B1973="",NOT(ISNUMBER(L1973))),"",IF(L1973&lt;=0,"",IFERROR(ROUND(L1973*N(INDEX(art_w,MATCH(H1973,art_ref,0))),3),"")))</f>
        <v/>
      </c>
      <c r="Q1973" s="59" t="n"/>
      <c r="R1973" s="54" t="n"/>
      <c r="S1973" s="59" t="n"/>
      <c r="T1973" s="59" t="n"/>
      <c r="U1973" s="64" t="str">
        <f>IF(OR(B1973="",H1973=""),"",IFERROR(IF(A1973="BL",IF(N(INDEX(art_price,MATCH(H1973,art_ref,0)))=0,"",N(INDEX(art_price,MATCH(H1973,art_ref,0)))),IF(N(INDEX(art_cost,MATCH(H1973,art_ref,0)))=0,"",N(INDEX(art_cost,MATCH(H1973,art_ref,0))))),""))</f>
        <v/>
      </c>
      <c r="V1973" s="64" t="str">
        <f>IF(OR(U1973="",NOT(ISNUMBER(L1973))),"",IF(L1973&lt;=0,"",ROUND(L1973*U1973,2)))</f>
        <v/>
      </c>
      <c r="W1973" s="60" t="str">
        <f>IF(AND(B1973&lt;&gt;"",A1973&lt;&gt;"BS",F1973&lt;&gt;"",H1973&lt;&gt;"",ISNUMBER(K1973),ISNUMBER(L1973)),IF(AND(K1973&gt;0,L1973&gt;0,K1973-L1973&gt;0,COUNTIFS(A1974:A$2005,A1973,F1974:F$2005,F1973,H1974:H$2005,H1973,AA1974:AA$2005,"&gt;0")=0),ROUND(K1973-L1973,6),""),"")</f>
        <v/>
      </c>
      <c r="X1973" s="60" t="str">
        <f>IF(AND(A1973="",C1973="",D1973="",H1973="",L1973=""),"",IF(A1973="","Type manquant",IF(AND(A1973&lt;&gt;"BL",A1973&lt;&gt;"BR",A1973&lt;&gt;"BS"),"Type inconnu (BL, BR ou BS)",IF(AG1973=0,"Date manquante ou invalide",IF(D1973="",IF(A1973="BL","Client manquant",IF(A1973="BR","Fournisseur manquant","Service manquant")),IF(IF(A1973="BL",ISNA(MATCH(D1973,cl_code,0)),IF(A1973="BR",ISNA(MATCH(D1973,fo_code,0)),ISNA(MATCH(D1973,p_services,0)))),IF(A1973="BL","Client inconnu",IF(A1973="BR","Fournisseur inconnu","Service inconnu")),IF(H1973="","Article manquant",IF(ISNA(MATCH(H1973,art_ref,0)),"Article inconnu",IF(OR(NOT(ISNUMBER(L1973)),N(L1973)&lt;=0),"Quantité invalide",IF(AND(K1973&lt;&gt;"",OR(NOT(ISNUMBER(K1973)),N(K1973)&lt;=0)),"Qté commandée invalide",IF(AG1973&lt;SUMPRODUCT(MAX((A$6:A1972=A1973)*AG$6:AG1972)),"Date antérieure au bon précédent",IF(AND(A1973&lt;&gt;"BR",ISNUMBER(M1973),N(M1973)&gt;0),IF(A1973="BL","Livré plus que commandé","Sorti plus que demandé"),"OK"))))))))))))</f>
        <v/>
      </c>
      <c r="Y1973" s="57" t="str">
        <f>IF(AND(OR(A1973="BL",A1973="BR",A1973="BS"),AG1973&gt;0,D1973&lt;&gt;""),A1973&amp;"|"&amp;AG1973&amp;"|"&amp;D1973&amp;"|"&amp;F1973,"")</f>
        <v/>
      </c>
      <c r="Z1973" s="57" t="str">
        <f>IF(Y1973="","",IF(COUNTIF(Y$6:Y1972,Y1973)=0,1,0))</f>
        <v/>
      </c>
      <c r="AA1973" s="57" t="str">
        <f>IF(Y1973="","",IF(Z1973=1,COUNTIFS(A$6:A1973,A1973,Z$6:Z1973,1),INDEX(AA$6:AA1972,MATCH(Y1973,Y$6:Y1972,0))))</f>
        <v/>
      </c>
      <c r="AB1973" s="57" t="str">
        <f>IF(B1973="","",COUNTIF(B$6:B1973,B1973))</f>
        <v/>
      </c>
      <c r="AC1973" s="57" t="str">
        <f>IF(B1973="","",B1973&amp;"#"&amp;AB1973)</f>
        <v/>
      </c>
      <c r="AD1973" s="57" t="str">
        <f>IF(Z1973=1,A1973&amp;AA1973,"")</f>
        <v/>
      </c>
      <c r="AE1973" s="57" t="str">
        <f>IF(B1973="","",YEAR(C1973))</f>
        <v/>
      </c>
      <c r="AF1973" s="57" t="str">
        <f>IF(B1973="","",MONTH(C1973))</f>
        <v/>
      </c>
      <c r="AG1973" s="57">
        <f>IF(ISNUMBER(C1973),C1973,0)</f>
        <v>0.0</v>
      </c>
      <c r="AH1973" s="57" t="str">
        <f>IF(N(W1973)&gt;0,COUNTIF(W$6:W1973,"&gt;0"),"")</f>
        <v/>
      </c>
      <c r="AI1973" s="57" t="str">
        <f>IF(Z1973=1,COUNTIF(Z$6:Z1973,1),"")</f>
        <v/>
      </c>
    </row>
    <row r="1974">
      <c r="A1974" s="54" t="n"/>
      <c r="B1974" s="55" t="str">
        <f>IF(AA1974="","",A1974&amp;"-"&amp;RIGHT("000"&amp;AA1974,4))</f>
        <v/>
      </c>
      <c r="C1974" s="56" t="n"/>
      <c r="D1974" s="54" t="n"/>
      <c r="E1974" s="57" t="str">
        <f>IF(D1974="","",IF(A1974="BL",IFERROR(INDEX(cl_name,MATCH(D1974,cl_code,0))&amp;"","Client inconnu"),IF(A1974="BR",IFERROR(INDEX(fo_name,MATCH(D1974,fo_code,0))&amp;"","Fournisseur inconnu"),IF(A1974="BS",IF(ISNA(MATCH(D1974,p_services,0)),"Service inconnu",D1974&amp;""),""))))</f>
        <v/>
      </c>
      <c r="F1974" s="58" t="n"/>
      <c r="G1974" s="58" t="n"/>
      <c r="H1974" s="59" t="n"/>
      <c r="I1974" s="57" t="str">
        <f>IF(H1974="","",IFERROR(INDEX(art_des,MATCH(H1974,art_ref,0))&amp;"","Article inconnu"))</f>
        <v/>
      </c>
      <c r="J1974" s="60" t="str">
        <f>IF(H1974="","",IFERROR(INDEX(art_unit,MATCH(H1974,art_ref,0))&amp;"",""))</f>
        <v/>
      </c>
      <c r="K1974" s="59" t="n"/>
      <c r="L1974" s="59" t="n"/>
      <c r="M1974" s="61" t="str">
        <f>IF(OR(B1974="",NOT(ISNUMBER(K1974)),NOT(ISNUMBER(L1974))),"",IF(OR(K1974&lt;=0,L1974&lt;=0),"",ROUND(L1974-K1974,6)))</f>
        <v/>
      </c>
      <c r="N1974" s="58" t="n"/>
      <c r="O1974" s="62" t="n"/>
      <c r="P1974" s="63" t="str">
        <f>IF(OR(B1974="",NOT(ISNUMBER(L1974))),"",IF(L1974&lt;=0,"",IFERROR(ROUND(L1974*N(INDEX(art_w,MATCH(H1974,art_ref,0))),3),"")))</f>
        <v/>
      </c>
      <c r="Q1974" s="59" t="n"/>
      <c r="R1974" s="54" t="n"/>
      <c r="S1974" s="59" t="n"/>
      <c r="T1974" s="59" t="n"/>
      <c r="U1974" s="64" t="str">
        <f>IF(OR(B1974="",H1974=""),"",IFERROR(IF(A1974="BL",IF(N(INDEX(art_price,MATCH(H1974,art_ref,0)))=0,"",N(INDEX(art_price,MATCH(H1974,art_ref,0)))),IF(N(INDEX(art_cost,MATCH(H1974,art_ref,0)))=0,"",N(INDEX(art_cost,MATCH(H1974,art_ref,0))))),""))</f>
        <v/>
      </c>
      <c r="V1974" s="64" t="str">
        <f>IF(OR(U1974="",NOT(ISNUMBER(L1974))),"",IF(L1974&lt;=0,"",ROUND(L1974*U1974,2)))</f>
        <v/>
      </c>
      <c r="W1974" s="60" t="str">
        <f>IF(AND(B1974&lt;&gt;"",A1974&lt;&gt;"BS",F1974&lt;&gt;"",H1974&lt;&gt;"",ISNUMBER(K1974),ISNUMBER(L1974)),IF(AND(K1974&gt;0,L1974&gt;0,K1974-L1974&gt;0,COUNTIFS(A1975:A$2005,A1974,F1975:F$2005,F1974,H1975:H$2005,H1974,AA1975:AA$2005,"&gt;0")=0),ROUND(K1974-L1974,6),""),"")</f>
        <v/>
      </c>
      <c r="X1974" s="60" t="str">
        <f>IF(AND(A1974="",C1974="",D1974="",H1974="",L1974=""),"",IF(A1974="","Type manquant",IF(AND(A1974&lt;&gt;"BL",A1974&lt;&gt;"BR",A1974&lt;&gt;"BS"),"Type inconnu (BL, BR ou BS)",IF(AG1974=0,"Date manquante ou invalide",IF(D1974="",IF(A1974="BL","Client manquant",IF(A1974="BR","Fournisseur manquant","Service manquant")),IF(IF(A1974="BL",ISNA(MATCH(D1974,cl_code,0)),IF(A1974="BR",ISNA(MATCH(D1974,fo_code,0)),ISNA(MATCH(D1974,p_services,0)))),IF(A1974="BL","Client inconnu",IF(A1974="BR","Fournisseur inconnu","Service inconnu")),IF(H1974="","Article manquant",IF(ISNA(MATCH(H1974,art_ref,0)),"Article inconnu",IF(OR(NOT(ISNUMBER(L1974)),N(L1974)&lt;=0),"Quantité invalide",IF(AND(K1974&lt;&gt;"",OR(NOT(ISNUMBER(K1974)),N(K1974)&lt;=0)),"Qté commandée invalide",IF(AG1974&lt;SUMPRODUCT(MAX((A$6:A1973=A1974)*AG$6:AG1973)),"Date antérieure au bon précédent",IF(AND(A1974&lt;&gt;"BR",ISNUMBER(M1974),N(M1974)&gt;0),IF(A1974="BL","Livré plus que commandé","Sorti plus que demandé"),"OK"))))))))))))</f>
        <v/>
      </c>
      <c r="Y1974" s="57" t="str">
        <f>IF(AND(OR(A1974="BL",A1974="BR",A1974="BS"),AG1974&gt;0,D1974&lt;&gt;""),A1974&amp;"|"&amp;AG1974&amp;"|"&amp;D1974&amp;"|"&amp;F1974,"")</f>
        <v/>
      </c>
      <c r="Z1974" s="57" t="str">
        <f>IF(Y1974="","",IF(COUNTIF(Y$6:Y1973,Y1974)=0,1,0))</f>
        <v/>
      </c>
      <c r="AA1974" s="57" t="str">
        <f>IF(Y1974="","",IF(Z1974=1,COUNTIFS(A$6:A1974,A1974,Z$6:Z1974,1),INDEX(AA$6:AA1973,MATCH(Y1974,Y$6:Y1973,0))))</f>
        <v/>
      </c>
      <c r="AB1974" s="57" t="str">
        <f>IF(B1974="","",COUNTIF(B$6:B1974,B1974))</f>
        <v/>
      </c>
      <c r="AC1974" s="57" t="str">
        <f>IF(B1974="","",B1974&amp;"#"&amp;AB1974)</f>
        <v/>
      </c>
      <c r="AD1974" s="57" t="str">
        <f>IF(Z1974=1,A1974&amp;AA1974,"")</f>
        <v/>
      </c>
      <c r="AE1974" s="57" t="str">
        <f>IF(B1974="","",YEAR(C1974))</f>
        <v/>
      </c>
      <c r="AF1974" s="57" t="str">
        <f>IF(B1974="","",MONTH(C1974))</f>
        <v/>
      </c>
      <c r="AG1974" s="57">
        <f>IF(ISNUMBER(C1974),C1974,0)</f>
        <v>0.0</v>
      </c>
      <c r="AH1974" s="57" t="str">
        <f>IF(N(W1974)&gt;0,COUNTIF(W$6:W1974,"&gt;0"),"")</f>
        <v/>
      </c>
      <c r="AI1974" s="57" t="str">
        <f>IF(Z1974=1,COUNTIF(Z$6:Z1974,1),"")</f>
        <v/>
      </c>
    </row>
    <row r="1975">
      <c r="A1975" s="54" t="n"/>
      <c r="B1975" s="55" t="str">
        <f>IF(AA1975="","",A1975&amp;"-"&amp;RIGHT("000"&amp;AA1975,4))</f>
        <v/>
      </c>
      <c r="C1975" s="56" t="n"/>
      <c r="D1975" s="54" t="n"/>
      <c r="E1975" s="57" t="str">
        <f>IF(D1975="","",IF(A1975="BL",IFERROR(INDEX(cl_name,MATCH(D1975,cl_code,0))&amp;"","Client inconnu"),IF(A1975="BR",IFERROR(INDEX(fo_name,MATCH(D1975,fo_code,0))&amp;"","Fournisseur inconnu"),IF(A1975="BS",IF(ISNA(MATCH(D1975,p_services,0)),"Service inconnu",D1975&amp;""),""))))</f>
        <v/>
      </c>
      <c r="F1975" s="58" t="n"/>
      <c r="G1975" s="58" t="n"/>
      <c r="H1975" s="59" t="n"/>
      <c r="I1975" s="57" t="str">
        <f>IF(H1975="","",IFERROR(INDEX(art_des,MATCH(H1975,art_ref,0))&amp;"","Article inconnu"))</f>
        <v/>
      </c>
      <c r="J1975" s="60" t="str">
        <f>IF(H1975="","",IFERROR(INDEX(art_unit,MATCH(H1975,art_ref,0))&amp;"",""))</f>
        <v/>
      </c>
      <c r="K1975" s="59" t="n"/>
      <c r="L1975" s="59" t="n"/>
      <c r="M1975" s="61" t="str">
        <f>IF(OR(B1975="",NOT(ISNUMBER(K1975)),NOT(ISNUMBER(L1975))),"",IF(OR(K1975&lt;=0,L1975&lt;=0),"",ROUND(L1975-K1975,6)))</f>
        <v/>
      </c>
      <c r="N1975" s="58" t="n"/>
      <c r="O1975" s="62" t="n"/>
      <c r="P1975" s="63" t="str">
        <f>IF(OR(B1975="",NOT(ISNUMBER(L1975))),"",IF(L1975&lt;=0,"",IFERROR(ROUND(L1975*N(INDEX(art_w,MATCH(H1975,art_ref,0))),3),"")))</f>
        <v/>
      </c>
      <c r="Q1975" s="59" t="n"/>
      <c r="R1975" s="54" t="n"/>
      <c r="S1975" s="59" t="n"/>
      <c r="T1975" s="59" t="n"/>
      <c r="U1975" s="64" t="str">
        <f>IF(OR(B1975="",H1975=""),"",IFERROR(IF(A1975="BL",IF(N(INDEX(art_price,MATCH(H1975,art_ref,0)))=0,"",N(INDEX(art_price,MATCH(H1975,art_ref,0)))),IF(N(INDEX(art_cost,MATCH(H1975,art_ref,0)))=0,"",N(INDEX(art_cost,MATCH(H1975,art_ref,0))))),""))</f>
        <v/>
      </c>
      <c r="V1975" s="64" t="str">
        <f>IF(OR(U1975="",NOT(ISNUMBER(L1975))),"",IF(L1975&lt;=0,"",ROUND(L1975*U1975,2)))</f>
        <v/>
      </c>
      <c r="W1975" s="60" t="str">
        <f>IF(AND(B1975&lt;&gt;"",A1975&lt;&gt;"BS",F1975&lt;&gt;"",H1975&lt;&gt;"",ISNUMBER(K1975),ISNUMBER(L1975)),IF(AND(K1975&gt;0,L1975&gt;0,K1975-L1975&gt;0,COUNTIFS(A1976:A$2005,A1975,F1976:F$2005,F1975,H1976:H$2005,H1975,AA1976:AA$2005,"&gt;0")=0),ROUND(K1975-L1975,6),""),"")</f>
        <v/>
      </c>
      <c r="X1975" s="60" t="str">
        <f>IF(AND(A1975="",C1975="",D1975="",H1975="",L1975=""),"",IF(A1975="","Type manquant",IF(AND(A1975&lt;&gt;"BL",A1975&lt;&gt;"BR",A1975&lt;&gt;"BS"),"Type inconnu (BL, BR ou BS)",IF(AG1975=0,"Date manquante ou invalide",IF(D1975="",IF(A1975="BL","Client manquant",IF(A1975="BR","Fournisseur manquant","Service manquant")),IF(IF(A1975="BL",ISNA(MATCH(D1975,cl_code,0)),IF(A1975="BR",ISNA(MATCH(D1975,fo_code,0)),ISNA(MATCH(D1975,p_services,0)))),IF(A1975="BL","Client inconnu",IF(A1975="BR","Fournisseur inconnu","Service inconnu")),IF(H1975="","Article manquant",IF(ISNA(MATCH(H1975,art_ref,0)),"Article inconnu",IF(OR(NOT(ISNUMBER(L1975)),N(L1975)&lt;=0),"Quantité invalide",IF(AND(K1975&lt;&gt;"",OR(NOT(ISNUMBER(K1975)),N(K1975)&lt;=0)),"Qté commandée invalide",IF(AG1975&lt;SUMPRODUCT(MAX((A$6:A1974=A1975)*AG$6:AG1974)),"Date antérieure au bon précédent",IF(AND(A1975&lt;&gt;"BR",ISNUMBER(M1975),N(M1975)&gt;0),IF(A1975="BL","Livré plus que commandé","Sorti plus que demandé"),"OK"))))))))))))</f>
        <v/>
      </c>
      <c r="Y1975" s="57" t="str">
        <f>IF(AND(OR(A1975="BL",A1975="BR",A1975="BS"),AG1975&gt;0,D1975&lt;&gt;""),A1975&amp;"|"&amp;AG1975&amp;"|"&amp;D1975&amp;"|"&amp;F1975,"")</f>
        <v/>
      </c>
      <c r="Z1975" s="57" t="str">
        <f>IF(Y1975="","",IF(COUNTIF(Y$6:Y1974,Y1975)=0,1,0))</f>
        <v/>
      </c>
      <c r="AA1975" s="57" t="str">
        <f>IF(Y1975="","",IF(Z1975=1,COUNTIFS(A$6:A1975,A1975,Z$6:Z1975,1),INDEX(AA$6:AA1974,MATCH(Y1975,Y$6:Y1974,0))))</f>
        <v/>
      </c>
      <c r="AB1975" s="57" t="str">
        <f>IF(B1975="","",COUNTIF(B$6:B1975,B1975))</f>
        <v/>
      </c>
      <c r="AC1975" s="57" t="str">
        <f>IF(B1975="","",B1975&amp;"#"&amp;AB1975)</f>
        <v/>
      </c>
      <c r="AD1975" s="57" t="str">
        <f>IF(Z1975=1,A1975&amp;AA1975,"")</f>
        <v/>
      </c>
      <c r="AE1975" s="57" t="str">
        <f>IF(B1975="","",YEAR(C1975))</f>
        <v/>
      </c>
      <c r="AF1975" s="57" t="str">
        <f>IF(B1975="","",MONTH(C1975))</f>
        <v/>
      </c>
      <c r="AG1975" s="57">
        <f>IF(ISNUMBER(C1975),C1975,0)</f>
        <v>0.0</v>
      </c>
      <c r="AH1975" s="57" t="str">
        <f>IF(N(W1975)&gt;0,COUNTIF(W$6:W1975,"&gt;0"),"")</f>
        <v/>
      </c>
      <c r="AI1975" s="57" t="str">
        <f>IF(Z1975=1,COUNTIF(Z$6:Z1975,1),"")</f>
        <v/>
      </c>
    </row>
    <row r="1976">
      <c r="A1976" s="54" t="n"/>
      <c r="B1976" s="55" t="str">
        <f>IF(AA1976="","",A1976&amp;"-"&amp;RIGHT("000"&amp;AA1976,4))</f>
        <v/>
      </c>
      <c r="C1976" s="56" t="n"/>
      <c r="D1976" s="54" t="n"/>
      <c r="E1976" s="57" t="str">
        <f>IF(D1976="","",IF(A1976="BL",IFERROR(INDEX(cl_name,MATCH(D1976,cl_code,0))&amp;"","Client inconnu"),IF(A1976="BR",IFERROR(INDEX(fo_name,MATCH(D1976,fo_code,0))&amp;"","Fournisseur inconnu"),IF(A1976="BS",IF(ISNA(MATCH(D1976,p_services,0)),"Service inconnu",D1976&amp;""),""))))</f>
        <v/>
      </c>
      <c r="F1976" s="58" t="n"/>
      <c r="G1976" s="58" t="n"/>
      <c r="H1976" s="59" t="n"/>
      <c r="I1976" s="57" t="str">
        <f>IF(H1976="","",IFERROR(INDEX(art_des,MATCH(H1976,art_ref,0))&amp;"","Article inconnu"))</f>
        <v/>
      </c>
      <c r="J1976" s="60" t="str">
        <f>IF(H1976="","",IFERROR(INDEX(art_unit,MATCH(H1976,art_ref,0))&amp;"",""))</f>
        <v/>
      </c>
      <c r="K1976" s="59" t="n"/>
      <c r="L1976" s="59" t="n"/>
      <c r="M1976" s="61" t="str">
        <f>IF(OR(B1976="",NOT(ISNUMBER(K1976)),NOT(ISNUMBER(L1976))),"",IF(OR(K1976&lt;=0,L1976&lt;=0),"",ROUND(L1976-K1976,6)))</f>
        <v/>
      </c>
      <c r="N1976" s="58" t="n"/>
      <c r="O1976" s="62" t="n"/>
      <c r="P1976" s="63" t="str">
        <f>IF(OR(B1976="",NOT(ISNUMBER(L1976))),"",IF(L1976&lt;=0,"",IFERROR(ROUND(L1976*N(INDEX(art_w,MATCH(H1976,art_ref,0))),3),"")))</f>
        <v/>
      </c>
      <c r="Q1976" s="59" t="n"/>
      <c r="R1976" s="54" t="n"/>
      <c r="S1976" s="59" t="n"/>
      <c r="T1976" s="59" t="n"/>
      <c r="U1976" s="64" t="str">
        <f>IF(OR(B1976="",H1976=""),"",IFERROR(IF(A1976="BL",IF(N(INDEX(art_price,MATCH(H1976,art_ref,0)))=0,"",N(INDEX(art_price,MATCH(H1976,art_ref,0)))),IF(N(INDEX(art_cost,MATCH(H1976,art_ref,0)))=0,"",N(INDEX(art_cost,MATCH(H1976,art_ref,0))))),""))</f>
        <v/>
      </c>
      <c r="V1976" s="64" t="str">
        <f>IF(OR(U1976="",NOT(ISNUMBER(L1976))),"",IF(L1976&lt;=0,"",ROUND(L1976*U1976,2)))</f>
        <v/>
      </c>
      <c r="W1976" s="60" t="str">
        <f>IF(AND(B1976&lt;&gt;"",A1976&lt;&gt;"BS",F1976&lt;&gt;"",H1976&lt;&gt;"",ISNUMBER(K1976),ISNUMBER(L1976)),IF(AND(K1976&gt;0,L1976&gt;0,K1976-L1976&gt;0,COUNTIFS(A1977:A$2005,A1976,F1977:F$2005,F1976,H1977:H$2005,H1976,AA1977:AA$2005,"&gt;0")=0),ROUND(K1976-L1976,6),""),"")</f>
        <v/>
      </c>
      <c r="X1976" s="60" t="str">
        <f>IF(AND(A1976="",C1976="",D1976="",H1976="",L1976=""),"",IF(A1976="","Type manquant",IF(AND(A1976&lt;&gt;"BL",A1976&lt;&gt;"BR",A1976&lt;&gt;"BS"),"Type inconnu (BL, BR ou BS)",IF(AG1976=0,"Date manquante ou invalide",IF(D1976="",IF(A1976="BL","Client manquant",IF(A1976="BR","Fournisseur manquant","Service manquant")),IF(IF(A1976="BL",ISNA(MATCH(D1976,cl_code,0)),IF(A1976="BR",ISNA(MATCH(D1976,fo_code,0)),ISNA(MATCH(D1976,p_services,0)))),IF(A1976="BL","Client inconnu",IF(A1976="BR","Fournisseur inconnu","Service inconnu")),IF(H1976="","Article manquant",IF(ISNA(MATCH(H1976,art_ref,0)),"Article inconnu",IF(OR(NOT(ISNUMBER(L1976)),N(L1976)&lt;=0),"Quantité invalide",IF(AND(K1976&lt;&gt;"",OR(NOT(ISNUMBER(K1976)),N(K1976)&lt;=0)),"Qté commandée invalide",IF(AG1976&lt;SUMPRODUCT(MAX((A$6:A1975=A1976)*AG$6:AG1975)),"Date antérieure au bon précédent",IF(AND(A1976&lt;&gt;"BR",ISNUMBER(M1976),N(M1976)&gt;0),IF(A1976="BL","Livré plus que commandé","Sorti plus que demandé"),"OK"))))))))))))</f>
        <v/>
      </c>
      <c r="Y1976" s="57" t="str">
        <f>IF(AND(OR(A1976="BL",A1976="BR",A1976="BS"),AG1976&gt;0,D1976&lt;&gt;""),A1976&amp;"|"&amp;AG1976&amp;"|"&amp;D1976&amp;"|"&amp;F1976,"")</f>
        <v/>
      </c>
      <c r="Z1976" s="57" t="str">
        <f>IF(Y1976="","",IF(COUNTIF(Y$6:Y1975,Y1976)=0,1,0))</f>
        <v/>
      </c>
      <c r="AA1976" s="57" t="str">
        <f>IF(Y1976="","",IF(Z1976=1,COUNTIFS(A$6:A1976,A1976,Z$6:Z1976,1),INDEX(AA$6:AA1975,MATCH(Y1976,Y$6:Y1975,0))))</f>
        <v/>
      </c>
      <c r="AB1976" s="57" t="str">
        <f>IF(B1976="","",COUNTIF(B$6:B1976,B1976))</f>
        <v/>
      </c>
      <c r="AC1976" s="57" t="str">
        <f>IF(B1976="","",B1976&amp;"#"&amp;AB1976)</f>
        <v/>
      </c>
      <c r="AD1976" s="57" t="str">
        <f>IF(Z1976=1,A1976&amp;AA1976,"")</f>
        <v/>
      </c>
      <c r="AE1976" s="57" t="str">
        <f>IF(B1976="","",YEAR(C1976))</f>
        <v/>
      </c>
      <c r="AF1976" s="57" t="str">
        <f>IF(B1976="","",MONTH(C1976))</f>
        <v/>
      </c>
      <c r="AG1976" s="57">
        <f>IF(ISNUMBER(C1976),C1976,0)</f>
        <v>0.0</v>
      </c>
      <c r="AH1976" s="57" t="str">
        <f>IF(N(W1976)&gt;0,COUNTIF(W$6:W1976,"&gt;0"),"")</f>
        <v/>
      </c>
      <c r="AI1976" s="57" t="str">
        <f>IF(Z1976=1,COUNTIF(Z$6:Z1976,1),"")</f>
        <v/>
      </c>
    </row>
    <row r="1977">
      <c r="A1977" s="54" t="n"/>
      <c r="B1977" s="55" t="str">
        <f>IF(AA1977="","",A1977&amp;"-"&amp;RIGHT("000"&amp;AA1977,4))</f>
        <v/>
      </c>
      <c r="C1977" s="56" t="n"/>
      <c r="D1977" s="54" t="n"/>
      <c r="E1977" s="57" t="str">
        <f>IF(D1977="","",IF(A1977="BL",IFERROR(INDEX(cl_name,MATCH(D1977,cl_code,0))&amp;"","Client inconnu"),IF(A1977="BR",IFERROR(INDEX(fo_name,MATCH(D1977,fo_code,0))&amp;"","Fournisseur inconnu"),IF(A1977="BS",IF(ISNA(MATCH(D1977,p_services,0)),"Service inconnu",D1977&amp;""),""))))</f>
        <v/>
      </c>
      <c r="F1977" s="58" t="n"/>
      <c r="G1977" s="58" t="n"/>
      <c r="H1977" s="59" t="n"/>
      <c r="I1977" s="57" t="str">
        <f>IF(H1977="","",IFERROR(INDEX(art_des,MATCH(H1977,art_ref,0))&amp;"","Article inconnu"))</f>
        <v/>
      </c>
      <c r="J1977" s="60" t="str">
        <f>IF(H1977="","",IFERROR(INDEX(art_unit,MATCH(H1977,art_ref,0))&amp;"",""))</f>
        <v/>
      </c>
      <c r="K1977" s="59" t="n"/>
      <c r="L1977" s="59" t="n"/>
      <c r="M1977" s="61" t="str">
        <f>IF(OR(B1977="",NOT(ISNUMBER(K1977)),NOT(ISNUMBER(L1977))),"",IF(OR(K1977&lt;=0,L1977&lt;=0),"",ROUND(L1977-K1977,6)))</f>
        <v/>
      </c>
      <c r="N1977" s="58" t="n"/>
      <c r="O1977" s="62" t="n"/>
      <c r="P1977" s="63" t="str">
        <f>IF(OR(B1977="",NOT(ISNUMBER(L1977))),"",IF(L1977&lt;=0,"",IFERROR(ROUND(L1977*N(INDEX(art_w,MATCH(H1977,art_ref,0))),3),"")))</f>
        <v/>
      </c>
      <c r="Q1977" s="59" t="n"/>
      <c r="R1977" s="54" t="n"/>
      <c r="S1977" s="59" t="n"/>
      <c r="T1977" s="59" t="n"/>
      <c r="U1977" s="64" t="str">
        <f>IF(OR(B1977="",H1977=""),"",IFERROR(IF(A1977="BL",IF(N(INDEX(art_price,MATCH(H1977,art_ref,0)))=0,"",N(INDEX(art_price,MATCH(H1977,art_ref,0)))),IF(N(INDEX(art_cost,MATCH(H1977,art_ref,0)))=0,"",N(INDEX(art_cost,MATCH(H1977,art_ref,0))))),""))</f>
        <v/>
      </c>
      <c r="V1977" s="64" t="str">
        <f>IF(OR(U1977="",NOT(ISNUMBER(L1977))),"",IF(L1977&lt;=0,"",ROUND(L1977*U1977,2)))</f>
        <v/>
      </c>
      <c r="W1977" s="60" t="str">
        <f>IF(AND(B1977&lt;&gt;"",A1977&lt;&gt;"BS",F1977&lt;&gt;"",H1977&lt;&gt;"",ISNUMBER(K1977),ISNUMBER(L1977)),IF(AND(K1977&gt;0,L1977&gt;0,K1977-L1977&gt;0,COUNTIFS(A1978:A$2005,A1977,F1978:F$2005,F1977,H1978:H$2005,H1977,AA1978:AA$2005,"&gt;0")=0),ROUND(K1977-L1977,6),""),"")</f>
        <v/>
      </c>
      <c r="X1977" s="60" t="str">
        <f>IF(AND(A1977="",C1977="",D1977="",H1977="",L1977=""),"",IF(A1977="","Type manquant",IF(AND(A1977&lt;&gt;"BL",A1977&lt;&gt;"BR",A1977&lt;&gt;"BS"),"Type inconnu (BL, BR ou BS)",IF(AG1977=0,"Date manquante ou invalide",IF(D1977="",IF(A1977="BL","Client manquant",IF(A1977="BR","Fournisseur manquant","Service manquant")),IF(IF(A1977="BL",ISNA(MATCH(D1977,cl_code,0)),IF(A1977="BR",ISNA(MATCH(D1977,fo_code,0)),ISNA(MATCH(D1977,p_services,0)))),IF(A1977="BL","Client inconnu",IF(A1977="BR","Fournisseur inconnu","Service inconnu")),IF(H1977="","Article manquant",IF(ISNA(MATCH(H1977,art_ref,0)),"Article inconnu",IF(OR(NOT(ISNUMBER(L1977)),N(L1977)&lt;=0),"Quantité invalide",IF(AND(K1977&lt;&gt;"",OR(NOT(ISNUMBER(K1977)),N(K1977)&lt;=0)),"Qté commandée invalide",IF(AG1977&lt;SUMPRODUCT(MAX((A$6:A1976=A1977)*AG$6:AG1976)),"Date antérieure au bon précédent",IF(AND(A1977&lt;&gt;"BR",ISNUMBER(M1977),N(M1977)&gt;0),IF(A1977="BL","Livré plus que commandé","Sorti plus que demandé"),"OK"))))))))))))</f>
        <v/>
      </c>
      <c r="Y1977" s="57" t="str">
        <f>IF(AND(OR(A1977="BL",A1977="BR",A1977="BS"),AG1977&gt;0,D1977&lt;&gt;""),A1977&amp;"|"&amp;AG1977&amp;"|"&amp;D1977&amp;"|"&amp;F1977,"")</f>
        <v/>
      </c>
      <c r="Z1977" s="57" t="str">
        <f>IF(Y1977="","",IF(COUNTIF(Y$6:Y1976,Y1977)=0,1,0))</f>
        <v/>
      </c>
      <c r="AA1977" s="57" t="str">
        <f>IF(Y1977="","",IF(Z1977=1,COUNTIFS(A$6:A1977,A1977,Z$6:Z1977,1),INDEX(AA$6:AA1976,MATCH(Y1977,Y$6:Y1976,0))))</f>
        <v/>
      </c>
      <c r="AB1977" s="57" t="str">
        <f>IF(B1977="","",COUNTIF(B$6:B1977,B1977))</f>
        <v/>
      </c>
      <c r="AC1977" s="57" t="str">
        <f>IF(B1977="","",B1977&amp;"#"&amp;AB1977)</f>
        <v/>
      </c>
      <c r="AD1977" s="57" t="str">
        <f>IF(Z1977=1,A1977&amp;AA1977,"")</f>
        <v/>
      </c>
      <c r="AE1977" s="57" t="str">
        <f>IF(B1977="","",YEAR(C1977))</f>
        <v/>
      </c>
      <c r="AF1977" s="57" t="str">
        <f>IF(B1977="","",MONTH(C1977))</f>
        <v/>
      </c>
      <c r="AG1977" s="57">
        <f>IF(ISNUMBER(C1977),C1977,0)</f>
        <v>0.0</v>
      </c>
      <c r="AH1977" s="57" t="str">
        <f>IF(N(W1977)&gt;0,COUNTIF(W$6:W1977,"&gt;0"),"")</f>
        <v/>
      </c>
      <c r="AI1977" s="57" t="str">
        <f>IF(Z1977=1,COUNTIF(Z$6:Z1977,1),"")</f>
        <v/>
      </c>
    </row>
    <row r="1978">
      <c r="A1978" s="54" t="n"/>
      <c r="B1978" s="55" t="str">
        <f>IF(AA1978="","",A1978&amp;"-"&amp;RIGHT("000"&amp;AA1978,4))</f>
        <v/>
      </c>
      <c r="C1978" s="56" t="n"/>
      <c r="D1978" s="54" t="n"/>
      <c r="E1978" s="57" t="str">
        <f>IF(D1978="","",IF(A1978="BL",IFERROR(INDEX(cl_name,MATCH(D1978,cl_code,0))&amp;"","Client inconnu"),IF(A1978="BR",IFERROR(INDEX(fo_name,MATCH(D1978,fo_code,0))&amp;"","Fournisseur inconnu"),IF(A1978="BS",IF(ISNA(MATCH(D1978,p_services,0)),"Service inconnu",D1978&amp;""),""))))</f>
        <v/>
      </c>
      <c r="F1978" s="58" t="n"/>
      <c r="G1978" s="58" t="n"/>
      <c r="H1978" s="59" t="n"/>
      <c r="I1978" s="57" t="str">
        <f>IF(H1978="","",IFERROR(INDEX(art_des,MATCH(H1978,art_ref,0))&amp;"","Article inconnu"))</f>
        <v/>
      </c>
      <c r="J1978" s="60" t="str">
        <f>IF(H1978="","",IFERROR(INDEX(art_unit,MATCH(H1978,art_ref,0))&amp;"",""))</f>
        <v/>
      </c>
      <c r="K1978" s="59" t="n"/>
      <c r="L1978" s="59" t="n"/>
      <c r="M1978" s="61" t="str">
        <f>IF(OR(B1978="",NOT(ISNUMBER(K1978)),NOT(ISNUMBER(L1978))),"",IF(OR(K1978&lt;=0,L1978&lt;=0),"",ROUND(L1978-K1978,6)))</f>
        <v/>
      </c>
      <c r="N1978" s="58" t="n"/>
      <c r="O1978" s="62" t="n"/>
      <c r="P1978" s="63" t="str">
        <f>IF(OR(B1978="",NOT(ISNUMBER(L1978))),"",IF(L1978&lt;=0,"",IFERROR(ROUND(L1978*N(INDEX(art_w,MATCH(H1978,art_ref,0))),3),"")))</f>
        <v/>
      </c>
      <c r="Q1978" s="59" t="n"/>
      <c r="R1978" s="54" t="n"/>
      <c r="S1978" s="59" t="n"/>
      <c r="T1978" s="59" t="n"/>
      <c r="U1978" s="64" t="str">
        <f>IF(OR(B1978="",H1978=""),"",IFERROR(IF(A1978="BL",IF(N(INDEX(art_price,MATCH(H1978,art_ref,0)))=0,"",N(INDEX(art_price,MATCH(H1978,art_ref,0)))),IF(N(INDEX(art_cost,MATCH(H1978,art_ref,0)))=0,"",N(INDEX(art_cost,MATCH(H1978,art_ref,0))))),""))</f>
        <v/>
      </c>
      <c r="V1978" s="64" t="str">
        <f>IF(OR(U1978="",NOT(ISNUMBER(L1978))),"",IF(L1978&lt;=0,"",ROUND(L1978*U1978,2)))</f>
        <v/>
      </c>
      <c r="W1978" s="60" t="str">
        <f>IF(AND(B1978&lt;&gt;"",A1978&lt;&gt;"BS",F1978&lt;&gt;"",H1978&lt;&gt;"",ISNUMBER(K1978),ISNUMBER(L1978)),IF(AND(K1978&gt;0,L1978&gt;0,K1978-L1978&gt;0,COUNTIFS(A1979:A$2005,A1978,F1979:F$2005,F1978,H1979:H$2005,H1978,AA1979:AA$2005,"&gt;0")=0),ROUND(K1978-L1978,6),""),"")</f>
        <v/>
      </c>
      <c r="X1978" s="60" t="str">
        <f>IF(AND(A1978="",C1978="",D1978="",H1978="",L1978=""),"",IF(A1978="","Type manquant",IF(AND(A1978&lt;&gt;"BL",A1978&lt;&gt;"BR",A1978&lt;&gt;"BS"),"Type inconnu (BL, BR ou BS)",IF(AG1978=0,"Date manquante ou invalide",IF(D1978="",IF(A1978="BL","Client manquant",IF(A1978="BR","Fournisseur manquant","Service manquant")),IF(IF(A1978="BL",ISNA(MATCH(D1978,cl_code,0)),IF(A1978="BR",ISNA(MATCH(D1978,fo_code,0)),ISNA(MATCH(D1978,p_services,0)))),IF(A1978="BL","Client inconnu",IF(A1978="BR","Fournisseur inconnu","Service inconnu")),IF(H1978="","Article manquant",IF(ISNA(MATCH(H1978,art_ref,0)),"Article inconnu",IF(OR(NOT(ISNUMBER(L1978)),N(L1978)&lt;=0),"Quantité invalide",IF(AND(K1978&lt;&gt;"",OR(NOT(ISNUMBER(K1978)),N(K1978)&lt;=0)),"Qté commandée invalide",IF(AG1978&lt;SUMPRODUCT(MAX((A$6:A1977=A1978)*AG$6:AG1977)),"Date antérieure au bon précédent",IF(AND(A1978&lt;&gt;"BR",ISNUMBER(M1978),N(M1978)&gt;0),IF(A1978="BL","Livré plus que commandé","Sorti plus que demandé"),"OK"))))))))))))</f>
        <v/>
      </c>
      <c r="Y1978" s="57" t="str">
        <f>IF(AND(OR(A1978="BL",A1978="BR",A1978="BS"),AG1978&gt;0,D1978&lt;&gt;""),A1978&amp;"|"&amp;AG1978&amp;"|"&amp;D1978&amp;"|"&amp;F1978,"")</f>
        <v/>
      </c>
      <c r="Z1978" s="57" t="str">
        <f>IF(Y1978="","",IF(COUNTIF(Y$6:Y1977,Y1978)=0,1,0))</f>
        <v/>
      </c>
      <c r="AA1978" s="57" t="str">
        <f>IF(Y1978="","",IF(Z1978=1,COUNTIFS(A$6:A1978,A1978,Z$6:Z1978,1),INDEX(AA$6:AA1977,MATCH(Y1978,Y$6:Y1977,0))))</f>
        <v/>
      </c>
      <c r="AB1978" s="57" t="str">
        <f>IF(B1978="","",COUNTIF(B$6:B1978,B1978))</f>
        <v/>
      </c>
      <c r="AC1978" s="57" t="str">
        <f>IF(B1978="","",B1978&amp;"#"&amp;AB1978)</f>
        <v/>
      </c>
      <c r="AD1978" s="57" t="str">
        <f>IF(Z1978=1,A1978&amp;AA1978,"")</f>
        <v/>
      </c>
      <c r="AE1978" s="57" t="str">
        <f>IF(B1978="","",YEAR(C1978))</f>
        <v/>
      </c>
      <c r="AF1978" s="57" t="str">
        <f>IF(B1978="","",MONTH(C1978))</f>
        <v/>
      </c>
      <c r="AG1978" s="57">
        <f>IF(ISNUMBER(C1978),C1978,0)</f>
        <v>0.0</v>
      </c>
      <c r="AH1978" s="57" t="str">
        <f>IF(N(W1978)&gt;0,COUNTIF(W$6:W1978,"&gt;0"),"")</f>
        <v/>
      </c>
      <c r="AI1978" s="57" t="str">
        <f>IF(Z1978=1,COUNTIF(Z$6:Z1978,1),"")</f>
        <v/>
      </c>
    </row>
    <row r="1979">
      <c r="A1979" s="54" t="n"/>
      <c r="B1979" s="55" t="str">
        <f>IF(AA1979="","",A1979&amp;"-"&amp;RIGHT("000"&amp;AA1979,4))</f>
        <v/>
      </c>
      <c r="C1979" s="56" t="n"/>
      <c r="D1979" s="54" t="n"/>
      <c r="E1979" s="57" t="str">
        <f>IF(D1979="","",IF(A1979="BL",IFERROR(INDEX(cl_name,MATCH(D1979,cl_code,0))&amp;"","Client inconnu"),IF(A1979="BR",IFERROR(INDEX(fo_name,MATCH(D1979,fo_code,0))&amp;"","Fournisseur inconnu"),IF(A1979="BS",IF(ISNA(MATCH(D1979,p_services,0)),"Service inconnu",D1979&amp;""),""))))</f>
        <v/>
      </c>
      <c r="F1979" s="58" t="n"/>
      <c r="G1979" s="58" t="n"/>
      <c r="H1979" s="59" t="n"/>
      <c r="I1979" s="57" t="str">
        <f>IF(H1979="","",IFERROR(INDEX(art_des,MATCH(H1979,art_ref,0))&amp;"","Article inconnu"))</f>
        <v/>
      </c>
      <c r="J1979" s="60" t="str">
        <f>IF(H1979="","",IFERROR(INDEX(art_unit,MATCH(H1979,art_ref,0))&amp;"",""))</f>
        <v/>
      </c>
      <c r="K1979" s="59" t="n"/>
      <c r="L1979" s="59" t="n"/>
      <c r="M1979" s="61" t="str">
        <f>IF(OR(B1979="",NOT(ISNUMBER(K1979)),NOT(ISNUMBER(L1979))),"",IF(OR(K1979&lt;=0,L1979&lt;=0),"",ROUND(L1979-K1979,6)))</f>
        <v/>
      </c>
      <c r="N1979" s="58" t="n"/>
      <c r="O1979" s="62" t="n"/>
      <c r="P1979" s="63" t="str">
        <f>IF(OR(B1979="",NOT(ISNUMBER(L1979))),"",IF(L1979&lt;=0,"",IFERROR(ROUND(L1979*N(INDEX(art_w,MATCH(H1979,art_ref,0))),3),"")))</f>
        <v/>
      </c>
      <c r="Q1979" s="59" t="n"/>
      <c r="R1979" s="54" t="n"/>
      <c r="S1979" s="59" t="n"/>
      <c r="T1979" s="59" t="n"/>
      <c r="U1979" s="64" t="str">
        <f>IF(OR(B1979="",H1979=""),"",IFERROR(IF(A1979="BL",IF(N(INDEX(art_price,MATCH(H1979,art_ref,0)))=0,"",N(INDEX(art_price,MATCH(H1979,art_ref,0)))),IF(N(INDEX(art_cost,MATCH(H1979,art_ref,0)))=0,"",N(INDEX(art_cost,MATCH(H1979,art_ref,0))))),""))</f>
        <v/>
      </c>
      <c r="V1979" s="64" t="str">
        <f>IF(OR(U1979="",NOT(ISNUMBER(L1979))),"",IF(L1979&lt;=0,"",ROUND(L1979*U1979,2)))</f>
        <v/>
      </c>
      <c r="W1979" s="60" t="str">
        <f>IF(AND(B1979&lt;&gt;"",A1979&lt;&gt;"BS",F1979&lt;&gt;"",H1979&lt;&gt;"",ISNUMBER(K1979),ISNUMBER(L1979)),IF(AND(K1979&gt;0,L1979&gt;0,K1979-L1979&gt;0,COUNTIFS(A1980:A$2005,A1979,F1980:F$2005,F1979,H1980:H$2005,H1979,AA1980:AA$2005,"&gt;0")=0),ROUND(K1979-L1979,6),""),"")</f>
        <v/>
      </c>
      <c r="X1979" s="60" t="str">
        <f>IF(AND(A1979="",C1979="",D1979="",H1979="",L1979=""),"",IF(A1979="","Type manquant",IF(AND(A1979&lt;&gt;"BL",A1979&lt;&gt;"BR",A1979&lt;&gt;"BS"),"Type inconnu (BL, BR ou BS)",IF(AG1979=0,"Date manquante ou invalide",IF(D1979="",IF(A1979="BL","Client manquant",IF(A1979="BR","Fournisseur manquant","Service manquant")),IF(IF(A1979="BL",ISNA(MATCH(D1979,cl_code,0)),IF(A1979="BR",ISNA(MATCH(D1979,fo_code,0)),ISNA(MATCH(D1979,p_services,0)))),IF(A1979="BL","Client inconnu",IF(A1979="BR","Fournisseur inconnu","Service inconnu")),IF(H1979="","Article manquant",IF(ISNA(MATCH(H1979,art_ref,0)),"Article inconnu",IF(OR(NOT(ISNUMBER(L1979)),N(L1979)&lt;=0),"Quantité invalide",IF(AND(K1979&lt;&gt;"",OR(NOT(ISNUMBER(K1979)),N(K1979)&lt;=0)),"Qté commandée invalide",IF(AG1979&lt;SUMPRODUCT(MAX((A$6:A1978=A1979)*AG$6:AG1978)),"Date antérieure au bon précédent",IF(AND(A1979&lt;&gt;"BR",ISNUMBER(M1979),N(M1979)&gt;0),IF(A1979="BL","Livré plus que commandé","Sorti plus que demandé"),"OK"))))))))))))</f>
        <v/>
      </c>
      <c r="Y1979" s="57" t="str">
        <f>IF(AND(OR(A1979="BL",A1979="BR",A1979="BS"),AG1979&gt;0,D1979&lt;&gt;""),A1979&amp;"|"&amp;AG1979&amp;"|"&amp;D1979&amp;"|"&amp;F1979,"")</f>
        <v/>
      </c>
      <c r="Z1979" s="57" t="str">
        <f>IF(Y1979="","",IF(COUNTIF(Y$6:Y1978,Y1979)=0,1,0))</f>
        <v/>
      </c>
      <c r="AA1979" s="57" t="str">
        <f>IF(Y1979="","",IF(Z1979=1,COUNTIFS(A$6:A1979,A1979,Z$6:Z1979,1),INDEX(AA$6:AA1978,MATCH(Y1979,Y$6:Y1978,0))))</f>
        <v/>
      </c>
      <c r="AB1979" s="57" t="str">
        <f>IF(B1979="","",COUNTIF(B$6:B1979,B1979))</f>
        <v/>
      </c>
      <c r="AC1979" s="57" t="str">
        <f>IF(B1979="","",B1979&amp;"#"&amp;AB1979)</f>
        <v/>
      </c>
      <c r="AD1979" s="57" t="str">
        <f>IF(Z1979=1,A1979&amp;AA1979,"")</f>
        <v/>
      </c>
      <c r="AE1979" s="57" t="str">
        <f>IF(B1979="","",YEAR(C1979))</f>
        <v/>
      </c>
      <c r="AF1979" s="57" t="str">
        <f>IF(B1979="","",MONTH(C1979))</f>
        <v/>
      </c>
      <c r="AG1979" s="57">
        <f>IF(ISNUMBER(C1979),C1979,0)</f>
        <v>0.0</v>
      </c>
      <c r="AH1979" s="57" t="str">
        <f>IF(N(W1979)&gt;0,COUNTIF(W$6:W1979,"&gt;0"),"")</f>
        <v/>
      </c>
      <c r="AI1979" s="57" t="str">
        <f>IF(Z1979=1,COUNTIF(Z$6:Z1979,1),"")</f>
        <v/>
      </c>
    </row>
    <row r="1980">
      <c r="A1980" s="54" t="n"/>
      <c r="B1980" s="55" t="str">
        <f>IF(AA1980="","",A1980&amp;"-"&amp;RIGHT("000"&amp;AA1980,4))</f>
        <v/>
      </c>
      <c r="C1980" s="56" t="n"/>
      <c r="D1980" s="54" t="n"/>
      <c r="E1980" s="57" t="str">
        <f>IF(D1980="","",IF(A1980="BL",IFERROR(INDEX(cl_name,MATCH(D1980,cl_code,0))&amp;"","Client inconnu"),IF(A1980="BR",IFERROR(INDEX(fo_name,MATCH(D1980,fo_code,0))&amp;"","Fournisseur inconnu"),IF(A1980="BS",IF(ISNA(MATCH(D1980,p_services,0)),"Service inconnu",D1980&amp;""),""))))</f>
        <v/>
      </c>
      <c r="F1980" s="58" t="n"/>
      <c r="G1980" s="58" t="n"/>
      <c r="H1980" s="59" t="n"/>
      <c r="I1980" s="57" t="str">
        <f>IF(H1980="","",IFERROR(INDEX(art_des,MATCH(H1980,art_ref,0))&amp;"","Article inconnu"))</f>
        <v/>
      </c>
      <c r="J1980" s="60" t="str">
        <f>IF(H1980="","",IFERROR(INDEX(art_unit,MATCH(H1980,art_ref,0))&amp;"",""))</f>
        <v/>
      </c>
      <c r="K1980" s="59" t="n"/>
      <c r="L1980" s="59" t="n"/>
      <c r="M1980" s="61" t="str">
        <f>IF(OR(B1980="",NOT(ISNUMBER(K1980)),NOT(ISNUMBER(L1980))),"",IF(OR(K1980&lt;=0,L1980&lt;=0),"",ROUND(L1980-K1980,6)))</f>
        <v/>
      </c>
      <c r="N1980" s="58" t="n"/>
      <c r="O1980" s="62" t="n"/>
      <c r="P1980" s="63" t="str">
        <f>IF(OR(B1980="",NOT(ISNUMBER(L1980))),"",IF(L1980&lt;=0,"",IFERROR(ROUND(L1980*N(INDEX(art_w,MATCH(H1980,art_ref,0))),3),"")))</f>
        <v/>
      </c>
      <c r="Q1980" s="59" t="n"/>
      <c r="R1980" s="54" t="n"/>
      <c r="S1980" s="59" t="n"/>
      <c r="T1980" s="59" t="n"/>
      <c r="U1980" s="64" t="str">
        <f>IF(OR(B1980="",H1980=""),"",IFERROR(IF(A1980="BL",IF(N(INDEX(art_price,MATCH(H1980,art_ref,0)))=0,"",N(INDEX(art_price,MATCH(H1980,art_ref,0)))),IF(N(INDEX(art_cost,MATCH(H1980,art_ref,0)))=0,"",N(INDEX(art_cost,MATCH(H1980,art_ref,0))))),""))</f>
        <v/>
      </c>
      <c r="V1980" s="64" t="str">
        <f>IF(OR(U1980="",NOT(ISNUMBER(L1980))),"",IF(L1980&lt;=0,"",ROUND(L1980*U1980,2)))</f>
        <v/>
      </c>
      <c r="W1980" s="60" t="str">
        <f>IF(AND(B1980&lt;&gt;"",A1980&lt;&gt;"BS",F1980&lt;&gt;"",H1980&lt;&gt;"",ISNUMBER(K1980),ISNUMBER(L1980)),IF(AND(K1980&gt;0,L1980&gt;0,K1980-L1980&gt;0,COUNTIFS(A1981:A$2005,A1980,F1981:F$2005,F1980,H1981:H$2005,H1980,AA1981:AA$2005,"&gt;0")=0),ROUND(K1980-L1980,6),""),"")</f>
        <v/>
      </c>
      <c r="X1980" s="60" t="str">
        <f>IF(AND(A1980="",C1980="",D1980="",H1980="",L1980=""),"",IF(A1980="","Type manquant",IF(AND(A1980&lt;&gt;"BL",A1980&lt;&gt;"BR",A1980&lt;&gt;"BS"),"Type inconnu (BL, BR ou BS)",IF(AG1980=0,"Date manquante ou invalide",IF(D1980="",IF(A1980="BL","Client manquant",IF(A1980="BR","Fournisseur manquant","Service manquant")),IF(IF(A1980="BL",ISNA(MATCH(D1980,cl_code,0)),IF(A1980="BR",ISNA(MATCH(D1980,fo_code,0)),ISNA(MATCH(D1980,p_services,0)))),IF(A1980="BL","Client inconnu",IF(A1980="BR","Fournisseur inconnu","Service inconnu")),IF(H1980="","Article manquant",IF(ISNA(MATCH(H1980,art_ref,0)),"Article inconnu",IF(OR(NOT(ISNUMBER(L1980)),N(L1980)&lt;=0),"Quantité invalide",IF(AND(K1980&lt;&gt;"",OR(NOT(ISNUMBER(K1980)),N(K1980)&lt;=0)),"Qté commandée invalide",IF(AG1980&lt;SUMPRODUCT(MAX((A$6:A1979=A1980)*AG$6:AG1979)),"Date antérieure au bon précédent",IF(AND(A1980&lt;&gt;"BR",ISNUMBER(M1980),N(M1980)&gt;0),IF(A1980="BL","Livré plus que commandé","Sorti plus que demandé"),"OK"))))))))))))</f>
        <v/>
      </c>
      <c r="Y1980" s="57" t="str">
        <f>IF(AND(OR(A1980="BL",A1980="BR",A1980="BS"),AG1980&gt;0,D1980&lt;&gt;""),A1980&amp;"|"&amp;AG1980&amp;"|"&amp;D1980&amp;"|"&amp;F1980,"")</f>
        <v/>
      </c>
      <c r="Z1980" s="57" t="str">
        <f>IF(Y1980="","",IF(COUNTIF(Y$6:Y1979,Y1980)=0,1,0))</f>
        <v/>
      </c>
      <c r="AA1980" s="57" t="str">
        <f>IF(Y1980="","",IF(Z1980=1,COUNTIFS(A$6:A1980,A1980,Z$6:Z1980,1),INDEX(AA$6:AA1979,MATCH(Y1980,Y$6:Y1979,0))))</f>
        <v/>
      </c>
      <c r="AB1980" s="57" t="str">
        <f>IF(B1980="","",COUNTIF(B$6:B1980,B1980))</f>
        <v/>
      </c>
      <c r="AC1980" s="57" t="str">
        <f>IF(B1980="","",B1980&amp;"#"&amp;AB1980)</f>
        <v/>
      </c>
      <c r="AD1980" s="57" t="str">
        <f>IF(Z1980=1,A1980&amp;AA1980,"")</f>
        <v/>
      </c>
      <c r="AE1980" s="57" t="str">
        <f>IF(B1980="","",YEAR(C1980))</f>
        <v/>
      </c>
      <c r="AF1980" s="57" t="str">
        <f>IF(B1980="","",MONTH(C1980))</f>
        <v/>
      </c>
      <c r="AG1980" s="57">
        <f>IF(ISNUMBER(C1980),C1980,0)</f>
        <v>0.0</v>
      </c>
      <c r="AH1980" s="57" t="str">
        <f>IF(N(W1980)&gt;0,COUNTIF(W$6:W1980,"&gt;0"),"")</f>
        <v/>
      </c>
      <c r="AI1980" s="57" t="str">
        <f>IF(Z1980=1,COUNTIF(Z$6:Z1980,1),"")</f>
        <v/>
      </c>
    </row>
    <row r="1981">
      <c r="A1981" s="54" t="n"/>
      <c r="B1981" s="55" t="str">
        <f>IF(AA1981="","",A1981&amp;"-"&amp;RIGHT("000"&amp;AA1981,4))</f>
        <v/>
      </c>
      <c r="C1981" s="56" t="n"/>
      <c r="D1981" s="54" t="n"/>
      <c r="E1981" s="57" t="str">
        <f>IF(D1981="","",IF(A1981="BL",IFERROR(INDEX(cl_name,MATCH(D1981,cl_code,0))&amp;"","Client inconnu"),IF(A1981="BR",IFERROR(INDEX(fo_name,MATCH(D1981,fo_code,0))&amp;"","Fournisseur inconnu"),IF(A1981="BS",IF(ISNA(MATCH(D1981,p_services,0)),"Service inconnu",D1981&amp;""),""))))</f>
        <v/>
      </c>
      <c r="F1981" s="58" t="n"/>
      <c r="G1981" s="58" t="n"/>
      <c r="H1981" s="59" t="n"/>
      <c r="I1981" s="57" t="str">
        <f>IF(H1981="","",IFERROR(INDEX(art_des,MATCH(H1981,art_ref,0))&amp;"","Article inconnu"))</f>
        <v/>
      </c>
      <c r="J1981" s="60" t="str">
        <f>IF(H1981="","",IFERROR(INDEX(art_unit,MATCH(H1981,art_ref,0))&amp;"",""))</f>
        <v/>
      </c>
      <c r="K1981" s="59" t="n"/>
      <c r="L1981" s="59" t="n"/>
      <c r="M1981" s="61" t="str">
        <f>IF(OR(B1981="",NOT(ISNUMBER(K1981)),NOT(ISNUMBER(L1981))),"",IF(OR(K1981&lt;=0,L1981&lt;=0),"",ROUND(L1981-K1981,6)))</f>
        <v/>
      </c>
      <c r="N1981" s="58" t="n"/>
      <c r="O1981" s="62" t="n"/>
      <c r="P1981" s="63" t="str">
        <f>IF(OR(B1981="",NOT(ISNUMBER(L1981))),"",IF(L1981&lt;=0,"",IFERROR(ROUND(L1981*N(INDEX(art_w,MATCH(H1981,art_ref,0))),3),"")))</f>
        <v/>
      </c>
      <c r="Q1981" s="59" t="n"/>
      <c r="R1981" s="54" t="n"/>
      <c r="S1981" s="59" t="n"/>
      <c r="T1981" s="59" t="n"/>
      <c r="U1981" s="64" t="str">
        <f>IF(OR(B1981="",H1981=""),"",IFERROR(IF(A1981="BL",IF(N(INDEX(art_price,MATCH(H1981,art_ref,0)))=0,"",N(INDEX(art_price,MATCH(H1981,art_ref,0)))),IF(N(INDEX(art_cost,MATCH(H1981,art_ref,0)))=0,"",N(INDEX(art_cost,MATCH(H1981,art_ref,0))))),""))</f>
        <v/>
      </c>
      <c r="V1981" s="64" t="str">
        <f>IF(OR(U1981="",NOT(ISNUMBER(L1981))),"",IF(L1981&lt;=0,"",ROUND(L1981*U1981,2)))</f>
        <v/>
      </c>
      <c r="W1981" s="60" t="str">
        <f>IF(AND(B1981&lt;&gt;"",A1981&lt;&gt;"BS",F1981&lt;&gt;"",H1981&lt;&gt;"",ISNUMBER(K1981),ISNUMBER(L1981)),IF(AND(K1981&gt;0,L1981&gt;0,K1981-L1981&gt;0,COUNTIFS(A1982:A$2005,A1981,F1982:F$2005,F1981,H1982:H$2005,H1981,AA1982:AA$2005,"&gt;0")=0),ROUND(K1981-L1981,6),""),"")</f>
        <v/>
      </c>
      <c r="X1981" s="60" t="str">
        <f>IF(AND(A1981="",C1981="",D1981="",H1981="",L1981=""),"",IF(A1981="","Type manquant",IF(AND(A1981&lt;&gt;"BL",A1981&lt;&gt;"BR",A1981&lt;&gt;"BS"),"Type inconnu (BL, BR ou BS)",IF(AG1981=0,"Date manquante ou invalide",IF(D1981="",IF(A1981="BL","Client manquant",IF(A1981="BR","Fournisseur manquant","Service manquant")),IF(IF(A1981="BL",ISNA(MATCH(D1981,cl_code,0)),IF(A1981="BR",ISNA(MATCH(D1981,fo_code,0)),ISNA(MATCH(D1981,p_services,0)))),IF(A1981="BL","Client inconnu",IF(A1981="BR","Fournisseur inconnu","Service inconnu")),IF(H1981="","Article manquant",IF(ISNA(MATCH(H1981,art_ref,0)),"Article inconnu",IF(OR(NOT(ISNUMBER(L1981)),N(L1981)&lt;=0),"Quantité invalide",IF(AND(K1981&lt;&gt;"",OR(NOT(ISNUMBER(K1981)),N(K1981)&lt;=0)),"Qté commandée invalide",IF(AG1981&lt;SUMPRODUCT(MAX((A$6:A1980=A1981)*AG$6:AG1980)),"Date antérieure au bon précédent",IF(AND(A1981&lt;&gt;"BR",ISNUMBER(M1981),N(M1981)&gt;0),IF(A1981="BL","Livré plus que commandé","Sorti plus que demandé"),"OK"))))))))))))</f>
        <v/>
      </c>
      <c r="Y1981" s="57" t="str">
        <f>IF(AND(OR(A1981="BL",A1981="BR",A1981="BS"),AG1981&gt;0,D1981&lt;&gt;""),A1981&amp;"|"&amp;AG1981&amp;"|"&amp;D1981&amp;"|"&amp;F1981,"")</f>
        <v/>
      </c>
      <c r="Z1981" s="57" t="str">
        <f>IF(Y1981="","",IF(COUNTIF(Y$6:Y1980,Y1981)=0,1,0))</f>
        <v/>
      </c>
      <c r="AA1981" s="57" t="str">
        <f>IF(Y1981="","",IF(Z1981=1,COUNTIFS(A$6:A1981,A1981,Z$6:Z1981,1),INDEX(AA$6:AA1980,MATCH(Y1981,Y$6:Y1980,0))))</f>
        <v/>
      </c>
      <c r="AB1981" s="57" t="str">
        <f>IF(B1981="","",COUNTIF(B$6:B1981,B1981))</f>
        <v/>
      </c>
      <c r="AC1981" s="57" t="str">
        <f>IF(B1981="","",B1981&amp;"#"&amp;AB1981)</f>
        <v/>
      </c>
      <c r="AD1981" s="57" t="str">
        <f>IF(Z1981=1,A1981&amp;AA1981,"")</f>
        <v/>
      </c>
      <c r="AE1981" s="57" t="str">
        <f>IF(B1981="","",YEAR(C1981))</f>
        <v/>
      </c>
      <c r="AF1981" s="57" t="str">
        <f>IF(B1981="","",MONTH(C1981))</f>
        <v/>
      </c>
      <c r="AG1981" s="57">
        <f>IF(ISNUMBER(C1981),C1981,0)</f>
        <v>0.0</v>
      </c>
      <c r="AH1981" s="57" t="str">
        <f>IF(N(W1981)&gt;0,COUNTIF(W$6:W1981,"&gt;0"),"")</f>
        <v/>
      </c>
      <c r="AI1981" s="57" t="str">
        <f>IF(Z1981=1,COUNTIF(Z$6:Z1981,1),"")</f>
        <v/>
      </c>
    </row>
    <row r="1982">
      <c r="A1982" s="54" t="n"/>
      <c r="B1982" s="55" t="str">
        <f>IF(AA1982="","",A1982&amp;"-"&amp;RIGHT("000"&amp;AA1982,4))</f>
        <v/>
      </c>
      <c r="C1982" s="56" t="n"/>
      <c r="D1982" s="54" t="n"/>
      <c r="E1982" s="57" t="str">
        <f>IF(D1982="","",IF(A1982="BL",IFERROR(INDEX(cl_name,MATCH(D1982,cl_code,0))&amp;"","Client inconnu"),IF(A1982="BR",IFERROR(INDEX(fo_name,MATCH(D1982,fo_code,0))&amp;"","Fournisseur inconnu"),IF(A1982="BS",IF(ISNA(MATCH(D1982,p_services,0)),"Service inconnu",D1982&amp;""),""))))</f>
        <v/>
      </c>
      <c r="F1982" s="58" t="n"/>
      <c r="G1982" s="58" t="n"/>
      <c r="H1982" s="59" t="n"/>
      <c r="I1982" s="57" t="str">
        <f>IF(H1982="","",IFERROR(INDEX(art_des,MATCH(H1982,art_ref,0))&amp;"","Article inconnu"))</f>
        <v/>
      </c>
      <c r="J1982" s="60" t="str">
        <f>IF(H1982="","",IFERROR(INDEX(art_unit,MATCH(H1982,art_ref,0))&amp;"",""))</f>
        <v/>
      </c>
      <c r="K1982" s="59" t="n"/>
      <c r="L1982" s="59" t="n"/>
      <c r="M1982" s="61" t="str">
        <f>IF(OR(B1982="",NOT(ISNUMBER(K1982)),NOT(ISNUMBER(L1982))),"",IF(OR(K1982&lt;=0,L1982&lt;=0),"",ROUND(L1982-K1982,6)))</f>
        <v/>
      </c>
      <c r="N1982" s="58" t="n"/>
      <c r="O1982" s="62" t="n"/>
      <c r="P1982" s="63" t="str">
        <f>IF(OR(B1982="",NOT(ISNUMBER(L1982))),"",IF(L1982&lt;=0,"",IFERROR(ROUND(L1982*N(INDEX(art_w,MATCH(H1982,art_ref,0))),3),"")))</f>
        <v/>
      </c>
      <c r="Q1982" s="59" t="n"/>
      <c r="R1982" s="54" t="n"/>
      <c r="S1982" s="59" t="n"/>
      <c r="T1982" s="59" t="n"/>
      <c r="U1982" s="64" t="str">
        <f>IF(OR(B1982="",H1982=""),"",IFERROR(IF(A1982="BL",IF(N(INDEX(art_price,MATCH(H1982,art_ref,0)))=0,"",N(INDEX(art_price,MATCH(H1982,art_ref,0)))),IF(N(INDEX(art_cost,MATCH(H1982,art_ref,0)))=0,"",N(INDEX(art_cost,MATCH(H1982,art_ref,0))))),""))</f>
        <v/>
      </c>
      <c r="V1982" s="64" t="str">
        <f>IF(OR(U1982="",NOT(ISNUMBER(L1982))),"",IF(L1982&lt;=0,"",ROUND(L1982*U1982,2)))</f>
        <v/>
      </c>
      <c r="W1982" s="60" t="str">
        <f>IF(AND(B1982&lt;&gt;"",A1982&lt;&gt;"BS",F1982&lt;&gt;"",H1982&lt;&gt;"",ISNUMBER(K1982),ISNUMBER(L1982)),IF(AND(K1982&gt;0,L1982&gt;0,K1982-L1982&gt;0,COUNTIFS(A1983:A$2005,A1982,F1983:F$2005,F1982,H1983:H$2005,H1982,AA1983:AA$2005,"&gt;0")=0),ROUND(K1982-L1982,6),""),"")</f>
        <v/>
      </c>
      <c r="X1982" s="60" t="str">
        <f>IF(AND(A1982="",C1982="",D1982="",H1982="",L1982=""),"",IF(A1982="","Type manquant",IF(AND(A1982&lt;&gt;"BL",A1982&lt;&gt;"BR",A1982&lt;&gt;"BS"),"Type inconnu (BL, BR ou BS)",IF(AG1982=0,"Date manquante ou invalide",IF(D1982="",IF(A1982="BL","Client manquant",IF(A1982="BR","Fournisseur manquant","Service manquant")),IF(IF(A1982="BL",ISNA(MATCH(D1982,cl_code,0)),IF(A1982="BR",ISNA(MATCH(D1982,fo_code,0)),ISNA(MATCH(D1982,p_services,0)))),IF(A1982="BL","Client inconnu",IF(A1982="BR","Fournisseur inconnu","Service inconnu")),IF(H1982="","Article manquant",IF(ISNA(MATCH(H1982,art_ref,0)),"Article inconnu",IF(OR(NOT(ISNUMBER(L1982)),N(L1982)&lt;=0),"Quantité invalide",IF(AND(K1982&lt;&gt;"",OR(NOT(ISNUMBER(K1982)),N(K1982)&lt;=0)),"Qté commandée invalide",IF(AG1982&lt;SUMPRODUCT(MAX((A$6:A1981=A1982)*AG$6:AG1981)),"Date antérieure au bon précédent",IF(AND(A1982&lt;&gt;"BR",ISNUMBER(M1982),N(M1982)&gt;0),IF(A1982="BL","Livré plus que commandé","Sorti plus que demandé"),"OK"))))))))))))</f>
        <v/>
      </c>
      <c r="Y1982" s="57" t="str">
        <f>IF(AND(OR(A1982="BL",A1982="BR",A1982="BS"),AG1982&gt;0,D1982&lt;&gt;""),A1982&amp;"|"&amp;AG1982&amp;"|"&amp;D1982&amp;"|"&amp;F1982,"")</f>
        <v/>
      </c>
      <c r="Z1982" s="57" t="str">
        <f>IF(Y1982="","",IF(COUNTIF(Y$6:Y1981,Y1982)=0,1,0))</f>
        <v/>
      </c>
      <c r="AA1982" s="57" t="str">
        <f>IF(Y1982="","",IF(Z1982=1,COUNTIFS(A$6:A1982,A1982,Z$6:Z1982,1),INDEX(AA$6:AA1981,MATCH(Y1982,Y$6:Y1981,0))))</f>
        <v/>
      </c>
      <c r="AB1982" s="57" t="str">
        <f>IF(B1982="","",COUNTIF(B$6:B1982,B1982))</f>
        <v/>
      </c>
      <c r="AC1982" s="57" t="str">
        <f>IF(B1982="","",B1982&amp;"#"&amp;AB1982)</f>
        <v/>
      </c>
      <c r="AD1982" s="57" t="str">
        <f>IF(Z1982=1,A1982&amp;AA1982,"")</f>
        <v/>
      </c>
      <c r="AE1982" s="57" t="str">
        <f>IF(B1982="","",YEAR(C1982))</f>
        <v/>
      </c>
      <c r="AF1982" s="57" t="str">
        <f>IF(B1982="","",MONTH(C1982))</f>
        <v/>
      </c>
      <c r="AG1982" s="57">
        <f>IF(ISNUMBER(C1982),C1982,0)</f>
        <v>0.0</v>
      </c>
      <c r="AH1982" s="57" t="str">
        <f>IF(N(W1982)&gt;0,COUNTIF(W$6:W1982,"&gt;0"),"")</f>
        <v/>
      </c>
      <c r="AI1982" s="57" t="str">
        <f>IF(Z1982=1,COUNTIF(Z$6:Z1982,1),"")</f>
        <v/>
      </c>
    </row>
    <row r="1983">
      <c r="A1983" s="54" t="n"/>
      <c r="B1983" s="55" t="str">
        <f>IF(AA1983="","",A1983&amp;"-"&amp;RIGHT("000"&amp;AA1983,4))</f>
        <v/>
      </c>
      <c r="C1983" s="56" t="n"/>
      <c r="D1983" s="54" t="n"/>
      <c r="E1983" s="57" t="str">
        <f>IF(D1983="","",IF(A1983="BL",IFERROR(INDEX(cl_name,MATCH(D1983,cl_code,0))&amp;"","Client inconnu"),IF(A1983="BR",IFERROR(INDEX(fo_name,MATCH(D1983,fo_code,0))&amp;"","Fournisseur inconnu"),IF(A1983="BS",IF(ISNA(MATCH(D1983,p_services,0)),"Service inconnu",D1983&amp;""),""))))</f>
        <v/>
      </c>
      <c r="F1983" s="58" t="n"/>
      <c r="G1983" s="58" t="n"/>
      <c r="H1983" s="59" t="n"/>
      <c r="I1983" s="57" t="str">
        <f>IF(H1983="","",IFERROR(INDEX(art_des,MATCH(H1983,art_ref,0))&amp;"","Article inconnu"))</f>
        <v/>
      </c>
      <c r="J1983" s="60" t="str">
        <f>IF(H1983="","",IFERROR(INDEX(art_unit,MATCH(H1983,art_ref,0))&amp;"",""))</f>
        <v/>
      </c>
      <c r="K1983" s="59" t="n"/>
      <c r="L1983" s="59" t="n"/>
      <c r="M1983" s="61" t="str">
        <f>IF(OR(B1983="",NOT(ISNUMBER(K1983)),NOT(ISNUMBER(L1983))),"",IF(OR(K1983&lt;=0,L1983&lt;=0),"",ROUND(L1983-K1983,6)))</f>
        <v/>
      </c>
      <c r="N1983" s="58" t="n"/>
      <c r="O1983" s="62" t="n"/>
      <c r="P1983" s="63" t="str">
        <f>IF(OR(B1983="",NOT(ISNUMBER(L1983))),"",IF(L1983&lt;=0,"",IFERROR(ROUND(L1983*N(INDEX(art_w,MATCH(H1983,art_ref,0))),3),"")))</f>
        <v/>
      </c>
      <c r="Q1983" s="59" t="n"/>
      <c r="R1983" s="54" t="n"/>
      <c r="S1983" s="59" t="n"/>
      <c r="T1983" s="59" t="n"/>
      <c r="U1983" s="64" t="str">
        <f>IF(OR(B1983="",H1983=""),"",IFERROR(IF(A1983="BL",IF(N(INDEX(art_price,MATCH(H1983,art_ref,0)))=0,"",N(INDEX(art_price,MATCH(H1983,art_ref,0)))),IF(N(INDEX(art_cost,MATCH(H1983,art_ref,0)))=0,"",N(INDEX(art_cost,MATCH(H1983,art_ref,0))))),""))</f>
        <v/>
      </c>
      <c r="V1983" s="64" t="str">
        <f>IF(OR(U1983="",NOT(ISNUMBER(L1983))),"",IF(L1983&lt;=0,"",ROUND(L1983*U1983,2)))</f>
        <v/>
      </c>
      <c r="W1983" s="60" t="str">
        <f>IF(AND(B1983&lt;&gt;"",A1983&lt;&gt;"BS",F1983&lt;&gt;"",H1983&lt;&gt;"",ISNUMBER(K1983),ISNUMBER(L1983)),IF(AND(K1983&gt;0,L1983&gt;0,K1983-L1983&gt;0,COUNTIFS(A1984:A$2005,A1983,F1984:F$2005,F1983,H1984:H$2005,H1983,AA1984:AA$2005,"&gt;0")=0),ROUND(K1983-L1983,6),""),"")</f>
        <v/>
      </c>
      <c r="X1983" s="60" t="str">
        <f>IF(AND(A1983="",C1983="",D1983="",H1983="",L1983=""),"",IF(A1983="","Type manquant",IF(AND(A1983&lt;&gt;"BL",A1983&lt;&gt;"BR",A1983&lt;&gt;"BS"),"Type inconnu (BL, BR ou BS)",IF(AG1983=0,"Date manquante ou invalide",IF(D1983="",IF(A1983="BL","Client manquant",IF(A1983="BR","Fournisseur manquant","Service manquant")),IF(IF(A1983="BL",ISNA(MATCH(D1983,cl_code,0)),IF(A1983="BR",ISNA(MATCH(D1983,fo_code,0)),ISNA(MATCH(D1983,p_services,0)))),IF(A1983="BL","Client inconnu",IF(A1983="BR","Fournisseur inconnu","Service inconnu")),IF(H1983="","Article manquant",IF(ISNA(MATCH(H1983,art_ref,0)),"Article inconnu",IF(OR(NOT(ISNUMBER(L1983)),N(L1983)&lt;=0),"Quantité invalide",IF(AND(K1983&lt;&gt;"",OR(NOT(ISNUMBER(K1983)),N(K1983)&lt;=0)),"Qté commandée invalide",IF(AG1983&lt;SUMPRODUCT(MAX((A$6:A1982=A1983)*AG$6:AG1982)),"Date antérieure au bon précédent",IF(AND(A1983&lt;&gt;"BR",ISNUMBER(M1983),N(M1983)&gt;0),IF(A1983="BL","Livré plus que commandé","Sorti plus que demandé"),"OK"))))))))))))</f>
        <v/>
      </c>
      <c r="Y1983" s="57" t="str">
        <f>IF(AND(OR(A1983="BL",A1983="BR",A1983="BS"),AG1983&gt;0,D1983&lt;&gt;""),A1983&amp;"|"&amp;AG1983&amp;"|"&amp;D1983&amp;"|"&amp;F1983,"")</f>
        <v/>
      </c>
      <c r="Z1983" s="57" t="str">
        <f>IF(Y1983="","",IF(COUNTIF(Y$6:Y1982,Y1983)=0,1,0))</f>
        <v/>
      </c>
      <c r="AA1983" s="57" t="str">
        <f>IF(Y1983="","",IF(Z1983=1,COUNTIFS(A$6:A1983,A1983,Z$6:Z1983,1),INDEX(AA$6:AA1982,MATCH(Y1983,Y$6:Y1982,0))))</f>
        <v/>
      </c>
      <c r="AB1983" s="57" t="str">
        <f>IF(B1983="","",COUNTIF(B$6:B1983,B1983))</f>
        <v/>
      </c>
      <c r="AC1983" s="57" t="str">
        <f>IF(B1983="","",B1983&amp;"#"&amp;AB1983)</f>
        <v/>
      </c>
      <c r="AD1983" s="57" t="str">
        <f>IF(Z1983=1,A1983&amp;AA1983,"")</f>
        <v/>
      </c>
      <c r="AE1983" s="57" t="str">
        <f>IF(B1983="","",YEAR(C1983))</f>
        <v/>
      </c>
      <c r="AF1983" s="57" t="str">
        <f>IF(B1983="","",MONTH(C1983))</f>
        <v/>
      </c>
      <c r="AG1983" s="57">
        <f>IF(ISNUMBER(C1983),C1983,0)</f>
        <v>0.0</v>
      </c>
      <c r="AH1983" s="57" t="str">
        <f>IF(N(W1983)&gt;0,COUNTIF(W$6:W1983,"&gt;0"),"")</f>
        <v/>
      </c>
      <c r="AI1983" s="57" t="str">
        <f>IF(Z1983=1,COUNTIF(Z$6:Z1983,1),"")</f>
        <v/>
      </c>
    </row>
    <row r="1984">
      <c r="A1984" s="54" t="n"/>
      <c r="B1984" s="55" t="str">
        <f>IF(AA1984="","",A1984&amp;"-"&amp;RIGHT("000"&amp;AA1984,4))</f>
        <v/>
      </c>
      <c r="C1984" s="56" t="n"/>
      <c r="D1984" s="54" t="n"/>
      <c r="E1984" s="57" t="str">
        <f>IF(D1984="","",IF(A1984="BL",IFERROR(INDEX(cl_name,MATCH(D1984,cl_code,0))&amp;"","Client inconnu"),IF(A1984="BR",IFERROR(INDEX(fo_name,MATCH(D1984,fo_code,0))&amp;"","Fournisseur inconnu"),IF(A1984="BS",IF(ISNA(MATCH(D1984,p_services,0)),"Service inconnu",D1984&amp;""),""))))</f>
        <v/>
      </c>
      <c r="F1984" s="58" t="n"/>
      <c r="G1984" s="58" t="n"/>
      <c r="H1984" s="59" t="n"/>
      <c r="I1984" s="57" t="str">
        <f>IF(H1984="","",IFERROR(INDEX(art_des,MATCH(H1984,art_ref,0))&amp;"","Article inconnu"))</f>
        <v/>
      </c>
      <c r="J1984" s="60" t="str">
        <f>IF(H1984="","",IFERROR(INDEX(art_unit,MATCH(H1984,art_ref,0))&amp;"",""))</f>
        <v/>
      </c>
      <c r="K1984" s="59" t="n"/>
      <c r="L1984" s="59" t="n"/>
      <c r="M1984" s="61" t="str">
        <f>IF(OR(B1984="",NOT(ISNUMBER(K1984)),NOT(ISNUMBER(L1984))),"",IF(OR(K1984&lt;=0,L1984&lt;=0),"",ROUND(L1984-K1984,6)))</f>
        <v/>
      </c>
      <c r="N1984" s="58" t="n"/>
      <c r="O1984" s="62" t="n"/>
      <c r="P1984" s="63" t="str">
        <f>IF(OR(B1984="",NOT(ISNUMBER(L1984))),"",IF(L1984&lt;=0,"",IFERROR(ROUND(L1984*N(INDEX(art_w,MATCH(H1984,art_ref,0))),3),"")))</f>
        <v/>
      </c>
      <c r="Q1984" s="59" t="n"/>
      <c r="R1984" s="54" t="n"/>
      <c r="S1984" s="59" t="n"/>
      <c r="T1984" s="59" t="n"/>
      <c r="U1984" s="64" t="str">
        <f>IF(OR(B1984="",H1984=""),"",IFERROR(IF(A1984="BL",IF(N(INDEX(art_price,MATCH(H1984,art_ref,0)))=0,"",N(INDEX(art_price,MATCH(H1984,art_ref,0)))),IF(N(INDEX(art_cost,MATCH(H1984,art_ref,0)))=0,"",N(INDEX(art_cost,MATCH(H1984,art_ref,0))))),""))</f>
        <v/>
      </c>
      <c r="V1984" s="64" t="str">
        <f>IF(OR(U1984="",NOT(ISNUMBER(L1984))),"",IF(L1984&lt;=0,"",ROUND(L1984*U1984,2)))</f>
        <v/>
      </c>
      <c r="W1984" s="60" t="str">
        <f>IF(AND(B1984&lt;&gt;"",A1984&lt;&gt;"BS",F1984&lt;&gt;"",H1984&lt;&gt;"",ISNUMBER(K1984),ISNUMBER(L1984)),IF(AND(K1984&gt;0,L1984&gt;0,K1984-L1984&gt;0,COUNTIFS(A1985:A$2005,A1984,F1985:F$2005,F1984,H1985:H$2005,H1984,AA1985:AA$2005,"&gt;0")=0),ROUND(K1984-L1984,6),""),"")</f>
        <v/>
      </c>
      <c r="X1984" s="60" t="str">
        <f>IF(AND(A1984="",C1984="",D1984="",H1984="",L1984=""),"",IF(A1984="","Type manquant",IF(AND(A1984&lt;&gt;"BL",A1984&lt;&gt;"BR",A1984&lt;&gt;"BS"),"Type inconnu (BL, BR ou BS)",IF(AG1984=0,"Date manquante ou invalide",IF(D1984="",IF(A1984="BL","Client manquant",IF(A1984="BR","Fournisseur manquant","Service manquant")),IF(IF(A1984="BL",ISNA(MATCH(D1984,cl_code,0)),IF(A1984="BR",ISNA(MATCH(D1984,fo_code,0)),ISNA(MATCH(D1984,p_services,0)))),IF(A1984="BL","Client inconnu",IF(A1984="BR","Fournisseur inconnu","Service inconnu")),IF(H1984="","Article manquant",IF(ISNA(MATCH(H1984,art_ref,0)),"Article inconnu",IF(OR(NOT(ISNUMBER(L1984)),N(L1984)&lt;=0),"Quantité invalide",IF(AND(K1984&lt;&gt;"",OR(NOT(ISNUMBER(K1984)),N(K1984)&lt;=0)),"Qté commandée invalide",IF(AG1984&lt;SUMPRODUCT(MAX((A$6:A1983=A1984)*AG$6:AG1983)),"Date antérieure au bon précédent",IF(AND(A1984&lt;&gt;"BR",ISNUMBER(M1984),N(M1984)&gt;0),IF(A1984="BL","Livré plus que commandé","Sorti plus que demandé"),"OK"))))))))))))</f>
        <v/>
      </c>
      <c r="Y1984" s="57" t="str">
        <f>IF(AND(OR(A1984="BL",A1984="BR",A1984="BS"),AG1984&gt;0,D1984&lt;&gt;""),A1984&amp;"|"&amp;AG1984&amp;"|"&amp;D1984&amp;"|"&amp;F1984,"")</f>
        <v/>
      </c>
      <c r="Z1984" s="57" t="str">
        <f>IF(Y1984="","",IF(COUNTIF(Y$6:Y1983,Y1984)=0,1,0))</f>
        <v/>
      </c>
      <c r="AA1984" s="57" t="str">
        <f>IF(Y1984="","",IF(Z1984=1,COUNTIFS(A$6:A1984,A1984,Z$6:Z1984,1),INDEX(AA$6:AA1983,MATCH(Y1984,Y$6:Y1983,0))))</f>
        <v/>
      </c>
      <c r="AB1984" s="57" t="str">
        <f>IF(B1984="","",COUNTIF(B$6:B1984,B1984))</f>
        <v/>
      </c>
      <c r="AC1984" s="57" t="str">
        <f>IF(B1984="","",B1984&amp;"#"&amp;AB1984)</f>
        <v/>
      </c>
      <c r="AD1984" s="57" t="str">
        <f>IF(Z1984=1,A1984&amp;AA1984,"")</f>
        <v/>
      </c>
      <c r="AE1984" s="57" t="str">
        <f>IF(B1984="","",YEAR(C1984))</f>
        <v/>
      </c>
      <c r="AF1984" s="57" t="str">
        <f>IF(B1984="","",MONTH(C1984))</f>
        <v/>
      </c>
      <c r="AG1984" s="57">
        <f>IF(ISNUMBER(C1984),C1984,0)</f>
        <v>0.0</v>
      </c>
      <c r="AH1984" s="57" t="str">
        <f>IF(N(W1984)&gt;0,COUNTIF(W$6:W1984,"&gt;0"),"")</f>
        <v/>
      </c>
      <c r="AI1984" s="57" t="str">
        <f>IF(Z1984=1,COUNTIF(Z$6:Z1984,1),"")</f>
        <v/>
      </c>
    </row>
    <row r="1985">
      <c r="A1985" s="54" t="n"/>
      <c r="B1985" s="55" t="str">
        <f>IF(AA1985="","",A1985&amp;"-"&amp;RIGHT("000"&amp;AA1985,4))</f>
        <v/>
      </c>
      <c r="C1985" s="56" t="n"/>
      <c r="D1985" s="54" t="n"/>
      <c r="E1985" s="57" t="str">
        <f>IF(D1985="","",IF(A1985="BL",IFERROR(INDEX(cl_name,MATCH(D1985,cl_code,0))&amp;"","Client inconnu"),IF(A1985="BR",IFERROR(INDEX(fo_name,MATCH(D1985,fo_code,0))&amp;"","Fournisseur inconnu"),IF(A1985="BS",IF(ISNA(MATCH(D1985,p_services,0)),"Service inconnu",D1985&amp;""),""))))</f>
        <v/>
      </c>
      <c r="F1985" s="58" t="n"/>
      <c r="G1985" s="58" t="n"/>
      <c r="H1985" s="59" t="n"/>
      <c r="I1985" s="57" t="str">
        <f>IF(H1985="","",IFERROR(INDEX(art_des,MATCH(H1985,art_ref,0))&amp;"","Article inconnu"))</f>
        <v/>
      </c>
      <c r="J1985" s="60" t="str">
        <f>IF(H1985="","",IFERROR(INDEX(art_unit,MATCH(H1985,art_ref,0))&amp;"",""))</f>
        <v/>
      </c>
      <c r="K1985" s="59" t="n"/>
      <c r="L1985" s="59" t="n"/>
      <c r="M1985" s="61" t="str">
        <f>IF(OR(B1985="",NOT(ISNUMBER(K1985)),NOT(ISNUMBER(L1985))),"",IF(OR(K1985&lt;=0,L1985&lt;=0),"",ROUND(L1985-K1985,6)))</f>
        <v/>
      </c>
      <c r="N1985" s="58" t="n"/>
      <c r="O1985" s="62" t="n"/>
      <c r="P1985" s="63" t="str">
        <f>IF(OR(B1985="",NOT(ISNUMBER(L1985))),"",IF(L1985&lt;=0,"",IFERROR(ROUND(L1985*N(INDEX(art_w,MATCH(H1985,art_ref,0))),3),"")))</f>
        <v/>
      </c>
      <c r="Q1985" s="59" t="n"/>
      <c r="R1985" s="54" t="n"/>
      <c r="S1985" s="59" t="n"/>
      <c r="T1985" s="59" t="n"/>
      <c r="U1985" s="64" t="str">
        <f>IF(OR(B1985="",H1985=""),"",IFERROR(IF(A1985="BL",IF(N(INDEX(art_price,MATCH(H1985,art_ref,0)))=0,"",N(INDEX(art_price,MATCH(H1985,art_ref,0)))),IF(N(INDEX(art_cost,MATCH(H1985,art_ref,0)))=0,"",N(INDEX(art_cost,MATCH(H1985,art_ref,0))))),""))</f>
        <v/>
      </c>
      <c r="V1985" s="64" t="str">
        <f>IF(OR(U1985="",NOT(ISNUMBER(L1985))),"",IF(L1985&lt;=0,"",ROUND(L1985*U1985,2)))</f>
        <v/>
      </c>
      <c r="W1985" s="60" t="str">
        <f>IF(AND(B1985&lt;&gt;"",A1985&lt;&gt;"BS",F1985&lt;&gt;"",H1985&lt;&gt;"",ISNUMBER(K1985),ISNUMBER(L1985)),IF(AND(K1985&gt;0,L1985&gt;0,K1985-L1985&gt;0,COUNTIFS(A1986:A$2005,A1985,F1986:F$2005,F1985,H1986:H$2005,H1985,AA1986:AA$2005,"&gt;0")=0),ROUND(K1985-L1985,6),""),"")</f>
        <v/>
      </c>
      <c r="X1985" s="60" t="str">
        <f>IF(AND(A1985="",C1985="",D1985="",H1985="",L1985=""),"",IF(A1985="","Type manquant",IF(AND(A1985&lt;&gt;"BL",A1985&lt;&gt;"BR",A1985&lt;&gt;"BS"),"Type inconnu (BL, BR ou BS)",IF(AG1985=0,"Date manquante ou invalide",IF(D1985="",IF(A1985="BL","Client manquant",IF(A1985="BR","Fournisseur manquant","Service manquant")),IF(IF(A1985="BL",ISNA(MATCH(D1985,cl_code,0)),IF(A1985="BR",ISNA(MATCH(D1985,fo_code,0)),ISNA(MATCH(D1985,p_services,0)))),IF(A1985="BL","Client inconnu",IF(A1985="BR","Fournisseur inconnu","Service inconnu")),IF(H1985="","Article manquant",IF(ISNA(MATCH(H1985,art_ref,0)),"Article inconnu",IF(OR(NOT(ISNUMBER(L1985)),N(L1985)&lt;=0),"Quantité invalide",IF(AND(K1985&lt;&gt;"",OR(NOT(ISNUMBER(K1985)),N(K1985)&lt;=0)),"Qté commandée invalide",IF(AG1985&lt;SUMPRODUCT(MAX((A$6:A1984=A1985)*AG$6:AG1984)),"Date antérieure au bon précédent",IF(AND(A1985&lt;&gt;"BR",ISNUMBER(M1985),N(M1985)&gt;0),IF(A1985="BL","Livré plus que commandé","Sorti plus que demandé"),"OK"))))))))))))</f>
        <v/>
      </c>
      <c r="Y1985" s="57" t="str">
        <f>IF(AND(OR(A1985="BL",A1985="BR",A1985="BS"),AG1985&gt;0,D1985&lt;&gt;""),A1985&amp;"|"&amp;AG1985&amp;"|"&amp;D1985&amp;"|"&amp;F1985,"")</f>
        <v/>
      </c>
      <c r="Z1985" s="57" t="str">
        <f>IF(Y1985="","",IF(COUNTIF(Y$6:Y1984,Y1985)=0,1,0))</f>
        <v/>
      </c>
      <c r="AA1985" s="57" t="str">
        <f>IF(Y1985="","",IF(Z1985=1,COUNTIFS(A$6:A1985,A1985,Z$6:Z1985,1),INDEX(AA$6:AA1984,MATCH(Y1985,Y$6:Y1984,0))))</f>
        <v/>
      </c>
      <c r="AB1985" s="57" t="str">
        <f>IF(B1985="","",COUNTIF(B$6:B1985,B1985))</f>
        <v/>
      </c>
      <c r="AC1985" s="57" t="str">
        <f>IF(B1985="","",B1985&amp;"#"&amp;AB1985)</f>
        <v/>
      </c>
      <c r="AD1985" s="57" t="str">
        <f>IF(Z1985=1,A1985&amp;AA1985,"")</f>
        <v/>
      </c>
      <c r="AE1985" s="57" t="str">
        <f>IF(B1985="","",YEAR(C1985))</f>
        <v/>
      </c>
      <c r="AF1985" s="57" t="str">
        <f>IF(B1985="","",MONTH(C1985))</f>
        <v/>
      </c>
      <c r="AG1985" s="57">
        <f>IF(ISNUMBER(C1985),C1985,0)</f>
        <v>0.0</v>
      </c>
      <c r="AH1985" s="57" t="str">
        <f>IF(N(W1985)&gt;0,COUNTIF(W$6:W1985,"&gt;0"),"")</f>
        <v/>
      </c>
      <c r="AI1985" s="57" t="str">
        <f>IF(Z1985=1,COUNTIF(Z$6:Z1985,1),"")</f>
        <v/>
      </c>
    </row>
    <row r="1986">
      <c r="A1986" s="54" t="n"/>
      <c r="B1986" s="55" t="str">
        <f>IF(AA1986="","",A1986&amp;"-"&amp;RIGHT("000"&amp;AA1986,4))</f>
        <v/>
      </c>
      <c r="C1986" s="56" t="n"/>
      <c r="D1986" s="54" t="n"/>
      <c r="E1986" s="57" t="str">
        <f>IF(D1986="","",IF(A1986="BL",IFERROR(INDEX(cl_name,MATCH(D1986,cl_code,0))&amp;"","Client inconnu"),IF(A1986="BR",IFERROR(INDEX(fo_name,MATCH(D1986,fo_code,0))&amp;"","Fournisseur inconnu"),IF(A1986="BS",IF(ISNA(MATCH(D1986,p_services,0)),"Service inconnu",D1986&amp;""),""))))</f>
        <v/>
      </c>
      <c r="F1986" s="58" t="n"/>
      <c r="G1986" s="58" t="n"/>
      <c r="H1986" s="59" t="n"/>
      <c r="I1986" s="57" t="str">
        <f>IF(H1986="","",IFERROR(INDEX(art_des,MATCH(H1986,art_ref,0))&amp;"","Article inconnu"))</f>
        <v/>
      </c>
      <c r="J1986" s="60" t="str">
        <f>IF(H1986="","",IFERROR(INDEX(art_unit,MATCH(H1986,art_ref,0))&amp;"",""))</f>
        <v/>
      </c>
      <c r="K1986" s="59" t="n"/>
      <c r="L1986" s="59" t="n"/>
      <c r="M1986" s="61" t="str">
        <f>IF(OR(B1986="",NOT(ISNUMBER(K1986)),NOT(ISNUMBER(L1986))),"",IF(OR(K1986&lt;=0,L1986&lt;=0),"",ROUND(L1986-K1986,6)))</f>
        <v/>
      </c>
      <c r="N1986" s="58" t="n"/>
      <c r="O1986" s="62" t="n"/>
      <c r="P1986" s="63" t="str">
        <f>IF(OR(B1986="",NOT(ISNUMBER(L1986))),"",IF(L1986&lt;=0,"",IFERROR(ROUND(L1986*N(INDEX(art_w,MATCH(H1986,art_ref,0))),3),"")))</f>
        <v/>
      </c>
      <c r="Q1986" s="59" t="n"/>
      <c r="R1986" s="54" t="n"/>
      <c r="S1986" s="59" t="n"/>
      <c r="T1986" s="59" t="n"/>
      <c r="U1986" s="64" t="str">
        <f>IF(OR(B1986="",H1986=""),"",IFERROR(IF(A1986="BL",IF(N(INDEX(art_price,MATCH(H1986,art_ref,0)))=0,"",N(INDEX(art_price,MATCH(H1986,art_ref,0)))),IF(N(INDEX(art_cost,MATCH(H1986,art_ref,0)))=0,"",N(INDEX(art_cost,MATCH(H1986,art_ref,0))))),""))</f>
        <v/>
      </c>
      <c r="V1986" s="64" t="str">
        <f>IF(OR(U1986="",NOT(ISNUMBER(L1986))),"",IF(L1986&lt;=0,"",ROUND(L1986*U1986,2)))</f>
        <v/>
      </c>
      <c r="W1986" s="60" t="str">
        <f>IF(AND(B1986&lt;&gt;"",A1986&lt;&gt;"BS",F1986&lt;&gt;"",H1986&lt;&gt;"",ISNUMBER(K1986),ISNUMBER(L1986)),IF(AND(K1986&gt;0,L1986&gt;0,K1986-L1986&gt;0,COUNTIFS(A1987:A$2005,A1986,F1987:F$2005,F1986,H1987:H$2005,H1986,AA1987:AA$2005,"&gt;0")=0),ROUND(K1986-L1986,6),""),"")</f>
        <v/>
      </c>
      <c r="X1986" s="60" t="str">
        <f>IF(AND(A1986="",C1986="",D1986="",H1986="",L1986=""),"",IF(A1986="","Type manquant",IF(AND(A1986&lt;&gt;"BL",A1986&lt;&gt;"BR",A1986&lt;&gt;"BS"),"Type inconnu (BL, BR ou BS)",IF(AG1986=0,"Date manquante ou invalide",IF(D1986="",IF(A1986="BL","Client manquant",IF(A1986="BR","Fournisseur manquant","Service manquant")),IF(IF(A1986="BL",ISNA(MATCH(D1986,cl_code,0)),IF(A1986="BR",ISNA(MATCH(D1986,fo_code,0)),ISNA(MATCH(D1986,p_services,0)))),IF(A1986="BL","Client inconnu",IF(A1986="BR","Fournisseur inconnu","Service inconnu")),IF(H1986="","Article manquant",IF(ISNA(MATCH(H1986,art_ref,0)),"Article inconnu",IF(OR(NOT(ISNUMBER(L1986)),N(L1986)&lt;=0),"Quantité invalide",IF(AND(K1986&lt;&gt;"",OR(NOT(ISNUMBER(K1986)),N(K1986)&lt;=0)),"Qté commandée invalide",IF(AG1986&lt;SUMPRODUCT(MAX((A$6:A1985=A1986)*AG$6:AG1985)),"Date antérieure au bon précédent",IF(AND(A1986&lt;&gt;"BR",ISNUMBER(M1986),N(M1986)&gt;0),IF(A1986="BL","Livré plus que commandé","Sorti plus que demandé"),"OK"))))))))))))</f>
        <v/>
      </c>
      <c r="Y1986" s="57" t="str">
        <f>IF(AND(OR(A1986="BL",A1986="BR",A1986="BS"),AG1986&gt;0,D1986&lt;&gt;""),A1986&amp;"|"&amp;AG1986&amp;"|"&amp;D1986&amp;"|"&amp;F1986,"")</f>
        <v/>
      </c>
      <c r="Z1986" s="57" t="str">
        <f>IF(Y1986="","",IF(COUNTIF(Y$6:Y1985,Y1986)=0,1,0))</f>
        <v/>
      </c>
      <c r="AA1986" s="57" t="str">
        <f>IF(Y1986="","",IF(Z1986=1,COUNTIFS(A$6:A1986,A1986,Z$6:Z1986,1),INDEX(AA$6:AA1985,MATCH(Y1986,Y$6:Y1985,0))))</f>
        <v/>
      </c>
      <c r="AB1986" s="57" t="str">
        <f>IF(B1986="","",COUNTIF(B$6:B1986,B1986))</f>
        <v/>
      </c>
      <c r="AC1986" s="57" t="str">
        <f>IF(B1986="","",B1986&amp;"#"&amp;AB1986)</f>
        <v/>
      </c>
      <c r="AD1986" s="57" t="str">
        <f>IF(Z1986=1,A1986&amp;AA1986,"")</f>
        <v/>
      </c>
      <c r="AE1986" s="57" t="str">
        <f>IF(B1986="","",YEAR(C1986))</f>
        <v/>
      </c>
      <c r="AF1986" s="57" t="str">
        <f>IF(B1986="","",MONTH(C1986))</f>
        <v/>
      </c>
      <c r="AG1986" s="57">
        <f>IF(ISNUMBER(C1986),C1986,0)</f>
        <v>0.0</v>
      </c>
      <c r="AH1986" s="57" t="str">
        <f>IF(N(W1986)&gt;0,COUNTIF(W$6:W1986,"&gt;0"),"")</f>
        <v/>
      </c>
      <c r="AI1986" s="57" t="str">
        <f>IF(Z1986=1,COUNTIF(Z$6:Z1986,1),"")</f>
        <v/>
      </c>
    </row>
    <row r="1987">
      <c r="A1987" s="54" t="n"/>
      <c r="B1987" s="55" t="str">
        <f>IF(AA1987="","",A1987&amp;"-"&amp;RIGHT("000"&amp;AA1987,4))</f>
        <v/>
      </c>
      <c r="C1987" s="56" t="n"/>
      <c r="D1987" s="54" t="n"/>
      <c r="E1987" s="57" t="str">
        <f>IF(D1987="","",IF(A1987="BL",IFERROR(INDEX(cl_name,MATCH(D1987,cl_code,0))&amp;"","Client inconnu"),IF(A1987="BR",IFERROR(INDEX(fo_name,MATCH(D1987,fo_code,0))&amp;"","Fournisseur inconnu"),IF(A1987="BS",IF(ISNA(MATCH(D1987,p_services,0)),"Service inconnu",D1987&amp;""),""))))</f>
        <v/>
      </c>
      <c r="F1987" s="58" t="n"/>
      <c r="G1987" s="58" t="n"/>
      <c r="H1987" s="59" t="n"/>
      <c r="I1987" s="57" t="str">
        <f>IF(H1987="","",IFERROR(INDEX(art_des,MATCH(H1987,art_ref,0))&amp;"","Article inconnu"))</f>
        <v/>
      </c>
      <c r="J1987" s="60" t="str">
        <f>IF(H1987="","",IFERROR(INDEX(art_unit,MATCH(H1987,art_ref,0))&amp;"",""))</f>
        <v/>
      </c>
      <c r="K1987" s="59" t="n"/>
      <c r="L1987" s="59" t="n"/>
      <c r="M1987" s="61" t="str">
        <f>IF(OR(B1987="",NOT(ISNUMBER(K1987)),NOT(ISNUMBER(L1987))),"",IF(OR(K1987&lt;=0,L1987&lt;=0),"",ROUND(L1987-K1987,6)))</f>
        <v/>
      </c>
      <c r="N1987" s="58" t="n"/>
      <c r="O1987" s="62" t="n"/>
      <c r="P1987" s="63" t="str">
        <f>IF(OR(B1987="",NOT(ISNUMBER(L1987))),"",IF(L1987&lt;=0,"",IFERROR(ROUND(L1987*N(INDEX(art_w,MATCH(H1987,art_ref,0))),3),"")))</f>
        <v/>
      </c>
      <c r="Q1987" s="59" t="n"/>
      <c r="R1987" s="54" t="n"/>
      <c r="S1987" s="59" t="n"/>
      <c r="T1987" s="59" t="n"/>
      <c r="U1987" s="64" t="str">
        <f>IF(OR(B1987="",H1987=""),"",IFERROR(IF(A1987="BL",IF(N(INDEX(art_price,MATCH(H1987,art_ref,0)))=0,"",N(INDEX(art_price,MATCH(H1987,art_ref,0)))),IF(N(INDEX(art_cost,MATCH(H1987,art_ref,0)))=0,"",N(INDEX(art_cost,MATCH(H1987,art_ref,0))))),""))</f>
        <v/>
      </c>
      <c r="V1987" s="64" t="str">
        <f>IF(OR(U1987="",NOT(ISNUMBER(L1987))),"",IF(L1987&lt;=0,"",ROUND(L1987*U1987,2)))</f>
        <v/>
      </c>
      <c r="W1987" s="60" t="str">
        <f>IF(AND(B1987&lt;&gt;"",A1987&lt;&gt;"BS",F1987&lt;&gt;"",H1987&lt;&gt;"",ISNUMBER(K1987),ISNUMBER(L1987)),IF(AND(K1987&gt;0,L1987&gt;0,K1987-L1987&gt;0,COUNTIFS(A1988:A$2005,A1987,F1988:F$2005,F1987,H1988:H$2005,H1987,AA1988:AA$2005,"&gt;0")=0),ROUND(K1987-L1987,6),""),"")</f>
        <v/>
      </c>
      <c r="X1987" s="60" t="str">
        <f>IF(AND(A1987="",C1987="",D1987="",H1987="",L1987=""),"",IF(A1987="","Type manquant",IF(AND(A1987&lt;&gt;"BL",A1987&lt;&gt;"BR",A1987&lt;&gt;"BS"),"Type inconnu (BL, BR ou BS)",IF(AG1987=0,"Date manquante ou invalide",IF(D1987="",IF(A1987="BL","Client manquant",IF(A1987="BR","Fournisseur manquant","Service manquant")),IF(IF(A1987="BL",ISNA(MATCH(D1987,cl_code,0)),IF(A1987="BR",ISNA(MATCH(D1987,fo_code,0)),ISNA(MATCH(D1987,p_services,0)))),IF(A1987="BL","Client inconnu",IF(A1987="BR","Fournisseur inconnu","Service inconnu")),IF(H1987="","Article manquant",IF(ISNA(MATCH(H1987,art_ref,0)),"Article inconnu",IF(OR(NOT(ISNUMBER(L1987)),N(L1987)&lt;=0),"Quantité invalide",IF(AND(K1987&lt;&gt;"",OR(NOT(ISNUMBER(K1987)),N(K1987)&lt;=0)),"Qté commandée invalide",IF(AG1987&lt;SUMPRODUCT(MAX((A$6:A1986=A1987)*AG$6:AG1986)),"Date antérieure au bon précédent",IF(AND(A1987&lt;&gt;"BR",ISNUMBER(M1987),N(M1987)&gt;0),IF(A1987="BL","Livré plus que commandé","Sorti plus que demandé"),"OK"))))))))))))</f>
        <v/>
      </c>
      <c r="Y1987" s="57" t="str">
        <f>IF(AND(OR(A1987="BL",A1987="BR",A1987="BS"),AG1987&gt;0,D1987&lt;&gt;""),A1987&amp;"|"&amp;AG1987&amp;"|"&amp;D1987&amp;"|"&amp;F1987,"")</f>
        <v/>
      </c>
      <c r="Z1987" s="57" t="str">
        <f>IF(Y1987="","",IF(COUNTIF(Y$6:Y1986,Y1987)=0,1,0))</f>
        <v/>
      </c>
      <c r="AA1987" s="57" t="str">
        <f>IF(Y1987="","",IF(Z1987=1,COUNTIFS(A$6:A1987,A1987,Z$6:Z1987,1),INDEX(AA$6:AA1986,MATCH(Y1987,Y$6:Y1986,0))))</f>
        <v/>
      </c>
      <c r="AB1987" s="57" t="str">
        <f>IF(B1987="","",COUNTIF(B$6:B1987,B1987))</f>
        <v/>
      </c>
      <c r="AC1987" s="57" t="str">
        <f>IF(B1987="","",B1987&amp;"#"&amp;AB1987)</f>
        <v/>
      </c>
      <c r="AD1987" s="57" t="str">
        <f>IF(Z1987=1,A1987&amp;AA1987,"")</f>
        <v/>
      </c>
      <c r="AE1987" s="57" t="str">
        <f>IF(B1987="","",YEAR(C1987))</f>
        <v/>
      </c>
      <c r="AF1987" s="57" t="str">
        <f>IF(B1987="","",MONTH(C1987))</f>
        <v/>
      </c>
      <c r="AG1987" s="57">
        <f>IF(ISNUMBER(C1987),C1987,0)</f>
        <v>0.0</v>
      </c>
      <c r="AH1987" s="57" t="str">
        <f>IF(N(W1987)&gt;0,COUNTIF(W$6:W1987,"&gt;0"),"")</f>
        <v/>
      </c>
      <c r="AI1987" s="57" t="str">
        <f>IF(Z1987=1,COUNTIF(Z$6:Z1987,1),"")</f>
        <v/>
      </c>
    </row>
    <row r="1988">
      <c r="A1988" s="54" t="n"/>
      <c r="B1988" s="55" t="str">
        <f>IF(AA1988="","",A1988&amp;"-"&amp;RIGHT("000"&amp;AA1988,4))</f>
        <v/>
      </c>
      <c r="C1988" s="56" t="n"/>
      <c r="D1988" s="54" t="n"/>
      <c r="E1988" s="57" t="str">
        <f>IF(D1988="","",IF(A1988="BL",IFERROR(INDEX(cl_name,MATCH(D1988,cl_code,0))&amp;"","Client inconnu"),IF(A1988="BR",IFERROR(INDEX(fo_name,MATCH(D1988,fo_code,0))&amp;"","Fournisseur inconnu"),IF(A1988="BS",IF(ISNA(MATCH(D1988,p_services,0)),"Service inconnu",D1988&amp;""),""))))</f>
        <v/>
      </c>
      <c r="F1988" s="58" t="n"/>
      <c r="G1988" s="58" t="n"/>
      <c r="H1988" s="59" t="n"/>
      <c r="I1988" s="57" t="str">
        <f>IF(H1988="","",IFERROR(INDEX(art_des,MATCH(H1988,art_ref,0))&amp;"","Article inconnu"))</f>
        <v/>
      </c>
      <c r="J1988" s="60" t="str">
        <f>IF(H1988="","",IFERROR(INDEX(art_unit,MATCH(H1988,art_ref,0))&amp;"",""))</f>
        <v/>
      </c>
      <c r="K1988" s="59" t="n"/>
      <c r="L1988" s="59" t="n"/>
      <c r="M1988" s="61" t="str">
        <f>IF(OR(B1988="",NOT(ISNUMBER(K1988)),NOT(ISNUMBER(L1988))),"",IF(OR(K1988&lt;=0,L1988&lt;=0),"",ROUND(L1988-K1988,6)))</f>
        <v/>
      </c>
      <c r="N1988" s="58" t="n"/>
      <c r="O1988" s="62" t="n"/>
      <c r="P1988" s="63" t="str">
        <f>IF(OR(B1988="",NOT(ISNUMBER(L1988))),"",IF(L1988&lt;=0,"",IFERROR(ROUND(L1988*N(INDEX(art_w,MATCH(H1988,art_ref,0))),3),"")))</f>
        <v/>
      </c>
      <c r="Q1988" s="59" t="n"/>
      <c r="R1988" s="54" t="n"/>
      <c r="S1988" s="59" t="n"/>
      <c r="T1988" s="59" t="n"/>
      <c r="U1988" s="64" t="str">
        <f>IF(OR(B1988="",H1988=""),"",IFERROR(IF(A1988="BL",IF(N(INDEX(art_price,MATCH(H1988,art_ref,0)))=0,"",N(INDEX(art_price,MATCH(H1988,art_ref,0)))),IF(N(INDEX(art_cost,MATCH(H1988,art_ref,0)))=0,"",N(INDEX(art_cost,MATCH(H1988,art_ref,0))))),""))</f>
        <v/>
      </c>
      <c r="V1988" s="64" t="str">
        <f>IF(OR(U1988="",NOT(ISNUMBER(L1988))),"",IF(L1988&lt;=0,"",ROUND(L1988*U1988,2)))</f>
        <v/>
      </c>
      <c r="W1988" s="60" t="str">
        <f>IF(AND(B1988&lt;&gt;"",A1988&lt;&gt;"BS",F1988&lt;&gt;"",H1988&lt;&gt;"",ISNUMBER(K1988),ISNUMBER(L1988)),IF(AND(K1988&gt;0,L1988&gt;0,K1988-L1988&gt;0,COUNTIFS(A1989:A$2005,A1988,F1989:F$2005,F1988,H1989:H$2005,H1988,AA1989:AA$2005,"&gt;0")=0),ROUND(K1988-L1988,6),""),"")</f>
        <v/>
      </c>
      <c r="X1988" s="60" t="str">
        <f>IF(AND(A1988="",C1988="",D1988="",H1988="",L1988=""),"",IF(A1988="","Type manquant",IF(AND(A1988&lt;&gt;"BL",A1988&lt;&gt;"BR",A1988&lt;&gt;"BS"),"Type inconnu (BL, BR ou BS)",IF(AG1988=0,"Date manquante ou invalide",IF(D1988="",IF(A1988="BL","Client manquant",IF(A1988="BR","Fournisseur manquant","Service manquant")),IF(IF(A1988="BL",ISNA(MATCH(D1988,cl_code,0)),IF(A1988="BR",ISNA(MATCH(D1988,fo_code,0)),ISNA(MATCH(D1988,p_services,0)))),IF(A1988="BL","Client inconnu",IF(A1988="BR","Fournisseur inconnu","Service inconnu")),IF(H1988="","Article manquant",IF(ISNA(MATCH(H1988,art_ref,0)),"Article inconnu",IF(OR(NOT(ISNUMBER(L1988)),N(L1988)&lt;=0),"Quantité invalide",IF(AND(K1988&lt;&gt;"",OR(NOT(ISNUMBER(K1988)),N(K1988)&lt;=0)),"Qté commandée invalide",IF(AG1988&lt;SUMPRODUCT(MAX((A$6:A1987=A1988)*AG$6:AG1987)),"Date antérieure au bon précédent",IF(AND(A1988&lt;&gt;"BR",ISNUMBER(M1988),N(M1988)&gt;0),IF(A1988="BL","Livré plus que commandé","Sorti plus que demandé"),"OK"))))))))))))</f>
        <v/>
      </c>
      <c r="Y1988" s="57" t="str">
        <f>IF(AND(OR(A1988="BL",A1988="BR",A1988="BS"),AG1988&gt;0,D1988&lt;&gt;""),A1988&amp;"|"&amp;AG1988&amp;"|"&amp;D1988&amp;"|"&amp;F1988,"")</f>
        <v/>
      </c>
      <c r="Z1988" s="57" t="str">
        <f>IF(Y1988="","",IF(COUNTIF(Y$6:Y1987,Y1988)=0,1,0))</f>
        <v/>
      </c>
      <c r="AA1988" s="57" t="str">
        <f>IF(Y1988="","",IF(Z1988=1,COUNTIFS(A$6:A1988,A1988,Z$6:Z1988,1),INDEX(AA$6:AA1987,MATCH(Y1988,Y$6:Y1987,0))))</f>
        <v/>
      </c>
      <c r="AB1988" s="57" t="str">
        <f>IF(B1988="","",COUNTIF(B$6:B1988,B1988))</f>
        <v/>
      </c>
      <c r="AC1988" s="57" t="str">
        <f>IF(B1988="","",B1988&amp;"#"&amp;AB1988)</f>
        <v/>
      </c>
      <c r="AD1988" s="57" t="str">
        <f>IF(Z1988=1,A1988&amp;AA1988,"")</f>
        <v/>
      </c>
      <c r="AE1988" s="57" t="str">
        <f>IF(B1988="","",YEAR(C1988))</f>
        <v/>
      </c>
      <c r="AF1988" s="57" t="str">
        <f>IF(B1988="","",MONTH(C1988))</f>
        <v/>
      </c>
      <c r="AG1988" s="57">
        <f>IF(ISNUMBER(C1988),C1988,0)</f>
        <v>0.0</v>
      </c>
      <c r="AH1988" s="57" t="str">
        <f>IF(N(W1988)&gt;0,COUNTIF(W$6:W1988,"&gt;0"),"")</f>
        <v/>
      </c>
      <c r="AI1988" s="57" t="str">
        <f>IF(Z1988=1,COUNTIF(Z$6:Z1988,1),"")</f>
        <v/>
      </c>
    </row>
    <row r="1989">
      <c r="A1989" s="54" t="n"/>
      <c r="B1989" s="55" t="str">
        <f>IF(AA1989="","",A1989&amp;"-"&amp;RIGHT("000"&amp;AA1989,4))</f>
        <v/>
      </c>
      <c r="C1989" s="56" t="n"/>
      <c r="D1989" s="54" t="n"/>
      <c r="E1989" s="57" t="str">
        <f>IF(D1989="","",IF(A1989="BL",IFERROR(INDEX(cl_name,MATCH(D1989,cl_code,0))&amp;"","Client inconnu"),IF(A1989="BR",IFERROR(INDEX(fo_name,MATCH(D1989,fo_code,0))&amp;"","Fournisseur inconnu"),IF(A1989="BS",IF(ISNA(MATCH(D1989,p_services,0)),"Service inconnu",D1989&amp;""),""))))</f>
        <v/>
      </c>
      <c r="F1989" s="58" t="n"/>
      <c r="G1989" s="58" t="n"/>
      <c r="H1989" s="59" t="n"/>
      <c r="I1989" s="57" t="str">
        <f>IF(H1989="","",IFERROR(INDEX(art_des,MATCH(H1989,art_ref,0))&amp;"","Article inconnu"))</f>
        <v/>
      </c>
      <c r="J1989" s="60" t="str">
        <f>IF(H1989="","",IFERROR(INDEX(art_unit,MATCH(H1989,art_ref,0))&amp;"",""))</f>
        <v/>
      </c>
      <c r="K1989" s="59" t="n"/>
      <c r="L1989" s="59" t="n"/>
      <c r="M1989" s="61" t="str">
        <f>IF(OR(B1989="",NOT(ISNUMBER(K1989)),NOT(ISNUMBER(L1989))),"",IF(OR(K1989&lt;=0,L1989&lt;=0),"",ROUND(L1989-K1989,6)))</f>
        <v/>
      </c>
      <c r="N1989" s="58" t="n"/>
      <c r="O1989" s="62" t="n"/>
      <c r="P1989" s="63" t="str">
        <f>IF(OR(B1989="",NOT(ISNUMBER(L1989))),"",IF(L1989&lt;=0,"",IFERROR(ROUND(L1989*N(INDEX(art_w,MATCH(H1989,art_ref,0))),3),"")))</f>
        <v/>
      </c>
      <c r="Q1989" s="59" t="n"/>
      <c r="R1989" s="54" t="n"/>
      <c r="S1989" s="59" t="n"/>
      <c r="T1989" s="59" t="n"/>
      <c r="U1989" s="64" t="str">
        <f>IF(OR(B1989="",H1989=""),"",IFERROR(IF(A1989="BL",IF(N(INDEX(art_price,MATCH(H1989,art_ref,0)))=0,"",N(INDEX(art_price,MATCH(H1989,art_ref,0)))),IF(N(INDEX(art_cost,MATCH(H1989,art_ref,0)))=0,"",N(INDEX(art_cost,MATCH(H1989,art_ref,0))))),""))</f>
        <v/>
      </c>
      <c r="V1989" s="64" t="str">
        <f>IF(OR(U1989="",NOT(ISNUMBER(L1989))),"",IF(L1989&lt;=0,"",ROUND(L1989*U1989,2)))</f>
        <v/>
      </c>
      <c r="W1989" s="60" t="str">
        <f>IF(AND(B1989&lt;&gt;"",A1989&lt;&gt;"BS",F1989&lt;&gt;"",H1989&lt;&gt;"",ISNUMBER(K1989),ISNUMBER(L1989)),IF(AND(K1989&gt;0,L1989&gt;0,K1989-L1989&gt;0,COUNTIFS(A1990:A$2005,A1989,F1990:F$2005,F1989,H1990:H$2005,H1989,AA1990:AA$2005,"&gt;0")=0),ROUND(K1989-L1989,6),""),"")</f>
        <v/>
      </c>
      <c r="X1989" s="60" t="str">
        <f>IF(AND(A1989="",C1989="",D1989="",H1989="",L1989=""),"",IF(A1989="","Type manquant",IF(AND(A1989&lt;&gt;"BL",A1989&lt;&gt;"BR",A1989&lt;&gt;"BS"),"Type inconnu (BL, BR ou BS)",IF(AG1989=0,"Date manquante ou invalide",IF(D1989="",IF(A1989="BL","Client manquant",IF(A1989="BR","Fournisseur manquant","Service manquant")),IF(IF(A1989="BL",ISNA(MATCH(D1989,cl_code,0)),IF(A1989="BR",ISNA(MATCH(D1989,fo_code,0)),ISNA(MATCH(D1989,p_services,0)))),IF(A1989="BL","Client inconnu",IF(A1989="BR","Fournisseur inconnu","Service inconnu")),IF(H1989="","Article manquant",IF(ISNA(MATCH(H1989,art_ref,0)),"Article inconnu",IF(OR(NOT(ISNUMBER(L1989)),N(L1989)&lt;=0),"Quantité invalide",IF(AND(K1989&lt;&gt;"",OR(NOT(ISNUMBER(K1989)),N(K1989)&lt;=0)),"Qté commandée invalide",IF(AG1989&lt;SUMPRODUCT(MAX((A$6:A1988=A1989)*AG$6:AG1988)),"Date antérieure au bon précédent",IF(AND(A1989&lt;&gt;"BR",ISNUMBER(M1989),N(M1989)&gt;0),IF(A1989="BL","Livré plus que commandé","Sorti plus que demandé"),"OK"))))))))))))</f>
        <v/>
      </c>
      <c r="Y1989" s="57" t="str">
        <f>IF(AND(OR(A1989="BL",A1989="BR",A1989="BS"),AG1989&gt;0,D1989&lt;&gt;""),A1989&amp;"|"&amp;AG1989&amp;"|"&amp;D1989&amp;"|"&amp;F1989,"")</f>
        <v/>
      </c>
      <c r="Z1989" s="57" t="str">
        <f>IF(Y1989="","",IF(COUNTIF(Y$6:Y1988,Y1989)=0,1,0))</f>
        <v/>
      </c>
      <c r="AA1989" s="57" t="str">
        <f>IF(Y1989="","",IF(Z1989=1,COUNTIFS(A$6:A1989,A1989,Z$6:Z1989,1),INDEX(AA$6:AA1988,MATCH(Y1989,Y$6:Y1988,0))))</f>
        <v/>
      </c>
      <c r="AB1989" s="57" t="str">
        <f>IF(B1989="","",COUNTIF(B$6:B1989,B1989))</f>
        <v/>
      </c>
      <c r="AC1989" s="57" t="str">
        <f>IF(B1989="","",B1989&amp;"#"&amp;AB1989)</f>
        <v/>
      </c>
      <c r="AD1989" s="57" t="str">
        <f>IF(Z1989=1,A1989&amp;AA1989,"")</f>
        <v/>
      </c>
      <c r="AE1989" s="57" t="str">
        <f>IF(B1989="","",YEAR(C1989))</f>
        <v/>
      </c>
      <c r="AF1989" s="57" t="str">
        <f>IF(B1989="","",MONTH(C1989))</f>
        <v/>
      </c>
      <c r="AG1989" s="57">
        <f>IF(ISNUMBER(C1989),C1989,0)</f>
        <v>0.0</v>
      </c>
      <c r="AH1989" s="57" t="str">
        <f>IF(N(W1989)&gt;0,COUNTIF(W$6:W1989,"&gt;0"),"")</f>
        <v/>
      </c>
      <c r="AI1989" s="57" t="str">
        <f>IF(Z1989=1,COUNTIF(Z$6:Z1989,1),"")</f>
        <v/>
      </c>
    </row>
    <row r="1990">
      <c r="A1990" s="54" t="n"/>
      <c r="B1990" s="55" t="str">
        <f>IF(AA1990="","",A1990&amp;"-"&amp;RIGHT("000"&amp;AA1990,4))</f>
        <v/>
      </c>
      <c r="C1990" s="56" t="n"/>
      <c r="D1990" s="54" t="n"/>
      <c r="E1990" s="57" t="str">
        <f>IF(D1990="","",IF(A1990="BL",IFERROR(INDEX(cl_name,MATCH(D1990,cl_code,0))&amp;"","Client inconnu"),IF(A1990="BR",IFERROR(INDEX(fo_name,MATCH(D1990,fo_code,0))&amp;"","Fournisseur inconnu"),IF(A1990="BS",IF(ISNA(MATCH(D1990,p_services,0)),"Service inconnu",D1990&amp;""),""))))</f>
        <v/>
      </c>
      <c r="F1990" s="58" t="n"/>
      <c r="G1990" s="58" t="n"/>
      <c r="H1990" s="59" t="n"/>
      <c r="I1990" s="57" t="str">
        <f>IF(H1990="","",IFERROR(INDEX(art_des,MATCH(H1990,art_ref,0))&amp;"","Article inconnu"))</f>
        <v/>
      </c>
      <c r="J1990" s="60" t="str">
        <f>IF(H1990="","",IFERROR(INDEX(art_unit,MATCH(H1990,art_ref,0))&amp;"",""))</f>
        <v/>
      </c>
      <c r="K1990" s="59" t="n"/>
      <c r="L1990" s="59" t="n"/>
      <c r="M1990" s="61" t="str">
        <f>IF(OR(B1990="",NOT(ISNUMBER(K1990)),NOT(ISNUMBER(L1990))),"",IF(OR(K1990&lt;=0,L1990&lt;=0),"",ROUND(L1990-K1990,6)))</f>
        <v/>
      </c>
      <c r="N1990" s="58" t="n"/>
      <c r="O1990" s="62" t="n"/>
      <c r="P1990" s="63" t="str">
        <f>IF(OR(B1990="",NOT(ISNUMBER(L1990))),"",IF(L1990&lt;=0,"",IFERROR(ROUND(L1990*N(INDEX(art_w,MATCH(H1990,art_ref,0))),3),"")))</f>
        <v/>
      </c>
      <c r="Q1990" s="59" t="n"/>
      <c r="R1990" s="54" t="n"/>
      <c r="S1990" s="59" t="n"/>
      <c r="T1990" s="59" t="n"/>
      <c r="U1990" s="64" t="str">
        <f>IF(OR(B1990="",H1990=""),"",IFERROR(IF(A1990="BL",IF(N(INDEX(art_price,MATCH(H1990,art_ref,0)))=0,"",N(INDEX(art_price,MATCH(H1990,art_ref,0)))),IF(N(INDEX(art_cost,MATCH(H1990,art_ref,0)))=0,"",N(INDEX(art_cost,MATCH(H1990,art_ref,0))))),""))</f>
        <v/>
      </c>
      <c r="V1990" s="64" t="str">
        <f>IF(OR(U1990="",NOT(ISNUMBER(L1990))),"",IF(L1990&lt;=0,"",ROUND(L1990*U1990,2)))</f>
        <v/>
      </c>
      <c r="W1990" s="60" t="str">
        <f>IF(AND(B1990&lt;&gt;"",A1990&lt;&gt;"BS",F1990&lt;&gt;"",H1990&lt;&gt;"",ISNUMBER(K1990),ISNUMBER(L1990)),IF(AND(K1990&gt;0,L1990&gt;0,K1990-L1990&gt;0,COUNTIFS(A1991:A$2005,A1990,F1991:F$2005,F1990,H1991:H$2005,H1990,AA1991:AA$2005,"&gt;0")=0),ROUND(K1990-L1990,6),""),"")</f>
        <v/>
      </c>
      <c r="X1990" s="60" t="str">
        <f>IF(AND(A1990="",C1990="",D1990="",H1990="",L1990=""),"",IF(A1990="","Type manquant",IF(AND(A1990&lt;&gt;"BL",A1990&lt;&gt;"BR",A1990&lt;&gt;"BS"),"Type inconnu (BL, BR ou BS)",IF(AG1990=0,"Date manquante ou invalide",IF(D1990="",IF(A1990="BL","Client manquant",IF(A1990="BR","Fournisseur manquant","Service manquant")),IF(IF(A1990="BL",ISNA(MATCH(D1990,cl_code,0)),IF(A1990="BR",ISNA(MATCH(D1990,fo_code,0)),ISNA(MATCH(D1990,p_services,0)))),IF(A1990="BL","Client inconnu",IF(A1990="BR","Fournisseur inconnu","Service inconnu")),IF(H1990="","Article manquant",IF(ISNA(MATCH(H1990,art_ref,0)),"Article inconnu",IF(OR(NOT(ISNUMBER(L1990)),N(L1990)&lt;=0),"Quantité invalide",IF(AND(K1990&lt;&gt;"",OR(NOT(ISNUMBER(K1990)),N(K1990)&lt;=0)),"Qté commandée invalide",IF(AG1990&lt;SUMPRODUCT(MAX((A$6:A1989=A1990)*AG$6:AG1989)),"Date antérieure au bon précédent",IF(AND(A1990&lt;&gt;"BR",ISNUMBER(M1990),N(M1990)&gt;0),IF(A1990="BL","Livré plus que commandé","Sorti plus que demandé"),"OK"))))))))))))</f>
        <v/>
      </c>
      <c r="Y1990" s="57" t="str">
        <f>IF(AND(OR(A1990="BL",A1990="BR",A1990="BS"),AG1990&gt;0,D1990&lt;&gt;""),A1990&amp;"|"&amp;AG1990&amp;"|"&amp;D1990&amp;"|"&amp;F1990,"")</f>
        <v/>
      </c>
      <c r="Z1990" s="57" t="str">
        <f>IF(Y1990="","",IF(COUNTIF(Y$6:Y1989,Y1990)=0,1,0))</f>
        <v/>
      </c>
      <c r="AA1990" s="57" t="str">
        <f>IF(Y1990="","",IF(Z1990=1,COUNTIFS(A$6:A1990,A1990,Z$6:Z1990,1),INDEX(AA$6:AA1989,MATCH(Y1990,Y$6:Y1989,0))))</f>
        <v/>
      </c>
      <c r="AB1990" s="57" t="str">
        <f>IF(B1990="","",COUNTIF(B$6:B1990,B1990))</f>
        <v/>
      </c>
      <c r="AC1990" s="57" t="str">
        <f>IF(B1990="","",B1990&amp;"#"&amp;AB1990)</f>
        <v/>
      </c>
      <c r="AD1990" s="57" t="str">
        <f>IF(Z1990=1,A1990&amp;AA1990,"")</f>
        <v/>
      </c>
      <c r="AE1990" s="57" t="str">
        <f>IF(B1990="","",YEAR(C1990))</f>
        <v/>
      </c>
      <c r="AF1990" s="57" t="str">
        <f>IF(B1990="","",MONTH(C1990))</f>
        <v/>
      </c>
      <c r="AG1990" s="57">
        <f>IF(ISNUMBER(C1990),C1990,0)</f>
        <v>0.0</v>
      </c>
      <c r="AH1990" s="57" t="str">
        <f>IF(N(W1990)&gt;0,COUNTIF(W$6:W1990,"&gt;0"),"")</f>
        <v/>
      </c>
      <c r="AI1990" s="57" t="str">
        <f>IF(Z1990=1,COUNTIF(Z$6:Z1990,1),"")</f>
        <v/>
      </c>
    </row>
    <row r="1991">
      <c r="A1991" s="54" t="n"/>
      <c r="B1991" s="55" t="str">
        <f>IF(AA1991="","",A1991&amp;"-"&amp;RIGHT("000"&amp;AA1991,4))</f>
        <v/>
      </c>
      <c r="C1991" s="56" t="n"/>
      <c r="D1991" s="54" t="n"/>
      <c r="E1991" s="57" t="str">
        <f>IF(D1991="","",IF(A1991="BL",IFERROR(INDEX(cl_name,MATCH(D1991,cl_code,0))&amp;"","Client inconnu"),IF(A1991="BR",IFERROR(INDEX(fo_name,MATCH(D1991,fo_code,0))&amp;"","Fournisseur inconnu"),IF(A1991="BS",IF(ISNA(MATCH(D1991,p_services,0)),"Service inconnu",D1991&amp;""),""))))</f>
        <v/>
      </c>
      <c r="F1991" s="58" t="n"/>
      <c r="G1991" s="58" t="n"/>
      <c r="H1991" s="59" t="n"/>
      <c r="I1991" s="57" t="str">
        <f>IF(H1991="","",IFERROR(INDEX(art_des,MATCH(H1991,art_ref,0))&amp;"","Article inconnu"))</f>
        <v/>
      </c>
      <c r="J1991" s="60" t="str">
        <f>IF(H1991="","",IFERROR(INDEX(art_unit,MATCH(H1991,art_ref,0))&amp;"",""))</f>
        <v/>
      </c>
      <c r="K1991" s="59" t="n"/>
      <c r="L1991" s="59" t="n"/>
      <c r="M1991" s="61" t="str">
        <f>IF(OR(B1991="",NOT(ISNUMBER(K1991)),NOT(ISNUMBER(L1991))),"",IF(OR(K1991&lt;=0,L1991&lt;=0),"",ROUND(L1991-K1991,6)))</f>
        <v/>
      </c>
      <c r="N1991" s="58" t="n"/>
      <c r="O1991" s="62" t="n"/>
      <c r="P1991" s="63" t="str">
        <f>IF(OR(B1991="",NOT(ISNUMBER(L1991))),"",IF(L1991&lt;=0,"",IFERROR(ROUND(L1991*N(INDEX(art_w,MATCH(H1991,art_ref,0))),3),"")))</f>
        <v/>
      </c>
      <c r="Q1991" s="59" t="n"/>
      <c r="R1991" s="54" t="n"/>
      <c r="S1991" s="59" t="n"/>
      <c r="T1991" s="59" t="n"/>
      <c r="U1991" s="64" t="str">
        <f>IF(OR(B1991="",H1991=""),"",IFERROR(IF(A1991="BL",IF(N(INDEX(art_price,MATCH(H1991,art_ref,0)))=0,"",N(INDEX(art_price,MATCH(H1991,art_ref,0)))),IF(N(INDEX(art_cost,MATCH(H1991,art_ref,0)))=0,"",N(INDEX(art_cost,MATCH(H1991,art_ref,0))))),""))</f>
        <v/>
      </c>
      <c r="V1991" s="64" t="str">
        <f>IF(OR(U1991="",NOT(ISNUMBER(L1991))),"",IF(L1991&lt;=0,"",ROUND(L1991*U1991,2)))</f>
        <v/>
      </c>
      <c r="W1991" s="60" t="str">
        <f>IF(AND(B1991&lt;&gt;"",A1991&lt;&gt;"BS",F1991&lt;&gt;"",H1991&lt;&gt;"",ISNUMBER(K1991),ISNUMBER(L1991)),IF(AND(K1991&gt;0,L1991&gt;0,K1991-L1991&gt;0,COUNTIFS(A1992:A$2005,A1991,F1992:F$2005,F1991,H1992:H$2005,H1991,AA1992:AA$2005,"&gt;0")=0),ROUND(K1991-L1991,6),""),"")</f>
        <v/>
      </c>
      <c r="X1991" s="60" t="str">
        <f>IF(AND(A1991="",C1991="",D1991="",H1991="",L1991=""),"",IF(A1991="","Type manquant",IF(AND(A1991&lt;&gt;"BL",A1991&lt;&gt;"BR",A1991&lt;&gt;"BS"),"Type inconnu (BL, BR ou BS)",IF(AG1991=0,"Date manquante ou invalide",IF(D1991="",IF(A1991="BL","Client manquant",IF(A1991="BR","Fournisseur manquant","Service manquant")),IF(IF(A1991="BL",ISNA(MATCH(D1991,cl_code,0)),IF(A1991="BR",ISNA(MATCH(D1991,fo_code,0)),ISNA(MATCH(D1991,p_services,0)))),IF(A1991="BL","Client inconnu",IF(A1991="BR","Fournisseur inconnu","Service inconnu")),IF(H1991="","Article manquant",IF(ISNA(MATCH(H1991,art_ref,0)),"Article inconnu",IF(OR(NOT(ISNUMBER(L1991)),N(L1991)&lt;=0),"Quantité invalide",IF(AND(K1991&lt;&gt;"",OR(NOT(ISNUMBER(K1991)),N(K1991)&lt;=0)),"Qté commandée invalide",IF(AG1991&lt;SUMPRODUCT(MAX((A$6:A1990=A1991)*AG$6:AG1990)),"Date antérieure au bon précédent",IF(AND(A1991&lt;&gt;"BR",ISNUMBER(M1991),N(M1991)&gt;0),IF(A1991="BL","Livré plus que commandé","Sorti plus que demandé"),"OK"))))))))))))</f>
        <v/>
      </c>
      <c r="Y1991" s="57" t="str">
        <f>IF(AND(OR(A1991="BL",A1991="BR",A1991="BS"),AG1991&gt;0,D1991&lt;&gt;""),A1991&amp;"|"&amp;AG1991&amp;"|"&amp;D1991&amp;"|"&amp;F1991,"")</f>
        <v/>
      </c>
      <c r="Z1991" s="57" t="str">
        <f>IF(Y1991="","",IF(COUNTIF(Y$6:Y1990,Y1991)=0,1,0))</f>
        <v/>
      </c>
      <c r="AA1991" s="57" t="str">
        <f>IF(Y1991="","",IF(Z1991=1,COUNTIFS(A$6:A1991,A1991,Z$6:Z1991,1),INDEX(AA$6:AA1990,MATCH(Y1991,Y$6:Y1990,0))))</f>
        <v/>
      </c>
      <c r="AB1991" s="57" t="str">
        <f>IF(B1991="","",COUNTIF(B$6:B1991,B1991))</f>
        <v/>
      </c>
      <c r="AC1991" s="57" t="str">
        <f>IF(B1991="","",B1991&amp;"#"&amp;AB1991)</f>
        <v/>
      </c>
      <c r="AD1991" s="57" t="str">
        <f>IF(Z1991=1,A1991&amp;AA1991,"")</f>
        <v/>
      </c>
      <c r="AE1991" s="57" t="str">
        <f>IF(B1991="","",YEAR(C1991))</f>
        <v/>
      </c>
      <c r="AF1991" s="57" t="str">
        <f>IF(B1991="","",MONTH(C1991))</f>
        <v/>
      </c>
      <c r="AG1991" s="57">
        <f>IF(ISNUMBER(C1991),C1991,0)</f>
        <v>0.0</v>
      </c>
      <c r="AH1991" s="57" t="str">
        <f>IF(N(W1991)&gt;0,COUNTIF(W$6:W1991,"&gt;0"),"")</f>
        <v/>
      </c>
      <c r="AI1991" s="57" t="str">
        <f>IF(Z1991=1,COUNTIF(Z$6:Z1991,1),"")</f>
        <v/>
      </c>
    </row>
    <row r="1992">
      <c r="A1992" s="54" t="n"/>
      <c r="B1992" s="55" t="str">
        <f>IF(AA1992="","",A1992&amp;"-"&amp;RIGHT("000"&amp;AA1992,4))</f>
        <v/>
      </c>
      <c r="C1992" s="56" t="n"/>
      <c r="D1992" s="54" t="n"/>
      <c r="E1992" s="57" t="str">
        <f>IF(D1992="","",IF(A1992="BL",IFERROR(INDEX(cl_name,MATCH(D1992,cl_code,0))&amp;"","Client inconnu"),IF(A1992="BR",IFERROR(INDEX(fo_name,MATCH(D1992,fo_code,0))&amp;"","Fournisseur inconnu"),IF(A1992="BS",IF(ISNA(MATCH(D1992,p_services,0)),"Service inconnu",D1992&amp;""),""))))</f>
        <v/>
      </c>
      <c r="F1992" s="58" t="n"/>
      <c r="G1992" s="58" t="n"/>
      <c r="H1992" s="59" t="n"/>
      <c r="I1992" s="57" t="str">
        <f>IF(H1992="","",IFERROR(INDEX(art_des,MATCH(H1992,art_ref,0))&amp;"","Article inconnu"))</f>
        <v/>
      </c>
      <c r="J1992" s="60" t="str">
        <f>IF(H1992="","",IFERROR(INDEX(art_unit,MATCH(H1992,art_ref,0))&amp;"",""))</f>
        <v/>
      </c>
      <c r="K1992" s="59" t="n"/>
      <c r="L1992" s="59" t="n"/>
      <c r="M1992" s="61" t="str">
        <f>IF(OR(B1992="",NOT(ISNUMBER(K1992)),NOT(ISNUMBER(L1992))),"",IF(OR(K1992&lt;=0,L1992&lt;=0),"",ROUND(L1992-K1992,6)))</f>
        <v/>
      </c>
      <c r="N1992" s="58" t="n"/>
      <c r="O1992" s="62" t="n"/>
      <c r="P1992" s="63" t="str">
        <f>IF(OR(B1992="",NOT(ISNUMBER(L1992))),"",IF(L1992&lt;=0,"",IFERROR(ROUND(L1992*N(INDEX(art_w,MATCH(H1992,art_ref,0))),3),"")))</f>
        <v/>
      </c>
      <c r="Q1992" s="59" t="n"/>
      <c r="R1992" s="54" t="n"/>
      <c r="S1992" s="59" t="n"/>
      <c r="T1992" s="59" t="n"/>
      <c r="U1992" s="64" t="str">
        <f>IF(OR(B1992="",H1992=""),"",IFERROR(IF(A1992="BL",IF(N(INDEX(art_price,MATCH(H1992,art_ref,0)))=0,"",N(INDEX(art_price,MATCH(H1992,art_ref,0)))),IF(N(INDEX(art_cost,MATCH(H1992,art_ref,0)))=0,"",N(INDEX(art_cost,MATCH(H1992,art_ref,0))))),""))</f>
        <v/>
      </c>
      <c r="V1992" s="64" t="str">
        <f>IF(OR(U1992="",NOT(ISNUMBER(L1992))),"",IF(L1992&lt;=0,"",ROUND(L1992*U1992,2)))</f>
        <v/>
      </c>
      <c r="W1992" s="60" t="str">
        <f>IF(AND(B1992&lt;&gt;"",A1992&lt;&gt;"BS",F1992&lt;&gt;"",H1992&lt;&gt;"",ISNUMBER(K1992),ISNUMBER(L1992)),IF(AND(K1992&gt;0,L1992&gt;0,K1992-L1992&gt;0,COUNTIFS(A1993:A$2005,A1992,F1993:F$2005,F1992,H1993:H$2005,H1992,AA1993:AA$2005,"&gt;0")=0),ROUND(K1992-L1992,6),""),"")</f>
        <v/>
      </c>
      <c r="X1992" s="60" t="str">
        <f>IF(AND(A1992="",C1992="",D1992="",H1992="",L1992=""),"",IF(A1992="","Type manquant",IF(AND(A1992&lt;&gt;"BL",A1992&lt;&gt;"BR",A1992&lt;&gt;"BS"),"Type inconnu (BL, BR ou BS)",IF(AG1992=0,"Date manquante ou invalide",IF(D1992="",IF(A1992="BL","Client manquant",IF(A1992="BR","Fournisseur manquant","Service manquant")),IF(IF(A1992="BL",ISNA(MATCH(D1992,cl_code,0)),IF(A1992="BR",ISNA(MATCH(D1992,fo_code,0)),ISNA(MATCH(D1992,p_services,0)))),IF(A1992="BL","Client inconnu",IF(A1992="BR","Fournisseur inconnu","Service inconnu")),IF(H1992="","Article manquant",IF(ISNA(MATCH(H1992,art_ref,0)),"Article inconnu",IF(OR(NOT(ISNUMBER(L1992)),N(L1992)&lt;=0),"Quantité invalide",IF(AND(K1992&lt;&gt;"",OR(NOT(ISNUMBER(K1992)),N(K1992)&lt;=0)),"Qté commandée invalide",IF(AG1992&lt;SUMPRODUCT(MAX((A$6:A1991=A1992)*AG$6:AG1991)),"Date antérieure au bon précédent",IF(AND(A1992&lt;&gt;"BR",ISNUMBER(M1992),N(M1992)&gt;0),IF(A1992="BL","Livré plus que commandé","Sorti plus que demandé"),"OK"))))))))))))</f>
        <v/>
      </c>
      <c r="Y1992" s="57" t="str">
        <f>IF(AND(OR(A1992="BL",A1992="BR",A1992="BS"),AG1992&gt;0,D1992&lt;&gt;""),A1992&amp;"|"&amp;AG1992&amp;"|"&amp;D1992&amp;"|"&amp;F1992,"")</f>
        <v/>
      </c>
      <c r="Z1992" s="57" t="str">
        <f>IF(Y1992="","",IF(COUNTIF(Y$6:Y1991,Y1992)=0,1,0))</f>
        <v/>
      </c>
      <c r="AA1992" s="57" t="str">
        <f>IF(Y1992="","",IF(Z1992=1,COUNTIFS(A$6:A1992,A1992,Z$6:Z1992,1),INDEX(AA$6:AA1991,MATCH(Y1992,Y$6:Y1991,0))))</f>
        <v/>
      </c>
      <c r="AB1992" s="57" t="str">
        <f>IF(B1992="","",COUNTIF(B$6:B1992,B1992))</f>
        <v/>
      </c>
      <c r="AC1992" s="57" t="str">
        <f>IF(B1992="","",B1992&amp;"#"&amp;AB1992)</f>
        <v/>
      </c>
      <c r="AD1992" s="57" t="str">
        <f>IF(Z1992=1,A1992&amp;AA1992,"")</f>
        <v/>
      </c>
      <c r="AE1992" s="57" t="str">
        <f>IF(B1992="","",YEAR(C1992))</f>
        <v/>
      </c>
      <c r="AF1992" s="57" t="str">
        <f>IF(B1992="","",MONTH(C1992))</f>
        <v/>
      </c>
      <c r="AG1992" s="57">
        <f>IF(ISNUMBER(C1992),C1992,0)</f>
        <v>0.0</v>
      </c>
      <c r="AH1992" s="57" t="str">
        <f>IF(N(W1992)&gt;0,COUNTIF(W$6:W1992,"&gt;0"),"")</f>
        <v/>
      </c>
      <c r="AI1992" s="57" t="str">
        <f>IF(Z1992=1,COUNTIF(Z$6:Z1992,1),"")</f>
        <v/>
      </c>
    </row>
    <row r="1993">
      <c r="A1993" s="54" t="n"/>
      <c r="B1993" s="55" t="str">
        <f>IF(AA1993="","",A1993&amp;"-"&amp;RIGHT("000"&amp;AA1993,4))</f>
        <v/>
      </c>
      <c r="C1993" s="56" t="n"/>
      <c r="D1993" s="54" t="n"/>
      <c r="E1993" s="57" t="str">
        <f>IF(D1993="","",IF(A1993="BL",IFERROR(INDEX(cl_name,MATCH(D1993,cl_code,0))&amp;"","Client inconnu"),IF(A1993="BR",IFERROR(INDEX(fo_name,MATCH(D1993,fo_code,0))&amp;"","Fournisseur inconnu"),IF(A1993="BS",IF(ISNA(MATCH(D1993,p_services,0)),"Service inconnu",D1993&amp;""),""))))</f>
        <v/>
      </c>
      <c r="F1993" s="58" t="n"/>
      <c r="G1993" s="58" t="n"/>
      <c r="H1993" s="59" t="n"/>
      <c r="I1993" s="57" t="str">
        <f>IF(H1993="","",IFERROR(INDEX(art_des,MATCH(H1993,art_ref,0))&amp;"","Article inconnu"))</f>
        <v/>
      </c>
      <c r="J1993" s="60" t="str">
        <f>IF(H1993="","",IFERROR(INDEX(art_unit,MATCH(H1993,art_ref,0))&amp;"",""))</f>
        <v/>
      </c>
      <c r="K1993" s="59" t="n"/>
      <c r="L1993" s="59" t="n"/>
      <c r="M1993" s="61" t="str">
        <f>IF(OR(B1993="",NOT(ISNUMBER(K1993)),NOT(ISNUMBER(L1993))),"",IF(OR(K1993&lt;=0,L1993&lt;=0),"",ROUND(L1993-K1993,6)))</f>
        <v/>
      </c>
      <c r="N1993" s="58" t="n"/>
      <c r="O1993" s="62" t="n"/>
      <c r="P1993" s="63" t="str">
        <f>IF(OR(B1993="",NOT(ISNUMBER(L1993))),"",IF(L1993&lt;=0,"",IFERROR(ROUND(L1993*N(INDEX(art_w,MATCH(H1993,art_ref,0))),3),"")))</f>
        <v/>
      </c>
      <c r="Q1993" s="59" t="n"/>
      <c r="R1993" s="54" t="n"/>
      <c r="S1993" s="59" t="n"/>
      <c r="T1993" s="59" t="n"/>
      <c r="U1993" s="64" t="str">
        <f>IF(OR(B1993="",H1993=""),"",IFERROR(IF(A1993="BL",IF(N(INDEX(art_price,MATCH(H1993,art_ref,0)))=0,"",N(INDEX(art_price,MATCH(H1993,art_ref,0)))),IF(N(INDEX(art_cost,MATCH(H1993,art_ref,0)))=0,"",N(INDEX(art_cost,MATCH(H1993,art_ref,0))))),""))</f>
        <v/>
      </c>
      <c r="V1993" s="64" t="str">
        <f>IF(OR(U1993="",NOT(ISNUMBER(L1993))),"",IF(L1993&lt;=0,"",ROUND(L1993*U1993,2)))</f>
        <v/>
      </c>
      <c r="W1993" s="60" t="str">
        <f>IF(AND(B1993&lt;&gt;"",A1993&lt;&gt;"BS",F1993&lt;&gt;"",H1993&lt;&gt;"",ISNUMBER(K1993),ISNUMBER(L1993)),IF(AND(K1993&gt;0,L1993&gt;0,K1993-L1993&gt;0,COUNTIFS(A1994:A$2005,A1993,F1994:F$2005,F1993,H1994:H$2005,H1993,AA1994:AA$2005,"&gt;0")=0),ROUND(K1993-L1993,6),""),"")</f>
        <v/>
      </c>
      <c r="X1993" s="60" t="str">
        <f>IF(AND(A1993="",C1993="",D1993="",H1993="",L1993=""),"",IF(A1993="","Type manquant",IF(AND(A1993&lt;&gt;"BL",A1993&lt;&gt;"BR",A1993&lt;&gt;"BS"),"Type inconnu (BL, BR ou BS)",IF(AG1993=0,"Date manquante ou invalide",IF(D1993="",IF(A1993="BL","Client manquant",IF(A1993="BR","Fournisseur manquant","Service manquant")),IF(IF(A1993="BL",ISNA(MATCH(D1993,cl_code,0)),IF(A1993="BR",ISNA(MATCH(D1993,fo_code,0)),ISNA(MATCH(D1993,p_services,0)))),IF(A1993="BL","Client inconnu",IF(A1993="BR","Fournisseur inconnu","Service inconnu")),IF(H1993="","Article manquant",IF(ISNA(MATCH(H1993,art_ref,0)),"Article inconnu",IF(OR(NOT(ISNUMBER(L1993)),N(L1993)&lt;=0),"Quantité invalide",IF(AND(K1993&lt;&gt;"",OR(NOT(ISNUMBER(K1993)),N(K1993)&lt;=0)),"Qté commandée invalide",IF(AG1993&lt;SUMPRODUCT(MAX((A$6:A1992=A1993)*AG$6:AG1992)),"Date antérieure au bon précédent",IF(AND(A1993&lt;&gt;"BR",ISNUMBER(M1993),N(M1993)&gt;0),IF(A1993="BL","Livré plus que commandé","Sorti plus que demandé"),"OK"))))))))))))</f>
        <v/>
      </c>
      <c r="Y1993" s="57" t="str">
        <f>IF(AND(OR(A1993="BL",A1993="BR",A1993="BS"),AG1993&gt;0,D1993&lt;&gt;""),A1993&amp;"|"&amp;AG1993&amp;"|"&amp;D1993&amp;"|"&amp;F1993,"")</f>
        <v/>
      </c>
      <c r="Z1993" s="57" t="str">
        <f>IF(Y1993="","",IF(COUNTIF(Y$6:Y1992,Y1993)=0,1,0))</f>
        <v/>
      </c>
      <c r="AA1993" s="57" t="str">
        <f>IF(Y1993="","",IF(Z1993=1,COUNTIFS(A$6:A1993,A1993,Z$6:Z1993,1),INDEX(AA$6:AA1992,MATCH(Y1993,Y$6:Y1992,0))))</f>
        <v/>
      </c>
      <c r="AB1993" s="57" t="str">
        <f>IF(B1993="","",COUNTIF(B$6:B1993,B1993))</f>
        <v/>
      </c>
      <c r="AC1993" s="57" t="str">
        <f>IF(B1993="","",B1993&amp;"#"&amp;AB1993)</f>
        <v/>
      </c>
      <c r="AD1993" s="57" t="str">
        <f>IF(Z1993=1,A1993&amp;AA1993,"")</f>
        <v/>
      </c>
      <c r="AE1993" s="57" t="str">
        <f>IF(B1993="","",YEAR(C1993))</f>
        <v/>
      </c>
      <c r="AF1993" s="57" t="str">
        <f>IF(B1993="","",MONTH(C1993))</f>
        <v/>
      </c>
      <c r="AG1993" s="57">
        <f>IF(ISNUMBER(C1993),C1993,0)</f>
        <v>0.0</v>
      </c>
      <c r="AH1993" s="57" t="str">
        <f>IF(N(W1993)&gt;0,COUNTIF(W$6:W1993,"&gt;0"),"")</f>
        <v/>
      </c>
      <c r="AI1993" s="57" t="str">
        <f>IF(Z1993=1,COUNTIF(Z$6:Z1993,1),"")</f>
        <v/>
      </c>
    </row>
    <row r="1994">
      <c r="A1994" s="54" t="n"/>
      <c r="B1994" s="55" t="str">
        <f>IF(AA1994="","",A1994&amp;"-"&amp;RIGHT("000"&amp;AA1994,4))</f>
        <v/>
      </c>
      <c r="C1994" s="56" t="n"/>
      <c r="D1994" s="54" t="n"/>
      <c r="E1994" s="57" t="str">
        <f>IF(D1994="","",IF(A1994="BL",IFERROR(INDEX(cl_name,MATCH(D1994,cl_code,0))&amp;"","Client inconnu"),IF(A1994="BR",IFERROR(INDEX(fo_name,MATCH(D1994,fo_code,0))&amp;"","Fournisseur inconnu"),IF(A1994="BS",IF(ISNA(MATCH(D1994,p_services,0)),"Service inconnu",D1994&amp;""),""))))</f>
        <v/>
      </c>
      <c r="F1994" s="58" t="n"/>
      <c r="G1994" s="58" t="n"/>
      <c r="H1994" s="59" t="n"/>
      <c r="I1994" s="57" t="str">
        <f>IF(H1994="","",IFERROR(INDEX(art_des,MATCH(H1994,art_ref,0))&amp;"","Article inconnu"))</f>
        <v/>
      </c>
      <c r="J1994" s="60" t="str">
        <f>IF(H1994="","",IFERROR(INDEX(art_unit,MATCH(H1994,art_ref,0))&amp;"",""))</f>
        <v/>
      </c>
      <c r="K1994" s="59" t="n"/>
      <c r="L1994" s="59" t="n"/>
      <c r="M1994" s="61" t="str">
        <f>IF(OR(B1994="",NOT(ISNUMBER(K1994)),NOT(ISNUMBER(L1994))),"",IF(OR(K1994&lt;=0,L1994&lt;=0),"",ROUND(L1994-K1994,6)))</f>
        <v/>
      </c>
      <c r="N1994" s="58" t="n"/>
      <c r="O1994" s="62" t="n"/>
      <c r="P1994" s="63" t="str">
        <f>IF(OR(B1994="",NOT(ISNUMBER(L1994))),"",IF(L1994&lt;=0,"",IFERROR(ROUND(L1994*N(INDEX(art_w,MATCH(H1994,art_ref,0))),3),"")))</f>
        <v/>
      </c>
      <c r="Q1994" s="59" t="n"/>
      <c r="R1994" s="54" t="n"/>
      <c r="S1994" s="59" t="n"/>
      <c r="T1994" s="59" t="n"/>
      <c r="U1994" s="64" t="str">
        <f>IF(OR(B1994="",H1994=""),"",IFERROR(IF(A1994="BL",IF(N(INDEX(art_price,MATCH(H1994,art_ref,0)))=0,"",N(INDEX(art_price,MATCH(H1994,art_ref,0)))),IF(N(INDEX(art_cost,MATCH(H1994,art_ref,0)))=0,"",N(INDEX(art_cost,MATCH(H1994,art_ref,0))))),""))</f>
        <v/>
      </c>
      <c r="V1994" s="64" t="str">
        <f>IF(OR(U1994="",NOT(ISNUMBER(L1994))),"",IF(L1994&lt;=0,"",ROUND(L1994*U1994,2)))</f>
        <v/>
      </c>
      <c r="W1994" s="60" t="str">
        <f>IF(AND(B1994&lt;&gt;"",A1994&lt;&gt;"BS",F1994&lt;&gt;"",H1994&lt;&gt;"",ISNUMBER(K1994),ISNUMBER(L1994)),IF(AND(K1994&gt;0,L1994&gt;0,K1994-L1994&gt;0,COUNTIFS(A1995:A$2005,A1994,F1995:F$2005,F1994,H1995:H$2005,H1994,AA1995:AA$2005,"&gt;0")=0),ROUND(K1994-L1994,6),""),"")</f>
        <v/>
      </c>
      <c r="X1994" s="60" t="str">
        <f>IF(AND(A1994="",C1994="",D1994="",H1994="",L1994=""),"",IF(A1994="","Type manquant",IF(AND(A1994&lt;&gt;"BL",A1994&lt;&gt;"BR",A1994&lt;&gt;"BS"),"Type inconnu (BL, BR ou BS)",IF(AG1994=0,"Date manquante ou invalide",IF(D1994="",IF(A1994="BL","Client manquant",IF(A1994="BR","Fournisseur manquant","Service manquant")),IF(IF(A1994="BL",ISNA(MATCH(D1994,cl_code,0)),IF(A1994="BR",ISNA(MATCH(D1994,fo_code,0)),ISNA(MATCH(D1994,p_services,0)))),IF(A1994="BL","Client inconnu",IF(A1994="BR","Fournisseur inconnu","Service inconnu")),IF(H1994="","Article manquant",IF(ISNA(MATCH(H1994,art_ref,0)),"Article inconnu",IF(OR(NOT(ISNUMBER(L1994)),N(L1994)&lt;=0),"Quantité invalide",IF(AND(K1994&lt;&gt;"",OR(NOT(ISNUMBER(K1994)),N(K1994)&lt;=0)),"Qté commandée invalide",IF(AG1994&lt;SUMPRODUCT(MAX((A$6:A1993=A1994)*AG$6:AG1993)),"Date antérieure au bon précédent",IF(AND(A1994&lt;&gt;"BR",ISNUMBER(M1994),N(M1994)&gt;0),IF(A1994="BL","Livré plus que commandé","Sorti plus que demandé"),"OK"))))))))))))</f>
        <v/>
      </c>
      <c r="Y1994" s="57" t="str">
        <f>IF(AND(OR(A1994="BL",A1994="BR",A1994="BS"),AG1994&gt;0,D1994&lt;&gt;""),A1994&amp;"|"&amp;AG1994&amp;"|"&amp;D1994&amp;"|"&amp;F1994,"")</f>
        <v/>
      </c>
      <c r="Z1994" s="57" t="str">
        <f>IF(Y1994="","",IF(COUNTIF(Y$6:Y1993,Y1994)=0,1,0))</f>
        <v/>
      </c>
      <c r="AA1994" s="57" t="str">
        <f>IF(Y1994="","",IF(Z1994=1,COUNTIFS(A$6:A1994,A1994,Z$6:Z1994,1),INDEX(AA$6:AA1993,MATCH(Y1994,Y$6:Y1993,0))))</f>
        <v/>
      </c>
      <c r="AB1994" s="57" t="str">
        <f>IF(B1994="","",COUNTIF(B$6:B1994,B1994))</f>
        <v/>
      </c>
      <c r="AC1994" s="57" t="str">
        <f>IF(B1994="","",B1994&amp;"#"&amp;AB1994)</f>
        <v/>
      </c>
      <c r="AD1994" s="57" t="str">
        <f>IF(Z1994=1,A1994&amp;AA1994,"")</f>
        <v/>
      </c>
      <c r="AE1994" s="57" t="str">
        <f>IF(B1994="","",YEAR(C1994))</f>
        <v/>
      </c>
      <c r="AF1994" s="57" t="str">
        <f>IF(B1994="","",MONTH(C1994))</f>
        <v/>
      </c>
      <c r="AG1994" s="57">
        <f>IF(ISNUMBER(C1994),C1994,0)</f>
        <v>0.0</v>
      </c>
      <c r="AH1994" s="57" t="str">
        <f>IF(N(W1994)&gt;0,COUNTIF(W$6:W1994,"&gt;0"),"")</f>
        <v/>
      </c>
      <c r="AI1994" s="57" t="str">
        <f>IF(Z1994=1,COUNTIF(Z$6:Z1994,1),"")</f>
        <v/>
      </c>
    </row>
    <row r="1995">
      <c r="A1995" s="54" t="n"/>
      <c r="B1995" s="55" t="str">
        <f>IF(AA1995="","",A1995&amp;"-"&amp;RIGHT("000"&amp;AA1995,4))</f>
        <v/>
      </c>
      <c r="C1995" s="56" t="n"/>
      <c r="D1995" s="54" t="n"/>
      <c r="E1995" s="57" t="str">
        <f>IF(D1995="","",IF(A1995="BL",IFERROR(INDEX(cl_name,MATCH(D1995,cl_code,0))&amp;"","Client inconnu"),IF(A1995="BR",IFERROR(INDEX(fo_name,MATCH(D1995,fo_code,0))&amp;"","Fournisseur inconnu"),IF(A1995="BS",IF(ISNA(MATCH(D1995,p_services,0)),"Service inconnu",D1995&amp;""),""))))</f>
        <v/>
      </c>
      <c r="F1995" s="58" t="n"/>
      <c r="G1995" s="58" t="n"/>
      <c r="H1995" s="59" t="n"/>
      <c r="I1995" s="57" t="str">
        <f>IF(H1995="","",IFERROR(INDEX(art_des,MATCH(H1995,art_ref,0))&amp;"","Article inconnu"))</f>
        <v/>
      </c>
      <c r="J1995" s="60" t="str">
        <f>IF(H1995="","",IFERROR(INDEX(art_unit,MATCH(H1995,art_ref,0))&amp;"",""))</f>
        <v/>
      </c>
      <c r="K1995" s="59" t="n"/>
      <c r="L1995" s="59" t="n"/>
      <c r="M1995" s="61" t="str">
        <f>IF(OR(B1995="",NOT(ISNUMBER(K1995)),NOT(ISNUMBER(L1995))),"",IF(OR(K1995&lt;=0,L1995&lt;=0),"",ROUND(L1995-K1995,6)))</f>
        <v/>
      </c>
      <c r="N1995" s="58" t="n"/>
      <c r="O1995" s="62" t="n"/>
      <c r="P1995" s="63" t="str">
        <f>IF(OR(B1995="",NOT(ISNUMBER(L1995))),"",IF(L1995&lt;=0,"",IFERROR(ROUND(L1995*N(INDEX(art_w,MATCH(H1995,art_ref,0))),3),"")))</f>
        <v/>
      </c>
      <c r="Q1995" s="59" t="n"/>
      <c r="R1995" s="54" t="n"/>
      <c r="S1995" s="59" t="n"/>
      <c r="T1995" s="59" t="n"/>
      <c r="U1995" s="64" t="str">
        <f>IF(OR(B1995="",H1995=""),"",IFERROR(IF(A1995="BL",IF(N(INDEX(art_price,MATCH(H1995,art_ref,0)))=0,"",N(INDEX(art_price,MATCH(H1995,art_ref,0)))),IF(N(INDEX(art_cost,MATCH(H1995,art_ref,0)))=0,"",N(INDEX(art_cost,MATCH(H1995,art_ref,0))))),""))</f>
        <v/>
      </c>
      <c r="V1995" s="64" t="str">
        <f>IF(OR(U1995="",NOT(ISNUMBER(L1995))),"",IF(L1995&lt;=0,"",ROUND(L1995*U1995,2)))</f>
        <v/>
      </c>
      <c r="W1995" s="60" t="str">
        <f>IF(AND(B1995&lt;&gt;"",A1995&lt;&gt;"BS",F1995&lt;&gt;"",H1995&lt;&gt;"",ISNUMBER(K1995),ISNUMBER(L1995)),IF(AND(K1995&gt;0,L1995&gt;0,K1995-L1995&gt;0,COUNTIFS(A1996:A$2005,A1995,F1996:F$2005,F1995,H1996:H$2005,H1995,AA1996:AA$2005,"&gt;0")=0),ROUND(K1995-L1995,6),""),"")</f>
        <v/>
      </c>
      <c r="X1995" s="60" t="str">
        <f>IF(AND(A1995="",C1995="",D1995="",H1995="",L1995=""),"",IF(A1995="","Type manquant",IF(AND(A1995&lt;&gt;"BL",A1995&lt;&gt;"BR",A1995&lt;&gt;"BS"),"Type inconnu (BL, BR ou BS)",IF(AG1995=0,"Date manquante ou invalide",IF(D1995="",IF(A1995="BL","Client manquant",IF(A1995="BR","Fournisseur manquant","Service manquant")),IF(IF(A1995="BL",ISNA(MATCH(D1995,cl_code,0)),IF(A1995="BR",ISNA(MATCH(D1995,fo_code,0)),ISNA(MATCH(D1995,p_services,0)))),IF(A1995="BL","Client inconnu",IF(A1995="BR","Fournisseur inconnu","Service inconnu")),IF(H1995="","Article manquant",IF(ISNA(MATCH(H1995,art_ref,0)),"Article inconnu",IF(OR(NOT(ISNUMBER(L1995)),N(L1995)&lt;=0),"Quantité invalide",IF(AND(K1995&lt;&gt;"",OR(NOT(ISNUMBER(K1995)),N(K1995)&lt;=0)),"Qté commandée invalide",IF(AG1995&lt;SUMPRODUCT(MAX((A$6:A1994=A1995)*AG$6:AG1994)),"Date antérieure au bon précédent",IF(AND(A1995&lt;&gt;"BR",ISNUMBER(M1995),N(M1995)&gt;0),IF(A1995="BL","Livré plus que commandé","Sorti plus que demandé"),"OK"))))))))))))</f>
        <v/>
      </c>
      <c r="Y1995" s="57" t="str">
        <f>IF(AND(OR(A1995="BL",A1995="BR",A1995="BS"),AG1995&gt;0,D1995&lt;&gt;""),A1995&amp;"|"&amp;AG1995&amp;"|"&amp;D1995&amp;"|"&amp;F1995,"")</f>
        <v/>
      </c>
      <c r="Z1995" s="57" t="str">
        <f>IF(Y1995="","",IF(COUNTIF(Y$6:Y1994,Y1995)=0,1,0))</f>
        <v/>
      </c>
      <c r="AA1995" s="57" t="str">
        <f>IF(Y1995="","",IF(Z1995=1,COUNTIFS(A$6:A1995,A1995,Z$6:Z1995,1),INDEX(AA$6:AA1994,MATCH(Y1995,Y$6:Y1994,0))))</f>
        <v/>
      </c>
      <c r="AB1995" s="57" t="str">
        <f>IF(B1995="","",COUNTIF(B$6:B1995,B1995))</f>
        <v/>
      </c>
      <c r="AC1995" s="57" t="str">
        <f>IF(B1995="","",B1995&amp;"#"&amp;AB1995)</f>
        <v/>
      </c>
      <c r="AD1995" s="57" t="str">
        <f>IF(Z1995=1,A1995&amp;AA1995,"")</f>
        <v/>
      </c>
      <c r="AE1995" s="57" t="str">
        <f>IF(B1995="","",YEAR(C1995))</f>
        <v/>
      </c>
      <c r="AF1995" s="57" t="str">
        <f>IF(B1995="","",MONTH(C1995))</f>
        <v/>
      </c>
      <c r="AG1995" s="57">
        <f>IF(ISNUMBER(C1995),C1995,0)</f>
        <v>0.0</v>
      </c>
      <c r="AH1995" s="57" t="str">
        <f>IF(N(W1995)&gt;0,COUNTIF(W$6:W1995,"&gt;0"),"")</f>
        <v/>
      </c>
      <c r="AI1995" s="57" t="str">
        <f>IF(Z1995=1,COUNTIF(Z$6:Z1995,1),"")</f>
        <v/>
      </c>
    </row>
    <row r="1996">
      <c r="A1996" s="54" t="n"/>
      <c r="B1996" s="55" t="str">
        <f>IF(AA1996="","",A1996&amp;"-"&amp;RIGHT("000"&amp;AA1996,4))</f>
        <v/>
      </c>
      <c r="C1996" s="56" t="n"/>
      <c r="D1996" s="54" t="n"/>
      <c r="E1996" s="57" t="str">
        <f>IF(D1996="","",IF(A1996="BL",IFERROR(INDEX(cl_name,MATCH(D1996,cl_code,0))&amp;"","Client inconnu"),IF(A1996="BR",IFERROR(INDEX(fo_name,MATCH(D1996,fo_code,0))&amp;"","Fournisseur inconnu"),IF(A1996="BS",IF(ISNA(MATCH(D1996,p_services,0)),"Service inconnu",D1996&amp;""),""))))</f>
        <v/>
      </c>
      <c r="F1996" s="58" t="n"/>
      <c r="G1996" s="58" t="n"/>
      <c r="H1996" s="59" t="n"/>
      <c r="I1996" s="57" t="str">
        <f>IF(H1996="","",IFERROR(INDEX(art_des,MATCH(H1996,art_ref,0))&amp;"","Article inconnu"))</f>
        <v/>
      </c>
      <c r="J1996" s="60" t="str">
        <f>IF(H1996="","",IFERROR(INDEX(art_unit,MATCH(H1996,art_ref,0))&amp;"",""))</f>
        <v/>
      </c>
      <c r="K1996" s="59" t="n"/>
      <c r="L1996" s="59" t="n"/>
      <c r="M1996" s="61" t="str">
        <f>IF(OR(B1996="",NOT(ISNUMBER(K1996)),NOT(ISNUMBER(L1996))),"",IF(OR(K1996&lt;=0,L1996&lt;=0),"",ROUND(L1996-K1996,6)))</f>
        <v/>
      </c>
      <c r="N1996" s="58" t="n"/>
      <c r="O1996" s="62" t="n"/>
      <c r="P1996" s="63" t="str">
        <f>IF(OR(B1996="",NOT(ISNUMBER(L1996))),"",IF(L1996&lt;=0,"",IFERROR(ROUND(L1996*N(INDEX(art_w,MATCH(H1996,art_ref,0))),3),"")))</f>
        <v/>
      </c>
      <c r="Q1996" s="59" t="n"/>
      <c r="R1996" s="54" t="n"/>
      <c r="S1996" s="59" t="n"/>
      <c r="T1996" s="59" t="n"/>
      <c r="U1996" s="64" t="str">
        <f>IF(OR(B1996="",H1996=""),"",IFERROR(IF(A1996="BL",IF(N(INDEX(art_price,MATCH(H1996,art_ref,0)))=0,"",N(INDEX(art_price,MATCH(H1996,art_ref,0)))),IF(N(INDEX(art_cost,MATCH(H1996,art_ref,0)))=0,"",N(INDEX(art_cost,MATCH(H1996,art_ref,0))))),""))</f>
        <v/>
      </c>
      <c r="V1996" s="64" t="str">
        <f>IF(OR(U1996="",NOT(ISNUMBER(L1996))),"",IF(L1996&lt;=0,"",ROUND(L1996*U1996,2)))</f>
        <v/>
      </c>
      <c r="W1996" s="60" t="str">
        <f>IF(AND(B1996&lt;&gt;"",A1996&lt;&gt;"BS",F1996&lt;&gt;"",H1996&lt;&gt;"",ISNUMBER(K1996),ISNUMBER(L1996)),IF(AND(K1996&gt;0,L1996&gt;0,K1996-L1996&gt;0,COUNTIFS(A1997:A$2005,A1996,F1997:F$2005,F1996,H1997:H$2005,H1996,AA1997:AA$2005,"&gt;0")=0),ROUND(K1996-L1996,6),""),"")</f>
        <v/>
      </c>
      <c r="X1996" s="60" t="str">
        <f>IF(AND(A1996="",C1996="",D1996="",H1996="",L1996=""),"",IF(A1996="","Type manquant",IF(AND(A1996&lt;&gt;"BL",A1996&lt;&gt;"BR",A1996&lt;&gt;"BS"),"Type inconnu (BL, BR ou BS)",IF(AG1996=0,"Date manquante ou invalide",IF(D1996="",IF(A1996="BL","Client manquant",IF(A1996="BR","Fournisseur manquant","Service manquant")),IF(IF(A1996="BL",ISNA(MATCH(D1996,cl_code,0)),IF(A1996="BR",ISNA(MATCH(D1996,fo_code,0)),ISNA(MATCH(D1996,p_services,0)))),IF(A1996="BL","Client inconnu",IF(A1996="BR","Fournisseur inconnu","Service inconnu")),IF(H1996="","Article manquant",IF(ISNA(MATCH(H1996,art_ref,0)),"Article inconnu",IF(OR(NOT(ISNUMBER(L1996)),N(L1996)&lt;=0),"Quantité invalide",IF(AND(K1996&lt;&gt;"",OR(NOT(ISNUMBER(K1996)),N(K1996)&lt;=0)),"Qté commandée invalide",IF(AG1996&lt;SUMPRODUCT(MAX((A$6:A1995=A1996)*AG$6:AG1995)),"Date antérieure au bon précédent",IF(AND(A1996&lt;&gt;"BR",ISNUMBER(M1996),N(M1996)&gt;0),IF(A1996="BL","Livré plus que commandé","Sorti plus que demandé"),"OK"))))))))))))</f>
        <v/>
      </c>
      <c r="Y1996" s="57" t="str">
        <f>IF(AND(OR(A1996="BL",A1996="BR",A1996="BS"),AG1996&gt;0,D1996&lt;&gt;""),A1996&amp;"|"&amp;AG1996&amp;"|"&amp;D1996&amp;"|"&amp;F1996,"")</f>
        <v/>
      </c>
      <c r="Z1996" s="57" t="str">
        <f>IF(Y1996="","",IF(COUNTIF(Y$6:Y1995,Y1996)=0,1,0))</f>
        <v/>
      </c>
      <c r="AA1996" s="57" t="str">
        <f>IF(Y1996="","",IF(Z1996=1,COUNTIFS(A$6:A1996,A1996,Z$6:Z1996,1),INDEX(AA$6:AA1995,MATCH(Y1996,Y$6:Y1995,0))))</f>
        <v/>
      </c>
      <c r="AB1996" s="57" t="str">
        <f>IF(B1996="","",COUNTIF(B$6:B1996,B1996))</f>
        <v/>
      </c>
      <c r="AC1996" s="57" t="str">
        <f>IF(B1996="","",B1996&amp;"#"&amp;AB1996)</f>
        <v/>
      </c>
      <c r="AD1996" s="57" t="str">
        <f>IF(Z1996=1,A1996&amp;AA1996,"")</f>
        <v/>
      </c>
      <c r="AE1996" s="57" t="str">
        <f>IF(B1996="","",YEAR(C1996))</f>
        <v/>
      </c>
      <c r="AF1996" s="57" t="str">
        <f>IF(B1996="","",MONTH(C1996))</f>
        <v/>
      </c>
      <c r="AG1996" s="57">
        <f>IF(ISNUMBER(C1996),C1996,0)</f>
        <v>0.0</v>
      </c>
      <c r="AH1996" s="57" t="str">
        <f>IF(N(W1996)&gt;0,COUNTIF(W$6:W1996,"&gt;0"),"")</f>
        <v/>
      </c>
      <c r="AI1996" s="57" t="str">
        <f>IF(Z1996=1,COUNTIF(Z$6:Z1996,1),"")</f>
        <v/>
      </c>
    </row>
    <row r="1997">
      <c r="A1997" s="54" t="n"/>
      <c r="B1997" s="55" t="str">
        <f>IF(AA1997="","",A1997&amp;"-"&amp;RIGHT("000"&amp;AA1997,4))</f>
        <v/>
      </c>
      <c r="C1997" s="56" t="n"/>
      <c r="D1997" s="54" t="n"/>
      <c r="E1997" s="57" t="str">
        <f>IF(D1997="","",IF(A1997="BL",IFERROR(INDEX(cl_name,MATCH(D1997,cl_code,0))&amp;"","Client inconnu"),IF(A1997="BR",IFERROR(INDEX(fo_name,MATCH(D1997,fo_code,0))&amp;"","Fournisseur inconnu"),IF(A1997="BS",IF(ISNA(MATCH(D1997,p_services,0)),"Service inconnu",D1997&amp;""),""))))</f>
        <v/>
      </c>
      <c r="F1997" s="58" t="n"/>
      <c r="G1997" s="58" t="n"/>
      <c r="H1997" s="59" t="n"/>
      <c r="I1997" s="57" t="str">
        <f>IF(H1997="","",IFERROR(INDEX(art_des,MATCH(H1997,art_ref,0))&amp;"","Article inconnu"))</f>
        <v/>
      </c>
      <c r="J1997" s="60" t="str">
        <f>IF(H1997="","",IFERROR(INDEX(art_unit,MATCH(H1997,art_ref,0))&amp;"",""))</f>
        <v/>
      </c>
      <c r="K1997" s="59" t="n"/>
      <c r="L1997" s="59" t="n"/>
      <c r="M1997" s="61" t="str">
        <f>IF(OR(B1997="",NOT(ISNUMBER(K1997)),NOT(ISNUMBER(L1997))),"",IF(OR(K1997&lt;=0,L1997&lt;=0),"",ROUND(L1997-K1997,6)))</f>
        <v/>
      </c>
      <c r="N1997" s="58" t="n"/>
      <c r="O1997" s="62" t="n"/>
      <c r="P1997" s="63" t="str">
        <f>IF(OR(B1997="",NOT(ISNUMBER(L1997))),"",IF(L1997&lt;=0,"",IFERROR(ROUND(L1997*N(INDEX(art_w,MATCH(H1997,art_ref,0))),3),"")))</f>
        <v/>
      </c>
      <c r="Q1997" s="59" t="n"/>
      <c r="R1997" s="54" t="n"/>
      <c r="S1997" s="59" t="n"/>
      <c r="T1997" s="59" t="n"/>
      <c r="U1997" s="64" t="str">
        <f>IF(OR(B1997="",H1997=""),"",IFERROR(IF(A1997="BL",IF(N(INDEX(art_price,MATCH(H1997,art_ref,0)))=0,"",N(INDEX(art_price,MATCH(H1997,art_ref,0)))),IF(N(INDEX(art_cost,MATCH(H1997,art_ref,0)))=0,"",N(INDEX(art_cost,MATCH(H1997,art_ref,0))))),""))</f>
        <v/>
      </c>
      <c r="V1997" s="64" t="str">
        <f>IF(OR(U1997="",NOT(ISNUMBER(L1997))),"",IF(L1997&lt;=0,"",ROUND(L1997*U1997,2)))</f>
        <v/>
      </c>
      <c r="W1997" s="60" t="str">
        <f>IF(AND(B1997&lt;&gt;"",A1997&lt;&gt;"BS",F1997&lt;&gt;"",H1997&lt;&gt;"",ISNUMBER(K1997),ISNUMBER(L1997)),IF(AND(K1997&gt;0,L1997&gt;0,K1997-L1997&gt;0,COUNTIFS(A1998:A$2005,A1997,F1998:F$2005,F1997,H1998:H$2005,H1997,AA1998:AA$2005,"&gt;0")=0),ROUND(K1997-L1997,6),""),"")</f>
        <v/>
      </c>
      <c r="X1997" s="60" t="str">
        <f>IF(AND(A1997="",C1997="",D1997="",H1997="",L1997=""),"",IF(A1997="","Type manquant",IF(AND(A1997&lt;&gt;"BL",A1997&lt;&gt;"BR",A1997&lt;&gt;"BS"),"Type inconnu (BL, BR ou BS)",IF(AG1997=0,"Date manquante ou invalide",IF(D1997="",IF(A1997="BL","Client manquant",IF(A1997="BR","Fournisseur manquant","Service manquant")),IF(IF(A1997="BL",ISNA(MATCH(D1997,cl_code,0)),IF(A1997="BR",ISNA(MATCH(D1997,fo_code,0)),ISNA(MATCH(D1997,p_services,0)))),IF(A1997="BL","Client inconnu",IF(A1997="BR","Fournisseur inconnu","Service inconnu")),IF(H1997="","Article manquant",IF(ISNA(MATCH(H1997,art_ref,0)),"Article inconnu",IF(OR(NOT(ISNUMBER(L1997)),N(L1997)&lt;=0),"Quantité invalide",IF(AND(K1997&lt;&gt;"",OR(NOT(ISNUMBER(K1997)),N(K1997)&lt;=0)),"Qté commandée invalide",IF(AG1997&lt;SUMPRODUCT(MAX((A$6:A1996=A1997)*AG$6:AG1996)),"Date antérieure au bon précédent",IF(AND(A1997&lt;&gt;"BR",ISNUMBER(M1997),N(M1997)&gt;0),IF(A1997="BL","Livré plus que commandé","Sorti plus que demandé"),"OK"))))))))))))</f>
        <v/>
      </c>
      <c r="Y1997" s="57" t="str">
        <f>IF(AND(OR(A1997="BL",A1997="BR",A1997="BS"),AG1997&gt;0,D1997&lt;&gt;""),A1997&amp;"|"&amp;AG1997&amp;"|"&amp;D1997&amp;"|"&amp;F1997,"")</f>
        <v/>
      </c>
      <c r="Z1997" s="57" t="str">
        <f>IF(Y1997="","",IF(COUNTIF(Y$6:Y1996,Y1997)=0,1,0))</f>
        <v/>
      </c>
      <c r="AA1997" s="57" t="str">
        <f>IF(Y1997="","",IF(Z1997=1,COUNTIFS(A$6:A1997,A1997,Z$6:Z1997,1),INDEX(AA$6:AA1996,MATCH(Y1997,Y$6:Y1996,0))))</f>
        <v/>
      </c>
      <c r="AB1997" s="57" t="str">
        <f>IF(B1997="","",COUNTIF(B$6:B1997,B1997))</f>
        <v/>
      </c>
      <c r="AC1997" s="57" t="str">
        <f>IF(B1997="","",B1997&amp;"#"&amp;AB1997)</f>
        <v/>
      </c>
      <c r="AD1997" s="57" t="str">
        <f>IF(Z1997=1,A1997&amp;AA1997,"")</f>
        <v/>
      </c>
      <c r="AE1997" s="57" t="str">
        <f>IF(B1997="","",YEAR(C1997))</f>
        <v/>
      </c>
      <c r="AF1997" s="57" t="str">
        <f>IF(B1997="","",MONTH(C1997))</f>
        <v/>
      </c>
      <c r="AG1997" s="57">
        <f>IF(ISNUMBER(C1997),C1997,0)</f>
        <v>0.0</v>
      </c>
      <c r="AH1997" s="57" t="str">
        <f>IF(N(W1997)&gt;0,COUNTIF(W$6:W1997,"&gt;0"),"")</f>
        <v/>
      </c>
      <c r="AI1997" s="57" t="str">
        <f>IF(Z1997=1,COUNTIF(Z$6:Z1997,1),"")</f>
        <v/>
      </c>
    </row>
    <row r="1998">
      <c r="A1998" s="54" t="n"/>
      <c r="B1998" s="55" t="str">
        <f>IF(AA1998="","",A1998&amp;"-"&amp;RIGHT("000"&amp;AA1998,4))</f>
        <v/>
      </c>
      <c r="C1998" s="56" t="n"/>
      <c r="D1998" s="54" t="n"/>
      <c r="E1998" s="57" t="str">
        <f>IF(D1998="","",IF(A1998="BL",IFERROR(INDEX(cl_name,MATCH(D1998,cl_code,0))&amp;"","Client inconnu"),IF(A1998="BR",IFERROR(INDEX(fo_name,MATCH(D1998,fo_code,0))&amp;"","Fournisseur inconnu"),IF(A1998="BS",IF(ISNA(MATCH(D1998,p_services,0)),"Service inconnu",D1998&amp;""),""))))</f>
        <v/>
      </c>
      <c r="F1998" s="58" t="n"/>
      <c r="G1998" s="58" t="n"/>
      <c r="H1998" s="59" t="n"/>
      <c r="I1998" s="57" t="str">
        <f>IF(H1998="","",IFERROR(INDEX(art_des,MATCH(H1998,art_ref,0))&amp;"","Article inconnu"))</f>
        <v/>
      </c>
      <c r="J1998" s="60" t="str">
        <f>IF(H1998="","",IFERROR(INDEX(art_unit,MATCH(H1998,art_ref,0))&amp;"",""))</f>
        <v/>
      </c>
      <c r="K1998" s="59" t="n"/>
      <c r="L1998" s="59" t="n"/>
      <c r="M1998" s="61" t="str">
        <f>IF(OR(B1998="",NOT(ISNUMBER(K1998)),NOT(ISNUMBER(L1998))),"",IF(OR(K1998&lt;=0,L1998&lt;=0),"",ROUND(L1998-K1998,6)))</f>
        <v/>
      </c>
      <c r="N1998" s="58" t="n"/>
      <c r="O1998" s="62" t="n"/>
      <c r="P1998" s="63" t="str">
        <f>IF(OR(B1998="",NOT(ISNUMBER(L1998))),"",IF(L1998&lt;=0,"",IFERROR(ROUND(L1998*N(INDEX(art_w,MATCH(H1998,art_ref,0))),3),"")))</f>
        <v/>
      </c>
      <c r="Q1998" s="59" t="n"/>
      <c r="R1998" s="54" t="n"/>
      <c r="S1998" s="59" t="n"/>
      <c r="T1998" s="59" t="n"/>
      <c r="U1998" s="64" t="str">
        <f>IF(OR(B1998="",H1998=""),"",IFERROR(IF(A1998="BL",IF(N(INDEX(art_price,MATCH(H1998,art_ref,0)))=0,"",N(INDEX(art_price,MATCH(H1998,art_ref,0)))),IF(N(INDEX(art_cost,MATCH(H1998,art_ref,0)))=0,"",N(INDEX(art_cost,MATCH(H1998,art_ref,0))))),""))</f>
        <v/>
      </c>
      <c r="V1998" s="64" t="str">
        <f>IF(OR(U1998="",NOT(ISNUMBER(L1998))),"",IF(L1998&lt;=0,"",ROUND(L1998*U1998,2)))</f>
        <v/>
      </c>
      <c r="W1998" s="60" t="str">
        <f>IF(AND(B1998&lt;&gt;"",A1998&lt;&gt;"BS",F1998&lt;&gt;"",H1998&lt;&gt;"",ISNUMBER(K1998),ISNUMBER(L1998)),IF(AND(K1998&gt;0,L1998&gt;0,K1998-L1998&gt;0,COUNTIFS(A1999:A$2005,A1998,F1999:F$2005,F1998,H1999:H$2005,H1998,AA1999:AA$2005,"&gt;0")=0),ROUND(K1998-L1998,6),""),"")</f>
        <v/>
      </c>
      <c r="X1998" s="60" t="str">
        <f>IF(AND(A1998="",C1998="",D1998="",H1998="",L1998=""),"",IF(A1998="","Type manquant",IF(AND(A1998&lt;&gt;"BL",A1998&lt;&gt;"BR",A1998&lt;&gt;"BS"),"Type inconnu (BL, BR ou BS)",IF(AG1998=0,"Date manquante ou invalide",IF(D1998="",IF(A1998="BL","Client manquant",IF(A1998="BR","Fournisseur manquant","Service manquant")),IF(IF(A1998="BL",ISNA(MATCH(D1998,cl_code,0)),IF(A1998="BR",ISNA(MATCH(D1998,fo_code,0)),ISNA(MATCH(D1998,p_services,0)))),IF(A1998="BL","Client inconnu",IF(A1998="BR","Fournisseur inconnu","Service inconnu")),IF(H1998="","Article manquant",IF(ISNA(MATCH(H1998,art_ref,0)),"Article inconnu",IF(OR(NOT(ISNUMBER(L1998)),N(L1998)&lt;=0),"Quantité invalide",IF(AND(K1998&lt;&gt;"",OR(NOT(ISNUMBER(K1998)),N(K1998)&lt;=0)),"Qté commandée invalide",IF(AG1998&lt;SUMPRODUCT(MAX((A$6:A1997=A1998)*AG$6:AG1997)),"Date antérieure au bon précédent",IF(AND(A1998&lt;&gt;"BR",ISNUMBER(M1998),N(M1998)&gt;0),IF(A1998="BL","Livré plus que commandé","Sorti plus que demandé"),"OK"))))))))))))</f>
        <v/>
      </c>
      <c r="Y1998" s="57" t="str">
        <f>IF(AND(OR(A1998="BL",A1998="BR",A1998="BS"),AG1998&gt;0,D1998&lt;&gt;""),A1998&amp;"|"&amp;AG1998&amp;"|"&amp;D1998&amp;"|"&amp;F1998,"")</f>
        <v/>
      </c>
      <c r="Z1998" s="57" t="str">
        <f>IF(Y1998="","",IF(COUNTIF(Y$6:Y1997,Y1998)=0,1,0))</f>
        <v/>
      </c>
      <c r="AA1998" s="57" t="str">
        <f>IF(Y1998="","",IF(Z1998=1,COUNTIFS(A$6:A1998,A1998,Z$6:Z1998,1),INDEX(AA$6:AA1997,MATCH(Y1998,Y$6:Y1997,0))))</f>
        <v/>
      </c>
      <c r="AB1998" s="57" t="str">
        <f>IF(B1998="","",COUNTIF(B$6:B1998,B1998))</f>
        <v/>
      </c>
      <c r="AC1998" s="57" t="str">
        <f>IF(B1998="","",B1998&amp;"#"&amp;AB1998)</f>
        <v/>
      </c>
      <c r="AD1998" s="57" t="str">
        <f>IF(Z1998=1,A1998&amp;AA1998,"")</f>
        <v/>
      </c>
      <c r="AE1998" s="57" t="str">
        <f>IF(B1998="","",YEAR(C1998))</f>
        <v/>
      </c>
      <c r="AF1998" s="57" t="str">
        <f>IF(B1998="","",MONTH(C1998))</f>
        <v/>
      </c>
      <c r="AG1998" s="57">
        <f>IF(ISNUMBER(C1998),C1998,0)</f>
        <v>0.0</v>
      </c>
      <c r="AH1998" s="57" t="str">
        <f>IF(N(W1998)&gt;0,COUNTIF(W$6:W1998,"&gt;0"),"")</f>
        <v/>
      </c>
      <c r="AI1998" s="57" t="str">
        <f>IF(Z1998=1,COUNTIF(Z$6:Z1998,1),"")</f>
        <v/>
      </c>
    </row>
    <row r="1999">
      <c r="A1999" s="54" t="n"/>
      <c r="B1999" s="55" t="str">
        <f>IF(AA1999="","",A1999&amp;"-"&amp;RIGHT("000"&amp;AA1999,4))</f>
        <v/>
      </c>
      <c r="C1999" s="56" t="n"/>
      <c r="D1999" s="54" t="n"/>
      <c r="E1999" s="57" t="str">
        <f>IF(D1999="","",IF(A1999="BL",IFERROR(INDEX(cl_name,MATCH(D1999,cl_code,0))&amp;"","Client inconnu"),IF(A1999="BR",IFERROR(INDEX(fo_name,MATCH(D1999,fo_code,0))&amp;"","Fournisseur inconnu"),IF(A1999="BS",IF(ISNA(MATCH(D1999,p_services,0)),"Service inconnu",D1999&amp;""),""))))</f>
        <v/>
      </c>
      <c r="F1999" s="58" t="n"/>
      <c r="G1999" s="58" t="n"/>
      <c r="H1999" s="59" t="n"/>
      <c r="I1999" s="57" t="str">
        <f>IF(H1999="","",IFERROR(INDEX(art_des,MATCH(H1999,art_ref,0))&amp;"","Article inconnu"))</f>
        <v/>
      </c>
      <c r="J1999" s="60" t="str">
        <f>IF(H1999="","",IFERROR(INDEX(art_unit,MATCH(H1999,art_ref,0))&amp;"",""))</f>
        <v/>
      </c>
      <c r="K1999" s="59" t="n"/>
      <c r="L1999" s="59" t="n"/>
      <c r="M1999" s="61" t="str">
        <f>IF(OR(B1999="",NOT(ISNUMBER(K1999)),NOT(ISNUMBER(L1999))),"",IF(OR(K1999&lt;=0,L1999&lt;=0),"",ROUND(L1999-K1999,6)))</f>
        <v/>
      </c>
      <c r="N1999" s="58" t="n"/>
      <c r="O1999" s="62" t="n"/>
      <c r="P1999" s="63" t="str">
        <f>IF(OR(B1999="",NOT(ISNUMBER(L1999))),"",IF(L1999&lt;=0,"",IFERROR(ROUND(L1999*N(INDEX(art_w,MATCH(H1999,art_ref,0))),3),"")))</f>
        <v/>
      </c>
      <c r="Q1999" s="59" t="n"/>
      <c r="R1999" s="54" t="n"/>
      <c r="S1999" s="59" t="n"/>
      <c r="T1999" s="59" t="n"/>
      <c r="U1999" s="64" t="str">
        <f>IF(OR(B1999="",H1999=""),"",IFERROR(IF(A1999="BL",IF(N(INDEX(art_price,MATCH(H1999,art_ref,0)))=0,"",N(INDEX(art_price,MATCH(H1999,art_ref,0)))),IF(N(INDEX(art_cost,MATCH(H1999,art_ref,0)))=0,"",N(INDEX(art_cost,MATCH(H1999,art_ref,0))))),""))</f>
        <v/>
      </c>
      <c r="V1999" s="64" t="str">
        <f>IF(OR(U1999="",NOT(ISNUMBER(L1999))),"",IF(L1999&lt;=0,"",ROUND(L1999*U1999,2)))</f>
        <v/>
      </c>
      <c r="W1999" s="60" t="str">
        <f>IF(AND(B1999&lt;&gt;"",A1999&lt;&gt;"BS",F1999&lt;&gt;"",H1999&lt;&gt;"",ISNUMBER(K1999),ISNUMBER(L1999)),IF(AND(K1999&gt;0,L1999&gt;0,K1999-L1999&gt;0,COUNTIFS(A2000:A$2005,A1999,F2000:F$2005,F1999,H2000:H$2005,H1999,AA2000:AA$2005,"&gt;0")=0),ROUND(K1999-L1999,6),""),"")</f>
        <v/>
      </c>
      <c r="X1999" s="60" t="str">
        <f>IF(AND(A1999="",C1999="",D1999="",H1999="",L1999=""),"",IF(A1999="","Type manquant",IF(AND(A1999&lt;&gt;"BL",A1999&lt;&gt;"BR",A1999&lt;&gt;"BS"),"Type inconnu (BL, BR ou BS)",IF(AG1999=0,"Date manquante ou invalide",IF(D1999="",IF(A1999="BL","Client manquant",IF(A1999="BR","Fournisseur manquant","Service manquant")),IF(IF(A1999="BL",ISNA(MATCH(D1999,cl_code,0)),IF(A1999="BR",ISNA(MATCH(D1999,fo_code,0)),ISNA(MATCH(D1999,p_services,0)))),IF(A1999="BL","Client inconnu",IF(A1999="BR","Fournisseur inconnu","Service inconnu")),IF(H1999="","Article manquant",IF(ISNA(MATCH(H1999,art_ref,0)),"Article inconnu",IF(OR(NOT(ISNUMBER(L1999)),N(L1999)&lt;=0),"Quantité invalide",IF(AND(K1999&lt;&gt;"",OR(NOT(ISNUMBER(K1999)),N(K1999)&lt;=0)),"Qté commandée invalide",IF(AG1999&lt;SUMPRODUCT(MAX((A$6:A1998=A1999)*AG$6:AG1998)),"Date antérieure au bon précédent",IF(AND(A1999&lt;&gt;"BR",ISNUMBER(M1999),N(M1999)&gt;0),IF(A1999="BL","Livré plus que commandé","Sorti plus que demandé"),"OK"))))))))))))</f>
        <v/>
      </c>
      <c r="Y1999" s="57" t="str">
        <f>IF(AND(OR(A1999="BL",A1999="BR",A1999="BS"),AG1999&gt;0,D1999&lt;&gt;""),A1999&amp;"|"&amp;AG1999&amp;"|"&amp;D1999&amp;"|"&amp;F1999,"")</f>
        <v/>
      </c>
      <c r="Z1999" s="57" t="str">
        <f>IF(Y1999="","",IF(COUNTIF(Y$6:Y1998,Y1999)=0,1,0))</f>
        <v/>
      </c>
      <c r="AA1999" s="57" t="str">
        <f>IF(Y1999="","",IF(Z1999=1,COUNTIFS(A$6:A1999,A1999,Z$6:Z1999,1),INDEX(AA$6:AA1998,MATCH(Y1999,Y$6:Y1998,0))))</f>
        <v/>
      </c>
      <c r="AB1999" s="57" t="str">
        <f>IF(B1999="","",COUNTIF(B$6:B1999,B1999))</f>
        <v/>
      </c>
      <c r="AC1999" s="57" t="str">
        <f>IF(B1999="","",B1999&amp;"#"&amp;AB1999)</f>
        <v/>
      </c>
      <c r="AD1999" s="57" t="str">
        <f>IF(Z1999=1,A1999&amp;AA1999,"")</f>
        <v/>
      </c>
      <c r="AE1999" s="57" t="str">
        <f>IF(B1999="","",YEAR(C1999))</f>
        <v/>
      </c>
      <c r="AF1999" s="57" t="str">
        <f>IF(B1999="","",MONTH(C1999))</f>
        <v/>
      </c>
      <c r="AG1999" s="57">
        <f>IF(ISNUMBER(C1999),C1999,0)</f>
        <v>0.0</v>
      </c>
      <c r="AH1999" s="57" t="str">
        <f>IF(N(W1999)&gt;0,COUNTIF(W$6:W1999,"&gt;0"),"")</f>
        <v/>
      </c>
      <c r="AI1999" s="57" t="str">
        <f>IF(Z1999=1,COUNTIF(Z$6:Z1999,1),"")</f>
        <v/>
      </c>
    </row>
    <row r="2000">
      <c r="A2000" s="54" t="n"/>
      <c r="B2000" s="55" t="str">
        <f>IF(AA2000="","",A2000&amp;"-"&amp;RIGHT("000"&amp;AA2000,4))</f>
        <v/>
      </c>
      <c r="C2000" s="56" t="n"/>
      <c r="D2000" s="54" t="n"/>
      <c r="E2000" s="57" t="str">
        <f>IF(D2000="","",IF(A2000="BL",IFERROR(INDEX(cl_name,MATCH(D2000,cl_code,0))&amp;"","Client inconnu"),IF(A2000="BR",IFERROR(INDEX(fo_name,MATCH(D2000,fo_code,0))&amp;"","Fournisseur inconnu"),IF(A2000="BS",IF(ISNA(MATCH(D2000,p_services,0)),"Service inconnu",D2000&amp;""),""))))</f>
        <v/>
      </c>
      <c r="F2000" s="58" t="n"/>
      <c r="G2000" s="58" t="n"/>
      <c r="H2000" s="59" t="n"/>
      <c r="I2000" s="57" t="str">
        <f>IF(H2000="","",IFERROR(INDEX(art_des,MATCH(H2000,art_ref,0))&amp;"","Article inconnu"))</f>
        <v/>
      </c>
      <c r="J2000" s="60" t="str">
        <f>IF(H2000="","",IFERROR(INDEX(art_unit,MATCH(H2000,art_ref,0))&amp;"",""))</f>
        <v/>
      </c>
      <c r="K2000" s="59" t="n"/>
      <c r="L2000" s="59" t="n"/>
      <c r="M2000" s="61" t="str">
        <f>IF(OR(B2000="",NOT(ISNUMBER(K2000)),NOT(ISNUMBER(L2000))),"",IF(OR(K2000&lt;=0,L2000&lt;=0),"",ROUND(L2000-K2000,6)))</f>
        <v/>
      </c>
      <c r="N2000" s="58" t="n"/>
      <c r="O2000" s="62" t="n"/>
      <c r="P2000" s="63" t="str">
        <f>IF(OR(B2000="",NOT(ISNUMBER(L2000))),"",IF(L2000&lt;=0,"",IFERROR(ROUND(L2000*N(INDEX(art_w,MATCH(H2000,art_ref,0))),3),"")))</f>
        <v/>
      </c>
      <c r="Q2000" s="59" t="n"/>
      <c r="R2000" s="54" t="n"/>
      <c r="S2000" s="59" t="n"/>
      <c r="T2000" s="59" t="n"/>
      <c r="U2000" s="64" t="str">
        <f>IF(OR(B2000="",H2000=""),"",IFERROR(IF(A2000="BL",IF(N(INDEX(art_price,MATCH(H2000,art_ref,0)))=0,"",N(INDEX(art_price,MATCH(H2000,art_ref,0)))),IF(N(INDEX(art_cost,MATCH(H2000,art_ref,0)))=0,"",N(INDEX(art_cost,MATCH(H2000,art_ref,0))))),""))</f>
        <v/>
      </c>
      <c r="V2000" s="64" t="str">
        <f>IF(OR(U2000="",NOT(ISNUMBER(L2000))),"",IF(L2000&lt;=0,"",ROUND(L2000*U2000,2)))</f>
        <v/>
      </c>
      <c r="W2000" s="60" t="str">
        <f>IF(AND(B2000&lt;&gt;"",A2000&lt;&gt;"BS",F2000&lt;&gt;"",H2000&lt;&gt;"",ISNUMBER(K2000),ISNUMBER(L2000)),IF(AND(K2000&gt;0,L2000&gt;0,K2000-L2000&gt;0,COUNTIFS(A2001:A$2005,A2000,F2001:F$2005,F2000,H2001:H$2005,H2000,AA2001:AA$2005,"&gt;0")=0),ROUND(K2000-L2000,6),""),"")</f>
        <v/>
      </c>
      <c r="X2000" s="60" t="str">
        <f>IF(AND(A2000="",C2000="",D2000="",H2000="",L2000=""),"",IF(A2000="","Type manquant",IF(AND(A2000&lt;&gt;"BL",A2000&lt;&gt;"BR",A2000&lt;&gt;"BS"),"Type inconnu (BL, BR ou BS)",IF(AG2000=0,"Date manquante ou invalide",IF(D2000="",IF(A2000="BL","Client manquant",IF(A2000="BR","Fournisseur manquant","Service manquant")),IF(IF(A2000="BL",ISNA(MATCH(D2000,cl_code,0)),IF(A2000="BR",ISNA(MATCH(D2000,fo_code,0)),ISNA(MATCH(D2000,p_services,0)))),IF(A2000="BL","Client inconnu",IF(A2000="BR","Fournisseur inconnu","Service inconnu")),IF(H2000="","Article manquant",IF(ISNA(MATCH(H2000,art_ref,0)),"Article inconnu",IF(OR(NOT(ISNUMBER(L2000)),N(L2000)&lt;=0),"Quantité invalide",IF(AND(K2000&lt;&gt;"",OR(NOT(ISNUMBER(K2000)),N(K2000)&lt;=0)),"Qté commandée invalide",IF(AG2000&lt;SUMPRODUCT(MAX((A$6:A1999=A2000)*AG$6:AG1999)),"Date antérieure au bon précédent",IF(AND(A2000&lt;&gt;"BR",ISNUMBER(M2000),N(M2000)&gt;0),IF(A2000="BL","Livré plus que commandé","Sorti plus que demandé"),"OK"))))))))))))</f>
        <v/>
      </c>
      <c r="Y2000" s="57" t="str">
        <f>IF(AND(OR(A2000="BL",A2000="BR",A2000="BS"),AG2000&gt;0,D2000&lt;&gt;""),A2000&amp;"|"&amp;AG2000&amp;"|"&amp;D2000&amp;"|"&amp;F2000,"")</f>
        <v/>
      </c>
      <c r="Z2000" s="57" t="str">
        <f>IF(Y2000="","",IF(COUNTIF(Y$6:Y1999,Y2000)=0,1,0))</f>
        <v/>
      </c>
      <c r="AA2000" s="57" t="str">
        <f>IF(Y2000="","",IF(Z2000=1,COUNTIFS(A$6:A2000,A2000,Z$6:Z2000,1),INDEX(AA$6:AA1999,MATCH(Y2000,Y$6:Y1999,0))))</f>
        <v/>
      </c>
      <c r="AB2000" s="57" t="str">
        <f>IF(B2000="","",COUNTIF(B$6:B2000,B2000))</f>
        <v/>
      </c>
      <c r="AC2000" s="57" t="str">
        <f>IF(B2000="","",B2000&amp;"#"&amp;AB2000)</f>
        <v/>
      </c>
      <c r="AD2000" s="57" t="str">
        <f>IF(Z2000=1,A2000&amp;AA2000,"")</f>
        <v/>
      </c>
      <c r="AE2000" s="57" t="str">
        <f>IF(B2000="","",YEAR(C2000))</f>
        <v/>
      </c>
      <c r="AF2000" s="57" t="str">
        <f>IF(B2000="","",MONTH(C2000))</f>
        <v/>
      </c>
      <c r="AG2000" s="57">
        <f>IF(ISNUMBER(C2000),C2000,0)</f>
        <v>0.0</v>
      </c>
      <c r="AH2000" s="57" t="str">
        <f>IF(N(W2000)&gt;0,COUNTIF(W$6:W2000,"&gt;0"),"")</f>
        <v/>
      </c>
      <c r="AI2000" s="57" t="str">
        <f>IF(Z2000=1,COUNTIF(Z$6:Z2000,1),"")</f>
        <v/>
      </c>
    </row>
    <row r="2001">
      <c r="A2001" s="54" t="n"/>
      <c r="B2001" s="55" t="str">
        <f>IF(AA2001="","",A2001&amp;"-"&amp;RIGHT("000"&amp;AA2001,4))</f>
        <v/>
      </c>
      <c r="C2001" s="56" t="n"/>
      <c r="D2001" s="54" t="n"/>
      <c r="E2001" s="57" t="str">
        <f>IF(D2001="","",IF(A2001="BL",IFERROR(INDEX(cl_name,MATCH(D2001,cl_code,0))&amp;"","Client inconnu"),IF(A2001="BR",IFERROR(INDEX(fo_name,MATCH(D2001,fo_code,0))&amp;"","Fournisseur inconnu"),IF(A2001="BS",IF(ISNA(MATCH(D2001,p_services,0)),"Service inconnu",D2001&amp;""),""))))</f>
        <v/>
      </c>
      <c r="F2001" s="58" t="n"/>
      <c r="G2001" s="58" t="n"/>
      <c r="H2001" s="59" t="n"/>
      <c r="I2001" s="57" t="str">
        <f>IF(H2001="","",IFERROR(INDEX(art_des,MATCH(H2001,art_ref,0))&amp;"","Article inconnu"))</f>
        <v/>
      </c>
      <c r="J2001" s="60" t="str">
        <f>IF(H2001="","",IFERROR(INDEX(art_unit,MATCH(H2001,art_ref,0))&amp;"",""))</f>
        <v/>
      </c>
      <c r="K2001" s="59" t="n"/>
      <c r="L2001" s="59" t="n"/>
      <c r="M2001" s="61" t="str">
        <f>IF(OR(B2001="",NOT(ISNUMBER(K2001)),NOT(ISNUMBER(L2001))),"",IF(OR(K2001&lt;=0,L2001&lt;=0),"",ROUND(L2001-K2001,6)))</f>
        <v/>
      </c>
      <c r="N2001" s="58" t="n"/>
      <c r="O2001" s="62" t="n"/>
      <c r="P2001" s="63" t="str">
        <f>IF(OR(B2001="",NOT(ISNUMBER(L2001))),"",IF(L2001&lt;=0,"",IFERROR(ROUND(L2001*N(INDEX(art_w,MATCH(H2001,art_ref,0))),3),"")))</f>
        <v/>
      </c>
      <c r="Q2001" s="59" t="n"/>
      <c r="R2001" s="54" t="n"/>
      <c r="S2001" s="59" t="n"/>
      <c r="T2001" s="59" t="n"/>
      <c r="U2001" s="64" t="str">
        <f>IF(OR(B2001="",H2001=""),"",IFERROR(IF(A2001="BL",IF(N(INDEX(art_price,MATCH(H2001,art_ref,0)))=0,"",N(INDEX(art_price,MATCH(H2001,art_ref,0)))),IF(N(INDEX(art_cost,MATCH(H2001,art_ref,0)))=0,"",N(INDEX(art_cost,MATCH(H2001,art_ref,0))))),""))</f>
        <v/>
      </c>
      <c r="V2001" s="64" t="str">
        <f>IF(OR(U2001="",NOT(ISNUMBER(L2001))),"",IF(L2001&lt;=0,"",ROUND(L2001*U2001,2)))</f>
        <v/>
      </c>
      <c r="W2001" s="60" t="str">
        <f>IF(AND(B2001&lt;&gt;"",A2001&lt;&gt;"BS",F2001&lt;&gt;"",H2001&lt;&gt;"",ISNUMBER(K2001),ISNUMBER(L2001)),IF(AND(K2001&gt;0,L2001&gt;0,K2001-L2001&gt;0,COUNTIFS(A2002:A$2005,A2001,F2002:F$2005,F2001,H2002:H$2005,H2001,AA2002:AA$2005,"&gt;0")=0),ROUND(K2001-L2001,6),""),"")</f>
        <v/>
      </c>
      <c r="X2001" s="60" t="str">
        <f>IF(AND(A2001="",C2001="",D2001="",H2001="",L2001=""),"",IF(A2001="","Type manquant",IF(AND(A2001&lt;&gt;"BL",A2001&lt;&gt;"BR",A2001&lt;&gt;"BS"),"Type inconnu (BL, BR ou BS)",IF(AG2001=0,"Date manquante ou invalide",IF(D2001="",IF(A2001="BL","Client manquant",IF(A2001="BR","Fournisseur manquant","Service manquant")),IF(IF(A2001="BL",ISNA(MATCH(D2001,cl_code,0)),IF(A2001="BR",ISNA(MATCH(D2001,fo_code,0)),ISNA(MATCH(D2001,p_services,0)))),IF(A2001="BL","Client inconnu",IF(A2001="BR","Fournisseur inconnu","Service inconnu")),IF(H2001="","Article manquant",IF(ISNA(MATCH(H2001,art_ref,0)),"Article inconnu",IF(OR(NOT(ISNUMBER(L2001)),N(L2001)&lt;=0),"Quantité invalide",IF(AND(K2001&lt;&gt;"",OR(NOT(ISNUMBER(K2001)),N(K2001)&lt;=0)),"Qté commandée invalide",IF(AG2001&lt;SUMPRODUCT(MAX((A$6:A2000=A2001)*AG$6:AG2000)),"Date antérieure au bon précédent",IF(AND(A2001&lt;&gt;"BR",ISNUMBER(M2001),N(M2001)&gt;0),IF(A2001="BL","Livré plus que commandé","Sorti plus que demandé"),"OK"))))))))))))</f>
        <v/>
      </c>
      <c r="Y2001" s="57" t="str">
        <f>IF(AND(OR(A2001="BL",A2001="BR",A2001="BS"),AG2001&gt;0,D2001&lt;&gt;""),A2001&amp;"|"&amp;AG2001&amp;"|"&amp;D2001&amp;"|"&amp;F2001,"")</f>
        <v/>
      </c>
      <c r="Z2001" s="57" t="str">
        <f>IF(Y2001="","",IF(COUNTIF(Y$6:Y2000,Y2001)=0,1,0))</f>
        <v/>
      </c>
      <c r="AA2001" s="57" t="str">
        <f>IF(Y2001="","",IF(Z2001=1,COUNTIFS(A$6:A2001,A2001,Z$6:Z2001,1),INDEX(AA$6:AA2000,MATCH(Y2001,Y$6:Y2000,0))))</f>
        <v/>
      </c>
      <c r="AB2001" s="57" t="str">
        <f>IF(B2001="","",COUNTIF(B$6:B2001,B2001))</f>
        <v/>
      </c>
      <c r="AC2001" s="57" t="str">
        <f>IF(B2001="","",B2001&amp;"#"&amp;AB2001)</f>
        <v/>
      </c>
      <c r="AD2001" s="57" t="str">
        <f>IF(Z2001=1,A2001&amp;AA2001,"")</f>
        <v/>
      </c>
      <c r="AE2001" s="57" t="str">
        <f>IF(B2001="","",YEAR(C2001))</f>
        <v/>
      </c>
      <c r="AF2001" s="57" t="str">
        <f>IF(B2001="","",MONTH(C2001))</f>
        <v/>
      </c>
      <c r="AG2001" s="57">
        <f>IF(ISNUMBER(C2001),C2001,0)</f>
        <v>0.0</v>
      </c>
      <c r="AH2001" s="57" t="str">
        <f>IF(N(W2001)&gt;0,COUNTIF(W$6:W2001,"&gt;0"),"")</f>
        <v/>
      </c>
      <c r="AI2001" s="57" t="str">
        <f>IF(Z2001=1,COUNTIF(Z$6:Z2001,1),"")</f>
        <v/>
      </c>
    </row>
    <row r="2002">
      <c r="A2002" s="54" t="n"/>
      <c r="B2002" s="55" t="str">
        <f>IF(AA2002="","",A2002&amp;"-"&amp;RIGHT("000"&amp;AA2002,4))</f>
        <v/>
      </c>
      <c r="C2002" s="56" t="n"/>
      <c r="D2002" s="54" t="n"/>
      <c r="E2002" s="57" t="str">
        <f>IF(D2002="","",IF(A2002="BL",IFERROR(INDEX(cl_name,MATCH(D2002,cl_code,0))&amp;"","Client inconnu"),IF(A2002="BR",IFERROR(INDEX(fo_name,MATCH(D2002,fo_code,0))&amp;"","Fournisseur inconnu"),IF(A2002="BS",IF(ISNA(MATCH(D2002,p_services,0)),"Service inconnu",D2002&amp;""),""))))</f>
        <v/>
      </c>
      <c r="F2002" s="58" t="n"/>
      <c r="G2002" s="58" t="n"/>
      <c r="H2002" s="59" t="n"/>
      <c r="I2002" s="57" t="str">
        <f>IF(H2002="","",IFERROR(INDEX(art_des,MATCH(H2002,art_ref,0))&amp;"","Article inconnu"))</f>
        <v/>
      </c>
      <c r="J2002" s="60" t="str">
        <f>IF(H2002="","",IFERROR(INDEX(art_unit,MATCH(H2002,art_ref,0))&amp;"",""))</f>
        <v/>
      </c>
      <c r="K2002" s="59" t="n"/>
      <c r="L2002" s="59" t="n"/>
      <c r="M2002" s="61" t="str">
        <f>IF(OR(B2002="",NOT(ISNUMBER(K2002)),NOT(ISNUMBER(L2002))),"",IF(OR(K2002&lt;=0,L2002&lt;=0),"",ROUND(L2002-K2002,6)))</f>
        <v/>
      </c>
      <c r="N2002" s="58" t="n"/>
      <c r="O2002" s="62" t="n"/>
      <c r="P2002" s="63" t="str">
        <f>IF(OR(B2002="",NOT(ISNUMBER(L2002))),"",IF(L2002&lt;=0,"",IFERROR(ROUND(L2002*N(INDEX(art_w,MATCH(H2002,art_ref,0))),3),"")))</f>
        <v/>
      </c>
      <c r="Q2002" s="59" t="n"/>
      <c r="R2002" s="54" t="n"/>
      <c r="S2002" s="59" t="n"/>
      <c r="T2002" s="59" t="n"/>
      <c r="U2002" s="64" t="str">
        <f>IF(OR(B2002="",H2002=""),"",IFERROR(IF(A2002="BL",IF(N(INDEX(art_price,MATCH(H2002,art_ref,0)))=0,"",N(INDEX(art_price,MATCH(H2002,art_ref,0)))),IF(N(INDEX(art_cost,MATCH(H2002,art_ref,0)))=0,"",N(INDEX(art_cost,MATCH(H2002,art_ref,0))))),""))</f>
        <v/>
      </c>
      <c r="V2002" s="64" t="str">
        <f>IF(OR(U2002="",NOT(ISNUMBER(L2002))),"",IF(L2002&lt;=0,"",ROUND(L2002*U2002,2)))</f>
        <v/>
      </c>
      <c r="W2002" s="60" t="str">
        <f>IF(AND(B2002&lt;&gt;"",A2002&lt;&gt;"BS",F2002&lt;&gt;"",H2002&lt;&gt;"",ISNUMBER(K2002),ISNUMBER(L2002)),IF(AND(K2002&gt;0,L2002&gt;0,K2002-L2002&gt;0,COUNTIFS(A2003:A$2005,A2002,F2003:F$2005,F2002,H2003:H$2005,H2002,AA2003:AA$2005,"&gt;0")=0),ROUND(K2002-L2002,6),""),"")</f>
        <v/>
      </c>
      <c r="X2002" s="60" t="str">
        <f>IF(AND(A2002="",C2002="",D2002="",H2002="",L2002=""),"",IF(A2002="","Type manquant",IF(AND(A2002&lt;&gt;"BL",A2002&lt;&gt;"BR",A2002&lt;&gt;"BS"),"Type inconnu (BL, BR ou BS)",IF(AG2002=0,"Date manquante ou invalide",IF(D2002="",IF(A2002="BL","Client manquant",IF(A2002="BR","Fournisseur manquant","Service manquant")),IF(IF(A2002="BL",ISNA(MATCH(D2002,cl_code,0)),IF(A2002="BR",ISNA(MATCH(D2002,fo_code,0)),ISNA(MATCH(D2002,p_services,0)))),IF(A2002="BL","Client inconnu",IF(A2002="BR","Fournisseur inconnu","Service inconnu")),IF(H2002="","Article manquant",IF(ISNA(MATCH(H2002,art_ref,0)),"Article inconnu",IF(OR(NOT(ISNUMBER(L2002)),N(L2002)&lt;=0),"Quantité invalide",IF(AND(K2002&lt;&gt;"",OR(NOT(ISNUMBER(K2002)),N(K2002)&lt;=0)),"Qté commandée invalide",IF(AG2002&lt;SUMPRODUCT(MAX((A$6:A2001=A2002)*AG$6:AG2001)),"Date antérieure au bon précédent",IF(AND(A2002&lt;&gt;"BR",ISNUMBER(M2002),N(M2002)&gt;0),IF(A2002="BL","Livré plus que commandé","Sorti plus que demandé"),"OK"))))))))))))</f>
        <v/>
      </c>
      <c r="Y2002" s="57" t="str">
        <f>IF(AND(OR(A2002="BL",A2002="BR",A2002="BS"),AG2002&gt;0,D2002&lt;&gt;""),A2002&amp;"|"&amp;AG2002&amp;"|"&amp;D2002&amp;"|"&amp;F2002,"")</f>
        <v/>
      </c>
      <c r="Z2002" s="57" t="str">
        <f>IF(Y2002="","",IF(COUNTIF(Y$6:Y2001,Y2002)=0,1,0))</f>
        <v/>
      </c>
      <c r="AA2002" s="57" t="str">
        <f>IF(Y2002="","",IF(Z2002=1,COUNTIFS(A$6:A2002,A2002,Z$6:Z2002,1),INDEX(AA$6:AA2001,MATCH(Y2002,Y$6:Y2001,0))))</f>
        <v/>
      </c>
      <c r="AB2002" s="57" t="str">
        <f>IF(B2002="","",COUNTIF(B$6:B2002,B2002))</f>
        <v/>
      </c>
      <c r="AC2002" s="57" t="str">
        <f>IF(B2002="","",B2002&amp;"#"&amp;AB2002)</f>
        <v/>
      </c>
      <c r="AD2002" s="57" t="str">
        <f>IF(Z2002=1,A2002&amp;AA2002,"")</f>
        <v/>
      </c>
      <c r="AE2002" s="57" t="str">
        <f>IF(B2002="","",YEAR(C2002))</f>
        <v/>
      </c>
      <c r="AF2002" s="57" t="str">
        <f>IF(B2002="","",MONTH(C2002))</f>
        <v/>
      </c>
      <c r="AG2002" s="57">
        <f>IF(ISNUMBER(C2002),C2002,0)</f>
        <v>0.0</v>
      </c>
      <c r="AH2002" s="57" t="str">
        <f>IF(N(W2002)&gt;0,COUNTIF(W$6:W2002,"&gt;0"),"")</f>
        <v/>
      </c>
      <c r="AI2002" s="57" t="str">
        <f>IF(Z2002=1,COUNTIF(Z$6:Z2002,1),"")</f>
        <v/>
      </c>
    </row>
    <row r="2003">
      <c r="A2003" s="54" t="n"/>
      <c r="B2003" s="55" t="str">
        <f>IF(AA2003="","",A2003&amp;"-"&amp;RIGHT("000"&amp;AA2003,4))</f>
        <v/>
      </c>
      <c r="C2003" s="56" t="n"/>
      <c r="D2003" s="54" t="n"/>
      <c r="E2003" s="57" t="str">
        <f>IF(D2003="","",IF(A2003="BL",IFERROR(INDEX(cl_name,MATCH(D2003,cl_code,0))&amp;"","Client inconnu"),IF(A2003="BR",IFERROR(INDEX(fo_name,MATCH(D2003,fo_code,0))&amp;"","Fournisseur inconnu"),IF(A2003="BS",IF(ISNA(MATCH(D2003,p_services,0)),"Service inconnu",D2003&amp;""),""))))</f>
        <v/>
      </c>
      <c r="F2003" s="58" t="n"/>
      <c r="G2003" s="58" t="n"/>
      <c r="H2003" s="59" t="n"/>
      <c r="I2003" s="57" t="str">
        <f>IF(H2003="","",IFERROR(INDEX(art_des,MATCH(H2003,art_ref,0))&amp;"","Article inconnu"))</f>
        <v/>
      </c>
      <c r="J2003" s="60" t="str">
        <f>IF(H2003="","",IFERROR(INDEX(art_unit,MATCH(H2003,art_ref,0))&amp;"",""))</f>
        <v/>
      </c>
      <c r="K2003" s="59" t="n"/>
      <c r="L2003" s="59" t="n"/>
      <c r="M2003" s="61" t="str">
        <f>IF(OR(B2003="",NOT(ISNUMBER(K2003)),NOT(ISNUMBER(L2003))),"",IF(OR(K2003&lt;=0,L2003&lt;=0),"",ROUND(L2003-K2003,6)))</f>
        <v/>
      </c>
      <c r="N2003" s="58" t="n"/>
      <c r="O2003" s="62" t="n"/>
      <c r="P2003" s="63" t="str">
        <f>IF(OR(B2003="",NOT(ISNUMBER(L2003))),"",IF(L2003&lt;=0,"",IFERROR(ROUND(L2003*N(INDEX(art_w,MATCH(H2003,art_ref,0))),3),"")))</f>
        <v/>
      </c>
      <c r="Q2003" s="59" t="n"/>
      <c r="R2003" s="54" t="n"/>
      <c r="S2003" s="59" t="n"/>
      <c r="T2003" s="59" t="n"/>
      <c r="U2003" s="64" t="str">
        <f>IF(OR(B2003="",H2003=""),"",IFERROR(IF(A2003="BL",IF(N(INDEX(art_price,MATCH(H2003,art_ref,0)))=0,"",N(INDEX(art_price,MATCH(H2003,art_ref,0)))),IF(N(INDEX(art_cost,MATCH(H2003,art_ref,0)))=0,"",N(INDEX(art_cost,MATCH(H2003,art_ref,0))))),""))</f>
        <v/>
      </c>
      <c r="V2003" s="64" t="str">
        <f>IF(OR(U2003="",NOT(ISNUMBER(L2003))),"",IF(L2003&lt;=0,"",ROUND(L2003*U2003,2)))</f>
        <v/>
      </c>
      <c r="W2003" s="60" t="str">
        <f>IF(AND(B2003&lt;&gt;"",A2003&lt;&gt;"BS",F2003&lt;&gt;"",H2003&lt;&gt;"",ISNUMBER(K2003),ISNUMBER(L2003)),IF(AND(K2003&gt;0,L2003&gt;0,K2003-L2003&gt;0,COUNTIFS(A2004:A$2005,A2003,F2004:F$2005,F2003,H2004:H$2005,H2003,AA2004:AA$2005,"&gt;0")=0),ROUND(K2003-L2003,6),""),"")</f>
        <v/>
      </c>
      <c r="X2003" s="60" t="str">
        <f>IF(AND(A2003="",C2003="",D2003="",H2003="",L2003=""),"",IF(A2003="","Type manquant",IF(AND(A2003&lt;&gt;"BL",A2003&lt;&gt;"BR",A2003&lt;&gt;"BS"),"Type inconnu (BL, BR ou BS)",IF(AG2003=0,"Date manquante ou invalide",IF(D2003="",IF(A2003="BL","Client manquant",IF(A2003="BR","Fournisseur manquant","Service manquant")),IF(IF(A2003="BL",ISNA(MATCH(D2003,cl_code,0)),IF(A2003="BR",ISNA(MATCH(D2003,fo_code,0)),ISNA(MATCH(D2003,p_services,0)))),IF(A2003="BL","Client inconnu",IF(A2003="BR","Fournisseur inconnu","Service inconnu")),IF(H2003="","Article manquant",IF(ISNA(MATCH(H2003,art_ref,0)),"Article inconnu",IF(OR(NOT(ISNUMBER(L2003)),N(L2003)&lt;=0),"Quantité invalide",IF(AND(K2003&lt;&gt;"",OR(NOT(ISNUMBER(K2003)),N(K2003)&lt;=0)),"Qté commandée invalide",IF(AG2003&lt;SUMPRODUCT(MAX((A$6:A2002=A2003)*AG$6:AG2002)),"Date antérieure au bon précédent",IF(AND(A2003&lt;&gt;"BR",ISNUMBER(M2003),N(M2003)&gt;0),IF(A2003="BL","Livré plus que commandé","Sorti plus que demandé"),"OK"))))))))))))</f>
        <v/>
      </c>
      <c r="Y2003" s="57" t="str">
        <f>IF(AND(OR(A2003="BL",A2003="BR",A2003="BS"),AG2003&gt;0,D2003&lt;&gt;""),A2003&amp;"|"&amp;AG2003&amp;"|"&amp;D2003&amp;"|"&amp;F2003,"")</f>
        <v/>
      </c>
      <c r="Z2003" s="57" t="str">
        <f>IF(Y2003="","",IF(COUNTIF(Y$6:Y2002,Y2003)=0,1,0))</f>
        <v/>
      </c>
      <c r="AA2003" s="57" t="str">
        <f>IF(Y2003="","",IF(Z2003=1,COUNTIFS(A$6:A2003,A2003,Z$6:Z2003,1),INDEX(AA$6:AA2002,MATCH(Y2003,Y$6:Y2002,0))))</f>
        <v/>
      </c>
      <c r="AB2003" s="57" t="str">
        <f>IF(B2003="","",COUNTIF(B$6:B2003,B2003))</f>
        <v/>
      </c>
      <c r="AC2003" s="57" t="str">
        <f>IF(B2003="","",B2003&amp;"#"&amp;AB2003)</f>
        <v/>
      </c>
      <c r="AD2003" s="57" t="str">
        <f>IF(Z2003=1,A2003&amp;AA2003,"")</f>
        <v/>
      </c>
      <c r="AE2003" s="57" t="str">
        <f>IF(B2003="","",YEAR(C2003))</f>
        <v/>
      </c>
      <c r="AF2003" s="57" t="str">
        <f>IF(B2003="","",MONTH(C2003))</f>
        <v/>
      </c>
      <c r="AG2003" s="57">
        <f>IF(ISNUMBER(C2003),C2003,0)</f>
        <v>0.0</v>
      </c>
      <c r="AH2003" s="57" t="str">
        <f>IF(N(W2003)&gt;0,COUNTIF(W$6:W2003,"&gt;0"),"")</f>
        <v/>
      </c>
      <c r="AI2003" s="57" t="str">
        <f>IF(Z2003=1,COUNTIF(Z$6:Z2003,1),"")</f>
        <v/>
      </c>
    </row>
    <row r="2004">
      <c r="A2004" s="54" t="n"/>
      <c r="B2004" s="55" t="str">
        <f>IF(AA2004="","",A2004&amp;"-"&amp;RIGHT("000"&amp;AA2004,4))</f>
        <v/>
      </c>
      <c r="C2004" s="56" t="n"/>
      <c r="D2004" s="54" t="n"/>
      <c r="E2004" s="57" t="str">
        <f>IF(D2004="","",IF(A2004="BL",IFERROR(INDEX(cl_name,MATCH(D2004,cl_code,0))&amp;"","Client inconnu"),IF(A2004="BR",IFERROR(INDEX(fo_name,MATCH(D2004,fo_code,0))&amp;"","Fournisseur inconnu"),IF(A2004="BS",IF(ISNA(MATCH(D2004,p_services,0)),"Service inconnu",D2004&amp;""),""))))</f>
        <v/>
      </c>
      <c r="F2004" s="58" t="n"/>
      <c r="G2004" s="58" t="n"/>
      <c r="H2004" s="59" t="n"/>
      <c r="I2004" s="57" t="str">
        <f>IF(H2004="","",IFERROR(INDEX(art_des,MATCH(H2004,art_ref,0))&amp;"","Article inconnu"))</f>
        <v/>
      </c>
      <c r="J2004" s="60" t="str">
        <f>IF(H2004="","",IFERROR(INDEX(art_unit,MATCH(H2004,art_ref,0))&amp;"",""))</f>
        <v/>
      </c>
      <c r="K2004" s="59" t="n"/>
      <c r="L2004" s="59" t="n"/>
      <c r="M2004" s="61" t="str">
        <f>IF(OR(B2004="",NOT(ISNUMBER(K2004)),NOT(ISNUMBER(L2004))),"",IF(OR(K2004&lt;=0,L2004&lt;=0),"",ROUND(L2004-K2004,6)))</f>
        <v/>
      </c>
      <c r="N2004" s="58" t="n"/>
      <c r="O2004" s="62" t="n"/>
      <c r="P2004" s="63" t="str">
        <f>IF(OR(B2004="",NOT(ISNUMBER(L2004))),"",IF(L2004&lt;=0,"",IFERROR(ROUND(L2004*N(INDEX(art_w,MATCH(H2004,art_ref,0))),3),"")))</f>
        <v/>
      </c>
      <c r="Q2004" s="59" t="n"/>
      <c r="R2004" s="54" t="n"/>
      <c r="S2004" s="59" t="n"/>
      <c r="T2004" s="59" t="n"/>
      <c r="U2004" s="64" t="str">
        <f>IF(OR(B2004="",H2004=""),"",IFERROR(IF(A2004="BL",IF(N(INDEX(art_price,MATCH(H2004,art_ref,0)))=0,"",N(INDEX(art_price,MATCH(H2004,art_ref,0)))),IF(N(INDEX(art_cost,MATCH(H2004,art_ref,0)))=0,"",N(INDEX(art_cost,MATCH(H2004,art_ref,0))))),""))</f>
        <v/>
      </c>
      <c r="V2004" s="64" t="str">
        <f>IF(OR(U2004="",NOT(ISNUMBER(L2004))),"",IF(L2004&lt;=0,"",ROUND(L2004*U2004,2)))</f>
        <v/>
      </c>
      <c r="W2004" s="60" t="str">
        <f>IF(AND(B2004&lt;&gt;"",A2004&lt;&gt;"BS",F2004&lt;&gt;"",H2004&lt;&gt;"",ISNUMBER(K2004),ISNUMBER(L2004)),IF(AND(K2004&gt;0,L2004&gt;0,K2004-L2004&gt;0,COUNTIFS(A2005:A$2005,A2004,F2005:F$2005,F2004,H2005:H$2005,H2004,AA2005:AA$2005,"&gt;0")=0),ROUND(K2004-L2004,6),""),"")</f>
        <v/>
      </c>
      <c r="X2004" s="60" t="str">
        <f>IF(AND(A2004="",C2004="",D2004="",H2004="",L2004=""),"",IF(A2004="","Type manquant",IF(AND(A2004&lt;&gt;"BL",A2004&lt;&gt;"BR",A2004&lt;&gt;"BS"),"Type inconnu (BL, BR ou BS)",IF(AG2004=0,"Date manquante ou invalide",IF(D2004="",IF(A2004="BL","Client manquant",IF(A2004="BR","Fournisseur manquant","Service manquant")),IF(IF(A2004="BL",ISNA(MATCH(D2004,cl_code,0)),IF(A2004="BR",ISNA(MATCH(D2004,fo_code,0)),ISNA(MATCH(D2004,p_services,0)))),IF(A2004="BL","Client inconnu",IF(A2004="BR","Fournisseur inconnu","Service inconnu")),IF(H2004="","Article manquant",IF(ISNA(MATCH(H2004,art_ref,0)),"Article inconnu",IF(OR(NOT(ISNUMBER(L2004)),N(L2004)&lt;=0),"Quantité invalide",IF(AND(K2004&lt;&gt;"",OR(NOT(ISNUMBER(K2004)),N(K2004)&lt;=0)),"Qté commandée invalide",IF(AG2004&lt;SUMPRODUCT(MAX((A$6:A2003=A2004)*AG$6:AG2003)),"Date antérieure au bon précédent",IF(AND(A2004&lt;&gt;"BR",ISNUMBER(M2004),N(M2004)&gt;0),IF(A2004="BL","Livré plus que commandé","Sorti plus que demandé"),"OK"))))))))))))</f>
        <v/>
      </c>
      <c r="Y2004" s="57" t="str">
        <f>IF(AND(OR(A2004="BL",A2004="BR",A2004="BS"),AG2004&gt;0,D2004&lt;&gt;""),A2004&amp;"|"&amp;AG2004&amp;"|"&amp;D2004&amp;"|"&amp;F2004,"")</f>
        <v/>
      </c>
      <c r="Z2004" s="57" t="str">
        <f>IF(Y2004="","",IF(COUNTIF(Y$6:Y2003,Y2004)=0,1,0))</f>
        <v/>
      </c>
      <c r="AA2004" s="57" t="str">
        <f>IF(Y2004="","",IF(Z2004=1,COUNTIFS(A$6:A2004,A2004,Z$6:Z2004,1),INDEX(AA$6:AA2003,MATCH(Y2004,Y$6:Y2003,0))))</f>
        <v/>
      </c>
      <c r="AB2004" s="57" t="str">
        <f>IF(B2004="","",COUNTIF(B$6:B2004,B2004))</f>
        <v/>
      </c>
      <c r="AC2004" s="57" t="str">
        <f>IF(B2004="","",B2004&amp;"#"&amp;AB2004)</f>
        <v/>
      </c>
      <c r="AD2004" s="57" t="str">
        <f>IF(Z2004=1,A2004&amp;AA2004,"")</f>
        <v/>
      </c>
      <c r="AE2004" s="57" t="str">
        <f>IF(B2004="","",YEAR(C2004))</f>
        <v/>
      </c>
      <c r="AF2004" s="57" t="str">
        <f>IF(B2004="","",MONTH(C2004))</f>
        <v/>
      </c>
      <c r="AG2004" s="57">
        <f>IF(ISNUMBER(C2004),C2004,0)</f>
        <v>0.0</v>
      </c>
      <c r="AH2004" s="57" t="str">
        <f>IF(N(W2004)&gt;0,COUNTIF(W$6:W2004,"&gt;0"),"")</f>
        <v/>
      </c>
      <c r="AI2004" s="57" t="str">
        <f>IF(Z2004=1,COUNTIF(Z$6:Z2004,1),"")</f>
        <v/>
      </c>
    </row>
    <row r="2005">
      <c r="A2005" s="54" t="n"/>
      <c r="B2005" s="55" t="str">
        <f>IF(AA2005="","",A2005&amp;"-"&amp;RIGHT("000"&amp;AA2005,4))</f>
        <v/>
      </c>
      <c r="C2005" s="56" t="n"/>
      <c r="D2005" s="54" t="n"/>
      <c r="E2005" s="57" t="str">
        <f>IF(D2005="","",IF(A2005="BL",IFERROR(INDEX(cl_name,MATCH(D2005,cl_code,0))&amp;"","Client inconnu"),IF(A2005="BR",IFERROR(INDEX(fo_name,MATCH(D2005,fo_code,0))&amp;"","Fournisseur inconnu"),IF(A2005="BS",IF(ISNA(MATCH(D2005,p_services,0)),"Service inconnu",D2005&amp;""),""))))</f>
        <v/>
      </c>
      <c r="F2005" s="58" t="n"/>
      <c r="G2005" s="58" t="n"/>
      <c r="H2005" s="59" t="n"/>
      <c r="I2005" s="57" t="str">
        <f>IF(H2005="","",IFERROR(INDEX(art_des,MATCH(H2005,art_ref,0))&amp;"","Article inconnu"))</f>
        <v/>
      </c>
      <c r="J2005" s="60" t="str">
        <f>IF(H2005="","",IFERROR(INDEX(art_unit,MATCH(H2005,art_ref,0))&amp;"",""))</f>
        <v/>
      </c>
      <c r="K2005" s="59" t="n"/>
      <c r="L2005" s="59" t="n"/>
      <c r="M2005" s="61" t="str">
        <f>IF(OR(B2005="",NOT(ISNUMBER(K2005)),NOT(ISNUMBER(L2005))),"",IF(OR(K2005&lt;=0,L2005&lt;=0),"",ROUND(L2005-K2005,6)))</f>
        <v/>
      </c>
      <c r="N2005" s="58" t="n"/>
      <c r="O2005" s="62" t="n"/>
      <c r="P2005" s="63" t="str">
        <f>IF(OR(B2005="",NOT(ISNUMBER(L2005))),"",IF(L2005&lt;=0,"",IFERROR(ROUND(L2005*N(INDEX(art_w,MATCH(H2005,art_ref,0))),3),"")))</f>
        <v/>
      </c>
      <c r="Q2005" s="59" t="n"/>
      <c r="R2005" s="54" t="n"/>
      <c r="S2005" s="59" t="n"/>
      <c r="T2005" s="59" t="n"/>
      <c r="U2005" s="64" t="str">
        <f>IF(OR(B2005="",H2005=""),"",IFERROR(IF(A2005="BL",IF(N(INDEX(art_price,MATCH(H2005,art_ref,0)))=0,"",N(INDEX(art_price,MATCH(H2005,art_ref,0)))),IF(N(INDEX(art_cost,MATCH(H2005,art_ref,0)))=0,"",N(INDEX(art_cost,MATCH(H2005,art_ref,0))))),""))</f>
        <v/>
      </c>
      <c r="V2005" s="64" t="str">
        <f>IF(OR(U2005="",NOT(ISNUMBER(L2005))),"",IF(L2005&lt;=0,"",ROUND(L2005*U2005,2)))</f>
        <v/>
      </c>
      <c r="W2005" s="60" t="str">
        <f>IF(AND(B2005&lt;&gt;"",A2005&lt;&gt;"BS",F2005&lt;&gt;"",H2005&lt;&gt;"",ISNUMBER(K2005),ISNUMBER(L2005)),IF(AND(K2005&gt;0,L2005&gt;0,K2005-L2005&gt;0,0=0),ROUND(K2005-L2005,6),""),"")</f>
        <v/>
      </c>
      <c r="X2005" s="60" t="str">
        <f>IF(AND(A2005="",C2005="",D2005="",H2005="",L2005=""),"",IF(A2005="","Type manquant",IF(AND(A2005&lt;&gt;"BL",A2005&lt;&gt;"BR",A2005&lt;&gt;"BS"),"Type inconnu (BL, BR ou BS)",IF(AG2005=0,"Date manquante ou invalide",IF(D2005="",IF(A2005="BL","Client manquant",IF(A2005="BR","Fournisseur manquant","Service manquant")),IF(IF(A2005="BL",ISNA(MATCH(D2005,cl_code,0)),IF(A2005="BR",ISNA(MATCH(D2005,fo_code,0)),ISNA(MATCH(D2005,p_services,0)))),IF(A2005="BL","Client inconnu",IF(A2005="BR","Fournisseur inconnu","Service inconnu")),IF(H2005="","Article manquant",IF(ISNA(MATCH(H2005,art_ref,0)),"Article inconnu",IF(OR(NOT(ISNUMBER(L2005)),N(L2005)&lt;=0),"Quantité invalide",IF(AND(K2005&lt;&gt;"",OR(NOT(ISNUMBER(K2005)),N(K2005)&lt;=0)),"Qté commandée invalide",IF(AG2005&lt;SUMPRODUCT(MAX((A$6:A2004=A2005)*AG$6:AG2004)),"Date antérieure au bon précédent",IF(AND(A2005&lt;&gt;"BR",ISNUMBER(M2005),N(M2005)&gt;0),IF(A2005="BL","Livré plus que commandé","Sorti plus que demandé"),"OK"))))))))))))</f>
        <v/>
      </c>
      <c r="Y2005" s="57" t="str">
        <f>IF(AND(OR(A2005="BL",A2005="BR",A2005="BS"),AG2005&gt;0,D2005&lt;&gt;""),A2005&amp;"|"&amp;AG2005&amp;"|"&amp;D2005&amp;"|"&amp;F2005,"")</f>
        <v/>
      </c>
      <c r="Z2005" s="57" t="str">
        <f>IF(Y2005="","",IF(COUNTIF(Y$6:Y2004,Y2005)=0,1,0))</f>
        <v/>
      </c>
      <c r="AA2005" s="57" t="str">
        <f>IF(Y2005="","",IF(Z2005=1,COUNTIFS(A$6:A2005,A2005,Z$6:Z2005,1),INDEX(AA$6:AA2004,MATCH(Y2005,Y$6:Y2004,0))))</f>
        <v/>
      </c>
      <c r="AB2005" s="57" t="str">
        <f>IF(B2005="","",COUNTIF(B$6:B2005,B2005))</f>
        <v/>
      </c>
      <c r="AC2005" s="57" t="str">
        <f>IF(B2005="","",B2005&amp;"#"&amp;AB2005)</f>
        <v/>
      </c>
      <c r="AD2005" s="57" t="str">
        <f>IF(Z2005=1,A2005&amp;AA2005,"")</f>
        <v/>
      </c>
      <c r="AE2005" s="57" t="str">
        <f>IF(B2005="","",YEAR(C2005))</f>
        <v/>
      </c>
      <c r="AF2005" s="57" t="str">
        <f>IF(B2005="","",MONTH(C2005))</f>
        <v/>
      </c>
      <c r="AG2005" s="57">
        <f>IF(ISNUMBER(C2005),C2005,0)</f>
        <v>0.0</v>
      </c>
      <c r="AH2005" s="57" t="str">
        <f>IF(N(W2005)&gt;0,COUNTIF(W$6:W2005,"&gt;0"),"")</f>
        <v/>
      </c>
      <c r="AI2005" s="57" t="str">
        <f>IF(Z2005=1,COUNTIF(Z$6:Z2005,1),"")</f>
        <v/>
      </c>
    </row>
  </sheetData>
  <autoFilter ref="A5:X2005"/>
  <conditionalFormatting sqref="A6:A2005">
    <cfRule type="expression" priority="1" dxfId="3">
      <formula>$A6="BL"</formula>
    </cfRule>
    <cfRule type="expression" priority="2" dxfId="4">
      <formula>$A6="BR"</formula>
    </cfRule>
    <cfRule type="expression" priority="3" dxfId="5">
      <formula>$A6="BS"</formula>
    </cfRule>
  </conditionalFormatting>
  <conditionalFormatting sqref="R6:R2005">
    <cfRule type="expression" priority="4" dxfId="0">
      <formula>$R6="Conforme"</formula>
    </cfRule>
    <cfRule type="expression" priority="5" dxfId="1">
      <formula>$R6="Avec réserves"</formula>
    </cfRule>
    <cfRule type="expression" priority="6" dxfId="2">
      <formula>$R6="Refusé"</formula>
    </cfRule>
  </conditionalFormatting>
  <conditionalFormatting sqref="X6:X2005">
    <cfRule type="expression" priority="7" dxfId="0">
      <formula>$X6="OK"</formula>
    </cfRule>
    <cfRule type="expression" priority="8" dxfId="2">
      <formula>AND($X6&lt;&gt;"",$X6&lt;&gt;"OK")</formula>
    </cfRule>
  </conditionalFormatting>
  <conditionalFormatting sqref="M6:M2005">
    <cfRule type="expression" priority="9" dxfId="9">
      <formula>AND(ISNUMBER($M6),$M6&lt;0)</formula>
    </cfRule>
    <cfRule type="expression" priority="10" dxfId="10">
      <formula>AND(ISNUMBER($M6),$M6&gt;0)</formula>
    </cfRule>
  </conditionalFormatting>
  <conditionalFormatting sqref="W6:W2005">
    <cfRule type="expression" priority="11" dxfId="1">
      <formula>N($W6)&gt;0</formula>
    </cfRule>
  </conditionalFormatting>
  <conditionalFormatting sqref="U6:U2005">
    <cfRule type="expression" priority="12" dxfId="11">
      <formula>p_currency="MAD"</formula>
    </cfRule>
    <cfRule type="expression" priority="14" dxfId="12">
      <formula>p_currency="EUR"</formula>
    </cfRule>
    <cfRule type="expression" priority="16" dxfId="13">
      <formula>p_currency="USD"</formula>
    </cfRule>
  </conditionalFormatting>
  <conditionalFormatting sqref="V6:V2005">
    <cfRule type="expression" priority="13" dxfId="11">
      <formula>p_currency="MAD"</formula>
    </cfRule>
    <cfRule type="expression" priority="15" dxfId="12">
      <formula>p_currency="EUR"</formula>
    </cfRule>
    <cfRule type="expression" priority="17" dxfId="13">
      <formula>p_currency="USD"</formula>
    </cfRule>
  </conditionalFormatting>
  <dataValidations count="14">
    <dataValidation sqref="A6:A2005" showDropDown="0" showInputMessage="1" showErrorMessage="1" allowBlank="1" errorTitle="Type de document" error="BL = bon de livraison (vers un client). BR = bon de réception (d'un fournisseur). BS = bon de sortie magasin (vers un service interne)." promptTitle="Type de document" prompt="BL = bon de livraison (vers un client). BR = bon de réception (d'un fournisseur). BS = bon de sortie magasin (vers un service interne)." type="list">
      <formula1>"BL,BR,BS"</formula1>
    </dataValidation>
    <dataValidation sqref="C6:C2005" showDropDown="0" showInputMessage="1" showErrorMessage="1" allowBlank="1" errorTitle="Date" error="Date du document, au format jj/mm/aaaa. Saisissez les bons dans l'ordre des dates." promptTitle="Date" prompt="Date du document, au format jj/mm/aaaa. Saisissez les bons dans l'ordre des dates." type="date" operator="between">
      <formula1>36526</formula1>
      <formula2>73051</formula2>
    </dataValidation>
    <dataValidation sqref="D6:D2005" showDropDown="0" showInputMessage="1" showErrorMessage="1" allowBlank="1" errorTitle="Tiers" error="BL : code client. BR : code fournisseur. BS : service demandeur. La liste contient les trois, dans cet ordre." promptTitle="Tiers" prompt="BL : code client. BR : code fournisseur. BS : service demandeur. La liste contient les trois, dans cet ordre." type="list">
      <formula1>=p_tiers</formula1>
    </dataValidation>
    <dataValidation sqref="F6:F2005" showDropDown="0" showInputMessage="1" showErrorMessage="1" allowBlank="1" errorTitle="N° commande" error="30 caractères au maximum." promptTitle="N° commande" prompt="Facultatif. N° de commande client (BL), de commande fournisseur (BR), de demande ou d'OF (BS). Indispensable pour suivre les reliquats." type="textLength" operator="lessThanOrEqual">
      <formula1>30</formula1>
    </dataValidation>
    <dataValidation sqref="G6:G2005" showDropDown="0" showInputMessage="1" showErrorMessage="1" allowBlank="1" errorTitle="Réf. externe" error="40 caractères au maximum." promptTitle="Réf. externe" prompt="Facultatif. BR : n° du BL du fournisseur. BL : référence du client. BS : nom du demandeur." type="textLength" operator="lessThanOrEqual">
      <formula1>40</formula1>
    </dataValidation>
    <dataValidation sqref="H6:H2005" showDropDown="0" showInputMessage="1" showErrorMessage="1" allowBlank="1" errorTitle="Article" error="Choisissez la référence dans la liste (feuille Articles)." promptTitle="Article" prompt="Choisissez la référence dans la liste (feuille Articles)." type="list">
      <formula1>=art_ref</formula1>
    </dataValidation>
    <dataValidation sqref="K6:K2005" showDropDown="0" showInputMessage="1" showErrorMessage="1" allowBlank="1" errorTitle="Qté commandée" error="Facultatif. Quantité attendue sur ce bon : commandée, ou reliquat restant d'un bon précédent. Supérieure à zéro." promptTitle="Qté commandée" prompt="Facultatif. Quantité attendue sur ce bon : commandée, ou reliquat restant d'un bon précédent. Supérieure à zéro." type="decimal" operator="greaterThan">
      <formula1>0</formula1>
    </dataValidation>
    <dataValidation sqref="L6:L2005" showDropDown="0" showInputMessage="1" showErrorMessage="1" allowBlank="1" errorTitle="Quantité" error="Quantité réellement livrée, reçue ou sortie, supérieure à zéro. Décimales acceptées (12,5 kg)." promptTitle="Quantité" prompt="Quantité réellement livrée, reçue ou sortie, supérieure à zéro. Décimales acceptées (12,5 kg)." type="decimal" operator="greaterThan">
      <formula1>0</formula1>
    </dataValidation>
    <dataValidation sqref="N6:N2005" showDropDown="0" showInputMessage="1" showErrorMessage="1" allowBlank="1" errorTitle="Lot / n° série" error="40 caractères au maximum." promptTitle="Lot / n° série" prompt="Facultatif. Numéro de lot ou de série, imprimé sur le bon." type="textLength" operator="lessThanOrEqual">
      <formula1>40</formula1>
    </dataValidation>
    <dataValidation sqref="O6:O2005" showDropDown="0" showInputMessage="1" showErrorMessage="1" allowBlank="1" errorTitle="Colis" error="Facultatif. Nombre de colis, cartons ou palettes pour cette ligne." promptTitle="Colis" prompt="Facultatif. Nombre de colis, cartons ou palettes pour cette ligne." type="whole" operator="greaterThanOrEqual">
      <formula1>0</formula1>
    </dataValidation>
    <dataValidation sqref="Q6:Q2005" showDropDown="0" showInputMessage="1" showErrorMessage="1" allowBlank="1" errorTitle="Transporteur" error="Choisissez le transporteur (liste dans Paramètres)." promptTitle="Transporteur" prompt="Choisissez le transporteur (liste dans Paramètres)." type="list">
      <formula1>=p_carriers</formula1>
    </dataValidation>
    <dataValidation sqref="R6:R2005" showDropDown="0" showInputMessage="1" showErrorMessage="1" allowBlank="1" errorTitle="État à réception" error="Bons de réception : Conforme, Avec réserves (à noter en observation) ou Refusé." promptTitle="État à réception" prompt="Bons de réception : Conforme, Avec réserves (à noter en observation) ou Refusé." type="list">
      <formula1>"Conforme,Avec réserves,Refusé"</formula1>
    </dataValidation>
    <dataValidation sqref="S6:S2005" showDropDown="0" showInputMessage="1" showErrorMessage="1" allowBlank="1" errorTitle="Motif de sortie" error="Bons de sortie : motif de la sortie (liste dans Paramètres)." promptTitle="Motif de sortie" prompt="Bons de sortie : motif de la sortie (liste dans Paramètres)." type="list">
      <formula1>=p_motifs</formula1>
    </dataValidation>
    <dataValidation sqref="T6:T2005" showDropDown="0" showInputMessage="1" showErrorMessage="1" allowBlank="1" errorTitle="Observations" error="200 caractères au maximum." promptTitle="Observations" prompt="Facultatif. Imprimé dans le cadre Observations du bon (réserves, état de l'emballage, reliquat prévu)." type="textLength" operator="lessThanOrEqual">
      <formula1>200</formula1>
    </dataValidation>
  </dataValidations>
  <hyperlinks>
    <hyperlink ref="X1" location="'Mode d''emploi'!A1"/>
  </hyperlinks>
  <printOptions horizontalCentered="1"/>
  <pageMargins left="0.4" right="0.4" top="0.5" bottom="0.5" header="0.5" footer="0.5"/>
  <pageSetup orientation="landscape" paperSize="9" fitToHeight="0" fitToWidth="1"/>
</worksheet>
</file>

<file path=xl/worksheets/sheet4.xml><?xml version="1.0" encoding="utf-8"?>
<worksheet xmlns="http://schemas.openxmlformats.org/spreadsheetml/2006/main">
  <sheetPr>
    <tabColor rgb="FF0F766E"/>
    <outlinePr summaryBelow="1" summaryRight="1"/>
    <pageSetUpPr fitToPage="1"/>
  </sheetPr>
  <dimension ref="A1:T1005"/>
  <sheetViews>
    <sheetView showGridLines="0" tabSelected="0" zoomScale="100" workbookViewId="0">
      <pane xSplit="1" ySplit="5" topLeftCell="B6"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1" customWidth="1" min="3" max="3"/>
    <col width="11" customWidth="1" min="4" max="4"/>
    <col width="26" customWidth="1" min="5" max="5"/>
    <col width="14" customWidth="1" min="6" max="6"/>
    <col width="15" customWidth="1" min="7" max="7"/>
    <col width="17" customWidth="1" min="8" max="8"/>
    <col width="8" customWidth="1" min="9" max="9"/>
    <col width="8" customWidth="1" min="10" max="10"/>
    <col width="11" customWidth="1" min="11" max="11"/>
    <col width="14" customWidth="1" min="12" max="12"/>
    <col width="18" customWidth="1" min="13" max="13"/>
    <col hidden="1" width="3" customWidth="1" min="14" max="14"/>
    <col hidden="1" width="6" customWidth="1" min="15" max="15"/>
    <col hidden="1" width="6" customWidth="1" min="16" max="16"/>
    <col hidden="1" width="3" customWidth="1" min="17" max="17"/>
    <col hidden="1" width="9" customWidth="1" min="18" max="18"/>
    <col hidden="1" width="9" customWidth="1" min="19" max="19"/>
    <col hidden="1" width="9" customWidth="1" min="20" max="20"/>
  </cols>
  <sheetData>
    <row r="1" ht="38" customHeight="1">
      <c r="A1" s="2" t="inlineStr">
        <is>
          <t>Registre des documents</t>
        </is>
      </c>
      <c r="B1" s="1" t="n"/>
      <c r="C1" s="1" t="n"/>
      <c r="D1" s="1" t="n"/>
      <c r="E1" s="1" t="n"/>
      <c r="F1" s="1" t="n"/>
      <c r="G1" s="1" t="n"/>
      <c r="H1" s="1" t="n"/>
      <c r="I1" s="1" t="n"/>
      <c r="J1" s="1" t="n"/>
      <c r="K1" s="1" t="n"/>
      <c r="L1" s="1" t="n"/>
      <c r="M1" s="18" t="inlineStr">
        <is>
          <t>⌂ Mode d'emploi</t>
        </is>
      </c>
    </row>
    <row r="2" ht="22" customHeight="1">
      <c r="A2" s="4" t="inlineStr">
        <is>
          <t>Un document par ligne, dans l'ordre du journal. Filtrez par type, tiers ou état. Rien à saisir.</t>
        </is>
      </c>
      <c r="B2" s="3" t="n"/>
      <c r="C2" s="3" t="n"/>
      <c r="D2" s="3" t="n"/>
      <c r="E2" s="3" t="n"/>
      <c r="F2" s="3" t="n"/>
      <c r="G2" s="3" t="n"/>
      <c r="H2" s="3" t="n"/>
      <c r="I2" s="3" t="n"/>
      <c r="J2" s="3" t="n"/>
      <c r="K2" s="3" t="n"/>
      <c r="L2" s="3" t="n"/>
      <c r="M2" s="3" t="n"/>
    </row>
    <row r="3" ht="18" customHeight="1">
      <c r="K3" s="16" t="inlineStr">
        <is>
          <t>Saisie</t>
        </is>
      </c>
      <c r="L3" s="17" t="inlineStr">
        <is>
          <t>Calcul auto</t>
        </is>
      </c>
    </row>
    <row r="5" ht="34" customHeight="1">
      <c r="A5" s="42" t="inlineStr">
        <is>
          <t>N° document</t>
        </is>
      </c>
      <c r="B5" s="42" t="inlineStr">
        <is>
          <t>Type</t>
        </is>
      </c>
      <c r="C5" s="42" t="inlineStr">
        <is>
          <t>Date</t>
        </is>
      </c>
      <c r="D5" s="42" t="inlineStr">
        <is>
          <t>Code tiers</t>
        </is>
      </c>
      <c r="E5" s="42" t="inlineStr">
        <is>
          <t>Nom</t>
        </is>
      </c>
      <c r="F5" s="42" t="inlineStr">
        <is>
          <t>N° commande</t>
        </is>
      </c>
      <c r="G5" s="42" t="inlineStr">
        <is>
          <t>Réf. externe</t>
        </is>
      </c>
      <c r="H5" s="42" t="inlineStr">
        <is>
          <t>Transporteur</t>
        </is>
      </c>
      <c r="I5" s="42" t="inlineStr">
        <is>
          <t>Lignes</t>
        </is>
      </c>
      <c r="J5" s="42" t="inlineStr">
        <is>
          <t>Colis</t>
        </is>
      </c>
      <c r="K5" s="42" t="inlineStr">
        <is>
          <t>Poids (kg)</t>
        </is>
      </c>
      <c r="L5" s="42" t="inlineStr">
        <is>
          <t>Valeur</t>
        </is>
      </c>
      <c r="M5" s="42" t="inlineStr">
        <is>
          <t>État</t>
        </is>
      </c>
      <c r="N5" s="42" t="n"/>
      <c r="O5" s="42" t="inlineStr">
        <is>
          <t>Position</t>
        </is>
      </c>
      <c r="P5" s="42" t="n"/>
      <c r="Q5" s="42" t="n"/>
      <c r="R5" s="42" t="inlineStr">
        <is>
          <t>Liste BL</t>
        </is>
      </c>
      <c r="S5" s="42" t="inlineStr">
        <is>
          <t>Liste BR</t>
        </is>
      </c>
      <c r="T5" s="42" t="inlineStr">
        <is>
          <t>Liste BS</t>
        </is>
      </c>
    </row>
    <row r="6">
      <c r="A6" s="60" t="str">
        <f>IF($O6="","",INDEX(jr_num,$O6)&amp;"")</f>
        <v/>
      </c>
      <c r="B6" s="60" t="str">
        <f>IF($O6="","",IF(INDEX(jr_type,$O6)="BL","Livraison",IF(INDEX(jr_type,$O6)="BR","Réception","Sortie")))</f>
        <v/>
      </c>
      <c r="C6" s="65" t="str">
        <f>IF($O6="","",INDEX(jr_date,$O6))</f>
        <v/>
      </c>
      <c r="D6" s="60" t="str">
        <f>IF($O6="","",INDEX(jr_tiers,$O6)&amp;"")</f>
        <v/>
      </c>
      <c r="E6" s="57" t="str">
        <f>IF($O6="","",INDEX(jr_name,$O6)&amp;"")</f>
        <v/>
      </c>
      <c r="F6" s="57" t="str">
        <f>IF($O6="","",INDEX(jr_order,$O6)&amp;"")</f>
        <v/>
      </c>
      <c r="G6" s="57" t="str">
        <f>IF($O6="","",INDEX(jr_ext,$O6)&amp;"")</f>
        <v/>
      </c>
      <c r="H6" s="57" t="str">
        <f>IF($O6="","",INDEX(jr_carrier,$O6)&amp;"")</f>
        <v/>
      </c>
      <c r="I6" s="66" t="str">
        <f>IF(A6="","",COUNTIF(jr_num,A6))</f>
        <v/>
      </c>
      <c r="J6" s="66" t="str">
        <f>IF(A6="","",SUMIF(jr_num,A6,jr_colis))</f>
        <v/>
      </c>
      <c r="K6" s="63" t="str">
        <f>IF(A6="","",SUMIF(jr_num,A6,jr_kg))</f>
        <v/>
      </c>
      <c r="L6" s="64" t="str">
        <f>IF(A6="","",SUMIF(jr_num,A6,jr_val))</f>
        <v/>
      </c>
      <c r="M6" s="60" t="str">
        <f>IF(A6="","",IF(COUNTIFS(jr_num,A6,jr_check,"&lt;&gt;OK")&gt;0,"À vérifier",IF(LEFT(A6,2)="BL",IF(COUNTIFS(jr_num,A6,jr_rel,"&gt;0")&gt;0,"Reliquat en cours",IF(COUNTIFS(jr_num,A6,jr_gap,"&lt;0")&gt;0,"Reliquat livré","Complet")),IF(LEFT(A6,2)="BR",IF(COUNTIFS(jr_num,A6,jr_etat,"Refusé")&gt;0,"Refusé",IF(COUNTIFS(jr_num,A6,jr_etat,"Avec réserves")&gt;0,"Avec réserves",IF(COUNTIFS(jr_num,A6,jr_rel,"&gt;0")&gt;0,"Reliquat en cours",IF(COUNTIFS(jr_num,A6,jr_gap,"&lt;0")+COUNTIFS(jr_num,A6,jr_gap,"&gt;0")&gt;0,"Écart","Conforme")))),IF(COUNTIFS(jr_num,A6,jr_gap,"&lt;0")&gt;0,"Partiel","Sorti")))))</f>
        <v/>
      </c>
      <c r="O6" t="str">
        <f>IFERROR(MATCH(1,jr_grank,0),"")</f>
        <v/>
      </c>
      <c r="R6" s="67" t="str">
        <f>IFERROR(INDEX(jr_num,MATCH("BL1",jr_nkey,0))&amp;"","")</f>
        <v/>
      </c>
      <c r="S6" s="67" t="str">
        <f>IFERROR(INDEX(jr_num,MATCH("BR1",jr_nkey,0))&amp;"","")</f>
        <v/>
      </c>
      <c r="T6" s="67" t="str">
        <f>IFERROR(INDEX(jr_num,MATCH("BS1",jr_nkey,0))&amp;"","")</f>
        <v/>
      </c>
    </row>
    <row r="7">
      <c r="A7" s="60" t="str">
        <f>IF($O7="","",INDEX(jr_num,$O7)&amp;"")</f>
        <v/>
      </c>
      <c r="B7" s="60" t="str">
        <f>IF($O7="","",IF(INDEX(jr_type,$O7)="BL","Livraison",IF(INDEX(jr_type,$O7)="BR","Réception","Sortie")))</f>
        <v/>
      </c>
      <c r="C7" s="65" t="str">
        <f>IF($O7="","",INDEX(jr_date,$O7))</f>
        <v/>
      </c>
      <c r="D7" s="60" t="str">
        <f>IF($O7="","",INDEX(jr_tiers,$O7)&amp;"")</f>
        <v/>
      </c>
      <c r="E7" s="57" t="str">
        <f>IF($O7="","",INDEX(jr_name,$O7)&amp;"")</f>
        <v/>
      </c>
      <c r="F7" s="57" t="str">
        <f>IF($O7="","",INDEX(jr_order,$O7)&amp;"")</f>
        <v/>
      </c>
      <c r="G7" s="57" t="str">
        <f>IF($O7="","",INDEX(jr_ext,$O7)&amp;"")</f>
        <v/>
      </c>
      <c r="H7" s="57" t="str">
        <f>IF($O7="","",INDEX(jr_carrier,$O7)&amp;"")</f>
        <v/>
      </c>
      <c r="I7" s="66" t="str">
        <f>IF(A7="","",COUNTIF(jr_num,A7))</f>
        <v/>
      </c>
      <c r="J7" s="66" t="str">
        <f>IF(A7="","",SUMIF(jr_num,A7,jr_colis))</f>
        <v/>
      </c>
      <c r="K7" s="63" t="str">
        <f>IF(A7="","",SUMIF(jr_num,A7,jr_kg))</f>
        <v/>
      </c>
      <c r="L7" s="64" t="str">
        <f>IF(A7="","",SUMIF(jr_num,A7,jr_val))</f>
        <v/>
      </c>
      <c r="M7" s="60" t="str">
        <f>IF(A7="","",IF(COUNTIFS(jr_num,A7,jr_check,"&lt;&gt;OK")&gt;0,"À vérifier",IF(LEFT(A7,2)="BL",IF(COUNTIFS(jr_num,A7,jr_rel,"&gt;0")&gt;0,"Reliquat en cours",IF(COUNTIFS(jr_num,A7,jr_gap,"&lt;0")&gt;0,"Reliquat livré","Complet")),IF(LEFT(A7,2)="BR",IF(COUNTIFS(jr_num,A7,jr_etat,"Refusé")&gt;0,"Refusé",IF(COUNTIFS(jr_num,A7,jr_etat,"Avec réserves")&gt;0,"Avec réserves",IF(COUNTIFS(jr_num,A7,jr_rel,"&gt;0")&gt;0,"Reliquat en cours",IF(COUNTIFS(jr_num,A7,jr_gap,"&lt;0")+COUNTIFS(jr_num,A7,jr_gap,"&gt;0")&gt;0,"Écart","Conforme")))),IF(COUNTIFS(jr_num,A7,jr_gap,"&lt;0")&gt;0,"Partiel","Sorti")))))</f>
        <v/>
      </c>
      <c r="O7" t="str">
        <f>IFERROR(MATCH(2,jr_grank,0),"")</f>
        <v/>
      </c>
      <c r="R7" s="67" t="str">
        <f>IFERROR(INDEX(jr_num,MATCH("BL2",jr_nkey,0))&amp;"","")</f>
        <v/>
      </c>
      <c r="S7" s="67" t="str">
        <f>IFERROR(INDEX(jr_num,MATCH("BR2",jr_nkey,0))&amp;"","")</f>
        <v/>
      </c>
      <c r="T7" s="67" t="str">
        <f>IFERROR(INDEX(jr_num,MATCH("BS2",jr_nkey,0))&amp;"","")</f>
        <v/>
      </c>
    </row>
    <row r="8">
      <c r="A8" s="60" t="str">
        <f>IF($O8="","",INDEX(jr_num,$O8)&amp;"")</f>
        <v/>
      </c>
      <c r="B8" s="60" t="str">
        <f>IF($O8="","",IF(INDEX(jr_type,$O8)="BL","Livraison",IF(INDEX(jr_type,$O8)="BR","Réception","Sortie")))</f>
        <v/>
      </c>
      <c r="C8" s="65" t="str">
        <f>IF($O8="","",INDEX(jr_date,$O8))</f>
        <v/>
      </c>
      <c r="D8" s="60" t="str">
        <f>IF($O8="","",INDEX(jr_tiers,$O8)&amp;"")</f>
        <v/>
      </c>
      <c r="E8" s="57" t="str">
        <f>IF($O8="","",INDEX(jr_name,$O8)&amp;"")</f>
        <v/>
      </c>
      <c r="F8" s="57" t="str">
        <f>IF($O8="","",INDEX(jr_order,$O8)&amp;"")</f>
        <v/>
      </c>
      <c r="G8" s="57" t="str">
        <f>IF($O8="","",INDEX(jr_ext,$O8)&amp;"")</f>
        <v/>
      </c>
      <c r="H8" s="57" t="str">
        <f>IF($O8="","",INDEX(jr_carrier,$O8)&amp;"")</f>
        <v/>
      </c>
      <c r="I8" s="66" t="str">
        <f>IF(A8="","",COUNTIF(jr_num,A8))</f>
        <v/>
      </c>
      <c r="J8" s="66" t="str">
        <f>IF(A8="","",SUMIF(jr_num,A8,jr_colis))</f>
        <v/>
      </c>
      <c r="K8" s="63" t="str">
        <f>IF(A8="","",SUMIF(jr_num,A8,jr_kg))</f>
        <v/>
      </c>
      <c r="L8" s="64" t="str">
        <f>IF(A8="","",SUMIF(jr_num,A8,jr_val))</f>
        <v/>
      </c>
      <c r="M8" s="60" t="str">
        <f>IF(A8="","",IF(COUNTIFS(jr_num,A8,jr_check,"&lt;&gt;OK")&gt;0,"À vérifier",IF(LEFT(A8,2)="BL",IF(COUNTIFS(jr_num,A8,jr_rel,"&gt;0")&gt;0,"Reliquat en cours",IF(COUNTIFS(jr_num,A8,jr_gap,"&lt;0")&gt;0,"Reliquat livré","Complet")),IF(LEFT(A8,2)="BR",IF(COUNTIFS(jr_num,A8,jr_etat,"Refusé")&gt;0,"Refusé",IF(COUNTIFS(jr_num,A8,jr_etat,"Avec réserves")&gt;0,"Avec réserves",IF(COUNTIFS(jr_num,A8,jr_rel,"&gt;0")&gt;0,"Reliquat en cours",IF(COUNTIFS(jr_num,A8,jr_gap,"&lt;0")+COUNTIFS(jr_num,A8,jr_gap,"&gt;0")&gt;0,"Écart","Conforme")))),IF(COUNTIFS(jr_num,A8,jr_gap,"&lt;0")&gt;0,"Partiel","Sorti")))))</f>
        <v/>
      </c>
      <c r="O8" t="str">
        <f>IFERROR(MATCH(3,jr_grank,0),"")</f>
        <v/>
      </c>
      <c r="R8" s="67" t="str">
        <f>IFERROR(INDEX(jr_num,MATCH("BL3",jr_nkey,0))&amp;"","")</f>
        <v/>
      </c>
      <c r="S8" s="67" t="str">
        <f>IFERROR(INDEX(jr_num,MATCH("BR3",jr_nkey,0))&amp;"","")</f>
        <v/>
      </c>
      <c r="T8" s="67" t="str">
        <f>IFERROR(INDEX(jr_num,MATCH("BS3",jr_nkey,0))&amp;"","")</f>
        <v/>
      </c>
    </row>
    <row r="9">
      <c r="A9" s="60" t="str">
        <f>IF($O9="","",INDEX(jr_num,$O9)&amp;"")</f>
        <v/>
      </c>
      <c r="B9" s="60" t="str">
        <f>IF($O9="","",IF(INDEX(jr_type,$O9)="BL","Livraison",IF(INDEX(jr_type,$O9)="BR","Réception","Sortie")))</f>
        <v/>
      </c>
      <c r="C9" s="65" t="str">
        <f>IF($O9="","",INDEX(jr_date,$O9))</f>
        <v/>
      </c>
      <c r="D9" s="60" t="str">
        <f>IF($O9="","",INDEX(jr_tiers,$O9)&amp;"")</f>
        <v/>
      </c>
      <c r="E9" s="57" t="str">
        <f>IF($O9="","",INDEX(jr_name,$O9)&amp;"")</f>
        <v/>
      </c>
      <c r="F9" s="57" t="str">
        <f>IF($O9="","",INDEX(jr_order,$O9)&amp;"")</f>
        <v/>
      </c>
      <c r="G9" s="57" t="str">
        <f>IF($O9="","",INDEX(jr_ext,$O9)&amp;"")</f>
        <v/>
      </c>
      <c r="H9" s="57" t="str">
        <f>IF($O9="","",INDEX(jr_carrier,$O9)&amp;"")</f>
        <v/>
      </c>
      <c r="I9" s="66" t="str">
        <f>IF(A9="","",COUNTIF(jr_num,A9))</f>
        <v/>
      </c>
      <c r="J9" s="66" t="str">
        <f>IF(A9="","",SUMIF(jr_num,A9,jr_colis))</f>
        <v/>
      </c>
      <c r="K9" s="63" t="str">
        <f>IF(A9="","",SUMIF(jr_num,A9,jr_kg))</f>
        <v/>
      </c>
      <c r="L9" s="64" t="str">
        <f>IF(A9="","",SUMIF(jr_num,A9,jr_val))</f>
        <v/>
      </c>
      <c r="M9" s="60" t="str">
        <f>IF(A9="","",IF(COUNTIFS(jr_num,A9,jr_check,"&lt;&gt;OK")&gt;0,"À vérifier",IF(LEFT(A9,2)="BL",IF(COUNTIFS(jr_num,A9,jr_rel,"&gt;0")&gt;0,"Reliquat en cours",IF(COUNTIFS(jr_num,A9,jr_gap,"&lt;0")&gt;0,"Reliquat livré","Complet")),IF(LEFT(A9,2)="BR",IF(COUNTIFS(jr_num,A9,jr_etat,"Refusé")&gt;0,"Refusé",IF(COUNTIFS(jr_num,A9,jr_etat,"Avec réserves")&gt;0,"Avec réserves",IF(COUNTIFS(jr_num,A9,jr_rel,"&gt;0")&gt;0,"Reliquat en cours",IF(COUNTIFS(jr_num,A9,jr_gap,"&lt;0")+COUNTIFS(jr_num,A9,jr_gap,"&gt;0")&gt;0,"Écart","Conforme")))),IF(COUNTIFS(jr_num,A9,jr_gap,"&lt;0")&gt;0,"Partiel","Sorti")))))</f>
        <v/>
      </c>
      <c r="O9" t="str">
        <f>IFERROR(MATCH(4,jr_grank,0),"")</f>
        <v/>
      </c>
      <c r="R9" s="67" t="str">
        <f>IFERROR(INDEX(jr_num,MATCH("BL4",jr_nkey,0))&amp;"","")</f>
        <v/>
      </c>
      <c r="S9" s="67" t="str">
        <f>IFERROR(INDEX(jr_num,MATCH("BR4",jr_nkey,0))&amp;"","")</f>
        <v/>
      </c>
      <c r="T9" s="67" t="str">
        <f>IFERROR(INDEX(jr_num,MATCH("BS4",jr_nkey,0))&amp;"","")</f>
        <v/>
      </c>
    </row>
    <row r="10">
      <c r="A10" s="60" t="str">
        <f>IF($O10="","",INDEX(jr_num,$O10)&amp;"")</f>
        <v/>
      </c>
      <c r="B10" s="60" t="str">
        <f>IF($O10="","",IF(INDEX(jr_type,$O10)="BL","Livraison",IF(INDEX(jr_type,$O10)="BR","Réception","Sortie")))</f>
        <v/>
      </c>
      <c r="C10" s="65" t="str">
        <f>IF($O10="","",INDEX(jr_date,$O10))</f>
        <v/>
      </c>
      <c r="D10" s="60" t="str">
        <f>IF($O10="","",INDEX(jr_tiers,$O10)&amp;"")</f>
        <v/>
      </c>
      <c r="E10" s="57" t="str">
        <f>IF($O10="","",INDEX(jr_name,$O10)&amp;"")</f>
        <v/>
      </c>
      <c r="F10" s="57" t="str">
        <f>IF($O10="","",INDEX(jr_order,$O10)&amp;"")</f>
        <v/>
      </c>
      <c r="G10" s="57" t="str">
        <f>IF($O10="","",INDEX(jr_ext,$O10)&amp;"")</f>
        <v/>
      </c>
      <c r="H10" s="57" t="str">
        <f>IF($O10="","",INDEX(jr_carrier,$O10)&amp;"")</f>
        <v/>
      </c>
      <c r="I10" s="66" t="str">
        <f>IF(A10="","",COUNTIF(jr_num,A10))</f>
        <v/>
      </c>
      <c r="J10" s="66" t="str">
        <f>IF(A10="","",SUMIF(jr_num,A10,jr_colis))</f>
        <v/>
      </c>
      <c r="K10" s="63" t="str">
        <f>IF(A10="","",SUMIF(jr_num,A10,jr_kg))</f>
        <v/>
      </c>
      <c r="L10" s="64" t="str">
        <f>IF(A10="","",SUMIF(jr_num,A10,jr_val))</f>
        <v/>
      </c>
      <c r="M10" s="60" t="str">
        <f>IF(A10="","",IF(COUNTIFS(jr_num,A10,jr_check,"&lt;&gt;OK")&gt;0,"À vérifier",IF(LEFT(A10,2)="BL",IF(COUNTIFS(jr_num,A10,jr_rel,"&gt;0")&gt;0,"Reliquat en cours",IF(COUNTIFS(jr_num,A10,jr_gap,"&lt;0")&gt;0,"Reliquat livré","Complet")),IF(LEFT(A10,2)="BR",IF(COUNTIFS(jr_num,A10,jr_etat,"Refusé")&gt;0,"Refusé",IF(COUNTIFS(jr_num,A10,jr_etat,"Avec réserves")&gt;0,"Avec réserves",IF(COUNTIFS(jr_num,A10,jr_rel,"&gt;0")&gt;0,"Reliquat en cours",IF(COUNTIFS(jr_num,A10,jr_gap,"&lt;0")+COUNTIFS(jr_num,A10,jr_gap,"&gt;0")&gt;0,"Écart","Conforme")))),IF(COUNTIFS(jr_num,A10,jr_gap,"&lt;0")&gt;0,"Partiel","Sorti")))))</f>
        <v/>
      </c>
      <c r="O10" t="str">
        <f>IFERROR(MATCH(5,jr_grank,0),"")</f>
        <v/>
      </c>
      <c r="R10" s="67" t="str">
        <f>IFERROR(INDEX(jr_num,MATCH("BL5",jr_nkey,0))&amp;"","")</f>
        <v/>
      </c>
      <c r="S10" s="67" t="str">
        <f>IFERROR(INDEX(jr_num,MATCH("BR5",jr_nkey,0))&amp;"","")</f>
        <v/>
      </c>
      <c r="T10" s="67" t="str">
        <f>IFERROR(INDEX(jr_num,MATCH("BS5",jr_nkey,0))&amp;"","")</f>
        <v/>
      </c>
    </row>
    <row r="11">
      <c r="A11" s="60" t="str">
        <f>IF($O11="","",INDEX(jr_num,$O11)&amp;"")</f>
        <v/>
      </c>
      <c r="B11" s="60" t="str">
        <f>IF($O11="","",IF(INDEX(jr_type,$O11)="BL","Livraison",IF(INDEX(jr_type,$O11)="BR","Réception","Sortie")))</f>
        <v/>
      </c>
      <c r="C11" s="65" t="str">
        <f>IF($O11="","",INDEX(jr_date,$O11))</f>
        <v/>
      </c>
      <c r="D11" s="60" t="str">
        <f>IF($O11="","",INDEX(jr_tiers,$O11)&amp;"")</f>
        <v/>
      </c>
      <c r="E11" s="57" t="str">
        <f>IF($O11="","",INDEX(jr_name,$O11)&amp;"")</f>
        <v/>
      </c>
      <c r="F11" s="57" t="str">
        <f>IF($O11="","",INDEX(jr_order,$O11)&amp;"")</f>
        <v/>
      </c>
      <c r="G11" s="57" t="str">
        <f>IF($O11="","",INDEX(jr_ext,$O11)&amp;"")</f>
        <v/>
      </c>
      <c r="H11" s="57" t="str">
        <f>IF($O11="","",INDEX(jr_carrier,$O11)&amp;"")</f>
        <v/>
      </c>
      <c r="I11" s="66" t="str">
        <f>IF(A11="","",COUNTIF(jr_num,A11))</f>
        <v/>
      </c>
      <c r="J11" s="66" t="str">
        <f>IF(A11="","",SUMIF(jr_num,A11,jr_colis))</f>
        <v/>
      </c>
      <c r="K11" s="63" t="str">
        <f>IF(A11="","",SUMIF(jr_num,A11,jr_kg))</f>
        <v/>
      </c>
      <c r="L11" s="64" t="str">
        <f>IF(A11="","",SUMIF(jr_num,A11,jr_val))</f>
        <v/>
      </c>
      <c r="M11" s="60" t="str">
        <f>IF(A11="","",IF(COUNTIFS(jr_num,A11,jr_check,"&lt;&gt;OK")&gt;0,"À vérifier",IF(LEFT(A11,2)="BL",IF(COUNTIFS(jr_num,A11,jr_rel,"&gt;0")&gt;0,"Reliquat en cours",IF(COUNTIFS(jr_num,A11,jr_gap,"&lt;0")&gt;0,"Reliquat livré","Complet")),IF(LEFT(A11,2)="BR",IF(COUNTIFS(jr_num,A11,jr_etat,"Refusé")&gt;0,"Refusé",IF(COUNTIFS(jr_num,A11,jr_etat,"Avec réserves")&gt;0,"Avec réserves",IF(COUNTIFS(jr_num,A11,jr_rel,"&gt;0")&gt;0,"Reliquat en cours",IF(COUNTIFS(jr_num,A11,jr_gap,"&lt;0")+COUNTIFS(jr_num,A11,jr_gap,"&gt;0")&gt;0,"Écart","Conforme")))),IF(COUNTIFS(jr_num,A11,jr_gap,"&lt;0")&gt;0,"Partiel","Sorti")))))</f>
        <v/>
      </c>
      <c r="O11" t="str">
        <f>IFERROR(MATCH(6,jr_grank,0),"")</f>
        <v/>
      </c>
      <c r="R11" s="67" t="str">
        <f>IFERROR(INDEX(jr_num,MATCH("BL6",jr_nkey,0))&amp;"","")</f>
        <v/>
      </c>
      <c r="S11" s="67" t="str">
        <f>IFERROR(INDEX(jr_num,MATCH("BR6",jr_nkey,0))&amp;"","")</f>
        <v/>
      </c>
      <c r="T11" s="67" t="str">
        <f>IFERROR(INDEX(jr_num,MATCH("BS6",jr_nkey,0))&amp;"","")</f>
        <v/>
      </c>
    </row>
    <row r="12">
      <c r="A12" s="60" t="str">
        <f>IF($O12="","",INDEX(jr_num,$O12)&amp;"")</f>
        <v/>
      </c>
      <c r="B12" s="60" t="str">
        <f>IF($O12="","",IF(INDEX(jr_type,$O12)="BL","Livraison",IF(INDEX(jr_type,$O12)="BR","Réception","Sortie")))</f>
        <v/>
      </c>
      <c r="C12" s="65" t="str">
        <f>IF($O12="","",INDEX(jr_date,$O12))</f>
        <v/>
      </c>
      <c r="D12" s="60" t="str">
        <f>IF($O12="","",INDEX(jr_tiers,$O12)&amp;"")</f>
        <v/>
      </c>
      <c r="E12" s="57" t="str">
        <f>IF($O12="","",INDEX(jr_name,$O12)&amp;"")</f>
        <v/>
      </c>
      <c r="F12" s="57" t="str">
        <f>IF($O12="","",INDEX(jr_order,$O12)&amp;"")</f>
        <v/>
      </c>
      <c r="G12" s="57" t="str">
        <f>IF($O12="","",INDEX(jr_ext,$O12)&amp;"")</f>
        <v/>
      </c>
      <c r="H12" s="57" t="str">
        <f>IF($O12="","",INDEX(jr_carrier,$O12)&amp;"")</f>
        <v/>
      </c>
      <c r="I12" s="66" t="str">
        <f>IF(A12="","",COUNTIF(jr_num,A12))</f>
        <v/>
      </c>
      <c r="J12" s="66" t="str">
        <f>IF(A12="","",SUMIF(jr_num,A12,jr_colis))</f>
        <v/>
      </c>
      <c r="K12" s="63" t="str">
        <f>IF(A12="","",SUMIF(jr_num,A12,jr_kg))</f>
        <v/>
      </c>
      <c r="L12" s="64" t="str">
        <f>IF(A12="","",SUMIF(jr_num,A12,jr_val))</f>
        <v/>
      </c>
      <c r="M12" s="60" t="str">
        <f>IF(A12="","",IF(COUNTIFS(jr_num,A12,jr_check,"&lt;&gt;OK")&gt;0,"À vérifier",IF(LEFT(A12,2)="BL",IF(COUNTIFS(jr_num,A12,jr_rel,"&gt;0")&gt;0,"Reliquat en cours",IF(COUNTIFS(jr_num,A12,jr_gap,"&lt;0")&gt;0,"Reliquat livré","Complet")),IF(LEFT(A12,2)="BR",IF(COUNTIFS(jr_num,A12,jr_etat,"Refusé")&gt;0,"Refusé",IF(COUNTIFS(jr_num,A12,jr_etat,"Avec réserves")&gt;0,"Avec réserves",IF(COUNTIFS(jr_num,A12,jr_rel,"&gt;0")&gt;0,"Reliquat en cours",IF(COUNTIFS(jr_num,A12,jr_gap,"&lt;0")+COUNTIFS(jr_num,A12,jr_gap,"&gt;0")&gt;0,"Écart","Conforme")))),IF(COUNTIFS(jr_num,A12,jr_gap,"&lt;0")&gt;0,"Partiel","Sorti")))))</f>
        <v/>
      </c>
      <c r="O12" t="str">
        <f>IFERROR(MATCH(7,jr_grank,0),"")</f>
        <v/>
      </c>
      <c r="R12" s="67" t="str">
        <f>IFERROR(INDEX(jr_num,MATCH("BL7",jr_nkey,0))&amp;"","")</f>
        <v/>
      </c>
      <c r="S12" s="67" t="str">
        <f>IFERROR(INDEX(jr_num,MATCH("BR7",jr_nkey,0))&amp;"","")</f>
        <v/>
      </c>
      <c r="T12" s="67" t="str">
        <f>IFERROR(INDEX(jr_num,MATCH("BS7",jr_nkey,0))&amp;"","")</f>
        <v/>
      </c>
    </row>
    <row r="13">
      <c r="A13" s="60" t="str">
        <f>IF($O13="","",INDEX(jr_num,$O13)&amp;"")</f>
        <v/>
      </c>
      <c r="B13" s="60" t="str">
        <f>IF($O13="","",IF(INDEX(jr_type,$O13)="BL","Livraison",IF(INDEX(jr_type,$O13)="BR","Réception","Sortie")))</f>
        <v/>
      </c>
      <c r="C13" s="65" t="str">
        <f>IF($O13="","",INDEX(jr_date,$O13))</f>
        <v/>
      </c>
      <c r="D13" s="60" t="str">
        <f>IF($O13="","",INDEX(jr_tiers,$O13)&amp;"")</f>
        <v/>
      </c>
      <c r="E13" s="57" t="str">
        <f>IF($O13="","",INDEX(jr_name,$O13)&amp;"")</f>
        <v/>
      </c>
      <c r="F13" s="57" t="str">
        <f>IF($O13="","",INDEX(jr_order,$O13)&amp;"")</f>
        <v/>
      </c>
      <c r="G13" s="57" t="str">
        <f>IF($O13="","",INDEX(jr_ext,$O13)&amp;"")</f>
        <v/>
      </c>
      <c r="H13" s="57" t="str">
        <f>IF($O13="","",INDEX(jr_carrier,$O13)&amp;"")</f>
        <v/>
      </c>
      <c r="I13" s="66" t="str">
        <f>IF(A13="","",COUNTIF(jr_num,A13))</f>
        <v/>
      </c>
      <c r="J13" s="66" t="str">
        <f>IF(A13="","",SUMIF(jr_num,A13,jr_colis))</f>
        <v/>
      </c>
      <c r="K13" s="63" t="str">
        <f>IF(A13="","",SUMIF(jr_num,A13,jr_kg))</f>
        <v/>
      </c>
      <c r="L13" s="64" t="str">
        <f>IF(A13="","",SUMIF(jr_num,A13,jr_val))</f>
        <v/>
      </c>
      <c r="M13" s="60" t="str">
        <f>IF(A13="","",IF(COUNTIFS(jr_num,A13,jr_check,"&lt;&gt;OK")&gt;0,"À vérifier",IF(LEFT(A13,2)="BL",IF(COUNTIFS(jr_num,A13,jr_rel,"&gt;0")&gt;0,"Reliquat en cours",IF(COUNTIFS(jr_num,A13,jr_gap,"&lt;0")&gt;0,"Reliquat livré","Complet")),IF(LEFT(A13,2)="BR",IF(COUNTIFS(jr_num,A13,jr_etat,"Refusé")&gt;0,"Refusé",IF(COUNTIFS(jr_num,A13,jr_etat,"Avec réserves")&gt;0,"Avec réserves",IF(COUNTIFS(jr_num,A13,jr_rel,"&gt;0")&gt;0,"Reliquat en cours",IF(COUNTIFS(jr_num,A13,jr_gap,"&lt;0")+COUNTIFS(jr_num,A13,jr_gap,"&gt;0")&gt;0,"Écart","Conforme")))),IF(COUNTIFS(jr_num,A13,jr_gap,"&lt;0")&gt;0,"Partiel","Sorti")))))</f>
        <v/>
      </c>
      <c r="O13" t="str">
        <f>IFERROR(MATCH(8,jr_grank,0),"")</f>
        <v/>
      </c>
      <c r="R13" s="67" t="str">
        <f>IFERROR(INDEX(jr_num,MATCH("BL8",jr_nkey,0))&amp;"","")</f>
        <v/>
      </c>
      <c r="S13" s="67" t="str">
        <f>IFERROR(INDEX(jr_num,MATCH("BR8",jr_nkey,0))&amp;"","")</f>
        <v/>
      </c>
      <c r="T13" s="67" t="str">
        <f>IFERROR(INDEX(jr_num,MATCH("BS8",jr_nkey,0))&amp;"","")</f>
        <v/>
      </c>
    </row>
    <row r="14">
      <c r="A14" s="60" t="str">
        <f>IF($O14="","",INDEX(jr_num,$O14)&amp;"")</f>
        <v/>
      </c>
      <c r="B14" s="60" t="str">
        <f>IF($O14="","",IF(INDEX(jr_type,$O14)="BL","Livraison",IF(INDEX(jr_type,$O14)="BR","Réception","Sortie")))</f>
        <v/>
      </c>
      <c r="C14" s="65" t="str">
        <f>IF($O14="","",INDEX(jr_date,$O14))</f>
        <v/>
      </c>
      <c r="D14" s="60" t="str">
        <f>IF($O14="","",INDEX(jr_tiers,$O14)&amp;"")</f>
        <v/>
      </c>
      <c r="E14" s="57" t="str">
        <f>IF($O14="","",INDEX(jr_name,$O14)&amp;"")</f>
        <v/>
      </c>
      <c r="F14" s="57" t="str">
        <f>IF($O14="","",INDEX(jr_order,$O14)&amp;"")</f>
        <v/>
      </c>
      <c r="G14" s="57" t="str">
        <f>IF($O14="","",INDEX(jr_ext,$O14)&amp;"")</f>
        <v/>
      </c>
      <c r="H14" s="57" t="str">
        <f>IF($O14="","",INDEX(jr_carrier,$O14)&amp;"")</f>
        <v/>
      </c>
      <c r="I14" s="66" t="str">
        <f>IF(A14="","",COUNTIF(jr_num,A14))</f>
        <v/>
      </c>
      <c r="J14" s="66" t="str">
        <f>IF(A14="","",SUMIF(jr_num,A14,jr_colis))</f>
        <v/>
      </c>
      <c r="K14" s="63" t="str">
        <f>IF(A14="","",SUMIF(jr_num,A14,jr_kg))</f>
        <v/>
      </c>
      <c r="L14" s="64" t="str">
        <f>IF(A14="","",SUMIF(jr_num,A14,jr_val))</f>
        <v/>
      </c>
      <c r="M14" s="60" t="str">
        <f>IF(A14="","",IF(COUNTIFS(jr_num,A14,jr_check,"&lt;&gt;OK")&gt;0,"À vérifier",IF(LEFT(A14,2)="BL",IF(COUNTIFS(jr_num,A14,jr_rel,"&gt;0")&gt;0,"Reliquat en cours",IF(COUNTIFS(jr_num,A14,jr_gap,"&lt;0")&gt;0,"Reliquat livré","Complet")),IF(LEFT(A14,2)="BR",IF(COUNTIFS(jr_num,A14,jr_etat,"Refusé")&gt;0,"Refusé",IF(COUNTIFS(jr_num,A14,jr_etat,"Avec réserves")&gt;0,"Avec réserves",IF(COUNTIFS(jr_num,A14,jr_rel,"&gt;0")&gt;0,"Reliquat en cours",IF(COUNTIFS(jr_num,A14,jr_gap,"&lt;0")+COUNTIFS(jr_num,A14,jr_gap,"&gt;0")&gt;0,"Écart","Conforme")))),IF(COUNTIFS(jr_num,A14,jr_gap,"&lt;0")&gt;0,"Partiel","Sorti")))))</f>
        <v/>
      </c>
      <c r="O14" t="str">
        <f>IFERROR(MATCH(9,jr_grank,0),"")</f>
        <v/>
      </c>
      <c r="R14" s="67" t="str">
        <f>IFERROR(INDEX(jr_num,MATCH("BL9",jr_nkey,0))&amp;"","")</f>
        <v/>
      </c>
      <c r="S14" s="67" t="str">
        <f>IFERROR(INDEX(jr_num,MATCH("BR9",jr_nkey,0))&amp;"","")</f>
        <v/>
      </c>
      <c r="T14" s="67" t="str">
        <f>IFERROR(INDEX(jr_num,MATCH("BS9",jr_nkey,0))&amp;"","")</f>
        <v/>
      </c>
    </row>
    <row r="15">
      <c r="A15" s="60" t="str">
        <f>IF($O15="","",INDEX(jr_num,$O15)&amp;"")</f>
        <v/>
      </c>
      <c r="B15" s="60" t="str">
        <f>IF($O15="","",IF(INDEX(jr_type,$O15)="BL","Livraison",IF(INDEX(jr_type,$O15)="BR","Réception","Sortie")))</f>
        <v/>
      </c>
      <c r="C15" s="65" t="str">
        <f>IF($O15="","",INDEX(jr_date,$O15))</f>
        <v/>
      </c>
      <c r="D15" s="60" t="str">
        <f>IF($O15="","",INDEX(jr_tiers,$O15)&amp;"")</f>
        <v/>
      </c>
      <c r="E15" s="57" t="str">
        <f>IF($O15="","",INDEX(jr_name,$O15)&amp;"")</f>
        <v/>
      </c>
      <c r="F15" s="57" t="str">
        <f>IF($O15="","",INDEX(jr_order,$O15)&amp;"")</f>
        <v/>
      </c>
      <c r="G15" s="57" t="str">
        <f>IF($O15="","",INDEX(jr_ext,$O15)&amp;"")</f>
        <v/>
      </c>
      <c r="H15" s="57" t="str">
        <f>IF($O15="","",INDEX(jr_carrier,$O15)&amp;"")</f>
        <v/>
      </c>
      <c r="I15" s="66" t="str">
        <f>IF(A15="","",COUNTIF(jr_num,A15))</f>
        <v/>
      </c>
      <c r="J15" s="66" t="str">
        <f>IF(A15="","",SUMIF(jr_num,A15,jr_colis))</f>
        <v/>
      </c>
      <c r="K15" s="63" t="str">
        <f>IF(A15="","",SUMIF(jr_num,A15,jr_kg))</f>
        <v/>
      </c>
      <c r="L15" s="64" t="str">
        <f>IF(A15="","",SUMIF(jr_num,A15,jr_val))</f>
        <v/>
      </c>
      <c r="M15" s="60" t="str">
        <f>IF(A15="","",IF(COUNTIFS(jr_num,A15,jr_check,"&lt;&gt;OK")&gt;0,"À vérifier",IF(LEFT(A15,2)="BL",IF(COUNTIFS(jr_num,A15,jr_rel,"&gt;0")&gt;0,"Reliquat en cours",IF(COUNTIFS(jr_num,A15,jr_gap,"&lt;0")&gt;0,"Reliquat livré","Complet")),IF(LEFT(A15,2)="BR",IF(COUNTIFS(jr_num,A15,jr_etat,"Refusé")&gt;0,"Refusé",IF(COUNTIFS(jr_num,A15,jr_etat,"Avec réserves")&gt;0,"Avec réserves",IF(COUNTIFS(jr_num,A15,jr_rel,"&gt;0")&gt;0,"Reliquat en cours",IF(COUNTIFS(jr_num,A15,jr_gap,"&lt;0")+COUNTIFS(jr_num,A15,jr_gap,"&gt;0")&gt;0,"Écart","Conforme")))),IF(COUNTIFS(jr_num,A15,jr_gap,"&lt;0")&gt;0,"Partiel","Sorti")))))</f>
        <v/>
      </c>
      <c r="O15" t="str">
        <f>IFERROR(MATCH(10,jr_grank,0),"")</f>
        <v/>
      </c>
      <c r="R15" s="67" t="str">
        <f>IFERROR(INDEX(jr_num,MATCH("BL10",jr_nkey,0))&amp;"","")</f>
        <v/>
      </c>
      <c r="S15" s="67" t="str">
        <f>IFERROR(INDEX(jr_num,MATCH("BR10",jr_nkey,0))&amp;"","")</f>
        <v/>
      </c>
      <c r="T15" s="67" t="str">
        <f>IFERROR(INDEX(jr_num,MATCH("BS10",jr_nkey,0))&amp;"","")</f>
        <v/>
      </c>
    </row>
    <row r="16">
      <c r="A16" s="60" t="str">
        <f>IF($O16="","",INDEX(jr_num,$O16)&amp;"")</f>
        <v/>
      </c>
      <c r="B16" s="60" t="str">
        <f>IF($O16="","",IF(INDEX(jr_type,$O16)="BL","Livraison",IF(INDEX(jr_type,$O16)="BR","Réception","Sortie")))</f>
        <v/>
      </c>
      <c r="C16" s="65" t="str">
        <f>IF($O16="","",INDEX(jr_date,$O16))</f>
        <v/>
      </c>
      <c r="D16" s="60" t="str">
        <f>IF($O16="","",INDEX(jr_tiers,$O16)&amp;"")</f>
        <v/>
      </c>
      <c r="E16" s="57" t="str">
        <f>IF($O16="","",INDEX(jr_name,$O16)&amp;"")</f>
        <v/>
      </c>
      <c r="F16" s="57" t="str">
        <f>IF($O16="","",INDEX(jr_order,$O16)&amp;"")</f>
        <v/>
      </c>
      <c r="G16" s="57" t="str">
        <f>IF($O16="","",INDEX(jr_ext,$O16)&amp;"")</f>
        <v/>
      </c>
      <c r="H16" s="57" t="str">
        <f>IF($O16="","",INDEX(jr_carrier,$O16)&amp;"")</f>
        <v/>
      </c>
      <c r="I16" s="66" t="str">
        <f>IF(A16="","",COUNTIF(jr_num,A16))</f>
        <v/>
      </c>
      <c r="J16" s="66" t="str">
        <f>IF(A16="","",SUMIF(jr_num,A16,jr_colis))</f>
        <v/>
      </c>
      <c r="K16" s="63" t="str">
        <f>IF(A16="","",SUMIF(jr_num,A16,jr_kg))</f>
        <v/>
      </c>
      <c r="L16" s="64" t="str">
        <f>IF(A16="","",SUMIF(jr_num,A16,jr_val))</f>
        <v/>
      </c>
      <c r="M16" s="60" t="str">
        <f>IF(A16="","",IF(COUNTIFS(jr_num,A16,jr_check,"&lt;&gt;OK")&gt;0,"À vérifier",IF(LEFT(A16,2)="BL",IF(COUNTIFS(jr_num,A16,jr_rel,"&gt;0")&gt;0,"Reliquat en cours",IF(COUNTIFS(jr_num,A16,jr_gap,"&lt;0")&gt;0,"Reliquat livré","Complet")),IF(LEFT(A16,2)="BR",IF(COUNTIFS(jr_num,A16,jr_etat,"Refusé")&gt;0,"Refusé",IF(COUNTIFS(jr_num,A16,jr_etat,"Avec réserves")&gt;0,"Avec réserves",IF(COUNTIFS(jr_num,A16,jr_rel,"&gt;0")&gt;0,"Reliquat en cours",IF(COUNTIFS(jr_num,A16,jr_gap,"&lt;0")+COUNTIFS(jr_num,A16,jr_gap,"&gt;0")&gt;0,"Écart","Conforme")))),IF(COUNTIFS(jr_num,A16,jr_gap,"&lt;0")&gt;0,"Partiel","Sorti")))))</f>
        <v/>
      </c>
      <c r="O16" t="str">
        <f>IFERROR(MATCH(11,jr_grank,0),"")</f>
        <v/>
      </c>
      <c r="R16" s="67" t="str">
        <f>IFERROR(INDEX(jr_num,MATCH("BL11",jr_nkey,0))&amp;"","")</f>
        <v/>
      </c>
      <c r="S16" s="67" t="str">
        <f>IFERROR(INDEX(jr_num,MATCH("BR11",jr_nkey,0))&amp;"","")</f>
        <v/>
      </c>
      <c r="T16" s="67" t="str">
        <f>IFERROR(INDEX(jr_num,MATCH("BS11",jr_nkey,0))&amp;"","")</f>
        <v/>
      </c>
    </row>
    <row r="17">
      <c r="A17" s="60" t="str">
        <f>IF($O17="","",INDEX(jr_num,$O17)&amp;"")</f>
        <v/>
      </c>
      <c r="B17" s="60" t="str">
        <f>IF($O17="","",IF(INDEX(jr_type,$O17)="BL","Livraison",IF(INDEX(jr_type,$O17)="BR","Réception","Sortie")))</f>
        <v/>
      </c>
      <c r="C17" s="65" t="str">
        <f>IF($O17="","",INDEX(jr_date,$O17))</f>
        <v/>
      </c>
      <c r="D17" s="60" t="str">
        <f>IF($O17="","",INDEX(jr_tiers,$O17)&amp;"")</f>
        <v/>
      </c>
      <c r="E17" s="57" t="str">
        <f>IF($O17="","",INDEX(jr_name,$O17)&amp;"")</f>
        <v/>
      </c>
      <c r="F17" s="57" t="str">
        <f>IF($O17="","",INDEX(jr_order,$O17)&amp;"")</f>
        <v/>
      </c>
      <c r="G17" s="57" t="str">
        <f>IF($O17="","",INDEX(jr_ext,$O17)&amp;"")</f>
        <v/>
      </c>
      <c r="H17" s="57" t="str">
        <f>IF($O17="","",INDEX(jr_carrier,$O17)&amp;"")</f>
        <v/>
      </c>
      <c r="I17" s="66" t="str">
        <f>IF(A17="","",COUNTIF(jr_num,A17))</f>
        <v/>
      </c>
      <c r="J17" s="66" t="str">
        <f>IF(A17="","",SUMIF(jr_num,A17,jr_colis))</f>
        <v/>
      </c>
      <c r="K17" s="63" t="str">
        <f>IF(A17="","",SUMIF(jr_num,A17,jr_kg))</f>
        <v/>
      </c>
      <c r="L17" s="64" t="str">
        <f>IF(A17="","",SUMIF(jr_num,A17,jr_val))</f>
        <v/>
      </c>
      <c r="M17" s="60" t="str">
        <f>IF(A17="","",IF(COUNTIFS(jr_num,A17,jr_check,"&lt;&gt;OK")&gt;0,"À vérifier",IF(LEFT(A17,2)="BL",IF(COUNTIFS(jr_num,A17,jr_rel,"&gt;0")&gt;0,"Reliquat en cours",IF(COUNTIFS(jr_num,A17,jr_gap,"&lt;0")&gt;0,"Reliquat livré","Complet")),IF(LEFT(A17,2)="BR",IF(COUNTIFS(jr_num,A17,jr_etat,"Refusé")&gt;0,"Refusé",IF(COUNTIFS(jr_num,A17,jr_etat,"Avec réserves")&gt;0,"Avec réserves",IF(COUNTIFS(jr_num,A17,jr_rel,"&gt;0")&gt;0,"Reliquat en cours",IF(COUNTIFS(jr_num,A17,jr_gap,"&lt;0")+COUNTIFS(jr_num,A17,jr_gap,"&gt;0")&gt;0,"Écart","Conforme")))),IF(COUNTIFS(jr_num,A17,jr_gap,"&lt;0")&gt;0,"Partiel","Sorti")))))</f>
        <v/>
      </c>
      <c r="O17" t="str">
        <f>IFERROR(MATCH(12,jr_grank,0),"")</f>
        <v/>
      </c>
      <c r="R17" s="67" t="str">
        <f>IFERROR(INDEX(jr_num,MATCH("BL12",jr_nkey,0))&amp;"","")</f>
        <v/>
      </c>
      <c r="S17" s="67" t="str">
        <f>IFERROR(INDEX(jr_num,MATCH("BR12",jr_nkey,0))&amp;"","")</f>
        <v/>
      </c>
      <c r="T17" s="67" t="str">
        <f>IFERROR(INDEX(jr_num,MATCH("BS12",jr_nkey,0))&amp;"","")</f>
        <v/>
      </c>
    </row>
    <row r="18">
      <c r="A18" s="60" t="str">
        <f>IF($O18="","",INDEX(jr_num,$O18)&amp;"")</f>
        <v/>
      </c>
      <c r="B18" s="60" t="str">
        <f>IF($O18="","",IF(INDEX(jr_type,$O18)="BL","Livraison",IF(INDEX(jr_type,$O18)="BR","Réception","Sortie")))</f>
        <v/>
      </c>
      <c r="C18" s="65" t="str">
        <f>IF($O18="","",INDEX(jr_date,$O18))</f>
        <v/>
      </c>
      <c r="D18" s="60" t="str">
        <f>IF($O18="","",INDEX(jr_tiers,$O18)&amp;"")</f>
        <v/>
      </c>
      <c r="E18" s="57" t="str">
        <f>IF($O18="","",INDEX(jr_name,$O18)&amp;"")</f>
        <v/>
      </c>
      <c r="F18" s="57" t="str">
        <f>IF($O18="","",INDEX(jr_order,$O18)&amp;"")</f>
        <v/>
      </c>
      <c r="G18" s="57" t="str">
        <f>IF($O18="","",INDEX(jr_ext,$O18)&amp;"")</f>
        <v/>
      </c>
      <c r="H18" s="57" t="str">
        <f>IF($O18="","",INDEX(jr_carrier,$O18)&amp;"")</f>
        <v/>
      </c>
      <c r="I18" s="66" t="str">
        <f>IF(A18="","",COUNTIF(jr_num,A18))</f>
        <v/>
      </c>
      <c r="J18" s="66" t="str">
        <f>IF(A18="","",SUMIF(jr_num,A18,jr_colis))</f>
        <v/>
      </c>
      <c r="K18" s="63" t="str">
        <f>IF(A18="","",SUMIF(jr_num,A18,jr_kg))</f>
        <v/>
      </c>
      <c r="L18" s="64" t="str">
        <f>IF(A18="","",SUMIF(jr_num,A18,jr_val))</f>
        <v/>
      </c>
      <c r="M18" s="60" t="str">
        <f>IF(A18="","",IF(COUNTIFS(jr_num,A18,jr_check,"&lt;&gt;OK")&gt;0,"À vérifier",IF(LEFT(A18,2)="BL",IF(COUNTIFS(jr_num,A18,jr_rel,"&gt;0")&gt;0,"Reliquat en cours",IF(COUNTIFS(jr_num,A18,jr_gap,"&lt;0")&gt;0,"Reliquat livré","Complet")),IF(LEFT(A18,2)="BR",IF(COUNTIFS(jr_num,A18,jr_etat,"Refusé")&gt;0,"Refusé",IF(COUNTIFS(jr_num,A18,jr_etat,"Avec réserves")&gt;0,"Avec réserves",IF(COUNTIFS(jr_num,A18,jr_rel,"&gt;0")&gt;0,"Reliquat en cours",IF(COUNTIFS(jr_num,A18,jr_gap,"&lt;0")+COUNTIFS(jr_num,A18,jr_gap,"&gt;0")&gt;0,"Écart","Conforme")))),IF(COUNTIFS(jr_num,A18,jr_gap,"&lt;0")&gt;0,"Partiel","Sorti")))))</f>
        <v/>
      </c>
      <c r="O18" t="str">
        <f>IFERROR(MATCH(13,jr_grank,0),"")</f>
        <v/>
      </c>
      <c r="R18" s="67" t="str">
        <f>IFERROR(INDEX(jr_num,MATCH("BL13",jr_nkey,0))&amp;"","")</f>
        <v/>
      </c>
      <c r="S18" s="67" t="str">
        <f>IFERROR(INDEX(jr_num,MATCH("BR13",jr_nkey,0))&amp;"","")</f>
        <v/>
      </c>
      <c r="T18" s="67" t="str">
        <f>IFERROR(INDEX(jr_num,MATCH("BS13",jr_nkey,0))&amp;"","")</f>
        <v/>
      </c>
    </row>
    <row r="19">
      <c r="A19" s="60" t="str">
        <f>IF($O19="","",INDEX(jr_num,$O19)&amp;"")</f>
        <v/>
      </c>
      <c r="B19" s="60" t="str">
        <f>IF($O19="","",IF(INDEX(jr_type,$O19)="BL","Livraison",IF(INDEX(jr_type,$O19)="BR","Réception","Sortie")))</f>
        <v/>
      </c>
      <c r="C19" s="65" t="str">
        <f>IF($O19="","",INDEX(jr_date,$O19))</f>
        <v/>
      </c>
      <c r="D19" s="60" t="str">
        <f>IF($O19="","",INDEX(jr_tiers,$O19)&amp;"")</f>
        <v/>
      </c>
      <c r="E19" s="57" t="str">
        <f>IF($O19="","",INDEX(jr_name,$O19)&amp;"")</f>
        <v/>
      </c>
      <c r="F19" s="57" t="str">
        <f>IF($O19="","",INDEX(jr_order,$O19)&amp;"")</f>
        <v/>
      </c>
      <c r="G19" s="57" t="str">
        <f>IF($O19="","",INDEX(jr_ext,$O19)&amp;"")</f>
        <v/>
      </c>
      <c r="H19" s="57" t="str">
        <f>IF($O19="","",INDEX(jr_carrier,$O19)&amp;"")</f>
        <v/>
      </c>
      <c r="I19" s="66" t="str">
        <f>IF(A19="","",COUNTIF(jr_num,A19))</f>
        <v/>
      </c>
      <c r="J19" s="66" t="str">
        <f>IF(A19="","",SUMIF(jr_num,A19,jr_colis))</f>
        <v/>
      </c>
      <c r="K19" s="63" t="str">
        <f>IF(A19="","",SUMIF(jr_num,A19,jr_kg))</f>
        <v/>
      </c>
      <c r="L19" s="64" t="str">
        <f>IF(A19="","",SUMIF(jr_num,A19,jr_val))</f>
        <v/>
      </c>
      <c r="M19" s="60" t="str">
        <f>IF(A19="","",IF(COUNTIFS(jr_num,A19,jr_check,"&lt;&gt;OK")&gt;0,"À vérifier",IF(LEFT(A19,2)="BL",IF(COUNTIFS(jr_num,A19,jr_rel,"&gt;0")&gt;0,"Reliquat en cours",IF(COUNTIFS(jr_num,A19,jr_gap,"&lt;0")&gt;0,"Reliquat livré","Complet")),IF(LEFT(A19,2)="BR",IF(COUNTIFS(jr_num,A19,jr_etat,"Refusé")&gt;0,"Refusé",IF(COUNTIFS(jr_num,A19,jr_etat,"Avec réserves")&gt;0,"Avec réserves",IF(COUNTIFS(jr_num,A19,jr_rel,"&gt;0")&gt;0,"Reliquat en cours",IF(COUNTIFS(jr_num,A19,jr_gap,"&lt;0")+COUNTIFS(jr_num,A19,jr_gap,"&gt;0")&gt;0,"Écart","Conforme")))),IF(COUNTIFS(jr_num,A19,jr_gap,"&lt;0")&gt;0,"Partiel","Sorti")))))</f>
        <v/>
      </c>
      <c r="O19" t="str">
        <f>IFERROR(MATCH(14,jr_grank,0),"")</f>
        <v/>
      </c>
      <c r="R19" s="67" t="str">
        <f>IFERROR(INDEX(jr_num,MATCH("BL14",jr_nkey,0))&amp;"","")</f>
        <v/>
      </c>
      <c r="S19" s="67" t="str">
        <f>IFERROR(INDEX(jr_num,MATCH("BR14",jr_nkey,0))&amp;"","")</f>
        <v/>
      </c>
      <c r="T19" s="67" t="str">
        <f>IFERROR(INDEX(jr_num,MATCH("BS14",jr_nkey,0))&amp;"","")</f>
        <v/>
      </c>
    </row>
    <row r="20">
      <c r="A20" s="60" t="str">
        <f>IF($O20="","",INDEX(jr_num,$O20)&amp;"")</f>
        <v/>
      </c>
      <c r="B20" s="60" t="str">
        <f>IF($O20="","",IF(INDEX(jr_type,$O20)="BL","Livraison",IF(INDEX(jr_type,$O20)="BR","Réception","Sortie")))</f>
        <v/>
      </c>
      <c r="C20" s="65" t="str">
        <f>IF($O20="","",INDEX(jr_date,$O20))</f>
        <v/>
      </c>
      <c r="D20" s="60" t="str">
        <f>IF($O20="","",INDEX(jr_tiers,$O20)&amp;"")</f>
        <v/>
      </c>
      <c r="E20" s="57" t="str">
        <f>IF($O20="","",INDEX(jr_name,$O20)&amp;"")</f>
        <v/>
      </c>
      <c r="F20" s="57" t="str">
        <f>IF($O20="","",INDEX(jr_order,$O20)&amp;"")</f>
        <v/>
      </c>
      <c r="G20" s="57" t="str">
        <f>IF($O20="","",INDEX(jr_ext,$O20)&amp;"")</f>
        <v/>
      </c>
      <c r="H20" s="57" t="str">
        <f>IF($O20="","",INDEX(jr_carrier,$O20)&amp;"")</f>
        <v/>
      </c>
      <c r="I20" s="66" t="str">
        <f>IF(A20="","",COUNTIF(jr_num,A20))</f>
        <v/>
      </c>
      <c r="J20" s="66" t="str">
        <f>IF(A20="","",SUMIF(jr_num,A20,jr_colis))</f>
        <v/>
      </c>
      <c r="K20" s="63" t="str">
        <f>IF(A20="","",SUMIF(jr_num,A20,jr_kg))</f>
        <v/>
      </c>
      <c r="L20" s="64" t="str">
        <f>IF(A20="","",SUMIF(jr_num,A20,jr_val))</f>
        <v/>
      </c>
      <c r="M20" s="60" t="str">
        <f>IF(A20="","",IF(COUNTIFS(jr_num,A20,jr_check,"&lt;&gt;OK")&gt;0,"À vérifier",IF(LEFT(A20,2)="BL",IF(COUNTIFS(jr_num,A20,jr_rel,"&gt;0")&gt;0,"Reliquat en cours",IF(COUNTIFS(jr_num,A20,jr_gap,"&lt;0")&gt;0,"Reliquat livré","Complet")),IF(LEFT(A20,2)="BR",IF(COUNTIFS(jr_num,A20,jr_etat,"Refusé")&gt;0,"Refusé",IF(COUNTIFS(jr_num,A20,jr_etat,"Avec réserves")&gt;0,"Avec réserves",IF(COUNTIFS(jr_num,A20,jr_rel,"&gt;0")&gt;0,"Reliquat en cours",IF(COUNTIFS(jr_num,A20,jr_gap,"&lt;0")+COUNTIFS(jr_num,A20,jr_gap,"&gt;0")&gt;0,"Écart","Conforme")))),IF(COUNTIFS(jr_num,A20,jr_gap,"&lt;0")&gt;0,"Partiel","Sorti")))))</f>
        <v/>
      </c>
      <c r="O20" t="str">
        <f>IFERROR(MATCH(15,jr_grank,0),"")</f>
        <v/>
      </c>
      <c r="R20" s="67" t="str">
        <f>IFERROR(INDEX(jr_num,MATCH("BL15",jr_nkey,0))&amp;"","")</f>
        <v/>
      </c>
      <c r="S20" s="67" t="str">
        <f>IFERROR(INDEX(jr_num,MATCH("BR15",jr_nkey,0))&amp;"","")</f>
        <v/>
      </c>
      <c r="T20" s="67" t="str">
        <f>IFERROR(INDEX(jr_num,MATCH("BS15",jr_nkey,0))&amp;"","")</f>
        <v/>
      </c>
    </row>
    <row r="21">
      <c r="A21" s="60" t="str">
        <f>IF($O21="","",INDEX(jr_num,$O21)&amp;"")</f>
        <v/>
      </c>
      <c r="B21" s="60" t="str">
        <f>IF($O21="","",IF(INDEX(jr_type,$O21)="BL","Livraison",IF(INDEX(jr_type,$O21)="BR","Réception","Sortie")))</f>
        <v/>
      </c>
      <c r="C21" s="65" t="str">
        <f>IF($O21="","",INDEX(jr_date,$O21))</f>
        <v/>
      </c>
      <c r="D21" s="60" t="str">
        <f>IF($O21="","",INDEX(jr_tiers,$O21)&amp;"")</f>
        <v/>
      </c>
      <c r="E21" s="57" t="str">
        <f>IF($O21="","",INDEX(jr_name,$O21)&amp;"")</f>
        <v/>
      </c>
      <c r="F21" s="57" t="str">
        <f>IF($O21="","",INDEX(jr_order,$O21)&amp;"")</f>
        <v/>
      </c>
      <c r="G21" s="57" t="str">
        <f>IF($O21="","",INDEX(jr_ext,$O21)&amp;"")</f>
        <v/>
      </c>
      <c r="H21" s="57" t="str">
        <f>IF($O21="","",INDEX(jr_carrier,$O21)&amp;"")</f>
        <v/>
      </c>
      <c r="I21" s="66" t="str">
        <f>IF(A21="","",COUNTIF(jr_num,A21))</f>
        <v/>
      </c>
      <c r="J21" s="66" t="str">
        <f>IF(A21="","",SUMIF(jr_num,A21,jr_colis))</f>
        <v/>
      </c>
      <c r="K21" s="63" t="str">
        <f>IF(A21="","",SUMIF(jr_num,A21,jr_kg))</f>
        <v/>
      </c>
      <c r="L21" s="64" t="str">
        <f>IF(A21="","",SUMIF(jr_num,A21,jr_val))</f>
        <v/>
      </c>
      <c r="M21" s="60" t="str">
        <f>IF(A21="","",IF(COUNTIFS(jr_num,A21,jr_check,"&lt;&gt;OK")&gt;0,"À vérifier",IF(LEFT(A21,2)="BL",IF(COUNTIFS(jr_num,A21,jr_rel,"&gt;0")&gt;0,"Reliquat en cours",IF(COUNTIFS(jr_num,A21,jr_gap,"&lt;0")&gt;0,"Reliquat livré","Complet")),IF(LEFT(A21,2)="BR",IF(COUNTIFS(jr_num,A21,jr_etat,"Refusé")&gt;0,"Refusé",IF(COUNTIFS(jr_num,A21,jr_etat,"Avec réserves")&gt;0,"Avec réserves",IF(COUNTIFS(jr_num,A21,jr_rel,"&gt;0")&gt;0,"Reliquat en cours",IF(COUNTIFS(jr_num,A21,jr_gap,"&lt;0")+COUNTIFS(jr_num,A21,jr_gap,"&gt;0")&gt;0,"Écart","Conforme")))),IF(COUNTIFS(jr_num,A21,jr_gap,"&lt;0")&gt;0,"Partiel","Sorti")))))</f>
        <v/>
      </c>
      <c r="O21" t="str">
        <f>IFERROR(MATCH(16,jr_grank,0),"")</f>
        <v/>
      </c>
      <c r="R21" s="67" t="str">
        <f>IFERROR(INDEX(jr_num,MATCH("BL16",jr_nkey,0))&amp;"","")</f>
        <v/>
      </c>
      <c r="S21" s="67" t="str">
        <f>IFERROR(INDEX(jr_num,MATCH("BR16",jr_nkey,0))&amp;"","")</f>
        <v/>
      </c>
      <c r="T21" s="67" t="str">
        <f>IFERROR(INDEX(jr_num,MATCH("BS16",jr_nkey,0))&amp;"","")</f>
        <v/>
      </c>
    </row>
    <row r="22">
      <c r="A22" s="60" t="str">
        <f>IF($O22="","",INDEX(jr_num,$O22)&amp;"")</f>
        <v/>
      </c>
      <c r="B22" s="60" t="str">
        <f>IF($O22="","",IF(INDEX(jr_type,$O22)="BL","Livraison",IF(INDEX(jr_type,$O22)="BR","Réception","Sortie")))</f>
        <v/>
      </c>
      <c r="C22" s="65" t="str">
        <f>IF($O22="","",INDEX(jr_date,$O22))</f>
        <v/>
      </c>
      <c r="D22" s="60" t="str">
        <f>IF($O22="","",INDEX(jr_tiers,$O22)&amp;"")</f>
        <v/>
      </c>
      <c r="E22" s="57" t="str">
        <f>IF($O22="","",INDEX(jr_name,$O22)&amp;"")</f>
        <v/>
      </c>
      <c r="F22" s="57" t="str">
        <f>IF($O22="","",INDEX(jr_order,$O22)&amp;"")</f>
        <v/>
      </c>
      <c r="G22" s="57" t="str">
        <f>IF($O22="","",INDEX(jr_ext,$O22)&amp;"")</f>
        <v/>
      </c>
      <c r="H22" s="57" t="str">
        <f>IF($O22="","",INDEX(jr_carrier,$O22)&amp;"")</f>
        <v/>
      </c>
      <c r="I22" s="66" t="str">
        <f>IF(A22="","",COUNTIF(jr_num,A22))</f>
        <v/>
      </c>
      <c r="J22" s="66" t="str">
        <f>IF(A22="","",SUMIF(jr_num,A22,jr_colis))</f>
        <v/>
      </c>
      <c r="K22" s="63" t="str">
        <f>IF(A22="","",SUMIF(jr_num,A22,jr_kg))</f>
        <v/>
      </c>
      <c r="L22" s="64" t="str">
        <f>IF(A22="","",SUMIF(jr_num,A22,jr_val))</f>
        <v/>
      </c>
      <c r="M22" s="60" t="str">
        <f>IF(A22="","",IF(COUNTIFS(jr_num,A22,jr_check,"&lt;&gt;OK")&gt;0,"À vérifier",IF(LEFT(A22,2)="BL",IF(COUNTIFS(jr_num,A22,jr_rel,"&gt;0")&gt;0,"Reliquat en cours",IF(COUNTIFS(jr_num,A22,jr_gap,"&lt;0")&gt;0,"Reliquat livré","Complet")),IF(LEFT(A22,2)="BR",IF(COUNTIFS(jr_num,A22,jr_etat,"Refusé")&gt;0,"Refusé",IF(COUNTIFS(jr_num,A22,jr_etat,"Avec réserves")&gt;0,"Avec réserves",IF(COUNTIFS(jr_num,A22,jr_rel,"&gt;0")&gt;0,"Reliquat en cours",IF(COUNTIFS(jr_num,A22,jr_gap,"&lt;0")+COUNTIFS(jr_num,A22,jr_gap,"&gt;0")&gt;0,"Écart","Conforme")))),IF(COUNTIFS(jr_num,A22,jr_gap,"&lt;0")&gt;0,"Partiel","Sorti")))))</f>
        <v/>
      </c>
      <c r="O22" t="str">
        <f>IFERROR(MATCH(17,jr_grank,0),"")</f>
        <v/>
      </c>
      <c r="R22" s="67" t="str">
        <f>IFERROR(INDEX(jr_num,MATCH("BL17",jr_nkey,0))&amp;"","")</f>
        <v/>
      </c>
      <c r="S22" s="67" t="str">
        <f>IFERROR(INDEX(jr_num,MATCH("BR17",jr_nkey,0))&amp;"","")</f>
        <v/>
      </c>
      <c r="T22" s="67" t="str">
        <f>IFERROR(INDEX(jr_num,MATCH("BS17",jr_nkey,0))&amp;"","")</f>
        <v/>
      </c>
    </row>
    <row r="23">
      <c r="A23" s="60" t="str">
        <f>IF($O23="","",INDEX(jr_num,$O23)&amp;"")</f>
        <v/>
      </c>
      <c r="B23" s="60" t="str">
        <f>IF($O23="","",IF(INDEX(jr_type,$O23)="BL","Livraison",IF(INDEX(jr_type,$O23)="BR","Réception","Sortie")))</f>
        <v/>
      </c>
      <c r="C23" s="65" t="str">
        <f>IF($O23="","",INDEX(jr_date,$O23))</f>
        <v/>
      </c>
      <c r="D23" s="60" t="str">
        <f>IF($O23="","",INDEX(jr_tiers,$O23)&amp;"")</f>
        <v/>
      </c>
      <c r="E23" s="57" t="str">
        <f>IF($O23="","",INDEX(jr_name,$O23)&amp;"")</f>
        <v/>
      </c>
      <c r="F23" s="57" t="str">
        <f>IF($O23="","",INDEX(jr_order,$O23)&amp;"")</f>
        <v/>
      </c>
      <c r="G23" s="57" t="str">
        <f>IF($O23="","",INDEX(jr_ext,$O23)&amp;"")</f>
        <v/>
      </c>
      <c r="H23" s="57" t="str">
        <f>IF($O23="","",INDEX(jr_carrier,$O23)&amp;"")</f>
        <v/>
      </c>
      <c r="I23" s="66" t="str">
        <f>IF(A23="","",COUNTIF(jr_num,A23))</f>
        <v/>
      </c>
      <c r="J23" s="66" t="str">
        <f>IF(A23="","",SUMIF(jr_num,A23,jr_colis))</f>
        <v/>
      </c>
      <c r="K23" s="63" t="str">
        <f>IF(A23="","",SUMIF(jr_num,A23,jr_kg))</f>
        <v/>
      </c>
      <c r="L23" s="64" t="str">
        <f>IF(A23="","",SUMIF(jr_num,A23,jr_val))</f>
        <v/>
      </c>
      <c r="M23" s="60" t="str">
        <f>IF(A23="","",IF(COUNTIFS(jr_num,A23,jr_check,"&lt;&gt;OK")&gt;0,"À vérifier",IF(LEFT(A23,2)="BL",IF(COUNTIFS(jr_num,A23,jr_rel,"&gt;0")&gt;0,"Reliquat en cours",IF(COUNTIFS(jr_num,A23,jr_gap,"&lt;0")&gt;0,"Reliquat livré","Complet")),IF(LEFT(A23,2)="BR",IF(COUNTIFS(jr_num,A23,jr_etat,"Refusé")&gt;0,"Refusé",IF(COUNTIFS(jr_num,A23,jr_etat,"Avec réserves")&gt;0,"Avec réserves",IF(COUNTIFS(jr_num,A23,jr_rel,"&gt;0")&gt;0,"Reliquat en cours",IF(COUNTIFS(jr_num,A23,jr_gap,"&lt;0")+COUNTIFS(jr_num,A23,jr_gap,"&gt;0")&gt;0,"Écart","Conforme")))),IF(COUNTIFS(jr_num,A23,jr_gap,"&lt;0")&gt;0,"Partiel","Sorti")))))</f>
        <v/>
      </c>
      <c r="O23" t="str">
        <f>IFERROR(MATCH(18,jr_grank,0),"")</f>
        <v/>
      </c>
      <c r="R23" s="67" t="str">
        <f>IFERROR(INDEX(jr_num,MATCH("BL18",jr_nkey,0))&amp;"","")</f>
        <v/>
      </c>
      <c r="S23" s="67" t="str">
        <f>IFERROR(INDEX(jr_num,MATCH("BR18",jr_nkey,0))&amp;"","")</f>
        <v/>
      </c>
      <c r="T23" s="67" t="str">
        <f>IFERROR(INDEX(jr_num,MATCH("BS18",jr_nkey,0))&amp;"","")</f>
        <v/>
      </c>
    </row>
    <row r="24">
      <c r="A24" s="60" t="str">
        <f>IF($O24="","",INDEX(jr_num,$O24)&amp;"")</f>
        <v/>
      </c>
      <c r="B24" s="60" t="str">
        <f>IF($O24="","",IF(INDEX(jr_type,$O24)="BL","Livraison",IF(INDEX(jr_type,$O24)="BR","Réception","Sortie")))</f>
        <v/>
      </c>
      <c r="C24" s="65" t="str">
        <f>IF($O24="","",INDEX(jr_date,$O24))</f>
        <v/>
      </c>
      <c r="D24" s="60" t="str">
        <f>IF($O24="","",INDEX(jr_tiers,$O24)&amp;"")</f>
        <v/>
      </c>
      <c r="E24" s="57" t="str">
        <f>IF($O24="","",INDEX(jr_name,$O24)&amp;"")</f>
        <v/>
      </c>
      <c r="F24" s="57" t="str">
        <f>IF($O24="","",INDEX(jr_order,$O24)&amp;"")</f>
        <v/>
      </c>
      <c r="G24" s="57" t="str">
        <f>IF($O24="","",INDEX(jr_ext,$O24)&amp;"")</f>
        <v/>
      </c>
      <c r="H24" s="57" t="str">
        <f>IF($O24="","",INDEX(jr_carrier,$O24)&amp;"")</f>
        <v/>
      </c>
      <c r="I24" s="66" t="str">
        <f>IF(A24="","",COUNTIF(jr_num,A24))</f>
        <v/>
      </c>
      <c r="J24" s="66" t="str">
        <f>IF(A24="","",SUMIF(jr_num,A24,jr_colis))</f>
        <v/>
      </c>
      <c r="K24" s="63" t="str">
        <f>IF(A24="","",SUMIF(jr_num,A24,jr_kg))</f>
        <v/>
      </c>
      <c r="L24" s="64" t="str">
        <f>IF(A24="","",SUMIF(jr_num,A24,jr_val))</f>
        <v/>
      </c>
      <c r="M24" s="60" t="str">
        <f>IF(A24="","",IF(COUNTIFS(jr_num,A24,jr_check,"&lt;&gt;OK")&gt;0,"À vérifier",IF(LEFT(A24,2)="BL",IF(COUNTIFS(jr_num,A24,jr_rel,"&gt;0")&gt;0,"Reliquat en cours",IF(COUNTIFS(jr_num,A24,jr_gap,"&lt;0")&gt;0,"Reliquat livré","Complet")),IF(LEFT(A24,2)="BR",IF(COUNTIFS(jr_num,A24,jr_etat,"Refusé")&gt;0,"Refusé",IF(COUNTIFS(jr_num,A24,jr_etat,"Avec réserves")&gt;0,"Avec réserves",IF(COUNTIFS(jr_num,A24,jr_rel,"&gt;0")&gt;0,"Reliquat en cours",IF(COUNTIFS(jr_num,A24,jr_gap,"&lt;0")+COUNTIFS(jr_num,A24,jr_gap,"&gt;0")&gt;0,"Écart","Conforme")))),IF(COUNTIFS(jr_num,A24,jr_gap,"&lt;0")&gt;0,"Partiel","Sorti")))))</f>
        <v/>
      </c>
      <c r="O24" t="str">
        <f>IFERROR(MATCH(19,jr_grank,0),"")</f>
        <v/>
      </c>
      <c r="R24" s="67" t="str">
        <f>IFERROR(INDEX(jr_num,MATCH("BL19",jr_nkey,0))&amp;"","")</f>
        <v/>
      </c>
      <c r="S24" s="67" t="str">
        <f>IFERROR(INDEX(jr_num,MATCH("BR19",jr_nkey,0))&amp;"","")</f>
        <v/>
      </c>
      <c r="T24" s="67" t="str">
        <f>IFERROR(INDEX(jr_num,MATCH("BS19",jr_nkey,0))&amp;"","")</f>
        <v/>
      </c>
    </row>
    <row r="25">
      <c r="A25" s="60" t="str">
        <f>IF($O25="","",INDEX(jr_num,$O25)&amp;"")</f>
        <v/>
      </c>
      <c r="B25" s="60" t="str">
        <f>IF($O25="","",IF(INDEX(jr_type,$O25)="BL","Livraison",IF(INDEX(jr_type,$O25)="BR","Réception","Sortie")))</f>
        <v/>
      </c>
      <c r="C25" s="65" t="str">
        <f>IF($O25="","",INDEX(jr_date,$O25))</f>
        <v/>
      </c>
      <c r="D25" s="60" t="str">
        <f>IF($O25="","",INDEX(jr_tiers,$O25)&amp;"")</f>
        <v/>
      </c>
      <c r="E25" s="57" t="str">
        <f>IF($O25="","",INDEX(jr_name,$O25)&amp;"")</f>
        <v/>
      </c>
      <c r="F25" s="57" t="str">
        <f>IF($O25="","",INDEX(jr_order,$O25)&amp;"")</f>
        <v/>
      </c>
      <c r="G25" s="57" t="str">
        <f>IF($O25="","",INDEX(jr_ext,$O25)&amp;"")</f>
        <v/>
      </c>
      <c r="H25" s="57" t="str">
        <f>IF($O25="","",INDEX(jr_carrier,$O25)&amp;"")</f>
        <v/>
      </c>
      <c r="I25" s="66" t="str">
        <f>IF(A25="","",COUNTIF(jr_num,A25))</f>
        <v/>
      </c>
      <c r="J25" s="66" t="str">
        <f>IF(A25="","",SUMIF(jr_num,A25,jr_colis))</f>
        <v/>
      </c>
      <c r="K25" s="63" t="str">
        <f>IF(A25="","",SUMIF(jr_num,A25,jr_kg))</f>
        <v/>
      </c>
      <c r="L25" s="64" t="str">
        <f>IF(A25="","",SUMIF(jr_num,A25,jr_val))</f>
        <v/>
      </c>
      <c r="M25" s="60" t="str">
        <f>IF(A25="","",IF(COUNTIFS(jr_num,A25,jr_check,"&lt;&gt;OK")&gt;0,"À vérifier",IF(LEFT(A25,2)="BL",IF(COUNTIFS(jr_num,A25,jr_rel,"&gt;0")&gt;0,"Reliquat en cours",IF(COUNTIFS(jr_num,A25,jr_gap,"&lt;0")&gt;0,"Reliquat livré","Complet")),IF(LEFT(A25,2)="BR",IF(COUNTIFS(jr_num,A25,jr_etat,"Refusé")&gt;0,"Refusé",IF(COUNTIFS(jr_num,A25,jr_etat,"Avec réserves")&gt;0,"Avec réserves",IF(COUNTIFS(jr_num,A25,jr_rel,"&gt;0")&gt;0,"Reliquat en cours",IF(COUNTIFS(jr_num,A25,jr_gap,"&lt;0")+COUNTIFS(jr_num,A25,jr_gap,"&gt;0")&gt;0,"Écart","Conforme")))),IF(COUNTIFS(jr_num,A25,jr_gap,"&lt;0")&gt;0,"Partiel","Sorti")))))</f>
        <v/>
      </c>
      <c r="O25" t="str">
        <f>IFERROR(MATCH(20,jr_grank,0),"")</f>
        <v/>
      </c>
      <c r="R25" s="67" t="str">
        <f>IFERROR(INDEX(jr_num,MATCH("BL20",jr_nkey,0))&amp;"","")</f>
        <v/>
      </c>
      <c r="S25" s="67" t="str">
        <f>IFERROR(INDEX(jr_num,MATCH("BR20",jr_nkey,0))&amp;"","")</f>
        <v/>
      </c>
      <c r="T25" s="67" t="str">
        <f>IFERROR(INDEX(jr_num,MATCH("BS20",jr_nkey,0))&amp;"","")</f>
        <v/>
      </c>
    </row>
    <row r="26">
      <c r="A26" s="60" t="str">
        <f>IF($O26="","",INDEX(jr_num,$O26)&amp;"")</f>
        <v/>
      </c>
      <c r="B26" s="60" t="str">
        <f>IF($O26="","",IF(INDEX(jr_type,$O26)="BL","Livraison",IF(INDEX(jr_type,$O26)="BR","Réception","Sortie")))</f>
        <v/>
      </c>
      <c r="C26" s="65" t="str">
        <f>IF($O26="","",INDEX(jr_date,$O26))</f>
        <v/>
      </c>
      <c r="D26" s="60" t="str">
        <f>IF($O26="","",INDEX(jr_tiers,$O26)&amp;"")</f>
        <v/>
      </c>
      <c r="E26" s="57" t="str">
        <f>IF($O26="","",INDEX(jr_name,$O26)&amp;"")</f>
        <v/>
      </c>
      <c r="F26" s="57" t="str">
        <f>IF($O26="","",INDEX(jr_order,$O26)&amp;"")</f>
        <v/>
      </c>
      <c r="G26" s="57" t="str">
        <f>IF($O26="","",INDEX(jr_ext,$O26)&amp;"")</f>
        <v/>
      </c>
      <c r="H26" s="57" t="str">
        <f>IF($O26="","",INDEX(jr_carrier,$O26)&amp;"")</f>
        <v/>
      </c>
      <c r="I26" s="66" t="str">
        <f>IF(A26="","",COUNTIF(jr_num,A26))</f>
        <v/>
      </c>
      <c r="J26" s="66" t="str">
        <f>IF(A26="","",SUMIF(jr_num,A26,jr_colis))</f>
        <v/>
      </c>
      <c r="K26" s="63" t="str">
        <f>IF(A26="","",SUMIF(jr_num,A26,jr_kg))</f>
        <v/>
      </c>
      <c r="L26" s="64" t="str">
        <f>IF(A26="","",SUMIF(jr_num,A26,jr_val))</f>
        <v/>
      </c>
      <c r="M26" s="60" t="str">
        <f>IF(A26="","",IF(COUNTIFS(jr_num,A26,jr_check,"&lt;&gt;OK")&gt;0,"À vérifier",IF(LEFT(A26,2)="BL",IF(COUNTIFS(jr_num,A26,jr_rel,"&gt;0")&gt;0,"Reliquat en cours",IF(COUNTIFS(jr_num,A26,jr_gap,"&lt;0")&gt;0,"Reliquat livré","Complet")),IF(LEFT(A26,2)="BR",IF(COUNTIFS(jr_num,A26,jr_etat,"Refusé")&gt;0,"Refusé",IF(COUNTIFS(jr_num,A26,jr_etat,"Avec réserves")&gt;0,"Avec réserves",IF(COUNTIFS(jr_num,A26,jr_rel,"&gt;0")&gt;0,"Reliquat en cours",IF(COUNTIFS(jr_num,A26,jr_gap,"&lt;0")+COUNTIFS(jr_num,A26,jr_gap,"&gt;0")&gt;0,"Écart","Conforme")))),IF(COUNTIFS(jr_num,A26,jr_gap,"&lt;0")&gt;0,"Partiel","Sorti")))))</f>
        <v/>
      </c>
      <c r="O26" t="str">
        <f>IFERROR(MATCH(21,jr_grank,0),"")</f>
        <v/>
      </c>
      <c r="R26" s="67" t="str">
        <f>IFERROR(INDEX(jr_num,MATCH("BL21",jr_nkey,0))&amp;"","")</f>
        <v/>
      </c>
      <c r="S26" s="67" t="str">
        <f>IFERROR(INDEX(jr_num,MATCH("BR21",jr_nkey,0))&amp;"","")</f>
        <v/>
      </c>
      <c r="T26" s="67" t="str">
        <f>IFERROR(INDEX(jr_num,MATCH("BS21",jr_nkey,0))&amp;"","")</f>
        <v/>
      </c>
    </row>
    <row r="27">
      <c r="A27" s="60" t="str">
        <f>IF($O27="","",INDEX(jr_num,$O27)&amp;"")</f>
        <v/>
      </c>
      <c r="B27" s="60" t="str">
        <f>IF($O27="","",IF(INDEX(jr_type,$O27)="BL","Livraison",IF(INDEX(jr_type,$O27)="BR","Réception","Sortie")))</f>
        <v/>
      </c>
      <c r="C27" s="65" t="str">
        <f>IF($O27="","",INDEX(jr_date,$O27))</f>
        <v/>
      </c>
      <c r="D27" s="60" t="str">
        <f>IF($O27="","",INDEX(jr_tiers,$O27)&amp;"")</f>
        <v/>
      </c>
      <c r="E27" s="57" t="str">
        <f>IF($O27="","",INDEX(jr_name,$O27)&amp;"")</f>
        <v/>
      </c>
      <c r="F27" s="57" t="str">
        <f>IF($O27="","",INDEX(jr_order,$O27)&amp;"")</f>
        <v/>
      </c>
      <c r="G27" s="57" t="str">
        <f>IF($O27="","",INDEX(jr_ext,$O27)&amp;"")</f>
        <v/>
      </c>
      <c r="H27" s="57" t="str">
        <f>IF($O27="","",INDEX(jr_carrier,$O27)&amp;"")</f>
        <v/>
      </c>
      <c r="I27" s="66" t="str">
        <f>IF(A27="","",COUNTIF(jr_num,A27))</f>
        <v/>
      </c>
      <c r="J27" s="66" t="str">
        <f>IF(A27="","",SUMIF(jr_num,A27,jr_colis))</f>
        <v/>
      </c>
      <c r="K27" s="63" t="str">
        <f>IF(A27="","",SUMIF(jr_num,A27,jr_kg))</f>
        <v/>
      </c>
      <c r="L27" s="64" t="str">
        <f>IF(A27="","",SUMIF(jr_num,A27,jr_val))</f>
        <v/>
      </c>
      <c r="M27" s="60" t="str">
        <f>IF(A27="","",IF(COUNTIFS(jr_num,A27,jr_check,"&lt;&gt;OK")&gt;0,"À vérifier",IF(LEFT(A27,2)="BL",IF(COUNTIFS(jr_num,A27,jr_rel,"&gt;0")&gt;0,"Reliquat en cours",IF(COUNTIFS(jr_num,A27,jr_gap,"&lt;0")&gt;0,"Reliquat livré","Complet")),IF(LEFT(A27,2)="BR",IF(COUNTIFS(jr_num,A27,jr_etat,"Refusé")&gt;0,"Refusé",IF(COUNTIFS(jr_num,A27,jr_etat,"Avec réserves")&gt;0,"Avec réserves",IF(COUNTIFS(jr_num,A27,jr_rel,"&gt;0")&gt;0,"Reliquat en cours",IF(COUNTIFS(jr_num,A27,jr_gap,"&lt;0")+COUNTIFS(jr_num,A27,jr_gap,"&gt;0")&gt;0,"Écart","Conforme")))),IF(COUNTIFS(jr_num,A27,jr_gap,"&lt;0")&gt;0,"Partiel","Sorti")))))</f>
        <v/>
      </c>
      <c r="O27" t="str">
        <f>IFERROR(MATCH(22,jr_grank,0),"")</f>
        <v/>
      </c>
      <c r="R27" s="67" t="str">
        <f>IFERROR(INDEX(jr_num,MATCH("BL22",jr_nkey,0))&amp;"","")</f>
        <v/>
      </c>
      <c r="S27" s="67" t="str">
        <f>IFERROR(INDEX(jr_num,MATCH("BR22",jr_nkey,0))&amp;"","")</f>
        <v/>
      </c>
      <c r="T27" s="67" t="str">
        <f>IFERROR(INDEX(jr_num,MATCH("BS22",jr_nkey,0))&amp;"","")</f>
        <v/>
      </c>
    </row>
    <row r="28">
      <c r="A28" s="60" t="str">
        <f>IF($O28="","",INDEX(jr_num,$O28)&amp;"")</f>
        <v/>
      </c>
      <c r="B28" s="60" t="str">
        <f>IF($O28="","",IF(INDEX(jr_type,$O28)="BL","Livraison",IF(INDEX(jr_type,$O28)="BR","Réception","Sortie")))</f>
        <v/>
      </c>
      <c r="C28" s="65" t="str">
        <f>IF($O28="","",INDEX(jr_date,$O28))</f>
        <v/>
      </c>
      <c r="D28" s="60" t="str">
        <f>IF($O28="","",INDEX(jr_tiers,$O28)&amp;"")</f>
        <v/>
      </c>
      <c r="E28" s="57" t="str">
        <f>IF($O28="","",INDEX(jr_name,$O28)&amp;"")</f>
        <v/>
      </c>
      <c r="F28" s="57" t="str">
        <f>IF($O28="","",INDEX(jr_order,$O28)&amp;"")</f>
        <v/>
      </c>
      <c r="G28" s="57" t="str">
        <f>IF($O28="","",INDEX(jr_ext,$O28)&amp;"")</f>
        <v/>
      </c>
      <c r="H28" s="57" t="str">
        <f>IF($O28="","",INDEX(jr_carrier,$O28)&amp;"")</f>
        <v/>
      </c>
      <c r="I28" s="66" t="str">
        <f>IF(A28="","",COUNTIF(jr_num,A28))</f>
        <v/>
      </c>
      <c r="J28" s="66" t="str">
        <f>IF(A28="","",SUMIF(jr_num,A28,jr_colis))</f>
        <v/>
      </c>
      <c r="K28" s="63" t="str">
        <f>IF(A28="","",SUMIF(jr_num,A28,jr_kg))</f>
        <v/>
      </c>
      <c r="L28" s="64" t="str">
        <f>IF(A28="","",SUMIF(jr_num,A28,jr_val))</f>
        <v/>
      </c>
      <c r="M28" s="60" t="str">
        <f>IF(A28="","",IF(COUNTIFS(jr_num,A28,jr_check,"&lt;&gt;OK")&gt;0,"À vérifier",IF(LEFT(A28,2)="BL",IF(COUNTIFS(jr_num,A28,jr_rel,"&gt;0")&gt;0,"Reliquat en cours",IF(COUNTIFS(jr_num,A28,jr_gap,"&lt;0")&gt;0,"Reliquat livré","Complet")),IF(LEFT(A28,2)="BR",IF(COUNTIFS(jr_num,A28,jr_etat,"Refusé")&gt;0,"Refusé",IF(COUNTIFS(jr_num,A28,jr_etat,"Avec réserves")&gt;0,"Avec réserves",IF(COUNTIFS(jr_num,A28,jr_rel,"&gt;0")&gt;0,"Reliquat en cours",IF(COUNTIFS(jr_num,A28,jr_gap,"&lt;0")+COUNTIFS(jr_num,A28,jr_gap,"&gt;0")&gt;0,"Écart","Conforme")))),IF(COUNTIFS(jr_num,A28,jr_gap,"&lt;0")&gt;0,"Partiel","Sorti")))))</f>
        <v/>
      </c>
      <c r="O28" t="str">
        <f>IFERROR(MATCH(23,jr_grank,0),"")</f>
        <v/>
      </c>
      <c r="R28" s="67" t="str">
        <f>IFERROR(INDEX(jr_num,MATCH("BL23",jr_nkey,0))&amp;"","")</f>
        <v/>
      </c>
      <c r="S28" s="67" t="str">
        <f>IFERROR(INDEX(jr_num,MATCH("BR23",jr_nkey,0))&amp;"","")</f>
        <v/>
      </c>
      <c r="T28" s="67" t="str">
        <f>IFERROR(INDEX(jr_num,MATCH("BS23",jr_nkey,0))&amp;"","")</f>
        <v/>
      </c>
    </row>
    <row r="29">
      <c r="A29" s="60" t="str">
        <f>IF($O29="","",INDEX(jr_num,$O29)&amp;"")</f>
        <v/>
      </c>
      <c r="B29" s="60" t="str">
        <f>IF($O29="","",IF(INDEX(jr_type,$O29)="BL","Livraison",IF(INDEX(jr_type,$O29)="BR","Réception","Sortie")))</f>
        <v/>
      </c>
      <c r="C29" s="65" t="str">
        <f>IF($O29="","",INDEX(jr_date,$O29))</f>
        <v/>
      </c>
      <c r="D29" s="60" t="str">
        <f>IF($O29="","",INDEX(jr_tiers,$O29)&amp;"")</f>
        <v/>
      </c>
      <c r="E29" s="57" t="str">
        <f>IF($O29="","",INDEX(jr_name,$O29)&amp;"")</f>
        <v/>
      </c>
      <c r="F29" s="57" t="str">
        <f>IF($O29="","",INDEX(jr_order,$O29)&amp;"")</f>
        <v/>
      </c>
      <c r="G29" s="57" t="str">
        <f>IF($O29="","",INDEX(jr_ext,$O29)&amp;"")</f>
        <v/>
      </c>
      <c r="H29" s="57" t="str">
        <f>IF($O29="","",INDEX(jr_carrier,$O29)&amp;"")</f>
        <v/>
      </c>
      <c r="I29" s="66" t="str">
        <f>IF(A29="","",COUNTIF(jr_num,A29))</f>
        <v/>
      </c>
      <c r="J29" s="66" t="str">
        <f>IF(A29="","",SUMIF(jr_num,A29,jr_colis))</f>
        <v/>
      </c>
      <c r="K29" s="63" t="str">
        <f>IF(A29="","",SUMIF(jr_num,A29,jr_kg))</f>
        <v/>
      </c>
      <c r="L29" s="64" t="str">
        <f>IF(A29="","",SUMIF(jr_num,A29,jr_val))</f>
        <v/>
      </c>
      <c r="M29" s="60" t="str">
        <f>IF(A29="","",IF(COUNTIFS(jr_num,A29,jr_check,"&lt;&gt;OK")&gt;0,"À vérifier",IF(LEFT(A29,2)="BL",IF(COUNTIFS(jr_num,A29,jr_rel,"&gt;0")&gt;0,"Reliquat en cours",IF(COUNTIFS(jr_num,A29,jr_gap,"&lt;0")&gt;0,"Reliquat livré","Complet")),IF(LEFT(A29,2)="BR",IF(COUNTIFS(jr_num,A29,jr_etat,"Refusé")&gt;0,"Refusé",IF(COUNTIFS(jr_num,A29,jr_etat,"Avec réserves")&gt;0,"Avec réserves",IF(COUNTIFS(jr_num,A29,jr_rel,"&gt;0")&gt;0,"Reliquat en cours",IF(COUNTIFS(jr_num,A29,jr_gap,"&lt;0")+COUNTIFS(jr_num,A29,jr_gap,"&gt;0")&gt;0,"Écart","Conforme")))),IF(COUNTIFS(jr_num,A29,jr_gap,"&lt;0")&gt;0,"Partiel","Sorti")))))</f>
        <v/>
      </c>
      <c r="O29" t="str">
        <f>IFERROR(MATCH(24,jr_grank,0),"")</f>
        <v/>
      </c>
      <c r="R29" s="67" t="str">
        <f>IFERROR(INDEX(jr_num,MATCH("BL24",jr_nkey,0))&amp;"","")</f>
        <v/>
      </c>
      <c r="S29" s="67" t="str">
        <f>IFERROR(INDEX(jr_num,MATCH("BR24",jr_nkey,0))&amp;"","")</f>
        <v/>
      </c>
      <c r="T29" s="67" t="str">
        <f>IFERROR(INDEX(jr_num,MATCH("BS24",jr_nkey,0))&amp;"","")</f>
        <v/>
      </c>
    </row>
    <row r="30">
      <c r="A30" s="60" t="str">
        <f>IF($O30="","",INDEX(jr_num,$O30)&amp;"")</f>
        <v/>
      </c>
      <c r="B30" s="60" t="str">
        <f>IF($O30="","",IF(INDEX(jr_type,$O30)="BL","Livraison",IF(INDEX(jr_type,$O30)="BR","Réception","Sortie")))</f>
        <v/>
      </c>
      <c r="C30" s="65" t="str">
        <f>IF($O30="","",INDEX(jr_date,$O30))</f>
        <v/>
      </c>
      <c r="D30" s="60" t="str">
        <f>IF($O30="","",INDEX(jr_tiers,$O30)&amp;"")</f>
        <v/>
      </c>
      <c r="E30" s="57" t="str">
        <f>IF($O30="","",INDEX(jr_name,$O30)&amp;"")</f>
        <v/>
      </c>
      <c r="F30" s="57" t="str">
        <f>IF($O30="","",INDEX(jr_order,$O30)&amp;"")</f>
        <v/>
      </c>
      <c r="G30" s="57" t="str">
        <f>IF($O30="","",INDEX(jr_ext,$O30)&amp;"")</f>
        <v/>
      </c>
      <c r="H30" s="57" t="str">
        <f>IF($O30="","",INDEX(jr_carrier,$O30)&amp;"")</f>
        <v/>
      </c>
      <c r="I30" s="66" t="str">
        <f>IF(A30="","",COUNTIF(jr_num,A30))</f>
        <v/>
      </c>
      <c r="J30" s="66" t="str">
        <f>IF(A30="","",SUMIF(jr_num,A30,jr_colis))</f>
        <v/>
      </c>
      <c r="K30" s="63" t="str">
        <f>IF(A30="","",SUMIF(jr_num,A30,jr_kg))</f>
        <v/>
      </c>
      <c r="L30" s="64" t="str">
        <f>IF(A30="","",SUMIF(jr_num,A30,jr_val))</f>
        <v/>
      </c>
      <c r="M30" s="60" t="str">
        <f>IF(A30="","",IF(COUNTIFS(jr_num,A30,jr_check,"&lt;&gt;OK")&gt;0,"À vérifier",IF(LEFT(A30,2)="BL",IF(COUNTIFS(jr_num,A30,jr_rel,"&gt;0")&gt;0,"Reliquat en cours",IF(COUNTIFS(jr_num,A30,jr_gap,"&lt;0")&gt;0,"Reliquat livré","Complet")),IF(LEFT(A30,2)="BR",IF(COUNTIFS(jr_num,A30,jr_etat,"Refusé")&gt;0,"Refusé",IF(COUNTIFS(jr_num,A30,jr_etat,"Avec réserves")&gt;0,"Avec réserves",IF(COUNTIFS(jr_num,A30,jr_rel,"&gt;0")&gt;0,"Reliquat en cours",IF(COUNTIFS(jr_num,A30,jr_gap,"&lt;0")+COUNTIFS(jr_num,A30,jr_gap,"&gt;0")&gt;0,"Écart","Conforme")))),IF(COUNTIFS(jr_num,A30,jr_gap,"&lt;0")&gt;0,"Partiel","Sorti")))))</f>
        <v/>
      </c>
      <c r="O30" t="str">
        <f>IFERROR(MATCH(25,jr_grank,0),"")</f>
        <v/>
      </c>
      <c r="R30" s="67" t="str">
        <f>IFERROR(INDEX(jr_num,MATCH("BL25",jr_nkey,0))&amp;"","")</f>
        <v/>
      </c>
      <c r="S30" s="67" t="str">
        <f>IFERROR(INDEX(jr_num,MATCH("BR25",jr_nkey,0))&amp;"","")</f>
        <v/>
      </c>
      <c r="T30" s="67" t="str">
        <f>IFERROR(INDEX(jr_num,MATCH("BS25",jr_nkey,0))&amp;"","")</f>
        <v/>
      </c>
    </row>
    <row r="31">
      <c r="A31" s="60" t="str">
        <f>IF($O31="","",INDEX(jr_num,$O31)&amp;"")</f>
        <v/>
      </c>
      <c r="B31" s="60" t="str">
        <f>IF($O31="","",IF(INDEX(jr_type,$O31)="BL","Livraison",IF(INDEX(jr_type,$O31)="BR","Réception","Sortie")))</f>
        <v/>
      </c>
      <c r="C31" s="65" t="str">
        <f>IF($O31="","",INDEX(jr_date,$O31))</f>
        <v/>
      </c>
      <c r="D31" s="60" t="str">
        <f>IF($O31="","",INDEX(jr_tiers,$O31)&amp;"")</f>
        <v/>
      </c>
      <c r="E31" s="57" t="str">
        <f>IF($O31="","",INDEX(jr_name,$O31)&amp;"")</f>
        <v/>
      </c>
      <c r="F31" s="57" t="str">
        <f>IF($O31="","",INDEX(jr_order,$O31)&amp;"")</f>
        <v/>
      </c>
      <c r="G31" s="57" t="str">
        <f>IF($O31="","",INDEX(jr_ext,$O31)&amp;"")</f>
        <v/>
      </c>
      <c r="H31" s="57" t="str">
        <f>IF($O31="","",INDEX(jr_carrier,$O31)&amp;"")</f>
        <v/>
      </c>
      <c r="I31" s="66" t="str">
        <f>IF(A31="","",COUNTIF(jr_num,A31))</f>
        <v/>
      </c>
      <c r="J31" s="66" t="str">
        <f>IF(A31="","",SUMIF(jr_num,A31,jr_colis))</f>
        <v/>
      </c>
      <c r="K31" s="63" t="str">
        <f>IF(A31="","",SUMIF(jr_num,A31,jr_kg))</f>
        <v/>
      </c>
      <c r="L31" s="64" t="str">
        <f>IF(A31="","",SUMIF(jr_num,A31,jr_val))</f>
        <v/>
      </c>
      <c r="M31" s="60" t="str">
        <f>IF(A31="","",IF(COUNTIFS(jr_num,A31,jr_check,"&lt;&gt;OK")&gt;0,"À vérifier",IF(LEFT(A31,2)="BL",IF(COUNTIFS(jr_num,A31,jr_rel,"&gt;0")&gt;0,"Reliquat en cours",IF(COUNTIFS(jr_num,A31,jr_gap,"&lt;0")&gt;0,"Reliquat livré","Complet")),IF(LEFT(A31,2)="BR",IF(COUNTIFS(jr_num,A31,jr_etat,"Refusé")&gt;0,"Refusé",IF(COUNTIFS(jr_num,A31,jr_etat,"Avec réserves")&gt;0,"Avec réserves",IF(COUNTIFS(jr_num,A31,jr_rel,"&gt;0")&gt;0,"Reliquat en cours",IF(COUNTIFS(jr_num,A31,jr_gap,"&lt;0")+COUNTIFS(jr_num,A31,jr_gap,"&gt;0")&gt;0,"Écart","Conforme")))),IF(COUNTIFS(jr_num,A31,jr_gap,"&lt;0")&gt;0,"Partiel","Sorti")))))</f>
        <v/>
      </c>
      <c r="O31" t="str">
        <f>IFERROR(MATCH(26,jr_grank,0),"")</f>
        <v/>
      </c>
      <c r="R31" s="67" t="str">
        <f>IFERROR(INDEX(jr_num,MATCH("BL26",jr_nkey,0))&amp;"","")</f>
        <v/>
      </c>
      <c r="S31" s="67" t="str">
        <f>IFERROR(INDEX(jr_num,MATCH("BR26",jr_nkey,0))&amp;"","")</f>
        <v/>
      </c>
      <c r="T31" s="67" t="str">
        <f>IFERROR(INDEX(jr_num,MATCH("BS26",jr_nkey,0))&amp;"","")</f>
        <v/>
      </c>
    </row>
    <row r="32">
      <c r="A32" s="60" t="str">
        <f>IF($O32="","",INDEX(jr_num,$O32)&amp;"")</f>
        <v/>
      </c>
      <c r="B32" s="60" t="str">
        <f>IF($O32="","",IF(INDEX(jr_type,$O32)="BL","Livraison",IF(INDEX(jr_type,$O32)="BR","Réception","Sortie")))</f>
        <v/>
      </c>
      <c r="C32" s="65" t="str">
        <f>IF($O32="","",INDEX(jr_date,$O32))</f>
        <v/>
      </c>
      <c r="D32" s="60" t="str">
        <f>IF($O32="","",INDEX(jr_tiers,$O32)&amp;"")</f>
        <v/>
      </c>
      <c r="E32" s="57" t="str">
        <f>IF($O32="","",INDEX(jr_name,$O32)&amp;"")</f>
        <v/>
      </c>
      <c r="F32" s="57" t="str">
        <f>IF($O32="","",INDEX(jr_order,$O32)&amp;"")</f>
        <v/>
      </c>
      <c r="G32" s="57" t="str">
        <f>IF($O32="","",INDEX(jr_ext,$O32)&amp;"")</f>
        <v/>
      </c>
      <c r="H32" s="57" t="str">
        <f>IF($O32="","",INDEX(jr_carrier,$O32)&amp;"")</f>
        <v/>
      </c>
      <c r="I32" s="66" t="str">
        <f>IF(A32="","",COUNTIF(jr_num,A32))</f>
        <v/>
      </c>
      <c r="J32" s="66" t="str">
        <f>IF(A32="","",SUMIF(jr_num,A32,jr_colis))</f>
        <v/>
      </c>
      <c r="K32" s="63" t="str">
        <f>IF(A32="","",SUMIF(jr_num,A32,jr_kg))</f>
        <v/>
      </c>
      <c r="L32" s="64" t="str">
        <f>IF(A32="","",SUMIF(jr_num,A32,jr_val))</f>
        <v/>
      </c>
      <c r="M32" s="60" t="str">
        <f>IF(A32="","",IF(COUNTIFS(jr_num,A32,jr_check,"&lt;&gt;OK")&gt;0,"À vérifier",IF(LEFT(A32,2)="BL",IF(COUNTIFS(jr_num,A32,jr_rel,"&gt;0")&gt;0,"Reliquat en cours",IF(COUNTIFS(jr_num,A32,jr_gap,"&lt;0")&gt;0,"Reliquat livré","Complet")),IF(LEFT(A32,2)="BR",IF(COUNTIFS(jr_num,A32,jr_etat,"Refusé")&gt;0,"Refusé",IF(COUNTIFS(jr_num,A32,jr_etat,"Avec réserves")&gt;0,"Avec réserves",IF(COUNTIFS(jr_num,A32,jr_rel,"&gt;0")&gt;0,"Reliquat en cours",IF(COUNTIFS(jr_num,A32,jr_gap,"&lt;0")+COUNTIFS(jr_num,A32,jr_gap,"&gt;0")&gt;0,"Écart","Conforme")))),IF(COUNTIFS(jr_num,A32,jr_gap,"&lt;0")&gt;0,"Partiel","Sorti")))))</f>
        <v/>
      </c>
      <c r="O32" t="str">
        <f>IFERROR(MATCH(27,jr_grank,0),"")</f>
        <v/>
      </c>
      <c r="R32" s="67" t="str">
        <f>IFERROR(INDEX(jr_num,MATCH("BL27",jr_nkey,0))&amp;"","")</f>
        <v/>
      </c>
      <c r="S32" s="67" t="str">
        <f>IFERROR(INDEX(jr_num,MATCH("BR27",jr_nkey,0))&amp;"","")</f>
        <v/>
      </c>
      <c r="T32" s="67" t="str">
        <f>IFERROR(INDEX(jr_num,MATCH("BS27",jr_nkey,0))&amp;"","")</f>
        <v/>
      </c>
    </row>
    <row r="33">
      <c r="A33" s="60" t="str">
        <f>IF($O33="","",INDEX(jr_num,$O33)&amp;"")</f>
        <v/>
      </c>
      <c r="B33" s="60" t="str">
        <f>IF($O33="","",IF(INDEX(jr_type,$O33)="BL","Livraison",IF(INDEX(jr_type,$O33)="BR","Réception","Sortie")))</f>
        <v/>
      </c>
      <c r="C33" s="65" t="str">
        <f>IF($O33="","",INDEX(jr_date,$O33))</f>
        <v/>
      </c>
      <c r="D33" s="60" t="str">
        <f>IF($O33="","",INDEX(jr_tiers,$O33)&amp;"")</f>
        <v/>
      </c>
      <c r="E33" s="57" t="str">
        <f>IF($O33="","",INDEX(jr_name,$O33)&amp;"")</f>
        <v/>
      </c>
      <c r="F33" s="57" t="str">
        <f>IF($O33="","",INDEX(jr_order,$O33)&amp;"")</f>
        <v/>
      </c>
      <c r="G33" s="57" t="str">
        <f>IF($O33="","",INDEX(jr_ext,$O33)&amp;"")</f>
        <v/>
      </c>
      <c r="H33" s="57" t="str">
        <f>IF($O33="","",INDEX(jr_carrier,$O33)&amp;"")</f>
        <v/>
      </c>
      <c r="I33" s="66" t="str">
        <f>IF(A33="","",COUNTIF(jr_num,A33))</f>
        <v/>
      </c>
      <c r="J33" s="66" t="str">
        <f>IF(A33="","",SUMIF(jr_num,A33,jr_colis))</f>
        <v/>
      </c>
      <c r="K33" s="63" t="str">
        <f>IF(A33="","",SUMIF(jr_num,A33,jr_kg))</f>
        <v/>
      </c>
      <c r="L33" s="64" t="str">
        <f>IF(A33="","",SUMIF(jr_num,A33,jr_val))</f>
        <v/>
      </c>
      <c r="M33" s="60" t="str">
        <f>IF(A33="","",IF(COUNTIFS(jr_num,A33,jr_check,"&lt;&gt;OK")&gt;0,"À vérifier",IF(LEFT(A33,2)="BL",IF(COUNTIFS(jr_num,A33,jr_rel,"&gt;0")&gt;0,"Reliquat en cours",IF(COUNTIFS(jr_num,A33,jr_gap,"&lt;0")&gt;0,"Reliquat livré","Complet")),IF(LEFT(A33,2)="BR",IF(COUNTIFS(jr_num,A33,jr_etat,"Refusé")&gt;0,"Refusé",IF(COUNTIFS(jr_num,A33,jr_etat,"Avec réserves")&gt;0,"Avec réserves",IF(COUNTIFS(jr_num,A33,jr_rel,"&gt;0")&gt;0,"Reliquat en cours",IF(COUNTIFS(jr_num,A33,jr_gap,"&lt;0")+COUNTIFS(jr_num,A33,jr_gap,"&gt;0")&gt;0,"Écart","Conforme")))),IF(COUNTIFS(jr_num,A33,jr_gap,"&lt;0")&gt;0,"Partiel","Sorti")))))</f>
        <v/>
      </c>
      <c r="O33" t="str">
        <f>IFERROR(MATCH(28,jr_grank,0),"")</f>
        <v/>
      </c>
      <c r="R33" s="67" t="str">
        <f>IFERROR(INDEX(jr_num,MATCH("BL28",jr_nkey,0))&amp;"","")</f>
        <v/>
      </c>
      <c r="S33" s="67" t="str">
        <f>IFERROR(INDEX(jr_num,MATCH("BR28",jr_nkey,0))&amp;"","")</f>
        <v/>
      </c>
      <c r="T33" s="67" t="str">
        <f>IFERROR(INDEX(jr_num,MATCH("BS28",jr_nkey,0))&amp;"","")</f>
        <v/>
      </c>
    </row>
    <row r="34">
      <c r="A34" s="60" t="str">
        <f>IF($O34="","",INDEX(jr_num,$O34)&amp;"")</f>
        <v/>
      </c>
      <c r="B34" s="60" t="str">
        <f>IF($O34="","",IF(INDEX(jr_type,$O34)="BL","Livraison",IF(INDEX(jr_type,$O34)="BR","Réception","Sortie")))</f>
        <v/>
      </c>
      <c r="C34" s="65" t="str">
        <f>IF($O34="","",INDEX(jr_date,$O34))</f>
        <v/>
      </c>
      <c r="D34" s="60" t="str">
        <f>IF($O34="","",INDEX(jr_tiers,$O34)&amp;"")</f>
        <v/>
      </c>
      <c r="E34" s="57" t="str">
        <f>IF($O34="","",INDEX(jr_name,$O34)&amp;"")</f>
        <v/>
      </c>
      <c r="F34" s="57" t="str">
        <f>IF($O34="","",INDEX(jr_order,$O34)&amp;"")</f>
        <v/>
      </c>
      <c r="G34" s="57" t="str">
        <f>IF($O34="","",INDEX(jr_ext,$O34)&amp;"")</f>
        <v/>
      </c>
      <c r="H34" s="57" t="str">
        <f>IF($O34="","",INDEX(jr_carrier,$O34)&amp;"")</f>
        <v/>
      </c>
      <c r="I34" s="66" t="str">
        <f>IF(A34="","",COUNTIF(jr_num,A34))</f>
        <v/>
      </c>
      <c r="J34" s="66" t="str">
        <f>IF(A34="","",SUMIF(jr_num,A34,jr_colis))</f>
        <v/>
      </c>
      <c r="K34" s="63" t="str">
        <f>IF(A34="","",SUMIF(jr_num,A34,jr_kg))</f>
        <v/>
      </c>
      <c r="L34" s="64" t="str">
        <f>IF(A34="","",SUMIF(jr_num,A34,jr_val))</f>
        <v/>
      </c>
      <c r="M34" s="60" t="str">
        <f>IF(A34="","",IF(COUNTIFS(jr_num,A34,jr_check,"&lt;&gt;OK")&gt;0,"À vérifier",IF(LEFT(A34,2)="BL",IF(COUNTIFS(jr_num,A34,jr_rel,"&gt;0")&gt;0,"Reliquat en cours",IF(COUNTIFS(jr_num,A34,jr_gap,"&lt;0")&gt;0,"Reliquat livré","Complet")),IF(LEFT(A34,2)="BR",IF(COUNTIFS(jr_num,A34,jr_etat,"Refusé")&gt;0,"Refusé",IF(COUNTIFS(jr_num,A34,jr_etat,"Avec réserves")&gt;0,"Avec réserves",IF(COUNTIFS(jr_num,A34,jr_rel,"&gt;0")&gt;0,"Reliquat en cours",IF(COUNTIFS(jr_num,A34,jr_gap,"&lt;0")+COUNTIFS(jr_num,A34,jr_gap,"&gt;0")&gt;0,"Écart","Conforme")))),IF(COUNTIFS(jr_num,A34,jr_gap,"&lt;0")&gt;0,"Partiel","Sorti")))))</f>
        <v/>
      </c>
      <c r="O34" t="str">
        <f>IFERROR(MATCH(29,jr_grank,0),"")</f>
        <v/>
      </c>
      <c r="R34" s="67" t="str">
        <f>IFERROR(INDEX(jr_num,MATCH("BL29",jr_nkey,0))&amp;"","")</f>
        <v/>
      </c>
      <c r="S34" s="67" t="str">
        <f>IFERROR(INDEX(jr_num,MATCH("BR29",jr_nkey,0))&amp;"","")</f>
        <v/>
      </c>
      <c r="T34" s="67" t="str">
        <f>IFERROR(INDEX(jr_num,MATCH("BS29",jr_nkey,0))&amp;"","")</f>
        <v/>
      </c>
    </row>
    <row r="35">
      <c r="A35" s="60" t="str">
        <f>IF($O35="","",INDEX(jr_num,$O35)&amp;"")</f>
        <v/>
      </c>
      <c r="B35" s="60" t="str">
        <f>IF($O35="","",IF(INDEX(jr_type,$O35)="BL","Livraison",IF(INDEX(jr_type,$O35)="BR","Réception","Sortie")))</f>
        <v/>
      </c>
      <c r="C35" s="65" t="str">
        <f>IF($O35="","",INDEX(jr_date,$O35))</f>
        <v/>
      </c>
      <c r="D35" s="60" t="str">
        <f>IF($O35="","",INDEX(jr_tiers,$O35)&amp;"")</f>
        <v/>
      </c>
      <c r="E35" s="57" t="str">
        <f>IF($O35="","",INDEX(jr_name,$O35)&amp;"")</f>
        <v/>
      </c>
      <c r="F35" s="57" t="str">
        <f>IF($O35="","",INDEX(jr_order,$O35)&amp;"")</f>
        <v/>
      </c>
      <c r="G35" s="57" t="str">
        <f>IF($O35="","",INDEX(jr_ext,$O35)&amp;"")</f>
        <v/>
      </c>
      <c r="H35" s="57" t="str">
        <f>IF($O35="","",INDEX(jr_carrier,$O35)&amp;"")</f>
        <v/>
      </c>
      <c r="I35" s="66" t="str">
        <f>IF(A35="","",COUNTIF(jr_num,A35))</f>
        <v/>
      </c>
      <c r="J35" s="66" t="str">
        <f>IF(A35="","",SUMIF(jr_num,A35,jr_colis))</f>
        <v/>
      </c>
      <c r="K35" s="63" t="str">
        <f>IF(A35="","",SUMIF(jr_num,A35,jr_kg))</f>
        <v/>
      </c>
      <c r="L35" s="64" t="str">
        <f>IF(A35="","",SUMIF(jr_num,A35,jr_val))</f>
        <v/>
      </c>
      <c r="M35" s="60" t="str">
        <f>IF(A35="","",IF(COUNTIFS(jr_num,A35,jr_check,"&lt;&gt;OK")&gt;0,"À vérifier",IF(LEFT(A35,2)="BL",IF(COUNTIFS(jr_num,A35,jr_rel,"&gt;0")&gt;0,"Reliquat en cours",IF(COUNTIFS(jr_num,A35,jr_gap,"&lt;0")&gt;0,"Reliquat livré","Complet")),IF(LEFT(A35,2)="BR",IF(COUNTIFS(jr_num,A35,jr_etat,"Refusé")&gt;0,"Refusé",IF(COUNTIFS(jr_num,A35,jr_etat,"Avec réserves")&gt;0,"Avec réserves",IF(COUNTIFS(jr_num,A35,jr_rel,"&gt;0")&gt;0,"Reliquat en cours",IF(COUNTIFS(jr_num,A35,jr_gap,"&lt;0")+COUNTIFS(jr_num,A35,jr_gap,"&gt;0")&gt;0,"Écart","Conforme")))),IF(COUNTIFS(jr_num,A35,jr_gap,"&lt;0")&gt;0,"Partiel","Sorti")))))</f>
        <v/>
      </c>
      <c r="O35" t="str">
        <f>IFERROR(MATCH(30,jr_grank,0),"")</f>
        <v/>
      </c>
      <c r="R35" s="67" t="str">
        <f>IFERROR(INDEX(jr_num,MATCH("BL30",jr_nkey,0))&amp;"","")</f>
        <v/>
      </c>
      <c r="S35" s="67" t="str">
        <f>IFERROR(INDEX(jr_num,MATCH("BR30",jr_nkey,0))&amp;"","")</f>
        <v/>
      </c>
      <c r="T35" s="67" t="str">
        <f>IFERROR(INDEX(jr_num,MATCH("BS30",jr_nkey,0))&amp;"","")</f>
        <v/>
      </c>
    </row>
    <row r="36">
      <c r="A36" s="60" t="str">
        <f>IF($O36="","",INDEX(jr_num,$O36)&amp;"")</f>
        <v/>
      </c>
      <c r="B36" s="60" t="str">
        <f>IF($O36="","",IF(INDEX(jr_type,$O36)="BL","Livraison",IF(INDEX(jr_type,$O36)="BR","Réception","Sortie")))</f>
        <v/>
      </c>
      <c r="C36" s="65" t="str">
        <f>IF($O36="","",INDEX(jr_date,$O36))</f>
        <v/>
      </c>
      <c r="D36" s="60" t="str">
        <f>IF($O36="","",INDEX(jr_tiers,$O36)&amp;"")</f>
        <v/>
      </c>
      <c r="E36" s="57" t="str">
        <f>IF($O36="","",INDEX(jr_name,$O36)&amp;"")</f>
        <v/>
      </c>
      <c r="F36" s="57" t="str">
        <f>IF($O36="","",INDEX(jr_order,$O36)&amp;"")</f>
        <v/>
      </c>
      <c r="G36" s="57" t="str">
        <f>IF($O36="","",INDEX(jr_ext,$O36)&amp;"")</f>
        <v/>
      </c>
      <c r="H36" s="57" t="str">
        <f>IF($O36="","",INDEX(jr_carrier,$O36)&amp;"")</f>
        <v/>
      </c>
      <c r="I36" s="66" t="str">
        <f>IF(A36="","",COUNTIF(jr_num,A36))</f>
        <v/>
      </c>
      <c r="J36" s="66" t="str">
        <f>IF(A36="","",SUMIF(jr_num,A36,jr_colis))</f>
        <v/>
      </c>
      <c r="K36" s="63" t="str">
        <f>IF(A36="","",SUMIF(jr_num,A36,jr_kg))</f>
        <v/>
      </c>
      <c r="L36" s="64" t="str">
        <f>IF(A36="","",SUMIF(jr_num,A36,jr_val))</f>
        <v/>
      </c>
      <c r="M36" s="60" t="str">
        <f>IF(A36="","",IF(COUNTIFS(jr_num,A36,jr_check,"&lt;&gt;OK")&gt;0,"À vérifier",IF(LEFT(A36,2)="BL",IF(COUNTIFS(jr_num,A36,jr_rel,"&gt;0")&gt;0,"Reliquat en cours",IF(COUNTIFS(jr_num,A36,jr_gap,"&lt;0")&gt;0,"Reliquat livré","Complet")),IF(LEFT(A36,2)="BR",IF(COUNTIFS(jr_num,A36,jr_etat,"Refusé")&gt;0,"Refusé",IF(COUNTIFS(jr_num,A36,jr_etat,"Avec réserves")&gt;0,"Avec réserves",IF(COUNTIFS(jr_num,A36,jr_rel,"&gt;0")&gt;0,"Reliquat en cours",IF(COUNTIFS(jr_num,A36,jr_gap,"&lt;0")+COUNTIFS(jr_num,A36,jr_gap,"&gt;0")&gt;0,"Écart","Conforme")))),IF(COUNTIFS(jr_num,A36,jr_gap,"&lt;0")&gt;0,"Partiel","Sorti")))))</f>
        <v/>
      </c>
      <c r="O36" t="str">
        <f>IFERROR(MATCH(31,jr_grank,0),"")</f>
        <v/>
      </c>
      <c r="R36" s="67" t="str">
        <f>IFERROR(INDEX(jr_num,MATCH("BL31",jr_nkey,0))&amp;"","")</f>
        <v/>
      </c>
      <c r="S36" s="67" t="str">
        <f>IFERROR(INDEX(jr_num,MATCH("BR31",jr_nkey,0))&amp;"","")</f>
        <v/>
      </c>
      <c r="T36" s="67" t="str">
        <f>IFERROR(INDEX(jr_num,MATCH("BS31",jr_nkey,0))&amp;"","")</f>
        <v/>
      </c>
    </row>
    <row r="37">
      <c r="A37" s="60" t="str">
        <f>IF($O37="","",INDEX(jr_num,$O37)&amp;"")</f>
        <v/>
      </c>
      <c r="B37" s="60" t="str">
        <f>IF($O37="","",IF(INDEX(jr_type,$O37)="BL","Livraison",IF(INDEX(jr_type,$O37)="BR","Réception","Sortie")))</f>
        <v/>
      </c>
      <c r="C37" s="65" t="str">
        <f>IF($O37="","",INDEX(jr_date,$O37))</f>
        <v/>
      </c>
      <c r="D37" s="60" t="str">
        <f>IF($O37="","",INDEX(jr_tiers,$O37)&amp;"")</f>
        <v/>
      </c>
      <c r="E37" s="57" t="str">
        <f>IF($O37="","",INDEX(jr_name,$O37)&amp;"")</f>
        <v/>
      </c>
      <c r="F37" s="57" t="str">
        <f>IF($O37="","",INDEX(jr_order,$O37)&amp;"")</f>
        <v/>
      </c>
      <c r="G37" s="57" t="str">
        <f>IF($O37="","",INDEX(jr_ext,$O37)&amp;"")</f>
        <v/>
      </c>
      <c r="H37" s="57" t="str">
        <f>IF($O37="","",INDEX(jr_carrier,$O37)&amp;"")</f>
        <v/>
      </c>
      <c r="I37" s="66" t="str">
        <f>IF(A37="","",COUNTIF(jr_num,A37))</f>
        <v/>
      </c>
      <c r="J37" s="66" t="str">
        <f>IF(A37="","",SUMIF(jr_num,A37,jr_colis))</f>
        <v/>
      </c>
      <c r="K37" s="63" t="str">
        <f>IF(A37="","",SUMIF(jr_num,A37,jr_kg))</f>
        <v/>
      </c>
      <c r="L37" s="64" t="str">
        <f>IF(A37="","",SUMIF(jr_num,A37,jr_val))</f>
        <v/>
      </c>
      <c r="M37" s="60" t="str">
        <f>IF(A37="","",IF(COUNTIFS(jr_num,A37,jr_check,"&lt;&gt;OK")&gt;0,"À vérifier",IF(LEFT(A37,2)="BL",IF(COUNTIFS(jr_num,A37,jr_rel,"&gt;0")&gt;0,"Reliquat en cours",IF(COUNTIFS(jr_num,A37,jr_gap,"&lt;0")&gt;0,"Reliquat livré","Complet")),IF(LEFT(A37,2)="BR",IF(COUNTIFS(jr_num,A37,jr_etat,"Refusé")&gt;0,"Refusé",IF(COUNTIFS(jr_num,A37,jr_etat,"Avec réserves")&gt;0,"Avec réserves",IF(COUNTIFS(jr_num,A37,jr_rel,"&gt;0")&gt;0,"Reliquat en cours",IF(COUNTIFS(jr_num,A37,jr_gap,"&lt;0")+COUNTIFS(jr_num,A37,jr_gap,"&gt;0")&gt;0,"Écart","Conforme")))),IF(COUNTIFS(jr_num,A37,jr_gap,"&lt;0")&gt;0,"Partiel","Sorti")))))</f>
        <v/>
      </c>
      <c r="O37" t="str">
        <f>IFERROR(MATCH(32,jr_grank,0),"")</f>
        <v/>
      </c>
      <c r="R37" s="67" t="str">
        <f>IFERROR(INDEX(jr_num,MATCH("BL32",jr_nkey,0))&amp;"","")</f>
        <v/>
      </c>
      <c r="S37" s="67" t="str">
        <f>IFERROR(INDEX(jr_num,MATCH("BR32",jr_nkey,0))&amp;"","")</f>
        <v/>
      </c>
      <c r="T37" s="67" t="str">
        <f>IFERROR(INDEX(jr_num,MATCH("BS32",jr_nkey,0))&amp;"","")</f>
        <v/>
      </c>
    </row>
    <row r="38">
      <c r="A38" s="60" t="str">
        <f>IF($O38="","",INDEX(jr_num,$O38)&amp;"")</f>
        <v/>
      </c>
      <c r="B38" s="60" t="str">
        <f>IF($O38="","",IF(INDEX(jr_type,$O38)="BL","Livraison",IF(INDEX(jr_type,$O38)="BR","Réception","Sortie")))</f>
        <v/>
      </c>
      <c r="C38" s="65" t="str">
        <f>IF($O38="","",INDEX(jr_date,$O38))</f>
        <v/>
      </c>
      <c r="D38" s="60" t="str">
        <f>IF($O38="","",INDEX(jr_tiers,$O38)&amp;"")</f>
        <v/>
      </c>
      <c r="E38" s="57" t="str">
        <f>IF($O38="","",INDEX(jr_name,$O38)&amp;"")</f>
        <v/>
      </c>
      <c r="F38" s="57" t="str">
        <f>IF($O38="","",INDEX(jr_order,$O38)&amp;"")</f>
        <v/>
      </c>
      <c r="G38" s="57" t="str">
        <f>IF($O38="","",INDEX(jr_ext,$O38)&amp;"")</f>
        <v/>
      </c>
      <c r="H38" s="57" t="str">
        <f>IF($O38="","",INDEX(jr_carrier,$O38)&amp;"")</f>
        <v/>
      </c>
      <c r="I38" s="66" t="str">
        <f>IF(A38="","",COUNTIF(jr_num,A38))</f>
        <v/>
      </c>
      <c r="J38" s="66" t="str">
        <f>IF(A38="","",SUMIF(jr_num,A38,jr_colis))</f>
        <v/>
      </c>
      <c r="K38" s="63" t="str">
        <f>IF(A38="","",SUMIF(jr_num,A38,jr_kg))</f>
        <v/>
      </c>
      <c r="L38" s="64" t="str">
        <f>IF(A38="","",SUMIF(jr_num,A38,jr_val))</f>
        <v/>
      </c>
      <c r="M38" s="60" t="str">
        <f>IF(A38="","",IF(COUNTIFS(jr_num,A38,jr_check,"&lt;&gt;OK")&gt;0,"À vérifier",IF(LEFT(A38,2)="BL",IF(COUNTIFS(jr_num,A38,jr_rel,"&gt;0")&gt;0,"Reliquat en cours",IF(COUNTIFS(jr_num,A38,jr_gap,"&lt;0")&gt;0,"Reliquat livré","Complet")),IF(LEFT(A38,2)="BR",IF(COUNTIFS(jr_num,A38,jr_etat,"Refusé")&gt;0,"Refusé",IF(COUNTIFS(jr_num,A38,jr_etat,"Avec réserves")&gt;0,"Avec réserves",IF(COUNTIFS(jr_num,A38,jr_rel,"&gt;0")&gt;0,"Reliquat en cours",IF(COUNTIFS(jr_num,A38,jr_gap,"&lt;0")+COUNTIFS(jr_num,A38,jr_gap,"&gt;0")&gt;0,"Écart","Conforme")))),IF(COUNTIFS(jr_num,A38,jr_gap,"&lt;0")&gt;0,"Partiel","Sorti")))))</f>
        <v/>
      </c>
      <c r="O38" t="str">
        <f>IFERROR(MATCH(33,jr_grank,0),"")</f>
        <v/>
      </c>
      <c r="R38" s="67" t="str">
        <f>IFERROR(INDEX(jr_num,MATCH("BL33",jr_nkey,0))&amp;"","")</f>
        <v/>
      </c>
      <c r="S38" s="67" t="str">
        <f>IFERROR(INDEX(jr_num,MATCH("BR33",jr_nkey,0))&amp;"","")</f>
        <v/>
      </c>
      <c r="T38" s="67" t="str">
        <f>IFERROR(INDEX(jr_num,MATCH("BS33",jr_nkey,0))&amp;"","")</f>
        <v/>
      </c>
    </row>
    <row r="39">
      <c r="A39" s="60" t="str">
        <f>IF($O39="","",INDEX(jr_num,$O39)&amp;"")</f>
        <v/>
      </c>
      <c r="B39" s="60" t="str">
        <f>IF($O39="","",IF(INDEX(jr_type,$O39)="BL","Livraison",IF(INDEX(jr_type,$O39)="BR","Réception","Sortie")))</f>
        <v/>
      </c>
      <c r="C39" s="65" t="str">
        <f>IF($O39="","",INDEX(jr_date,$O39))</f>
        <v/>
      </c>
      <c r="D39" s="60" t="str">
        <f>IF($O39="","",INDEX(jr_tiers,$O39)&amp;"")</f>
        <v/>
      </c>
      <c r="E39" s="57" t="str">
        <f>IF($O39="","",INDEX(jr_name,$O39)&amp;"")</f>
        <v/>
      </c>
      <c r="F39" s="57" t="str">
        <f>IF($O39="","",INDEX(jr_order,$O39)&amp;"")</f>
        <v/>
      </c>
      <c r="G39" s="57" t="str">
        <f>IF($O39="","",INDEX(jr_ext,$O39)&amp;"")</f>
        <v/>
      </c>
      <c r="H39" s="57" t="str">
        <f>IF($O39="","",INDEX(jr_carrier,$O39)&amp;"")</f>
        <v/>
      </c>
      <c r="I39" s="66" t="str">
        <f>IF(A39="","",COUNTIF(jr_num,A39))</f>
        <v/>
      </c>
      <c r="J39" s="66" t="str">
        <f>IF(A39="","",SUMIF(jr_num,A39,jr_colis))</f>
        <v/>
      </c>
      <c r="K39" s="63" t="str">
        <f>IF(A39="","",SUMIF(jr_num,A39,jr_kg))</f>
        <v/>
      </c>
      <c r="L39" s="64" t="str">
        <f>IF(A39="","",SUMIF(jr_num,A39,jr_val))</f>
        <v/>
      </c>
      <c r="M39" s="60" t="str">
        <f>IF(A39="","",IF(COUNTIFS(jr_num,A39,jr_check,"&lt;&gt;OK")&gt;0,"À vérifier",IF(LEFT(A39,2)="BL",IF(COUNTIFS(jr_num,A39,jr_rel,"&gt;0")&gt;0,"Reliquat en cours",IF(COUNTIFS(jr_num,A39,jr_gap,"&lt;0")&gt;0,"Reliquat livré","Complet")),IF(LEFT(A39,2)="BR",IF(COUNTIFS(jr_num,A39,jr_etat,"Refusé")&gt;0,"Refusé",IF(COUNTIFS(jr_num,A39,jr_etat,"Avec réserves")&gt;0,"Avec réserves",IF(COUNTIFS(jr_num,A39,jr_rel,"&gt;0")&gt;0,"Reliquat en cours",IF(COUNTIFS(jr_num,A39,jr_gap,"&lt;0")+COUNTIFS(jr_num,A39,jr_gap,"&gt;0")&gt;0,"Écart","Conforme")))),IF(COUNTIFS(jr_num,A39,jr_gap,"&lt;0")&gt;0,"Partiel","Sorti")))))</f>
        <v/>
      </c>
      <c r="O39" t="str">
        <f>IFERROR(MATCH(34,jr_grank,0),"")</f>
        <v/>
      </c>
      <c r="R39" s="67" t="str">
        <f>IFERROR(INDEX(jr_num,MATCH("BL34",jr_nkey,0))&amp;"","")</f>
        <v/>
      </c>
      <c r="S39" s="67" t="str">
        <f>IFERROR(INDEX(jr_num,MATCH("BR34",jr_nkey,0))&amp;"","")</f>
        <v/>
      </c>
      <c r="T39" s="67" t="str">
        <f>IFERROR(INDEX(jr_num,MATCH("BS34",jr_nkey,0))&amp;"","")</f>
        <v/>
      </c>
    </row>
    <row r="40">
      <c r="A40" s="60" t="str">
        <f>IF($O40="","",INDEX(jr_num,$O40)&amp;"")</f>
        <v/>
      </c>
      <c r="B40" s="60" t="str">
        <f>IF($O40="","",IF(INDEX(jr_type,$O40)="BL","Livraison",IF(INDEX(jr_type,$O40)="BR","Réception","Sortie")))</f>
        <v/>
      </c>
      <c r="C40" s="65" t="str">
        <f>IF($O40="","",INDEX(jr_date,$O40))</f>
        <v/>
      </c>
      <c r="D40" s="60" t="str">
        <f>IF($O40="","",INDEX(jr_tiers,$O40)&amp;"")</f>
        <v/>
      </c>
      <c r="E40" s="57" t="str">
        <f>IF($O40="","",INDEX(jr_name,$O40)&amp;"")</f>
        <v/>
      </c>
      <c r="F40" s="57" t="str">
        <f>IF($O40="","",INDEX(jr_order,$O40)&amp;"")</f>
        <v/>
      </c>
      <c r="G40" s="57" t="str">
        <f>IF($O40="","",INDEX(jr_ext,$O40)&amp;"")</f>
        <v/>
      </c>
      <c r="H40" s="57" t="str">
        <f>IF($O40="","",INDEX(jr_carrier,$O40)&amp;"")</f>
        <v/>
      </c>
      <c r="I40" s="66" t="str">
        <f>IF(A40="","",COUNTIF(jr_num,A40))</f>
        <v/>
      </c>
      <c r="J40" s="66" t="str">
        <f>IF(A40="","",SUMIF(jr_num,A40,jr_colis))</f>
        <v/>
      </c>
      <c r="K40" s="63" t="str">
        <f>IF(A40="","",SUMIF(jr_num,A40,jr_kg))</f>
        <v/>
      </c>
      <c r="L40" s="64" t="str">
        <f>IF(A40="","",SUMIF(jr_num,A40,jr_val))</f>
        <v/>
      </c>
      <c r="M40" s="60" t="str">
        <f>IF(A40="","",IF(COUNTIFS(jr_num,A40,jr_check,"&lt;&gt;OK")&gt;0,"À vérifier",IF(LEFT(A40,2)="BL",IF(COUNTIFS(jr_num,A40,jr_rel,"&gt;0")&gt;0,"Reliquat en cours",IF(COUNTIFS(jr_num,A40,jr_gap,"&lt;0")&gt;0,"Reliquat livré","Complet")),IF(LEFT(A40,2)="BR",IF(COUNTIFS(jr_num,A40,jr_etat,"Refusé")&gt;0,"Refusé",IF(COUNTIFS(jr_num,A40,jr_etat,"Avec réserves")&gt;0,"Avec réserves",IF(COUNTIFS(jr_num,A40,jr_rel,"&gt;0")&gt;0,"Reliquat en cours",IF(COUNTIFS(jr_num,A40,jr_gap,"&lt;0")+COUNTIFS(jr_num,A40,jr_gap,"&gt;0")&gt;0,"Écart","Conforme")))),IF(COUNTIFS(jr_num,A40,jr_gap,"&lt;0")&gt;0,"Partiel","Sorti")))))</f>
        <v/>
      </c>
      <c r="O40" t="str">
        <f>IFERROR(MATCH(35,jr_grank,0),"")</f>
        <v/>
      </c>
      <c r="R40" s="67" t="str">
        <f>IFERROR(INDEX(jr_num,MATCH("BL35",jr_nkey,0))&amp;"","")</f>
        <v/>
      </c>
      <c r="S40" s="67" t="str">
        <f>IFERROR(INDEX(jr_num,MATCH("BR35",jr_nkey,0))&amp;"","")</f>
        <v/>
      </c>
      <c r="T40" s="67" t="str">
        <f>IFERROR(INDEX(jr_num,MATCH("BS35",jr_nkey,0))&amp;"","")</f>
        <v/>
      </c>
    </row>
    <row r="41">
      <c r="A41" s="60" t="str">
        <f>IF($O41="","",INDEX(jr_num,$O41)&amp;"")</f>
        <v/>
      </c>
      <c r="B41" s="60" t="str">
        <f>IF($O41="","",IF(INDEX(jr_type,$O41)="BL","Livraison",IF(INDEX(jr_type,$O41)="BR","Réception","Sortie")))</f>
        <v/>
      </c>
      <c r="C41" s="65" t="str">
        <f>IF($O41="","",INDEX(jr_date,$O41))</f>
        <v/>
      </c>
      <c r="D41" s="60" t="str">
        <f>IF($O41="","",INDEX(jr_tiers,$O41)&amp;"")</f>
        <v/>
      </c>
      <c r="E41" s="57" t="str">
        <f>IF($O41="","",INDEX(jr_name,$O41)&amp;"")</f>
        <v/>
      </c>
      <c r="F41" s="57" t="str">
        <f>IF($O41="","",INDEX(jr_order,$O41)&amp;"")</f>
        <v/>
      </c>
      <c r="G41" s="57" t="str">
        <f>IF($O41="","",INDEX(jr_ext,$O41)&amp;"")</f>
        <v/>
      </c>
      <c r="H41" s="57" t="str">
        <f>IF($O41="","",INDEX(jr_carrier,$O41)&amp;"")</f>
        <v/>
      </c>
      <c r="I41" s="66" t="str">
        <f>IF(A41="","",COUNTIF(jr_num,A41))</f>
        <v/>
      </c>
      <c r="J41" s="66" t="str">
        <f>IF(A41="","",SUMIF(jr_num,A41,jr_colis))</f>
        <v/>
      </c>
      <c r="K41" s="63" t="str">
        <f>IF(A41="","",SUMIF(jr_num,A41,jr_kg))</f>
        <v/>
      </c>
      <c r="L41" s="64" t="str">
        <f>IF(A41="","",SUMIF(jr_num,A41,jr_val))</f>
        <v/>
      </c>
      <c r="M41" s="60" t="str">
        <f>IF(A41="","",IF(COUNTIFS(jr_num,A41,jr_check,"&lt;&gt;OK")&gt;0,"À vérifier",IF(LEFT(A41,2)="BL",IF(COUNTIFS(jr_num,A41,jr_rel,"&gt;0")&gt;0,"Reliquat en cours",IF(COUNTIFS(jr_num,A41,jr_gap,"&lt;0")&gt;0,"Reliquat livré","Complet")),IF(LEFT(A41,2)="BR",IF(COUNTIFS(jr_num,A41,jr_etat,"Refusé")&gt;0,"Refusé",IF(COUNTIFS(jr_num,A41,jr_etat,"Avec réserves")&gt;0,"Avec réserves",IF(COUNTIFS(jr_num,A41,jr_rel,"&gt;0")&gt;0,"Reliquat en cours",IF(COUNTIFS(jr_num,A41,jr_gap,"&lt;0")+COUNTIFS(jr_num,A41,jr_gap,"&gt;0")&gt;0,"Écart","Conforme")))),IF(COUNTIFS(jr_num,A41,jr_gap,"&lt;0")&gt;0,"Partiel","Sorti")))))</f>
        <v/>
      </c>
      <c r="O41" t="str">
        <f>IFERROR(MATCH(36,jr_grank,0),"")</f>
        <v/>
      </c>
      <c r="R41" s="67" t="str">
        <f>IFERROR(INDEX(jr_num,MATCH("BL36",jr_nkey,0))&amp;"","")</f>
        <v/>
      </c>
      <c r="S41" s="67" t="str">
        <f>IFERROR(INDEX(jr_num,MATCH("BR36",jr_nkey,0))&amp;"","")</f>
        <v/>
      </c>
      <c r="T41" s="67" t="str">
        <f>IFERROR(INDEX(jr_num,MATCH("BS36",jr_nkey,0))&amp;"","")</f>
        <v/>
      </c>
    </row>
    <row r="42">
      <c r="A42" s="60" t="str">
        <f>IF($O42="","",INDEX(jr_num,$O42)&amp;"")</f>
        <v/>
      </c>
      <c r="B42" s="60" t="str">
        <f>IF($O42="","",IF(INDEX(jr_type,$O42)="BL","Livraison",IF(INDEX(jr_type,$O42)="BR","Réception","Sortie")))</f>
        <v/>
      </c>
      <c r="C42" s="65" t="str">
        <f>IF($O42="","",INDEX(jr_date,$O42))</f>
        <v/>
      </c>
      <c r="D42" s="60" t="str">
        <f>IF($O42="","",INDEX(jr_tiers,$O42)&amp;"")</f>
        <v/>
      </c>
      <c r="E42" s="57" t="str">
        <f>IF($O42="","",INDEX(jr_name,$O42)&amp;"")</f>
        <v/>
      </c>
      <c r="F42" s="57" t="str">
        <f>IF($O42="","",INDEX(jr_order,$O42)&amp;"")</f>
        <v/>
      </c>
      <c r="G42" s="57" t="str">
        <f>IF($O42="","",INDEX(jr_ext,$O42)&amp;"")</f>
        <v/>
      </c>
      <c r="H42" s="57" t="str">
        <f>IF($O42="","",INDEX(jr_carrier,$O42)&amp;"")</f>
        <v/>
      </c>
      <c r="I42" s="66" t="str">
        <f>IF(A42="","",COUNTIF(jr_num,A42))</f>
        <v/>
      </c>
      <c r="J42" s="66" t="str">
        <f>IF(A42="","",SUMIF(jr_num,A42,jr_colis))</f>
        <v/>
      </c>
      <c r="K42" s="63" t="str">
        <f>IF(A42="","",SUMIF(jr_num,A42,jr_kg))</f>
        <v/>
      </c>
      <c r="L42" s="64" t="str">
        <f>IF(A42="","",SUMIF(jr_num,A42,jr_val))</f>
        <v/>
      </c>
      <c r="M42" s="60" t="str">
        <f>IF(A42="","",IF(COUNTIFS(jr_num,A42,jr_check,"&lt;&gt;OK")&gt;0,"À vérifier",IF(LEFT(A42,2)="BL",IF(COUNTIFS(jr_num,A42,jr_rel,"&gt;0")&gt;0,"Reliquat en cours",IF(COUNTIFS(jr_num,A42,jr_gap,"&lt;0")&gt;0,"Reliquat livré","Complet")),IF(LEFT(A42,2)="BR",IF(COUNTIFS(jr_num,A42,jr_etat,"Refusé")&gt;0,"Refusé",IF(COUNTIFS(jr_num,A42,jr_etat,"Avec réserves")&gt;0,"Avec réserves",IF(COUNTIFS(jr_num,A42,jr_rel,"&gt;0")&gt;0,"Reliquat en cours",IF(COUNTIFS(jr_num,A42,jr_gap,"&lt;0")+COUNTIFS(jr_num,A42,jr_gap,"&gt;0")&gt;0,"Écart","Conforme")))),IF(COUNTIFS(jr_num,A42,jr_gap,"&lt;0")&gt;0,"Partiel","Sorti")))))</f>
        <v/>
      </c>
      <c r="O42" t="str">
        <f>IFERROR(MATCH(37,jr_grank,0),"")</f>
        <v/>
      </c>
      <c r="R42" s="67" t="str">
        <f>IFERROR(INDEX(jr_num,MATCH("BL37",jr_nkey,0))&amp;"","")</f>
        <v/>
      </c>
      <c r="S42" s="67" t="str">
        <f>IFERROR(INDEX(jr_num,MATCH("BR37",jr_nkey,0))&amp;"","")</f>
        <v/>
      </c>
      <c r="T42" s="67" t="str">
        <f>IFERROR(INDEX(jr_num,MATCH("BS37",jr_nkey,0))&amp;"","")</f>
        <v/>
      </c>
    </row>
    <row r="43">
      <c r="A43" s="60" t="str">
        <f>IF($O43="","",INDEX(jr_num,$O43)&amp;"")</f>
        <v/>
      </c>
      <c r="B43" s="60" t="str">
        <f>IF($O43="","",IF(INDEX(jr_type,$O43)="BL","Livraison",IF(INDEX(jr_type,$O43)="BR","Réception","Sortie")))</f>
        <v/>
      </c>
      <c r="C43" s="65" t="str">
        <f>IF($O43="","",INDEX(jr_date,$O43))</f>
        <v/>
      </c>
      <c r="D43" s="60" t="str">
        <f>IF($O43="","",INDEX(jr_tiers,$O43)&amp;"")</f>
        <v/>
      </c>
      <c r="E43" s="57" t="str">
        <f>IF($O43="","",INDEX(jr_name,$O43)&amp;"")</f>
        <v/>
      </c>
      <c r="F43" s="57" t="str">
        <f>IF($O43="","",INDEX(jr_order,$O43)&amp;"")</f>
        <v/>
      </c>
      <c r="G43" s="57" t="str">
        <f>IF($O43="","",INDEX(jr_ext,$O43)&amp;"")</f>
        <v/>
      </c>
      <c r="H43" s="57" t="str">
        <f>IF($O43="","",INDEX(jr_carrier,$O43)&amp;"")</f>
        <v/>
      </c>
      <c r="I43" s="66" t="str">
        <f>IF(A43="","",COUNTIF(jr_num,A43))</f>
        <v/>
      </c>
      <c r="J43" s="66" t="str">
        <f>IF(A43="","",SUMIF(jr_num,A43,jr_colis))</f>
        <v/>
      </c>
      <c r="K43" s="63" t="str">
        <f>IF(A43="","",SUMIF(jr_num,A43,jr_kg))</f>
        <v/>
      </c>
      <c r="L43" s="64" t="str">
        <f>IF(A43="","",SUMIF(jr_num,A43,jr_val))</f>
        <v/>
      </c>
      <c r="M43" s="60" t="str">
        <f>IF(A43="","",IF(COUNTIFS(jr_num,A43,jr_check,"&lt;&gt;OK")&gt;0,"À vérifier",IF(LEFT(A43,2)="BL",IF(COUNTIFS(jr_num,A43,jr_rel,"&gt;0")&gt;0,"Reliquat en cours",IF(COUNTIFS(jr_num,A43,jr_gap,"&lt;0")&gt;0,"Reliquat livré","Complet")),IF(LEFT(A43,2)="BR",IF(COUNTIFS(jr_num,A43,jr_etat,"Refusé")&gt;0,"Refusé",IF(COUNTIFS(jr_num,A43,jr_etat,"Avec réserves")&gt;0,"Avec réserves",IF(COUNTIFS(jr_num,A43,jr_rel,"&gt;0")&gt;0,"Reliquat en cours",IF(COUNTIFS(jr_num,A43,jr_gap,"&lt;0")+COUNTIFS(jr_num,A43,jr_gap,"&gt;0")&gt;0,"Écart","Conforme")))),IF(COUNTIFS(jr_num,A43,jr_gap,"&lt;0")&gt;0,"Partiel","Sorti")))))</f>
        <v/>
      </c>
      <c r="O43" t="str">
        <f>IFERROR(MATCH(38,jr_grank,0),"")</f>
        <v/>
      </c>
      <c r="R43" s="67" t="str">
        <f>IFERROR(INDEX(jr_num,MATCH("BL38",jr_nkey,0))&amp;"","")</f>
        <v/>
      </c>
      <c r="S43" s="67" t="str">
        <f>IFERROR(INDEX(jr_num,MATCH("BR38",jr_nkey,0))&amp;"","")</f>
        <v/>
      </c>
      <c r="T43" s="67" t="str">
        <f>IFERROR(INDEX(jr_num,MATCH("BS38",jr_nkey,0))&amp;"","")</f>
        <v/>
      </c>
    </row>
    <row r="44">
      <c r="A44" s="60" t="str">
        <f>IF($O44="","",INDEX(jr_num,$O44)&amp;"")</f>
        <v/>
      </c>
      <c r="B44" s="60" t="str">
        <f>IF($O44="","",IF(INDEX(jr_type,$O44)="BL","Livraison",IF(INDEX(jr_type,$O44)="BR","Réception","Sortie")))</f>
        <v/>
      </c>
      <c r="C44" s="65" t="str">
        <f>IF($O44="","",INDEX(jr_date,$O44))</f>
        <v/>
      </c>
      <c r="D44" s="60" t="str">
        <f>IF($O44="","",INDEX(jr_tiers,$O44)&amp;"")</f>
        <v/>
      </c>
      <c r="E44" s="57" t="str">
        <f>IF($O44="","",INDEX(jr_name,$O44)&amp;"")</f>
        <v/>
      </c>
      <c r="F44" s="57" t="str">
        <f>IF($O44="","",INDEX(jr_order,$O44)&amp;"")</f>
        <v/>
      </c>
      <c r="G44" s="57" t="str">
        <f>IF($O44="","",INDEX(jr_ext,$O44)&amp;"")</f>
        <v/>
      </c>
      <c r="H44" s="57" t="str">
        <f>IF($O44="","",INDEX(jr_carrier,$O44)&amp;"")</f>
        <v/>
      </c>
      <c r="I44" s="66" t="str">
        <f>IF(A44="","",COUNTIF(jr_num,A44))</f>
        <v/>
      </c>
      <c r="J44" s="66" t="str">
        <f>IF(A44="","",SUMIF(jr_num,A44,jr_colis))</f>
        <v/>
      </c>
      <c r="K44" s="63" t="str">
        <f>IF(A44="","",SUMIF(jr_num,A44,jr_kg))</f>
        <v/>
      </c>
      <c r="L44" s="64" t="str">
        <f>IF(A44="","",SUMIF(jr_num,A44,jr_val))</f>
        <v/>
      </c>
      <c r="M44" s="60" t="str">
        <f>IF(A44="","",IF(COUNTIFS(jr_num,A44,jr_check,"&lt;&gt;OK")&gt;0,"À vérifier",IF(LEFT(A44,2)="BL",IF(COUNTIFS(jr_num,A44,jr_rel,"&gt;0")&gt;0,"Reliquat en cours",IF(COUNTIFS(jr_num,A44,jr_gap,"&lt;0")&gt;0,"Reliquat livré","Complet")),IF(LEFT(A44,2)="BR",IF(COUNTIFS(jr_num,A44,jr_etat,"Refusé")&gt;0,"Refusé",IF(COUNTIFS(jr_num,A44,jr_etat,"Avec réserves")&gt;0,"Avec réserves",IF(COUNTIFS(jr_num,A44,jr_rel,"&gt;0")&gt;0,"Reliquat en cours",IF(COUNTIFS(jr_num,A44,jr_gap,"&lt;0")+COUNTIFS(jr_num,A44,jr_gap,"&gt;0")&gt;0,"Écart","Conforme")))),IF(COUNTIFS(jr_num,A44,jr_gap,"&lt;0")&gt;0,"Partiel","Sorti")))))</f>
        <v/>
      </c>
      <c r="O44" t="str">
        <f>IFERROR(MATCH(39,jr_grank,0),"")</f>
        <v/>
      </c>
      <c r="R44" s="67" t="str">
        <f>IFERROR(INDEX(jr_num,MATCH("BL39",jr_nkey,0))&amp;"","")</f>
        <v/>
      </c>
      <c r="S44" s="67" t="str">
        <f>IFERROR(INDEX(jr_num,MATCH("BR39",jr_nkey,0))&amp;"","")</f>
        <v/>
      </c>
      <c r="T44" s="67" t="str">
        <f>IFERROR(INDEX(jr_num,MATCH("BS39",jr_nkey,0))&amp;"","")</f>
        <v/>
      </c>
    </row>
    <row r="45">
      <c r="A45" s="60" t="str">
        <f>IF($O45="","",INDEX(jr_num,$O45)&amp;"")</f>
        <v/>
      </c>
      <c r="B45" s="60" t="str">
        <f>IF($O45="","",IF(INDEX(jr_type,$O45)="BL","Livraison",IF(INDEX(jr_type,$O45)="BR","Réception","Sortie")))</f>
        <v/>
      </c>
      <c r="C45" s="65" t="str">
        <f>IF($O45="","",INDEX(jr_date,$O45))</f>
        <v/>
      </c>
      <c r="D45" s="60" t="str">
        <f>IF($O45="","",INDEX(jr_tiers,$O45)&amp;"")</f>
        <v/>
      </c>
      <c r="E45" s="57" t="str">
        <f>IF($O45="","",INDEX(jr_name,$O45)&amp;"")</f>
        <v/>
      </c>
      <c r="F45" s="57" t="str">
        <f>IF($O45="","",INDEX(jr_order,$O45)&amp;"")</f>
        <v/>
      </c>
      <c r="G45" s="57" t="str">
        <f>IF($O45="","",INDEX(jr_ext,$O45)&amp;"")</f>
        <v/>
      </c>
      <c r="H45" s="57" t="str">
        <f>IF($O45="","",INDEX(jr_carrier,$O45)&amp;"")</f>
        <v/>
      </c>
      <c r="I45" s="66" t="str">
        <f>IF(A45="","",COUNTIF(jr_num,A45))</f>
        <v/>
      </c>
      <c r="J45" s="66" t="str">
        <f>IF(A45="","",SUMIF(jr_num,A45,jr_colis))</f>
        <v/>
      </c>
      <c r="K45" s="63" t="str">
        <f>IF(A45="","",SUMIF(jr_num,A45,jr_kg))</f>
        <v/>
      </c>
      <c r="L45" s="64" t="str">
        <f>IF(A45="","",SUMIF(jr_num,A45,jr_val))</f>
        <v/>
      </c>
      <c r="M45" s="60" t="str">
        <f>IF(A45="","",IF(COUNTIFS(jr_num,A45,jr_check,"&lt;&gt;OK")&gt;0,"À vérifier",IF(LEFT(A45,2)="BL",IF(COUNTIFS(jr_num,A45,jr_rel,"&gt;0")&gt;0,"Reliquat en cours",IF(COUNTIFS(jr_num,A45,jr_gap,"&lt;0")&gt;0,"Reliquat livré","Complet")),IF(LEFT(A45,2)="BR",IF(COUNTIFS(jr_num,A45,jr_etat,"Refusé")&gt;0,"Refusé",IF(COUNTIFS(jr_num,A45,jr_etat,"Avec réserves")&gt;0,"Avec réserves",IF(COUNTIFS(jr_num,A45,jr_rel,"&gt;0")&gt;0,"Reliquat en cours",IF(COUNTIFS(jr_num,A45,jr_gap,"&lt;0")+COUNTIFS(jr_num,A45,jr_gap,"&gt;0")&gt;0,"Écart","Conforme")))),IF(COUNTIFS(jr_num,A45,jr_gap,"&lt;0")&gt;0,"Partiel","Sorti")))))</f>
        <v/>
      </c>
      <c r="O45" t="str">
        <f>IFERROR(MATCH(40,jr_grank,0),"")</f>
        <v/>
      </c>
      <c r="R45" s="67" t="str">
        <f>IFERROR(INDEX(jr_num,MATCH("BL40",jr_nkey,0))&amp;"","")</f>
        <v/>
      </c>
      <c r="S45" s="67" t="str">
        <f>IFERROR(INDEX(jr_num,MATCH("BR40",jr_nkey,0))&amp;"","")</f>
        <v/>
      </c>
      <c r="T45" s="67" t="str">
        <f>IFERROR(INDEX(jr_num,MATCH("BS40",jr_nkey,0))&amp;"","")</f>
        <v/>
      </c>
    </row>
    <row r="46">
      <c r="A46" s="60" t="str">
        <f>IF($O46="","",INDEX(jr_num,$O46)&amp;"")</f>
        <v/>
      </c>
      <c r="B46" s="60" t="str">
        <f>IF($O46="","",IF(INDEX(jr_type,$O46)="BL","Livraison",IF(INDEX(jr_type,$O46)="BR","Réception","Sortie")))</f>
        <v/>
      </c>
      <c r="C46" s="65" t="str">
        <f>IF($O46="","",INDEX(jr_date,$O46))</f>
        <v/>
      </c>
      <c r="D46" s="60" t="str">
        <f>IF($O46="","",INDEX(jr_tiers,$O46)&amp;"")</f>
        <v/>
      </c>
      <c r="E46" s="57" t="str">
        <f>IF($O46="","",INDEX(jr_name,$O46)&amp;"")</f>
        <v/>
      </c>
      <c r="F46" s="57" t="str">
        <f>IF($O46="","",INDEX(jr_order,$O46)&amp;"")</f>
        <v/>
      </c>
      <c r="G46" s="57" t="str">
        <f>IF($O46="","",INDEX(jr_ext,$O46)&amp;"")</f>
        <v/>
      </c>
      <c r="H46" s="57" t="str">
        <f>IF($O46="","",INDEX(jr_carrier,$O46)&amp;"")</f>
        <v/>
      </c>
      <c r="I46" s="66" t="str">
        <f>IF(A46="","",COUNTIF(jr_num,A46))</f>
        <v/>
      </c>
      <c r="J46" s="66" t="str">
        <f>IF(A46="","",SUMIF(jr_num,A46,jr_colis))</f>
        <v/>
      </c>
      <c r="K46" s="63" t="str">
        <f>IF(A46="","",SUMIF(jr_num,A46,jr_kg))</f>
        <v/>
      </c>
      <c r="L46" s="64" t="str">
        <f>IF(A46="","",SUMIF(jr_num,A46,jr_val))</f>
        <v/>
      </c>
      <c r="M46" s="60" t="str">
        <f>IF(A46="","",IF(COUNTIFS(jr_num,A46,jr_check,"&lt;&gt;OK")&gt;0,"À vérifier",IF(LEFT(A46,2)="BL",IF(COUNTIFS(jr_num,A46,jr_rel,"&gt;0")&gt;0,"Reliquat en cours",IF(COUNTIFS(jr_num,A46,jr_gap,"&lt;0")&gt;0,"Reliquat livré","Complet")),IF(LEFT(A46,2)="BR",IF(COUNTIFS(jr_num,A46,jr_etat,"Refusé")&gt;0,"Refusé",IF(COUNTIFS(jr_num,A46,jr_etat,"Avec réserves")&gt;0,"Avec réserves",IF(COUNTIFS(jr_num,A46,jr_rel,"&gt;0")&gt;0,"Reliquat en cours",IF(COUNTIFS(jr_num,A46,jr_gap,"&lt;0")+COUNTIFS(jr_num,A46,jr_gap,"&gt;0")&gt;0,"Écart","Conforme")))),IF(COUNTIFS(jr_num,A46,jr_gap,"&lt;0")&gt;0,"Partiel","Sorti")))))</f>
        <v/>
      </c>
      <c r="O46" t="str">
        <f>IFERROR(MATCH(41,jr_grank,0),"")</f>
        <v/>
      </c>
      <c r="R46" s="67" t="str">
        <f>IFERROR(INDEX(jr_num,MATCH("BL41",jr_nkey,0))&amp;"","")</f>
        <v/>
      </c>
      <c r="S46" s="67" t="str">
        <f>IFERROR(INDEX(jr_num,MATCH("BR41",jr_nkey,0))&amp;"","")</f>
        <v/>
      </c>
      <c r="T46" s="67" t="str">
        <f>IFERROR(INDEX(jr_num,MATCH("BS41",jr_nkey,0))&amp;"","")</f>
        <v/>
      </c>
    </row>
    <row r="47">
      <c r="A47" s="60" t="str">
        <f>IF($O47="","",INDEX(jr_num,$O47)&amp;"")</f>
        <v/>
      </c>
      <c r="B47" s="60" t="str">
        <f>IF($O47="","",IF(INDEX(jr_type,$O47)="BL","Livraison",IF(INDEX(jr_type,$O47)="BR","Réception","Sortie")))</f>
        <v/>
      </c>
      <c r="C47" s="65" t="str">
        <f>IF($O47="","",INDEX(jr_date,$O47))</f>
        <v/>
      </c>
      <c r="D47" s="60" t="str">
        <f>IF($O47="","",INDEX(jr_tiers,$O47)&amp;"")</f>
        <v/>
      </c>
      <c r="E47" s="57" t="str">
        <f>IF($O47="","",INDEX(jr_name,$O47)&amp;"")</f>
        <v/>
      </c>
      <c r="F47" s="57" t="str">
        <f>IF($O47="","",INDEX(jr_order,$O47)&amp;"")</f>
        <v/>
      </c>
      <c r="G47" s="57" t="str">
        <f>IF($O47="","",INDEX(jr_ext,$O47)&amp;"")</f>
        <v/>
      </c>
      <c r="H47" s="57" t="str">
        <f>IF($O47="","",INDEX(jr_carrier,$O47)&amp;"")</f>
        <v/>
      </c>
      <c r="I47" s="66" t="str">
        <f>IF(A47="","",COUNTIF(jr_num,A47))</f>
        <v/>
      </c>
      <c r="J47" s="66" t="str">
        <f>IF(A47="","",SUMIF(jr_num,A47,jr_colis))</f>
        <v/>
      </c>
      <c r="K47" s="63" t="str">
        <f>IF(A47="","",SUMIF(jr_num,A47,jr_kg))</f>
        <v/>
      </c>
      <c r="L47" s="64" t="str">
        <f>IF(A47="","",SUMIF(jr_num,A47,jr_val))</f>
        <v/>
      </c>
      <c r="M47" s="60" t="str">
        <f>IF(A47="","",IF(COUNTIFS(jr_num,A47,jr_check,"&lt;&gt;OK")&gt;0,"À vérifier",IF(LEFT(A47,2)="BL",IF(COUNTIFS(jr_num,A47,jr_rel,"&gt;0")&gt;0,"Reliquat en cours",IF(COUNTIFS(jr_num,A47,jr_gap,"&lt;0")&gt;0,"Reliquat livré","Complet")),IF(LEFT(A47,2)="BR",IF(COUNTIFS(jr_num,A47,jr_etat,"Refusé")&gt;0,"Refusé",IF(COUNTIFS(jr_num,A47,jr_etat,"Avec réserves")&gt;0,"Avec réserves",IF(COUNTIFS(jr_num,A47,jr_rel,"&gt;0")&gt;0,"Reliquat en cours",IF(COUNTIFS(jr_num,A47,jr_gap,"&lt;0")+COUNTIFS(jr_num,A47,jr_gap,"&gt;0")&gt;0,"Écart","Conforme")))),IF(COUNTIFS(jr_num,A47,jr_gap,"&lt;0")&gt;0,"Partiel","Sorti")))))</f>
        <v/>
      </c>
      <c r="O47" t="str">
        <f>IFERROR(MATCH(42,jr_grank,0),"")</f>
        <v/>
      </c>
      <c r="R47" s="67" t="str">
        <f>IFERROR(INDEX(jr_num,MATCH("BL42",jr_nkey,0))&amp;"","")</f>
        <v/>
      </c>
      <c r="S47" s="67" t="str">
        <f>IFERROR(INDEX(jr_num,MATCH("BR42",jr_nkey,0))&amp;"","")</f>
        <v/>
      </c>
      <c r="T47" s="67" t="str">
        <f>IFERROR(INDEX(jr_num,MATCH("BS42",jr_nkey,0))&amp;"","")</f>
        <v/>
      </c>
    </row>
    <row r="48">
      <c r="A48" s="60" t="str">
        <f>IF($O48="","",INDEX(jr_num,$O48)&amp;"")</f>
        <v/>
      </c>
      <c r="B48" s="60" t="str">
        <f>IF($O48="","",IF(INDEX(jr_type,$O48)="BL","Livraison",IF(INDEX(jr_type,$O48)="BR","Réception","Sortie")))</f>
        <v/>
      </c>
      <c r="C48" s="65" t="str">
        <f>IF($O48="","",INDEX(jr_date,$O48))</f>
        <v/>
      </c>
      <c r="D48" s="60" t="str">
        <f>IF($O48="","",INDEX(jr_tiers,$O48)&amp;"")</f>
        <v/>
      </c>
      <c r="E48" s="57" t="str">
        <f>IF($O48="","",INDEX(jr_name,$O48)&amp;"")</f>
        <v/>
      </c>
      <c r="F48" s="57" t="str">
        <f>IF($O48="","",INDEX(jr_order,$O48)&amp;"")</f>
        <v/>
      </c>
      <c r="G48" s="57" t="str">
        <f>IF($O48="","",INDEX(jr_ext,$O48)&amp;"")</f>
        <v/>
      </c>
      <c r="H48" s="57" t="str">
        <f>IF($O48="","",INDEX(jr_carrier,$O48)&amp;"")</f>
        <v/>
      </c>
      <c r="I48" s="66" t="str">
        <f>IF(A48="","",COUNTIF(jr_num,A48))</f>
        <v/>
      </c>
      <c r="J48" s="66" t="str">
        <f>IF(A48="","",SUMIF(jr_num,A48,jr_colis))</f>
        <v/>
      </c>
      <c r="K48" s="63" t="str">
        <f>IF(A48="","",SUMIF(jr_num,A48,jr_kg))</f>
        <v/>
      </c>
      <c r="L48" s="64" t="str">
        <f>IF(A48="","",SUMIF(jr_num,A48,jr_val))</f>
        <v/>
      </c>
      <c r="M48" s="60" t="str">
        <f>IF(A48="","",IF(COUNTIFS(jr_num,A48,jr_check,"&lt;&gt;OK")&gt;0,"À vérifier",IF(LEFT(A48,2)="BL",IF(COUNTIFS(jr_num,A48,jr_rel,"&gt;0")&gt;0,"Reliquat en cours",IF(COUNTIFS(jr_num,A48,jr_gap,"&lt;0")&gt;0,"Reliquat livré","Complet")),IF(LEFT(A48,2)="BR",IF(COUNTIFS(jr_num,A48,jr_etat,"Refusé")&gt;0,"Refusé",IF(COUNTIFS(jr_num,A48,jr_etat,"Avec réserves")&gt;0,"Avec réserves",IF(COUNTIFS(jr_num,A48,jr_rel,"&gt;0")&gt;0,"Reliquat en cours",IF(COUNTIFS(jr_num,A48,jr_gap,"&lt;0")+COUNTIFS(jr_num,A48,jr_gap,"&gt;0")&gt;0,"Écart","Conforme")))),IF(COUNTIFS(jr_num,A48,jr_gap,"&lt;0")&gt;0,"Partiel","Sorti")))))</f>
        <v/>
      </c>
      <c r="O48" t="str">
        <f>IFERROR(MATCH(43,jr_grank,0),"")</f>
        <v/>
      </c>
      <c r="R48" s="67" t="str">
        <f>IFERROR(INDEX(jr_num,MATCH("BL43",jr_nkey,0))&amp;"","")</f>
        <v/>
      </c>
      <c r="S48" s="67" t="str">
        <f>IFERROR(INDEX(jr_num,MATCH("BR43",jr_nkey,0))&amp;"","")</f>
        <v/>
      </c>
      <c r="T48" s="67" t="str">
        <f>IFERROR(INDEX(jr_num,MATCH("BS43",jr_nkey,0))&amp;"","")</f>
        <v/>
      </c>
    </row>
    <row r="49">
      <c r="A49" s="60" t="str">
        <f>IF($O49="","",INDEX(jr_num,$O49)&amp;"")</f>
        <v/>
      </c>
      <c r="B49" s="60" t="str">
        <f>IF($O49="","",IF(INDEX(jr_type,$O49)="BL","Livraison",IF(INDEX(jr_type,$O49)="BR","Réception","Sortie")))</f>
        <v/>
      </c>
      <c r="C49" s="65" t="str">
        <f>IF($O49="","",INDEX(jr_date,$O49))</f>
        <v/>
      </c>
      <c r="D49" s="60" t="str">
        <f>IF($O49="","",INDEX(jr_tiers,$O49)&amp;"")</f>
        <v/>
      </c>
      <c r="E49" s="57" t="str">
        <f>IF($O49="","",INDEX(jr_name,$O49)&amp;"")</f>
        <v/>
      </c>
      <c r="F49" s="57" t="str">
        <f>IF($O49="","",INDEX(jr_order,$O49)&amp;"")</f>
        <v/>
      </c>
      <c r="G49" s="57" t="str">
        <f>IF($O49="","",INDEX(jr_ext,$O49)&amp;"")</f>
        <v/>
      </c>
      <c r="H49" s="57" t="str">
        <f>IF($O49="","",INDEX(jr_carrier,$O49)&amp;"")</f>
        <v/>
      </c>
      <c r="I49" s="66" t="str">
        <f>IF(A49="","",COUNTIF(jr_num,A49))</f>
        <v/>
      </c>
      <c r="J49" s="66" t="str">
        <f>IF(A49="","",SUMIF(jr_num,A49,jr_colis))</f>
        <v/>
      </c>
      <c r="K49" s="63" t="str">
        <f>IF(A49="","",SUMIF(jr_num,A49,jr_kg))</f>
        <v/>
      </c>
      <c r="L49" s="64" t="str">
        <f>IF(A49="","",SUMIF(jr_num,A49,jr_val))</f>
        <v/>
      </c>
      <c r="M49" s="60" t="str">
        <f>IF(A49="","",IF(COUNTIFS(jr_num,A49,jr_check,"&lt;&gt;OK")&gt;0,"À vérifier",IF(LEFT(A49,2)="BL",IF(COUNTIFS(jr_num,A49,jr_rel,"&gt;0")&gt;0,"Reliquat en cours",IF(COUNTIFS(jr_num,A49,jr_gap,"&lt;0")&gt;0,"Reliquat livré","Complet")),IF(LEFT(A49,2)="BR",IF(COUNTIFS(jr_num,A49,jr_etat,"Refusé")&gt;0,"Refusé",IF(COUNTIFS(jr_num,A49,jr_etat,"Avec réserves")&gt;0,"Avec réserves",IF(COUNTIFS(jr_num,A49,jr_rel,"&gt;0")&gt;0,"Reliquat en cours",IF(COUNTIFS(jr_num,A49,jr_gap,"&lt;0")+COUNTIFS(jr_num,A49,jr_gap,"&gt;0")&gt;0,"Écart","Conforme")))),IF(COUNTIFS(jr_num,A49,jr_gap,"&lt;0")&gt;0,"Partiel","Sorti")))))</f>
        <v/>
      </c>
      <c r="O49" t="str">
        <f>IFERROR(MATCH(44,jr_grank,0),"")</f>
        <v/>
      </c>
      <c r="R49" s="67" t="str">
        <f>IFERROR(INDEX(jr_num,MATCH("BL44",jr_nkey,0))&amp;"","")</f>
        <v/>
      </c>
      <c r="S49" s="67" t="str">
        <f>IFERROR(INDEX(jr_num,MATCH("BR44",jr_nkey,0))&amp;"","")</f>
        <v/>
      </c>
      <c r="T49" s="67" t="str">
        <f>IFERROR(INDEX(jr_num,MATCH("BS44",jr_nkey,0))&amp;"","")</f>
        <v/>
      </c>
    </row>
    <row r="50">
      <c r="A50" s="60" t="str">
        <f>IF($O50="","",INDEX(jr_num,$O50)&amp;"")</f>
        <v/>
      </c>
      <c r="B50" s="60" t="str">
        <f>IF($O50="","",IF(INDEX(jr_type,$O50)="BL","Livraison",IF(INDEX(jr_type,$O50)="BR","Réception","Sortie")))</f>
        <v/>
      </c>
      <c r="C50" s="65" t="str">
        <f>IF($O50="","",INDEX(jr_date,$O50))</f>
        <v/>
      </c>
      <c r="D50" s="60" t="str">
        <f>IF($O50="","",INDEX(jr_tiers,$O50)&amp;"")</f>
        <v/>
      </c>
      <c r="E50" s="57" t="str">
        <f>IF($O50="","",INDEX(jr_name,$O50)&amp;"")</f>
        <v/>
      </c>
      <c r="F50" s="57" t="str">
        <f>IF($O50="","",INDEX(jr_order,$O50)&amp;"")</f>
        <v/>
      </c>
      <c r="G50" s="57" t="str">
        <f>IF($O50="","",INDEX(jr_ext,$O50)&amp;"")</f>
        <v/>
      </c>
      <c r="H50" s="57" t="str">
        <f>IF($O50="","",INDEX(jr_carrier,$O50)&amp;"")</f>
        <v/>
      </c>
      <c r="I50" s="66" t="str">
        <f>IF(A50="","",COUNTIF(jr_num,A50))</f>
        <v/>
      </c>
      <c r="J50" s="66" t="str">
        <f>IF(A50="","",SUMIF(jr_num,A50,jr_colis))</f>
        <v/>
      </c>
      <c r="K50" s="63" t="str">
        <f>IF(A50="","",SUMIF(jr_num,A50,jr_kg))</f>
        <v/>
      </c>
      <c r="L50" s="64" t="str">
        <f>IF(A50="","",SUMIF(jr_num,A50,jr_val))</f>
        <v/>
      </c>
      <c r="M50" s="60" t="str">
        <f>IF(A50="","",IF(COUNTIFS(jr_num,A50,jr_check,"&lt;&gt;OK")&gt;0,"À vérifier",IF(LEFT(A50,2)="BL",IF(COUNTIFS(jr_num,A50,jr_rel,"&gt;0")&gt;0,"Reliquat en cours",IF(COUNTIFS(jr_num,A50,jr_gap,"&lt;0")&gt;0,"Reliquat livré","Complet")),IF(LEFT(A50,2)="BR",IF(COUNTIFS(jr_num,A50,jr_etat,"Refusé")&gt;0,"Refusé",IF(COUNTIFS(jr_num,A50,jr_etat,"Avec réserves")&gt;0,"Avec réserves",IF(COUNTIFS(jr_num,A50,jr_rel,"&gt;0")&gt;0,"Reliquat en cours",IF(COUNTIFS(jr_num,A50,jr_gap,"&lt;0")+COUNTIFS(jr_num,A50,jr_gap,"&gt;0")&gt;0,"Écart","Conforme")))),IF(COUNTIFS(jr_num,A50,jr_gap,"&lt;0")&gt;0,"Partiel","Sorti")))))</f>
        <v/>
      </c>
      <c r="O50" t="str">
        <f>IFERROR(MATCH(45,jr_grank,0),"")</f>
        <v/>
      </c>
      <c r="R50" s="67" t="str">
        <f>IFERROR(INDEX(jr_num,MATCH("BL45",jr_nkey,0))&amp;"","")</f>
        <v/>
      </c>
      <c r="S50" s="67" t="str">
        <f>IFERROR(INDEX(jr_num,MATCH("BR45",jr_nkey,0))&amp;"","")</f>
        <v/>
      </c>
      <c r="T50" s="67" t="str">
        <f>IFERROR(INDEX(jr_num,MATCH("BS45",jr_nkey,0))&amp;"","")</f>
        <v/>
      </c>
    </row>
    <row r="51">
      <c r="A51" s="60" t="str">
        <f>IF($O51="","",INDEX(jr_num,$O51)&amp;"")</f>
        <v/>
      </c>
      <c r="B51" s="60" t="str">
        <f>IF($O51="","",IF(INDEX(jr_type,$O51)="BL","Livraison",IF(INDEX(jr_type,$O51)="BR","Réception","Sortie")))</f>
        <v/>
      </c>
      <c r="C51" s="65" t="str">
        <f>IF($O51="","",INDEX(jr_date,$O51))</f>
        <v/>
      </c>
      <c r="D51" s="60" t="str">
        <f>IF($O51="","",INDEX(jr_tiers,$O51)&amp;"")</f>
        <v/>
      </c>
      <c r="E51" s="57" t="str">
        <f>IF($O51="","",INDEX(jr_name,$O51)&amp;"")</f>
        <v/>
      </c>
      <c r="F51" s="57" t="str">
        <f>IF($O51="","",INDEX(jr_order,$O51)&amp;"")</f>
        <v/>
      </c>
      <c r="G51" s="57" t="str">
        <f>IF($O51="","",INDEX(jr_ext,$O51)&amp;"")</f>
        <v/>
      </c>
      <c r="H51" s="57" t="str">
        <f>IF($O51="","",INDEX(jr_carrier,$O51)&amp;"")</f>
        <v/>
      </c>
      <c r="I51" s="66" t="str">
        <f>IF(A51="","",COUNTIF(jr_num,A51))</f>
        <v/>
      </c>
      <c r="J51" s="66" t="str">
        <f>IF(A51="","",SUMIF(jr_num,A51,jr_colis))</f>
        <v/>
      </c>
      <c r="K51" s="63" t="str">
        <f>IF(A51="","",SUMIF(jr_num,A51,jr_kg))</f>
        <v/>
      </c>
      <c r="L51" s="64" t="str">
        <f>IF(A51="","",SUMIF(jr_num,A51,jr_val))</f>
        <v/>
      </c>
      <c r="M51" s="60" t="str">
        <f>IF(A51="","",IF(COUNTIFS(jr_num,A51,jr_check,"&lt;&gt;OK")&gt;0,"À vérifier",IF(LEFT(A51,2)="BL",IF(COUNTIFS(jr_num,A51,jr_rel,"&gt;0")&gt;0,"Reliquat en cours",IF(COUNTIFS(jr_num,A51,jr_gap,"&lt;0")&gt;0,"Reliquat livré","Complet")),IF(LEFT(A51,2)="BR",IF(COUNTIFS(jr_num,A51,jr_etat,"Refusé")&gt;0,"Refusé",IF(COUNTIFS(jr_num,A51,jr_etat,"Avec réserves")&gt;0,"Avec réserves",IF(COUNTIFS(jr_num,A51,jr_rel,"&gt;0")&gt;0,"Reliquat en cours",IF(COUNTIFS(jr_num,A51,jr_gap,"&lt;0")+COUNTIFS(jr_num,A51,jr_gap,"&gt;0")&gt;0,"Écart","Conforme")))),IF(COUNTIFS(jr_num,A51,jr_gap,"&lt;0")&gt;0,"Partiel","Sorti")))))</f>
        <v/>
      </c>
      <c r="O51" t="str">
        <f>IFERROR(MATCH(46,jr_grank,0),"")</f>
        <v/>
      </c>
      <c r="R51" s="67" t="str">
        <f>IFERROR(INDEX(jr_num,MATCH("BL46",jr_nkey,0))&amp;"","")</f>
        <v/>
      </c>
      <c r="S51" s="67" t="str">
        <f>IFERROR(INDEX(jr_num,MATCH("BR46",jr_nkey,0))&amp;"","")</f>
        <v/>
      </c>
      <c r="T51" s="67" t="str">
        <f>IFERROR(INDEX(jr_num,MATCH("BS46",jr_nkey,0))&amp;"","")</f>
        <v/>
      </c>
    </row>
    <row r="52">
      <c r="A52" s="60" t="str">
        <f>IF($O52="","",INDEX(jr_num,$O52)&amp;"")</f>
        <v/>
      </c>
      <c r="B52" s="60" t="str">
        <f>IF($O52="","",IF(INDEX(jr_type,$O52)="BL","Livraison",IF(INDEX(jr_type,$O52)="BR","Réception","Sortie")))</f>
        <v/>
      </c>
      <c r="C52" s="65" t="str">
        <f>IF($O52="","",INDEX(jr_date,$O52))</f>
        <v/>
      </c>
      <c r="D52" s="60" t="str">
        <f>IF($O52="","",INDEX(jr_tiers,$O52)&amp;"")</f>
        <v/>
      </c>
      <c r="E52" s="57" t="str">
        <f>IF($O52="","",INDEX(jr_name,$O52)&amp;"")</f>
        <v/>
      </c>
      <c r="F52" s="57" t="str">
        <f>IF($O52="","",INDEX(jr_order,$O52)&amp;"")</f>
        <v/>
      </c>
      <c r="G52" s="57" t="str">
        <f>IF($O52="","",INDEX(jr_ext,$O52)&amp;"")</f>
        <v/>
      </c>
      <c r="H52" s="57" t="str">
        <f>IF($O52="","",INDEX(jr_carrier,$O52)&amp;"")</f>
        <v/>
      </c>
      <c r="I52" s="66" t="str">
        <f>IF(A52="","",COUNTIF(jr_num,A52))</f>
        <v/>
      </c>
      <c r="J52" s="66" t="str">
        <f>IF(A52="","",SUMIF(jr_num,A52,jr_colis))</f>
        <v/>
      </c>
      <c r="K52" s="63" t="str">
        <f>IF(A52="","",SUMIF(jr_num,A52,jr_kg))</f>
        <v/>
      </c>
      <c r="L52" s="64" t="str">
        <f>IF(A52="","",SUMIF(jr_num,A52,jr_val))</f>
        <v/>
      </c>
      <c r="M52" s="60" t="str">
        <f>IF(A52="","",IF(COUNTIFS(jr_num,A52,jr_check,"&lt;&gt;OK")&gt;0,"À vérifier",IF(LEFT(A52,2)="BL",IF(COUNTIFS(jr_num,A52,jr_rel,"&gt;0")&gt;0,"Reliquat en cours",IF(COUNTIFS(jr_num,A52,jr_gap,"&lt;0")&gt;0,"Reliquat livré","Complet")),IF(LEFT(A52,2)="BR",IF(COUNTIFS(jr_num,A52,jr_etat,"Refusé")&gt;0,"Refusé",IF(COUNTIFS(jr_num,A52,jr_etat,"Avec réserves")&gt;0,"Avec réserves",IF(COUNTIFS(jr_num,A52,jr_rel,"&gt;0")&gt;0,"Reliquat en cours",IF(COUNTIFS(jr_num,A52,jr_gap,"&lt;0")+COUNTIFS(jr_num,A52,jr_gap,"&gt;0")&gt;0,"Écart","Conforme")))),IF(COUNTIFS(jr_num,A52,jr_gap,"&lt;0")&gt;0,"Partiel","Sorti")))))</f>
        <v/>
      </c>
      <c r="O52" t="str">
        <f>IFERROR(MATCH(47,jr_grank,0),"")</f>
        <v/>
      </c>
      <c r="R52" s="67" t="str">
        <f>IFERROR(INDEX(jr_num,MATCH("BL47",jr_nkey,0))&amp;"","")</f>
        <v/>
      </c>
      <c r="S52" s="67" t="str">
        <f>IFERROR(INDEX(jr_num,MATCH("BR47",jr_nkey,0))&amp;"","")</f>
        <v/>
      </c>
      <c r="T52" s="67" t="str">
        <f>IFERROR(INDEX(jr_num,MATCH("BS47",jr_nkey,0))&amp;"","")</f>
        <v/>
      </c>
    </row>
    <row r="53">
      <c r="A53" s="60" t="str">
        <f>IF($O53="","",INDEX(jr_num,$O53)&amp;"")</f>
        <v/>
      </c>
      <c r="B53" s="60" t="str">
        <f>IF($O53="","",IF(INDEX(jr_type,$O53)="BL","Livraison",IF(INDEX(jr_type,$O53)="BR","Réception","Sortie")))</f>
        <v/>
      </c>
      <c r="C53" s="65" t="str">
        <f>IF($O53="","",INDEX(jr_date,$O53))</f>
        <v/>
      </c>
      <c r="D53" s="60" t="str">
        <f>IF($O53="","",INDEX(jr_tiers,$O53)&amp;"")</f>
        <v/>
      </c>
      <c r="E53" s="57" t="str">
        <f>IF($O53="","",INDEX(jr_name,$O53)&amp;"")</f>
        <v/>
      </c>
      <c r="F53" s="57" t="str">
        <f>IF($O53="","",INDEX(jr_order,$O53)&amp;"")</f>
        <v/>
      </c>
      <c r="G53" s="57" t="str">
        <f>IF($O53="","",INDEX(jr_ext,$O53)&amp;"")</f>
        <v/>
      </c>
      <c r="H53" s="57" t="str">
        <f>IF($O53="","",INDEX(jr_carrier,$O53)&amp;"")</f>
        <v/>
      </c>
      <c r="I53" s="66" t="str">
        <f>IF(A53="","",COUNTIF(jr_num,A53))</f>
        <v/>
      </c>
      <c r="J53" s="66" t="str">
        <f>IF(A53="","",SUMIF(jr_num,A53,jr_colis))</f>
        <v/>
      </c>
      <c r="K53" s="63" t="str">
        <f>IF(A53="","",SUMIF(jr_num,A53,jr_kg))</f>
        <v/>
      </c>
      <c r="L53" s="64" t="str">
        <f>IF(A53="","",SUMIF(jr_num,A53,jr_val))</f>
        <v/>
      </c>
      <c r="M53" s="60" t="str">
        <f>IF(A53="","",IF(COUNTIFS(jr_num,A53,jr_check,"&lt;&gt;OK")&gt;0,"À vérifier",IF(LEFT(A53,2)="BL",IF(COUNTIFS(jr_num,A53,jr_rel,"&gt;0")&gt;0,"Reliquat en cours",IF(COUNTIFS(jr_num,A53,jr_gap,"&lt;0")&gt;0,"Reliquat livré","Complet")),IF(LEFT(A53,2)="BR",IF(COUNTIFS(jr_num,A53,jr_etat,"Refusé")&gt;0,"Refusé",IF(COUNTIFS(jr_num,A53,jr_etat,"Avec réserves")&gt;0,"Avec réserves",IF(COUNTIFS(jr_num,A53,jr_rel,"&gt;0")&gt;0,"Reliquat en cours",IF(COUNTIFS(jr_num,A53,jr_gap,"&lt;0")+COUNTIFS(jr_num,A53,jr_gap,"&gt;0")&gt;0,"Écart","Conforme")))),IF(COUNTIFS(jr_num,A53,jr_gap,"&lt;0")&gt;0,"Partiel","Sorti")))))</f>
        <v/>
      </c>
      <c r="O53" t="str">
        <f>IFERROR(MATCH(48,jr_grank,0),"")</f>
        <v/>
      </c>
      <c r="R53" s="67" t="str">
        <f>IFERROR(INDEX(jr_num,MATCH("BL48",jr_nkey,0))&amp;"","")</f>
        <v/>
      </c>
      <c r="S53" s="67" t="str">
        <f>IFERROR(INDEX(jr_num,MATCH("BR48",jr_nkey,0))&amp;"","")</f>
        <v/>
      </c>
      <c r="T53" s="67" t="str">
        <f>IFERROR(INDEX(jr_num,MATCH("BS48",jr_nkey,0))&amp;"","")</f>
        <v/>
      </c>
    </row>
    <row r="54">
      <c r="A54" s="60" t="str">
        <f>IF($O54="","",INDEX(jr_num,$O54)&amp;"")</f>
        <v/>
      </c>
      <c r="B54" s="60" t="str">
        <f>IF($O54="","",IF(INDEX(jr_type,$O54)="BL","Livraison",IF(INDEX(jr_type,$O54)="BR","Réception","Sortie")))</f>
        <v/>
      </c>
      <c r="C54" s="65" t="str">
        <f>IF($O54="","",INDEX(jr_date,$O54))</f>
        <v/>
      </c>
      <c r="D54" s="60" t="str">
        <f>IF($O54="","",INDEX(jr_tiers,$O54)&amp;"")</f>
        <v/>
      </c>
      <c r="E54" s="57" t="str">
        <f>IF($O54="","",INDEX(jr_name,$O54)&amp;"")</f>
        <v/>
      </c>
      <c r="F54" s="57" t="str">
        <f>IF($O54="","",INDEX(jr_order,$O54)&amp;"")</f>
        <v/>
      </c>
      <c r="G54" s="57" t="str">
        <f>IF($O54="","",INDEX(jr_ext,$O54)&amp;"")</f>
        <v/>
      </c>
      <c r="H54" s="57" t="str">
        <f>IF($O54="","",INDEX(jr_carrier,$O54)&amp;"")</f>
        <v/>
      </c>
      <c r="I54" s="66" t="str">
        <f>IF(A54="","",COUNTIF(jr_num,A54))</f>
        <v/>
      </c>
      <c r="J54" s="66" t="str">
        <f>IF(A54="","",SUMIF(jr_num,A54,jr_colis))</f>
        <v/>
      </c>
      <c r="K54" s="63" t="str">
        <f>IF(A54="","",SUMIF(jr_num,A54,jr_kg))</f>
        <v/>
      </c>
      <c r="L54" s="64" t="str">
        <f>IF(A54="","",SUMIF(jr_num,A54,jr_val))</f>
        <v/>
      </c>
      <c r="M54" s="60" t="str">
        <f>IF(A54="","",IF(COUNTIFS(jr_num,A54,jr_check,"&lt;&gt;OK")&gt;0,"À vérifier",IF(LEFT(A54,2)="BL",IF(COUNTIFS(jr_num,A54,jr_rel,"&gt;0")&gt;0,"Reliquat en cours",IF(COUNTIFS(jr_num,A54,jr_gap,"&lt;0")&gt;0,"Reliquat livré","Complet")),IF(LEFT(A54,2)="BR",IF(COUNTIFS(jr_num,A54,jr_etat,"Refusé")&gt;0,"Refusé",IF(COUNTIFS(jr_num,A54,jr_etat,"Avec réserves")&gt;0,"Avec réserves",IF(COUNTIFS(jr_num,A54,jr_rel,"&gt;0")&gt;0,"Reliquat en cours",IF(COUNTIFS(jr_num,A54,jr_gap,"&lt;0")+COUNTIFS(jr_num,A54,jr_gap,"&gt;0")&gt;0,"Écart","Conforme")))),IF(COUNTIFS(jr_num,A54,jr_gap,"&lt;0")&gt;0,"Partiel","Sorti")))))</f>
        <v/>
      </c>
      <c r="O54" t="str">
        <f>IFERROR(MATCH(49,jr_grank,0),"")</f>
        <v/>
      </c>
      <c r="R54" s="67" t="str">
        <f>IFERROR(INDEX(jr_num,MATCH("BL49",jr_nkey,0))&amp;"","")</f>
        <v/>
      </c>
      <c r="S54" s="67" t="str">
        <f>IFERROR(INDEX(jr_num,MATCH("BR49",jr_nkey,0))&amp;"","")</f>
        <v/>
      </c>
      <c r="T54" s="67" t="str">
        <f>IFERROR(INDEX(jr_num,MATCH("BS49",jr_nkey,0))&amp;"","")</f>
        <v/>
      </c>
    </row>
    <row r="55">
      <c r="A55" s="60" t="str">
        <f>IF($O55="","",INDEX(jr_num,$O55)&amp;"")</f>
        <v/>
      </c>
      <c r="B55" s="60" t="str">
        <f>IF($O55="","",IF(INDEX(jr_type,$O55)="BL","Livraison",IF(INDEX(jr_type,$O55)="BR","Réception","Sortie")))</f>
        <v/>
      </c>
      <c r="C55" s="65" t="str">
        <f>IF($O55="","",INDEX(jr_date,$O55))</f>
        <v/>
      </c>
      <c r="D55" s="60" t="str">
        <f>IF($O55="","",INDEX(jr_tiers,$O55)&amp;"")</f>
        <v/>
      </c>
      <c r="E55" s="57" t="str">
        <f>IF($O55="","",INDEX(jr_name,$O55)&amp;"")</f>
        <v/>
      </c>
      <c r="F55" s="57" t="str">
        <f>IF($O55="","",INDEX(jr_order,$O55)&amp;"")</f>
        <v/>
      </c>
      <c r="G55" s="57" t="str">
        <f>IF($O55="","",INDEX(jr_ext,$O55)&amp;"")</f>
        <v/>
      </c>
      <c r="H55" s="57" t="str">
        <f>IF($O55="","",INDEX(jr_carrier,$O55)&amp;"")</f>
        <v/>
      </c>
      <c r="I55" s="66" t="str">
        <f>IF(A55="","",COUNTIF(jr_num,A55))</f>
        <v/>
      </c>
      <c r="J55" s="66" t="str">
        <f>IF(A55="","",SUMIF(jr_num,A55,jr_colis))</f>
        <v/>
      </c>
      <c r="K55" s="63" t="str">
        <f>IF(A55="","",SUMIF(jr_num,A55,jr_kg))</f>
        <v/>
      </c>
      <c r="L55" s="64" t="str">
        <f>IF(A55="","",SUMIF(jr_num,A55,jr_val))</f>
        <v/>
      </c>
      <c r="M55" s="60" t="str">
        <f>IF(A55="","",IF(COUNTIFS(jr_num,A55,jr_check,"&lt;&gt;OK")&gt;0,"À vérifier",IF(LEFT(A55,2)="BL",IF(COUNTIFS(jr_num,A55,jr_rel,"&gt;0")&gt;0,"Reliquat en cours",IF(COUNTIFS(jr_num,A55,jr_gap,"&lt;0")&gt;0,"Reliquat livré","Complet")),IF(LEFT(A55,2)="BR",IF(COUNTIFS(jr_num,A55,jr_etat,"Refusé")&gt;0,"Refusé",IF(COUNTIFS(jr_num,A55,jr_etat,"Avec réserves")&gt;0,"Avec réserves",IF(COUNTIFS(jr_num,A55,jr_rel,"&gt;0")&gt;0,"Reliquat en cours",IF(COUNTIFS(jr_num,A55,jr_gap,"&lt;0")+COUNTIFS(jr_num,A55,jr_gap,"&gt;0")&gt;0,"Écart","Conforme")))),IF(COUNTIFS(jr_num,A55,jr_gap,"&lt;0")&gt;0,"Partiel","Sorti")))))</f>
        <v/>
      </c>
      <c r="O55" t="str">
        <f>IFERROR(MATCH(50,jr_grank,0),"")</f>
        <v/>
      </c>
      <c r="R55" s="67" t="str">
        <f>IFERROR(INDEX(jr_num,MATCH("BL50",jr_nkey,0))&amp;"","")</f>
        <v/>
      </c>
      <c r="S55" s="67" t="str">
        <f>IFERROR(INDEX(jr_num,MATCH("BR50",jr_nkey,0))&amp;"","")</f>
        <v/>
      </c>
      <c r="T55" s="67" t="str">
        <f>IFERROR(INDEX(jr_num,MATCH("BS50",jr_nkey,0))&amp;"","")</f>
        <v/>
      </c>
    </row>
    <row r="56">
      <c r="A56" s="60" t="str">
        <f>IF($O56="","",INDEX(jr_num,$O56)&amp;"")</f>
        <v/>
      </c>
      <c r="B56" s="60" t="str">
        <f>IF($O56="","",IF(INDEX(jr_type,$O56)="BL","Livraison",IF(INDEX(jr_type,$O56)="BR","Réception","Sortie")))</f>
        <v/>
      </c>
      <c r="C56" s="65" t="str">
        <f>IF($O56="","",INDEX(jr_date,$O56))</f>
        <v/>
      </c>
      <c r="D56" s="60" t="str">
        <f>IF($O56="","",INDEX(jr_tiers,$O56)&amp;"")</f>
        <v/>
      </c>
      <c r="E56" s="57" t="str">
        <f>IF($O56="","",INDEX(jr_name,$O56)&amp;"")</f>
        <v/>
      </c>
      <c r="F56" s="57" t="str">
        <f>IF($O56="","",INDEX(jr_order,$O56)&amp;"")</f>
        <v/>
      </c>
      <c r="G56" s="57" t="str">
        <f>IF($O56="","",INDEX(jr_ext,$O56)&amp;"")</f>
        <v/>
      </c>
      <c r="H56" s="57" t="str">
        <f>IF($O56="","",INDEX(jr_carrier,$O56)&amp;"")</f>
        <v/>
      </c>
      <c r="I56" s="66" t="str">
        <f>IF(A56="","",COUNTIF(jr_num,A56))</f>
        <v/>
      </c>
      <c r="J56" s="66" t="str">
        <f>IF(A56="","",SUMIF(jr_num,A56,jr_colis))</f>
        <v/>
      </c>
      <c r="K56" s="63" t="str">
        <f>IF(A56="","",SUMIF(jr_num,A56,jr_kg))</f>
        <v/>
      </c>
      <c r="L56" s="64" t="str">
        <f>IF(A56="","",SUMIF(jr_num,A56,jr_val))</f>
        <v/>
      </c>
      <c r="M56" s="60" t="str">
        <f>IF(A56="","",IF(COUNTIFS(jr_num,A56,jr_check,"&lt;&gt;OK")&gt;0,"À vérifier",IF(LEFT(A56,2)="BL",IF(COUNTIFS(jr_num,A56,jr_rel,"&gt;0")&gt;0,"Reliquat en cours",IF(COUNTIFS(jr_num,A56,jr_gap,"&lt;0")&gt;0,"Reliquat livré","Complet")),IF(LEFT(A56,2)="BR",IF(COUNTIFS(jr_num,A56,jr_etat,"Refusé")&gt;0,"Refusé",IF(COUNTIFS(jr_num,A56,jr_etat,"Avec réserves")&gt;0,"Avec réserves",IF(COUNTIFS(jr_num,A56,jr_rel,"&gt;0")&gt;0,"Reliquat en cours",IF(COUNTIFS(jr_num,A56,jr_gap,"&lt;0")+COUNTIFS(jr_num,A56,jr_gap,"&gt;0")&gt;0,"Écart","Conforme")))),IF(COUNTIFS(jr_num,A56,jr_gap,"&lt;0")&gt;0,"Partiel","Sorti")))))</f>
        <v/>
      </c>
      <c r="O56" t="str">
        <f>IFERROR(MATCH(51,jr_grank,0),"")</f>
        <v/>
      </c>
      <c r="R56" s="67" t="str">
        <f>IFERROR(INDEX(jr_num,MATCH("BL51",jr_nkey,0))&amp;"","")</f>
        <v/>
      </c>
      <c r="S56" s="67" t="str">
        <f>IFERROR(INDEX(jr_num,MATCH("BR51",jr_nkey,0))&amp;"","")</f>
        <v/>
      </c>
      <c r="T56" s="67" t="str">
        <f>IFERROR(INDEX(jr_num,MATCH("BS51",jr_nkey,0))&amp;"","")</f>
        <v/>
      </c>
    </row>
    <row r="57">
      <c r="A57" s="60" t="str">
        <f>IF($O57="","",INDEX(jr_num,$O57)&amp;"")</f>
        <v/>
      </c>
      <c r="B57" s="60" t="str">
        <f>IF($O57="","",IF(INDEX(jr_type,$O57)="BL","Livraison",IF(INDEX(jr_type,$O57)="BR","Réception","Sortie")))</f>
        <v/>
      </c>
      <c r="C57" s="65" t="str">
        <f>IF($O57="","",INDEX(jr_date,$O57))</f>
        <v/>
      </c>
      <c r="D57" s="60" t="str">
        <f>IF($O57="","",INDEX(jr_tiers,$O57)&amp;"")</f>
        <v/>
      </c>
      <c r="E57" s="57" t="str">
        <f>IF($O57="","",INDEX(jr_name,$O57)&amp;"")</f>
        <v/>
      </c>
      <c r="F57" s="57" t="str">
        <f>IF($O57="","",INDEX(jr_order,$O57)&amp;"")</f>
        <v/>
      </c>
      <c r="G57" s="57" t="str">
        <f>IF($O57="","",INDEX(jr_ext,$O57)&amp;"")</f>
        <v/>
      </c>
      <c r="H57" s="57" t="str">
        <f>IF($O57="","",INDEX(jr_carrier,$O57)&amp;"")</f>
        <v/>
      </c>
      <c r="I57" s="66" t="str">
        <f>IF(A57="","",COUNTIF(jr_num,A57))</f>
        <v/>
      </c>
      <c r="J57" s="66" t="str">
        <f>IF(A57="","",SUMIF(jr_num,A57,jr_colis))</f>
        <v/>
      </c>
      <c r="K57" s="63" t="str">
        <f>IF(A57="","",SUMIF(jr_num,A57,jr_kg))</f>
        <v/>
      </c>
      <c r="L57" s="64" t="str">
        <f>IF(A57="","",SUMIF(jr_num,A57,jr_val))</f>
        <v/>
      </c>
      <c r="M57" s="60" t="str">
        <f>IF(A57="","",IF(COUNTIFS(jr_num,A57,jr_check,"&lt;&gt;OK")&gt;0,"À vérifier",IF(LEFT(A57,2)="BL",IF(COUNTIFS(jr_num,A57,jr_rel,"&gt;0")&gt;0,"Reliquat en cours",IF(COUNTIFS(jr_num,A57,jr_gap,"&lt;0")&gt;0,"Reliquat livré","Complet")),IF(LEFT(A57,2)="BR",IF(COUNTIFS(jr_num,A57,jr_etat,"Refusé")&gt;0,"Refusé",IF(COUNTIFS(jr_num,A57,jr_etat,"Avec réserves")&gt;0,"Avec réserves",IF(COUNTIFS(jr_num,A57,jr_rel,"&gt;0")&gt;0,"Reliquat en cours",IF(COUNTIFS(jr_num,A57,jr_gap,"&lt;0")+COUNTIFS(jr_num,A57,jr_gap,"&gt;0")&gt;0,"Écart","Conforme")))),IF(COUNTIFS(jr_num,A57,jr_gap,"&lt;0")&gt;0,"Partiel","Sorti")))))</f>
        <v/>
      </c>
      <c r="O57" t="str">
        <f>IFERROR(MATCH(52,jr_grank,0),"")</f>
        <v/>
      </c>
      <c r="R57" s="67" t="str">
        <f>IFERROR(INDEX(jr_num,MATCH("BL52",jr_nkey,0))&amp;"","")</f>
        <v/>
      </c>
      <c r="S57" s="67" t="str">
        <f>IFERROR(INDEX(jr_num,MATCH("BR52",jr_nkey,0))&amp;"","")</f>
        <v/>
      </c>
      <c r="T57" s="67" t="str">
        <f>IFERROR(INDEX(jr_num,MATCH("BS52",jr_nkey,0))&amp;"","")</f>
        <v/>
      </c>
    </row>
    <row r="58">
      <c r="A58" s="60" t="str">
        <f>IF($O58="","",INDEX(jr_num,$O58)&amp;"")</f>
        <v/>
      </c>
      <c r="B58" s="60" t="str">
        <f>IF($O58="","",IF(INDEX(jr_type,$O58)="BL","Livraison",IF(INDEX(jr_type,$O58)="BR","Réception","Sortie")))</f>
        <v/>
      </c>
      <c r="C58" s="65" t="str">
        <f>IF($O58="","",INDEX(jr_date,$O58))</f>
        <v/>
      </c>
      <c r="D58" s="60" t="str">
        <f>IF($O58="","",INDEX(jr_tiers,$O58)&amp;"")</f>
        <v/>
      </c>
      <c r="E58" s="57" t="str">
        <f>IF($O58="","",INDEX(jr_name,$O58)&amp;"")</f>
        <v/>
      </c>
      <c r="F58" s="57" t="str">
        <f>IF($O58="","",INDEX(jr_order,$O58)&amp;"")</f>
        <v/>
      </c>
      <c r="G58" s="57" t="str">
        <f>IF($O58="","",INDEX(jr_ext,$O58)&amp;"")</f>
        <v/>
      </c>
      <c r="H58" s="57" t="str">
        <f>IF($O58="","",INDEX(jr_carrier,$O58)&amp;"")</f>
        <v/>
      </c>
      <c r="I58" s="66" t="str">
        <f>IF(A58="","",COUNTIF(jr_num,A58))</f>
        <v/>
      </c>
      <c r="J58" s="66" t="str">
        <f>IF(A58="","",SUMIF(jr_num,A58,jr_colis))</f>
        <v/>
      </c>
      <c r="K58" s="63" t="str">
        <f>IF(A58="","",SUMIF(jr_num,A58,jr_kg))</f>
        <v/>
      </c>
      <c r="L58" s="64" t="str">
        <f>IF(A58="","",SUMIF(jr_num,A58,jr_val))</f>
        <v/>
      </c>
      <c r="M58" s="60" t="str">
        <f>IF(A58="","",IF(COUNTIFS(jr_num,A58,jr_check,"&lt;&gt;OK")&gt;0,"À vérifier",IF(LEFT(A58,2)="BL",IF(COUNTIFS(jr_num,A58,jr_rel,"&gt;0")&gt;0,"Reliquat en cours",IF(COUNTIFS(jr_num,A58,jr_gap,"&lt;0")&gt;0,"Reliquat livré","Complet")),IF(LEFT(A58,2)="BR",IF(COUNTIFS(jr_num,A58,jr_etat,"Refusé")&gt;0,"Refusé",IF(COUNTIFS(jr_num,A58,jr_etat,"Avec réserves")&gt;0,"Avec réserves",IF(COUNTIFS(jr_num,A58,jr_rel,"&gt;0")&gt;0,"Reliquat en cours",IF(COUNTIFS(jr_num,A58,jr_gap,"&lt;0")+COUNTIFS(jr_num,A58,jr_gap,"&gt;0")&gt;0,"Écart","Conforme")))),IF(COUNTIFS(jr_num,A58,jr_gap,"&lt;0")&gt;0,"Partiel","Sorti")))))</f>
        <v/>
      </c>
      <c r="O58" t="str">
        <f>IFERROR(MATCH(53,jr_grank,0),"")</f>
        <v/>
      </c>
      <c r="R58" s="67" t="str">
        <f>IFERROR(INDEX(jr_num,MATCH("BL53",jr_nkey,0))&amp;"","")</f>
        <v/>
      </c>
      <c r="S58" s="67" t="str">
        <f>IFERROR(INDEX(jr_num,MATCH("BR53",jr_nkey,0))&amp;"","")</f>
        <v/>
      </c>
      <c r="T58" s="67" t="str">
        <f>IFERROR(INDEX(jr_num,MATCH("BS53",jr_nkey,0))&amp;"","")</f>
        <v/>
      </c>
    </row>
    <row r="59">
      <c r="A59" s="60" t="str">
        <f>IF($O59="","",INDEX(jr_num,$O59)&amp;"")</f>
        <v/>
      </c>
      <c r="B59" s="60" t="str">
        <f>IF($O59="","",IF(INDEX(jr_type,$O59)="BL","Livraison",IF(INDEX(jr_type,$O59)="BR","Réception","Sortie")))</f>
        <v/>
      </c>
      <c r="C59" s="65" t="str">
        <f>IF($O59="","",INDEX(jr_date,$O59))</f>
        <v/>
      </c>
      <c r="D59" s="60" t="str">
        <f>IF($O59="","",INDEX(jr_tiers,$O59)&amp;"")</f>
        <v/>
      </c>
      <c r="E59" s="57" t="str">
        <f>IF($O59="","",INDEX(jr_name,$O59)&amp;"")</f>
        <v/>
      </c>
      <c r="F59" s="57" t="str">
        <f>IF($O59="","",INDEX(jr_order,$O59)&amp;"")</f>
        <v/>
      </c>
      <c r="G59" s="57" t="str">
        <f>IF($O59="","",INDEX(jr_ext,$O59)&amp;"")</f>
        <v/>
      </c>
      <c r="H59" s="57" t="str">
        <f>IF($O59="","",INDEX(jr_carrier,$O59)&amp;"")</f>
        <v/>
      </c>
      <c r="I59" s="66" t="str">
        <f>IF(A59="","",COUNTIF(jr_num,A59))</f>
        <v/>
      </c>
      <c r="J59" s="66" t="str">
        <f>IF(A59="","",SUMIF(jr_num,A59,jr_colis))</f>
        <v/>
      </c>
      <c r="K59" s="63" t="str">
        <f>IF(A59="","",SUMIF(jr_num,A59,jr_kg))</f>
        <v/>
      </c>
      <c r="L59" s="64" t="str">
        <f>IF(A59="","",SUMIF(jr_num,A59,jr_val))</f>
        <v/>
      </c>
      <c r="M59" s="60" t="str">
        <f>IF(A59="","",IF(COUNTIFS(jr_num,A59,jr_check,"&lt;&gt;OK")&gt;0,"À vérifier",IF(LEFT(A59,2)="BL",IF(COUNTIFS(jr_num,A59,jr_rel,"&gt;0")&gt;0,"Reliquat en cours",IF(COUNTIFS(jr_num,A59,jr_gap,"&lt;0")&gt;0,"Reliquat livré","Complet")),IF(LEFT(A59,2)="BR",IF(COUNTIFS(jr_num,A59,jr_etat,"Refusé")&gt;0,"Refusé",IF(COUNTIFS(jr_num,A59,jr_etat,"Avec réserves")&gt;0,"Avec réserves",IF(COUNTIFS(jr_num,A59,jr_rel,"&gt;0")&gt;0,"Reliquat en cours",IF(COUNTIFS(jr_num,A59,jr_gap,"&lt;0")+COUNTIFS(jr_num,A59,jr_gap,"&gt;0")&gt;0,"Écart","Conforme")))),IF(COUNTIFS(jr_num,A59,jr_gap,"&lt;0")&gt;0,"Partiel","Sorti")))))</f>
        <v/>
      </c>
      <c r="O59" t="str">
        <f>IFERROR(MATCH(54,jr_grank,0),"")</f>
        <v/>
      </c>
      <c r="R59" s="67" t="str">
        <f>IFERROR(INDEX(jr_num,MATCH("BL54",jr_nkey,0))&amp;"","")</f>
        <v/>
      </c>
      <c r="S59" s="67" t="str">
        <f>IFERROR(INDEX(jr_num,MATCH("BR54",jr_nkey,0))&amp;"","")</f>
        <v/>
      </c>
      <c r="T59" s="67" t="str">
        <f>IFERROR(INDEX(jr_num,MATCH("BS54",jr_nkey,0))&amp;"","")</f>
        <v/>
      </c>
    </row>
    <row r="60">
      <c r="A60" s="60" t="str">
        <f>IF($O60="","",INDEX(jr_num,$O60)&amp;"")</f>
        <v/>
      </c>
      <c r="B60" s="60" t="str">
        <f>IF($O60="","",IF(INDEX(jr_type,$O60)="BL","Livraison",IF(INDEX(jr_type,$O60)="BR","Réception","Sortie")))</f>
        <v/>
      </c>
      <c r="C60" s="65" t="str">
        <f>IF($O60="","",INDEX(jr_date,$O60))</f>
        <v/>
      </c>
      <c r="D60" s="60" t="str">
        <f>IF($O60="","",INDEX(jr_tiers,$O60)&amp;"")</f>
        <v/>
      </c>
      <c r="E60" s="57" t="str">
        <f>IF($O60="","",INDEX(jr_name,$O60)&amp;"")</f>
        <v/>
      </c>
      <c r="F60" s="57" t="str">
        <f>IF($O60="","",INDEX(jr_order,$O60)&amp;"")</f>
        <v/>
      </c>
      <c r="G60" s="57" t="str">
        <f>IF($O60="","",INDEX(jr_ext,$O60)&amp;"")</f>
        <v/>
      </c>
      <c r="H60" s="57" t="str">
        <f>IF($O60="","",INDEX(jr_carrier,$O60)&amp;"")</f>
        <v/>
      </c>
      <c r="I60" s="66" t="str">
        <f>IF(A60="","",COUNTIF(jr_num,A60))</f>
        <v/>
      </c>
      <c r="J60" s="66" t="str">
        <f>IF(A60="","",SUMIF(jr_num,A60,jr_colis))</f>
        <v/>
      </c>
      <c r="K60" s="63" t="str">
        <f>IF(A60="","",SUMIF(jr_num,A60,jr_kg))</f>
        <v/>
      </c>
      <c r="L60" s="64" t="str">
        <f>IF(A60="","",SUMIF(jr_num,A60,jr_val))</f>
        <v/>
      </c>
      <c r="M60" s="60" t="str">
        <f>IF(A60="","",IF(COUNTIFS(jr_num,A60,jr_check,"&lt;&gt;OK")&gt;0,"À vérifier",IF(LEFT(A60,2)="BL",IF(COUNTIFS(jr_num,A60,jr_rel,"&gt;0")&gt;0,"Reliquat en cours",IF(COUNTIFS(jr_num,A60,jr_gap,"&lt;0")&gt;0,"Reliquat livré","Complet")),IF(LEFT(A60,2)="BR",IF(COUNTIFS(jr_num,A60,jr_etat,"Refusé")&gt;0,"Refusé",IF(COUNTIFS(jr_num,A60,jr_etat,"Avec réserves")&gt;0,"Avec réserves",IF(COUNTIFS(jr_num,A60,jr_rel,"&gt;0")&gt;0,"Reliquat en cours",IF(COUNTIFS(jr_num,A60,jr_gap,"&lt;0")+COUNTIFS(jr_num,A60,jr_gap,"&gt;0")&gt;0,"Écart","Conforme")))),IF(COUNTIFS(jr_num,A60,jr_gap,"&lt;0")&gt;0,"Partiel","Sorti")))))</f>
        <v/>
      </c>
      <c r="O60" t="str">
        <f>IFERROR(MATCH(55,jr_grank,0),"")</f>
        <v/>
      </c>
      <c r="R60" s="67" t="str">
        <f>IFERROR(INDEX(jr_num,MATCH("BL55",jr_nkey,0))&amp;"","")</f>
        <v/>
      </c>
      <c r="S60" s="67" t="str">
        <f>IFERROR(INDEX(jr_num,MATCH("BR55",jr_nkey,0))&amp;"","")</f>
        <v/>
      </c>
      <c r="T60" s="67" t="str">
        <f>IFERROR(INDEX(jr_num,MATCH("BS55",jr_nkey,0))&amp;"","")</f>
        <v/>
      </c>
    </row>
    <row r="61">
      <c r="A61" s="60" t="str">
        <f>IF($O61="","",INDEX(jr_num,$O61)&amp;"")</f>
        <v/>
      </c>
      <c r="B61" s="60" t="str">
        <f>IF($O61="","",IF(INDEX(jr_type,$O61)="BL","Livraison",IF(INDEX(jr_type,$O61)="BR","Réception","Sortie")))</f>
        <v/>
      </c>
      <c r="C61" s="65" t="str">
        <f>IF($O61="","",INDEX(jr_date,$O61))</f>
        <v/>
      </c>
      <c r="D61" s="60" t="str">
        <f>IF($O61="","",INDEX(jr_tiers,$O61)&amp;"")</f>
        <v/>
      </c>
      <c r="E61" s="57" t="str">
        <f>IF($O61="","",INDEX(jr_name,$O61)&amp;"")</f>
        <v/>
      </c>
      <c r="F61" s="57" t="str">
        <f>IF($O61="","",INDEX(jr_order,$O61)&amp;"")</f>
        <v/>
      </c>
      <c r="G61" s="57" t="str">
        <f>IF($O61="","",INDEX(jr_ext,$O61)&amp;"")</f>
        <v/>
      </c>
      <c r="H61" s="57" t="str">
        <f>IF($O61="","",INDEX(jr_carrier,$O61)&amp;"")</f>
        <v/>
      </c>
      <c r="I61" s="66" t="str">
        <f>IF(A61="","",COUNTIF(jr_num,A61))</f>
        <v/>
      </c>
      <c r="J61" s="66" t="str">
        <f>IF(A61="","",SUMIF(jr_num,A61,jr_colis))</f>
        <v/>
      </c>
      <c r="K61" s="63" t="str">
        <f>IF(A61="","",SUMIF(jr_num,A61,jr_kg))</f>
        <v/>
      </c>
      <c r="L61" s="64" t="str">
        <f>IF(A61="","",SUMIF(jr_num,A61,jr_val))</f>
        <v/>
      </c>
      <c r="M61" s="60" t="str">
        <f>IF(A61="","",IF(COUNTIFS(jr_num,A61,jr_check,"&lt;&gt;OK")&gt;0,"À vérifier",IF(LEFT(A61,2)="BL",IF(COUNTIFS(jr_num,A61,jr_rel,"&gt;0")&gt;0,"Reliquat en cours",IF(COUNTIFS(jr_num,A61,jr_gap,"&lt;0")&gt;0,"Reliquat livré","Complet")),IF(LEFT(A61,2)="BR",IF(COUNTIFS(jr_num,A61,jr_etat,"Refusé")&gt;0,"Refusé",IF(COUNTIFS(jr_num,A61,jr_etat,"Avec réserves")&gt;0,"Avec réserves",IF(COUNTIFS(jr_num,A61,jr_rel,"&gt;0")&gt;0,"Reliquat en cours",IF(COUNTIFS(jr_num,A61,jr_gap,"&lt;0")+COUNTIFS(jr_num,A61,jr_gap,"&gt;0")&gt;0,"Écart","Conforme")))),IF(COUNTIFS(jr_num,A61,jr_gap,"&lt;0")&gt;0,"Partiel","Sorti")))))</f>
        <v/>
      </c>
      <c r="O61" t="str">
        <f>IFERROR(MATCH(56,jr_grank,0),"")</f>
        <v/>
      </c>
      <c r="R61" s="67" t="str">
        <f>IFERROR(INDEX(jr_num,MATCH("BL56",jr_nkey,0))&amp;"","")</f>
        <v/>
      </c>
      <c r="S61" s="67" t="str">
        <f>IFERROR(INDEX(jr_num,MATCH("BR56",jr_nkey,0))&amp;"","")</f>
        <v/>
      </c>
      <c r="T61" s="67" t="str">
        <f>IFERROR(INDEX(jr_num,MATCH("BS56",jr_nkey,0))&amp;"","")</f>
        <v/>
      </c>
    </row>
    <row r="62">
      <c r="A62" s="60" t="str">
        <f>IF($O62="","",INDEX(jr_num,$O62)&amp;"")</f>
        <v/>
      </c>
      <c r="B62" s="60" t="str">
        <f>IF($O62="","",IF(INDEX(jr_type,$O62)="BL","Livraison",IF(INDEX(jr_type,$O62)="BR","Réception","Sortie")))</f>
        <v/>
      </c>
      <c r="C62" s="65" t="str">
        <f>IF($O62="","",INDEX(jr_date,$O62))</f>
        <v/>
      </c>
      <c r="D62" s="60" t="str">
        <f>IF($O62="","",INDEX(jr_tiers,$O62)&amp;"")</f>
        <v/>
      </c>
      <c r="E62" s="57" t="str">
        <f>IF($O62="","",INDEX(jr_name,$O62)&amp;"")</f>
        <v/>
      </c>
      <c r="F62" s="57" t="str">
        <f>IF($O62="","",INDEX(jr_order,$O62)&amp;"")</f>
        <v/>
      </c>
      <c r="G62" s="57" t="str">
        <f>IF($O62="","",INDEX(jr_ext,$O62)&amp;"")</f>
        <v/>
      </c>
      <c r="H62" s="57" t="str">
        <f>IF($O62="","",INDEX(jr_carrier,$O62)&amp;"")</f>
        <v/>
      </c>
      <c r="I62" s="66" t="str">
        <f>IF(A62="","",COUNTIF(jr_num,A62))</f>
        <v/>
      </c>
      <c r="J62" s="66" t="str">
        <f>IF(A62="","",SUMIF(jr_num,A62,jr_colis))</f>
        <v/>
      </c>
      <c r="K62" s="63" t="str">
        <f>IF(A62="","",SUMIF(jr_num,A62,jr_kg))</f>
        <v/>
      </c>
      <c r="L62" s="64" t="str">
        <f>IF(A62="","",SUMIF(jr_num,A62,jr_val))</f>
        <v/>
      </c>
      <c r="M62" s="60" t="str">
        <f>IF(A62="","",IF(COUNTIFS(jr_num,A62,jr_check,"&lt;&gt;OK")&gt;0,"À vérifier",IF(LEFT(A62,2)="BL",IF(COUNTIFS(jr_num,A62,jr_rel,"&gt;0")&gt;0,"Reliquat en cours",IF(COUNTIFS(jr_num,A62,jr_gap,"&lt;0")&gt;0,"Reliquat livré","Complet")),IF(LEFT(A62,2)="BR",IF(COUNTIFS(jr_num,A62,jr_etat,"Refusé")&gt;0,"Refusé",IF(COUNTIFS(jr_num,A62,jr_etat,"Avec réserves")&gt;0,"Avec réserves",IF(COUNTIFS(jr_num,A62,jr_rel,"&gt;0")&gt;0,"Reliquat en cours",IF(COUNTIFS(jr_num,A62,jr_gap,"&lt;0")+COUNTIFS(jr_num,A62,jr_gap,"&gt;0")&gt;0,"Écart","Conforme")))),IF(COUNTIFS(jr_num,A62,jr_gap,"&lt;0")&gt;0,"Partiel","Sorti")))))</f>
        <v/>
      </c>
      <c r="O62" t="str">
        <f>IFERROR(MATCH(57,jr_grank,0),"")</f>
        <v/>
      </c>
      <c r="R62" s="67" t="str">
        <f>IFERROR(INDEX(jr_num,MATCH("BL57",jr_nkey,0))&amp;"","")</f>
        <v/>
      </c>
      <c r="S62" s="67" t="str">
        <f>IFERROR(INDEX(jr_num,MATCH("BR57",jr_nkey,0))&amp;"","")</f>
        <v/>
      </c>
      <c r="T62" s="67" t="str">
        <f>IFERROR(INDEX(jr_num,MATCH("BS57",jr_nkey,0))&amp;"","")</f>
        <v/>
      </c>
    </row>
    <row r="63">
      <c r="A63" s="60" t="str">
        <f>IF($O63="","",INDEX(jr_num,$O63)&amp;"")</f>
        <v/>
      </c>
      <c r="B63" s="60" t="str">
        <f>IF($O63="","",IF(INDEX(jr_type,$O63)="BL","Livraison",IF(INDEX(jr_type,$O63)="BR","Réception","Sortie")))</f>
        <v/>
      </c>
      <c r="C63" s="65" t="str">
        <f>IF($O63="","",INDEX(jr_date,$O63))</f>
        <v/>
      </c>
      <c r="D63" s="60" t="str">
        <f>IF($O63="","",INDEX(jr_tiers,$O63)&amp;"")</f>
        <v/>
      </c>
      <c r="E63" s="57" t="str">
        <f>IF($O63="","",INDEX(jr_name,$O63)&amp;"")</f>
        <v/>
      </c>
      <c r="F63" s="57" t="str">
        <f>IF($O63="","",INDEX(jr_order,$O63)&amp;"")</f>
        <v/>
      </c>
      <c r="G63" s="57" t="str">
        <f>IF($O63="","",INDEX(jr_ext,$O63)&amp;"")</f>
        <v/>
      </c>
      <c r="H63" s="57" t="str">
        <f>IF($O63="","",INDEX(jr_carrier,$O63)&amp;"")</f>
        <v/>
      </c>
      <c r="I63" s="66" t="str">
        <f>IF(A63="","",COUNTIF(jr_num,A63))</f>
        <v/>
      </c>
      <c r="J63" s="66" t="str">
        <f>IF(A63="","",SUMIF(jr_num,A63,jr_colis))</f>
        <v/>
      </c>
      <c r="K63" s="63" t="str">
        <f>IF(A63="","",SUMIF(jr_num,A63,jr_kg))</f>
        <v/>
      </c>
      <c r="L63" s="64" t="str">
        <f>IF(A63="","",SUMIF(jr_num,A63,jr_val))</f>
        <v/>
      </c>
      <c r="M63" s="60" t="str">
        <f>IF(A63="","",IF(COUNTIFS(jr_num,A63,jr_check,"&lt;&gt;OK")&gt;0,"À vérifier",IF(LEFT(A63,2)="BL",IF(COUNTIFS(jr_num,A63,jr_rel,"&gt;0")&gt;0,"Reliquat en cours",IF(COUNTIFS(jr_num,A63,jr_gap,"&lt;0")&gt;0,"Reliquat livré","Complet")),IF(LEFT(A63,2)="BR",IF(COUNTIFS(jr_num,A63,jr_etat,"Refusé")&gt;0,"Refusé",IF(COUNTIFS(jr_num,A63,jr_etat,"Avec réserves")&gt;0,"Avec réserves",IF(COUNTIFS(jr_num,A63,jr_rel,"&gt;0")&gt;0,"Reliquat en cours",IF(COUNTIFS(jr_num,A63,jr_gap,"&lt;0")+COUNTIFS(jr_num,A63,jr_gap,"&gt;0")&gt;0,"Écart","Conforme")))),IF(COUNTIFS(jr_num,A63,jr_gap,"&lt;0")&gt;0,"Partiel","Sorti")))))</f>
        <v/>
      </c>
      <c r="O63" t="str">
        <f>IFERROR(MATCH(58,jr_grank,0),"")</f>
        <v/>
      </c>
      <c r="R63" s="67" t="str">
        <f>IFERROR(INDEX(jr_num,MATCH("BL58",jr_nkey,0))&amp;"","")</f>
        <v/>
      </c>
      <c r="S63" s="67" t="str">
        <f>IFERROR(INDEX(jr_num,MATCH("BR58",jr_nkey,0))&amp;"","")</f>
        <v/>
      </c>
      <c r="T63" s="67" t="str">
        <f>IFERROR(INDEX(jr_num,MATCH("BS58",jr_nkey,0))&amp;"","")</f>
        <v/>
      </c>
    </row>
    <row r="64">
      <c r="A64" s="60" t="str">
        <f>IF($O64="","",INDEX(jr_num,$O64)&amp;"")</f>
        <v/>
      </c>
      <c r="B64" s="60" t="str">
        <f>IF($O64="","",IF(INDEX(jr_type,$O64)="BL","Livraison",IF(INDEX(jr_type,$O64)="BR","Réception","Sortie")))</f>
        <v/>
      </c>
      <c r="C64" s="65" t="str">
        <f>IF($O64="","",INDEX(jr_date,$O64))</f>
        <v/>
      </c>
      <c r="D64" s="60" t="str">
        <f>IF($O64="","",INDEX(jr_tiers,$O64)&amp;"")</f>
        <v/>
      </c>
      <c r="E64" s="57" t="str">
        <f>IF($O64="","",INDEX(jr_name,$O64)&amp;"")</f>
        <v/>
      </c>
      <c r="F64" s="57" t="str">
        <f>IF($O64="","",INDEX(jr_order,$O64)&amp;"")</f>
        <v/>
      </c>
      <c r="G64" s="57" t="str">
        <f>IF($O64="","",INDEX(jr_ext,$O64)&amp;"")</f>
        <v/>
      </c>
      <c r="H64" s="57" t="str">
        <f>IF($O64="","",INDEX(jr_carrier,$O64)&amp;"")</f>
        <v/>
      </c>
      <c r="I64" s="66" t="str">
        <f>IF(A64="","",COUNTIF(jr_num,A64))</f>
        <v/>
      </c>
      <c r="J64" s="66" t="str">
        <f>IF(A64="","",SUMIF(jr_num,A64,jr_colis))</f>
        <v/>
      </c>
      <c r="K64" s="63" t="str">
        <f>IF(A64="","",SUMIF(jr_num,A64,jr_kg))</f>
        <v/>
      </c>
      <c r="L64" s="64" t="str">
        <f>IF(A64="","",SUMIF(jr_num,A64,jr_val))</f>
        <v/>
      </c>
      <c r="M64" s="60" t="str">
        <f>IF(A64="","",IF(COUNTIFS(jr_num,A64,jr_check,"&lt;&gt;OK")&gt;0,"À vérifier",IF(LEFT(A64,2)="BL",IF(COUNTIFS(jr_num,A64,jr_rel,"&gt;0")&gt;0,"Reliquat en cours",IF(COUNTIFS(jr_num,A64,jr_gap,"&lt;0")&gt;0,"Reliquat livré","Complet")),IF(LEFT(A64,2)="BR",IF(COUNTIFS(jr_num,A64,jr_etat,"Refusé")&gt;0,"Refusé",IF(COUNTIFS(jr_num,A64,jr_etat,"Avec réserves")&gt;0,"Avec réserves",IF(COUNTIFS(jr_num,A64,jr_rel,"&gt;0")&gt;0,"Reliquat en cours",IF(COUNTIFS(jr_num,A64,jr_gap,"&lt;0")+COUNTIFS(jr_num,A64,jr_gap,"&gt;0")&gt;0,"Écart","Conforme")))),IF(COUNTIFS(jr_num,A64,jr_gap,"&lt;0")&gt;0,"Partiel","Sorti")))))</f>
        <v/>
      </c>
      <c r="O64" t="str">
        <f>IFERROR(MATCH(59,jr_grank,0),"")</f>
        <v/>
      </c>
      <c r="R64" s="67" t="str">
        <f>IFERROR(INDEX(jr_num,MATCH("BL59",jr_nkey,0))&amp;"","")</f>
        <v/>
      </c>
      <c r="S64" s="67" t="str">
        <f>IFERROR(INDEX(jr_num,MATCH("BR59",jr_nkey,0))&amp;"","")</f>
        <v/>
      </c>
      <c r="T64" s="67" t="str">
        <f>IFERROR(INDEX(jr_num,MATCH("BS59",jr_nkey,0))&amp;"","")</f>
        <v/>
      </c>
    </row>
    <row r="65">
      <c r="A65" s="60" t="str">
        <f>IF($O65="","",INDEX(jr_num,$O65)&amp;"")</f>
        <v/>
      </c>
      <c r="B65" s="60" t="str">
        <f>IF($O65="","",IF(INDEX(jr_type,$O65)="BL","Livraison",IF(INDEX(jr_type,$O65)="BR","Réception","Sortie")))</f>
        <v/>
      </c>
      <c r="C65" s="65" t="str">
        <f>IF($O65="","",INDEX(jr_date,$O65))</f>
        <v/>
      </c>
      <c r="D65" s="60" t="str">
        <f>IF($O65="","",INDEX(jr_tiers,$O65)&amp;"")</f>
        <v/>
      </c>
      <c r="E65" s="57" t="str">
        <f>IF($O65="","",INDEX(jr_name,$O65)&amp;"")</f>
        <v/>
      </c>
      <c r="F65" s="57" t="str">
        <f>IF($O65="","",INDEX(jr_order,$O65)&amp;"")</f>
        <v/>
      </c>
      <c r="G65" s="57" t="str">
        <f>IF($O65="","",INDEX(jr_ext,$O65)&amp;"")</f>
        <v/>
      </c>
      <c r="H65" s="57" t="str">
        <f>IF($O65="","",INDEX(jr_carrier,$O65)&amp;"")</f>
        <v/>
      </c>
      <c r="I65" s="66" t="str">
        <f>IF(A65="","",COUNTIF(jr_num,A65))</f>
        <v/>
      </c>
      <c r="J65" s="66" t="str">
        <f>IF(A65="","",SUMIF(jr_num,A65,jr_colis))</f>
        <v/>
      </c>
      <c r="K65" s="63" t="str">
        <f>IF(A65="","",SUMIF(jr_num,A65,jr_kg))</f>
        <v/>
      </c>
      <c r="L65" s="64" t="str">
        <f>IF(A65="","",SUMIF(jr_num,A65,jr_val))</f>
        <v/>
      </c>
      <c r="M65" s="60" t="str">
        <f>IF(A65="","",IF(COUNTIFS(jr_num,A65,jr_check,"&lt;&gt;OK")&gt;0,"À vérifier",IF(LEFT(A65,2)="BL",IF(COUNTIFS(jr_num,A65,jr_rel,"&gt;0")&gt;0,"Reliquat en cours",IF(COUNTIFS(jr_num,A65,jr_gap,"&lt;0")&gt;0,"Reliquat livré","Complet")),IF(LEFT(A65,2)="BR",IF(COUNTIFS(jr_num,A65,jr_etat,"Refusé")&gt;0,"Refusé",IF(COUNTIFS(jr_num,A65,jr_etat,"Avec réserves")&gt;0,"Avec réserves",IF(COUNTIFS(jr_num,A65,jr_rel,"&gt;0")&gt;0,"Reliquat en cours",IF(COUNTIFS(jr_num,A65,jr_gap,"&lt;0")+COUNTIFS(jr_num,A65,jr_gap,"&gt;0")&gt;0,"Écart","Conforme")))),IF(COUNTIFS(jr_num,A65,jr_gap,"&lt;0")&gt;0,"Partiel","Sorti")))))</f>
        <v/>
      </c>
      <c r="O65" t="str">
        <f>IFERROR(MATCH(60,jr_grank,0),"")</f>
        <v/>
      </c>
      <c r="R65" s="67" t="str">
        <f>IFERROR(INDEX(jr_num,MATCH("BL60",jr_nkey,0))&amp;"","")</f>
        <v/>
      </c>
      <c r="S65" s="67" t="str">
        <f>IFERROR(INDEX(jr_num,MATCH("BR60",jr_nkey,0))&amp;"","")</f>
        <v/>
      </c>
      <c r="T65" s="67" t="str">
        <f>IFERROR(INDEX(jr_num,MATCH("BS60",jr_nkey,0))&amp;"","")</f>
        <v/>
      </c>
    </row>
    <row r="66">
      <c r="A66" s="60" t="str">
        <f>IF($O66="","",INDEX(jr_num,$O66)&amp;"")</f>
        <v/>
      </c>
      <c r="B66" s="60" t="str">
        <f>IF($O66="","",IF(INDEX(jr_type,$O66)="BL","Livraison",IF(INDEX(jr_type,$O66)="BR","Réception","Sortie")))</f>
        <v/>
      </c>
      <c r="C66" s="65" t="str">
        <f>IF($O66="","",INDEX(jr_date,$O66))</f>
        <v/>
      </c>
      <c r="D66" s="60" t="str">
        <f>IF($O66="","",INDEX(jr_tiers,$O66)&amp;"")</f>
        <v/>
      </c>
      <c r="E66" s="57" t="str">
        <f>IF($O66="","",INDEX(jr_name,$O66)&amp;"")</f>
        <v/>
      </c>
      <c r="F66" s="57" t="str">
        <f>IF($O66="","",INDEX(jr_order,$O66)&amp;"")</f>
        <v/>
      </c>
      <c r="G66" s="57" t="str">
        <f>IF($O66="","",INDEX(jr_ext,$O66)&amp;"")</f>
        <v/>
      </c>
      <c r="H66" s="57" t="str">
        <f>IF($O66="","",INDEX(jr_carrier,$O66)&amp;"")</f>
        <v/>
      </c>
      <c r="I66" s="66" t="str">
        <f>IF(A66="","",COUNTIF(jr_num,A66))</f>
        <v/>
      </c>
      <c r="J66" s="66" t="str">
        <f>IF(A66="","",SUMIF(jr_num,A66,jr_colis))</f>
        <v/>
      </c>
      <c r="K66" s="63" t="str">
        <f>IF(A66="","",SUMIF(jr_num,A66,jr_kg))</f>
        <v/>
      </c>
      <c r="L66" s="64" t="str">
        <f>IF(A66="","",SUMIF(jr_num,A66,jr_val))</f>
        <v/>
      </c>
      <c r="M66" s="60" t="str">
        <f>IF(A66="","",IF(COUNTIFS(jr_num,A66,jr_check,"&lt;&gt;OK")&gt;0,"À vérifier",IF(LEFT(A66,2)="BL",IF(COUNTIFS(jr_num,A66,jr_rel,"&gt;0")&gt;0,"Reliquat en cours",IF(COUNTIFS(jr_num,A66,jr_gap,"&lt;0")&gt;0,"Reliquat livré","Complet")),IF(LEFT(A66,2)="BR",IF(COUNTIFS(jr_num,A66,jr_etat,"Refusé")&gt;0,"Refusé",IF(COUNTIFS(jr_num,A66,jr_etat,"Avec réserves")&gt;0,"Avec réserves",IF(COUNTIFS(jr_num,A66,jr_rel,"&gt;0")&gt;0,"Reliquat en cours",IF(COUNTIFS(jr_num,A66,jr_gap,"&lt;0")+COUNTIFS(jr_num,A66,jr_gap,"&gt;0")&gt;0,"Écart","Conforme")))),IF(COUNTIFS(jr_num,A66,jr_gap,"&lt;0")&gt;0,"Partiel","Sorti")))))</f>
        <v/>
      </c>
      <c r="O66" t="str">
        <f>IFERROR(MATCH(61,jr_grank,0),"")</f>
        <v/>
      </c>
      <c r="R66" s="67" t="str">
        <f>IFERROR(INDEX(jr_num,MATCH("BL61",jr_nkey,0))&amp;"","")</f>
        <v/>
      </c>
      <c r="S66" s="67" t="str">
        <f>IFERROR(INDEX(jr_num,MATCH("BR61",jr_nkey,0))&amp;"","")</f>
        <v/>
      </c>
      <c r="T66" s="67" t="str">
        <f>IFERROR(INDEX(jr_num,MATCH("BS61",jr_nkey,0))&amp;"","")</f>
        <v/>
      </c>
    </row>
    <row r="67">
      <c r="A67" s="60" t="str">
        <f>IF($O67="","",INDEX(jr_num,$O67)&amp;"")</f>
        <v/>
      </c>
      <c r="B67" s="60" t="str">
        <f>IF($O67="","",IF(INDEX(jr_type,$O67)="BL","Livraison",IF(INDEX(jr_type,$O67)="BR","Réception","Sortie")))</f>
        <v/>
      </c>
      <c r="C67" s="65" t="str">
        <f>IF($O67="","",INDEX(jr_date,$O67))</f>
        <v/>
      </c>
      <c r="D67" s="60" t="str">
        <f>IF($O67="","",INDEX(jr_tiers,$O67)&amp;"")</f>
        <v/>
      </c>
      <c r="E67" s="57" t="str">
        <f>IF($O67="","",INDEX(jr_name,$O67)&amp;"")</f>
        <v/>
      </c>
      <c r="F67" s="57" t="str">
        <f>IF($O67="","",INDEX(jr_order,$O67)&amp;"")</f>
        <v/>
      </c>
      <c r="G67" s="57" t="str">
        <f>IF($O67="","",INDEX(jr_ext,$O67)&amp;"")</f>
        <v/>
      </c>
      <c r="H67" s="57" t="str">
        <f>IF($O67="","",INDEX(jr_carrier,$O67)&amp;"")</f>
        <v/>
      </c>
      <c r="I67" s="66" t="str">
        <f>IF(A67="","",COUNTIF(jr_num,A67))</f>
        <v/>
      </c>
      <c r="J67" s="66" t="str">
        <f>IF(A67="","",SUMIF(jr_num,A67,jr_colis))</f>
        <v/>
      </c>
      <c r="K67" s="63" t="str">
        <f>IF(A67="","",SUMIF(jr_num,A67,jr_kg))</f>
        <v/>
      </c>
      <c r="L67" s="64" t="str">
        <f>IF(A67="","",SUMIF(jr_num,A67,jr_val))</f>
        <v/>
      </c>
      <c r="M67" s="60" t="str">
        <f>IF(A67="","",IF(COUNTIFS(jr_num,A67,jr_check,"&lt;&gt;OK")&gt;0,"À vérifier",IF(LEFT(A67,2)="BL",IF(COUNTIFS(jr_num,A67,jr_rel,"&gt;0")&gt;0,"Reliquat en cours",IF(COUNTIFS(jr_num,A67,jr_gap,"&lt;0")&gt;0,"Reliquat livré","Complet")),IF(LEFT(A67,2)="BR",IF(COUNTIFS(jr_num,A67,jr_etat,"Refusé")&gt;0,"Refusé",IF(COUNTIFS(jr_num,A67,jr_etat,"Avec réserves")&gt;0,"Avec réserves",IF(COUNTIFS(jr_num,A67,jr_rel,"&gt;0")&gt;0,"Reliquat en cours",IF(COUNTIFS(jr_num,A67,jr_gap,"&lt;0")+COUNTIFS(jr_num,A67,jr_gap,"&gt;0")&gt;0,"Écart","Conforme")))),IF(COUNTIFS(jr_num,A67,jr_gap,"&lt;0")&gt;0,"Partiel","Sorti")))))</f>
        <v/>
      </c>
      <c r="O67" t="str">
        <f>IFERROR(MATCH(62,jr_grank,0),"")</f>
        <v/>
      </c>
      <c r="R67" s="67" t="str">
        <f>IFERROR(INDEX(jr_num,MATCH("BL62",jr_nkey,0))&amp;"","")</f>
        <v/>
      </c>
      <c r="S67" s="67" t="str">
        <f>IFERROR(INDEX(jr_num,MATCH("BR62",jr_nkey,0))&amp;"","")</f>
        <v/>
      </c>
      <c r="T67" s="67" t="str">
        <f>IFERROR(INDEX(jr_num,MATCH("BS62",jr_nkey,0))&amp;"","")</f>
        <v/>
      </c>
    </row>
    <row r="68">
      <c r="A68" s="60" t="str">
        <f>IF($O68="","",INDEX(jr_num,$O68)&amp;"")</f>
        <v/>
      </c>
      <c r="B68" s="60" t="str">
        <f>IF($O68="","",IF(INDEX(jr_type,$O68)="BL","Livraison",IF(INDEX(jr_type,$O68)="BR","Réception","Sortie")))</f>
        <v/>
      </c>
      <c r="C68" s="65" t="str">
        <f>IF($O68="","",INDEX(jr_date,$O68))</f>
        <v/>
      </c>
      <c r="D68" s="60" t="str">
        <f>IF($O68="","",INDEX(jr_tiers,$O68)&amp;"")</f>
        <v/>
      </c>
      <c r="E68" s="57" t="str">
        <f>IF($O68="","",INDEX(jr_name,$O68)&amp;"")</f>
        <v/>
      </c>
      <c r="F68" s="57" t="str">
        <f>IF($O68="","",INDEX(jr_order,$O68)&amp;"")</f>
        <v/>
      </c>
      <c r="G68" s="57" t="str">
        <f>IF($O68="","",INDEX(jr_ext,$O68)&amp;"")</f>
        <v/>
      </c>
      <c r="H68" s="57" t="str">
        <f>IF($O68="","",INDEX(jr_carrier,$O68)&amp;"")</f>
        <v/>
      </c>
      <c r="I68" s="66" t="str">
        <f>IF(A68="","",COUNTIF(jr_num,A68))</f>
        <v/>
      </c>
      <c r="J68" s="66" t="str">
        <f>IF(A68="","",SUMIF(jr_num,A68,jr_colis))</f>
        <v/>
      </c>
      <c r="K68" s="63" t="str">
        <f>IF(A68="","",SUMIF(jr_num,A68,jr_kg))</f>
        <v/>
      </c>
      <c r="L68" s="64" t="str">
        <f>IF(A68="","",SUMIF(jr_num,A68,jr_val))</f>
        <v/>
      </c>
      <c r="M68" s="60" t="str">
        <f>IF(A68="","",IF(COUNTIFS(jr_num,A68,jr_check,"&lt;&gt;OK")&gt;0,"À vérifier",IF(LEFT(A68,2)="BL",IF(COUNTIFS(jr_num,A68,jr_rel,"&gt;0")&gt;0,"Reliquat en cours",IF(COUNTIFS(jr_num,A68,jr_gap,"&lt;0")&gt;0,"Reliquat livré","Complet")),IF(LEFT(A68,2)="BR",IF(COUNTIFS(jr_num,A68,jr_etat,"Refusé")&gt;0,"Refusé",IF(COUNTIFS(jr_num,A68,jr_etat,"Avec réserves")&gt;0,"Avec réserves",IF(COUNTIFS(jr_num,A68,jr_rel,"&gt;0")&gt;0,"Reliquat en cours",IF(COUNTIFS(jr_num,A68,jr_gap,"&lt;0")+COUNTIFS(jr_num,A68,jr_gap,"&gt;0")&gt;0,"Écart","Conforme")))),IF(COUNTIFS(jr_num,A68,jr_gap,"&lt;0")&gt;0,"Partiel","Sorti")))))</f>
        <v/>
      </c>
      <c r="O68" t="str">
        <f>IFERROR(MATCH(63,jr_grank,0),"")</f>
        <v/>
      </c>
      <c r="R68" s="67" t="str">
        <f>IFERROR(INDEX(jr_num,MATCH("BL63",jr_nkey,0))&amp;"","")</f>
        <v/>
      </c>
      <c r="S68" s="67" t="str">
        <f>IFERROR(INDEX(jr_num,MATCH("BR63",jr_nkey,0))&amp;"","")</f>
        <v/>
      </c>
      <c r="T68" s="67" t="str">
        <f>IFERROR(INDEX(jr_num,MATCH("BS63",jr_nkey,0))&amp;"","")</f>
        <v/>
      </c>
    </row>
    <row r="69">
      <c r="A69" s="60" t="str">
        <f>IF($O69="","",INDEX(jr_num,$O69)&amp;"")</f>
        <v/>
      </c>
      <c r="B69" s="60" t="str">
        <f>IF($O69="","",IF(INDEX(jr_type,$O69)="BL","Livraison",IF(INDEX(jr_type,$O69)="BR","Réception","Sortie")))</f>
        <v/>
      </c>
      <c r="C69" s="65" t="str">
        <f>IF($O69="","",INDEX(jr_date,$O69))</f>
        <v/>
      </c>
      <c r="D69" s="60" t="str">
        <f>IF($O69="","",INDEX(jr_tiers,$O69)&amp;"")</f>
        <v/>
      </c>
      <c r="E69" s="57" t="str">
        <f>IF($O69="","",INDEX(jr_name,$O69)&amp;"")</f>
        <v/>
      </c>
      <c r="F69" s="57" t="str">
        <f>IF($O69="","",INDEX(jr_order,$O69)&amp;"")</f>
        <v/>
      </c>
      <c r="G69" s="57" t="str">
        <f>IF($O69="","",INDEX(jr_ext,$O69)&amp;"")</f>
        <v/>
      </c>
      <c r="H69" s="57" t="str">
        <f>IF($O69="","",INDEX(jr_carrier,$O69)&amp;"")</f>
        <v/>
      </c>
      <c r="I69" s="66" t="str">
        <f>IF(A69="","",COUNTIF(jr_num,A69))</f>
        <v/>
      </c>
      <c r="J69" s="66" t="str">
        <f>IF(A69="","",SUMIF(jr_num,A69,jr_colis))</f>
        <v/>
      </c>
      <c r="K69" s="63" t="str">
        <f>IF(A69="","",SUMIF(jr_num,A69,jr_kg))</f>
        <v/>
      </c>
      <c r="L69" s="64" t="str">
        <f>IF(A69="","",SUMIF(jr_num,A69,jr_val))</f>
        <v/>
      </c>
      <c r="M69" s="60" t="str">
        <f>IF(A69="","",IF(COUNTIFS(jr_num,A69,jr_check,"&lt;&gt;OK")&gt;0,"À vérifier",IF(LEFT(A69,2)="BL",IF(COUNTIFS(jr_num,A69,jr_rel,"&gt;0")&gt;0,"Reliquat en cours",IF(COUNTIFS(jr_num,A69,jr_gap,"&lt;0")&gt;0,"Reliquat livré","Complet")),IF(LEFT(A69,2)="BR",IF(COUNTIFS(jr_num,A69,jr_etat,"Refusé")&gt;0,"Refusé",IF(COUNTIFS(jr_num,A69,jr_etat,"Avec réserves")&gt;0,"Avec réserves",IF(COUNTIFS(jr_num,A69,jr_rel,"&gt;0")&gt;0,"Reliquat en cours",IF(COUNTIFS(jr_num,A69,jr_gap,"&lt;0")+COUNTIFS(jr_num,A69,jr_gap,"&gt;0")&gt;0,"Écart","Conforme")))),IF(COUNTIFS(jr_num,A69,jr_gap,"&lt;0")&gt;0,"Partiel","Sorti")))))</f>
        <v/>
      </c>
      <c r="O69" t="str">
        <f>IFERROR(MATCH(64,jr_grank,0),"")</f>
        <v/>
      </c>
      <c r="R69" s="67" t="str">
        <f>IFERROR(INDEX(jr_num,MATCH("BL64",jr_nkey,0))&amp;"","")</f>
        <v/>
      </c>
      <c r="S69" s="67" t="str">
        <f>IFERROR(INDEX(jr_num,MATCH("BR64",jr_nkey,0))&amp;"","")</f>
        <v/>
      </c>
      <c r="T69" s="67" t="str">
        <f>IFERROR(INDEX(jr_num,MATCH("BS64",jr_nkey,0))&amp;"","")</f>
        <v/>
      </c>
    </row>
    <row r="70">
      <c r="A70" s="60" t="str">
        <f>IF($O70="","",INDEX(jr_num,$O70)&amp;"")</f>
        <v/>
      </c>
      <c r="B70" s="60" t="str">
        <f>IF($O70="","",IF(INDEX(jr_type,$O70)="BL","Livraison",IF(INDEX(jr_type,$O70)="BR","Réception","Sortie")))</f>
        <v/>
      </c>
      <c r="C70" s="65" t="str">
        <f>IF($O70="","",INDEX(jr_date,$O70))</f>
        <v/>
      </c>
      <c r="D70" s="60" t="str">
        <f>IF($O70="","",INDEX(jr_tiers,$O70)&amp;"")</f>
        <v/>
      </c>
      <c r="E70" s="57" t="str">
        <f>IF($O70="","",INDEX(jr_name,$O70)&amp;"")</f>
        <v/>
      </c>
      <c r="F70" s="57" t="str">
        <f>IF($O70="","",INDEX(jr_order,$O70)&amp;"")</f>
        <v/>
      </c>
      <c r="G70" s="57" t="str">
        <f>IF($O70="","",INDEX(jr_ext,$O70)&amp;"")</f>
        <v/>
      </c>
      <c r="H70" s="57" t="str">
        <f>IF($O70="","",INDEX(jr_carrier,$O70)&amp;"")</f>
        <v/>
      </c>
      <c r="I70" s="66" t="str">
        <f>IF(A70="","",COUNTIF(jr_num,A70))</f>
        <v/>
      </c>
      <c r="J70" s="66" t="str">
        <f>IF(A70="","",SUMIF(jr_num,A70,jr_colis))</f>
        <v/>
      </c>
      <c r="K70" s="63" t="str">
        <f>IF(A70="","",SUMIF(jr_num,A70,jr_kg))</f>
        <v/>
      </c>
      <c r="L70" s="64" t="str">
        <f>IF(A70="","",SUMIF(jr_num,A70,jr_val))</f>
        <v/>
      </c>
      <c r="M70" s="60" t="str">
        <f>IF(A70="","",IF(COUNTIFS(jr_num,A70,jr_check,"&lt;&gt;OK")&gt;0,"À vérifier",IF(LEFT(A70,2)="BL",IF(COUNTIFS(jr_num,A70,jr_rel,"&gt;0")&gt;0,"Reliquat en cours",IF(COUNTIFS(jr_num,A70,jr_gap,"&lt;0")&gt;0,"Reliquat livré","Complet")),IF(LEFT(A70,2)="BR",IF(COUNTIFS(jr_num,A70,jr_etat,"Refusé")&gt;0,"Refusé",IF(COUNTIFS(jr_num,A70,jr_etat,"Avec réserves")&gt;0,"Avec réserves",IF(COUNTIFS(jr_num,A70,jr_rel,"&gt;0")&gt;0,"Reliquat en cours",IF(COUNTIFS(jr_num,A70,jr_gap,"&lt;0")+COUNTIFS(jr_num,A70,jr_gap,"&gt;0")&gt;0,"Écart","Conforme")))),IF(COUNTIFS(jr_num,A70,jr_gap,"&lt;0")&gt;0,"Partiel","Sorti")))))</f>
        <v/>
      </c>
      <c r="O70" t="str">
        <f>IFERROR(MATCH(65,jr_grank,0),"")</f>
        <v/>
      </c>
      <c r="R70" s="67" t="str">
        <f>IFERROR(INDEX(jr_num,MATCH("BL65",jr_nkey,0))&amp;"","")</f>
        <v/>
      </c>
      <c r="S70" s="67" t="str">
        <f>IFERROR(INDEX(jr_num,MATCH("BR65",jr_nkey,0))&amp;"","")</f>
        <v/>
      </c>
      <c r="T70" s="67" t="str">
        <f>IFERROR(INDEX(jr_num,MATCH("BS65",jr_nkey,0))&amp;"","")</f>
        <v/>
      </c>
    </row>
    <row r="71">
      <c r="A71" s="60" t="str">
        <f>IF($O71="","",INDEX(jr_num,$O71)&amp;"")</f>
        <v/>
      </c>
      <c r="B71" s="60" t="str">
        <f>IF($O71="","",IF(INDEX(jr_type,$O71)="BL","Livraison",IF(INDEX(jr_type,$O71)="BR","Réception","Sortie")))</f>
        <v/>
      </c>
      <c r="C71" s="65" t="str">
        <f>IF($O71="","",INDEX(jr_date,$O71))</f>
        <v/>
      </c>
      <c r="D71" s="60" t="str">
        <f>IF($O71="","",INDEX(jr_tiers,$O71)&amp;"")</f>
        <v/>
      </c>
      <c r="E71" s="57" t="str">
        <f>IF($O71="","",INDEX(jr_name,$O71)&amp;"")</f>
        <v/>
      </c>
      <c r="F71" s="57" t="str">
        <f>IF($O71="","",INDEX(jr_order,$O71)&amp;"")</f>
        <v/>
      </c>
      <c r="G71" s="57" t="str">
        <f>IF($O71="","",INDEX(jr_ext,$O71)&amp;"")</f>
        <v/>
      </c>
      <c r="H71" s="57" t="str">
        <f>IF($O71="","",INDEX(jr_carrier,$O71)&amp;"")</f>
        <v/>
      </c>
      <c r="I71" s="66" t="str">
        <f>IF(A71="","",COUNTIF(jr_num,A71))</f>
        <v/>
      </c>
      <c r="J71" s="66" t="str">
        <f>IF(A71="","",SUMIF(jr_num,A71,jr_colis))</f>
        <v/>
      </c>
      <c r="K71" s="63" t="str">
        <f>IF(A71="","",SUMIF(jr_num,A71,jr_kg))</f>
        <v/>
      </c>
      <c r="L71" s="64" t="str">
        <f>IF(A71="","",SUMIF(jr_num,A71,jr_val))</f>
        <v/>
      </c>
      <c r="M71" s="60" t="str">
        <f>IF(A71="","",IF(COUNTIFS(jr_num,A71,jr_check,"&lt;&gt;OK")&gt;0,"À vérifier",IF(LEFT(A71,2)="BL",IF(COUNTIFS(jr_num,A71,jr_rel,"&gt;0")&gt;0,"Reliquat en cours",IF(COUNTIFS(jr_num,A71,jr_gap,"&lt;0")&gt;0,"Reliquat livré","Complet")),IF(LEFT(A71,2)="BR",IF(COUNTIFS(jr_num,A71,jr_etat,"Refusé")&gt;0,"Refusé",IF(COUNTIFS(jr_num,A71,jr_etat,"Avec réserves")&gt;0,"Avec réserves",IF(COUNTIFS(jr_num,A71,jr_rel,"&gt;0")&gt;0,"Reliquat en cours",IF(COUNTIFS(jr_num,A71,jr_gap,"&lt;0")+COUNTIFS(jr_num,A71,jr_gap,"&gt;0")&gt;0,"Écart","Conforme")))),IF(COUNTIFS(jr_num,A71,jr_gap,"&lt;0")&gt;0,"Partiel","Sorti")))))</f>
        <v/>
      </c>
      <c r="O71" t="str">
        <f>IFERROR(MATCH(66,jr_grank,0),"")</f>
        <v/>
      </c>
      <c r="R71" s="67" t="str">
        <f>IFERROR(INDEX(jr_num,MATCH("BL66",jr_nkey,0))&amp;"","")</f>
        <v/>
      </c>
      <c r="S71" s="67" t="str">
        <f>IFERROR(INDEX(jr_num,MATCH("BR66",jr_nkey,0))&amp;"","")</f>
        <v/>
      </c>
      <c r="T71" s="67" t="str">
        <f>IFERROR(INDEX(jr_num,MATCH("BS66",jr_nkey,0))&amp;"","")</f>
        <v/>
      </c>
    </row>
    <row r="72">
      <c r="A72" s="60" t="str">
        <f>IF($O72="","",INDEX(jr_num,$O72)&amp;"")</f>
        <v/>
      </c>
      <c r="B72" s="60" t="str">
        <f>IF($O72="","",IF(INDEX(jr_type,$O72)="BL","Livraison",IF(INDEX(jr_type,$O72)="BR","Réception","Sortie")))</f>
        <v/>
      </c>
      <c r="C72" s="65" t="str">
        <f>IF($O72="","",INDEX(jr_date,$O72))</f>
        <v/>
      </c>
      <c r="D72" s="60" t="str">
        <f>IF($O72="","",INDEX(jr_tiers,$O72)&amp;"")</f>
        <v/>
      </c>
      <c r="E72" s="57" t="str">
        <f>IF($O72="","",INDEX(jr_name,$O72)&amp;"")</f>
        <v/>
      </c>
      <c r="F72" s="57" t="str">
        <f>IF($O72="","",INDEX(jr_order,$O72)&amp;"")</f>
        <v/>
      </c>
      <c r="G72" s="57" t="str">
        <f>IF($O72="","",INDEX(jr_ext,$O72)&amp;"")</f>
        <v/>
      </c>
      <c r="H72" s="57" t="str">
        <f>IF($O72="","",INDEX(jr_carrier,$O72)&amp;"")</f>
        <v/>
      </c>
      <c r="I72" s="66" t="str">
        <f>IF(A72="","",COUNTIF(jr_num,A72))</f>
        <v/>
      </c>
      <c r="J72" s="66" t="str">
        <f>IF(A72="","",SUMIF(jr_num,A72,jr_colis))</f>
        <v/>
      </c>
      <c r="K72" s="63" t="str">
        <f>IF(A72="","",SUMIF(jr_num,A72,jr_kg))</f>
        <v/>
      </c>
      <c r="L72" s="64" t="str">
        <f>IF(A72="","",SUMIF(jr_num,A72,jr_val))</f>
        <v/>
      </c>
      <c r="M72" s="60" t="str">
        <f>IF(A72="","",IF(COUNTIFS(jr_num,A72,jr_check,"&lt;&gt;OK")&gt;0,"À vérifier",IF(LEFT(A72,2)="BL",IF(COUNTIFS(jr_num,A72,jr_rel,"&gt;0")&gt;0,"Reliquat en cours",IF(COUNTIFS(jr_num,A72,jr_gap,"&lt;0")&gt;0,"Reliquat livré","Complet")),IF(LEFT(A72,2)="BR",IF(COUNTIFS(jr_num,A72,jr_etat,"Refusé")&gt;0,"Refusé",IF(COUNTIFS(jr_num,A72,jr_etat,"Avec réserves")&gt;0,"Avec réserves",IF(COUNTIFS(jr_num,A72,jr_rel,"&gt;0")&gt;0,"Reliquat en cours",IF(COUNTIFS(jr_num,A72,jr_gap,"&lt;0")+COUNTIFS(jr_num,A72,jr_gap,"&gt;0")&gt;0,"Écart","Conforme")))),IF(COUNTIFS(jr_num,A72,jr_gap,"&lt;0")&gt;0,"Partiel","Sorti")))))</f>
        <v/>
      </c>
      <c r="O72" t="str">
        <f>IFERROR(MATCH(67,jr_grank,0),"")</f>
        <v/>
      </c>
      <c r="R72" s="67" t="str">
        <f>IFERROR(INDEX(jr_num,MATCH("BL67",jr_nkey,0))&amp;"","")</f>
        <v/>
      </c>
      <c r="S72" s="67" t="str">
        <f>IFERROR(INDEX(jr_num,MATCH("BR67",jr_nkey,0))&amp;"","")</f>
        <v/>
      </c>
      <c r="T72" s="67" t="str">
        <f>IFERROR(INDEX(jr_num,MATCH("BS67",jr_nkey,0))&amp;"","")</f>
        <v/>
      </c>
    </row>
    <row r="73">
      <c r="A73" s="60" t="str">
        <f>IF($O73="","",INDEX(jr_num,$O73)&amp;"")</f>
        <v/>
      </c>
      <c r="B73" s="60" t="str">
        <f>IF($O73="","",IF(INDEX(jr_type,$O73)="BL","Livraison",IF(INDEX(jr_type,$O73)="BR","Réception","Sortie")))</f>
        <v/>
      </c>
      <c r="C73" s="65" t="str">
        <f>IF($O73="","",INDEX(jr_date,$O73))</f>
        <v/>
      </c>
      <c r="D73" s="60" t="str">
        <f>IF($O73="","",INDEX(jr_tiers,$O73)&amp;"")</f>
        <v/>
      </c>
      <c r="E73" s="57" t="str">
        <f>IF($O73="","",INDEX(jr_name,$O73)&amp;"")</f>
        <v/>
      </c>
      <c r="F73" s="57" t="str">
        <f>IF($O73="","",INDEX(jr_order,$O73)&amp;"")</f>
        <v/>
      </c>
      <c r="G73" s="57" t="str">
        <f>IF($O73="","",INDEX(jr_ext,$O73)&amp;"")</f>
        <v/>
      </c>
      <c r="H73" s="57" t="str">
        <f>IF($O73="","",INDEX(jr_carrier,$O73)&amp;"")</f>
        <v/>
      </c>
      <c r="I73" s="66" t="str">
        <f>IF(A73="","",COUNTIF(jr_num,A73))</f>
        <v/>
      </c>
      <c r="J73" s="66" t="str">
        <f>IF(A73="","",SUMIF(jr_num,A73,jr_colis))</f>
        <v/>
      </c>
      <c r="K73" s="63" t="str">
        <f>IF(A73="","",SUMIF(jr_num,A73,jr_kg))</f>
        <v/>
      </c>
      <c r="L73" s="64" t="str">
        <f>IF(A73="","",SUMIF(jr_num,A73,jr_val))</f>
        <v/>
      </c>
      <c r="M73" s="60" t="str">
        <f>IF(A73="","",IF(COUNTIFS(jr_num,A73,jr_check,"&lt;&gt;OK")&gt;0,"À vérifier",IF(LEFT(A73,2)="BL",IF(COUNTIFS(jr_num,A73,jr_rel,"&gt;0")&gt;0,"Reliquat en cours",IF(COUNTIFS(jr_num,A73,jr_gap,"&lt;0")&gt;0,"Reliquat livré","Complet")),IF(LEFT(A73,2)="BR",IF(COUNTIFS(jr_num,A73,jr_etat,"Refusé")&gt;0,"Refusé",IF(COUNTIFS(jr_num,A73,jr_etat,"Avec réserves")&gt;0,"Avec réserves",IF(COUNTIFS(jr_num,A73,jr_rel,"&gt;0")&gt;0,"Reliquat en cours",IF(COUNTIFS(jr_num,A73,jr_gap,"&lt;0")+COUNTIFS(jr_num,A73,jr_gap,"&gt;0")&gt;0,"Écart","Conforme")))),IF(COUNTIFS(jr_num,A73,jr_gap,"&lt;0")&gt;0,"Partiel","Sorti")))))</f>
        <v/>
      </c>
      <c r="O73" t="str">
        <f>IFERROR(MATCH(68,jr_grank,0),"")</f>
        <v/>
      </c>
      <c r="R73" s="67" t="str">
        <f>IFERROR(INDEX(jr_num,MATCH("BL68",jr_nkey,0))&amp;"","")</f>
        <v/>
      </c>
      <c r="S73" s="67" t="str">
        <f>IFERROR(INDEX(jr_num,MATCH("BR68",jr_nkey,0))&amp;"","")</f>
        <v/>
      </c>
      <c r="T73" s="67" t="str">
        <f>IFERROR(INDEX(jr_num,MATCH("BS68",jr_nkey,0))&amp;"","")</f>
        <v/>
      </c>
    </row>
    <row r="74">
      <c r="A74" s="60" t="str">
        <f>IF($O74="","",INDEX(jr_num,$O74)&amp;"")</f>
        <v/>
      </c>
      <c r="B74" s="60" t="str">
        <f>IF($O74="","",IF(INDEX(jr_type,$O74)="BL","Livraison",IF(INDEX(jr_type,$O74)="BR","Réception","Sortie")))</f>
        <v/>
      </c>
      <c r="C74" s="65" t="str">
        <f>IF($O74="","",INDEX(jr_date,$O74))</f>
        <v/>
      </c>
      <c r="D74" s="60" t="str">
        <f>IF($O74="","",INDEX(jr_tiers,$O74)&amp;"")</f>
        <v/>
      </c>
      <c r="E74" s="57" t="str">
        <f>IF($O74="","",INDEX(jr_name,$O74)&amp;"")</f>
        <v/>
      </c>
      <c r="F74" s="57" t="str">
        <f>IF($O74="","",INDEX(jr_order,$O74)&amp;"")</f>
        <v/>
      </c>
      <c r="G74" s="57" t="str">
        <f>IF($O74="","",INDEX(jr_ext,$O74)&amp;"")</f>
        <v/>
      </c>
      <c r="H74" s="57" t="str">
        <f>IF($O74="","",INDEX(jr_carrier,$O74)&amp;"")</f>
        <v/>
      </c>
      <c r="I74" s="66" t="str">
        <f>IF(A74="","",COUNTIF(jr_num,A74))</f>
        <v/>
      </c>
      <c r="J74" s="66" t="str">
        <f>IF(A74="","",SUMIF(jr_num,A74,jr_colis))</f>
        <v/>
      </c>
      <c r="K74" s="63" t="str">
        <f>IF(A74="","",SUMIF(jr_num,A74,jr_kg))</f>
        <v/>
      </c>
      <c r="L74" s="64" t="str">
        <f>IF(A74="","",SUMIF(jr_num,A74,jr_val))</f>
        <v/>
      </c>
      <c r="M74" s="60" t="str">
        <f>IF(A74="","",IF(COUNTIFS(jr_num,A74,jr_check,"&lt;&gt;OK")&gt;0,"À vérifier",IF(LEFT(A74,2)="BL",IF(COUNTIFS(jr_num,A74,jr_rel,"&gt;0")&gt;0,"Reliquat en cours",IF(COUNTIFS(jr_num,A74,jr_gap,"&lt;0")&gt;0,"Reliquat livré","Complet")),IF(LEFT(A74,2)="BR",IF(COUNTIFS(jr_num,A74,jr_etat,"Refusé")&gt;0,"Refusé",IF(COUNTIFS(jr_num,A74,jr_etat,"Avec réserves")&gt;0,"Avec réserves",IF(COUNTIFS(jr_num,A74,jr_rel,"&gt;0")&gt;0,"Reliquat en cours",IF(COUNTIFS(jr_num,A74,jr_gap,"&lt;0")+COUNTIFS(jr_num,A74,jr_gap,"&gt;0")&gt;0,"Écart","Conforme")))),IF(COUNTIFS(jr_num,A74,jr_gap,"&lt;0")&gt;0,"Partiel","Sorti")))))</f>
        <v/>
      </c>
      <c r="O74" t="str">
        <f>IFERROR(MATCH(69,jr_grank,0),"")</f>
        <v/>
      </c>
      <c r="R74" s="67" t="str">
        <f>IFERROR(INDEX(jr_num,MATCH("BL69",jr_nkey,0))&amp;"","")</f>
        <v/>
      </c>
      <c r="S74" s="67" t="str">
        <f>IFERROR(INDEX(jr_num,MATCH("BR69",jr_nkey,0))&amp;"","")</f>
        <v/>
      </c>
      <c r="T74" s="67" t="str">
        <f>IFERROR(INDEX(jr_num,MATCH("BS69",jr_nkey,0))&amp;"","")</f>
        <v/>
      </c>
    </row>
    <row r="75">
      <c r="A75" s="60" t="str">
        <f>IF($O75="","",INDEX(jr_num,$O75)&amp;"")</f>
        <v/>
      </c>
      <c r="B75" s="60" t="str">
        <f>IF($O75="","",IF(INDEX(jr_type,$O75)="BL","Livraison",IF(INDEX(jr_type,$O75)="BR","Réception","Sortie")))</f>
        <v/>
      </c>
      <c r="C75" s="65" t="str">
        <f>IF($O75="","",INDEX(jr_date,$O75))</f>
        <v/>
      </c>
      <c r="D75" s="60" t="str">
        <f>IF($O75="","",INDEX(jr_tiers,$O75)&amp;"")</f>
        <v/>
      </c>
      <c r="E75" s="57" t="str">
        <f>IF($O75="","",INDEX(jr_name,$O75)&amp;"")</f>
        <v/>
      </c>
      <c r="F75" s="57" t="str">
        <f>IF($O75="","",INDEX(jr_order,$O75)&amp;"")</f>
        <v/>
      </c>
      <c r="G75" s="57" t="str">
        <f>IF($O75="","",INDEX(jr_ext,$O75)&amp;"")</f>
        <v/>
      </c>
      <c r="H75" s="57" t="str">
        <f>IF($O75="","",INDEX(jr_carrier,$O75)&amp;"")</f>
        <v/>
      </c>
      <c r="I75" s="66" t="str">
        <f>IF(A75="","",COUNTIF(jr_num,A75))</f>
        <v/>
      </c>
      <c r="J75" s="66" t="str">
        <f>IF(A75="","",SUMIF(jr_num,A75,jr_colis))</f>
        <v/>
      </c>
      <c r="K75" s="63" t="str">
        <f>IF(A75="","",SUMIF(jr_num,A75,jr_kg))</f>
        <v/>
      </c>
      <c r="L75" s="64" t="str">
        <f>IF(A75="","",SUMIF(jr_num,A75,jr_val))</f>
        <v/>
      </c>
      <c r="M75" s="60" t="str">
        <f>IF(A75="","",IF(COUNTIFS(jr_num,A75,jr_check,"&lt;&gt;OK")&gt;0,"À vérifier",IF(LEFT(A75,2)="BL",IF(COUNTIFS(jr_num,A75,jr_rel,"&gt;0")&gt;0,"Reliquat en cours",IF(COUNTIFS(jr_num,A75,jr_gap,"&lt;0")&gt;0,"Reliquat livré","Complet")),IF(LEFT(A75,2)="BR",IF(COUNTIFS(jr_num,A75,jr_etat,"Refusé")&gt;0,"Refusé",IF(COUNTIFS(jr_num,A75,jr_etat,"Avec réserves")&gt;0,"Avec réserves",IF(COUNTIFS(jr_num,A75,jr_rel,"&gt;0")&gt;0,"Reliquat en cours",IF(COUNTIFS(jr_num,A75,jr_gap,"&lt;0")+COUNTIFS(jr_num,A75,jr_gap,"&gt;0")&gt;0,"Écart","Conforme")))),IF(COUNTIFS(jr_num,A75,jr_gap,"&lt;0")&gt;0,"Partiel","Sorti")))))</f>
        <v/>
      </c>
      <c r="O75" t="str">
        <f>IFERROR(MATCH(70,jr_grank,0),"")</f>
        <v/>
      </c>
      <c r="R75" s="67" t="str">
        <f>IFERROR(INDEX(jr_num,MATCH("BL70",jr_nkey,0))&amp;"","")</f>
        <v/>
      </c>
      <c r="S75" s="67" t="str">
        <f>IFERROR(INDEX(jr_num,MATCH("BR70",jr_nkey,0))&amp;"","")</f>
        <v/>
      </c>
      <c r="T75" s="67" t="str">
        <f>IFERROR(INDEX(jr_num,MATCH("BS70",jr_nkey,0))&amp;"","")</f>
        <v/>
      </c>
    </row>
    <row r="76">
      <c r="A76" s="60" t="str">
        <f>IF($O76="","",INDEX(jr_num,$O76)&amp;"")</f>
        <v/>
      </c>
      <c r="B76" s="60" t="str">
        <f>IF($O76="","",IF(INDEX(jr_type,$O76)="BL","Livraison",IF(INDEX(jr_type,$O76)="BR","Réception","Sortie")))</f>
        <v/>
      </c>
      <c r="C76" s="65" t="str">
        <f>IF($O76="","",INDEX(jr_date,$O76))</f>
        <v/>
      </c>
      <c r="D76" s="60" t="str">
        <f>IF($O76="","",INDEX(jr_tiers,$O76)&amp;"")</f>
        <v/>
      </c>
      <c r="E76" s="57" t="str">
        <f>IF($O76="","",INDEX(jr_name,$O76)&amp;"")</f>
        <v/>
      </c>
      <c r="F76" s="57" t="str">
        <f>IF($O76="","",INDEX(jr_order,$O76)&amp;"")</f>
        <v/>
      </c>
      <c r="G76" s="57" t="str">
        <f>IF($O76="","",INDEX(jr_ext,$O76)&amp;"")</f>
        <v/>
      </c>
      <c r="H76" s="57" t="str">
        <f>IF($O76="","",INDEX(jr_carrier,$O76)&amp;"")</f>
        <v/>
      </c>
      <c r="I76" s="66" t="str">
        <f>IF(A76="","",COUNTIF(jr_num,A76))</f>
        <v/>
      </c>
      <c r="J76" s="66" t="str">
        <f>IF(A76="","",SUMIF(jr_num,A76,jr_colis))</f>
        <v/>
      </c>
      <c r="K76" s="63" t="str">
        <f>IF(A76="","",SUMIF(jr_num,A76,jr_kg))</f>
        <v/>
      </c>
      <c r="L76" s="64" t="str">
        <f>IF(A76="","",SUMIF(jr_num,A76,jr_val))</f>
        <v/>
      </c>
      <c r="M76" s="60" t="str">
        <f>IF(A76="","",IF(COUNTIFS(jr_num,A76,jr_check,"&lt;&gt;OK")&gt;0,"À vérifier",IF(LEFT(A76,2)="BL",IF(COUNTIFS(jr_num,A76,jr_rel,"&gt;0")&gt;0,"Reliquat en cours",IF(COUNTIFS(jr_num,A76,jr_gap,"&lt;0")&gt;0,"Reliquat livré","Complet")),IF(LEFT(A76,2)="BR",IF(COUNTIFS(jr_num,A76,jr_etat,"Refusé")&gt;0,"Refusé",IF(COUNTIFS(jr_num,A76,jr_etat,"Avec réserves")&gt;0,"Avec réserves",IF(COUNTIFS(jr_num,A76,jr_rel,"&gt;0")&gt;0,"Reliquat en cours",IF(COUNTIFS(jr_num,A76,jr_gap,"&lt;0")+COUNTIFS(jr_num,A76,jr_gap,"&gt;0")&gt;0,"Écart","Conforme")))),IF(COUNTIFS(jr_num,A76,jr_gap,"&lt;0")&gt;0,"Partiel","Sorti")))))</f>
        <v/>
      </c>
      <c r="O76" t="str">
        <f>IFERROR(MATCH(71,jr_grank,0),"")</f>
        <v/>
      </c>
      <c r="R76" s="67" t="str">
        <f>IFERROR(INDEX(jr_num,MATCH("BL71",jr_nkey,0))&amp;"","")</f>
        <v/>
      </c>
      <c r="S76" s="67" t="str">
        <f>IFERROR(INDEX(jr_num,MATCH("BR71",jr_nkey,0))&amp;"","")</f>
        <v/>
      </c>
      <c r="T76" s="67" t="str">
        <f>IFERROR(INDEX(jr_num,MATCH("BS71",jr_nkey,0))&amp;"","")</f>
        <v/>
      </c>
    </row>
    <row r="77">
      <c r="A77" s="60" t="str">
        <f>IF($O77="","",INDEX(jr_num,$O77)&amp;"")</f>
        <v/>
      </c>
      <c r="B77" s="60" t="str">
        <f>IF($O77="","",IF(INDEX(jr_type,$O77)="BL","Livraison",IF(INDEX(jr_type,$O77)="BR","Réception","Sortie")))</f>
        <v/>
      </c>
      <c r="C77" s="65" t="str">
        <f>IF($O77="","",INDEX(jr_date,$O77))</f>
        <v/>
      </c>
      <c r="D77" s="60" t="str">
        <f>IF($O77="","",INDEX(jr_tiers,$O77)&amp;"")</f>
        <v/>
      </c>
      <c r="E77" s="57" t="str">
        <f>IF($O77="","",INDEX(jr_name,$O77)&amp;"")</f>
        <v/>
      </c>
      <c r="F77" s="57" t="str">
        <f>IF($O77="","",INDEX(jr_order,$O77)&amp;"")</f>
        <v/>
      </c>
      <c r="G77" s="57" t="str">
        <f>IF($O77="","",INDEX(jr_ext,$O77)&amp;"")</f>
        <v/>
      </c>
      <c r="H77" s="57" t="str">
        <f>IF($O77="","",INDEX(jr_carrier,$O77)&amp;"")</f>
        <v/>
      </c>
      <c r="I77" s="66" t="str">
        <f>IF(A77="","",COUNTIF(jr_num,A77))</f>
        <v/>
      </c>
      <c r="J77" s="66" t="str">
        <f>IF(A77="","",SUMIF(jr_num,A77,jr_colis))</f>
        <v/>
      </c>
      <c r="K77" s="63" t="str">
        <f>IF(A77="","",SUMIF(jr_num,A77,jr_kg))</f>
        <v/>
      </c>
      <c r="L77" s="64" t="str">
        <f>IF(A77="","",SUMIF(jr_num,A77,jr_val))</f>
        <v/>
      </c>
      <c r="M77" s="60" t="str">
        <f>IF(A77="","",IF(COUNTIFS(jr_num,A77,jr_check,"&lt;&gt;OK")&gt;0,"À vérifier",IF(LEFT(A77,2)="BL",IF(COUNTIFS(jr_num,A77,jr_rel,"&gt;0")&gt;0,"Reliquat en cours",IF(COUNTIFS(jr_num,A77,jr_gap,"&lt;0")&gt;0,"Reliquat livré","Complet")),IF(LEFT(A77,2)="BR",IF(COUNTIFS(jr_num,A77,jr_etat,"Refusé")&gt;0,"Refusé",IF(COUNTIFS(jr_num,A77,jr_etat,"Avec réserves")&gt;0,"Avec réserves",IF(COUNTIFS(jr_num,A77,jr_rel,"&gt;0")&gt;0,"Reliquat en cours",IF(COUNTIFS(jr_num,A77,jr_gap,"&lt;0")+COUNTIFS(jr_num,A77,jr_gap,"&gt;0")&gt;0,"Écart","Conforme")))),IF(COUNTIFS(jr_num,A77,jr_gap,"&lt;0")&gt;0,"Partiel","Sorti")))))</f>
        <v/>
      </c>
      <c r="O77" t="str">
        <f>IFERROR(MATCH(72,jr_grank,0),"")</f>
        <v/>
      </c>
      <c r="R77" s="67" t="str">
        <f>IFERROR(INDEX(jr_num,MATCH("BL72",jr_nkey,0))&amp;"","")</f>
        <v/>
      </c>
      <c r="S77" s="67" t="str">
        <f>IFERROR(INDEX(jr_num,MATCH("BR72",jr_nkey,0))&amp;"","")</f>
        <v/>
      </c>
      <c r="T77" s="67" t="str">
        <f>IFERROR(INDEX(jr_num,MATCH("BS72",jr_nkey,0))&amp;"","")</f>
        <v/>
      </c>
    </row>
    <row r="78">
      <c r="A78" s="60" t="str">
        <f>IF($O78="","",INDEX(jr_num,$O78)&amp;"")</f>
        <v/>
      </c>
      <c r="B78" s="60" t="str">
        <f>IF($O78="","",IF(INDEX(jr_type,$O78)="BL","Livraison",IF(INDEX(jr_type,$O78)="BR","Réception","Sortie")))</f>
        <v/>
      </c>
      <c r="C78" s="65" t="str">
        <f>IF($O78="","",INDEX(jr_date,$O78))</f>
        <v/>
      </c>
      <c r="D78" s="60" t="str">
        <f>IF($O78="","",INDEX(jr_tiers,$O78)&amp;"")</f>
        <v/>
      </c>
      <c r="E78" s="57" t="str">
        <f>IF($O78="","",INDEX(jr_name,$O78)&amp;"")</f>
        <v/>
      </c>
      <c r="F78" s="57" t="str">
        <f>IF($O78="","",INDEX(jr_order,$O78)&amp;"")</f>
        <v/>
      </c>
      <c r="G78" s="57" t="str">
        <f>IF($O78="","",INDEX(jr_ext,$O78)&amp;"")</f>
        <v/>
      </c>
      <c r="H78" s="57" t="str">
        <f>IF($O78="","",INDEX(jr_carrier,$O78)&amp;"")</f>
        <v/>
      </c>
      <c r="I78" s="66" t="str">
        <f>IF(A78="","",COUNTIF(jr_num,A78))</f>
        <v/>
      </c>
      <c r="J78" s="66" t="str">
        <f>IF(A78="","",SUMIF(jr_num,A78,jr_colis))</f>
        <v/>
      </c>
      <c r="K78" s="63" t="str">
        <f>IF(A78="","",SUMIF(jr_num,A78,jr_kg))</f>
        <v/>
      </c>
      <c r="L78" s="64" t="str">
        <f>IF(A78="","",SUMIF(jr_num,A78,jr_val))</f>
        <v/>
      </c>
      <c r="M78" s="60" t="str">
        <f>IF(A78="","",IF(COUNTIFS(jr_num,A78,jr_check,"&lt;&gt;OK")&gt;0,"À vérifier",IF(LEFT(A78,2)="BL",IF(COUNTIFS(jr_num,A78,jr_rel,"&gt;0")&gt;0,"Reliquat en cours",IF(COUNTIFS(jr_num,A78,jr_gap,"&lt;0")&gt;0,"Reliquat livré","Complet")),IF(LEFT(A78,2)="BR",IF(COUNTIFS(jr_num,A78,jr_etat,"Refusé")&gt;0,"Refusé",IF(COUNTIFS(jr_num,A78,jr_etat,"Avec réserves")&gt;0,"Avec réserves",IF(COUNTIFS(jr_num,A78,jr_rel,"&gt;0")&gt;0,"Reliquat en cours",IF(COUNTIFS(jr_num,A78,jr_gap,"&lt;0")+COUNTIFS(jr_num,A78,jr_gap,"&gt;0")&gt;0,"Écart","Conforme")))),IF(COUNTIFS(jr_num,A78,jr_gap,"&lt;0")&gt;0,"Partiel","Sorti")))))</f>
        <v/>
      </c>
      <c r="O78" t="str">
        <f>IFERROR(MATCH(73,jr_grank,0),"")</f>
        <v/>
      </c>
      <c r="R78" s="67" t="str">
        <f>IFERROR(INDEX(jr_num,MATCH("BL73",jr_nkey,0))&amp;"","")</f>
        <v/>
      </c>
      <c r="S78" s="67" t="str">
        <f>IFERROR(INDEX(jr_num,MATCH("BR73",jr_nkey,0))&amp;"","")</f>
        <v/>
      </c>
      <c r="T78" s="67" t="str">
        <f>IFERROR(INDEX(jr_num,MATCH("BS73",jr_nkey,0))&amp;"","")</f>
        <v/>
      </c>
    </row>
    <row r="79">
      <c r="A79" s="60" t="str">
        <f>IF($O79="","",INDEX(jr_num,$O79)&amp;"")</f>
        <v/>
      </c>
      <c r="B79" s="60" t="str">
        <f>IF($O79="","",IF(INDEX(jr_type,$O79)="BL","Livraison",IF(INDEX(jr_type,$O79)="BR","Réception","Sortie")))</f>
        <v/>
      </c>
      <c r="C79" s="65" t="str">
        <f>IF($O79="","",INDEX(jr_date,$O79))</f>
        <v/>
      </c>
      <c r="D79" s="60" t="str">
        <f>IF($O79="","",INDEX(jr_tiers,$O79)&amp;"")</f>
        <v/>
      </c>
      <c r="E79" s="57" t="str">
        <f>IF($O79="","",INDEX(jr_name,$O79)&amp;"")</f>
        <v/>
      </c>
      <c r="F79" s="57" t="str">
        <f>IF($O79="","",INDEX(jr_order,$O79)&amp;"")</f>
        <v/>
      </c>
      <c r="G79" s="57" t="str">
        <f>IF($O79="","",INDEX(jr_ext,$O79)&amp;"")</f>
        <v/>
      </c>
      <c r="H79" s="57" t="str">
        <f>IF($O79="","",INDEX(jr_carrier,$O79)&amp;"")</f>
        <v/>
      </c>
      <c r="I79" s="66" t="str">
        <f>IF(A79="","",COUNTIF(jr_num,A79))</f>
        <v/>
      </c>
      <c r="J79" s="66" t="str">
        <f>IF(A79="","",SUMIF(jr_num,A79,jr_colis))</f>
        <v/>
      </c>
      <c r="K79" s="63" t="str">
        <f>IF(A79="","",SUMIF(jr_num,A79,jr_kg))</f>
        <v/>
      </c>
      <c r="L79" s="64" t="str">
        <f>IF(A79="","",SUMIF(jr_num,A79,jr_val))</f>
        <v/>
      </c>
      <c r="M79" s="60" t="str">
        <f>IF(A79="","",IF(COUNTIFS(jr_num,A79,jr_check,"&lt;&gt;OK")&gt;0,"À vérifier",IF(LEFT(A79,2)="BL",IF(COUNTIFS(jr_num,A79,jr_rel,"&gt;0")&gt;0,"Reliquat en cours",IF(COUNTIFS(jr_num,A79,jr_gap,"&lt;0")&gt;0,"Reliquat livré","Complet")),IF(LEFT(A79,2)="BR",IF(COUNTIFS(jr_num,A79,jr_etat,"Refusé")&gt;0,"Refusé",IF(COUNTIFS(jr_num,A79,jr_etat,"Avec réserves")&gt;0,"Avec réserves",IF(COUNTIFS(jr_num,A79,jr_rel,"&gt;0")&gt;0,"Reliquat en cours",IF(COUNTIFS(jr_num,A79,jr_gap,"&lt;0")+COUNTIFS(jr_num,A79,jr_gap,"&gt;0")&gt;0,"Écart","Conforme")))),IF(COUNTIFS(jr_num,A79,jr_gap,"&lt;0")&gt;0,"Partiel","Sorti")))))</f>
        <v/>
      </c>
      <c r="O79" t="str">
        <f>IFERROR(MATCH(74,jr_grank,0),"")</f>
        <v/>
      </c>
      <c r="R79" s="67" t="str">
        <f>IFERROR(INDEX(jr_num,MATCH("BL74",jr_nkey,0))&amp;"","")</f>
        <v/>
      </c>
      <c r="S79" s="67" t="str">
        <f>IFERROR(INDEX(jr_num,MATCH("BR74",jr_nkey,0))&amp;"","")</f>
        <v/>
      </c>
      <c r="T79" s="67" t="str">
        <f>IFERROR(INDEX(jr_num,MATCH("BS74",jr_nkey,0))&amp;"","")</f>
        <v/>
      </c>
    </row>
    <row r="80">
      <c r="A80" s="60" t="str">
        <f>IF($O80="","",INDEX(jr_num,$O80)&amp;"")</f>
        <v/>
      </c>
      <c r="B80" s="60" t="str">
        <f>IF($O80="","",IF(INDEX(jr_type,$O80)="BL","Livraison",IF(INDEX(jr_type,$O80)="BR","Réception","Sortie")))</f>
        <v/>
      </c>
      <c r="C80" s="65" t="str">
        <f>IF($O80="","",INDEX(jr_date,$O80))</f>
        <v/>
      </c>
      <c r="D80" s="60" t="str">
        <f>IF($O80="","",INDEX(jr_tiers,$O80)&amp;"")</f>
        <v/>
      </c>
      <c r="E80" s="57" t="str">
        <f>IF($O80="","",INDEX(jr_name,$O80)&amp;"")</f>
        <v/>
      </c>
      <c r="F80" s="57" t="str">
        <f>IF($O80="","",INDEX(jr_order,$O80)&amp;"")</f>
        <v/>
      </c>
      <c r="G80" s="57" t="str">
        <f>IF($O80="","",INDEX(jr_ext,$O80)&amp;"")</f>
        <v/>
      </c>
      <c r="H80" s="57" t="str">
        <f>IF($O80="","",INDEX(jr_carrier,$O80)&amp;"")</f>
        <v/>
      </c>
      <c r="I80" s="66" t="str">
        <f>IF(A80="","",COUNTIF(jr_num,A80))</f>
        <v/>
      </c>
      <c r="J80" s="66" t="str">
        <f>IF(A80="","",SUMIF(jr_num,A80,jr_colis))</f>
        <v/>
      </c>
      <c r="K80" s="63" t="str">
        <f>IF(A80="","",SUMIF(jr_num,A80,jr_kg))</f>
        <v/>
      </c>
      <c r="L80" s="64" t="str">
        <f>IF(A80="","",SUMIF(jr_num,A80,jr_val))</f>
        <v/>
      </c>
      <c r="M80" s="60" t="str">
        <f>IF(A80="","",IF(COUNTIFS(jr_num,A80,jr_check,"&lt;&gt;OK")&gt;0,"À vérifier",IF(LEFT(A80,2)="BL",IF(COUNTIFS(jr_num,A80,jr_rel,"&gt;0")&gt;0,"Reliquat en cours",IF(COUNTIFS(jr_num,A80,jr_gap,"&lt;0")&gt;0,"Reliquat livré","Complet")),IF(LEFT(A80,2)="BR",IF(COUNTIFS(jr_num,A80,jr_etat,"Refusé")&gt;0,"Refusé",IF(COUNTIFS(jr_num,A80,jr_etat,"Avec réserves")&gt;0,"Avec réserves",IF(COUNTIFS(jr_num,A80,jr_rel,"&gt;0")&gt;0,"Reliquat en cours",IF(COUNTIFS(jr_num,A80,jr_gap,"&lt;0")+COUNTIFS(jr_num,A80,jr_gap,"&gt;0")&gt;0,"Écart","Conforme")))),IF(COUNTIFS(jr_num,A80,jr_gap,"&lt;0")&gt;0,"Partiel","Sorti")))))</f>
        <v/>
      </c>
      <c r="O80" t="str">
        <f>IFERROR(MATCH(75,jr_grank,0),"")</f>
        <v/>
      </c>
      <c r="R80" s="67" t="str">
        <f>IFERROR(INDEX(jr_num,MATCH("BL75",jr_nkey,0))&amp;"","")</f>
        <v/>
      </c>
      <c r="S80" s="67" t="str">
        <f>IFERROR(INDEX(jr_num,MATCH("BR75",jr_nkey,0))&amp;"","")</f>
        <v/>
      </c>
      <c r="T80" s="67" t="str">
        <f>IFERROR(INDEX(jr_num,MATCH("BS75",jr_nkey,0))&amp;"","")</f>
        <v/>
      </c>
    </row>
    <row r="81">
      <c r="A81" s="60" t="str">
        <f>IF($O81="","",INDEX(jr_num,$O81)&amp;"")</f>
        <v/>
      </c>
      <c r="B81" s="60" t="str">
        <f>IF($O81="","",IF(INDEX(jr_type,$O81)="BL","Livraison",IF(INDEX(jr_type,$O81)="BR","Réception","Sortie")))</f>
        <v/>
      </c>
      <c r="C81" s="65" t="str">
        <f>IF($O81="","",INDEX(jr_date,$O81))</f>
        <v/>
      </c>
      <c r="D81" s="60" t="str">
        <f>IF($O81="","",INDEX(jr_tiers,$O81)&amp;"")</f>
        <v/>
      </c>
      <c r="E81" s="57" t="str">
        <f>IF($O81="","",INDEX(jr_name,$O81)&amp;"")</f>
        <v/>
      </c>
      <c r="F81" s="57" t="str">
        <f>IF($O81="","",INDEX(jr_order,$O81)&amp;"")</f>
        <v/>
      </c>
      <c r="G81" s="57" t="str">
        <f>IF($O81="","",INDEX(jr_ext,$O81)&amp;"")</f>
        <v/>
      </c>
      <c r="H81" s="57" t="str">
        <f>IF($O81="","",INDEX(jr_carrier,$O81)&amp;"")</f>
        <v/>
      </c>
      <c r="I81" s="66" t="str">
        <f>IF(A81="","",COUNTIF(jr_num,A81))</f>
        <v/>
      </c>
      <c r="J81" s="66" t="str">
        <f>IF(A81="","",SUMIF(jr_num,A81,jr_colis))</f>
        <v/>
      </c>
      <c r="K81" s="63" t="str">
        <f>IF(A81="","",SUMIF(jr_num,A81,jr_kg))</f>
        <v/>
      </c>
      <c r="L81" s="64" t="str">
        <f>IF(A81="","",SUMIF(jr_num,A81,jr_val))</f>
        <v/>
      </c>
      <c r="M81" s="60" t="str">
        <f>IF(A81="","",IF(COUNTIFS(jr_num,A81,jr_check,"&lt;&gt;OK")&gt;0,"À vérifier",IF(LEFT(A81,2)="BL",IF(COUNTIFS(jr_num,A81,jr_rel,"&gt;0")&gt;0,"Reliquat en cours",IF(COUNTIFS(jr_num,A81,jr_gap,"&lt;0")&gt;0,"Reliquat livré","Complet")),IF(LEFT(A81,2)="BR",IF(COUNTIFS(jr_num,A81,jr_etat,"Refusé")&gt;0,"Refusé",IF(COUNTIFS(jr_num,A81,jr_etat,"Avec réserves")&gt;0,"Avec réserves",IF(COUNTIFS(jr_num,A81,jr_rel,"&gt;0")&gt;0,"Reliquat en cours",IF(COUNTIFS(jr_num,A81,jr_gap,"&lt;0")+COUNTIFS(jr_num,A81,jr_gap,"&gt;0")&gt;0,"Écart","Conforme")))),IF(COUNTIFS(jr_num,A81,jr_gap,"&lt;0")&gt;0,"Partiel","Sorti")))))</f>
        <v/>
      </c>
      <c r="O81" t="str">
        <f>IFERROR(MATCH(76,jr_grank,0),"")</f>
        <v/>
      </c>
      <c r="R81" s="67" t="str">
        <f>IFERROR(INDEX(jr_num,MATCH("BL76",jr_nkey,0))&amp;"","")</f>
        <v/>
      </c>
      <c r="S81" s="67" t="str">
        <f>IFERROR(INDEX(jr_num,MATCH("BR76",jr_nkey,0))&amp;"","")</f>
        <v/>
      </c>
      <c r="T81" s="67" t="str">
        <f>IFERROR(INDEX(jr_num,MATCH("BS76",jr_nkey,0))&amp;"","")</f>
        <v/>
      </c>
    </row>
    <row r="82">
      <c r="A82" s="60" t="str">
        <f>IF($O82="","",INDEX(jr_num,$O82)&amp;"")</f>
        <v/>
      </c>
      <c r="B82" s="60" t="str">
        <f>IF($O82="","",IF(INDEX(jr_type,$O82)="BL","Livraison",IF(INDEX(jr_type,$O82)="BR","Réception","Sortie")))</f>
        <v/>
      </c>
      <c r="C82" s="65" t="str">
        <f>IF($O82="","",INDEX(jr_date,$O82))</f>
        <v/>
      </c>
      <c r="D82" s="60" t="str">
        <f>IF($O82="","",INDEX(jr_tiers,$O82)&amp;"")</f>
        <v/>
      </c>
      <c r="E82" s="57" t="str">
        <f>IF($O82="","",INDEX(jr_name,$O82)&amp;"")</f>
        <v/>
      </c>
      <c r="F82" s="57" t="str">
        <f>IF($O82="","",INDEX(jr_order,$O82)&amp;"")</f>
        <v/>
      </c>
      <c r="G82" s="57" t="str">
        <f>IF($O82="","",INDEX(jr_ext,$O82)&amp;"")</f>
        <v/>
      </c>
      <c r="H82" s="57" t="str">
        <f>IF($O82="","",INDEX(jr_carrier,$O82)&amp;"")</f>
        <v/>
      </c>
      <c r="I82" s="66" t="str">
        <f>IF(A82="","",COUNTIF(jr_num,A82))</f>
        <v/>
      </c>
      <c r="J82" s="66" t="str">
        <f>IF(A82="","",SUMIF(jr_num,A82,jr_colis))</f>
        <v/>
      </c>
      <c r="K82" s="63" t="str">
        <f>IF(A82="","",SUMIF(jr_num,A82,jr_kg))</f>
        <v/>
      </c>
      <c r="L82" s="64" t="str">
        <f>IF(A82="","",SUMIF(jr_num,A82,jr_val))</f>
        <v/>
      </c>
      <c r="M82" s="60" t="str">
        <f>IF(A82="","",IF(COUNTIFS(jr_num,A82,jr_check,"&lt;&gt;OK")&gt;0,"À vérifier",IF(LEFT(A82,2)="BL",IF(COUNTIFS(jr_num,A82,jr_rel,"&gt;0")&gt;0,"Reliquat en cours",IF(COUNTIFS(jr_num,A82,jr_gap,"&lt;0")&gt;0,"Reliquat livré","Complet")),IF(LEFT(A82,2)="BR",IF(COUNTIFS(jr_num,A82,jr_etat,"Refusé")&gt;0,"Refusé",IF(COUNTIFS(jr_num,A82,jr_etat,"Avec réserves")&gt;0,"Avec réserves",IF(COUNTIFS(jr_num,A82,jr_rel,"&gt;0")&gt;0,"Reliquat en cours",IF(COUNTIFS(jr_num,A82,jr_gap,"&lt;0")+COUNTIFS(jr_num,A82,jr_gap,"&gt;0")&gt;0,"Écart","Conforme")))),IF(COUNTIFS(jr_num,A82,jr_gap,"&lt;0")&gt;0,"Partiel","Sorti")))))</f>
        <v/>
      </c>
      <c r="O82" t="str">
        <f>IFERROR(MATCH(77,jr_grank,0),"")</f>
        <v/>
      </c>
      <c r="R82" s="67" t="str">
        <f>IFERROR(INDEX(jr_num,MATCH("BL77",jr_nkey,0))&amp;"","")</f>
        <v/>
      </c>
      <c r="S82" s="67" t="str">
        <f>IFERROR(INDEX(jr_num,MATCH("BR77",jr_nkey,0))&amp;"","")</f>
        <v/>
      </c>
      <c r="T82" s="67" t="str">
        <f>IFERROR(INDEX(jr_num,MATCH("BS77",jr_nkey,0))&amp;"","")</f>
        <v/>
      </c>
    </row>
    <row r="83">
      <c r="A83" s="60" t="str">
        <f>IF($O83="","",INDEX(jr_num,$O83)&amp;"")</f>
        <v/>
      </c>
      <c r="B83" s="60" t="str">
        <f>IF($O83="","",IF(INDEX(jr_type,$O83)="BL","Livraison",IF(INDEX(jr_type,$O83)="BR","Réception","Sortie")))</f>
        <v/>
      </c>
      <c r="C83" s="65" t="str">
        <f>IF($O83="","",INDEX(jr_date,$O83))</f>
        <v/>
      </c>
      <c r="D83" s="60" t="str">
        <f>IF($O83="","",INDEX(jr_tiers,$O83)&amp;"")</f>
        <v/>
      </c>
      <c r="E83" s="57" t="str">
        <f>IF($O83="","",INDEX(jr_name,$O83)&amp;"")</f>
        <v/>
      </c>
      <c r="F83" s="57" t="str">
        <f>IF($O83="","",INDEX(jr_order,$O83)&amp;"")</f>
        <v/>
      </c>
      <c r="G83" s="57" t="str">
        <f>IF($O83="","",INDEX(jr_ext,$O83)&amp;"")</f>
        <v/>
      </c>
      <c r="H83" s="57" t="str">
        <f>IF($O83="","",INDEX(jr_carrier,$O83)&amp;"")</f>
        <v/>
      </c>
      <c r="I83" s="66" t="str">
        <f>IF(A83="","",COUNTIF(jr_num,A83))</f>
        <v/>
      </c>
      <c r="J83" s="66" t="str">
        <f>IF(A83="","",SUMIF(jr_num,A83,jr_colis))</f>
        <v/>
      </c>
      <c r="K83" s="63" t="str">
        <f>IF(A83="","",SUMIF(jr_num,A83,jr_kg))</f>
        <v/>
      </c>
      <c r="L83" s="64" t="str">
        <f>IF(A83="","",SUMIF(jr_num,A83,jr_val))</f>
        <v/>
      </c>
      <c r="M83" s="60" t="str">
        <f>IF(A83="","",IF(COUNTIFS(jr_num,A83,jr_check,"&lt;&gt;OK")&gt;0,"À vérifier",IF(LEFT(A83,2)="BL",IF(COUNTIFS(jr_num,A83,jr_rel,"&gt;0")&gt;0,"Reliquat en cours",IF(COUNTIFS(jr_num,A83,jr_gap,"&lt;0")&gt;0,"Reliquat livré","Complet")),IF(LEFT(A83,2)="BR",IF(COUNTIFS(jr_num,A83,jr_etat,"Refusé")&gt;0,"Refusé",IF(COUNTIFS(jr_num,A83,jr_etat,"Avec réserves")&gt;0,"Avec réserves",IF(COUNTIFS(jr_num,A83,jr_rel,"&gt;0")&gt;0,"Reliquat en cours",IF(COUNTIFS(jr_num,A83,jr_gap,"&lt;0")+COUNTIFS(jr_num,A83,jr_gap,"&gt;0")&gt;0,"Écart","Conforme")))),IF(COUNTIFS(jr_num,A83,jr_gap,"&lt;0")&gt;0,"Partiel","Sorti")))))</f>
        <v/>
      </c>
      <c r="O83" t="str">
        <f>IFERROR(MATCH(78,jr_grank,0),"")</f>
        <v/>
      </c>
      <c r="R83" s="67" t="str">
        <f>IFERROR(INDEX(jr_num,MATCH("BL78",jr_nkey,0))&amp;"","")</f>
        <v/>
      </c>
      <c r="S83" s="67" t="str">
        <f>IFERROR(INDEX(jr_num,MATCH("BR78",jr_nkey,0))&amp;"","")</f>
        <v/>
      </c>
      <c r="T83" s="67" t="str">
        <f>IFERROR(INDEX(jr_num,MATCH("BS78",jr_nkey,0))&amp;"","")</f>
        <v/>
      </c>
    </row>
    <row r="84">
      <c r="A84" s="60" t="str">
        <f>IF($O84="","",INDEX(jr_num,$O84)&amp;"")</f>
        <v/>
      </c>
      <c r="B84" s="60" t="str">
        <f>IF($O84="","",IF(INDEX(jr_type,$O84)="BL","Livraison",IF(INDEX(jr_type,$O84)="BR","Réception","Sortie")))</f>
        <v/>
      </c>
      <c r="C84" s="65" t="str">
        <f>IF($O84="","",INDEX(jr_date,$O84))</f>
        <v/>
      </c>
      <c r="D84" s="60" t="str">
        <f>IF($O84="","",INDEX(jr_tiers,$O84)&amp;"")</f>
        <v/>
      </c>
      <c r="E84" s="57" t="str">
        <f>IF($O84="","",INDEX(jr_name,$O84)&amp;"")</f>
        <v/>
      </c>
      <c r="F84" s="57" t="str">
        <f>IF($O84="","",INDEX(jr_order,$O84)&amp;"")</f>
        <v/>
      </c>
      <c r="G84" s="57" t="str">
        <f>IF($O84="","",INDEX(jr_ext,$O84)&amp;"")</f>
        <v/>
      </c>
      <c r="H84" s="57" t="str">
        <f>IF($O84="","",INDEX(jr_carrier,$O84)&amp;"")</f>
        <v/>
      </c>
      <c r="I84" s="66" t="str">
        <f>IF(A84="","",COUNTIF(jr_num,A84))</f>
        <v/>
      </c>
      <c r="J84" s="66" t="str">
        <f>IF(A84="","",SUMIF(jr_num,A84,jr_colis))</f>
        <v/>
      </c>
      <c r="K84" s="63" t="str">
        <f>IF(A84="","",SUMIF(jr_num,A84,jr_kg))</f>
        <v/>
      </c>
      <c r="L84" s="64" t="str">
        <f>IF(A84="","",SUMIF(jr_num,A84,jr_val))</f>
        <v/>
      </c>
      <c r="M84" s="60" t="str">
        <f>IF(A84="","",IF(COUNTIFS(jr_num,A84,jr_check,"&lt;&gt;OK")&gt;0,"À vérifier",IF(LEFT(A84,2)="BL",IF(COUNTIFS(jr_num,A84,jr_rel,"&gt;0")&gt;0,"Reliquat en cours",IF(COUNTIFS(jr_num,A84,jr_gap,"&lt;0")&gt;0,"Reliquat livré","Complet")),IF(LEFT(A84,2)="BR",IF(COUNTIFS(jr_num,A84,jr_etat,"Refusé")&gt;0,"Refusé",IF(COUNTIFS(jr_num,A84,jr_etat,"Avec réserves")&gt;0,"Avec réserves",IF(COUNTIFS(jr_num,A84,jr_rel,"&gt;0")&gt;0,"Reliquat en cours",IF(COUNTIFS(jr_num,A84,jr_gap,"&lt;0")+COUNTIFS(jr_num,A84,jr_gap,"&gt;0")&gt;0,"Écart","Conforme")))),IF(COUNTIFS(jr_num,A84,jr_gap,"&lt;0")&gt;0,"Partiel","Sorti")))))</f>
        <v/>
      </c>
      <c r="O84" t="str">
        <f>IFERROR(MATCH(79,jr_grank,0),"")</f>
        <v/>
      </c>
      <c r="R84" s="67" t="str">
        <f>IFERROR(INDEX(jr_num,MATCH("BL79",jr_nkey,0))&amp;"","")</f>
        <v/>
      </c>
      <c r="S84" s="67" t="str">
        <f>IFERROR(INDEX(jr_num,MATCH("BR79",jr_nkey,0))&amp;"","")</f>
        <v/>
      </c>
      <c r="T84" s="67" t="str">
        <f>IFERROR(INDEX(jr_num,MATCH("BS79",jr_nkey,0))&amp;"","")</f>
        <v/>
      </c>
    </row>
    <row r="85">
      <c r="A85" s="60" t="str">
        <f>IF($O85="","",INDEX(jr_num,$O85)&amp;"")</f>
        <v/>
      </c>
      <c r="B85" s="60" t="str">
        <f>IF($O85="","",IF(INDEX(jr_type,$O85)="BL","Livraison",IF(INDEX(jr_type,$O85)="BR","Réception","Sortie")))</f>
        <v/>
      </c>
      <c r="C85" s="65" t="str">
        <f>IF($O85="","",INDEX(jr_date,$O85))</f>
        <v/>
      </c>
      <c r="D85" s="60" t="str">
        <f>IF($O85="","",INDEX(jr_tiers,$O85)&amp;"")</f>
        <v/>
      </c>
      <c r="E85" s="57" t="str">
        <f>IF($O85="","",INDEX(jr_name,$O85)&amp;"")</f>
        <v/>
      </c>
      <c r="F85" s="57" t="str">
        <f>IF($O85="","",INDEX(jr_order,$O85)&amp;"")</f>
        <v/>
      </c>
      <c r="G85" s="57" t="str">
        <f>IF($O85="","",INDEX(jr_ext,$O85)&amp;"")</f>
        <v/>
      </c>
      <c r="H85" s="57" t="str">
        <f>IF($O85="","",INDEX(jr_carrier,$O85)&amp;"")</f>
        <v/>
      </c>
      <c r="I85" s="66" t="str">
        <f>IF(A85="","",COUNTIF(jr_num,A85))</f>
        <v/>
      </c>
      <c r="J85" s="66" t="str">
        <f>IF(A85="","",SUMIF(jr_num,A85,jr_colis))</f>
        <v/>
      </c>
      <c r="K85" s="63" t="str">
        <f>IF(A85="","",SUMIF(jr_num,A85,jr_kg))</f>
        <v/>
      </c>
      <c r="L85" s="64" t="str">
        <f>IF(A85="","",SUMIF(jr_num,A85,jr_val))</f>
        <v/>
      </c>
      <c r="M85" s="60" t="str">
        <f>IF(A85="","",IF(COUNTIFS(jr_num,A85,jr_check,"&lt;&gt;OK")&gt;0,"À vérifier",IF(LEFT(A85,2)="BL",IF(COUNTIFS(jr_num,A85,jr_rel,"&gt;0")&gt;0,"Reliquat en cours",IF(COUNTIFS(jr_num,A85,jr_gap,"&lt;0")&gt;0,"Reliquat livré","Complet")),IF(LEFT(A85,2)="BR",IF(COUNTIFS(jr_num,A85,jr_etat,"Refusé")&gt;0,"Refusé",IF(COUNTIFS(jr_num,A85,jr_etat,"Avec réserves")&gt;0,"Avec réserves",IF(COUNTIFS(jr_num,A85,jr_rel,"&gt;0")&gt;0,"Reliquat en cours",IF(COUNTIFS(jr_num,A85,jr_gap,"&lt;0")+COUNTIFS(jr_num,A85,jr_gap,"&gt;0")&gt;0,"Écart","Conforme")))),IF(COUNTIFS(jr_num,A85,jr_gap,"&lt;0")&gt;0,"Partiel","Sorti")))))</f>
        <v/>
      </c>
      <c r="O85" t="str">
        <f>IFERROR(MATCH(80,jr_grank,0),"")</f>
        <v/>
      </c>
      <c r="R85" s="67" t="str">
        <f>IFERROR(INDEX(jr_num,MATCH("BL80",jr_nkey,0))&amp;"","")</f>
        <v/>
      </c>
      <c r="S85" s="67" t="str">
        <f>IFERROR(INDEX(jr_num,MATCH("BR80",jr_nkey,0))&amp;"","")</f>
        <v/>
      </c>
      <c r="T85" s="67" t="str">
        <f>IFERROR(INDEX(jr_num,MATCH("BS80",jr_nkey,0))&amp;"","")</f>
        <v/>
      </c>
    </row>
    <row r="86">
      <c r="A86" s="60" t="str">
        <f>IF($O86="","",INDEX(jr_num,$O86)&amp;"")</f>
        <v/>
      </c>
      <c r="B86" s="60" t="str">
        <f>IF($O86="","",IF(INDEX(jr_type,$O86)="BL","Livraison",IF(INDEX(jr_type,$O86)="BR","Réception","Sortie")))</f>
        <v/>
      </c>
      <c r="C86" s="65" t="str">
        <f>IF($O86="","",INDEX(jr_date,$O86))</f>
        <v/>
      </c>
      <c r="D86" s="60" t="str">
        <f>IF($O86="","",INDEX(jr_tiers,$O86)&amp;"")</f>
        <v/>
      </c>
      <c r="E86" s="57" t="str">
        <f>IF($O86="","",INDEX(jr_name,$O86)&amp;"")</f>
        <v/>
      </c>
      <c r="F86" s="57" t="str">
        <f>IF($O86="","",INDEX(jr_order,$O86)&amp;"")</f>
        <v/>
      </c>
      <c r="G86" s="57" t="str">
        <f>IF($O86="","",INDEX(jr_ext,$O86)&amp;"")</f>
        <v/>
      </c>
      <c r="H86" s="57" t="str">
        <f>IF($O86="","",INDEX(jr_carrier,$O86)&amp;"")</f>
        <v/>
      </c>
      <c r="I86" s="66" t="str">
        <f>IF(A86="","",COUNTIF(jr_num,A86))</f>
        <v/>
      </c>
      <c r="J86" s="66" t="str">
        <f>IF(A86="","",SUMIF(jr_num,A86,jr_colis))</f>
        <v/>
      </c>
      <c r="K86" s="63" t="str">
        <f>IF(A86="","",SUMIF(jr_num,A86,jr_kg))</f>
        <v/>
      </c>
      <c r="L86" s="64" t="str">
        <f>IF(A86="","",SUMIF(jr_num,A86,jr_val))</f>
        <v/>
      </c>
      <c r="M86" s="60" t="str">
        <f>IF(A86="","",IF(COUNTIFS(jr_num,A86,jr_check,"&lt;&gt;OK")&gt;0,"À vérifier",IF(LEFT(A86,2)="BL",IF(COUNTIFS(jr_num,A86,jr_rel,"&gt;0")&gt;0,"Reliquat en cours",IF(COUNTIFS(jr_num,A86,jr_gap,"&lt;0")&gt;0,"Reliquat livré","Complet")),IF(LEFT(A86,2)="BR",IF(COUNTIFS(jr_num,A86,jr_etat,"Refusé")&gt;0,"Refusé",IF(COUNTIFS(jr_num,A86,jr_etat,"Avec réserves")&gt;0,"Avec réserves",IF(COUNTIFS(jr_num,A86,jr_rel,"&gt;0")&gt;0,"Reliquat en cours",IF(COUNTIFS(jr_num,A86,jr_gap,"&lt;0")+COUNTIFS(jr_num,A86,jr_gap,"&gt;0")&gt;0,"Écart","Conforme")))),IF(COUNTIFS(jr_num,A86,jr_gap,"&lt;0")&gt;0,"Partiel","Sorti")))))</f>
        <v/>
      </c>
      <c r="O86" t="str">
        <f>IFERROR(MATCH(81,jr_grank,0),"")</f>
        <v/>
      </c>
      <c r="R86" s="67" t="str">
        <f>IFERROR(INDEX(jr_num,MATCH("BL81",jr_nkey,0))&amp;"","")</f>
        <v/>
      </c>
      <c r="S86" s="67" t="str">
        <f>IFERROR(INDEX(jr_num,MATCH("BR81",jr_nkey,0))&amp;"","")</f>
        <v/>
      </c>
      <c r="T86" s="67" t="str">
        <f>IFERROR(INDEX(jr_num,MATCH("BS81",jr_nkey,0))&amp;"","")</f>
        <v/>
      </c>
    </row>
    <row r="87">
      <c r="A87" s="60" t="str">
        <f>IF($O87="","",INDEX(jr_num,$O87)&amp;"")</f>
        <v/>
      </c>
      <c r="B87" s="60" t="str">
        <f>IF($O87="","",IF(INDEX(jr_type,$O87)="BL","Livraison",IF(INDEX(jr_type,$O87)="BR","Réception","Sortie")))</f>
        <v/>
      </c>
      <c r="C87" s="65" t="str">
        <f>IF($O87="","",INDEX(jr_date,$O87))</f>
        <v/>
      </c>
      <c r="D87" s="60" t="str">
        <f>IF($O87="","",INDEX(jr_tiers,$O87)&amp;"")</f>
        <v/>
      </c>
      <c r="E87" s="57" t="str">
        <f>IF($O87="","",INDEX(jr_name,$O87)&amp;"")</f>
        <v/>
      </c>
      <c r="F87" s="57" t="str">
        <f>IF($O87="","",INDEX(jr_order,$O87)&amp;"")</f>
        <v/>
      </c>
      <c r="G87" s="57" t="str">
        <f>IF($O87="","",INDEX(jr_ext,$O87)&amp;"")</f>
        <v/>
      </c>
      <c r="H87" s="57" t="str">
        <f>IF($O87="","",INDEX(jr_carrier,$O87)&amp;"")</f>
        <v/>
      </c>
      <c r="I87" s="66" t="str">
        <f>IF(A87="","",COUNTIF(jr_num,A87))</f>
        <v/>
      </c>
      <c r="J87" s="66" t="str">
        <f>IF(A87="","",SUMIF(jr_num,A87,jr_colis))</f>
        <v/>
      </c>
      <c r="K87" s="63" t="str">
        <f>IF(A87="","",SUMIF(jr_num,A87,jr_kg))</f>
        <v/>
      </c>
      <c r="L87" s="64" t="str">
        <f>IF(A87="","",SUMIF(jr_num,A87,jr_val))</f>
        <v/>
      </c>
      <c r="M87" s="60" t="str">
        <f>IF(A87="","",IF(COUNTIFS(jr_num,A87,jr_check,"&lt;&gt;OK")&gt;0,"À vérifier",IF(LEFT(A87,2)="BL",IF(COUNTIFS(jr_num,A87,jr_rel,"&gt;0")&gt;0,"Reliquat en cours",IF(COUNTIFS(jr_num,A87,jr_gap,"&lt;0")&gt;0,"Reliquat livré","Complet")),IF(LEFT(A87,2)="BR",IF(COUNTIFS(jr_num,A87,jr_etat,"Refusé")&gt;0,"Refusé",IF(COUNTIFS(jr_num,A87,jr_etat,"Avec réserves")&gt;0,"Avec réserves",IF(COUNTIFS(jr_num,A87,jr_rel,"&gt;0")&gt;0,"Reliquat en cours",IF(COUNTIFS(jr_num,A87,jr_gap,"&lt;0")+COUNTIFS(jr_num,A87,jr_gap,"&gt;0")&gt;0,"Écart","Conforme")))),IF(COUNTIFS(jr_num,A87,jr_gap,"&lt;0")&gt;0,"Partiel","Sorti")))))</f>
        <v/>
      </c>
      <c r="O87" t="str">
        <f>IFERROR(MATCH(82,jr_grank,0),"")</f>
        <v/>
      </c>
      <c r="R87" s="67" t="str">
        <f>IFERROR(INDEX(jr_num,MATCH("BL82",jr_nkey,0))&amp;"","")</f>
        <v/>
      </c>
      <c r="S87" s="67" t="str">
        <f>IFERROR(INDEX(jr_num,MATCH("BR82",jr_nkey,0))&amp;"","")</f>
        <v/>
      </c>
      <c r="T87" s="67" t="str">
        <f>IFERROR(INDEX(jr_num,MATCH("BS82",jr_nkey,0))&amp;"","")</f>
        <v/>
      </c>
    </row>
    <row r="88">
      <c r="A88" s="60" t="str">
        <f>IF($O88="","",INDEX(jr_num,$O88)&amp;"")</f>
        <v/>
      </c>
      <c r="B88" s="60" t="str">
        <f>IF($O88="","",IF(INDEX(jr_type,$O88)="BL","Livraison",IF(INDEX(jr_type,$O88)="BR","Réception","Sortie")))</f>
        <v/>
      </c>
      <c r="C88" s="65" t="str">
        <f>IF($O88="","",INDEX(jr_date,$O88))</f>
        <v/>
      </c>
      <c r="D88" s="60" t="str">
        <f>IF($O88="","",INDEX(jr_tiers,$O88)&amp;"")</f>
        <v/>
      </c>
      <c r="E88" s="57" t="str">
        <f>IF($O88="","",INDEX(jr_name,$O88)&amp;"")</f>
        <v/>
      </c>
      <c r="F88" s="57" t="str">
        <f>IF($O88="","",INDEX(jr_order,$O88)&amp;"")</f>
        <v/>
      </c>
      <c r="G88" s="57" t="str">
        <f>IF($O88="","",INDEX(jr_ext,$O88)&amp;"")</f>
        <v/>
      </c>
      <c r="H88" s="57" t="str">
        <f>IF($O88="","",INDEX(jr_carrier,$O88)&amp;"")</f>
        <v/>
      </c>
      <c r="I88" s="66" t="str">
        <f>IF(A88="","",COUNTIF(jr_num,A88))</f>
        <v/>
      </c>
      <c r="J88" s="66" t="str">
        <f>IF(A88="","",SUMIF(jr_num,A88,jr_colis))</f>
        <v/>
      </c>
      <c r="K88" s="63" t="str">
        <f>IF(A88="","",SUMIF(jr_num,A88,jr_kg))</f>
        <v/>
      </c>
      <c r="L88" s="64" t="str">
        <f>IF(A88="","",SUMIF(jr_num,A88,jr_val))</f>
        <v/>
      </c>
      <c r="M88" s="60" t="str">
        <f>IF(A88="","",IF(COUNTIFS(jr_num,A88,jr_check,"&lt;&gt;OK")&gt;0,"À vérifier",IF(LEFT(A88,2)="BL",IF(COUNTIFS(jr_num,A88,jr_rel,"&gt;0")&gt;0,"Reliquat en cours",IF(COUNTIFS(jr_num,A88,jr_gap,"&lt;0")&gt;0,"Reliquat livré","Complet")),IF(LEFT(A88,2)="BR",IF(COUNTIFS(jr_num,A88,jr_etat,"Refusé")&gt;0,"Refusé",IF(COUNTIFS(jr_num,A88,jr_etat,"Avec réserves")&gt;0,"Avec réserves",IF(COUNTIFS(jr_num,A88,jr_rel,"&gt;0")&gt;0,"Reliquat en cours",IF(COUNTIFS(jr_num,A88,jr_gap,"&lt;0")+COUNTIFS(jr_num,A88,jr_gap,"&gt;0")&gt;0,"Écart","Conforme")))),IF(COUNTIFS(jr_num,A88,jr_gap,"&lt;0")&gt;0,"Partiel","Sorti")))))</f>
        <v/>
      </c>
      <c r="O88" t="str">
        <f>IFERROR(MATCH(83,jr_grank,0),"")</f>
        <v/>
      </c>
      <c r="R88" s="67" t="str">
        <f>IFERROR(INDEX(jr_num,MATCH("BL83",jr_nkey,0))&amp;"","")</f>
        <v/>
      </c>
      <c r="S88" s="67" t="str">
        <f>IFERROR(INDEX(jr_num,MATCH("BR83",jr_nkey,0))&amp;"","")</f>
        <v/>
      </c>
      <c r="T88" s="67" t="str">
        <f>IFERROR(INDEX(jr_num,MATCH("BS83",jr_nkey,0))&amp;"","")</f>
        <v/>
      </c>
    </row>
    <row r="89">
      <c r="A89" s="60" t="str">
        <f>IF($O89="","",INDEX(jr_num,$O89)&amp;"")</f>
        <v/>
      </c>
      <c r="B89" s="60" t="str">
        <f>IF($O89="","",IF(INDEX(jr_type,$O89)="BL","Livraison",IF(INDEX(jr_type,$O89)="BR","Réception","Sortie")))</f>
        <v/>
      </c>
      <c r="C89" s="65" t="str">
        <f>IF($O89="","",INDEX(jr_date,$O89))</f>
        <v/>
      </c>
      <c r="D89" s="60" t="str">
        <f>IF($O89="","",INDEX(jr_tiers,$O89)&amp;"")</f>
        <v/>
      </c>
      <c r="E89" s="57" t="str">
        <f>IF($O89="","",INDEX(jr_name,$O89)&amp;"")</f>
        <v/>
      </c>
      <c r="F89" s="57" t="str">
        <f>IF($O89="","",INDEX(jr_order,$O89)&amp;"")</f>
        <v/>
      </c>
      <c r="G89" s="57" t="str">
        <f>IF($O89="","",INDEX(jr_ext,$O89)&amp;"")</f>
        <v/>
      </c>
      <c r="H89" s="57" t="str">
        <f>IF($O89="","",INDEX(jr_carrier,$O89)&amp;"")</f>
        <v/>
      </c>
      <c r="I89" s="66" t="str">
        <f>IF(A89="","",COUNTIF(jr_num,A89))</f>
        <v/>
      </c>
      <c r="J89" s="66" t="str">
        <f>IF(A89="","",SUMIF(jr_num,A89,jr_colis))</f>
        <v/>
      </c>
      <c r="K89" s="63" t="str">
        <f>IF(A89="","",SUMIF(jr_num,A89,jr_kg))</f>
        <v/>
      </c>
      <c r="L89" s="64" t="str">
        <f>IF(A89="","",SUMIF(jr_num,A89,jr_val))</f>
        <v/>
      </c>
      <c r="M89" s="60" t="str">
        <f>IF(A89="","",IF(COUNTIFS(jr_num,A89,jr_check,"&lt;&gt;OK")&gt;0,"À vérifier",IF(LEFT(A89,2)="BL",IF(COUNTIFS(jr_num,A89,jr_rel,"&gt;0")&gt;0,"Reliquat en cours",IF(COUNTIFS(jr_num,A89,jr_gap,"&lt;0")&gt;0,"Reliquat livré","Complet")),IF(LEFT(A89,2)="BR",IF(COUNTIFS(jr_num,A89,jr_etat,"Refusé")&gt;0,"Refusé",IF(COUNTIFS(jr_num,A89,jr_etat,"Avec réserves")&gt;0,"Avec réserves",IF(COUNTIFS(jr_num,A89,jr_rel,"&gt;0")&gt;0,"Reliquat en cours",IF(COUNTIFS(jr_num,A89,jr_gap,"&lt;0")+COUNTIFS(jr_num,A89,jr_gap,"&gt;0")&gt;0,"Écart","Conforme")))),IF(COUNTIFS(jr_num,A89,jr_gap,"&lt;0")&gt;0,"Partiel","Sorti")))))</f>
        <v/>
      </c>
      <c r="O89" t="str">
        <f>IFERROR(MATCH(84,jr_grank,0),"")</f>
        <v/>
      </c>
      <c r="R89" s="67" t="str">
        <f>IFERROR(INDEX(jr_num,MATCH("BL84",jr_nkey,0))&amp;"","")</f>
        <v/>
      </c>
      <c r="S89" s="67" t="str">
        <f>IFERROR(INDEX(jr_num,MATCH("BR84",jr_nkey,0))&amp;"","")</f>
        <v/>
      </c>
      <c r="T89" s="67" t="str">
        <f>IFERROR(INDEX(jr_num,MATCH("BS84",jr_nkey,0))&amp;"","")</f>
        <v/>
      </c>
    </row>
    <row r="90">
      <c r="A90" s="60" t="str">
        <f>IF($O90="","",INDEX(jr_num,$O90)&amp;"")</f>
        <v/>
      </c>
      <c r="B90" s="60" t="str">
        <f>IF($O90="","",IF(INDEX(jr_type,$O90)="BL","Livraison",IF(INDEX(jr_type,$O90)="BR","Réception","Sortie")))</f>
        <v/>
      </c>
      <c r="C90" s="65" t="str">
        <f>IF($O90="","",INDEX(jr_date,$O90))</f>
        <v/>
      </c>
      <c r="D90" s="60" t="str">
        <f>IF($O90="","",INDEX(jr_tiers,$O90)&amp;"")</f>
        <v/>
      </c>
      <c r="E90" s="57" t="str">
        <f>IF($O90="","",INDEX(jr_name,$O90)&amp;"")</f>
        <v/>
      </c>
      <c r="F90" s="57" t="str">
        <f>IF($O90="","",INDEX(jr_order,$O90)&amp;"")</f>
        <v/>
      </c>
      <c r="G90" s="57" t="str">
        <f>IF($O90="","",INDEX(jr_ext,$O90)&amp;"")</f>
        <v/>
      </c>
      <c r="H90" s="57" t="str">
        <f>IF($O90="","",INDEX(jr_carrier,$O90)&amp;"")</f>
        <v/>
      </c>
      <c r="I90" s="66" t="str">
        <f>IF(A90="","",COUNTIF(jr_num,A90))</f>
        <v/>
      </c>
      <c r="J90" s="66" t="str">
        <f>IF(A90="","",SUMIF(jr_num,A90,jr_colis))</f>
        <v/>
      </c>
      <c r="K90" s="63" t="str">
        <f>IF(A90="","",SUMIF(jr_num,A90,jr_kg))</f>
        <v/>
      </c>
      <c r="L90" s="64" t="str">
        <f>IF(A90="","",SUMIF(jr_num,A90,jr_val))</f>
        <v/>
      </c>
      <c r="M90" s="60" t="str">
        <f>IF(A90="","",IF(COUNTIFS(jr_num,A90,jr_check,"&lt;&gt;OK")&gt;0,"À vérifier",IF(LEFT(A90,2)="BL",IF(COUNTIFS(jr_num,A90,jr_rel,"&gt;0")&gt;0,"Reliquat en cours",IF(COUNTIFS(jr_num,A90,jr_gap,"&lt;0")&gt;0,"Reliquat livré","Complet")),IF(LEFT(A90,2)="BR",IF(COUNTIFS(jr_num,A90,jr_etat,"Refusé")&gt;0,"Refusé",IF(COUNTIFS(jr_num,A90,jr_etat,"Avec réserves")&gt;0,"Avec réserves",IF(COUNTIFS(jr_num,A90,jr_rel,"&gt;0")&gt;0,"Reliquat en cours",IF(COUNTIFS(jr_num,A90,jr_gap,"&lt;0")+COUNTIFS(jr_num,A90,jr_gap,"&gt;0")&gt;0,"Écart","Conforme")))),IF(COUNTIFS(jr_num,A90,jr_gap,"&lt;0")&gt;0,"Partiel","Sorti")))))</f>
        <v/>
      </c>
      <c r="O90" t="str">
        <f>IFERROR(MATCH(85,jr_grank,0),"")</f>
        <v/>
      </c>
      <c r="R90" s="67" t="str">
        <f>IFERROR(INDEX(jr_num,MATCH("BL85",jr_nkey,0))&amp;"","")</f>
        <v/>
      </c>
      <c r="S90" s="67" t="str">
        <f>IFERROR(INDEX(jr_num,MATCH("BR85",jr_nkey,0))&amp;"","")</f>
        <v/>
      </c>
      <c r="T90" s="67" t="str">
        <f>IFERROR(INDEX(jr_num,MATCH("BS85",jr_nkey,0))&amp;"","")</f>
        <v/>
      </c>
    </row>
    <row r="91">
      <c r="A91" s="60" t="str">
        <f>IF($O91="","",INDEX(jr_num,$O91)&amp;"")</f>
        <v/>
      </c>
      <c r="B91" s="60" t="str">
        <f>IF($O91="","",IF(INDEX(jr_type,$O91)="BL","Livraison",IF(INDEX(jr_type,$O91)="BR","Réception","Sortie")))</f>
        <v/>
      </c>
      <c r="C91" s="65" t="str">
        <f>IF($O91="","",INDEX(jr_date,$O91))</f>
        <v/>
      </c>
      <c r="D91" s="60" t="str">
        <f>IF($O91="","",INDEX(jr_tiers,$O91)&amp;"")</f>
        <v/>
      </c>
      <c r="E91" s="57" t="str">
        <f>IF($O91="","",INDEX(jr_name,$O91)&amp;"")</f>
        <v/>
      </c>
      <c r="F91" s="57" t="str">
        <f>IF($O91="","",INDEX(jr_order,$O91)&amp;"")</f>
        <v/>
      </c>
      <c r="G91" s="57" t="str">
        <f>IF($O91="","",INDEX(jr_ext,$O91)&amp;"")</f>
        <v/>
      </c>
      <c r="H91" s="57" t="str">
        <f>IF($O91="","",INDEX(jr_carrier,$O91)&amp;"")</f>
        <v/>
      </c>
      <c r="I91" s="66" t="str">
        <f>IF(A91="","",COUNTIF(jr_num,A91))</f>
        <v/>
      </c>
      <c r="J91" s="66" t="str">
        <f>IF(A91="","",SUMIF(jr_num,A91,jr_colis))</f>
        <v/>
      </c>
      <c r="K91" s="63" t="str">
        <f>IF(A91="","",SUMIF(jr_num,A91,jr_kg))</f>
        <v/>
      </c>
      <c r="L91" s="64" t="str">
        <f>IF(A91="","",SUMIF(jr_num,A91,jr_val))</f>
        <v/>
      </c>
      <c r="M91" s="60" t="str">
        <f>IF(A91="","",IF(COUNTIFS(jr_num,A91,jr_check,"&lt;&gt;OK")&gt;0,"À vérifier",IF(LEFT(A91,2)="BL",IF(COUNTIFS(jr_num,A91,jr_rel,"&gt;0")&gt;0,"Reliquat en cours",IF(COUNTIFS(jr_num,A91,jr_gap,"&lt;0")&gt;0,"Reliquat livré","Complet")),IF(LEFT(A91,2)="BR",IF(COUNTIFS(jr_num,A91,jr_etat,"Refusé")&gt;0,"Refusé",IF(COUNTIFS(jr_num,A91,jr_etat,"Avec réserves")&gt;0,"Avec réserves",IF(COUNTIFS(jr_num,A91,jr_rel,"&gt;0")&gt;0,"Reliquat en cours",IF(COUNTIFS(jr_num,A91,jr_gap,"&lt;0")+COUNTIFS(jr_num,A91,jr_gap,"&gt;0")&gt;0,"Écart","Conforme")))),IF(COUNTIFS(jr_num,A91,jr_gap,"&lt;0")&gt;0,"Partiel","Sorti")))))</f>
        <v/>
      </c>
      <c r="O91" t="str">
        <f>IFERROR(MATCH(86,jr_grank,0),"")</f>
        <v/>
      </c>
      <c r="R91" s="67" t="str">
        <f>IFERROR(INDEX(jr_num,MATCH("BL86",jr_nkey,0))&amp;"","")</f>
        <v/>
      </c>
      <c r="S91" s="67" t="str">
        <f>IFERROR(INDEX(jr_num,MATCH("BR86",jr_nkey,0))&amp;"","")</f>
        <v/>
      </c>
      <c r="T91" s="67" t="str">
        <f>IFERROR(INDEX(jr_num,MATCH("BS86",jr_nkey,0))&amp;"","")</f>
        <v/>
      </c>
    </row>
    <row r="92">
      <c r="A92" s="60" t="str">
        <f>IF($O92="","",INDEX(jr_num,$O92)&amp;"")</f>
        <v/>
      </c>
      <c r="B92" s="60" t="str">
        <f>IF($O92="","",IF(INDEX(jr_type,$O92)="BL","Livraison",IF(INDEX(jr_type,$O92)="BR","Réception","Sortie")))</f>
        <v/>
      </c>
      <c r="C92" s="65" t="str">
        <f>IF($O92="","",INDEX(jr_date,$O92))</f>
        <v/>
      </c>
      <c r="D92" s="60" t="str">
        <f>IF($O92="","",INDEX(jr_tiers,$O92)&amp;"")</f>
        <v/>
      </c>
      <c r="E92" s="57" t="str">
        <f>IF($O92="","",INDEX(jr_name,$O92)&amp;"")</f>
        <v/>
      </c>
      <c r="F92" s="57" t="str">
        <f>IF($O92="","",INDEX(jr_order,$O92)&amp;"")</f>
        <v/>
      </c>
      <c r="G92" s="57" t="str">
        <f>IF($O92="","",INDEX(jr_ext,$O92)&amp;"")</f>
        <v/>
      </c>
      <c r="H92" s="57" t="str">
        <f>IF($O92="","",INDEX(jr_carrier,$O92)&amp;"")</f>
        <v/>
      </c>
      <c r="I92" s="66" t="str">
        <f>IF(A92="","",COUNTIF(jr_num,A92))</f>
        <v/>
      </c>
      <c r="J92" s="66" t="str">
        <f>IF(A92="","",SUMIF(jr_num,A92,jr_colis))</f>
        <v/>
      </c>
      <c r="K92" s="63" t="str">
        <f>IF(A92="","",SUMIF(jr_num,A92,jr_kg))</f>
        <v/>
      </c>
      <c r="L92" s="64" t="str">
        <f>IF(A92="","",SUMIF(jr_num,A92,jr_val))</f>
        <v/>
      </c>
      <c r="M92" s="60" t="str">
        <f>IF(A92="","",IF(COUNTIFS(jr_num,A92,jr_check,"&lt;&gt;OK")&gt;0,"À vérifier",IF(LEFT(A92,2)="BL",IF(COUNTIFS(jr_num,A92,jr_rel,"&gt;0")&gt;0,"Reliquat en cours",IF(COUNTIFS(jr_num,A92,jr_gap,"&lt;0")&gt;0,"Reliquat livré","Complet")),IF(LEFT(A92,2)="BR",IF(COUNTIFS(jr_num,A92,jr_etat,"Refusé")&gt;0,"Refusé",IF(COUNTIFS(jr_num,A92,jr_etat,"Avec réserves")&gt;0,"Avec réserves",IF(COUNTIFS(jr_num,A92,jr_rel,"&gt;0")&gt;0,"Reliquat en cours",IF(COUNTIFS(jr_num,A92,jr_gap,"&lt;0")+COUNTIFS(jr_num,A92,jr_gap,"&gt;0")&gt;0,"Écart","Conforme")))),IF(COUNTIFS(jr_num,A92,jr_gap,"&lt;0")&gt;0,"Partiel","Sorti")))))</f>
        <v/>
      </c>
      <c r="O92" t="str">
        <f>IFERROR(MATCH(87,jr_grank,0),"")</f>
        <v/>
      </c>
      <c r="R92" s="67" t="str">
        <f>IFERROR(INDEX(jr_num,MATCH("BL87",jr_nkey,0))&amp;"","")</f>
        <v/>
      </c>
      <c r="S92" s="67" t="str">
        <f>IFERROR(INDEX(jr_num,MATCH("BR87",jr_nkey,0))&amp;"","")</f>
        <v/>
      </c>
      <c r="T92" s="67" t="str">
        <f>IFERROR(INDEX(jr_num,MATCH("BS87",jr_nkey,0))&amp;"","")</f>
        <v/>
      </c>
    </row>
    <row r="93">
      <c r="A93" s="60" t="str">
        <f>IF($O93="","",INDEX(jr_num,$O93)&amp;"")</f>
        <v/>
      </c>
      <c r="B93" s="60" t="str">
        <f>IF($O93="","",IF(INDEX(jr_type,$O93)="BL","Livraison",IF(INDEX(jr_type,$O93)="BR","Réception","Sortie")))</f>
        <v/>
      </c>
      <c r="C93" s="65" t="str">
        <f>IF($O93="","",INDEX(jr_date,$O93))</f>
        <v/>
      </c>
      <c r="D93" s="60" t="str">
        <f>IF($O93="","",INDEX(jr_tiers,$O93)&amp;"")</f>
        <v/>
      </c>
      <c r="E93" s="57" t="str">
        <f>IF($O93="","",INDEX(jr_name,$O93)&amp;"")</f>
        <v/>
      </c>
      <c r="F93" s="57" t="str">
        <f>IF($O93="","",INDEX(jr_order,$O93)&amp;"")</f>
        <v/>
      </c>
      <c r="G93" s="57" t="str">
        <f>IF($O93="","",INDEX(jr_ext,$O93)&amp;"")</f>
        <v/>
      </c>
      <c r="H93" s="57" t="str">
        <f>IF($O93="","",INDEX(jr_carrier,$O93)&amp;"")</f>
        <v/>
      </c>
      <c r="I93" s="66" t="str">
        <f>IF(A93="","",COUNTIF(jr_num,A93))</f>
        <v/>
      </c>
      <c r="J93" s="66" t="str">
        <f>IF(A93="","",SUMIF(jr_num,A93,jr_colis))</f>
        <v/>
      </c>
      <c r="K93" s="63" t="str">
        <f>IF(A93="","",SUMIF(jr_num,A93,jr_kg))</f>
        <v/>
      </c>
      <c r="L93" s="64" t="str">
        <f>IF(A93="","",SUMIF(jr_num,A93,jr_val))</f>
        <v/>
      </c>
      <c r="M93" s="60" t="str">
        <f>IF(A93="","",IF(COUNTIFS(jr_num,A93,jr_check,"&lt;&gt;OK")&gt;0,"À vérifier",IF(LEFT(A93,2)="BL",IF(COUNTIFS(jr_num,A93,jr_rel,"&gt;0")&gt;0,"Reliquat en cours",IF(COUNTIFS(jr_num,A93,jr_gap,"&lt;0")&gt;0,"Reliquat livré","Complet")),IF(LEFT(A93,2)="BR",IF(COUNTIFS(jr_num,A93,jr_etat,"Refusé")&gt;0,"Refusé",IF(COUNTIFS(jr_num,A93,jr_etat,"Avec réserves")&gt;0,"Avec réserves",IF(COUNTIFS(jr_num,A93,jr_rel,"&gt;0")&gt;0,"Reliquat en cours",IF(COUNTIFS(jr_num,A93,jr_gap,"&lt;0")+COUNTIFS(jr_num,A93,jr_gap,"&gt;0")&gt;0,"Écart","Conforme")))),IF(COUNTIFS(jr_num,A93,jr_gap,"&lt;0")&gt;0,"Partiel","Sorti")))))</f>
        <v/>
      </c>
      <c r="O93" t="str">
        <f>IFERROR(MATCH(88,jr_grank,0),"")</f>
        <v/>
      </c>
      <c r="R93" s="67" t="str">
        <f>IFERROR(INDEX(jr_num,MATCH("BL88",jr_nkey,0))&amp;"","")</f>
        <v/>
      </c>
      <c r="S93" s="67" t="str">
        <f>IFERROR(INDEX(jr_num,MATCH("BR88",jr_nkey,0))&amp;"","")</f>
        <v/>
      </c>
      <c r="T93" s="67" t="str">
        <f>IFERROR(INDEX(jr_num,MATCH("BS88",jr_nkey,0))&amp;"","")</f>
        <v/>
      </c>
    </row>
    <row r="94">
      <c r="A94" s="60" t="str">
        <f>IF($O94="","",INDEX(jr_num,$O94)&amp;"")</f>
        <v/>
      </c>
      <c r="B94" s="60" t="str">
        <f>IF($O94="","",IF(INDEX(jr_type,$O94)="BL","Livraison",IF(INDEX(jr_type,$O94)="BR","Réception","Sortie")))</f>
        <v/>
      </c>
      <c r="C94" s="65" t="str">
        <f>IF($O94="","",INDEX(jr_date,$O94))</f>
        <v/>
      </c>
      <c r="D94" s="60" t="str">
        <f>IF($O94="","",INDEX(jr_tiers,$O94)&amp;"")</f>
        <v/>
      </c>
      <c r="E94" s="57" t="str">
        <f>IF($O94="","",INDEX(jr_name,$O94)&amp;"")</f>
        <v/>
      </c>
      <c r="F94" s="57" t="str">
        <f>IF($O94="","",INDEX(jr_order,$O94)&amp;"")</f>
        <v/>
      </c>
      <c r="G94" s="57" t="str">
        <f>IF($O94="","",INDEX(jr_ext,$O94)&amp;"")</f>
        <v/>
      </c>
      <c r="H94" s="57" t="str">
        <f>IF($O94="","",INDEX(jr_carrier,$O94)&amp;"")</f>
        <v/>
      </c>
      <c r="I94" s="66" t="str">
        <f>IF(A94="","",COUNTIF(jr_num,A94))</f>
        <v/>
      </c>
      <c r="J94" s="66" t="str">
        <f>IF(A94="","",SUMIF(jr_num,A94,jr_colis))</f>
        <v/>
      </c>
      <c r="K94" s="63" t="str">
        <f>IF(A94="","",SUMIF(jr_num,A94,jr_kg))</f>
        <v/>
      </c>
      <c r="L94" s="64" t="str">
        <f>IF(A94="","",SUMIF(jr_num,A94,jr_val))</f>
        <v/>
      </c>
      <c r="M94" s="60" t="str">
        <f>IF(A94="","",IF(COUNTIFS(jr_num,A94,jr_check,"&lt;&gt;OK")&gt;0,"À vérifier",IF(LEFT(A94,2)="BL",IF(COUNTIFS(jr_num,A94,jr_rel,"&gt;0")&gt;0,"Reliquat en cours",IF(COUNTIFS(jr_num,A94,jr_gap,"&lt;0")&gt;0,"Reliquat livré","Complet")),IF(LEFT(A94,2)="BR",IF(COUNTIFS(jr_num,A94,jr_etat,"Refusé")&gt;0,"Refusé",IF(COUNTIFS(jr_num,A94,jr_etat,"Avec réserves")&gt;0,"Avec réserves",IF(COUNTIFS(jr_num,A94,jr_rel,"&gt;0")&gt;0,"Reliquat en cours",IF(COUNTIFS(jr_num,A94,jr_gap,"&lt;0")+COUNTIFS(jr_num,A94,jr_gap,"&gt;0")&gt;0,"Écart","Conforme")))),IF(COUNTIFS(jr_num,A94,jr_gap,"&lt;0")&gt;0,"Partiel","Sorti")))))</f>
        <v/>
      </c>
      <c r="O94" t="str">
        <f>IFERROR(MATCH(89,jr_grank,0),"")</f>
        <v/>
      </c>
      <c r="R94" s="67" t="str">
        <f>IFERROR(INDEX(jr_num,MATCH("BL89",jr_nkey,0))&amp;"","")</f>
        <v/>
      </c>
      <c r="S94" s="67" t="str">
        <f>IFERROR(INDEX(jr_num,MATCH("BR89",jr_nkey,0))&amp;"","")</f>
        <v/>
      </c>
      <c r="T94" s="67" t="str">
        <f>IFERROR(INDEX(jr_num,MATCH("BS89",jr_nkey,0))&amp;"","")</f>
        <v/>
      </c>
    </row>
    <row r="95">
      <c r="A95" s="60" t="str">
        <f>IF($O95="","",INDEX(jr_num,$O95)&amp;"")</f>
        <v/>
      </c>
      <c r="B95" s="60" t="str">
        <f>IF($O95="","",IF(INDEX(jr_type,$O95)="BL","Livraison",IF(INDEX(jr_type,$O95)="BR","Réception","Sortie")))</f>
        <v/>
      </c>
      <c r="C95" s="65" t="str">
        <f>IF($O95="","",INDEX(jr_date,$O95))</f>
        <v/>
      </c>
      <c r="D95" s="60" t="str">
        <f>IF($O95="","",INDEX(jr_tiers,$O95)&amp;"")</f>
        <v/>
      </c>
      <c r="E95" s="57" t="str">
        <f>IF($O95="","",INDEX(jr_name,$O95)&amp;"")</f>
        <v/>
      </c>
      <c r="F95" s="57" t="str">
        <f>IF($O95="","",INDEX(jr_order,$O95)&amp;"")</f>
        <v/>
      </c>
      <c r="G95" s="57" t="str">
        <f>IF($O95="","",INDEX(jr_ext,$O95)&amp;"")</f>
        <v/>
      </c>
      <c r="H95" s="57" t="str">
        <f>IF($O95="","",INDEX(jr_carrier,$O95)&amp;"")</f>
        <v/>
      </c>
      <c r="I95" s="66" t="str">
        <f>IF(A95="","",COUNTIF(jr_num,A95))</f>
        <v/>
      </c>
      <c r="J95" s="66" t="str">
        <f>IF(A95="","",SUMIF(jr_num,A95,jr_colis))</f>
        <v/>
      </c>
      <c r="K95" s="63" t="str">
        <f>IF(A95="","",SUMIF(jr_num,A95,jr_kg))</f>
        <v/>
      </c>
      <c r="L95" s="64" t="str">
        <f>IF(A95="","",SUMIF(jr_num,A95,jr_val))</f>
        <v/>
      </c>
      <c r="M95" s="60" t="str">
        <f>IF(A95="","",IF(COUNTIFS(jr_num,A95,jr_check,"&lt;&gt;OK")&gt;0,"À vérifier",IF(LEFT(A95,2)="BL",IF(COUNTIFS(jr_num,A95,jr_rel,"&gt;0")&gt;0,"Reliquat en cours",IF(COUNTIFS(jr_num,A95,jr_gap,"&lt;0")&gt;0,"Reliquat livré","Complet")),IF(LEFT(A95,2)="BR",IF(COUNTIFS(jr_num,A95,jr_etat,"Refusé")&gt;0,"Refusé",IF(COUNTIFS(jr_num,A95,jr_etat,"Avec réserves")&gt;0,"Avec réserves",IF(COUNTIFS(jr_num,A95,jr_rel,"&gt;0")&gt;0,"Reliquat en cours",IF(COUNTIFS(jr_num,A95,jr_gap,"&lt;0")+COUNTIFS(jr_num,A95,jr_gap,"&gt;0")&gt;0,"Écart","Conforme")))),IF(COUNTIFS(jr_num,A95,jr_gap,"&lt;0")&gt;0,"Partiel","Sorti")))))</f>
        <v/>
      </c>
      <c r="O95" t="str">
        <f>IFERROR(MATCH(90,jr_grank,0),"")</f>
        <v/>
      </c>
      <c r="R95" s="67" t="str">
        <f>IFERROR(INDEX(jr_num,MATCH("BL90",jr_nkey,0))&amp;"","")</f>
        <v/>
      </c>
      <c r="S95" s="67" t="str">
        <f>IFERROR(INDEX(jr_num,MATCH("BR90",jr_nkey,0))&amp;"","")</f>
        <v/>
      </c>
      <c r="T95" s="67" t="str">
        <f>IFERROR(INDEX(jr_num,MATCH("BS90",jr_nkey,0))&amp;"","")</f>
        <v/>
      </c>
    </row>
    <row r="96">
      <c r="A96" s="60" t="str">
        <f>IF($O96="","",INDEX(jr_num,$O96)&amp;"")</f>
        <v/>
      </c>
      <c r="B96" s="60" t="str">
        <f>IF($O96="","",IF(INDEX(jr_type,$O96)="BL","Livraison",IF(INDEX(jr_type,$O96)="BR","Réception","Sortie")))</f>
        <v/>
      </c>
      <c r="C96" s="65" t="str">
        <f>IF($O96="","",INDEX(jr_date,$O96))</f>
        <v/>
      </c>
      <c r="D96" s="60" t="str">
        <f>IF($O96="","",INDEX(jr_tiers,$O96)&amp;"")</f>
        <v/>
      </c>
      <c r="E96" s="57" t="str">
        <f>IF($O96="","",INDEX(jr_name,$O96)&amp;"")</f>
        <v/>
      </c>
      <c r="F96" s="57" t="str">
        <f>IF($O96="","",INDEX(jr_order,$O96)&amp;"")</f>
        <v/>
      </c>
      <c r="G96" s="57" t="str">
        <f>IF($O96="","",INDEX(jr_ext,$O96)&amp;"")</f>
        <v/>
      </c>
      <c r="H96" s="57" t="str">
        <f>IF($O96="","",INDEX(jr_carrier,$O96)&amp;"")</f>
        <v/>
      </c>
      <c r="I96" s="66" t="str">
        <f>IF(A96="","",COUNTIF(jr_num,A96))</f>
        <v/>
      </c>
      <c r="J96" s="66" t="str">
        <f>IF(A96="","",SUMIF(jr_num,A96,jr_colis))</f>
        <v/>
      </c>
      <c r="K96" s="63" t="str">
        <f>IF(A96="","",SUMIF(jr_num,A96,jr_kg))</f>
        <v/>
      </c>
      <c r="L96" s="64" t="str">
        <f>IF(A96="","",SUMIF(jr_num,A96,jr_val))</f>
        <v/>
      </c>
      <c r="M96" s="60" t="str">
        <f>IF(A96="","",IF(COUNTIFS(jr_num,A96,jr_check,"&lt;&gt;OK")&gt;0,"À vérifier",IF(LEFT(A96,2)="BL",IF(COUNTIFS(jr_num,A96,jr_rel,"&gt;0")&gt;0,"Reliquat en cours",IF(COUNTIFS(jr_num,A96,jr_gap,"&lt;0")&gt;0,"Reliquat livré","Complet")),IF(LEFT(A96,2)="BR",IF(COUNTIFS(jr_num,A96,jr_etat,"Refusé")&gt;0,"Refusé",IF(COUNTIFS(jr_num,A96,jr_etat,"Avec réserves")&gt;0,"Avec réserves",IF(COUNTIFS(jr_num,A96,jr_rel,"&gt;0")&gt;0,"Reliquat en cours",IF(COUNTIFS(jr_num,A96,jr_gap,"&lt;0")+COUNTIFS(jr_num,A96,jr_gap,"&gt;0")&gt;0,"Écart","Conforme")))),IF(COUNTIFS(jr_num,A96,jr_gap,"&lt;0")&gt;0,"Partiel","Sorti")))))</f>
        <v/>
      </c>
      <c r="O96" t="str">
        <f>IFERROR(MATCH(91,jr_grank,0),"")</f>
        <v/>
      </c>
      <c r="R96" s="67" t="str">
        <f>IFERROR(INDEX(jr_num,MATCH("BL91",jr_nkey,0))&amp;"","")</f>
        <v/>
      </c>
      <c r="S96" s="67" t="str">
        <f>IFERROR(INDEX(jr_num,MATCH("BR91",jr_nkey,0))&amp;"","")</f>
        <v/>
      </c>
      <c r="T96" s="67" t="str">
        <f>IFERROR(INDEX(jr_num,MATCH("BS91",jr_nkey,0))&amp;"","")</f>
        <v/>
      </c>
    </row>
    <row r="97">
      <c r="A97" s="60" t="str">
        <f>IF($O97="","",INDEX(jr_num,$O97)&amp;"")</f>
        <v/>
      </c>
      <c r="B97" s="60" t="str">
        <f>IF($O97="","",IF(INDEX(jr_type,$O97)="BL","Livraison",IF(INDEX(jr_type,$O97)="BR","Réception","Sortie")))</f>
        <v/>
      </c>
      <c r="C97" s="65" t="str">
        <f>IF($O97="","",INDEX(jr_date,$O97))</f>
        <v/>
      </c>
      <c r="D97" s="60" t="str">
        <f>IF($O97="","",INDEX(jr_tiers,$O97)&amp;"")</f>
        <v/>
      </c>
      <c r="E97" s="57" t="str">
        <f>IF($O97="","",INDEX(jr_name,$O97)&amp;"")</f>
        <v/>
      </c>
      <c r="F97" s="57" t="str">
        <f>IF($O97="","",INDEX(jr_order,$O97)&amp;"")</f>
        <v/>
      </c>
      <c r="G97" s="57" t="str">
        <f>IF($O97="","",INDEX(jr_ext,$O97)&amp;"")</f>
        <v/>
      </c>
      <c r="H97" s="57" t="str">
        <f>IF($O97="","",INDEX(jr_carrier,$O97)&amp;"")</f>
        <v/>
      </c>
      <c r="I97" s="66" t="str">
        <f>IF(A97="","",COUNTIF(jr_num,A97))</f>
        <v/>
      </c>
      <c r="J97" s="66" t="str">
        <f>IF(A97="","",SUMIF(jr_num,A97,jr_colis))</f>
        <v/>
      </c>
      <c r="K97" s="63" t="str">
        <f>IF(A97="","",SUMIF(jr_num,A97,jr_kg))</f>
        <v/>
      </c>
      <c r="L97" s="64" t="str">
        <f>IF(A97="","",SUMIF(jr_num,A97,jr_val))</f>
        <v/>
      </c>
      <c r="M97" s="60" t="str">
        <f>IF(A97="","",IF(COUNTIFS(jr_num,A97,jr_check,"&lt;&gt;OK")&gt;0,"À vérifier",IF(LEFT(A97,2)="BL",IF(COUNTIFS(jr_num,A97,jr_rel,"&gt;0")&gt;0,"Reliquat en cours",IF(COUNTIFS(jr_num,A97,jr_gap,"&lt;0")&gt;0,"Reliquat livré","Complet")),IF(LEFT(A97,2)="BR",IF(COUNTIFS(jr_num,A97,jr_etat,"Refusé")&gt;0,"Refusé",IF(COUNTIFS(jr_num,A97,jr_etat,"Avec réserves")&gt;0,"Avec réserves",IF(COUNTIFS(jr_num,A97,jr_rel,"&gt;0")&gt;0,"Reliquat en cours",IF(COUNTIFS(jr_num,A97,jr_gap,"&lt;0")+COUNTIFS(jr_num,A97,jr_gap,"&gt;0")&gt;0,"Écart","Conforme")))),IF(COUNTIFS(jr_num,A97,jr_gap,"&lt;0")&gt;0,"Partiel","Sorti")))))</f>
        <v/>
      </c>
      <c r="O97" t="str">
        <f>IFERROR(MATCH(92,jr_grank,0),"")</f>
        <v/>
      </c>
      <c r="R97" s="67" t="str">
        <f>IFERROR(INDEX(jr_num,MATCH("BL92",jr_nkey,0))&amp;"","")</f>
        <v/>
      </c>
      <c r="S97" s="67" t="str">
        <f>IFERROR(INDEX(jr_num,MATCH("BR92",jr_nkey,0))&amp;"","")</f>
        <v/>
      </c>
      <c r="T97" s="67" t="str">
        <f>IFERROR(INDEX(jr_num,MATCH("BS92",jr_nkey,0))&amp;"","")</f>
        <v/>
      </c>
    </row>
    <row r="98">
      <c r="A98" s="60" t="str">
        <f>IF($O98="","",INDEX(jr_num,$O98)&amp;"")</f>
        <v/>
      </c>
      <c r="B98" s="60" t="str">
        <f>IF($O98="","",IF(INDEX(jr_type,$O98)="BL","Livraison",IF(INDEX(jr_type,$O98)="BR","Réception","Sortie")))</f>
        <v/>
      </c>
      <c r="C98" s="65" t="str">
        <f>IF($O98="","",INDEX(jr_date,$O98))</f>
        <v/>
      </c>
      <c r="D98" s="60" t="str">
        <f>IF($O98="","",INDEX(jr_tiers,$O98)&amp;"")</f>
        <v/>
      </c>
      <c r="E98" s="57" t="str">
        <f>IF($O98="","",INDEX(jr_name,$O98)&amp;"")</f>
        <v/>
      </c>
      <c r="F98" s="57" t="str">
        <f>IF($O98="","",INDEX(jr_order,$O98)&amp;"")</f>
        <v/>
      </c>
      <c r="G98" s="57" t="str">
        <f>IF($O98="","",INDEX(jr_ext,$O98)&amp;"")</f>
        <v/>
      </c>
      <c r="H98" s="57" t="str">
        <f>IF($O98="","",INDEX(jr_carrier,$O98)&amp;"")</f>
        <v/>
      </c>
      <c r="I98" s="66" t="str">
        <f>IF(A98="","",COUNTIF(jr_num,A98))</f>
        <v/>
      </c>
      <c r="J98" s="66" t="str">
        <f>IF(A98="","",SUMIF(jr_num,A98,jr_colis))</f>
        <v/>
      </c>
      <c r="K98" s="63" t="str">
        <f>IF(A98="","",SUMIF(jr_num,A98,jr_kg))</f>
        <v/>
      </c>
      <c r="L98" s="64" t="str">
        <f>IF(A98="","",SUMIF(jr_num,A98,jr_val))</f>
        <v/>
      </c>
      <c r="M98" s="60" t="str">
        <f>IF(A98="","",IF(COUNTIFS(jr_num,A98,jr_check,"&lt;&gt;OK")&gt;0,"À vérifier",IF(LEFT(A98,2)="BL",IF(COUNTIFS(jr_num,A98,jr_rel,"&gt;0")&gt;0,"Reliquat en cours",IF(COUNTIFS(jr_num,A98,jr_gap,"&lt;0")&gt;0,"Reliquat livré","Complet")),IF(LEFT(A98,2)="BR",IF(COUNTIFS(jr_num,A98,jr_etat,"Refusé")&gt;0,"Refusé",IF(COUNTIFS(jr_num,A98,jr_etat,"Avec réserves")&gt;0,"Avec réserves",IF(COUNTIFS(jr_num,A98,jr_rel,"&gt;0")&gt;0,"Reliquat en cours",IF(COUNTIFS(jr_num,A98,jr_gap,"&lt;0")+COUNTIFS(jr_num,A98,jr_gap,"&gt;0")&gt;0,"Écart","Conforme")))),IF(COUNTIFS(jr_num,A98,jr_gap,"&lt;0")&gt;0,"Partiel","Sorti")))))</f>
        <v/>
      </c>
      <c r="O98" t="str">
        <f>IFERROR(MATCH(93,jr_grank,0),"")</f>
        <v/>
      </c>
      <c r="R98" s="67" t="str">
        <f>IFERROR(INDEX(jr_num,MATCH("BL93",jr_nkey,0))&amp;"","")</f>
        <v/>
      </c>
      <c r="S98" s="67" t="str">
        <f>IFERROR(INDEX(jr_num,MATCH("BR93",jr_nkey,0))&amp;"","")</f>
        <v/>
      </c>
      <c r="T98" s="67" t="str">
        <f>IFERROR(INDEX(jr_num,MATCH("BS93",jr_nkey,0))&amp;"","")</f>
        <v/>
      </c>
    </row>
    <row r="99">
      <c r="A99" s="60" t="str">
        <f>IF($O99="","",INDEX(jr_num,$O99)&amp;"")</f>
        <v/>
      </c>
      <c r="B99" s="60" t="str">
        <f>IF($O99="","",IF(INDEX(jr_type,$O99)="BL","Livraison",IF(INDEX(jr_type,$O99)="BR","Réception","Sortie")))</f>
        <v/>
      </c>
      <c r="C99" s="65" t="str">
        <f>IF($O99="","",INDEX(jr_date,$O99))</f>
        <v/>
      </c>
      <c r="D99" s="60" t="str">
        <f>IF($O99="","",INDEX(jr_tiers,$O99)&amp;"")</f>
        <v/>
      </c>
      <c r="E99" s="57" t="str">
        <f>IF($O99="","",INDEX(jr_name,$O99)&amp;"")</f>
        <v/>
      </c>
      <c r="F99" s="57" t="str">
        <f>IF($O99="","",INDEX(jr_order,$O99)&amp;"")</f>
        <v/>
      </c>
      <c r="G99" s="57" t="str">
        <f>IF($O99="","",INDEX(jr_ext,$O99)&amp;"")</f>
        <v/>
      </c>
      <c r="H99" s="57" t="str">
        <f>IF($O99="","",INDEX(jr_carrier,$O99)&amp;"")</f>
        <v/>
      </c>
      <c r="I99" s="66" t="str">
        <f>IF(A99="","",COUNTIF(jr_num,A99))</f>
        <v/>
      </c>
      <c r="J99" s="66" t="str">
        <f>IF(A99="","",SUMIF(jr_num,A99,jr_colis))</f>
        <v/>
      </c>
      <c r="K99" s="63" t="str">
        <f>IF(A99="","",SUMIF(jr_num,A99,jr_kg))</f>
        <v/>
      </c>
      <c r="L99" s="64" t="str">
        <f>IF(A99="","",SUMIF(jr_num,A99,jr_val))</f>
        <v/>
      </c>
      <c r="M99" s="60" t="str">
        <f>IF(A99="","",IF(COUNTIFS(jr_num,A99,jr_check,"&lt;&gt;OK")&gt;0,"À vérifier",IF(LEFT(A99,2)="BL",IF(COUNTIFS(jr_num,A99,jr_rel,"&gt;0")&gt;0,"Reliquat en cours",IF(COUNTIFS(jr_num,A99,jr_gap,"&lt;0")&gt;0,"Reliquat livré","Complet")),IF(LEFT(A99,2)="BR",IF(COUNTIFS(jr_num,A99,jr_etat,"Refusé")&gt;0,"Refusé",IF(COUNTIFS(jr_num,A99,jr_etat,"Avec réserves")&gt;0,"Avec réserves",IF(COUNTIFS(jr_num,A99,jr_rel,"&gt;0")&gt;0,"Reliquat en cours",IF(COUNTIFS(jr_num,A99,jr_gap,"&lt;0")+COUNTIFS(jr_num,A99,jr_gap,"&gt;0")&gt;0,"Écart","Conforme")))),IF(COUNTIFS(jr_num,A99,jr_gap,"&lt;0")&gt;0,"Partiel","Sorti")))))</f>
        <v/>
      </c>
      <c r="O99" t="str">
        <f>IFERROR(MATCH(94,jr_grank,0),"")</f>
        <v/>
      </c>
      <c r="R99" s="67" t="str">
        <f>IFERROR(INDEX(jr_num,MATCH("BL94",jr_nkey,0))&amp;"","")</f>
        <v/>
      </c>
      <c r="S99" s="67" t="str">
        <f>IFERROR(INDEX(jr_num,MATCH("BR94",jr_nkey,0))&amp;"","")</f>
        <v/>
      </c>
      <c r="T99" s="67" t="str">
        <f>IFERROR(INDEX(jr_num,MATCH("BS94",jr_nkey,0))&amp;"","")</f>
        <v/>
      </c>
    </row>
    <row r="100">
      <c r="A100" s="60" t="str">
        <f>IF($O100="","",INDEX(jr_num,$O100)&amp;"")</f>
        <v/>
      </c>
      <c r="B100" s="60" t="str">
        <f>IF($O100="","",IF(INDEX(jr_type,$O100)="BL","Livraison",IF(INDEX(jr_type,$O100)="BR","Réception","Sortie")))</f>
        <v/>
      </c>
      <c r="C100" s="65" t="str">
        <f>IF($O100="","",INDEX(jr_date,$O100))</f>
        <v/>
      </c>
      <c r="D100" s="60" t="str">
        <f>IF($O100="","",INDEX(jr_tiers,$O100)&amp;"")</f>
        <v/>
      </c>
      <c r="E100" s="57" t="str">
        <f>IF($O100="","",INDEX(jr_name,$O100)&amp;"")</f>
        <v/>
      </c>
      <c r="F100" s="57" t="str">
        <f>IF($O100="","",INDEX(jr_order,$O100)&amp;"")</f>
        <v/>
      </c>
      <c r="G100" s="57" t="str">
        <f>IF($O100="","",INDEX(jr_ext,$O100)&amp;"")</f>
        <v/>
      </c>
      <c r="H100" s="57" t="str">
        <f>IF($O100="","",INDEX(jr_carrier,$O100)&amp;"")</f>
        <v/>
      </c>
      <c r="I100" s="66" t="str">
        <f>IF(A100="","",COUNTIF(jr_num,A100))</f>
        <v/>
      </c>
      <c r="J100" s="66" t="str">
        <f>IF(A100="","",SUMIF(jr_num,A100,jr_colis))</f>
        <v/>
      </c>
      <c r="K100" s="63" t="str">
        <f>IF(A100="","",SUMIF(jr_num,A100,jr_kg))</f>
        <v/>
      </c>
      <c r="L100" s="64" t="str">
        <f>IF(A100="","",SUMIF(jr_num,A100,jr_val))</f>
        <v/>
      </c>
      <c r="M100" s="60" t="str">
        <f>IF(A100="","",IF(COUNTIFS(jr_num,A100,jr_check,"&lt;&gt;OK")&gt;0,"À vérifier",IF(LEFT(A100,2)="BL",IF(COUNTIFS(jr_num,A100,jr_rel,"&gt;0")&gt;0,"Reliquat en cours",IF(COUNTIFS(jr_num,A100,jr_gap,"&lt;0")&gt;0,"Reliquat livré","Complet")),IF(LEFT(A100,2)="BR",IF(COUNTIFS(jr_num,A100,jr_etat,"Refusé")&gt;0,"Refusé",IF(COUNTIFS(jr_num,A100,jr_etat,"Avec réserves")&gt;0,"Avec réserves",IF(COUNTIFS(jr_num,A100,jr_rel,"&gt;0")&gt;0,"Reliquat en cours",IF(COUNTIFS(jr_num,A100,jr_gap,"&lt;0")+COUNTIFS(jr_num,A100,jr_gap,"&gt;0")&gt;0,"Écart","Conforme")))),IF(COUNTIFS(jr_num,A100,jr_gap,"&lt;0")&gt;0,"Partiel","Sorti")))))</f>
        <v/>
      </c>
      <c r="O100" t="str">
        <f>IFERROR(MATCH(95,jr_grank,0),"")</f>
        <v/>
      </c>
      <c r="R100" s="67" t="str">
        <f>IFERROR(INDEX(jr_num,MATCH("BL95",jr_nkey,0))&amp;"","")</f>
        <v/>
      </c>
      <c r="S100" s="67" t="str">
        <f>IFERROR(INDEX(jr_num,MATCH("BR95",jr_nkey,0))&amp;"","")</f>
        <v/>
      </c>
      <c r="T100" s="67" t="str">
        <f>IFERROR(INDEX(jr_num,MATCH("BS95",jr_nkey,0))&amp;"","")</f>
        <v/>
      </c>
    </row>
    <row r="101">
      <c r="A101" s="60" t="str">
        <f>IF($O101="","",INDEX(jr_num,$O101)&amp;"")</f>
        <v/>
      </c>
      <c r="B101" s="60" t="str">
        <f>IF($O101="","",IF(INDEX(jr_type,$O101)="BL","Livraison",IF(INDEX(jr_type,$O101)="BR","Réception","Sortie")))</f>
        <v/>
      </c>
      <c r="C101" s="65" t="str">
        <f>IF($O101="","",INDEX(jr_date,$O101))</f>
        <v/>
      </c>
      <c r="D101" s="60" t="str">
        <f>IF($O101="","",INDEX(jr_tiers,$O101)&amp;"")</f>
        <v/>
      </c>
      <c r="E101" s="57" t="str">
        <f>IF($O101="","",INDEX(jr_name,$O101)&amp;"")</f>
        <v/>
      </c>
      <c r="F101" s="57" t="str">
        <f>IF($O101="","",INDEX(jr_order,$O101)&amp;"")</f>
        <v/>
      </c>
      <c r="G101" s="57" t="str">
        <f>IF($O101="","",INDEX(jr_ext,$O101)&amp;"")</f>
        <v/>
      </c>
      <c r="H101" s="57" t="str">
        <f>IF($O101="","",INDEX(jr_carrier,$O101)&amp;"")</f>
        <v/>
      </c>
      <c r="I101" s="66" t="str">
        <f>IF(A101="","",COUNTIF(jr_num,A101))</f>
        <v/>
      </c>
      <c r="J101" s="66" t="str">
        <f>IF(A101="","",SUMIF(jr_num,A101,jr_colis))</f>
        <v/>
      </c>
      <c r="K101" s="63" t="str">
        <f>IF(A101="","",SUMIF(jr_num,A101,jr_kg))</f>
        <v/>
      </c>
      <c r="L101" s="64" t="str">
        <f>IF(A101="","",SUMIF(jr_num,A101,jr_val))</f>
        <v/>
      </c>
      <c r="M101" s="60" t="str">
        <f>IF(A101="","",IF(COUNTIFS(jr_num,A101,jr_check,"&lt;&gt;OK")&gt;0,"À vérifier",IF(LEFT(A101,2)="BL",IF(COUNTIFS(jr_num,A101,jr_rel,"&gt;0")&gt;0,"Reliquat en cours",IF(COUNTIFS(jr_num,A101,jr_gap,"&lt;0")&gt;0,"Reliquat livré","Complet")),IF(LEFT(A101,2)="BR",IF(COUNTIFS(jr_num,A101,jr_etat,"Refusé")&gt;0,"Refusé",IF(COUNTIFS(jr_num,A101,jr_etat,"Avec réserves")&gt;0,"Avec réserves",IF(COUNTIFS(jr_num,A101,jr_rel,"&gt;0")&gt;0,"Reliquat en cours",IF(COUNTIFS(jr_num,A101,jr_gap,"&lt;0")+COUNTIFS(jr_num,A101,jr_gap,"&gt;0")&gt;0,"Écart","Conforme")))),IF(COUNTIFS(jr_num,A101,jr_gap,"&lt;0")&gt;0,"Partiel","Sorti")))))</f>
        <v/>
      </c>
      <c r="O101" t="str">
        <f>IFERROR(MATCH(96,jr_grank,0),"")</f>
        <v/>
      </c>
      <c r="R101" s="67" t="str">
        <f>IFERROR(INDEX(jr_num,MATCH("BL96",jr_nkey,0))&amp;"","")</f>
        <v/>
      </c>
      <c r="S101" s="67" t="str">
        <f>IFERROR(INDEX(jr_num,MATCH("BR96",jr_nkey,0))&amp;"","")</f>
        <v/>
      </c>
      <c r="T101" s="67" t="str">
        <f>IFERROR(INDEX(jr_num,MATCH("BS96",jr_nkey,0))&amp;"","")</f>
        <v/>
      </c>
    </row>
    <row r="102">
      <c r="A102" s="60" t="str">
        <f>IF($O102="","",INDEX(jr_num,$O102)&amp;"")</f>
        <v/>
      </c>
      <c r="B102" s="60" t="str">
        <f>IF($O102="","",IF(INDEX(jr_type,$O102)="BL","Livraison",IF(INDEX(jr_type,$O102)="BR","Réception","Sortie")))</f>
        <v/>
      </c>
      <c r="C102" s="65" t="str">
        <f>IF($O102="","",INDEX(jr_date,$O102))</f>
        <v/>
      </c>
      <c r="D102" s="60" t="str">
        <f>IF($O102="","",INDEX(jr_tiers,$O102)&amp;"")</f>
        <v/>
      </c>
      <c r="E102" s="57" t="str">
        <f>IF($O102="","",INDEX(jr_name,$O102)&amp;"")</f>
        <v/>
      </c>
      <c r="F102" s="57" t="str">
        <f>IF($O102="","",INDEX(jr_order,$O102)&amp;"")</f>
        <v/>
      </c>
      <c r="G102" s="57" t="str">
        <f>IF($O102="","",INDEX(jr_ext,$O102)&amp;"")</f>
        <v/>
      </c>
      <c r="H102" s="57" t="str">
        <f>IF($O102="","",INDEX(jr_carrier,$O102)&amp;"")</f>
        <v/>
      </c>
      <c r="I102" s="66" t="str">
        <f>IF(A102="","",COUNTIF(jr_num,A102))</f>
        <v/>
      </c>
      <c r="J102" s="66" t="str">
        <f>IF(A102="","",SUMIF(jr_num,A102,jr_colis))</f>
        <v/>
      </c>
      <c r="K102" s="63" t="str">
        <f>IF(A102="","",SUMIF(jr_num,A102,jr_kg))</f>
        <v/>
      </c>
      <c r="L102" s="64" t="str">
        <f>IF(A102="","",SUMIF(jr_num,A102,jr_val))</f>
        <v/>
      </c>
      <c r="M102" s="60" t="str">
        <f>IF(A102="","",IF(COUNTIFS(jr_num,A102,jr_check,"&lt;&gt;OK")&gt;0,"À vérifier",IF(LEFT(A102,2)="BL",IF(COUNTIFS(jr_num,A102,jr_rel,"&gt;0")&gt;0,"Reliquat en cours",IF(COUNTIFS(jr_num,A102,jr_gap,"&lt;0")&gt;0,"Reliquat livré","Complet")),IF(LEFT(A102,2)="BR",IF(COUNTIFS(jr_num,A102,jr_etat,"Refusé")&gt;0,"Refusé",IF(COUNTIFS(jr_num,A102,jr_etat,"Avec réserves")&gt;0,"Avec réserves",IF(COUNTIFS(jr_num,A102,jr_rel,"&gt;0")&gt;0,"Reliquat en cours",IF(COUNTIFS(jr_num,A102,jr_gap,"&lt;0")+COUNTIFS(jr_num,A102,jr_gap,"&gt;0")&gt;0,"Écart","Conforme")))),IF(COUNTIFS(jr_num,A102,jr_gap,"&lt;0")&gt;0,"Partiel","Sorti")))))</f>
        <v/>
      </c>
      <c r="O102" t="str">
        <f>IFERROR(MATCH(97,jr_grank,0),"")</f>
        <v/>
      </c>
      <c r="R102" s="67" t="str">
        <f>IFERROR(INDEX(jr_num,MATCH("BL97",jr_nkey,0))&amp;"","")</f>
        <v/>
      </c>
      <c r="S102" s="67" t="str">
        <f>IFERROR(INDEX(jr_num,MATCH("BR97",jr_nkey,0))&amp;"","")</f>
        <v/>
      </c>
      <c r="T102" s="67" t="str">
        <f>IFERROR(INDEX(jr_num,MATCH("BS97",jr_nkey,0))&amp;"","")</f>
        <v/>
      </c>
    </row>
    <row r="103">
      <c r="A103" s="60" t="str">
        <f>IF($O103="","",INDEX(jr_num,$O103)&amp;"")</f>
        <v/>
      </c>
      <c r="B103" s="60" t="str">
        <f>IF($O103="","",IF(INDEX(jr_type,$O103)="BL","Livraison",IF(INDEX(jr_type,$O103)="BR","Réception","Sortie")))</f>
        <v/>
      </c>
      <c r="C103" s="65" t="str">
        <f>IF($O103="","",INDEX(jr_date,$O103))</f>
        <v/>
      </c>
      <c r="D103" s="60" t="str">
        <f>IF($O103="","",INDEX(jr_tiers,$O103)&amp;"")</f>
        <v/>
      </c>
      <c r="E103" s="57" t="str">
        <f>IF($O103="","",INDEX(jr_name,$O103)&amp;"")</f>
        <v/>
      </c>
      <c r="F103" s="57" t="str">
        <f>IF($O103="","",INDEX(jr_order,$O103)&amp;"")</f>
        <v/>
      </c>
      <c r="G103" s="57" t="str">
        <f>IF($O103="","",INDEX(jr_ext,$O103)&amp;"")</f>
        <v/>
      </c>
      <c r="H103" s="57" t="str">
        <f>IF($O103="","",INDEX(jr_carrier,$O103)&amp;"")</f>
        <v/>
      </c>
      <c r="I103" s="66" t="str">
        <f>IF(A103="","",COUNTIF(jr_num,A103))</f>
        <v/>
      </c>
      <c r="J103" s="66" t="str">
        <f>IF(A103="","",SUMIF(jr_num,A103,jr_colis))</f>
        <v/>
      </c>
      <c r="K103" s="63" t="str">
        <f>IF(A103="","",SUMIF(jr_num,A103,jr_kg))</f>
        <v/>
      </c>
      <c r="L103" s="64" t="str">
        <f>IF(A103="","",SUMIF(jr_num,A103,jr_val))</f>
        <v/>
      </c>
      <c r="M103" s="60" t="str">
        <f>IF(A103="","",IF(COUNTIFS(jr_num,A103,jr_check,"&lt;&gt;OK")&gt;0,"À vérifier",IF(LEFT(A103,2)="BL",IF(COUNTIFS(jr_num,A103,jr_rel,"&gt;0")&gt;0,"Reliquat en cours",IF(COUNTIFS(jr_num,A103,jr_gap,"&lt;0")&gt;0,"Reliquat livré","Complet")),IF(LEFT(A103,2)="BR",IF(COUNTIFS(jr_num,A103,jr_etat,"Refusé")&gt;0,"Refusé",IF(COUNTIFS(jr_num,A103,jr_etat,"Avec réserves")&gt;0,"Avec réserves",IF(COUNTIFS(jr_num,A103,jr_rel,"&gt;0")&gt;0,"Reliquat en cours",IF(COUNTIFS(jr_num,A103,jr_gap,"&lt;0")+COUNTIFS(jr_num,A103,jr_gap,"&gt;0")&gt;0,"Écart","Conforme")))),IF(COUNTIFS(jr_num,A103,jr_gap,"&lt;0")&gt;0,"Partiel","Sorti")))))</f>
        <v/>
      </c>
      <c r="O103" t="str">
        <f>IFERROR(MATCH(98,jr_grank,0),"")</f>
        <v/>
      </c>
      <c r="R103" s="67" t="str">
        <f>IFERROR(INDEX(jr_num,MATCH("BL98",jr_nkey,0))&amp;"","")</f>
        <v/>
      </c>
      <c r="S103" s="67" t="str">
        <f>IFERROR(INDEX(jr_num,MATCH("BR98",jr_nkey,0))&amp;"","")</f>
        <v/>
      </c>
      <c r="T103" s="67" t="str">
        <f>IFERROR(INDEX(jr_num,MATCH("BS98",jr_nkey,0))&amp;"","")</f>
        <v/>
      </c>
    </row>
    <row r="104">
      <c r="A104" s="60" t="str">
        <f>IF($O104="","",INDEX(jr_num,$O104)&amp;"")</f>
        <v/>
      </c>
      <c r="B104" s="60" t="str">
        <f>IF($O104="","",IF(INDEX(jr_type,$O104)="BL","Livraison",IF(INDEX(jr_type,$O104)="BR","Réception","Sortie")))</f>
        <v/>
      </c>
      <c r="C104" s="65" t="str">
        <f>IF($O104="","",INDEX(jr_date,$O104))</f>
        <v/>
      </c>
      <c r="D104" s="60" t="str">
        <f>IF($O104="","",INDEX(jr_tiers,$O104)&amp;"")</f>
        <v/>
      </c>
      <c r="E104" s="57" t="str">
        <f>IF($O104="","",INDEX(jr_name,$O104)&amp;"")</f>
        <v/>
      </c>
      <c r="F104" s="57" t="str">
        <f>IF($O104="","",INDEX(jr_order,$O104)&amp;"")</f>
        <v/>
      </c>
      <c r="G104" s="57" t="str">
        <f>IF($O104="","",INDEX(jr_ext,$O104)&amp;"")</f>
        <v/>
      </c>
      <c r="H104" s="57" t="str">
        <f>IF($O104="","",INDEX(jr_carrier,$O104)&amp;"")</f>
        <v/>
      </c>
      <c r="I104" s="66" t="str">
        <f>IF(A104="","",COUNTIF(jr_num,A104))</f>
        <v/>
      </c>
      <c r="J104" s="66" t="str">
        <f>IF(A104="","",SUMIF(jr_num,A104,jr_colis))</f>
        <v/>
      </c>
      <c r="K104" s="63" t="str">
        <f>IF(A104="","",SUMIF(jr_num,A104,jr_kg))</f>
        <v/>
      </c>
      <c r="L104" s="64" t="str">
        <f>IF(A104="","",SUMIF(jr_num,A104,jr_val))</f>
        <v/>
      </c>
      <c r="M104" s="60" t="str">
        <f>IF(A104="","",IF(COUNTIFS(jr_num,A104,jr_check,"&lt;&gt;OK")&gt;0,"À vérifier",IF(LEFT(A104,2)="BL",IF(COUNTIFS(jr_num,A104,jr_rel,"&gt;0")&gt;0,"Reliquat en cours",IF(COUNTIFS(jr_num,A104,jr_gap,"&lt;0")&gt;0,"Reliquat livré","Complet")),IF(LEFT(A104,2)="BR",IF(COUNTIFS(jr_num,A104,jr_etat,"Refusé")&gt;0,"Refusé",IF(COUNTIFS(jr_num,A104,jr_etat,"Avec réserves")&gt;0,"Avec réserves",IF(COUNTIFS(jr_num,A104,jr_rel,"&gt;0")&gt;0,"Reliquat en cours",IF(COUNTIFS(jr_num,A104,jr_gap,"&lt;0")+COUNTIFS(jr_num,A104,jr_gap,"&gt;0")&gt;0,"Écart","Conforme")))),IF(COUNTIFS(jr_num,A104,jr_gap,"&lt;0")&gt;0,"Partiel","Sorti")))))</f>
        <v/>
      </c>
      <c r="O104" t="str">
        <f>IFERROR(MATCH(99,jr_grank,0),"")</f>
        <v/>
      </c>
      <c r="R104" s="67" t="str">
        <f>IFERROR(INDEX(jr_num,MATCH("BL99",jr_nkey,0))&amp;"","")</f>
        <v/>
      </c>
      <c r="S104" s="67" t="str">
        <f>IFERROR(INDEX(jr_num,MATCH("BR99",jr_nkey,0))&amp;"","")</f>
        <v/>
      </c>
      <c r="T104" s="67" t="str">
        <f>IFERROR(INDEX(jr_num,MATCH("BS99",jr_nkey,0))&amp;"","")</f>
        <v/>
      </c>
    </row>
    <row r="105">
      <c r="A105" s="60" t="str">
        <f>IF($O105="","",INDEX(jr_num,$O105)&amp;"")</f>
        <v/>
      </c>
      <c r="B105" s="60" t="str">
        <f>IF($O105="","",IF(INDEX(jr_type,$O105)="BL","Livraison",IF(INDEX(jr_type,$O105)="BR","Réception","Sortie")))</f>
        <v/>
      </c>
      <c r="C105" s="65" t="str">
        <f>IF($O105="","",INDEX(jr_date,$O105))</f>
        <v/>
      </c>
      <c r="D105" s="60" t="str">
        <f>IF($O105="","",INDEX(jr_tiers,$O105)&amp;"")</f>
        <v/>
      </c>
      <c r="E105" s="57" t="str">
        <f>IF($O105="","",INDEX(jr_name,$O105)&amp;"")</f>
        <v/>
      </c>
      <c r="F105" s="57" t="str">
        <f>IF($O105="","",INDEX(jr_order,$O105)&amp;"")</f>
        <v/>
      </c>
      <c r="G105" s="57" t="str">
        <f>IF($O105="","",INDEX(jr_ext,$O105)&amp;"")</f>
        <v/>
      </c>
      <c r="H105" s="57" t="str">
        <f>IF($O105="","",INDEX(jr_carrier,$O105)&amp;"")</f>
        <v/>
      </c>
      <c r="I105" s="66" t="str">
        <f>IF(A105="","",COUNTIF(jr_num,A105))</f>
        <v/>
      </c>
      <c r="J105" s="66" t="str">
        <f>IF(A105="","",SUMIF(jr_num,A105,jr_colis))</f>
        <v/>
      </c>
      <c r="K105" s="63" t="str">
        <f>IF(A105="","",SUMIF(jr_num,A105,jr_kg))</f>
        <v/>
      </c>
      <c r="L105" s="64" t="str">
        <f>IF(A105="","",SUMIF(jr_num,A105,jr_val))</f>
        <v/>
      </c>
      <c r="M105" s="60" t="str">
        <f>IF(A105="","",IF(COUNTIFS(jr_num,A105,jr_check,"&lt;&gt;OK")&gt;0,"À vérifier",IF(LEFT(A105,2)="BL",IF(COUNTIFS(jr_num,A105,jr_rel,"&gt;0")&gt;0,"Reliquat en cours",IF(COUNTIFS(jr_num,A105,jr_gap,"&lt;0")&gt;0,"Reliquat livré","Complet")),IF(LEFT(A105,2)="BR",IF(COUNTIFS(jr_num,A105,jr_etat,"Refusé")&gt;0,"Refusé",IF(COUNTIFS(jr_num,A105,jr_etat,"Avec réserves")&gt;0,"Avec réserves",IF(COUNTIFS(jr_num,A105,jr_rel,"&gt;0")&gt;0,"Reliquat en cours",IF(COUNTIFS(jr_num,A105,jr_gap,"&lt;0")+COUNTIFS(jr_num,A105,jr_gap,"&gt;0")&gt;0,"Écart","Conforme")))),IF(COUNTIFS(jr_num,A105,jr_gap,"&lt;0")&gt;0,"Partiel","Sorti")))))</f>
        <v/>
      </c>
      <c r="O105" t="str">
        <f>IFERROR(MATCH(100,jr_grank,0),"")</f>
        <v/>
      </c>
      <c r="R105" s="67" t="str">
        <f>IFERROR(INDEX(jr_num,MATCH("BL100",jr_nkey,0))&amp;"","")</f>
        <v/>
      </c>
      <c r="S105" s="67" t="str">
        <f>IFERROR(INDEX(jr_num,MATCH("BR100",jr_nkey,0))&amp;"","")</f>
        <v/>
      </c>
      <c r="T105" s="67" t="str">
        <f>IFERROR(INDEX(jr_num,MATCH("BS100",jr_nkey,0))&amp;"","")</f>
        <v/>
      </c>
    </row>
    <row r="106">
      <c r="A106" s="60" t="str">
        <f>IF($O106="","",INDEX(jr_num,$O106)&amp;"")</f>
        <v/>
      </c>
      <c r="B106" s="60" t="str">
        <f>IF($O106="","",IF(INDEX(jr_type,$O106)="BL","Livraison",IF(INDEX(jr_type,$O106)="BR","Réception","Sortie")))</f>
        <v/>
      </c>
      <c r="C106" s="65" t="str">
        <f>IF($O106="","",INDEX(jr_date,$O106))</f>
        <v/>
      </c>
      <c r="D106" s="60" t="str">
        <f>IF($O106="","",INDEX(jr_tiers,$O106)&amp;"")</f>
        <v/>
      </c>
      <c r="E106" s="57" t="str">
        <f>IF($O106="","",INDEX(jr_name,$O106)&amp;"")</f>
        <v/>
      </c>
      <c r="F106" s="57" t="str">
        <f>IF($O106="","",INDEX(jr_order,$O106)&amp;"")</f>
        <v/>
      </c>
      <c r="G106" s="57" t="str">
        <f>IF($O106="","",INDEX(jr_ext,$O106)&amp;"")</f>
        <v/>
      </c>
      <c r="H106" s="57" t="str">
        <f>IF($O106="","",INDEX(jr_carrier,$O106)&amp;"")</f>
        <v/>
      </c>
      <c r="I106" s="66" t="str">
        <f>IF(A106="","",COUNTIF(jr_num,A106))</f>
        <v/>
      </c>
      <c r="J106" s="66" t="str">
        <f>IF(A106="","",SUMIF(jr_num,A106,jr_colis))</f>
        <v/>
      </c>
      <c r="K106" s="63" t="str">
        <f>IF(A106="","",SUMIF(jr_num,A106,jr_kg))</f>
        <v/>
      </c>
      <c r="L106" s="64" t="str">
        <f>IF(A106="","",SUMIF(jr_num,A106,jr_val))</f>
        <v/>
      </c>
      <c r="M106" s="60" t="str">
        <f>IF(A106="","",IF(COUNTIFS(jr_num,A106,jr_check,"&lt;&gt;OK")&gt;0,"À vérifier",IF(LEFT(A106,2)="BL",IF(COUNTIFS(jr_num,A106,jr_rel,"&gt;0")&gt;0,"Reliquat en cours",IF(COUNTIFS(jr_num,A106,jr_gap,"&lt;0")&gt;0,"Reliquat livré","Complet")),IF(LEFT(A106,2)="BR",IF(COUNTIFS(jr_num,A106,jr_etat,"Refusé")&gt;0,"Refusé",IF(COUNTIFS(jr_num,A106,jr_etat,"Avec réserves")&gt;0,"Avec réserves",IF(COUNTIFS(jr_num,A106,jr_rel,"&gt;0")&gt;0,"Reliquat en cours",IF(COUNTIFS(jr_num,A106,jr_gap,"&lt;0")+COUNTIFS(jr_num,A106,jr_gap,"&gt;0")&gt;0,"Écart","Conforme")))),IF(COUNTIFS(jr_num,A106,jr_gap,"&lt;0")&gt;0,"Partiel","Sorti")))))</f>
        <v/>
      </c>
      <c r="O106" t="str">
        <f>IFERROR(MATCH(101,jr_grank,0),"")</f>
        <v/>
      </c>
      <c r="R106" s="67" t="str">
        <f>IFERROR(INDEX(jr_num,MATCH("BL101",jr_nkey,0))&amp;"","")</f>
        <v/>
      </c>
      <c r="S106" s="67" t="str">
        <f>IFERROR(INDEX(jr_num,MATCH("BR101",jr_nkey,0))&amp;"","")</f>
        <v/>
      </c>
      <c r="T106" s="67" t="str">
        <f>IFERROR(INDEX(jr_num,MATCH("BS101",jr_nkey,0))&amp;"","")</f>
        <v/>
      </c>
    </row>
    <row r="107">
      <c r="A107" s="60" t="str">
        <f>IF($O107="","",INDEX(jr_num,$O107)&amp;"")</f>
        <v/>
      </c>
      <c r="B107" s="60" t="str">
        <f>IF($O107="","",IF(INDEX(jr_type,$O107)="BL","Livraison",IF(INDEX(jr_type,$O107)="BR","Réception","Sortie")))</f>
        <v/>
      </c>
      <c r="C107" s="65" t="str">
        <f>IF($O107="","",INDEX(jr_date,$O107))</f>
        <v/>
      </c>
      <c r="D107" s="60" t="str">
        <f>IF($O107="","",INDEX(jr_tiers,$O107)&amp;"")</f>
        <v/>
      </c>
      <c r="E107" s="57" t="str">
        <f>IF($O107="","",INDEX(jr_name,$O107)&amp;"")</f>
        <v/>
      </c>
      <c r="F107" s="57" t="str">
        <f>IF($O107="","",INDEX(jr_order,$O107)&amp;"")</f>
        <v/>
      </c>
      <c r="G107" s="57" t="str">
        <f>IF($O107="","",INDEX(jr_ext,$O107)&amp;"")</f>
        <v/>
      </c>
      <c r="H107" s="57" t="str">
        <f>IF($O107="","",INDEX(jr_carrier,$O107)&amp;"")</f>
        <v/>
      </c>
      <c r="I107" s="66" t="str">
        <f>IF(A107="","",COUNTIF(jr_num,A107))</f>
        <v/>
      </c>
      <c r="J107" s="66" t="str">
        <f>IF(A107="","",SUMIF(jr_num,A107,jr_colis))</f>
        <v/>
      </c>
      <c r="K107" s="63" t="str">
        <f>IF(A107="","",SUMIF(jr_num,A107,jr_kg))</f>
        <v/>
      </c>
      <c r="L107" s="64" t="str">
        <f>IF(A107="","",SUMIF(jr_num,A107,jr_val))</f>
        <v/>
      </c>
      <c r="M107" s="60" t="str">
        <f>IF(A107="","",IF(COUNTIFS(jr_num,A107,jr_check,"&lt;&gt;OK")&gt;0,"À vérifier",IF(LEFT(A107,2)="BL",IF(COUNTIFS(jr_num,A107,jr_rel,"&gt;0")&gt;0,"Reliquat en cours",IF(COUNTIFS(jr_num,A107,jr_gap,"&lt;0")&gt;0,"Reliquat livré","Complet")),IF(LEFT(A107,2)="BR",IF(COUNTIFS(jr_num,A107,jr_etat,"Refusé")&gt;0,"Refusé",IF(COUNTIFS(jr_num,A107,jr_etat,"Avec réserves")&gt;0,"Avec réserves",IF(COUNTIFS(jr_num,A107,jr_rel,"&gt;0")&gt;0,"Reliquat en cours",IF(COUNTIFS(jr_num,A107,jr_gap,"&lt;0")+COUNTIFS(jr_num,A107,jr_gap,"&gt;0")&gt;0,"Écart","Conforme")))),IF(COUNTIFS(jr_num,A107,jr_gap,"&lt;0")&gt;0,"Partiel","Sorti")))))</f>
        <v/>
      </c>
      <c r="O107" t="str">
        <f>IFERROR(MATCH(102,jr_grank,0),"")</f>
        <v/>
      </c>
      <c r="R107" s="67" t="str">
        <f>IFERROR(INDEX(jr_num,MATCH("BL102",jr_nkey,0))&amp;"","")</f>
        <v/>
      </c>
      <c r="S107" s="67" t="str">
        <f>IFERROR(INDEX(jr_num,MATCH("BR102",jr_nkey,0))&amp;"","")</f>
        <v/>
      </c>
      <c r="T107" s="67" t="str">
        <f>IFERROR(INDEX(jr_num,MATCH("BS102",jr_nkey,0))&amp;"","")</f>
        <v/>
      </c>
    </row>
    <row r="108">
      <c r="A108" s="60" t="str">
        <f>IF($O108="","",INDEX(jr_num,$O108)&amp;"")</f>
        <v/>
      </c>
      <c r="B108" s="60" t="str">
        <f>IF($O108="","",IF(INDEX(jr_type,$O108)="BL","Livraison",IF(INDEX(jr_type,$O108)="BR","Réception","Sortie")))</f>
        <v/>
      </c>
      <c r="C108" s="65" t="str">
        <f>IF($O108="","",INDEX(jr_date,$O108))</f>
        <v/>
      </c>
      <c r="D108" s="60" t="str">
        <f>IF($O108="","",INDEX(jr_tiers,$O108)&amp;"")</f>
        <v/>
      </c>
      <c r="E108" s="57" t="str">
        <f>IF($O108="","",INDEX(jr_name,$O108)&amp;"")</f>
        <v/>
      </c>
      <c r="F108" s="57" t="str">
        <f>IF($O108="","",INDEX(jr_order,$O108)&amp;"")</f>
        <v/>
      </c>
      <c r="G108" s="57" t="str">
        <f>IF($O108="","",INDEX(jr_ext,$O108)&amp;"")</f>
        <v/>
      </c>
      <c r="H108" s="57" t="str">
        <f>IF($O108="","",INDEX(jr_carrier,$O108)&amp;"")</f>
        <v/>
      </c>
      <c r="I108" s="66" t="str">
        <f>IF(A108="","",COUNTIF(jr_num,A108))</f>
        <v/>
      </c>
      <c r="J108" s="66" t="str">
        <f>IF(A108="","",SUMIF(jr_num,A108,jr_colis))</f>
        <v/>
      </c>
      <c r="K108" s="63" t="str">
        <f>IF(A108="","",SUMIF(jr_num,A108,jr_kg))</f>
        <v/>
      </c>
      <c r="L108" s="64" t="str">
        <f>IF(A108="","",SUMIF(jr_num,A108,jr_val))</f>
        <v/>
      </c>
      <c r="M108" s="60" t="str">
        <f>IF(A108="","",IF(COUNTIFS(jr_num,A108,jr_check,"&lt;&gt;OK")&gt;0,"À vérifier",IF(LEFT(A108,2)="BL",IF(COUNTIFS(jr_num,A108,jr_rel,"&gt;0")&gt;0,"Reliquat en cours",IF(COUNTIFS(jr_num,A108,jr_gap,"&lt;0")&gt;0,"Reliquat livré","Complet")),IF(LEFT(A108,2)="BR",IF(COUNTIFS(jr_num,A108,jr_etat,"Refusé")&gt;0,"Refusé",IF(COUNTIFS(jr_num,A108,jr_etat,"Avec réserves")&gt;0,"Avec réserves",IF(COUNTIFS(jr_num,A108,jr_rel,"&gt;0")&gt;0,"Reliquat en cours",IF(COUNTIFS(jr_num,A108,jr_gap,"&lt;0")+COUNTIFS(jr_num,A108,jr_gap,"&gt;0")&gt;0,"Écart","Conforme")))),IF(COUNTIFS(jr_num,A108,jr_gap,"&lt;0")&gt;0,"Partiel","Sorti")))))</f>
        <v/>
      </c>
      <c r="O108" t="str">
        <f>IFERROR(MATCH(103,jr_grank,0),"")</f>
        <v/>
      </c>
      <c r="R108" s="67" t="str">
        <f>IFERROR(INDEX(jr_num,MATCH("BL103",jr_nkey,0))&amp;"","")</f>
        <v/>
      </c>
      <c r="S108" s="67" t="str">
        <f>IFERROR(INDEX(jr_num,MATCH("BR103",jr_nkey,0))&amp;"","")</f>
        <v/>
      </c>
      <c r="T108" s="67" t="str">
        <f>IFERROR(INDEX(jr_num,MATCH("BS103",jr_nkey,0))&amp;"","")</f>
        <v/>
      </c>
    </row>
    <row r="109">
      <c r="A109" s="60" t="str">
        <f>IF($O109="","",INDEX(jr_num,$O109)&amp;"")</f>
        <v/>
      </c>
      <c r="B109" s="60" t="str">
        <f>IF($O109="","",IF(INDEX(jr_type,$O109)="BL","Livraison",IF(INDEX(jr_type,$O109)="BR","Réception","Sortie")))</f>
        <v/>
      </c>
      <c r="C109" s="65" t="str">
        <f>IF($O109="","",INDEX(jr_date,$O109))</f>
        <v/>
      </c>
      <c r="D109" s="60" t="str">
        <f>IF($O109="","",INDEX(jr_tiers,$O109)&amp;"")</f>
        <v/>
      </c>
      <c r="E109" s="57" t="str">
        <f>IF($O109="","",INDEX(jr_name,$O109)&amp;"")</f>
        <v/>
      </c>
      <c r="F109" s="57" t="str">
        <f>IF($O109="","",INDEX(jr_order,$O109)&amp;"")</f>
        <v/>
      </c>
      <c r="G109" s="57" t="str">
        <f>IF($O109="","",INDEX(jr_ext,$O109)&amp;"")</f>
        <v/>
      </c>
      <c r="H109" s="57" t="str">
        <f>IF($O109="","",INDEX(jr_carrier,$O109)&amp;"")</f>
        <v/>
      </c>
      <c r="I109" s="66" t="str">
        <f>IF(A109="","",COUNTIF(jr_num,A109))</f>
        <v/>
      </c>
      <c r="J109" s="66" t="str">
        <f>IF(A109="","",SUMIF(jr_num,A109,jr_colis))</f>
        <v/>
      </c>
      <c r="K109" s="63" t="str">
        <f>IF(A109="","",SUMIF(jr_num,A109,jr_kg))</f>
        <v/>
      </c>
      <c r="L109" s="64" t="str">
        <f>IF(A109="","",SUMIF(jr_num,A109,jr_val))</f>
        <v/>
      </c>
      <c r="M109" s="60" t="str">
        <f>IF(A109="","",IF(COUNTIFS(jr_num,A109,jr_check,"&lt;&gt;OK")&gt;0,"À vérifier",IF(LEFT(A109,2)="BL",IF(COUNTIFS(jr_num,A109,jr_rel,"&gt;0")&gt;0,"Reliquat en cours",IF(COUNTIFS(jr_num,A109,jr_gap,"&lt;0")&gt;0,"Reliquat livré","Complet")),IF(LEFT(A109,2)="BR",IF(COUNTIFS(jr_num,A109,jr_etat,"Refusé")&gt;0,"Refusé",IF(COUNTIFS(jr_num,A109,jr_etat,"Avec réserves")&gt;0,"Avec réserves",IF(COUNTIFS(jr_num,A109,jr_rel,"&gt;0")&gt;0,"Reliquat en cours",IF(COUNTIFS(jr_num,A109,jr_gap,"&lt;0")+COUNTIFS(jr_num,A109,jr_gap,"&gt;0")&gt;0,"Écart","Conforme")))),IF(COUNTIFS(jr_num,A109,jr_gap,"&lt;0")&gt;0,"Partiel","Sorti")))))</f>
        <v/>
      </c>
      <c r="O109" t="str">
        <f>IFERROR(MATCH(104,jr_grank,0),"")</f>
        <v/>
      </c>
      <c r="R109" s="67" t="str">
        <f>IFERROR(INDEX(jr_num,MATCH("BL104",jr_nkey,0))&amp;"","")</f>
        <v/>
      </c>
      <c r="S109" s="67" t="str">
        <f>IFERROR(INDEX(jr_num,MATCH("BR104",jr_nkey,0))&amp;"","")</f>
        <v/>
      </c>
      <c r="T109" s="67" t="str">
        <f>IFERROR(INDEX(jr_num,MATCH("BS104",jr_nkey,0))&amp;"","")</f>
        <v/>
      </c>
    </row>
    <row r="110">
      <c r="A110" s="60" t="str">
        <f>IF($O110="","",INDEX(jr_num,$O110)&amp;"")</f>
        <v/>
      </c>
      <c r="B110" s="60" t="str">
        <f>IF($O110="","",IF(INDEX(jr_type,$O110)="BL","Livraison",IF(INDEX(jr_type,$O110)="BR","Réception","Sortie")))</f>
        <v/>
      </c>
      <c r="C110" s="65" t="str">
        <f>IF($O110="","",INDEX(jr_date,$O110))</f>
        <v/>
      </c>
      <c r="D110" s="60" t="str">
        <f>IF($O110="","",INDEX(jr_tiers,$O110)&amp;"")</f>
        <v/>
      </c>
      <c r="E110" s="57" t="str">
        <f>IF($O110="","",INDEX(jr_name,$O110)&amp;"")</f>
        <v/>
      </c>
      <c r="F110" s="57" t="str">
        <f>IF($O110="","",INDEX(jr_order,$O110)&amp;"")</f>
        <v/>
      </c>
      <c r="G110" s="57" t="str">
        <f>IF($O110="","",INDEX(jr_ext,$O110)&amp;"")</f>
        <v/>
      </c>
      <c r="H110" s="57" t="str">
        <f>IF($O110="","",INDEX(jr_carrier,$O110)&amp;"")</f>
        <v/>
      </c>
      <c r="I110" s="66" t="str">
        <f>IF(A110="","",COUNTIF(jr_num,A110))</f>
        <v/>
      </c>
      <c r="J110" s="66" t="str">
        <f>IF(A110="","",SUMIF(jr_num,A110,jr_colis))</f>
        <v/>
      </c>
      <c r="K110" s="63" t="str">
        <f>IF(A110="","",SUMIF(jr_num,A110,jr_kg))</f>
        <v/>
      </c>
      <c r="L110" s="64" t="str">
        <f>IF(A110="","",SUMIF(jr_num,A110,jr_val))</f>
        <v/>
      </c>
      <c r="M110" s="60" t="str">
        <f>IF(A110="","",IF(COUNTIFS(jr_num,A110,jr_check,"&lt;&gt;OK")&gt;0,"À vérifier",IF(LEFT(A110,2)="BL",IF(COUNTIFS(jr_num,A110,jr_rel,"&gt;0")&gt;0,"Reliquat en cours",IF(COUNTIFS(jr_num,A110,jr_gap,"&lt;0")&gt;0,"Reliquat livré","Complet")),IF(LEFT(A110,2)="BR",IF(COUNTIFS(jr_num,A110,jr_etat,"Refusé")&gt;0,"Refusé",IF(COUNTIFS(jr_num,A110,jr_etat,"Avec réserves")&gt;0,"Avec réserves",IF(COUNTIFS(jr_num,A110,jr_rel,"&gt;0")&gt;0,"Reliquat en cours",IF(COUNTIFS(jr_num,A110,jr_gap,"&lt;0")+COUNTIFS(jr_num,A110,jr_gap,"&gt;0")&gt;0,"Écart","Conforme")))),IF(COUNTIFS(jr_num,A110,jr_gap,"&lt;0")&gt;0,"Partiel","Sorti")))))</f>
        <v/>
      </c>
      <c r="O110" t="str">
        <f>IFERROR(MATCH(105,jr_grank,0),"")</f>
        <v/>
      </c>
      <c r="R110" s="67" t="str">
        <f>IFERROR(INDEX(jr_num,MATCH("BL105",jr_nkey,0))&amp;"","")</f>
        <v/>
      </c>
      <c r="S110" s="67" t="str">
        <f>IFERROR(INDEX(jr_num,MATCH("BR105",jr_nkey,0))&amp;"","")</f>
        <v/>
      </c>
      <c r="T110" s="67" t="str">
        <f>IFERROR(INDEX(jr_num,MATCH("BS105",jr_nkey,0))&amp;"","")</f>
        <v/>
      </c>
    </row>
    <row r="111">
      <c r="A111" s="60" t="str">
        <f>IF($O111="","",INDEX(jr_num,$O111)&amp;"")</f>
        <v/>
      </c>
      <c r="B111" s="60" t="str">
        <f>IF($O111="","",IF(INDEX(jr_type,$O111)="BL","Livraison",IF(INDEX(jr_type,$O111)="BR","Réception","Sortie")))</f>
        <v/>
      </c>
      <c r="C111" s="65" t="str">
        <f>IF($O111="","",INDEX(jr_date,$O111))</f>
        <v/>
      </c>
      <c r="D111" s="60" t="str">
        <f>IF($O111="","",INDEX(jr_tiers,$O111)&amp;"")</f>
        <v/>
      </c>
      <c r="E111" s="57" t="str">
        <f>IF($O111="","",INDEX(jr_name,$O111)&amp;"")</f>
        <v/>
      </c>
      <c r="F111" s="57" t="str">
        <f>IF($O111="","",INDEX(jr_order,$O111)&amp;"")</f>
        <v/>
      </c>
      <c r="G111" s="57" t="str">
        <f>IF($O111="","",INDEX(jr_ext,$O111)&amp;"")</f>
        <v/>
      </c>
      <c r="H111" s="57" t="str">
        <f>IF($O111="","",INDEX(jr_carrier,$O111)&amp;"")</f>
        <v/>
      </c>
      <c r="I111" s="66" t="str">
        <f>IF(A111="","",COUNTIF(jr_num,A111))</f>
        <v/>
      </c>
      <c r="J111" s="66" t="str">
        <f>IF(A111="","",SUMIF(jr_num,A111,jr_colis))</f>
        <v/>
      </c>
      <c r="K111" s="63" t="str">
        <f>IF(A111="","",SUMIF(jr_num,A111,jr_kg))</f>
        <v/>
      </c>
      <c r="L111" s="64" t="str">
        <f>IF(A111="","",SUMIF(jr_num,A111,jr_val))</f>
        <v/>
      </c>
      <c r="M111" s="60" t="str">
        <f>IF(A111="","",IF(COUNTIFS(jr_num,A111,jr_check,"&lt;&gt;OK")&gt;0,"À vérifier",IF(LEFT(A111,2)="BL",IF(COUNTIFS(jr_num,A111,jr_rel,"&gt;0")&gt;0,"Reliquat en cours",IF(COUNTIFS(jr_num,A111,jr_gap,"&lt;0")&gt;0,"Reliquat livré","Complet")),IF(LEFT(A111,2)="BR",IF(COUNTIFS(jr_num,A111,jr_etat,"Refusé")&gt;0,"Refusé",IF(COUNTIFS(jr_num,A111,jr_etat,"Avec réserves")&gt;0,"Avec réserves",IF(COUNTIFS(jr_num,A111,jr_rel,"&gt;0")&gt;0,"Reliquat en cours",IF(COUNTIFS(jr_num,A111,jr_gap,"&lt;0")+COUNTIFS(jr_num,A111,jr_gap,"&gt;0")&gt;0,"Écart","Conforme")))),IF(COUNTIFS(jr_num,A111,jr_gap,"&lt;0")&gt;0,"Partiel","Sorti")))))</f>
        <v/>
      </c>
      <c r="O111" t="str">
        <f>IFERROR(MATCH(106,jr_grank,0),"")</f>
        <v/>
      </c>
      <c r="R111" s="67" t="str">
        <f>IFERROR(INDEX(jr_num,MATCH("BL106",jr_nkey,0))&amp;"","")</f>
        <v/>
      </c>
      <c r="S111" s="67" t="str">
        <f>IFERROR(INDEX(jr_num,MATCH("BR106",jr_nkey,0))&amp;"","")</f>
        <v/>
      </c>
      <c r="T111" s="67" t="str">
        <f>IFERROR(INDEX(jr_num,MATCH("BS106",jr_nkey,0))&amp;"","")</f>
        <v/>
      </c>
    </row>
    <row r="112">
      <c r="A112" s="60" t="str">
        <f>IF($O112="","",INDEX(jr_num,$O112)&amp;"")</f>
        <v/>
      </c>
      <c r="B112" s="60" t="str">
        <f>IF($O112="","",IF(INDEX(jr_type,$O112)="BL","Livraison",IF(INDEX(jr_type,$O112)="BR","Réception","Sortie")))</f>
        <v/>
      </c>
      <c r="C112" s="65" t="str">
        <f>IF($O112="","",INDEX(jr_date,$O112))</f>
        <v/>
      </c>
      <c r="D112" s="60" t="str">
        <f>IF($O112="","",INDEX(jr_tiers,$O112)&amp;"")</f>
        <v/>
      </c>
      <c r="E112" s="57" t="str">
        <f>IF($O112="","",INDEX(jr_name,$O112)&amp;"")</f>
        <v/>
      </c>
      <c r="F112" s="57" t="str">
        <f>IF($O112="","",INDEX(jr_order,$O112)&amp;"")</f>
        <v/>
      </c>
      <c r="G112" s="57" t="str">
        <f>IF($O112="","",INDEX(jr_ext,$O112)&amp;"")</f>
        <v/>
      </c>
      <c r="H112" s="57" t="str">
        <f>IF($O112="","",INDEX(jr_carrier,$O112)&amp;"")</f>
        <v/>
      </c>
      <c r="I112" s="66" t="str">
        <f>IF(A112="","",COUNTIF(jr_num,A112))</f>
        <v/>
      </c>
      <c r="J112" s="66" t="str">
        <f>IF(A112="","",SUMIF(jr_num,A112,jr_colis))</f>
        <v/>
      </c>
      <c r="K112" s="63" t="str">
        <f>IF(A112="","",SUMIF(jr_num,A112,jr_kg))</f>
        <v/>
      </c>
      <c r="L112" s="64" t="str">
        <f>IF(A112="","",SUMIF(jr_num,A112,jr_val))</f>
        <v/>
      </c>
      <c r="M112" s="60" t="str">
        <f>IF(A112="","",IF(COUNTIFS(jr_num,A112,jr_check,"&lt;&gt;OK")&gt;0,"À vérifier",IF(LEFT(A112,2)="BL",IF(COUNTIFS(jr_num,A112,jr_rel,"&gt;0")&gt;0,"Reliquat en cours",IF(COUNTIFS(jr_num,A112,jr_gap,"&lt;0")&gt;0,"Reliquat livré","Complet")),IF(LEFT(A112,2)="BR",IF(COUNTIFS(jr_num,A112,jr_etat,"Refusé")&gt;0,"Refusé",IF(COUNTIFS(jr_num,A112,jr_etat,"Avec réserves")&gt;0,"Avec réserves",IF(COUNTIFS(jr_num,A112,jr_rel,"&gt;0")&gt;0,"Reliquat en cours",IF(COUNTIFS(jr_num,A112,jr_gap,"&lt;0")+COUNTIFS(jr_num,A112,jr_gap,"&gt;0")&gt;0,"Écart","Conforme")))),IF(COUNTIFS(jr_num,A112,jr_gap,"&lt;0")&gt;0,"Partiel","Sorti")))))</f>
        <v/>
      </c>
      <c r="O112" t="str">
        <f>IFERROR(MATCH(107,jr_grank,0),"")</f>
        <v/>
      </c>
      <c r="R112" s="67" t="str">
        <f>IFERROR(INDEX(jr_num,MATCH("BL107",jr_nkey,0))&amp;"","")</f>
        <v/>
      </c>
      <c r="S112" s="67" t="str">
        <f>IFERROR(INDEX(jr_num,MATCH("BR107",jr_nkey,0))&amp;"","")</f>
        <v/>
      </c>
      <c r="T112" s="67" t="str">
        <f>IFERROR(INDEX(jr_num,MATCH("BS107",jr_nkey,0))&amp;"","")</f>
        <v/>
      </c>
    </row>
    <row r="113">
      <c r="A113" s="60" t="str">
        <f>IF($O113="","",INDEX(jr_num,$O113)&amp;"")</f>
        <v/>
      </c>
      <c r="B113" s="60" t="str">
        <f>IF($O113="","",IF(INDEX(jr_type,$O113)="BL","Livraison",IF(INDEX(jr_type,$O113)="BR","Réception","Sortie")))</f>
        <v/>
      </c>
      <c r="C113" s="65" t="str">
        <f>IF($O113="","",INDEX(jr_date,$O113))</f>
        <v/>
      </c>
      <c r="D113" s="60" t="str">
        <f>IF($O113="","",INDEX(jr_tiers,$O113)&amp;"")</f>
        <v/>
      </c>
      <c r="E113" s="57" t="str">
        <f>IF($O113="","",INDEX(jr_name,$O113)&amp;"")</f>
        <v/>
      </c>
      <c r="F113" s="57" t="str">
        <f>IF($O113="","",INDEX(jr_order,$O113)&amp;"")</f>
        <v/>
      </c>
      <c r="G113" s="57" t="str">
        <f>IF($O113="","",INDEX(jr_ext,$O113)&amp;"")</f>
        <v/>
      </c>
      <c r="H113" s="57" t="str">
        <f>IF($O113="","",INDEX(jr_carrier,$O113)&amp;"")</f>
        <v/>
      </c>
      <c r="I113" s="66" t="str">
        <f>IF(A113="","",COUNTIF(jr_num,A113))</f>
        <v/>
      </c>
      <c r="J113" s="66" t="str">
        <f>IF(A113="","",SUMIF(jr_num,A113,jr_colis))</f>
        <v/>
      </c>
      <c r="K113" s="63" t="str">
        <f>IF(A113="","",SUMIF(jr_num,A113,jr_kg))</f>
        <v/>
      </c>
      <c r="L113" s="64" t="str">
        <f>IF(A113="","",SUMIF(jr_num,A113,jr_val))</f>
        <v/>
      </c>
      <c r="M113" s="60" t="str">
        <f>IF(A113="","",IF(COUNTIFS(jr_num,A113,jr_check,"&lt;&gt;OK")&gt;0,"À vérifier",IF(LEFT(A113,2)="BL",IF(COUNTIFS(jr_num,A113,jr_rel,"&gt;0")&gt;0,"Reliquat en cours",IF(COUNTIFS(jr_num,A113,jr_gap,"&lt;0")&gt;0,"Reliquat livré","Complet")),IF(LEFT(A113,2)="BR",IF(COUNTIFS(jr_num,A113,jr_etat,"Refusé")&gt;0,"Refusé",IF(COUNTIFS(jr_num,A113,jr_etat,"Avec réserves")&gt;0,"Avec réserves",IF(COUNTIFS(jr_num,A113,jr_rel,"&gt;0")&gt;0,"Reliquat en cours",IF(COUNTIFS(jr_num,A113,jr_gap,"&lt;0")+COUNTIFS(jr_num,A113,jr_gap,"&gt;0")&gt;0,"Écart","Conforme")))),IF(COUNTIFS(jr_num,A113,jr_gap,"&lt;0")&gt;0,"Partiel","Sorti")))))</f>
        <v/>
      </c>
      <c r="O113" t="str">
        <f>IFERROR(MATCH(108,jr_grank,0),"")</f>
        <v/>
      </c>
      <c r="R113" s="67" t="str">
        <f>IFERROR(INDEX(jr_num,MATCH("BL108",jr_nkey,0))&amp;"","")</f>
        <v/>
      </c>
      <c r="S113" s="67" t="str">
        <f>IFERROR(INDEX(jr_num,MATCH("BR108",jr_nkey,0))&amp;"","")</f>
        <v/>
      </c>
      <c r="T113" s="67" t="str">
        <f>IFERROR(INDEX(jr_num,MATCH("BS108",jr_nkey,0))&amp;"","")</f>
        <v/>
      </c>
    </row>
    <row r="114">
      <c r="A114" s="60" t="str">
        <f>IF($O114="","",INDEX(jr_num,$O114)&amp;"")</f>
        <v/>
      </c>
      <c r="B114" s="60" t="str">
        <f>IF($O114="","",IF(INDEX(jr_type,$O114)="BL","Livraison",IF(INDEX(jr_type,$O114)="BR","Réception","Sortie")))</f>
        <v/>
      </c>
      <c r="C114" s="65" t="str">
        <f>IF($O114="","",INDEX(jr_date,$O114))</f>
        <v/>
      </c>
      <c r="D114" s="60" t="str">
        <f>IF($O114="","",INDEX(jr_tiers,$O114)&amp;"")</f>
        <v/>
      </c>
      <c r="E114" s="57" t="str">
        <f>IF($O114="","",INDEX(jr_name,$O114)&amp;"")</f>
        <v/>
      </c>
      <c r="F114" s="57" t="str">
        <f>IF($O114="","",INDEX(jr_order,$O114)&amp;"")</f>
        <v/>
      </c>
      <c r="G114" s="57" t="str">
        <f>IF($O114="","",INDEX(jr_ext,$O114)&amp;"")</f>
        <v/>
      </c>
      <c r="H114" s="57" t="str">
        <f>IF($O114="","",INDEX(jr_carrier,$O114)&amp;"")</f>
        <v/>
      </c>
      <c r="I114" s="66" t="str">
        <f>IF(A114="","",COUNTIF(jr_num,A114))</f>
        <v/>
      </c>
      <c r="J114" s="66" t="str">
        <f>IF(A114="","",SUMIF(jr_num,A114,jr_colis))</f>
        <v/>
      </c>
      <c r="K114" s="63" t="str">
        <f>IF(A114="","",SUMIF(jr_num,A114,jr_kg))</f>
        <v/>
      </c>
      <c r="L114" s="64" t="str">
        <f>IF(A114="","",SUMIF(jr_num,A114,jr_val))</f>
        <v/>
      </c>
      <c r="M114" s="60" t="str">
        <f>IF(A114="","",IF(COUNTIFS(jr_num,A114,jr_check,"&lt;&gt;OK")&gt;0,"À vérifier",IF(LEFT(A114,2)="BL",IF(COUNTIFS(jr_num,A114,jr_rel,"&gt;0")&gt;0,"Reliquat en cours",IF(COUNTIFS(jr_num,A114,jr_gap,"&lt;0")&gt;0,"Reliquat livré","Complet")),IF(LEFT(A114,2)="BR",IF(COUNTIFS(jr_num,A114,jr_etat,"Refusé")&gt;0,"Refusé",IF(COUNTIFS(jr_num,A114,jr_etat,"Avec réserves")&gt;0,"Avec réserves",IF(COUNTIFS(jr_num,A114,jr_rel,"&gt;0")&gt;0,"Reliquat en cours",IF(COUNTIFS(jr_num,A114,jr_gap,"&lt;0")+COUNTIFS(jr_num,A114,jr_gap,"&gt;0")&gt;0,"Écart","Conforme")))),IF(COUNTIFS(jr_num,A114,jr_gap,"&lt;0")&gt;0,"Partiel","Sorti")))))</f>
        <v/>
      </c>
      <c r="O114" t="str">
        <f>IFERROR(MATCH(109,jr_grank,0),"")</f>
        <v/>
      </c>
      <c r="R114" s="67" t="str">
        <f>IFERROR(INDEX(jr_num,MATCH("BL109",jr_nkey,0))&amp;"","")</f>
        <v/>
      </c>
      <c r="S114" s="67" t="str">
        <f>IFERROR(INDEX(jr_num,MATCH("BR109",jr_nkey,0))&amp;"","")</f>
        <v/>
      </c>
      <c r="T114" s="67" t="str">
        <f>IFERROR(INDEX(jr_num,MATCH("BS109",jr_nkey,0))&amp;"","")</f>
        <v/>
      </c>
    </row>
    <row r="115">
      <c r="A115" s="60" t="str">
        <f>IF($O115="","",INDEX(jr_num,$O115)&amp;"")</f>
        <v/>
      </c>
      <c r="B115" s="60" t="str">
        <f>IF($O115="","",IF(INDEX(jr_type,$O115)="BL","Livraison",IF(INDEX(jr_type,$O115)="BR","Réception","Sortie")))</f>
        <v/>
      </c>
      <c r="C115" s="65" t="str">
        <f>IF($O115="","",INDEX(jr_date,$O115))</f>
        <v/>
      </c>
      <c r="D115" s="60" t="str">
        <f>IF($O115="","",INDEX(jr_tiers,$O115)&amp;"")</f>
        <v/>
      </c>
      <c r="E115" s="57" t="str">
        <f>IF($O115="","",INDEX(jr_name,$O115)&amp;"")</f>
        <v/>
      </c>
      <c r="F115" s="57" t="str">
        <f>IF($O115="","",INDEX(jr_order,$O115)&amp;"")</f>
        <v/>
      </c>
      <c r="G115" s="57" t="str">
        <f>IF($O115="","",INDEX(jr_ext,$O115)&amp;"")</f>
        <v/>
      </c>
      <c r="H115" s="57" t="str">
        <f>IF($O115="","",INDEX(jr_carrier,$O115)&amp;"")</f>
        <v/>
      </c>
      <c r="I115" s="66" t="str">
        <f>IF(A115="","",COUNTIF(jr_num,A115))</f>
        <v/>
      </c>
      <c r="J115" s="66" t="str">
        <f>IF(A115="","",SUMIF(jr_num,A115,jr_colis))</f>
        <v/>
      </c>
      <c r="K115" s="63" t="str">
        <f>IF(A115="","",SUMIF(jr_num,A115,jr_kg))</f>
        <v/>
      </c>
      <c r="L115" s="64" t="str">
        <f>IF(A115="","",SUMIF(jr_num,A115,jr_val))</f>
        <v/>
      </c>
      <c r="M115" s="60" t="str">
        <f>IF(A115="","",IF(COUNTIFS(jr_num,A115,jr_check,"&lt;&gt;OK")&gt;0,"À vérifier",IF(LEFT(A115,2)="BL",IF(COUNTIFS(jr_num,A115,jr_rel,"&gt;0")&gt;0,"Reliquat en cours",IF(COUNTIFS(jr_num,A115,jr_gap,"&lt;0")&gt;0,"Reliquat livré","Complet")),IF(LEFT(A115,2)="BR",IF(COUNTIFS(jr_num,A115,jr_etat,"Refusé")&gt;0,"Refusé",IF(COUNTIFS(jr_num,A115,jr_etat,"Avec réserves")&gt;0,"Avec réserves",IF(COUNTIFS(jr_num,A115,jr_rel,"&gt;0")&gt;0,"Reliquat en cours",IF(COUNTIFS(jr_num,A115,jr_gap,"&lt;0")+COUNTIFS(jr_num,A115,jr_gap,"&gt;0")&gt;0,"Écart","Conforme")))),IF(COUNTIFS(jr_num,A115,jr_gap,"&lt;0")&gt;0,"Partiel","Sorti")))))</f>
        <v/>
      </c>
      <c r="O115" t="str">
        <f>IFERROR(MATCH(110,jr_grank,0),"")</f>
        <v/>
      </c>
      <c r="R115" s="67" t="str">
        <f>IFERROR(INDEX(jr_num,MATCH("BL110",jr_nkey,0))&amp;"","")</f>
        <v/>
      </c>
      <c r="S115" s="67" t="str">
        <f>IFERROR(INDEX(jr_num,MATCH("BR110",jr_nkey,0))&amp;"","")</f>
        <v/>
      </c>
      <c r="T115" s="67" t="str">
        <f>IFERROR(INDEX(jr_num,MATCH("BS110",jr_nkey,0))&amp;"","")</f>
        <v/>
      </c>
    </row>
    <row r="116">
      <c r="A116" s="60" t="str">
        <f>IF($O116="","",INDEX(jr_num,$O116)&amp;"")</f>
        <v/>
      </c>
      <c r="B116" s="60" t="str">
        <f>IF($O116="","",IF(INDEX(jr_type,$O116)="BL","Livraison",IF(INDEX(jr_type,$O116)="BR","Réception","Sortie")))</f>
        <v/>
      </c>
      <c r="C116" s="65" t="str">
        <f>IF($O116="","",INDEX(jr_date,$O116))</f>
        <v/>
      </c>
      <c r="D116" s="60" t="str">
        <f>IF($O116="","",INDEX(jr_tiers,$O116)&amp;"")</f>
        <v/>
      </c>
      <c r="E116" s="57" t="str">
        <f>IF($O116="","",INDEX(jr_name,$O116)&amp;"")</f>
        <v/>
      </c>
      <c r="F116" s="57" t="str">
        <f>IF($O116="","",INDEX(jr_order,$O116)&amp;"")</f>
        <v/>
      </c>
      <c r="G116" s="57" t="str">
        <f>IF($O116="","",INDEX(jr_ext,$O116)&amp;"")</f>
        <v/>
      </c>
      <c r="H116" s="57" t="str">
        <f>IF($O116="","",INDEX(jr_carrier,$O116)&amp;"")</f>
        <v/>
      </c>
      <c r="I116" s="66" t="str">
        <f>IF(A116="","",COUNTIF(jr_num,A116))</f>
        <v/>
      </c>
      <c r="J116" s="66" t="str">
        <f>IF(A116="","",SUMIF(jr_num,A116,jr_colis))</f>
        <v/>
      </c>
      <c r="K116" s="63" t="str">
        <f>IF(A116="","",SUMIF(jr_num,A116,jr_kg))</f>
        <v/>
      </c>
      <c r="L116" s="64" t="str">
        <f>IF(A116="","",SUMIF(jr_num,A116,jr_val))</f>
        <v/>
      </c>
      <c r="M116" s="60" t="str">
        <f>IF(A116="","",IF(COUNTIFS(jr_num,A116,jr_check,"&lt;&gt;OK")&gt;0,"À vérifier",IF(LEFT(A116,2)="BL",IF(COUNTIFS(jr_num,A116,jr_rel,"&gt;0")&gt;0,"Reliquat en cours",IF(COUNTIFS(jr_num,A116,jr_gap,"&lt;0")&gt;0,"Reliquat livré","Complet")),IF(LEFT(A116,2)="BR",IF(COUNTIFS(jr_num,A116,jr_etat,"Refusé")&gt;0,"Refusé",IF(COUNTIFS(jr_num,A116,jr_etat,"Avec réserves")&gt;0,"Avec réserves",IF(COUNTIFS(jr_num,A116,jr_rel,"&gt;0")&gt;0,"Reliquat en cours",IF(COUNTIFS(jr_num,A116,jr_gap,"&lt;0")+COUNTIFS(jr_num,A116,jr_gap,"&gt;0")&gt;0,"Écart","Conforme")))),IF(COUNTIFS(jr_num,A116,jr_gap,"&lt;0")&gt;0,"Partiel","Sorti")))))</f>
        <v/>
      </c>
      <c r="O116" t="str">
        <f>IFERROR(MATCH(111,jr_grank,0),"")</f>
        <v/>
      </c>
      <c r="R116" s="67" t="str">
        <f>IFERROR(INDEX(jr_num,MATCH("BL111",jr_nkey,0))&amp;"","")</f>
        <v/>
      </c>
      <c r="S116" s="67" t="str">
        <f>IFERROR(INDEX(jr_num,MATCH("BR111",jr_nkey,0))&amp;"","")</f>
        <v/>
      </c>
      <c r="T116" s="67" t="str">
        <f>IFERROR(INDEX(jr_num,MATCH("BS111",jr_nkey,0))&amp;"","")</f>
        <v/>
      </c>
    </row>
    <row r="117">
      <c r="A117" s="60" t="str">
        <f>IF($O117="","",INDEX(jr_num,$O117)&amp;"")</f>
        <v/>
      </c>
      <c r="B117" s="60" t="str">
        <f>IF($O117="","",IF(INDEX(jr_type,$O117)="BL","Livraison",IF(INDEX(jr_type,$O117)="BR","Réception","Sortie")))</f>
        <v/>
      </c>
      <c r="C117" s="65" t="str">
        <f>IF($O117="","",INDEX(jr_date,$O117))</f>
        <v/>
      </c>
      <c r="D117" s="60" t="str">
        <f>IF($O117="","",INDEX(jr_tiers,$O117)&amp;"")</f>
        <v/>
      </c>
      <c r="E117" s="57" t="str">
        <f>IF($O117="","",INDEX(jr_name,$O117)&amp;"")</f>
        <v/>
      </c>
      <c r="F117" s="57" t="str">
        <f>IF($O117="","",INDEX(jr_order,$O117)&amp;"")</f>
        <v/>
      </c>
      <c r="G117" s="57" t="str">
        <f>IF($O117="","",INDEX(jr_ext,$O117)&amp;"")</f>
        <v/>
      </c>
      <c r="H117" s="57" t="str">
        <f>IF($O117="","",INDEX(jr_carrier,$O117)&amp;"")</f>
        <v/>
      </c>
      <c r="I117" s="66" t="str">
        <f>IF(A117="","",COUNTIF(jr_num,A117))</f>
        <v/>
      </c>
      <c r="J117" s="66" t="str">
        <f>IF(A117="","",SUMIF(jr_num,A117,jr_colis))</f>
        <v/>
      </c>
      <c r="K117" s="63" t="str">
        <f>IF(A117="","",SUMIF(jr_num,A117,jr_kg))</f>
        <v/>
      </c>
      <c r="L117" s="64" t="str">
        <f>IF(A117="","",SUMIF(jr_num,A117,jr_val))</f>
        <v/>
      </c>
      <c r="M117" s="60" t="str">
        <f>IF(A117="","",IF(COUNTIFS(jr_num,A117,jr_check,"&lt;&gt;OK")&gt;0,"À vérifier",IF(LEFT(A117,2)="BL",IF(COUNTIFS(jr_num,A117,jr_rel,"&gt;0")&gt;0,"Reliquat en cours",IF(COUNTIFS(jr_num,A117,jr_gap,"&lt;0")&gt;0,"Reliquat livré","Complet")),IF(LEFT(A117,2)="BR",IF(COUNTIFS(jr_num,A117,jr_etat,"Refusé")&gt;0,"Refusé",IF(COUNTIFS(jr_num,A117,jr_etat,"Avec réserves")&gt;0,"Avec réserves",IF(COUNTIFS(jr_num,A117,jr_rel,"&gt;0")&gt;0,"Reliquat en cours",IF(COUNTIFS(jr_num,A117,jr_gap,"&lt;0")+COUNTIFS(jr_num,A117,jr_gap,"&gt;0")&gt;0,"Écart","Conforme")))),IF(COUNTIFS(jr_num,A117,jr_gap,"&lt;0")&gt;0,"Partiel","Sorti")))))</f>
        <v/>
      </c>
      <c r="O117" t="str">
        <f>IFERROR(MATCH(112,jr_grank,0),"")</f>
        <v/>
      </c>
      <c r="R117" s="67" t="str">
        <f>IFERROR(INDEX(jr_num,MATCH("BL112",jr_nkey,0))&amp;"","")</f>
        <v/>
      </c>
      <c r="S117" s="67" t="str">
        <f>IFERROR(INDEX(jr_num,MATCH("BR112",jr_nkey,0))&amp;"","")</f>
        <v/>
      </c>
      <c r="T117" s="67" t="str">
        <f>IFERROR(INDEX(jr_num,MATCH("BS112",jr_nkey,0))&amp;"","")</f>
        <v/>
      </c>
    </row>
    <row r="118">
      <c r="A118" s="60" t="str">
        <f>IF($O118="","",INDEX(jr_num,$O118)&amp;"")</f>
        <v/>
      </c>
      <c r="B118" s="60" t="str">
        <f>IF($O118="","",IF(INDEX(jr_type,$O118)="BL","Livraison",IF(INDEX(jr_type,$O118)="BR","Réception","Sortie")))</f>
        <v/>
      </c>
      <c r="C118" s="65" t="str">
        <f>IF($O118="","",INDEX(jr_date,$O118))</f>
        <v/>
      </c>
      <c r="D118" s="60" t="str">
        <f>IF($O118="","",INDEX(jr_tiers,$O118)&amp;"")</f>
        <v/>
      </c>
      <c r="E118" s="57" t="str">
        <f>IF($O118="","",INDEX(jr_name,$O118)&amp;"")</f>
        <v/>
      </c>
      <c r="F118" s="57" t="str">
        <f>IF($O118="","",INDEX(jr_order,$O118)&amp;"")</f>
        <v/>
      </c>
      <c r="G118" s="57" t="str">
        <f>IF($O118="","",INDEX(jr_ext,$O118)&amp;"")</f>
        <v/>
      </c>
      <c r="H118" s="57" t="str">
        <f>IF($O118="","",INDEX(jr_carrier,$O118)&amp;"")</f>
        <v/>
      </c>
      <c r="I118" s="66" t="str">
        <f>IF(A118="","",COUNTIF(jr_num,A118))</f>
        <v/>
      </c>
      <c r="J118" s="66" t="str">
        <f>IF(A118="","",SUMIF(jr_num,A118,jr_colis))</f>
        <v/>
      </c>
      <c r="K118" s="63" t="str">
        <f>IF(A118="","",SUMIF(jr_num,A118,jr_kg))</f>
        <v/>
      </c>
      <c r="L118" s="64" t="str">
        <f>IF(A118="","",SUMIF(jr_num,A118,jr_val))</f>
        <v/>
      </c>
      <c r="M118" s="60" t="str">
        <f>IF(A118="","",IF(COUNTIFS(jr_num,A118,jr_check,"&lt;&gt;OK")&gt;0,"À vérifier",IF(LEFT(A118,2)="BL",IF(COUNTIFS(jr_num,A118,jr_rel,"&gt;0")&gt;0,"Reliquat en cours",IF(COUNTIFS(jr_num,A118,jr_gap,"&lt;0")&gt;0,"Reliquat livré","Complet")),IF(LEFT(A118,2)="BR",IF(COUNTIFS(jr_num,A118,jr_etat,"Refusé")&gt;0,"Refusé",IF(COUNTIFS(jr_num,A118,jr_etat,"Avec réserves")&gt;0,"Avec réserves",IF(COUNTIFS(jr_num,A118,jr_rel,"&gt;0")&gt;0,"Reliquat en cours",IF(COUNTIFS(jr_num,A118,jr_gap,"&lt;0")+COUNTIFS(jr_num,A118,jr_gap,"&gt;0")&gt;0,"Écart","Conforme")))),IF(COUNTIFS(jr_num,A118,jr_gap,"&lt;0")&gt;0,"Partiel","Sorti")))))</f>
        <v/>
      </c>
      <c r="O118" t="str">
        <f>IFERROR(MATCH(113,jr_grank,0),"")</f>
        <v/>
      </c>
      <c r="R118" s="67" t="str">
        <f>IFERROR(INDEX(jr_num,MATCH("BL113",jr_nkey,0))&amp;"","")</f>
        <v/>
      </c>
      <c r="S118" s="67" t="str">
        <f>IFERROR(INDEX(jr_num,MATCH("BR113",jr_nkey,0))&amp;"","")</f>
        <v/>
      </c>
      <c r="T118" s="67" t="str">
        <f>IFERROR(INDEX(jr_num,MATCH("BS113",jr_nkey,0))&amp;"","")</f>
        <v/>
      </c>
    </row>
    <row r="119">
      <c r="A119" s="60" t="str">
        <f>IF($O119="","",INDEX(jr_num,$O119)&amp;"")</f>
        <v/>
      </c>
      <c r="B119" s="60" t="str">
        <f>IF($O119="","",IF(INDEX(jr_type,$O119)="BL","Livraison",IF(INDEX(jr_type,$O119)="BR","Réception","Sortie")))</f>
        <v/>
      </c>
      <c r="C119" s="65" t="str">
        <f>IF($O119="","",INDEX(jr_date,$O119))</f>
        <v/>
      </c>
      <c r="D119" s="60" t="str">
        <f>IF($O119="","",INDEX(jr_tiers,$O119)&amp;"")</f>
        <v/>
      </c>
      <c r="E119" s="57" t="str">
        <f>IF($O119="","",INDEX(jr_name,$O119)&amp;"")</f>
        <v/>
      </c>
      <c r="F119" s="57" t="str">
        <f>IF($O119="","",INDEX(jr_order,$O119)&amp;"")</f>
        <v/>
      </c>
      <c r="G119" s="57" t="str">
        <f>IF($O119="","",INDEX(jr_ext,$O119)&amp;"")</f>
        <v/>
      </c>
      <c r="H119" s="57" t="str">
        <f>IF($O119="","",INDEX(jr_carrier,$O119)&amp;"")</f>
        <v/>
      </c>
      <c r="I119" s="66" t="str">
        <f>IF(A119="","",COUNTIF(jr_num,A119))</f>
        <v/>
      </c>
      <c r="J119" s="66" t="str">
        <f>IF(A119="","",SUMIF(jr_num,A119,jr_colis))</f>
        <v/>
      </c>
      <c r="K119" s="63" t="str">
        <f>IF(A119="","",SUMIF(jr_num,A119,jr_kg))</f>
        <v/>
      </c>
      <c r="L119" s="64" t="str">
        <f>IF(A119="","",SUMIF(jr_num,A119,jr_val))</f>
        <v/>
      </c>
      <c r="M119" s="60" t="str">
        <f>IF(A119="","",IF(COUNTIFS(jr_num,A119,jr_check,"&lt;&gt;OK")&gt;0,"À vérifier",IF(LEFT(A119,2)="BL",IF(COUNTIFS(jr_num,A119,jr_rel,"&gt;0")&gt;0,"Reliquat en cours",IF(COUNTIFS(jr_num,A119,jr_gap,"&lt;0")&gt;0,"Reliquat livré","Complet")),IF(LEFT(A119,2)="BR",IF(COUNTIFS(jr_num,A119,jr_etat,"Refusé")&gt;0,"Refusé",IF(COUNTIFS(jr_num,A119,jr_etat,"Avec réserves")&gt;0,"Avec réserves",IF(COUNTIFS(jr_num,A119,jr_rel,"&gt;0")&gt;0,"Reliquat en cours",IF(COUNTIFS(jr_num,A119,jr_gap,"&lt;0")+COUNTIFS(jr_num,A119,jr_gap,"&gt;0")&gt;0,"Écart","Conforme")))),IF(COUNTIFS(jr_num,A119,jr_gap,"&lt;0")&gt;0,"Partiel","Sorti")))))</f>
        <v/>
      </c>
      <c r="O119" t="str">
        <f>IFERROR(MATCH(114,jr_grank,0),"")</f>
        <v/>
      </c>
      <c r="R119" s="67" t="str">
        <f>IFERROR(INDEX(jr_num,MATCH("BL114",jr_nkey,0))&amp;"","")</f>
        <v/>
      </c>
      <c r="S119" s="67" t="str">
        <f>IFERROR(INDEX(jr_num,MATCH("BR114",jr_nkey,0))&amp;"","")</f>
        <v/>
      </c>
      <c r="T119" s="67" t="str">
        <f>IFERROR(INDEX(jr_num,MATCH("BS114",jr_nkey,0))&amp;"","")</f>
        <v/>
      </c>
    </row>
    <row r="120">
      <c r="A120" s="60" t="str">
        <f>IF($O120="","",INDEX(jr_num,$O120)&amp;"")</f>
        <v/>
      </c>
      <c r="B120" s="60" t="str">
        <f>IF($O120="","",IF(INDEX(jr_type,$O120)="BL","Livraison",IF(INDEX(jr_type,$O120)="BR","Réception","Sortie")))</f>
        <v/>
      </c>
      <c r="C120" s="65" t="str">
        <f>IF($O120="","",INDEX(jr_date,$O120))</f>
        <v/>
      </c>
      <c r="D120" s="60" t="str">
        <f>IF($O120="","",INDEX(jr_tiers,$O120)&amp;"")</f>
        <v/>
      </c>
      <c r="E120" s="57" t="str">
        <f>IF($O120="","",INDEX(jr_name,$O120)&amp;"")</f>
        <v/>
      </c>
      <c r="F120" s="57" t="str">
        <f>IF($O120="","",INDEX(jr_order,$O120)&amp;"")</f>
        <v/>
      </c>
      <c r="G120" s="57" t="str">
        <f>IF($O120="","",INDEX(jr_ext,$O120)&amp;"")</f>
        <v/>
      </c>
      <c r="H120" s="57" t="str">
        <f>IF($O120="","",INDEX(jr_carrier,$O120)&amp;"")</f>
        <v/>
      </c>
      <c r="I120" s="66" t="str">
        <f>IF(A120="","",COUNTIF(jr_num,A120))</f>
        <v/>
      </c>
      <c r="J120" s="66" t="str">
        <f>IF(A120="","",SUMIF(jr_num,A120,jr_colis))</f>
        <v/>
      </c>
      <c r="K120" s="63" t="str">
        <f>IF(A120="","",SUMIF(jr_num,A120,jr_kg))</f>
        <v/>
      </c>
      <c r="L120" s="64" t="str">
        <f>IF(A120="","",SUMIF(jr_num,A120,jr_val))</f>
        <v/>
      </c>
      <c r="M120" s="60" t="str">
        <f>IF(A120="","",IF(COUNTIFS(jr_num,A120,jr_check,"&lt;&gt;OK")&gt;0,"À vérifier",IF(LEFT(A120,2)="BL",IF(COUNTIFS(jr_num,A120,jr_rel,"&gt;0")&gt;0,"Reliquat en cours",IF(COUNTIFS(jr_num,A120,jr_gap,"&lt;0")&gt;0,"Reliquat livré","Complet")),IF(LEFT(A120,2)="BR",IF(COUNTIFS(jr_num,A120,jr_etat,"Refusé")&gt;0,"Refusé",IF(COUNTIFS(jr_num,A120,jr_etat,"Avec réserves")&gt;0,"Avec réserves",IF(COUNTIFS(jr_num,A120,jr_rel,"&gt;0")&gt;0,"Reliquat en cours",IF(COUNTIFS(jr_num,A120,jr_gap,"&lt;0")+COUNTIFS(jr_num,A120,jr_gap,"&gt;0")&gt;0,"Écart","Conforme")))),IF(COUNTIFS(jr_num,A120,jr_gap,"&lt;0")&gt;0,"Partiel","Sorti")))))</f>
        <v/>
      </c>
      <c r="O120" t="str">
        <f>IFERROR(MATCH(115,jr_grank,0),"")</f>
        <v/>
      </c>
      <c r="R120" s="67" t="str">
        <f>IFERROR(INDEX(jr_num,MATCH("BL115",jr_nkey,0))&amp;"","")</f>
        <v/>
      </c>
      <c r="S120" s="67" t="str">
        <f>IFERROR(INDEX(jr_num,MATCH("BR115",jr_nkey,0))&amp;"","")</f>
        <v/>
      </c>
      <c r="T120" s="67" t="str">
        <f>IFERROR(INDEX(jr_num,MATCH("BS115",jr_nkey,0))&amp;"","")</f>
        <v/>
      </c>
    </row>
    <row r="121">
      <c r="A121" s="60" t="str">
        <f>IF($O121="","",INDEX(jr_num,$O121)&amp;"")</f>
        <v/>
      </c>
      <c r="B121" s="60" t="str">
        <f>IF($O121="","",IF(INDEX(jr_type,$O121)="BL","Livraison",IF(INDEX(jr_type,$O121)="BR","Réception","Sortie")))</f>
        <v/>
      </c>
      <c r="C121" s="65" t="str">
        <f>IF($O121="","",INDEX(jr_date,$O121))</f>
        <v/>
      </c>
      <c r="D121" s="60" t="str">
        <f>IF($O121="","",INDEX(jr_tiers,$O121)&amp;"")</f>
        <v/>
      </c>
      <c r="E121" s="57" t="str">
        <f>IF($O121="","",INDEX(jr_name,$O121)&amp;"")</f>
        <v/>
      </c>
      <c r="F121" s="57" t="str">
        <f>IF($O121="","",INDEX(jr_order,$O121)&amp;"")</f>
        <v/>
      </c>
      <c r="G121" s="57" t="str">
        <f>IF($O121="","",INDEX(jr_ext,$O121)&amp;"")</f>
        <v/>
      </c>
      <c r="H121" s="57" t="str">
        <f>IF($O121="","",INDEX(jr_carrier,$O121)&amp;"")</f>
        <v/>
      </c>
      <c r="I121" s="66" t="str">
        <f>IF(A121="","",COUNTIF(jr_num,A121))</f>
        <v/>
      </c>
      <c r="J121" s="66" t="str">
        <f>IF(A121="","",SUMIF(jr_num,A121,jr_colis))</f>
        <v/>
      </c>
      <c r="K121" s="63" t="str">
        <f>IF(A121="","",SUMIF(jr_num,A121,jr_kg))</f>
        <v/>
      </c>
      <c r="L121" s="64" t="str">
        <f>IF(A121="","",SUMIF(jr_num,A121,jr_val))</f>
        <v/>
      </c>
      <c r="M121" s="60" t="str">
        <f>IF(A121="","",IF(COUNTIFS(jr_num,A121,jr_check,"&lt;&gt;OK")&gt;0,"À vérifier",IF(LEFT(A121,2)="BL",IF(COUNTIFS(jr_num,A121,jr_rel,"&gt;0")&gt;0,"Reliquat en cours",IF(COUNTIFS(jr_num,A121,jr_gap,"&lt;0")&gt;0,"Reliquat livré","Complet")),IF(LEFT(A121,2)="BR",IF(COUNTIFS(jr_num,A121,jr_etat,"Refusé")&gt;0,"Refusé",IF(COUNTIFS(jr_num,A121,jr_etat,"Avec réserves")&gt;0,"Avec réserves",IF(COUNTIFS(jr_num,A121,jr_rel,"&gt;0")&gt;0,"Reliquat en cours",IF(COUNTIFS(jr_num,A121,jr_gap,"&lt;0")+COUNTIFS(jr_num,A121,jr_gap,"&gt;0")&gt;0,"Écart","Conforme")))),IF(COUNTIFS(jr_num,A121,jr_gap,"&lt;0")&gt;0,"Partiel","Sorti")))))</f>
        <v/>
      </c>
      <c r="O121" t="str">
        <f>IFERROR(MATCH(116,jr_grank,0),"")</f>
        <v/>
      </c>
      <c r="R121" s="67" t="str">
        <f>IFERROR(INDEX(jr_num,MATCH("BL116",jr_nkey,0))&amp;"","")</f>
        <v/>
      </c>
      <c r="S121" s="67" t="str">
        <f>IFERROR(INDEX(jr_num,MATCH("BR116",jr_nkey,0))&amp;"","")</f>
        <v/>
      </c>
      <c r="T121" s="67" t="str">
        <f>IFERROR(INDEX(jr_num,MATCH("BS116",jr_nkey,0))&amp;"","")</f>
        <v/>
      </c>
    </row>
    <row r="122">
      <c r="A122" s="60" t="str">
        <f>IF($O122="","",INDEX(jr_num,$O122)&amp;"")</f>
        <v/>
      </c>
      <c r="B122" s="60" t="str">
        <f>IF($O122="","",IF(INDEX(jr_type,$O122)="BL","Livraison",IF(INDEX(jr_type,$O122)="BR","Réception","Sortie")))</f>
        <v/>
      </c>
      <c r="C122" s="65" t="str">
        <f>IF($O122="","",INDEX(jr_date,$O122))</f>
        <v/>
      </c>
      <c r="D122" s="60" t="str">
        <f>IF($O122="","",INDEX(jr_tiers,$O122)&amp;"")</f>
        <v/>
      </c>
      <c r="E122" s="57" t="str">
        <f>IF($O122="","",INDEX(jr_name,$O122)&amp;"")</f>
        <v/>
      </c>
      <c r="F122" s="57" t="str">
        <f>IF($O122="","",INDEX(jr_order,$O122)&amp;"")</f>
        <v/>
      </c>
      <c r="G122" s="57" t="str">
        <f>IF($O122="","",INDEX(jr_ext,$O122)&amp;"")</f>
        <v/>
      </c>
      <c r="H122" s="57" t="str">
        <f>IF($O122="","",INDEX(jr_carrier,$O122)&amp;"")</f>
        <v/>
      </c>
      <c r="I122" s="66" t="str">
        <f>IF(A122="","",COUNTIF(jr_num,A122))</f>
        <v/>
      </c>
      <c r="J122" s="66" t="str">
        <f>IF(A122="","",SUMIF(jr_num,A122,jr_colis))</f>
        <v/>
      </c>
      <c r="K122" s="63" t="str">
        <f>IF(A122="","",SUMIF(jr_num,A122,jr_kg))</f>
        <v/>
      </c>
      <c r="L122" s="64" t="str">
        <f>IF(A122="","",SUMIF(jr_num,A122,jr_val))</f>
        <v/>
      </c>
      <c r="M122" s="60" t="str">
        <f>IF(A122="","",IF(COUNTIFS(jr_num,A122,jr_check,"&lt;&gt;OK")&gt;0,"À vérifier",IF(LEFT(A122,2)="BL",IF(COUNTIFS(jr_num,A122,jr_rel,"&gt;0")&gt;0,"Reliquat en cours",IF(COUNTIFS(jr_num,A122,jr_gap,"&lt;0")&gt;0,"Reliquat livré","Complet")),IF(LEFT(A122,2)="BR",IF(COUNTIFS(jr_num,A122,jr_etat,"Refusé")&gt;0,"Refusé",IF(COUNTIFS(jr_num,A122,jr_etat,"Avec réserves")&gt;0,"Avec réserves",IF(COUNTIFS(jr_num,A122,jr_rel,"&gt;0")&gt;0,"Reliquat en cours",IF(COUNTIFS(jr_num,A122,jr_gap,"&lt;0")+COUNTIFS(jr_num,A122,jr_gap,"&gt;0")&gt;0,"Écart","Conforme")))),IF(COUNTIFS(jr_num,A122,jr_gap,"&lt;0")&gt;0,"Partiel","Sorti")))))</f>
        <v/>
      </c>
      <c r="O122" t="str">
        <f>IFERROR(MATCH(117,jr_grank,0),"")</f>
        <v/>
      </c>
      <c r="R122" s="67" t="str">
        <f>IFERROR(INDEX(jr_num,MATCH("BL117",jr_nkey,0))&amp;"","")</f>
        <v/>
      </c>
      <c r="S122" s="67" t="str">
        <f>IFERROR(INDEX(jr_num,MATCH("BR117",jr_nkey,0))&amp;"","")</f>
        <v/>
      </c>
      <c r="T122" s="67" t="str">
        <f>IFERROR(INDEX(jr_num,MATCH("BS117",jr_nkey,0))&amp;"","")</f>
        <v/>
      </c>
    </row>
    <row r="123">
      <c r="A123" s="60" t="str">
        <f>IF($O123="","",INDEX(jr_num,$O123)&amp;"")</f>
        <v/>
      </c>
      <c r="B123" s="60" t="str">
        <f>IF($O123="","",IF(INDEX(jr_type,$O123)="BL","Livraison",IF(INDEX(jr_type,$O123)="BR","Réception","Sortie")))</f>
        <v/>
      </c>
      <c r="C123" s="65" t="str">
        <f>IF($O123="","",INDEX(jr_date,$O123))</f>
        <v/>
      </c>
      <c r="D123" s="60" t="str">
        <f>IF($O123="","",INDEX(jr_tiers,$O123)&amp;"")</f>
        <v/>
      </c>
      <c r="E123" s="57" t="str">
        <f>IF($O123="","",INDEX(jr_name,$O123)&amp;"")</f>
        <v/>
      </c>
      <c r="F123" s="57" t="str">
        <f>IF($O123="","",INDEX(jr_order,$O123)&amp;"")</f>
        <v/>
      </c>
      <c r="G123" s="57" t="str">
        <f>IF($O123="","",INDEX(jr_ext,$O123)&amp;"")</f>
        <v/>
      </c>
      <c r="H123" s="57" t="str">
        <f>IF($O123="","",INDEX(jr_carrier,$O123)&amp;"")</f>
        <v/>
      </c>
      <c r="I123" s="66" t="str">
        <f>IF(A123="","",COUNTIF(jr_num,A123))</f>
        <v/>
      </c>
      <c r="J123" s="66" t="str">
        <f>IF(A123="","",SUMIF(jr_num,A123,jr_colis))</f>
        <v/>
      </c>
      <c r="K123" s="63" t="str">
        <f>IF(A123="","",SUMIF(jr_num,A123,jr_kg))</f>
        <v/>
      </c>
      <c r="L123" s="64" t="str">
        <f>IF(A123="","",SUMIF(jr_num,A123,jr_val))</f>
        <v/>
      </c>
      <c r="M123" s="60" t="str">
        <f>IF(A123="","",IF(COUNTIFS(jr_num,A123,jr_check,"&lt;&gt;OK")&gt;0,"À vérifier",IF(LEFT(A123,2)="BL",IF(COUNTIFS(jr_num,A123,jr_rel,"&gt;0")&gt;0,"Reliquat en cours",IF(COUNTIFS(jr_num,A123,jr_gap,"&lt;0")&gt;0,"Reliquat livré","Complet")),IF(LEFT(A123,2)="BR",IF(COUNTIFS(jr_num,A123,jr_etat,"Refusé")&gt;0,"Refusé",IF(COUNTIFS(jr_num,A123,jr_etat,"Avec réserves")&gt;0,"Avec réserves",IF(COUNTIFS(jr_num,A123,jr_rel,"&gt;0")&gt;0,"Reliquat en cours",IF(COUNTIFS(jr_num,A123,jr_gap,"&lt;0")+COUNTIFS(jr_num,A123,jr_gap,"&gt;0")&gt;0,"Écart","Conforme")))),IF(COUNTIFS(jr_num,A123,jr_gap,"&lt;0")&gt;0,"Partiel","Sorti")))))</f>
        <v/>
      </c>
      <c r="O123" t="str">
        <f>IFERROR(MATCH(118,jr_grank,0),"")</f>
        <v/>
      </c>
      <c r="R123" s="67" t="str">
        <f>IFERROR(INDEX(jr_num,MATCH("BL118",jr_nkey,0))&amp;"","")</f>
        <v/>
      </c>
      <c r="S123" s="67" t="str">
        <f>IFERROR(INDEX(jr_num,MATCH("BR118",jr_nkey,0))&amp;"","")</f>
        <v/>
      </c>
      <c r="T123" s="67" t="str">
        <f>IFERROR(INDEX(jr_num,MATCH("BS118",jr_nkey,0))&amp;"","")</f>
        <v/>
      </c>
    </row>
    <row r="124">
      <c r="A124" s="60" t="str">
        <f>IF($O124="","",INDEX(jr_num,$O124)&amp;"")</f>
        <v/>
      </c>
      <c r="B124" s="60" t="str">
        <f>IF($O124="","",IF(INDEX(jr_type,$O124)="BL","Livraison",IF(INDEX(jr_type,$O124)="BR","Réception","Sortie")))</f>
        <v/>
      </c>
      <c r="C124" s="65" t="str">
        <f>IF($O124="","",INDEX(jr_date,$O124))</f>
        <v/>
      </c>
      <c r="D124" s="60" t="str">
        <f>IF($O124="","",INDEX(jr_tiers,$O124)&amp;"")</f>
        <v/>
      </c>
      <c r="E124" s="57" t="str">
        <f>IF($O124="","",INDEX(jr_name,$O124)&amp;"")</f>
        <v/>
      </c>
      <c r="F124" s="57" t="str">
        <f>IF($O124="","",INDEX(jr_order,$O124)&amp;"")</f>
        <v/>
      </c>
      <c r="G124" s="57" t="str">
        <f>IF($O124="","",INDEX(jr_ext,$O124)&amp;"")</f>
        <v/>
      </c>
      <c r="H124" s="57" t="str">
        <f>IF($O124="","",INDEX(jr_carrier,$O124)&amp;"")</f>
        <v/>
      </c>
      <c r="I124" s="66" t="str">
        <f>IF(A124="","",COUNTIF(jr_num,A124))</f>
        <v/>
      </c>
      <c r="J124" s="66" t="str">
        <f>IF(A124="","",SUMIF(jr_num,A124,jr_colis))</f>
        <v/>
      </c>
      <c r="K124" s="63" t="str">
        <f>IF(A124="","",SUMIF(jr_num,A124,jr_kg))</f>
        <v/>
      </c>
      <c r="L124" s="64" t="str">
        <f>IF(A124="","",SUMIF(jr_num,A124,jr_val))</f>
        <v/>
      </c>
      <c r="M124" s="60" t="str">
        <f>IF(A124="","",IF(COUNTIFS(jr_num,A124,jr_check,"&lt;&gt;OK")&gt;0,"À vérifier",IF(LEFT(A124,2)="BL",IF(COUNTIFS(jr_num,A124,jr_rel,"&gt;0")&gt;0,"Reliquat en cours",IF(COUNTIFS(jr_num,A124,jr_gap,"&lt;0")&gt;0,"Reliquat livré","Complet")),IF(LEFT(A124,2)="BR",IF(COUNTIFS(jr_num,A124,jr_etat,"Refusé")&gt;0,"Refusé",IF(COUNTIFS(jr_num,A124,jr_etat,"Avec réserves")&gt;0,"Avec réserves",IF(COUNTIFS(jr_num,A124,jr_rel,"&gt;0")&gt;0,"Reliquat en cours",IF(COUNTIFS(jr_num,A124,jr_gap,"&lt;0")+COUNTIFS(jr_num,A124,jr_gap,"&gt;0")&gt;0,"Écart","Conforme")))),IF(COUNTIFS(jr_num,A124,jr_gap,"&lt;0")&gt;0,"Partiel","Sorti")))))</f>
        <v/>
      </c>
      <c r="O124" t="str">
        <f>IFERROR(MATCH(119,jr_grank,0),"")</f>
        <v/>
      </c>
      <c r="R124" s="67" t="str">
        <f>IFERROR(INDEX(jr_num,MATCH("BL119",jr_nkey,0))&amp;"","")</f>
        <v/>
      </c>
      <c r="S124" s="67" t="str">
        <f>IFERROR(INDEX(jr_num,MATCH("BR119",jr_nkey,0))&amp;"","")</f>
        <v/>
      </c>
      <c r="T124" s="67" t="str">
        <f>IFERROR(INDEX(jr_num,MATCH("BS119",jr_nkey,0))&amp;"","")</f>
        <v/>
      </c>
    </row>
    <row r="125">
      <c r="A125" s="60" t="str">
        <f>IF($O125="","",INDEX(jr_num,$O125)&amp;"")</f>
        <v/>
      </c>
      <c r="B125" s="60" t="str">
        <f>IF($O125="","",IF(INDEX(jr_type,$O125)="BL","Livraison",IF(INDEX(jr_type,$O125)="BR","Réception","Sortie")))</f>
        <v/>
      </c>
      <c r="C125" s="65" t="str">
        <f>IF($O125="","",INDEX(jr_date,$O125))</f>
        <v/>
      </c>
      <c r="D125" s="60" t="str">
        <f>IF($O125="","",INDEX(jr_tiers,$O125)&amp;"")</f>
        <v/>
      </c>
      <c r="E125" s="57" t="str">
        <f>IF($O125="","",INDEX(jr_name,$O125)&amp;"")</f>
        <v/>
      </c>
      <c r="F125" s="57" t="str">
        <f>IF($O125="","",INDEX(jr_order,$O125)&amp;"")</f>
        <v/>
      </c>
      <c r="G125" s="57" t="str">
        <f>IF($O125="","",INDEX(jr_ext,$O125)&amp;"")</f>
        <v/>
      </c>
      <c r="H125" s="57" t="str">
        <f>IF($O125="","",INDEX(jr_carrier,$O125)&amp;"")</f>
        <v/>
      </c>
      <c r="I125" s="66" t="str">
        <f>IF(A125="","",COUNTIF(jr_num,A125))</f>
        <v/>
      </c>
      <c r="J125" s="66" t="str">
        <f>IF(A125="","",SUMIF(jr_num,A125,jr_colis))</f>
        <v/>
      </c>
      <c r="K125" s="63" t="str">
        <f>IF(A125="","",SUMIF(jr_num,A125,jr_kg))</f>
        <v/>
      </c>
      <c r="L125" s="64" t="str">
        <f>IF(A125="","",SUMIF(jr_num,A125,jr_val))</f>
        <v/>
      </c>
      <c r="M125" s="60" t="str">
        <f>IF(A125="","",IF(COUNTIFS(jr_num,A125,jr_check,"&lt;&gt;OK")&gt;0,"À vérifier",IF(LEFT(A125,2)="BL",IF(COUNTIFS(jr_num,A125,jr_rel,"&gt;0")&gt;0,"Reliquat en cours",IF(COUNTIFS(jr_num,A125,jr_gap,"&lt;0")&gt;0,"Reliquat livré","Complet")),IF(LEFT(A125,2)="BR",IF(COUNTIFS(jr_num,A125,jr_etat,"Refusé")&gt;0,"Refusé",IF(COUNTIFS(jr_num,A125,jr_etat,"Avec réserves")&gt;0,"Avec réserves",IF(COUNTIFS(jr_num,A125,jr_rel,"&gt;0")&gt;0,"Reliquat en cours",IF(COUNTIFS(jr_num,A125,jr_gap,"&lt;0")+COUNTIFS(jr_num,A125,jr_gap,"&gt;0")&gt;0,"Écart","Conforme")))),IF(COUNTIFS(jr_num,A125,jr_gap,"&lt;0")&gt;0,"Partiel","Sorti")))))</f>
        <v/>
      </c>
      <c r="O125" t="str">
        <f>IFERROR(MATCH(120,jr_grank,0),"")</f>
        <v/>
      </c>
      <c r="R125" s="67" t="str">
        <f>IFERROR(INDEX(jr_num,MATCH("BL120",jr_nkey,0))&amp;"","")</f>
        <v/>
      </c>
      <c r="S125" s="67" t="str">
        <f>IFERROR(INDEX(jr_num,MATCH("BR120",jr_nkey,0))&amp;"","")</f>
        <v/>
      </c>
      <c r="T125" s="67" t="str">
        <f>IFERROR(INDEX(jr_num,MATCH("BS120",jr_nkey,0))&amp;"","")</f>
        <v/>
      </c>
    </row>
    <row r="126">
      <c r="A126" s="60" t="str">
        <f>IF($O126="","",INDEX(jr_num,$O126)&amp;"")</f>
        <v/>
      </c>
      <c r="B126" s="60" t="str">
        <f>IF($O126="","",IF(INDEX(jr_type,$O126)="BL","Livraison",IF(INDEX(jr_type,$O126)="BR","Réception","Sortie")))</f>
        <v/>
      </c>
      <c r="C126" s="65" t="str">
        <f>IF($O126="","",INDEX(jr_date,$O126))</f>
        <v/>
      </c>
      <c r="D126" s="60" t="str">
        <f>IF($O126="","",INDEX(jr_tiers,$O126)&amp;"")</f>
        <v/>
      </c>
      <c r="E126" s="57" t="str">
        <f>IF($O126="","",INDEX(jr_name,$O126)&amp;"")</f>
        <v/>
      </c>
      <c r="F126" s="57" t="str">
        <f>IF($O126="","",INDEX(jr_order,$O126)&amp;"")</f>
        <v/>
      </c>
      <c r="G126" s="57" t="str">
        <f>IF($O126="","",INDEX(jr_ext,$O126)&amp;"")</f>
        <v/>
      </c>
      <c r="H126" s="57" t="str">
        <f>IF($O126="","",INDEX(jr_carrier,$O126)&amp;"")</f>
        <v/>
      </c>
      <c r="I126" s="66" t="str">
        <f>IF(A126="","",COUNTIF(jr_num,A126))</f>
        <v/>
      </c>
      <c r="J126" s="66" t="str">
        <f>IF(A126="","",SUMIF(jr_num,A126,jr_colis))</f>
        <v/>
      </c>
      <c r="K126" s="63" t="str">
        <f>IF(A126="","",SUMIF(jr_num,A126,jr_kg))</f>
        <v/>
      </c>
      <c r="L126" s="64" t="str">
        <f>IF(A126="","",SUMIF(jr_num,A126,jr_val))</f>
        <v/>
      </c>
      <c r="M126" s="60" t="str">
        <f>IF(A126="","",IF(COUNTIFS(jr_num,A126,jr_check,"&lt;&gt;OK")&gt;0,"À vérifier",IF(LEFT(A126,2)="BL",IF(COUNTIFS(jr_num,A126,jr_rel,"&gt;0")&gt;0,"Reliquat en cours",IF(COUNTIFS(jr_num,A126,jr_gap,"&lt;0")&gt;0,"Reliquat livré","Complet")),IF(LEFT(A126,2)="BR",IF(COUNTIFS(jr_num,A126,jr_etat,"Refusé")&gt;0,"Refusé",IF(COUNTIFS(jr_num,A126,jr_etat,"Avec réserves")&gt;0,"Avec réserves",IF(COUNTIFS(jr_num,A126,jr_rel,"&gt;0")&gt;0,"Reliquat en cours",IF(COUNTIFS(jr_num,A126,jr_gap,"&lt;0")+COUNTIFS(jr_num,A126,jr_gap,"&gt;0")&gt;0,"Écart","Conforme")))),IF(COUNTIFS(jr_num,A126,jr_gap,"&lt;0")&gt;0,"Partiel","Sorti")))))</f>
        <v/>
      </c>
      <c r="O126" t="str">
        <f>IFERROR(MATCH(121,jr_grank,0),"")</f>
        <v/>
      </c>
      <c r="R126" s="67" t="str">
        <f>IFERROR(INDEX(jr_num,MATCH("BL121",jr_nkey,0))&amp;"","")</f>
        <v/>
      </c>
      <c r="S126" s="67" t="str">
        <f>IFERROR(INDEX(jr_num,MATCH("BR121",jr_nkey,0))&amp;"","")</f>
        <v/>
      </c>
      <c r="T126" s="67" t="str">
        <f>IFERROR(INDEX(jr_num,MATCH("BS121",jr_nkey,0))&amp;"","")</f>
        <v/>
      </c>
    </row>
    <row r="127">
      <c r="A127" s="60" t="str">
        <f>IF($O127="","",INDEX(jr_num,$O127)&amp;"")</f>
        <v/>
      </c>
      <c r="B127" s="60" t="str">
        <f>IF($O127="","",IF(INDEX(jr_type,$O127)="BL","Livraison",IF(INDEX(jr_type,$O127)="BR","Réception","Sortie")))</f>
        <v/>
      </c>
      <c r="C127" s="65" t="str">
        <f>IF($O127="","",INDEX(jr_date,$O127))</f>
        <v/>
      </c>
      <c r="D127" s="60" t="str">
        <f>IF($O127="","",INDEX(jr_tiers,$O127)&amp;"")</f>
        <v/>
      </c>
      <c r="E127" s="57" t="str">
        <f>IF($O127="","",INDEX(jr_name,$O127)&amp;"")</f>
        <v/>
      </c>
      <c r="F127" s="57" t="str">
        <f>IF($O127="","",INDEX(jr_order,$O127)&amp;"")</f>
        <v/>
      </c>
      <c r="G127" s="57" t="str">
        <f>IF($O127="","",INDEX(jr_ext,$O127)&amp;"")</f>
        <v/>
      </c>
      <c r="H127" s="57" t="str">
        <f>IF($O127="","",INDEX(jr_carrier,$O127)&amp;"")</f>
        <v/>
      </c>
      <c r="I127" s="66" t="str">
        <f>IF(A127="","",COUNTIF(jr_num,A127))</f>
        <v/>
      </c>
      <c r="J127" s="66" t="str">
        <f>IF(A127="","",SUMIF(jr_num,A127,jr_colis))</f>
        <v/>
      </c>
      <c r="K127" s="63" t="str">
        <f>IF(A127="","",SUMIF(jr_num,A127,jr_kg))</f>
        <v/>
      </c>
      <c r="L127" s="64" t="str">
        <f>IF(A127="","",SUMIF(jr_num,A127,jr_val))</f>
        <v/>
      </c>
      <c r="M127" s="60" t="str">
        <f>IF(A127="","",IF(COUNTIFS(jr_num,A127,jr_check,"&lt;&gt;OK")&gt;0,"À vérifier",IF(LEFT(A127,2)="BL",IF(COUNTIFS(jr_num,A127,jr_rel,"&gt;0")&gt;0,"Reliquat en cours",IF(COUNTIFS(jr_num,A127,jr_gap,"&lt;0")&gt;0,"Reliquat livré","Complet")),IF(LEFT(A127,2)="BR",IF(COUNTIFS(jr_num,A127,jr_etat,"Refusé")&gt;0,"Refusé",IF(COUNTIFS(jr_num,A127,jr_etat,"Avec réserves")&gt;0,"Avec réserves",IF(COUNTIFS(jr_num,A127,jr_rel,"&gt;0")&gt;0,"Reliquat en cours",IF(COUNTIFS(jr_num,A127,jr_gap,"&lt;0")+COUNTIFS(jr_num,A127,jr_gap,"&gt;0")&gt;0,"Écart","Conforme")))),IF(COUNTIFS(jr_num,A127,jr_gap,"&lt;0")&gt;0,"Partiel","Sorti")))))</f>
        <v/>
      </c>
      <c r="O127" t="str">
        <f>IFERROR(MATCH(122,jr_grank,0),"")</f>
        <v/>
      </c>
      <c r="R127" s="67" t="str">
        <f>IFERROR(INDEX(jr_num,MATCH("BL122",jr_nkey,0))&amp;"","")</f>
        <v/>
      </c>
      <c r="S127" s="67" t="str">
        <f>IFERROR(INDEX(jr_num,MATCH("BR122",jr_nkey,0))&amp;"","")</f>
        <v/>
      </c>
      <c r="T127" s="67" t="str">
        <f>IFERROR(INDEX(jr_num,MATCH("BS122",jr_nkey,0))&amp;"","")</f>
        <v/>
      </c>
    </row>
    <row r="128">
      <c r="A128" s="60" t="str">
        <f>IF($O128="","",INDEX(jr_num,$O128)&amp;"")</f>
        <v/>
      </c>
      <c r="B128" s="60" t="str">
        <f>IF($O128="","",IF(INDEX(jr_type,$O128)="BL","Livraison",IF(INDEX(jr_type,$O128)="BR","Réception","Sortie")))</f>
        <v/>
      </c>
      <c r="C128" s="65" t="str">
        <f>IF($O128="","",INDEX(jr_date,$O128))</f>
        <v/>
      </c>
      <c r="D128" s="60" t="str">
        <f>IF($O128="","",INDEX(jr_tiers,$O128)&amp;"")</f>
        <v/>
      </c>
      <c r="E128" s="57" t="str">
        <f>IF($O128="","",INDEX(jr_name,$O128)&amp;"")</f>
        <v/>
      </c>
      <c r="F128" s="57" t="str">
        <f>IF($O128="","",INDEX(jr_order,$O128)&amp;"")</f>
        <v/>
      </c>
      <c r="G128" s="57" t="str">
        <f>IF($O128="","",INDEX(jr_ext,$O128)&amp;"")</f>
        <v/>
      </c>
      <c r="H128" s="57" t="str">
        <f>IF($O128="","",INDEX(jr_carrier,$O128)&amp;"")</f>
        <v/>
      </c>
      <c r="I128" s="66" t="str">
        <f>IF(A128="","",COUNTIF(jr_num,A128))</f>
        <v/>
      </c>
      <c r="J128" s="66" t="str">
        <f>IF(A128="","",SUMIF(jr_num,A128,jr_colis))</f>
        <v/>
      </c>
      <c r="K128" s="63" t="str">
        <f>IF(A128="","",SUMIF(jr_num,A128,jr_kg))</f>
        <v/>
      </c>
      <c r="L128" s="64" t="str">
        <f>IF(A128="","",SUMIF(jr_num,A128,jr_val))</f>
        <v/>
      </c>
      <c r="M128" s="60" t="str">
        <f>IF(A128="","",IF(COUNTIFS(jr_num,A128,jr_check,"&lt;&gt;OK")&gt;0,"À vérifier",IF(LEFT(A128,2)="BL",IF(COUNTIFS(jr_num,A128,jr_rel,"&gt;0")&gt;0,"Reliquat en cours",IF(COUNTIFS(jr_num,A128,jr_gap,"&lt;0")&gt;0,"Reliquat livré","Complet")),IF(LEFT(A128,2)="BR",IF(COUNTIFS(jr_num,A128,jr_etat,"Refusé")&gt;0,"Refusé",IF(COUNTIFS(jr_num,A128,jr_etat,"Avec réserves")&gt;0,"Avec réserves",IF(COUNTIFS(jr_num,A128,jr_rel,"&gt;0")&gt;0,"Reliquat en cours",IF(COUNTIFS(jr_num,A128,jr_gap,"&lt;0")+COUNTIFS(jr_num,A128,jr_gap,"&gt;0")&gt;0,"Écart","Conforme")))),IF(COUNTIFS(jr_num,A128,jr_gap,"&lt;0")&gt;0,"Partiel","Sorti")))))</f>
        <v/>
      </c>
      <c r="O128" t="str">
        <f>IFERROR(MATCH(123,jr_grank,0),"")</f>
        <v/>
      </c>
      <c r="R128" s="67" t="str">
        <f>IFERROR(INDEX(jr_num,MATCH("BL123",jr_nkey,0))&amp;"","")</f>
        <v/>
      </c>
      <c r="S128" s="67" t="str">
        <f>IFERROR(INDEX(jr_num,MATCH("BR123",jr_nkey,0))&amp;"","")</f>
        <v/>
      </c>
      <c r="T128" s="67" t="str">
        <f>IFERROR(INDEX(jr_num,MATCH("BS123",jr_nkey,0))&amp;"","")</f>
        <v/>
      </c>
    </row>
    <row r="129">
      <c r="A129" s="60" t="str">
        <f>IF($O129="","",INDEX(jr_num,$O129)&amp;"")</f>
        <v/>
      </c>
      <c r="B129" s="60" t="str">
        <f>IF($O129="","",IF(INDEX(jr_type,$O129)="BL","Livraison",IF(INDEX(jr_type,$O129)="BR","Réception","Sortie")))</f>
        <v/>
      </c>
      <c r="C129" s="65" t="str">
        <f>IF($O129="","",INDEX(jr_date,$O129))</f>
        <v/>
      </c>
      <c r="D129" s="60" t="str">
        <f>IF($O129="","",INDEX(jr_tiers,$O129)&amp;"")</f>
        <v/>
      </c>
      <c r="E129" s="57" t="str">
        <f>IF($O129="","",INDEX(jr_name,$O129)&amp;"")</f>
        <v/>
      </c>
      <c r="F129" s="57" t="str">
        <f>IF($O129="","",INDEX(jr_order,$O129)&amp;"")</f>
        <v/>
      </c>
      <c r="G129" s="57" t="str">
        <f>IF($O129="","",INDEX(jr_ext,$O129)&amp;"")</f>
        <v/>
      </c>
      <c r="H129" s="57" t="str">
        <f>IF($O129="","",INDEX(jr_carrier,$O129)&amp;"")</f>
        <v/>
      </c>
      <c r="I129" s="66" t="str">
        <f>IF(A129="","",COUNTIF(jr_num,A129))</f>
        <v/>
      </c>
      <c r="J129" s="66" t="str">
        <f>IF(A129="","",SUMIF(jr_num,A129,jr_colis))</f>
        <v/>
      </c>
      <c r="K129" s="63" t="str">
        <f>IF(A129="","",SUMIF(jr_num,A129,jr_kg))</f>
        <v/>
      </c>
      <c r="L129" s="64" t="str">
        <f>IF(A129="","",SUMIF(jr_num,A129,jr_val))</f>
        <v/>
      </c>
      <c r="M129" s="60" t="str">
        <f>IF(A129="","",IF(COUNTIFS(jr_num,A129,jr_check,"&lt;&gt;OK")&gt;0,"À vérifier",IF(LEFT(A129,2)="BL",IF(COUNTIFS(jr_num,A129,jr_rel,"&gt;0")&gt;0,"Reliquat en cours",IF(COUNTIFS(jr_num,A129,jr_gap,"&lt;0")&gt;0,"Reliquat livré","Complet")),IF(LEFT(A129,2)="BR",IF(COUNTIFS(jr_num,A129,jr_etat,"Refusé")&gt;0,"Refusé",IF(COUNTIFS(jr_num,A129,jr_etat,"Avec réserves")&gt;0,"Avec réserves",IF(COUNTIFS(jr_num,A129,jr_rel,"&gt;0")&gt;0,"Reliquat en cours",IF(COUNTIFS(jr_num,A129,jr_gap,"&lt;0")+COUNTIFS(jr_num,A129,jr_gap,"&gt;0")&gt;0,"Écart","Conforme")))),IF(COUNTIFS(jr_num,A129,jr_gap,"&lt;0")&gt;0,"Partiel","Sorti")))))</f>
        <v/>
      </c>
      <c r="O129" t="str">
        <f>IFERROR(MATCH(124,jr_grank,0),"")</f>
        <v/>
      </c>
      <c r="R129" s="67" t="str">
        <f>IFERROR(INDEX(jr_num,MATCH("BL124",jr_nkey,0))&amp;"","")</f>
        <v/>
      </c>
      <c r="S129" s="67" t="str">
        <f>IFERROR(INDEX(jr_num,MATCH("BR124",jr_nkey,0))&amp;"","")</f>
        <v/>
      </c>
      <c r="T129" s="67" t="str">
        <f>IFERROR(INDEX(jr_num,MATCH("BS124",jr_nkey,0))&amp;"","")</f>
        <v/>
      </c>
    </row>
    <row r="130">
      <c r="A130" s="60" t="str">
        <f>IF($O130="","",INDEX(jr_num,$O130)&amp;"")</f>
        <v/>
      </c>
      <c r="B130" s="60" t="str">
        <f>IF($O130="","",IF(INDEX(jr_type,$O130)="BL","Livraison",IF(INDEX(jr_type,$O130)="BR","Réception","Sortie")))</f>
        <v/>
      </c>
      <c r="C130" s="65" t="str">
        <f>IF($O130="","",INDEX(jr_date,$O130))</f>
        <v/>
      </c>
      <c r="D130" s="60" t="str">
        <f>IF($O130="","",INDEX(jr_tiers,$O130)&amp;"")</f>
        <v/>
      </c>
      <c r="E130" s="57" t="str">
        <f>IF($O130="","",INDEX(jr_name,$O130)&amp;"")</f>
        <v/>
      </c>
      <c r="F130" s="57" t="str">
        <f>IF($O130="","",INDEX(jr_order,$O130)&amp;"")</f>
        <v/>
      </c>
      <c r="G130" s="57" t="str">
        <f>IF($O130="","",INDEX(jr_ext,$O130)&amp;"")</f>
        <v/>
      </c>
      <c r="H130" s="57" t="str">
        <f>IF($O130="","",INDEX(jr_carrier,$O130)&amp;"")</f>
        <v/>
      </c>
      <c r="I130" s="66" t="str">
        <f>IF(A130="","",COUNTIF(jr_num,A130))</f>
        <v/>
      </c>
      <c r="J130" s="66" t="str">
        <f>IF(A130="","",SUMIF(jr_num,A130,jr_colis))</f>
        <v/>
      </c>
      <c r="K130" s="63" t="str">
        <f>IF(A130="","",SUMIF(jr_num,A130,jr_kg))</f>
        <v/>
      </c>
      <c r="L130" s="64" t="str">
        <f>IF(A130="","",SUMIF(jr_num,A130,jr_val))</f>
        <v/>
      </c>
      <c r="M130" s="60" t="str">
        <f>IF(A130="","",IF(COUNTIFS(jr_num,A130,jr_check,"&lt;&gt;OK")&gt;0,"À vérifier",IF(LEFT(A130,2)="BL",IF(COUNTIFS(jr_num,A130,jr_rel,"&gt;0")&gt;0,"Reliquat en cours",IF(COUNTIFS(jr_num,A130,jr_gap,"&lt;0")&gt;0,"Reliquat livré","Complet")),IF(LEFT(A130,2)="BR",IF(COUNTIFS(jr_num,A130,jr_etat,"Refusé")&gt;0,"Refusé",IF(COUNTIFS(jr_num,A130,jr_etat,"Avec réserves")&gt;0,"Avec réserves",IF(COUNTIFS(jr_num,A130,jr_rel,"&gt;0")&gt;0,"Reliquat en cours",IF(COUNTIFS(jr_num,A130,jr_gap,"&lt;0")+COUNTIFS(jr_num,A130,jr_gap,"&gt;0")&gt;0,"Écart","Conforme")))),IF(COUNTIFS(jr_num,A130,jr_gap,"&lt;0")&gt;0,"Partiel","Sorti")))))</f>
        <v/>
      </c>
      <c r="O130" t="str">
        <f>IFERROR(MATCH(125,jr_grank,0),"")</f>
        <v/>
      </c>
      <c r="R130" s="67" t="str">
        <f>IFERROR(INDEX(jr_num,MATCH("BL125",jr_nkey,0))&amp;"","")</f>
        <v/>
      </c>
      <c r="S130" s="67" t="str">
        <f>IFERROR(INDEX(jr_num,MATCH("BR125",jr_nkey,0))&amp;"","")</f>
        <v/>
      </c>
      <c r="T130" s="67" t="str">
        <f>IFERROR(INDEX(jr_num,MATCH("BS125",jr_nkey,0))&amp;"","")</f>
        <v/>
      </c>
    </row>
    <row r="131">
      <c r="A131" s="60" t="str">
        <f>IF($O131="","",INDEX(jr_num,$O131)&amp;"")</f>
        <v/>
      </c>
      <c r="B131" s="60" t="str">
        <f>IF($O131="","",IF(INDEX(jr_type,$O131)="BL","Livraison",IF(INDEX(jr_type,$O131)="BR","Réception","Sortie")))</f>
        <v/>
      </c>
      <c r="C131" s="65" t="str">
        <f>IF($O131="","",INDEX(jr_date,$O131))</f>
        <v/>
      </c>
      <c r="D131" s="60" t="str">
        <f>IF($O131="","",INDEX(jr_tiers,$O131)&amp;"")</f>
        <v/>
      </c>
      <c r="E131" s="57" t="str">
        <f>IF($O131="","",INDEX(jr_name,$O131)&amp;"")</f>
        <v/>
      </c>
      <c r="F131" s="57" t="str">
        <f>IF($O131="","",INDEX(jr_order,$O131)&amp;"")</f>
        <v/>
      </c>
      <c r="G131" s="57" t="str">
        <f>IF($O131="","",INDEX(jr_ext,$O131)&amp;"")</f>
        <v/>
      </c>
      <c r="H131" s="57" t="str">
        <f>IF($O131="","",INDEX(jr_carrier,$O131)&amp;"")</f>
        <v/>
      </c>
      <c r="I131" s="66" t="str">
        <f>IF(A131="","",COUNTIF(jr_num,A131))</f>
        <v/>
      </c>
      <c r="J131" s="66" t="str">
        <f>IF(A131="","",SUMIF(jr_num,A131,jr_colis))</f>
        <v/>
      </c>
      <c r="K131" s="63" t="str">
        <f>IF(A131="","",SUMIF(jr_num,A131,jr_kg))</f>
        <v/>
      </c>
      <c r="L131" s="64" t="str">
        <f>IF(A131="","",SUMIF(jr_num,A131,jr_val))</f>
        <v/>
      </c>
      <c r="M131" s="60" t="str">
        <f>IF(A131="","",IF(COUNTIFS(jr_num,A131,jr_check,"&lt;&gt;OK")&gt;0,"À vérifier",IF(LEFT(A131,2)="BL",IF(COUNTIFS(jr_num,A131,jr_rel,"&gt;0")&gt;0,"Reliquat en cours",IF(COUNTIFS(jr_num,A131,jr_gap,"&lt;0")&gt;0,"Reliquat livré","Complet")),IF(LEFT(A131,2)="BR",IF(COUNTIFS(jr_num,A131,jr_etat,"Refusé")&gt;0,"Refusé",IF(COUNTIFS(jr_num,A131,jr_etat,"Avec réserves")&gt;0,"Avec réserves",IF(COUNTIFS(jr_num,A131,jr_rel,"&gt;0")&gt;0,"Reliquat en cours",IF(COUNTIFS(jr_num,A131,jr_gap,"&lt;0")+COUNTIFS(jr_num,A131,jr_gap,"&gt;0")&gt;0,"Écart","Conforme")))),IF(COUNTIFS(jr_num,A131,jr_gap,"&lt;0")&gt;0,"Partiel","Sorti")))))</f>
        <v/>
      </c>
      <c r="O131" t="str">
        <f>IFERROR(MATCH(126,jr_grank,0),"")</f>
        <v/>
      </c>
      <c r="R131" s="67" t="str">
        <f>IFERROR(INDEX(jr_num,MATCH("BL126",jr_nkey,0))&amp;"","")</f>
        <v/>
      </c>
      <c r="S131" s="67" t="str">
        <f>IFERROR(INDEX(jr_num,MATCH("BR126",jr_nkey,0))&amp;"","")</f>
        <v/>
      </c>
      <c r="T131" s="67" t="str">
        <f>IFERROR(INDEX(jr_num,MATCH("BS126",jr_nkey,0))&amp;"","")</f>
        <v/>
      </c>
    </row>
    <row r="132">
      <c r="A132" s="60" t="str">
        <f>IF($O132="","",INDEX(jr_num,$O132)&amp;"")</f>
        <v/>
      </c>
      <c r="B132" s="60" t="str">
        <f>IF($O132="","",IF(INDEX(jr_type,$O132)="BL","Livraison",IF(INDEX(jr_type,$O132)="BR","Réception","Sortie")))</f>
        <v/>
      </c>
      <c r="C132" s="65" t="str">
        <f>IF($O132="","",INDEX(jr_date,$O132))</f>
        <v/>
      </c>
      <c r="D132" s="60" t="str">
        <f>IF($O132="","",INDEX(jr_tiers,$O132)&amp;"")</f>
        <v/>
      </c>
      <c r="E132" s="57" t="str">
        <f>IF($O132="","",INDEX(jr_name,$O132)&amp;"")</f>
        <v/>
      </c>
      <c r="F132" s="57" t="str">
        <f>IF($O132="","",INDEX(jr_order,$O132)&amp;"")</f>
        <v/>
      </c>
      <c r="G132" s="57" t="str">
        <f>IF($O132="","",INDEX(jr_ext,$O132)&amp;"")</f>
        <v/>
      </c>
      <c r="H132" s="57" t="str">
        <f>IF($O132="","",INDEX(jr_carrier,$O132)&amp;"")</f>
        <v/>
      </c>
      <c r="I132" s="66" t="str">
        <f>IF(A132="","",COUNTIF(jr_num,A132))</f>
        <v/>
      </c>
      <c r="J132" s="66" t="str">
        <f>IF(A132="","",SUMIF(jr_num,A132,jr_colis))</f>
        <v/>
      </c>
      <c r="K132" s="63" t="str">
        <f>IF(A132="","",SUMIF(jr_num,A132,jr_kg))</f>
        <v/>
      </c>
      <c r="L132" s="64" t="str">
        <f>IF(A132="","",SUMIF(jr_num,A132,jr_val))</f>
        <v/>
      </c>
      <c r="M132" s="60" t="str">
        <f>IF(A132="","",IF(COUNTIFS(jr_num,A132,jr_check,"&lt;&gt;OK")&gt;0,"À vérifier",IF(LEFT(A132,2)="BL",IF(COUNTIFS(jr_num,A132,jr_rel,"&gt;0")&gt;0,"Reliquat en cours",IF(COUNTIFS(jr_num,A132,jr_gap,"&lt;0")&gt;0,"Reliquat livré","Complet")),IF(LEFT(A132,2)="BR",IF(COUNTIFS(jr_num,A132,jr_etat,"Refusé")&gt;0,"Refusé",IF(COUNTIFS(jr_num,A132,jr_etat,"Avec réserves")&gt;0,"Avec réserves",IF(COUNTIFS(jr_num,A132,jr_rel,"&gt;0")&gt;0,"Reliquat en cours",IF(COUNTIFS(jr_num,A132,jr_gap,"&lt;0")+COUNTIFS(jr_num,A132,jr_gap,"&gt;0")&gt;0,"Écart","Conforme")))),IF(COUNTIFS(jr_num,A132,jr_gap,"&lt;0")&gt;0,"Partiel","Sorti")))))</f>
        <v/>
      </c>
      <c r="O132" t="str">
        <f>IFERROR(MATCH(127,jr_grank,0),"")</f>
        <v/>
      </c>
      <c r="R132" s="67" t="str">
        <f>IFERROR(INDEX(jr_num,MATCH("BL127",jr_nkey,0))&amp;"","")</f>
        <v/>
      </c>
      <c r="S132" s="67" t="str">
        <f>IFERROR(INDEX(jr_num,MATCH("BR127",jr_nkey,0))&amp;"","")</f>
        <v/>
      </c>
      <c r="T132" s="67" t="str">
        <f>IFERROR(INDEX(jr_num,MATCH("BS127",jr_nkey,0))&amp;"","")</f>
        <v/>
      </c>
    </row>
    <row r="133">
      <c r="A133" s="60" t="str">
        <f>IF($O133="","",INDEX(jr_num,$O133)&amp;"")</f>
        <v/>
      </c>
      <c r="B133" s="60" t="str">
        <f>IF($O133="","",IF(INDEX(jr_type,$O133)="BL","Livraison",IF(INDEX(jr_type,$O133)="BR","Réception","Sortie")))</f>
        <v/>
      </c>
      <c r="C133" s="65" t="str">
        <f>IF($O133="","",INDEX(jr_date,$O133))</f>
        <v/>
      </c>
      <c r="D133" s="60" t="str">
        <f>IF($O133="","",INDEX(jr_tiers,$O133)&amp;"")</f>
        <v/>
      </c>
      <c r="E133" s="57" t="str">
        <f>IF($O133="","",INDEX(jr_name,$O133)&amp;"")</f>
        <v/>
      </c>
      <c r="F133" s="57" t="str">
        <f>IF($O133="","",INDEX(jr_order,$O133)&amp;"")</f>
        <v/>
      </c>
      <c r="G133" s="57" t="str">
        <f>IF($O133="","",INDEX(jr_ext,$O133)&amp;"")</f>
        <v/>
      </c>
      <c r="H133" s="57" t="str">
        <f>IF($O133="","",INDEX(jr_carrier,$O133)&amp;"")</f>
        <v/>
      </c>
      <c r="I133" s="66" t="str">
        <f>IF(A133="","",COUNTIF(jr_num,A133))</f>
        <v/>
      </c>
      <c r="J133" s="66" t="str">
        <f>IF(A133="","",SUMIF(jr_num,A133,jr_colis))</f>
        <v/>
      </c>
      <c r="K133" s="63" t="str">
        <f>IF(A133="","",SUMIF(jr_num,A133,jr_kg))</f>
        <v/>
      </c>
      <c r="L133" s="64" t="str">
        <f>IF(A133="","",SUMIF(jr_num,A133,jr_val))</f>
        <v/>
      </c>
      <c r="M133" s="60" t="str">
        <f>IF(A133="","",IF(COUNTIFS(jr_num,A133,jr_check,"&lt;&gt;OK")&gt;0,"À vérifier",IF(LEFT(A133,2)="BL",IF(COUNTIFS(jr_num,A133,jr_rel,"&gt;0")&gt;0,"Reliquat en cours",IF(COUNTIFS(jr_num,A133,jr_gap,"&lt;0")&gt;0,"Reliquat livré","Complet")),IF(LEFT(A133,2)="BR",IF(COUNTIFS(jr_num,A133,jr_etat,"Refusé")&gt;0,"Refusé",IF(COUNTIFS(jr_num,A133,jr_etat,"Avec réserves")&gt;0,"Avec réserves",IF(COUNTIFS(jr_num,A133,jr_rel,"&gt;0")&gt;0,"Reliquat en cours",IF(COUNTIFS(jr_num,A133,jr_gap,"&lt;0")+COUNTIFS(jr_num,A133,jr_gap,"&gt;0")&gt;0,"Écart","Conforme")))),IF(COUNTIFS(jr_num,A133,jr_gap,"&lt;0")&gt;0,"Partiel","Sorti")))))</f>
        <v/>
      </c>
      <c r="O133" t="str">
        <f>IFERROR(MATCH(128,jr_grank,0),"")</f>
        <v/>
      </c>
      <c r="R133" s="67" t="str">
        <f>IFERROR(INDEX(jr_num,MATCH("BL128",jr_nkey,0))&amp;"","")</f>
        <v/>
      </c>
      <c r="S133" s="67" t="str">
        <f>IFERROR(INDEX(jr_num,MATCH("BR128",jr_nkey,0))&amp;"","")</f>
        <v/>
      </c>
      <c r="T133" s="67" t="str">
        <f>IFERROR(INDEX(jr_num,MATCH("BS128",jr_nkey,0))&amp;"","")</f>
        <v/>
      </c>
    </row>
    <row r="134">
      <c r="A134" s="60" t="str">
        <f>IF($O134="","",INDEX(jr_num,$O134)&amp;"")</f>
        <v/>
      </c>
      <c r="B134" s="60" t="str">
        <f>IF($O134="","",IF(INDEX(jr_type,$O134)="BL","Livraison",IF(INDEX(jr_type,$O134)="BR","Réception","Sortie")))</f>
        <v/>
      </c>
      <c r="C134" s="65" t="str">
        <f>IF($O134="","",INDEX(jr_date,$O134))</f>
        <v/>
      </c>
      <c r="D134" s="60" t="str">
        <f>IF($O134="","",INDEX(jr_tiers,$O134)&amp;"")</f>
        <v/>
      </c>
      <c r="E134" s="57" t="str">
        <f>IF($O134="","",INDEX(jr_name,$O134)&amp;"")</f>
        <v/>
      </c>
      <c r="F134" s="57" t="str">
        <f>IF($O134="","",INDEX(jr_order,$O134)&amp;"")</f>
        <v/>
      </c>
      <c r="G134" s="57" t="str">
        <f>IF($O134="","",INDEX(jr_ext,$O134)&amp;"")</f>
        <v/>
      </c>
      <c r="H134" s="57" t="str">
        <f>IF($O134="","",INDEX(jr_carrier,$O134)&amp;"")</f>
        <v/>
      </c>
      <c r="I134" s="66" t="str">
        <f>IF(A134="","",COUNTIF(jr_num,A134))</f>
        <v/>
      </c>
      <c r="J134" s="66" t="str">
        <f>IF(A134="","",SUMIF(jr_num,A134,jr_colis))</f>
        <v/>
      </c>
      <c r="K134" s="63" t="str">
        <f>IF(A134="","",SUMIF(jr_num,A134,jr_kg))</f>
        <v/>
      </c>
      <c r="L134" s="64" t="str">
        <f>IF(A134="","",SUMIF(jr_num,A134,jr_val))</f>
        <v/>
      </c>
      <c r="M134" s="60" t="str">
        <f>IF(A134="","",IF(COUNTIFS(jr_num,A134,jr_check,"&lt;&gt;OK")&gt;0,"À vérifier",IF(LEFT(A134,2)="BL",IF(COUNTIFS(jr_num,A134,jr_rel,"&gt;0")&gt;0,"Reliquat en cours",IF(COUNTIFS(jr_num,A134,jr_gap,"&lt;0")&gt;0,"Reliquat livré","Complet")),IF(LEFT(A134,2)="BR",IF(COUNTIFS(jr_num,A134,jr_etat,"Refusé")&gt;0,"Refusé",IF(COUNTIFS(jr_num,A134,jr_etat,"Avec réserves")&gt;0,"Avec réserves",IF(COUNTIFS(jr_num,A134,jr_rel,"&gt;0")&gt;0,"Reliquat en cours",IF(COUNTIFS(jr_num,A134,jr_gap,"&lt;0")+COUNTIFS(jr_num,A134,jr_gap,"&gt;0")&gt;0,"Écart","Conforme")))),IF(COUNTIFS(jr_num,A134,jr_gap,"&lt;0")&gt;0,"Partiel","Sorti")))))</f>
        <v/>
      </c>
      <c r="O134" t="str">
        <f>IFERROR(MATCH(129,jr_grank,0),"")</f>
        <v/>
      </c>
      <c r="R134" s="67" t="str">
        <f>IFERROR(INDEX(jr_num,MATCH("BL129",jr_nkey,0))&amp;"","")</f>
        <v/>
      </c>
      <c r="S134" s="67" t="str">
        <f>IFERROR(INDEX(jr_num,MATCH("BR129",jr_nkey,0))&amp;"","")</f>
        <v/>
      </c>
      <c r="T134" s="67" t="str">
        <f>IFERROR(INDEX(jr_num,MATCH("BS129",jr_nkey,0))&amp;"","")</f>
        <v/>
      </c>
    </row>
    <row r="135">
      <c r="A135" s="60" t="str">
        <f>IF($O135="","",INDEX(jr_num,$O135)&amp;"")</f>
        <v/>
      </c>
      <c r="B135" s="60" t="str">
        <f>IF($O135="","",IF(INDEX(jr_type,$O135)="BL","Livraison",IF(INDEX(jr_type,$O135)="BR","Réception","Sortie")))</f>
        <v/>
      </c>
      <c r="C135" s="65" t="str">
        <f>IF($O135="","",INDEX(jr_date,$O135))</f>
        <v/>
      </c>
      <c r="D135" s="60" t="str">
        <f>IF($O135="","",INDEX(jr_tiers,$O135)&amp;"")</f>
        <v/>
      </c>
      <c r="E135" s="57" t="str">
        <f>IF($O135="","",INDEX(jr_name,$O135)&amp;"")</f>
        <v/>
      </c>
      <c r="F135" s="57" t="str">
        <f>IF($O135="","",INDEX(jr_order,$O135)&amp;"")</f>
        <v/>
      </c>
      <c r="G135" s="57" t="str">
        <f>IF($O135="","",INDEX(jr_ext,$O135)&amp;"")</f>
        <v/>
      </c>
      <c r="H135" s="57" t="str">
        <f>IF($O135="","",INDEX(jr_carrier,$O135)&amp;"")</f>
        <v/>
      </c>
      <c r="I135" s="66" t="str">
        <f>IF(A135="","",COUNTIF(jr_num,A135))</f>
        <v/>
      </c>
      <c r="J135" s="66" t="str">
        <f>IF(A135="","",SUMIF(jr_num,A135,jr_colis))</f>
        <v/>
      </c>
      <c r="K135" s="63" t="str">
        <f>IF(A135="","",SUMIF(jr_num,A135,jr_kg))</f>
        <v/>
      </c>
      <c r="L135" s="64" t="str">
        <f>IF(A135="","",SUMIF(jr_num,A135,jr_val))</f>
        <v/>
      </c>
      <c r="M135" s="60" t="str">
        <f>IF(A135="","",IF(COUNTIFS(jr_num,A135,jr_check,"&lt;&gt;OK")&gt;0,"À vérifier",IF(LEFT(A135,2)="BL",IF(COUNTIFS(jr_num,A135,jr_rel,"&gt;0")&gt;0,"Reliquat en cours",IF(COUNTIFS(jr_num,A135,jr_gap,"&lt;0")&gt;0,"Reliquat livré","Complet")),IF(LEFT(A135,2)="BR",IF(COUNTIFS(jr_num,A135,jr_etat,"Refusé")&gt;0,"Refusé",IF(COUNTIFS(jr_num,A135,jr_etat,"Avec réserves")&gt;0,"Avec réserves",IF(COUNTIFS(jr_num,A135,jr_rel,"&gt;0")&gt;0,"Reliquat en cours",IF(COUNTIFS(jr_num,A135,jr_gap,"&lt;0")+COUNTIFS(jr_num,A135,jr_gap,"&gt;0")&gt;0,"Écart","Conforme")))),IF(COUNTIFS(jr_num,A135,jr_gap,"&lt;0")&gt;0,"Partiel","Sorti")))))</f>
        <v/>
      </c>
      <c r="O135" t="str">
        <f>IFERROR(MATCH(130,jr_grank,0),"")</f>
        <v/>
      </c>
      <c r="R135" s="67" t="str">
        <f>IFERROR(INDEX(jr_num,MATCH("BL130",jr_nkey,0))&amp;"","")</f>
        <v/>
      </c>
      <c r="S135" s="67" t="str">
        <f>IFERROR(INDEX(jr_num,MATCH("BR130",jr_nkey,0))&amp;"","")</f>
        <v/>
      </c>
      <c r="T135" s="67" t="str">
        <f>IFERROR(INDEX(jr_num,MATCH("BS130",jr_nkey,0))&amp;"","")</f>
        <v/>
      </c>
    </row>
    <row r="136">
      <c r="A136" s="60" t="str">
        <f>IF($O136="","",INDEX(jr_num,$O136)&amp;"")</f>
        <v/>
      </c>
      <c r="B136" s="60" t="str">
        <f>IF($O136="","",IF(INDEX(jr_type,$O136)="BL","Livraison",IF(INDEX(jr_type,$O136)="BR","Réception","Sortie")))</f>
        <v/>
      </c>
      <c r="C136" s="65" t="str">
        <f>IF($O136="","",INDEX(jr_date,$O136))</f>
        <v/>
      </c>
      <c r="D136" s="60" t="str">
        <f>IF($O136="","",INDEX(jr_tiers,$O136)&amp;"")</f>
        <v/>
      </c>
      <c r="E136" s="57" t="str">
        <f>IF($O136="","",INDEX(jr_name,$O136)&amp;"")</f>
        <v/>
      </c>
      <c r="F136" s="57" t="str">
        <f>IF($O136="","",INDEX(jr_order,$O136)&amp;"")</f>
        <v/>
      </c>
      <c r="G136" s="57" t="str">
        <f>IF($O136="","",INDEX(jr_ext,$O136)&amp;"")</f>
        <v/>
      </c>
      <c r="H136" s="57" t="str">
        <f>IF($O136="","",INDEX(jr_carrier,$O136)&amp;"")</f>
        <v/>
      </c>
      <c r="I136" s="66" t="str">
        <f>IF(A136="","",COUNTIF(jr_num,A136))</f>
        <v/>
      </c>
      <c r="J136" s="66" t="str">
        <f>IF(A136="","",SUMIF(jr_num,A136,jr_colis))</f>
        <v/>
      </c>
      <c r="K136" s="63" t="str">
        <f>IF(A136="","",SUMIF(jr_num,A136,jr_kg))</f>
        <v/>
      </c>
      <c r="L136" s="64" t="str">
        <f>IF(A136="","",SUMIF(jr_num,A136,jr_val))</f>
        <v/>
      </c>
      <c r="M136" s="60" t="str">
        <f>IF(A136="","",IF(COUNTIFS(jr_num,A136,jr_check,"&lt;&gt;OK")&gt;0,"À vérifier",IF(LEFT(A136,2)="BL",IF(COUNTIFS(jr_num,A136,jr_rel,"&gt;0")&gt;0,"Reliquat en cours",IF(COUNTIFS(jr_num,A136,jr_gap,"&lt;0")&gt;0,"Reliquat livré","Complet")),IF(LEFT(A136,2)="BR",IF(COUNTIFS(jr_num,A136,jr_etat,"Refusé")&gt;0,"Refusé",IF(COUNTIFS(jr_num,A136,jr_etat,"Avec réserves")&gt;0,"Avec réserves",IF(COUNTIFS(jr_num,A136,jr_rel,"&gt;0")&gt;0,"Reliquat en cours",IF(COUNTIFS(jr_num,A136,jr_gap,"&lt;0")+COUNTIFS(jr_num,A136,jr_gap,"&gt;0")&gt;0,"Écart","Conforme")))),IF(COUNTIFS(jr_num,A136,jr_gap,"&lt;0")&gt;0,"Partiel","Sorti")))))</f>
        <v/>
      </c>
      <c r="O136" t="str">
        <f>IFERROR(MATCH(131,jr_grank,0),"")</f>
        <v/>
      </c>
      <c r="R136" s="67" t="str">
        <f>IFERROR(INDEX(jr_num,MATCH("BL131",jr_nkey,0))&amp;"","")</f>
        <v/>
      </c>
      <c r="S136" s="67" t="str">
        <f>IFERROR(INDEX(jr_num,MATCH("BR131",jr_nkey,0))&amp;"","")</f>
        <v/>
      </c>
      <c r="T136" s="67" t="str">
        <f>IFERROR(INDEX(jr_num,MATCH("BS131",jr_nkey,0))&amp;"","")</f>
        <v/>
      </c>
    </row>
    <row r="137">
      <c r="A137" s="60" t="str">
        <f>IF($O137="","",INDEX(jr_num,$O137)&amp;"")</f>
        <v/>
      </c>
      <c r="B137" s="60" t="str">
        <f>IF($O137="","",IF(INDEX(jr_type,$O137)="BL","Livraison",IF(INDEX(jr_type,$O137)="BR","Réception","Sortie")))</f>
        <v/>
      </c>
      <c r="C137" s="65" t="str">
        <f>IF($O137="","",INDEX(jr_date,$O137))</f>
        <v/>
      </c>
      <c r="D137" s="60" t="str">
        <f>IF($O137="","",INDEX(jr_tiers,$O137)&amp;"")</f>
        <v/>
      </c>
      <c r="E137" s="57" t="str">
        <f>IF($O137="","",INDEX(jr_name,$O137)&amp;"")</f>
        <v/>
      </c>
      <c r="F137" s="57" t="str">
        <f>IF($O137="","",INDEX(jr_order,$O137)&amp;"")</f>
        <v/>
      </c>
      <c r="G137" s="57" t="str">
        <f>IF($O137="","",INDEX(jr_ext,$O137)&amp;"")</f>
        <v/>
      </c>
      <c r="H137" s="57" t="str">
        <f>IF($O137="","",INDEX(jr_carrier,$O137)&amp;"")</f>
        <v/>
      </c>
      <c r="I137" s="66" t="str">
        <f>IF(A137="","",COUNTIF(jr_num,A137))</f>
        <v/>
      </c>
      <c r="J137" s="66" t="str">
        <f>IF(A137="","",SUMIF(jr_num,A137,jr_colis))</f>
        <v/>
      </c>
      <c r="K137" s="63" t="str">
        <f>IF(A137="","",SUMIF(jr_num,A137,jr_kg))</f>
        <v/>
      </c>
      <c r="L137" s="64" t="str">
        <f>IF(A137="","",SUMIF(jr_num,A137,jr_val))</f>
        <v/>
      </c>
      <c r="M137" s="60" t="str">
        <f>IF(A137="","",IF(COUNTIFS(jr_num,A137,jr_check,"&lt;&gt;OK")&gt;0,"À vérifier",IF(LEFT(A137,2)="BL",IF(COUNTIFS(jr_num,A137,jr_rel,"&gt;0")&gt;0,"Reliquat en cours",IF(COUNTIFS(jr_num,A137,jr_gap,"&lt;0")&gt;0,"Reliquat livré","Complet")),IF(LEFT(A137,2)="BR",IF(COUNTIFS(jr_num,A137,jr_etat,"Refusé")&gt;0,"Refusé",IF(COUNTIFS(jr_num,A137,jr_etat,"Avec réserves")&gt;0,"Avec réserves",IF(COUNTIFS(jr_num,A137,jr_rel,"&gt;0")&gt;0,"Reliquat en cours",IF(COUNTIFS(jr_num,A137,jr_gap,"&lt;0")+COUNTIFS(jr_num,A137,jr_gap,"&gt;0")&gt;0,"Écart","Conforme")))),IF(COUNTIFS(jr_num,A137,jr_gap,"&lt;0")&gt;0,"Partiel","Sorti")))))</f>
        <v/>
      </c>
      <c r="O137" t="str">
        <f>IFERROR(MATCH(132,jr_grank,0),"")</f>
        <v/>
      </c>
      <c r="R137" s="67" t="str">
        <f>IFERROR(INDEX(jr_num,MATCH("BL132",jr_nkey,0))&amp;"","")</f>
        <v/>
      </c>
      <c r="S137" s="67" t="str">
        <f>IFERROR(INDEX(jr_num,MATCH("BR132",jr_nkey,0))&amp;"","")</f>
        <v/>
      </c>
      <c r="T137" s="67" t="str">
        <f>IFERROR(INDEX(jr_num,MATCH("BS132",jr_nkey,0))&amp;"","")</f>
        <v/>
      </c>
    </row>
    <row r="138">
      <c r="A138" s="60" t="str">
        <f>IF($O138="","",INDEX(jr_num,$O138)&amp;"")</f>
        <v/>
      </c>
      <c r="B138" s="60" t="str">
        <f>IF($O138="","",IF(INDEX(jr_type,$O138)="BL","Livraison",IF(INDEX(jr_type,$O138)="BR","Réception","Sortie")))</f>
        <v/>
      </c>
      <c r="C138" s="65" t="str">
        <f>IF($O138="","",INDEX(jr_date,$O138))</f>
        <v/>
      </c>
      <c r="D138" s="60" t="str">
        <f>IF($O138="","",INDEX(jr_tiers,$O138)&amp;"")</f>
        <v/>
      </c>
      <c r="E138" s="57" t="str">
        <f>IF($O138="","",INDEX(jr_name,$O138)&amp;"")</f>
        <v/>
      </c>
      <c r="F138" s="57" t="str">
        <f>IF($O138="","",INDEX(jr_order,$O138)&amp;"")</f>
        <v/>
      </c>
      <c r="G138" s="57" t="str">
        <f>IF($O138="","",INDEX(jr_ext,$O138)&amp;"")</f>
        <v/>
      </c>
      <c r="H138" s="57" t="str">
        <f>IF($O138="","",INDEX(jr_carrier,$O138)&amp;"")</f>
        <v/>
      </c>
      <c r="I138" s="66" t="str">
        <f>IF(A138="","",COUNTIF(jr_num,A138))</f>
        <v/>
      </c>
      <c r="J138" s="66" t="str">
        <f>IF(A138="","",SUMIF(jr_num,A138,jr_colis))</f>
        <v/>
      </c>
      <c r="K138" s="63" t="str">
        <f>IF(A138="","",SUMIF(jr_num,A138,jr_kg))</f>
        <v/>
      </c>
      <c r="L138" s="64" t="str">
        <f>IF(A138="","",SUMIF(jr_num,A138,jr_val))</f>
        <v/>
      </c>
      <c r="M138" s="60" t="str">
        <f>IF(A138="","",IF(COUNTIFS(jr_num,A138,jr_check,"&lt;&gt;OK")&gt;0,"À vérifier",IF(LEFT(A138,2)="BL",IF(COUNTIFS(jr_num,A138,jr_rel,"&gt;0")&gt;0,"Reliquat en cours",IF(COUNTIFS(jr_num,A138,jr_gap,"&lt;0")&gt;0,"Reliquat livré","Complet")),IF(LEFT(A138,2)="BR",IF(COUNTIFS(jr_num,A138,jr_etat,"Refusé")&gt;0,"Refusé",IF(COUNTIFS(jr_num,A138,jr_etat,"Avec réserves")&gt;0,"Avec réserves",IF(COUNTIFS(jr_num,A138,jr_rel,"&gt;0")&gt;0,"Reliquat en cours",IF(COUNTIFS(jr_num,A138,jr_gap,"&lt;0")+COUNTIFS(jr_num,A138,jr_gap,"&gt;0")&gt;0,"Écart","Conforme")))),IF(COUNTIFS(jr_num,A138,jr_gap,"&lt;0")&gt;0,"Partiel","Sorti")))))</f>
        <v/>
      </c>
      <c r="O138" t="str">
        <f>IFERROR(MATCH(133,jr_grank,0),"")</f>
        <v/>
      </c>
      <c r="R138" s="67" t="str">
        <f>IFERROR(INDEX(jr_num,MATCH("BL133",jr_nkey,0))&amp;"","")</f>
        <v/>
      </c>
      <c r="S138" s="67" t="str">
        <f>IFERROR(INDEX(jr_num,MATCH("BR133",jr_nkey,0))&amp;"","")</f>
        <v/>
      </c>
      <c r="T138" s="67" t="str">
        <f>IFERROR(INDEX(jr_num,MATCH("BS133",jr_nkey,0))&amp;"","")</f>
        <v/>
      </c>
    </row>
    <row r="139">
      <c r="A139" s="60" t="str">
        <f>IF($O139="","",INDEX(jr_num,$O139)&amp;"")</f>
        <v/>
      </c>
      <c r="B139" s="60" t="str">
        <f>IF($O139="","",IF(INDEX(jr_type,$O139)="BL","Livraison",IF(INDEX(jr_type,$O139)="BR","Réception","Sortie")))</f>
        <v/>
      </c>
      <c r="C139" s="65" t="str">
        <f>IF($O139="","",INDEX(jr_date,$O139))</f>
        <v/>
      </c>
      <c r="D139" s="60" t="str">
        <f>IF($O139="","",INDEX(jr_tiers,$O139)&amp;"")</f>
        <v/>
      </c>
      <c r="E139" s="57" t="str">
        <f>IF($O139="","",INDEX(jr_name,$O139)&amp;"")</f>
        <v/>
      </c>
      <c r="F139" s="57" t="str">
        <f>IF($O139="","",INDEX(jr_order,$O139)&amp;"")</f>
        <v/>
      </c>
      <c r="G139" s="57" t="str">
        <f>IF($O139="","",INDEX(jr_ext,$O139)&amp;"")</f>
        <v/>
      </c>
      <c r="H139" s="57" t="str">
        <f>IF($O139="","",INDEX(jr_carrier,$O139)&amp;"")</f>
        <v/>
      </c>
      <c r="I139" s="66" t="str">
        <f>IF(A139="","",COUNTIF(jr_num,A139))</f>
        <v/>
      </c>
      <c r="J139" s="66" t="str">
        <f>IF(A139="","",SUMIF(jr_num,A139,jr_colis))</f>
        <v/>
      </c>
      <c r="K139" s="63" t="str">
        <f>IF(A139="","",SUMIF(jr_num,A139,jr_kg))</f>
        <v/>
      </c>
      <c r="L139" s="64" t="str">
        <f>IF(A139="","",SUMIF(jr_num,A139,jr_val))</f>
        <v/>
      </c>
      <c r="M139" s="60" t="str">
        <f>IF(A139="","",IF(COUNTIFS(jr_num,A139,jr_check,"&lt;&gt;OK")&gt;0,"À vérifier",IF(LEFT(A139,2)="BL",IF(COUNTIFS(jr_num,A139,jr_rel,"&gt;0")&gt;0,"Reliquat en cours",IF(COUNTIFS(jr_num,A139,jr_gap,"&lt;0")&gt;0,"Reliquat livré","Complet")),IF(LEFT(A139,2)="BR",IF(COUNTIFS(jr_num,A139,jr_etat,"Refusé")&gt;0,"Refusé",IF(COUNTIFS(jr_num,A139,jr_etat,"Avec réserves")&gt;0,"Avec réserves",IF(COUNTIFS(jr_num,A139,jr_rel,"&gt;0")&gt;0,"Reliquat en cours",IF(COUNTIFS(jr_num,A139,jr_gap,"&lt;0")+COUNTIFS(jr_num,A139,jr_gap,"&gt;0")&gt;0,"Écart","Conforme")))),IF(COUNTIFS(jr_num,A139,jr_gap,"&lt;0")&gt;0,"Partiel","Sorti")))))</f>
        <v/>
      </c>
      <c r="O139" t="str">
        <f>IFERROR(MATCH(134,jr_grank,0),"")</f>
        <v/>
      </c>
      <c r="R139" s="67" t="str">
        <f>IFERROR(INDEX(jr_num,MATCH("BL134",jr_nkey,0))&amp;"","")</f>
        <v/>
      </c>
      <c r="S139" s="67" t="str">
        <f>IFERROR(INDEX(jr_num,MATCH("BR134",jr_nkey,0))&amp;"","")</f>
        <v/>
      </c>
      <c r="T139" s="67" t="str">
        <f>IFERROR(INDEX(jr_num,MATCH("BS134",jr_nkey,0))&amp;"","")</f>
        <v/>
      </c>
    </row>
    <row r="140">
      <c r="A140" s="60" t="str">
        <f>IF($O140="","",INDEX(jr_num,$O140)&amp;"")</f>
        <v/>
      </c>
      <c r="B140" s="60" t="str">
        <f>IF($O140="","",IF(INDEX(jr_type,$O140)="BL","Livraison",IF(INDEX(jr_type,$O140)="BR","Réception","Sortie")))</f>
        <v/>
      </c>
      <c r="C140" s="65" t="str">
        <f>IF($O140="","",INDEX(jr_date,$O140))</f>
        <v/>
      </c>
      <c r="D140" s="60" t="str">
        <f>IF($O140="","",INDEX(jr_tiers,$O140)&amp;"")</f>
        <v/>
      </c>
      <c r="E140" s="57" t="str">
        <f>IF($O140="","",INDEX(jr_name,$O140)&amp;"")</f>
        <v/>
      </c>
      <c r="F140" s="57" t="str">
        <f>IF($O140="","",INDEX(jr_order,$O140)&amp;"")</f>
        <v/>
      </c>
      <c r="G140" s="57" t="str">
        <f>IF($O140="","",INDEX(jr_ext,$O140)&amp;"")</f>
        <v/>
      </c>
      <c r="H140" s="57" t="str">
        <f>IF($O140="","",INDEX(jr_carrier,$O140)&amp;"")</f>
        <v/>
      </c>
      <c r="I140" s="66" t="str">
        <f>IF(A140="","",COUNTIF(jr_num,A140))</f>
        <v/>
      </c>
      <c r="J140" s="66" t="str">
        <f>IF(A140="","",SUMIF(jr_num,A140,jr_colis))</f>
        <v/>
      </c>
      <c r="K140" s="63" t="str">
        <f>IF(A140="","",SUMIF(jr_num,A140,jr_kg))</f>
        <v/>
      </c>
      <c r="L140" s="64" t="str">
        <f>IF(A140="","",SUMIF(jr_num,A140,jr_val))</f>
        <v/>
      </c>
      <c r="M140" s="60" t="str">
        <f>IF(A140="","",IF(COUNTIFS(jr_num,A140,jr_check,"&lt;&gt;OK")&gt;0,"À vérifier",IF(LEFT(A140,2)="BL",IF(COUNTIFS(jr_num,A140,jr_rel,"&gt;0")&gt;0,"Reliquat en cours",IF(COUNTIFS(jr_num,A140,jr_gap,"&lt;0")&gt;0,"Reliquat livré","Complet")),IF(LEFT(A140,2)="BR",IF(COUNTIFS(jr_num,A140,jr_etat,"Refusé")&gt;0,"Refusé",IF(COUNTIFS(jr_num,A140,jr_etat,"Avec réserves")&gt;0,"Avec réserves",IF(COUNTIFS(jr_num,A140,jr_rel,"&gt;0")&gt;0,"Reliquat en cours",IF(COUNTIFS(jr_num,A140,jr_gap,"&lt;0")+COUNTIFS(jr_num,A140,jr_gap,"&gt;0")&gt;0,"Écart","Conforme")))),IF(COUNTIFS(jr_num,A140,jr_gap,"&lt;0")&gt;0,"Partiel","Sorti")))))</f>
        <v/>
      </c>
      <c r="O140" t="str">
        <f>IFERROR(MATCH(135,jr_grank,0),"")</f>
        <v/>
      </c>
      <c r="R140" s="67" t="str">
        <f>IFERROR(INDEX(jr_num,MATCH("BL135",jr_nkey,0))&amp;"","")</f>
        <v/>
      </c>
      <c r="S140" s="67" t="str">
        <f>IFERROR(INDEX(jr_num,MATCH("BR135",jr_nkey,0))&amp;"","")</f>
        <v/>
      </c>
      <c r="T140" s="67" t="str">
        <f>IFERROR(INDEX(jr_num,MATCH("BS135",jr_nkey,0))&amp;"","")</f>
        <v/>
      </c>
    </row>
    <row r="141">
      <c r="A141" s="60" t="str">
        <f>IF($O141="","",INDEX(jr_num,$O141)&amp;"")</f>
        <v/>
      </c>
      <c r="B141" s="60" t="str">
        <f>IF($O141="","",IF(INDEX(jr_type,$O141)="BL","Livraison",IF(INDEX(jr_type,$O141)="BR","Réception","Sortie")))</f>
        <v/>
      </c>
      <c r="C141" s="65" t="str">
        <f>IF($O141="","",INDEX(jr_date,$O141))</f>
        <v/>
      </c>
      <c r="D141" s="60" t="str">
        <f>IF($O141="","",INDEX(jr_tiers,$O141)&amp;"")</f>
        <v/>
      </c>
      <c r="E141" s="57" t="str">
        <f>IF($O141="","",INDEX(jr_name,$O141)&amp;"")</f>
        <v/>
      </c>
      <c r="F141" s="57" t="str">
        <f>IF($O141="","",INDEX(jr_order,$O141)&amp;"")</f>
        <v/>
      </c>
      <c r="G141" s="57" t="str">
        <f>IF($O141="","",INDEX(jr_ext,$O141)&amp;"")</f>
        <v/>
      </c>
      <c r="H141" s="57" t="str">
        <f>IF($O141="","",INDEX(jr_carrier,$O141)&amp;"")</f>
        <v/>
      </c>
      <c r="I141" s="66" t="str">
        <f>IF(A141="","",COUNTIF(jr_num,A141))</f>
        <v/>
      </c>
      <c r="J141" s="66" t="str">
        <f>IF(A141="","",SUMIF(jr_num,A141,jr_colis))</f>
        <v/>
      </c>
      <c r="K141" s="63" t="str">
        <f>IF(A141="","",SUMIF(jr_num,A141,jr_kg))</f>
        <v/>
      </c>
      <c r="L141" s="64" t="str">
        <f>IF(A141="","",SUMIF(jr_num,A141,jr_val))</f>
        <v/>
      </c>
      <c r="M141" s="60" t="str">
        <f>IF(A141="","",IF(COUNTIFS(jr_num,A141,jr_check,"&lt;&gt;OK")&gt;0,"À vérifier",IF(LEFT(A141,2)="BL",IF(COUNTIFS(jr_num,A141,jr_rel,"&gt;0")&gt;0,"Reliquat en cours",IF(COUNTIFS(jr_num,A141,jr_gap,"&lt;0")&gt;0,"Reliquat livré","Complet")),IF(LEFT(A141,2)="BR",IF(COUNTIFS(jr_num,A141,jr_etat,"Refusé")&gt;0,"Refusé",IF(COUNTIFS(jr_num,A141,jr_etat,"Avec réserves")&gt;0,"Avec réserves",IF(COUNTIFS(jr_num,A141,jr_rel,"&gt;0")&gt;0,"Reliquat en cours",IF(COUNTIFS(jr_num,A141,jr_gap,"&lt;0")+COUNTIFS(jr_num,A141,jr_gap,"&gt;0")&gt;0,"Écart","Conforme")))),IF(COUNTIFS(jr_num,A141,jr_gap,"&lt;0")&gt;0,"Partiel","Sorti")))))</f>
        <v/>
      </c>
      <c r="O141" t="str">
        <f>IFERROR(MATCH(136,jr_grank,0),"")</f>
        <v/>
      </c>
      <c r="R141" s="67" t="str">
        <f>IFERROR(INDEX(jr_num,MATCH("BL136",jr_nkey,0))&amp;"","")</f>
        <v/>
      </c>
      <c r="S141" s="67" t="str">
        <f>IFERROR(INDEX(jr_num,MATCH("BR136",jr_nkey,0))&amp;"","")</f>
        <v/>
      </c>
      <c r="T141" s="67" t="str">
        <f>IFERROR(INDEX(jr_num,MATCH("BS136",jr_nkey,0))&amp;"","")</f>
        <v/>
      </c>
    </row>
    <row r="142">
      <c r="A142" s="60" t="str">
        <f>IF($O142="","",INDEX(jr_num,$O142)&amp;"")</f>
        <v/>
      </c>
      <c r="B142" s="60" t="str">
        <f>IF($O142="","",IF(INDEX(jr_type,$O142)="BL","Livraison",IF(INDEX(jr_type,$O142)="BR","Réception","Sortie")))</f>
        <v/>
      </c>
      <c r="C142" s="65" t="str">
        <f>IF($O142="","",INDEX(jr_date,$O142))</f>
        <v/>
      </c>
      <c r="D142" s="60" t="str">
        <f>IF($O142="","",INDEX(jr_tiers,$O142)&amp;"")</f>
        <v/>
      </c>
      <c r="E142" s="57" t="str">
        <f>IF($O142="","",INDEX(jr_name,$O142)&amp;"")</f>
        <v/>
      </c>
      <c r="F142" s="57" t="str">
        <f>IF($O142="","",INDEX(jr_order,$O142)&amp;"")</f>
        <v/>
      </c>
      <c r="G142" s="57" t="str">
        <f>IF($O142="","",INDEX(jr_ext,$O142)&amp;"")</f>
        <v/>
      </c>
      <c r="H142" s="57" t="str">
        <f>IF($O142="","",INDEX(jr_carrier,$O142)&amp;"")</f>
        <v/>
      </c>
      <c r="I142" s="66" t="str">
        <f>IF(A142="","",COUNTIF(jr_num,A142))</f>
        <v/>
      </c>
      <c r="J142" s="66" t="str">
        <f>IF(A142="","",SUMIF(jr_num,A142,jr_colis))</f>
        <v/>
      </c>
      <c r="K142" s="63" t="str">
        <f>IF(A142="","",SUMIF(jr_num,A142,jr_kg))</f>
        <v/>
      </c>
      <c r="L142" s="64" t="str">
        <f>IF(A142="","",SUMIF(jr_num,A142,jr_val))</f>
        <v/>
      </c>
      <c r="M142" s="60" t="str">
        <f>IF(A142="","",IF(COUNTIFS(jr_num,A142,jr_check,"&lt;&gt;OK")&gt;0,"À vérifier",IF(LEFT(A142,2)="BL",IF(COUNTIFS(jr_num,A142,jr_rel,"&gt;0")&gt;0,"Reliquat en cours",IF(COUNTIFS(jr_num,A142,jr_gap,"&lt;0")&gt;0,"Reliquat livré","Complet")),IF(LEFT(A142,2)="BR",IF(COUNTIFS(jr_num,A142,jr_etat,"Refusé")&gt;0,"Refusé",IF(COUNTIFS(jr_num,A142,jr_etat,"Avec réserves")&gt;0,"Avec réserves",IF(COUNTIFS(jr_num,A142,jr_rel,"&gt;0")&gt;0,"Reliquat en cours",IF(COUNTIFS(jr_num,A142,jr_gap,"&lt;0")+COUNTIFS(jr_num,A142,jr_gap,"&gt;0")&gt;0,"Écart","Conforme")))),IF(COUNTIFS(jr_num,A142,jr_gap,"&lt;0")&gt;0,"Partiel","Sorti")))))</f>
        <v/>
      </c>
      <c r="O142" t="str">
        <f>IFERROR(MATCH(137,jr_grank,0),"")</f>
        <v/>
      </c>
      <c r="R142" s="67" t="str">
        <f>IFERROR(INDEX(jr_num,MATCH("BL137",jr_nkey,0))&amp;"","")</f>
        <v/>
      </c>
      <c r="S142" s="67" t="str">
        <f>IFERROR(INDEX(jr_num,MATCH("BR137",jr_nkey,0))&amp;"","")</f>
        <v/>
      </c>
      <c r="T142" s="67" t="str">
        <f>IFERROR(INDEX(jr_num,MATCH("BS137",jr_nkey,0))&amp;"","")</f>
        <v/>
      </c>
    </row>
    <row r="143">
      <c r="A143" s="60" t="str">
        <f>IF($O143="","",INDEX(jr_num,$O143)&amp;"")</f>
        <v/>
      </c>
      <c r="B143" s="60" t="str">
        <f>IF($O143="","",IF(INDEX(jr_type,$O143)="BL","Livraison",IF(INDEX(jr_type,$O143)="BR","Réception","Sortie")))</f>
        <v/>
      </c>
      <c r="C143" s="65" t="str">
        <f>IF($O143="","",INDEX(jr_date,$O143))</f>
        <v/>
      </c>
      <c r="D143" s="60" t="str">
        <f>IF($O143="","",INDEX(jr_tiers,$O143)&amp;"")</f>
        <v/>
      </c>
      <c r="E143" s="57" t="str">
        <f>IF($O143="","",INDEX(jr_name,$O143)&amp;"")</f>
        <v/>
      </c>
      <c r="F143" s="57" t="str">
        <f>IF($O143="","",INDEX(jr_order,$O143)&amp;"")</f>
        <v/>
      </c>
      <c r="G143" s="57" t="str">
        <f>IF($O143="","",INDEX(jr_ext,$O143)&amp;"")</f>
        <v/>
      </c>
      <c r="H143" s="57" t="str">
        <f>IF($O143="","",INDEX(jr_carrier,$O143)&amp;"")</f>
        <v/>
      </c>
      <c r="I143" s="66" t="str">
        <f>IF(A143="","",COUNTIF(jr_num,A143))</f>
        <v/>
      </c>
      <c r="J143" s="66" t="str">
        <f>IF(A143="","",SUMIF(jr_num,A143,jr_colis))</f>
        <v/>
      </c>
      <c r="K143" s="63" t="str">
        <f>IF(A143="","",SUMIF(jr_num,A143,jr_kg))</f>
        <v/>
      </c>
      <c r="L143" s="64" t="str">
        <f>IF(A143="","",SUMIF(jr_num,A143,jr_val))</f>
        <v/>
      </c>
      <c r="M143" s="60" t="str">
        <f>IF(A143="","",IF(COUNTIFS(jr_num,A143,jr_check,"&lt;&gt;OK")&gt;0,"À vérifier",IF(LEFT(A143,2)="BL",IF(COUNTIFS(jr_num,A143,jr_rel,"&gt;0")&gt;0,"Reliquat en cours",IF(COUNTIFS(jr_num,A143,jr_gap,"&lt;0")&gt;0,"Reliquat livré","Complet")),IF(LEFT(A143,2)="BR",IF(COUNTIFS(jr_num,A143,jr_etat,"Refusé")&gt;0,"Refusé",IF(COUNTIFS(jr_num,A143,jr_etat,"Avec réserves")&gt;0,"Avec réserves",IF(COUNTIFS(jr_num,A143,jr_rel,"&gt;0")&gt;0,"Reliquat en cours",IF(COUNTIFS(jr_num,A143,jr_gap,"&lt;0")+COUNTIFS(jr_num,A143,jr_gap,"&gt;0")&gt;0,"Écart","Conforme")))),IF(COUNTIFS(jr_num,A143,jr_gap,"&lt;0")&gt;0,"Partiel","Sorti")))))</f>
        <v/>
      </c>
      <c r="O143" t="str">
        <f>IFERROR(MATCH(138,jr_grank,0),"")</f>
        <v/>
      </c>
      <c r="R143" s="67" t="str">
        <f>IFERROR(INDEX(jr_num,MATCH("BL138",jr_nkey,0))&amp;"","")</f>
        <v/>
      </c>
      <c r="S143" s="67" t="str">
        <f>IFERROR(INDEX(jr_num,MATCH("BR138",jr_nkey,0))&amp;"","")</f>
        <v/>
      </c>
      <c r="T143" s="67" t="str">
        <f>IFERROR(INDEX(jr_num,MATCH("BS138",jr_nkey,0))&amp;"","")</f>
        <v/>
      </c>
    </row>
    <row r="144">
      <c r="A144" s="60" t="str">
        <f>IF($O144="","",INDEX(jr_num,$O144)&amp;"")</f>
        <v/>
      </c>
      <c r="B144" s="60" t="str">
        <f>IF($O144="","",IF(INDEX(jr_type,$O144)="BL","Livraison",IF(INDEX(jr_type,$O144)="BR","Réception","Sortie")))</f>
        <v/>
      </c>
      <c r="C144" s="65" t="str">
        <f>IF($O144="","",INDEX(jr_date,$O144))</f>
        <v/>
      </c>
      <c r="D144" s="60" t="str">
        <f>IF($O144="","",INDEX(jr_tiers,$O144)&amp;"")</f>
        <v/>
      </c>
      <c r="E144" s="57" t="str">
        <f>IF($O144="","",INDEX(jr_name,$O144)&amp;"")</f>
        <v/>
      </c>
      <c r="F144" s="57" t="str">
        <f>IF($O144="","",INDEX(jr_order,$O144)&amp;"")</f>
        <v/>
      </c>
      <c r="G144" s="57" t="str">
        <f>IF($O144="","",INDEX(jr_ext,$O144)&amp;"")</f>
        <v/>
      </c>
      <c r="H144" s="57" t="str">
        <f>IF($O144="","",INDEX(jr_carrier,$O144)&amp;"")</f>
        <v/>
      </c>
      <c r="I144" s="66" t="str">
        <f>IF(A144="","",COUNTIF(jr_num,A144))</f>
        <v/>
      </c>
      <c r="J144" s="66" t="str">
        <f>IF(A144="","",SUMIF(jr_num,A144,jr_colis))</f>
        <v/>
      </c>
      <c r="K144" s="63" t="str">
        <f>IF(A144="","",SUMIF(jr_num,A144,jr_kg))</f>
        <v/>
      </c>
      <c r="L144" s="64" t="str">
        <f>IF(A144="","",SUMIF(jr_num,A144,jr_val))</f>
        <v/>
      </c>
      <c r="M144" s="60" t="str">
        <f>IF(A144="","",IF(COUNTIFS(jr_num,A144,jr_check,"&lt;&gt;OK")&gt;0,"À vérifier",IF(LEFT(A144,2)="BL",IF(COUNTIFS(jr_num,A144,jr_rel,"&gt;0")&gt;0,"Reliquat en cours",IF(COUNTIFS(jr_num,A144,jr_gap,"&lt;0")&gt;0,"Reliquat livré","Complet")),IF(LEFT(A144,2)="BR",IF(COUNTIFS(jr_num,A144,jr_etat,"Refusé")&gt;0,"Refusé",IF(COUNTIFS(jr_num,A144,jr_etat,"Avec réserves")&gt;0,"Avec réserves",IF(COUNTIFS(jr_num,A144,jr_rel,"&gt;0")&gt;0,"Reliquat en cours",IF(COUNTIFS(jr_num,A144,jr_gap,"&lt;0")+COUNTIFS(jr_num,A144,jr_gap,"&gt;0")&gt;0,"Écart","Conforme")))),IF(COUNTIFS(jr_num,A144,jr_gap,"&lt;0")&gt;0,"Partiel","Sorti")))))</f>
        <v/>
      </c>
      <c r="O144" t="str">
        <f>IFERROR(MATCH(139,jr_grank,0),"")</f>
        <v/>
      </c>
      <c r="R144" s="67" t="str">
        <f>IFERROR(INDEX(jr_num,MATCH("BL139",jr_nkey,0))&amp;"","")</f>
        <v/>
      </c>
      <c r="S144" s="67" t="str">
        <f>IFERROR(INDEX(jr_num,MATCH("BR139",jr_nkey,0))&amp;"","")</f>
        <v/>
      </c>
      <c r="T144" s="67" t="str">
        <f>IFERROR(INDEX(jr_num,MATCH("BS139",jr_nkey,0))&amp;"","")</f>
        <v/>
      </c>
    </row>
    <row r="145">
      <c r="A145" s="60" t="str">
        <f>IF($O145="","",INDEX(jr_num,$O145)&amp;"")</f>
        <v/>
      </c>
      <c r="B145" s="60" t="str">
        <f>IF($O145="","",IF(INDEX(jr_type,$O145)="BL","Livraison",IF(INDEX(jr_type,$O145)="BR","Réception","Sortie")))</f>
        <v/>
      </c>
      <c r="C145" s="65" t="str">
        <f>IF($O145="","",INDEX(jr_date,$O145))</f>
        <v/>
      </c>
      <c r="D145" s="60" t="str">
        <f>IF($O145="","",INDEX(jr_tiers,$O145)&amp;"")</f>
        <v/>
      </c>
      <c r="E145" s="57" t="str">
        <f>IF($O145="","",INDEX(jr_name,$O145)&amp;"")</f>
        <v/>
      </c>
      <c r="F145" s="57" t="str">
        <f>IF($O145="","",INDEX(jr_order,$O145)&amp;"")</f>
        <v/>
      </c>
      <c r="G145" s="57" t="str">
        <f>IF($O145="","",INDEX(jr_ext,$O145)&amp;"")</f>
        <v/>
      </c>
      <c r="H145" s="57" t="str">
        <f>IF($O145="","",INDEX(jr_carrier,$O145)&amp;"")</f>
        <v/>
      </c>
      <c r="I145" s="66" t="str">
        <f>IF(A145="","",COUNTIF(jr_num,A145))</f>
        <v/>
      </c>
      <c r="J145" s="66" t="str">
        <f>IF(A145="","",SUMIF(jr_num,A145,jr_colis))</f>
        <v/>
      </c>
      <c r="K145" s="63" t="str">
        <f>IF(A145="","",SUMIF(jr_num,A145,jr_kg))</f>
        <v/>
      </c>
      <c r="L145" s="64" t="str">
        <f>IF(A145="","",SUMIF(jr_num,A145,jr_val))</f>
        <v/>
      </c>
      <c r="M145" s="60" t="str">
        <f>IF(A145="","",IF(COUNTIFS(jr_num,A145,jr_check,"&lt;&gt;OK")&gt;0,"À vérifier",IF(LEFT(A145,2)="BL",IF(COUNTIFS(jr_num,A145,jr_rel,"&gt;0")&gt;0,"Reliquat en cours",IF(COUNTIFS(jr_num,A145,jr_gap,"&lt;0")&gt;0,"Reliquat livré","Complet")),IF(LEFT(A145,2)="BR",IF(COUNTIFS(jr_num,A145,jr_etat,"Refusé")&gt;0,"Refusé",IF(COUNTIFS(jr_num,A145,jr_etat,"Avec réserves")&gt;0,"Avec réserves",IF(COUNTIFS(jr_num,A145,jr_rel,"&gt;0")&gt;0,"Reliquat en cours",IF(COUNTIFS(jr_num,A145,jr_gap,"&lt;0")+COUNTIFS(jr_num,A145,jr_gap,"&gt;0")&gt;0,"Écart","Conforme")))),IF(COUNTIFS(jr_num,A145,jr_gap,"&lt;0")&gt;0,"Partiel","Sorti")))))</f>
        <v/>
      </c>
      <c r="O145" t="str">
        <f>IFERROR(MATCH(140,jr_grank,0),"")</f>
        <v/>
      </c>
      <c r="R145" s="67" t="str">
        <f>IFERROR(INDEX(jr_num,MATCH("BL140",jr_nkey,0))&amp;"","")</f>
        <v/>
      </c>
      <c r="S145" s="67" t="str">
        <f>IFERROR(INDEX(jr_num,MATCH("BR140",jr_nkey,0))&amp;"","")</f>
        <v/>
      </c>
      <c r="T145" s="67" t="str">
        <f>IFERROR(INDEX(jr_num,MATCH("BS140",jr_nkey,0))&amp;"","")</f>
        <v/>
      </c>
    </row>
    <row r="146">
      <c r="A146" s="60" t="str">
        <f>IF($O146="","",INDEX(jr_num,$O146)&amp;"")</f>
        <v/>
      </c>
      <c r="B146" s="60" t="str">
        <f>IF($O146="","",IF(INDEX(jr_type,$O146)="BL","Livraison",IF(INDEX(jr_type,$O146)="BR","Réception","Sortie")))</f>
        <v/>
      </c>
      <c r="C146" s="65" t="str">
        <f>IF($O146="","",INDEX(jr_date,$O146))</f>
        <v/>
      </c>
      <c r="D146" s="60" t="str">
        <f>IF($O146="","",INDEX(jr_tiers,$O146)&amp;"")</f>
        <v/>
      </c>
      <c r="E146" s="57" t="str">
        <f>IF($O146="","",INDEX(jr_name,$O146)&amp;"")</f>
        <v/>
      </c>
      <c r="F146" s="57" t="str">
        <f>IF($O146="","",INDEX(jr_order,$O146)&amp;"")</f>
        <v/>
      </c>
      <c r="G146" s="57" t="str">
        <f>IF($O146="","",INDEX(jr_ext,$O146)&amp;"")</f>
        <v/>
      </c>
      <c r="H146" s="57" t="str">
        <f>IF($O146="","",INDEX(jr_carrier,$O146)&amp;"")</f>
        <v/>
      </c>
      <c r="I146" s="66" t="str">
        <f>IF(A146="","",COUNTIF(jr_num,A146))</f>
        <v/>
      </c>
      <c r="J146" s="66" t="str">
        <f>IF(A146="","",SUMIF(jr_num,A146,jr_colis))</f>
        <v/>
      </c>
      <c r="K146" s="63" t="str">
        <f>IF(A146="","",SUMIF(jr_num,A146,jr_kg))</f>
        <v/>
      </c>
      <c r="L146" s="64" t="str">
        <f>IF(A146="","",SUMIF(jr_num,A146,jr_val))</f>
        <v/>
      </c>
      <c r="M146" s="60" t="str">
        <f>IF(A146="","",IF(COUNTIFS(jr_num,A146,jr_check,"&lt;&gt;OK")&gt;0,"À vérifier",IF(LEFT(A146,2)="BL",IF(COUNTIFS(jr_num,A146,jr_rel,"&gt;0")&gt;0,"Reliquat en cours",IF(COUNTIFS(jr_num,A146,jr_gap,"&lt;0")&gt;0,"Reliquat livré","Complet")),IF(LEFT(A146,2)="BR",IF(COUNTIFS(jr_num,A146,jr_etat,"Refusé")&gt;0,"Refusé",IF(COUNTIFS(jr_num,A146,jr_etat,"Avec réserves")&gt;0,"Avec réserves",IF(COUNTIFS(jr_num,A146,jr_rel,"&gt;0")&gt;0,"Reliquat en cours",IF(COUNTIFS(jr_num,A146,jr_gap,"&lt;0")+COUNTIFS(jr_num,A146,jr_gap,"&gt;0")&gt;0,"Écart","Conforme")))),IF(COUNTIFS(jr_num,A146,jr_gap,"&lt;0")&gt;0,"Partiel","Sorti")))))</f>
        <v/>
      </c>
      <c r="O146" t="str">
        <f>IFERROR(MATCH(141,jr_grank,0),"")</f>
        <v/>
      </c>
      <c r="R146" s="67" t="str">
        <f>IFERROR(INDEX(jr_num,MATCH("BL141",jr_nkey,0))&amp;"","")</f>
        <v/>
      </c>
      <c r="S146" s="67" t="str">
        <f>IFERROR(INDEX(jr_num,MATCH("BR141",jr_nkey,0))&amp;"","")</f>
        <v/>
      </c>
      <c r="T146" s="67" t="str">
        <f>IFERROR(INDEX(jr_num,MATCH("BS141",jr_nkey,0))&amp;"","")</f>
        <v/>
      </c>
    </row>
    <row r="147">
      <c r="A147" s="60" t="str">
        <f>IF($O147="","",INDEX(jr_num,$O147)&amp;"")</f>
        <v/>
      </c>
      <c r="B147" s="60" t="str">
        <f>IF($O147="","",IF(INDEX(jr_type,$O147)="BL","Livraison",IF(INDEX(jr_type,$O147)="BR","Réception","Sortie")))</f>
        <v/>
      </c>
      <c r="C147" s="65" t="str">
        <f>IF($O147="","",INDEX(jr_date,$O147))</f>
        <v/>
      </c>
      <c r="D147" s="60" t="str">
        <f>IF($O147="","",INDEX(jr_tiers,$O147)&amp;"")</f>
        <v/>
      </c>
      <c r="E147" s="57" t="str">
        <f>IF($O147="","",INDEX(jr_name,$O147)&amp;"")</f>
        <v/>
      </c>
      <c r="F147" s="57" t="str">
        <f>IF($O147="","",INDEX(jr_order,$O147)&amp;"")</f>
        <v/>
      </c>
      <c r="G147" s="57" t="str">
        <f>IF($O147="","",INDEX(jr_ext,$O147)&amp;"")</f>
        <v/>
      </c>
      <c r="H147" s="57" t="str">
        <f>IF($O147="","",INDEX(jr_carrier,$O147)&amp;"")</f>
        <v/>
      </c>
      <c r="I147" s="66" t="str">
        <f>IF(A147="","",COUNTIF(jr_num,A147))</f>
        <v/>
      </c>
      <c r="J147" s="66" t="str">
        <f>IF(A147="","",SUMIF(jr_num,A147,jr_colis))</f>
        <v/>
      </c>
      <c r="K147" s="63" t="str">
        <f>IF(A147="","",SUMIF(jr_num,A147,jr_kg))</f>
        <v/>
      </c>
      <c r="L147" s="64" t="str">
        <f>IF(A147="","",SUMIF(jr_num,A147,jr_val))</f>
        <v/>
      </c>
      <c r="M147" s="60" t="str">
        <f>IF(A147="","",IF(COUNTIFS(jr_num,A147,jr_check,"&lt;&gt;OK")&gt;0,"À vérifier",IF(LEFT(A147,2)="BL",IF(COUNTIFS(jr_num,A147,jr_rel,"&gt;0")&gt;0,"Reliquat en cours",IF(COUNTIFS(jr_num,A147,jr_gap,"&lt;0")&gt;0,"Reliquat livré","Complet")),IF(LEFT(A147,2)="BR",IF(COUNTIFS(jr_num,A147,jr_etat,"Refusé")&gt;0,"Refusé",IF(COUNTIFS(jr_num,A147,jr_etat,"Avec réserves")&gt;0,"Avec réserves",IF(COUNTIFS(jr_num,A147,jr_rel,"&gt;0")&gt;0,"Reliquat en cours",IF(COUNTIFS(jr_num,A147,jr_gap,"&lt;0")+COUNTIFS(jr_num,A147,jr_gap,"&gt;0")&gt;0,"Écart","Conforme")))),IF(COUNTIFS(jr_num,A147,jr_gap,"&lt;0")&gt;0,"Partiel","Sorti")))))</f>
        <v/>
      </c>
      <c r="O147" t="str">
        <f>IFERROR(MATCH(142,jr_grank,0),"")</f>
        <v/>
      </c>
      <c r="R147" s="67" t="str">
        <f>IFERROR(INDEX(jr_num,MATCH("BL142",jr_nkey,0))&amp;"","")</f>
        <v/>
      </c>
      <c r="S147" s="67" t="str">
        <f>IFERROR(INDEX(jr_num,MATCH("BR142",jr_nkey,0))&amp;"","")</f>
        <v/>
      </c>
      <c r="T147" s="67" t="str">
        <f>IFERROR(INDEX(jr_num,MATCH("BS142",jr_nkey,0))&amp;"","")</f>
        <v/>
      </c>
    </row>
    <row r="148">
      <c r="A148" s="60" t="str">
        <f>IF($O148="","",INDEX(jr_num,$O148)&amp;"")</f>
        <v/>
      </c>
      <c r="B148" s="60" t="str">
        <f>IF($O148="","",IF(INDEX(jr_type,$O148)="BL","Livraison",IF(INDEX(jr_type,$O148)="BR","Réception","Sortie")))</f>
        <v/>
      </c>
      <c r="C148" s="65" t="str">
        <f>IF($O148="","",INDEX(jr_date,$O148))</f>
        <v/>
      </c>
      <c r="D148" s="60" t="str">
        <f>IF($O148="","",INDEX(jr_tiers,$O148)&amp;"")</f>
        <v/>
      </c>
      <c r="E148" s="57" t="str">
        <f>IF($O148="","",INDEX(jr_name,$O148)&amp;"")</f>
        <v/>
      </c>
      <c r="F148" s="57" t="str">
        <f>IF($O148="","",INDEX(jr_order,$O148)&amp;"")</f>
        <v/>
      </c>
      <c r="G148" s="57" t="str">
        <f>IF($O148="","",INDEX(jr_ext,$O148)&amp;"")</f>
        <v/>
      </c>
      <c r="H148" s="57" t="str">
        <f>IF($O148="","",INDEX(jr_carrier,$O148)&amp;"")</f>
        <v/>
      </c>
      <c r="I148" s="66" t="str">
        <f>IF(A148="","",COUNTIF(jr_num,A148))</f>
        <v/>
      </c>
      <c r="J148" s="66" t="str">
        <f>IF(A148="","",SUMIF(jr_num,A148,jr_colis))</f>
        <v/>
      </c>
      <c r="K148" s="63" t="str">
        <f>IF(A148="","",SUMIF(jr_num,A148,jr_kg))</f>
        <v/>
      </c>
      <c r="L148" s="64" t="str">
        <f>IF(A148="","",SUMIF(jr_num,A148,jr_val))</f>
        <v/>
      </c>
      <c r="M148" s="60" t="str">
        <f>IF(A148="","",IF(COUNTIFS(jr_num,A148,jr_check,"&lt;&gt;OK")&gt;0,"À vérifier",IF(LEFT(A148,2)="BL",IF(COUNTIFS(jr_num,A148,jr_rel,"&gt;0")&gt;0,"Reliquat en cours",IF(COUNTIFS(jr_num,A148,jr_gap,"&lt;0")&gt;0,"Reliquat livré","Complet")),IF(LEFT(A148,2)="BR",IF(COUNTIFS(jr_num,A148,jr_etat,"Refusé")&gt;0,"Refusé",IF(COUNTIFS(jr_num,A148,jr_etat,"Avec réserves")&gt;0,"Avec réserves",IF(COUNTIFS(jr_num,A148,jr_rel,"&gt;0")&gt;0,"Reliquat en cours",IF(COUNTIFS(jr_num,A148,jr_gap,"&lt;0")+COUNTIFS(jr_num,A148,jr_gap,"&gt;0")&gt;0,"Écart","Conforme")))),IF(COUNTIFS(jr_num,A148,jr_gap,"&lt;0")&gt;0,"Partiel","Sorti")))))</f>
        <v/>
      </c>
      <c r="O148" t="str">
        <f>IFERROR(MATCH(143,jr_grank,0),"")</f>
        <v/>
      </c>
      <c r="R148" s="67" t="str">
        <f>IFERROR(INDEX(jr_num,MATCH("BL143",jr_nkey,0))&amp;"","")</f>
        <v/>
      </c>
      <c r="S148" s="67" t="str">
        <f>IFERROR(INDEX(jr_num,MATCH("BR143",jr_nkey,0))&amp;"","")</f>
        <v/>
      </c>
      <c r="T148" s="67" t="str">
        <f>IFERROR(INDEX(jr_num,MATCH("BS143",jr_nkey,0))&amp;"","")</f>
        <v/>
      </c>
    </row>
    <row r="149">
      <c r="A149" s="60" t="str">
        <f>IF($O149="","",INDEX(jr_num,$O149)&amp;"")</f>
        <v/>
      </c>
      <c r="B149" s="60" t="str">
        <f>IF($O149="","",IF(INDEX(jr_type,$O149)="BL","Livraison",IF(INDEX(jr_type,$O149)="BR","Réception","Sortie")))</f>
        <v/>
      </c>
      <c r="C149" s="65" t="str">
        <f>IF($O149="","",INDEX(jr_date,$O149))</f>
        <v/>
      </c>
      <c r="D149" s="60" t="str">
        <f>IF($O149="","",INDEX(jr_tiers,$O149)&amp;"")</f>
        <v/>
      </c>
      <c r="E149" s="57" t="str">
        <f>IF($O149="","",INDEX(jr_name,$O149)&amp;"")</f>
        <v/>
      </c>
      <c r="F149" s="57" t="str">
        <f>IF($O149="","",INDEX(jr_order,$O149)&amp;"")</f>
        <v/>
      </c>
      <c r="G149" s="57" t="str">
        <f>IF($O149="","",INDEX(jr_ext,$O149)&amp;"")</f>
        <v/>
      </c>
      <c r="H149" s="57" t="str">
        <f>IF($O149="","",INDEX(jr_carrier,$O149)&amp;"")</f>
        <v/>
      </c>
      <c r="I149" s="66" t="str">
        <f>IF(A149="","",COUNTIF(jr_num,A149))</f>
        <v/>
      </c>
      <c r="J149" s="66" t="str">
        <f>IF(A149="","",SUMIF(jr_num,A149,jr_colis))</f>
        <v/>
      </c>
      <c r="K149" s="63" t="str">
        <f>IF(A149="","",SUMIF(jr_num,A149,jr_kg))</f>
        <v/>
      </c>
      <c r="L149" s="64" t="str">
        <f>IF(A149="","",SUMIF(jr_num,A149,jr_val))</f>
        <v/>
      </c>
      <c r="M149" s="60" t="str">
        <f>IF(A149="","",IF(COUNTIFS(jr_num,A149,jr_check,"&lt;&gt;OK")&gt;0,"À vérifier",IF(LEFT(A149,2)="BL",IF(COUNTIFS(jr_num,A149,jr_rel,"&gt;0")&gt;0,"Reliquat en cours",IF(COUNTIFS(jr_num,A149,jr_gap,"&lt;0")&gt;0,"Reliquat livré","Complet")),IF(LEFT(A149,2)="BR",IF(COUNTIFS(jr_num,A149,jr_etat,"Refusé")&gt;0,"Refusé",IF(COUNTIFS(jr_num,A149,jr_etat,"Avec réserves")&gt;0,"Avec réserves",IF(COUNTIFS(jr_num,A149,jr_rel,"&gt;0")&gt;0,"Reliquat en cours",IF(COUNTIFS(jr_num,A149,jr_gap,"&lt;0")+COUNTIFS(jr_num,A149,jr_gap,"&gt;0")&gt;0,"Écart","Conforme")))),IF(COUNTIFS(jr_num,A149,jr_gap,"&lt;0")&gt;0,"Partiel","Sorti")))))</f>
        <v/>
      </c>
      <c r="O149" t="str">
        <f>IFERROR(MATCH(144,jr_grank,0),"")</f>
        <v/>
      </c>
      <c r="R149" s="67" t="str">
        <f>IFERROR(INDEX(jr_num,MATCH("BL144",jr_nkey,0))&amp;"","")</f>
        <v/>
      </c>
      <c r="S149" s="67" t="str">
        <f>IFERROR(INDEX(jr_num,MATCH("BR144",jr_nkey,0))&amp;"","")</f>
        <v/>
      </c>
      <c r="T149" s="67" t="str">
        <f>IFERROR(INDEX(jr_num,MATCH("BS144",jr_nkey,0))&amp;"","")</f>
        <v/>
      </c>
    </row>
    <row r="150">
      <c r="A150" s="60" t="str">
        <f>IF($O150="","",INDEX(jr_num,$O150)&amp;"")</f>
        <v/>
      </c>
      <c r="B150" s="60" t="str">
        <f>IF($O150="","",IF(INDEX(jr_type,$O150)="BL","Livraison",IF(INDEX(jr_type,$O150)="BR","Réception","Sortie")))</f>
        <v/>
      </c>
      <c r="C150" s="65" t="str">
        <f>IF($O150="","",INDEX(jr_date,$O150))</f>
        <v/>
      </c>
      <c r="D150" s="60" t="str">
        <f>IF($O150="","",INDEX(jr_tiers,$O150)&amp;"")</f>
        <v/>
      </c>
      <c r="E150" s="57" t="str">
        <f>IF($O150="","",INDEX(jr_name,$O150)&amp;"")</f>
        <v/>
      </c>
      <c r="F150" s="57" t="str">
        <f>IF($O150="","",INDEX(jr_order,$O150)&amp;"")</f>
        <v/>
      </c>
      <c r="G150" s="57" t="str">
        <f>IF($O150="","",INDEX(jr_ext,$O150)&amp;"")</f>
        <v/>
      </c>
      <c r="H150" s="57" t="str">
        <f>IF($O150="","",INDEX(jr_carrier,$O150)&amp;"")</f>
        <v/>
      </c>
      <c r="I150" s="66" t="str">
        <f>IF(A150="","",COUNTIF(jr_num,A150))</f>
        <v/>
      </c>
      <c r="J150" s="66" t="str">
        <f>IF(A150="","",SUMIF(jr_num,A150,jr_colis))</f>
        <v/>
      </c>
      <c r="K150" s="63" t="str">
        <f>IF(A150="","",SUMIF(jr_num,A150,jr_kg))</f>
        <v/>
      </c>
      <c r="L150" s="64" t="str">
        <f>IF(A150="","",SUMIF(jr_num,A150,jr_val))</f>
        <v/>
      </c>
      <c r="M150" s="60" t="str">
        <f>IF(A150="","",IF(COUNTIFS(jr_num,A150,jr_check,"&lt;&gt;OK")&gt;0,"À vérifier",IF(LEFT(A150,2)="BL",IF(COUNTIFS(jr_num,A150,jr_rel,"&gt;0")&gt;0,"Reliquat en cours",IF(COUNTIFS(jr_num,A150,jr_gap,"&lt;0")&gt;0,"Reliquat livré","Complet")),IF(LEFT(A150,2)="BR",IF(COUNTIFS(jr_num,A150,jr_etat,"Refusé")&gt;0,"Refusé",IF(COUNTIFS(jr_num,A150,jr_etat,"Avec réserves")&gt;0,"Avec réserves",IF(COUNTIFS(jr_num,A150,jr_rel,"&gt;0")&gt;0,"Reliquat en cours",IF(COUNTIFS(jr_num,A150,jr_gap,"&lt;0")+COUNTIFS(jr_num,A150,jr_gap,"&gt;0")&gt;0,"Écart","Conforme")))),IF(COUNTIFS(jr_num,A150,jr_gap,"&lt;0")&gt;0,"Partiel","Sorti")))))</f>
        <v/>
      </c>
      <c r="O150" t="str">
        <f>IFERROR(MATCH(145,jr_grank,0),"")</f>
        <v/>
      </c>
      <c r="R150" s="67" t="str">
        <f>IFERROR(INDEX(jr_num,MATCH("BL145",jr_nkey,0))&amp;"","")</f>
        <v/>
      </c>
      <c r="S150" s="67" t="str">
        <f>IFERROR(INDEX(jr_num,MATCH("BR145",jr_nkey,0))&amp;"","")</f>
        <v/>
      </c>
      <c r="T150" s="67" t="str">
        <f>IFERROR(INDEX(jr_num,MATCH("BS145",jr_nkey,0))&amp;"","")</f>
        <v/>
      </c>
    </row>
    <row r="151">
      <c r="A151" s="60" t="str">
        <f>IF($O151="","",INDEX(jr_num,$O151)&amp;"")</f>
        <v/>
      </c>
      <c r="B151" s="60" t="str">
        <f>IF($O151="","",IF(INDEX(jr_type,$O151)="BL","Livraison",IF(INDEX(jr_type,$O151)="BR","Réception","Sortie")))</f>
        <v/>
      </c>
      <c r="C151" s="65" t="str">
        <f>IF($O151="","",INDEX(jr_date,$O151))</f>
        <v/>
      </c>
      <c r="D151" s="60" t="str">
        <f>IF($O151="","",INDEX(jr_tiers,$O151)&amp;"")</f>
        <v/>
      </c>
      <c r="E151" s="57" t="str">
        <f>IF($O151="","",INDEX(jr_name,$O151)&amp;"")</f>
        <v/>
      </c>
      <c r="F151" s="57" t="str">
        <f>IF($O151="","",INDEX(jr_order,$O151)&amp;"")</f>
        <v/>
      </c>
      <c r="G151" s="57" t="str">
        <f>IF($O151="","",INDEX(jr_ext,$O151)&amp;"")</f>
        <v/>
      </c>
      <c r="H151" s="57" t="str">
        <f>IF($O151="","",INDEX(jr_carrier,$O151)&amp;"")</f>
        <v/>
      </c>
      <c r="I151" s="66" t="str">
        <f>IF(A151="","",COUNTIF(jr_num,A151))</f>
        <v/>
      </c>
      <c r="J151" s="66" t="str">
        <f>IF(A151="","",SUMIF(jr_num,A151,jr_colis))</f>
        <v/>
      </c>
      <c r="K151" s="63" t="str">
        <f>IF(A151="","",SUMIF(jr_num,A151,jr_kg))</f>
        <v/>
      </c>
      <c r="L151" s="64" t="str">
        <f>IF(A151="","",SUMIF(jr_num,A151,jr_val))</f>
        <v/>
      </c>
      <c r="M151" s="60" t="str">
        <f>IF(A151="","",IF(COUNTIFS(jr_num,A151,jr_check,"&lt;&gt;OK")&gt;0,"À vérifier",IF(LEFT(A151,2)="BL",IF(COUNTIFS(jr_num,A151,jr_rel,"&gt;0")&gt;0,"Reliquat en cours",IF(COUNTIFS(jr_num,A151,jr_gap,"&lt;0")&gt;0,"Reliquat livré","Complet")),IF(LEFT(A151,2)="BR",IF(COUNTIFS(jr_num,A151,jr_etat,"Refusé")&gt;0,"Refusé",IF(COUNTIFS(jr_num,A151,jr_etat,"Avec réserves")&gt;0,"Avec réserves",IF(COUNTIFS(jr_num,A151,jr_rel,"&gt;0")&gt;0,"Reliquat en cours",IF(COUNTIFS(jr_num,A151,jr_gap,"&lt;0")+COUNTIFS(jr_num,A151,jr_gap,"&gt;0")&gt;0,"Écart","Conforme")))),IF(COUNTIFS(jr_num,A151,jr_gap,"&lt;0")&gt;0,"Partiel","Sorti")))))</f>
        <v/>
      </c>
      <c r="O151" t="str">
        <f>IFERROR(MATCH(146,jr_grank,0),"")</f>
        <v/>
      </c>
      <c r="R151" s="67" t="str">
        <f>IFERROR(INDEX(jr_num,MATCH("BL146",jr_nkey,0))&amp;"","")</f>
        <v/>
      </c>
      <c r="S151" s="67" t="str">
        <f>IFERROR(INDEX(jr_num,MATCH("BR146",jr_nkey,0))&amp;"","")</f>
        <v/>
      </c>
      <c r="T151" s="67" t="str">
        <f>IFERROR(INDEX(jr_num,MATCH("BS146",jr_nkey,0))&amp;"","")</f>
        <v/>
      </c>
    </row>
    <row r="152">
      <c r="A152" s="60" t="str">
        <f>IF($O152="","",INDEX(jr_num,$O152)&amp;"")</f>
        <v/>
      </c>
      <c r="B152" s="60" t="str">
        <f>IF($O152="","",IF(INDEX(jr_type,$O152)="BL","Livraison",IF(INDEX(jr_type,$O152)="BR","Réception","Sortie")))</f>
        <v/>
      </c>
      <c r="C152" s="65" t="str">
        <f>IF($O152="","",INDEX(jr_date,$O152))</f>
        <v/>
      </c>
      <c r="D152" s="60" t="str">
        <f>IF($O152="","",INDEX(jr_tiers,$O152)&amp;"")</f>
        <v/>
      </c>
      <c r="E152" s="57" t="str">
        <f>IF($O152="","",INDEX(jr_name,$O152)&amp;"")</f>
        <v/>
      </c>
      <c r="F152" s="57" t="str">
        <f>IF($O152="","",INDEX(jr_order,$O152)&amp;"")</f>
        <v/>
      </c>
      <c r="G152" s="57" t="str">
        <f>IF($O152="","",INDEX(jr_ext,$O152)&amp;"")</f>
        <v/>
      </c>
      <c r="H152" s="57" t="str">
        <f>IF($O152="","",INDEX(jr_carrier,$O152)&amp;"")</f>
        <v/>
      </c>
      <c r="I152" s="66" t="str">
        <f>IF(A152="","",COUNTIF(jr_num,A152))</f>
        <v/>
      </c>
      <c r="J152" s="66" t="str">
        <f>IF(A152="","",SUMIF(jr_num,A152,jr_colis))</f>
        <v/>
      </c>
      <c r="K152" s="63" t="str">
        <f>IF(A152="","",SUMIF(jr_num,A152,jr_kg))</f>
        <v/>
      </c>
      <c r="L152" s="64" t="str">
        <f>IF(A152="","",SUMIF(jr_num,A152,jr_val))</f>
        <v/>
      </c>
      <c r="M152" s="60" t="str">
        <f>IF(A152="","",IF(COUNTIFS(jr_num,A152,jr_check,"&lt;&gt;OK")&gt;0,"À vérifier",IF(LEFT(A152,2)="BL",IF(COUNTIFS(jr_num,A152,jr_rel,"&gt;0")&gt;0,"Reliquat en cours",IF(COUNTIFS(jr_num,A152,jr_gap,"&lt;0")&gt;0,"Reliquat livré","Complet")),IF(LEFT(A152,2)="BR",IF(COUNTIFS(jr_num,A152,jr_etat,"Refusé")&gt;0,"Refusé",IF(COUNTIFS(jr_num,A152,jr_etat,"Avec réserves")&gt;0,"Avec réserves",IF(COUNTIFS(jr_num,A152,jr_rel,"&gt;0")&gt;0,"Reliquat en cours",IF(COUNTIFS(jr_num,A152,jr_gap,"&lt;0")+COUNTIFS(jr_num,A152,jr_gap,"&gt;0")&gt;0,"Écart","Conforme")))),IF(COUNTIFS(jr_num,A152,jr_gap,"&lt;0")&gt;0,"Partiel","Sorti")))))</f>
        <v/>
      </c>
      <c r="O152" t="str">
        <f>IFERROR(MATCH(147,jr_grank,0),"")</f>
        <v/>
      </c>
      <c r="R152" s="67" t="str">
        <f>IFERROR(INDEX(jr_num,MATCH("BL147",jr_nkey,0))&amp;"","")</f>
        <v/>
      </c>
      <c r="S152" s="67" t="str">
        <f>IFERROR(INDEX(jr_num,MATCH("BR147",jr_nkey,0))&amp;"","")</f>
        <v/>
      </c>
      <c r="T152" s="67" t="str">
        <f>IFERROR(INDEX(jr_num,MATCH("BS147",jr_nkey,0))&amp;"","")</f>
        <v/>
      </c>
    </row>
    <row r="153">
      <c r="A153" s="60" t="str">
        <f>IF($O153="","",INDEX(jr_num,$O153)&amp;"")</f>
        <v/>
      </c>
      <c r="B153" s="60" t="str">
        <f>IF($O153="","",IF(INDEX(jr_type,$O153)="BL","Livraison",IF(INDEX(jr_type,$O153)="BR","Réception","Sortie")))</f>
        <v/>
      </c>
      <c r="C153" s="65" t="str">
        <f>IF($O153="","",INDEX(jr_date,$O153))</f>
        <v/>
      </c>
      <c r="D153" s="60" t="str">
        <f>IF($O153="","",INDEX(jr_tiers,$O153)&amp;"")</f>
        <v/>
      </c>
      <c r="E153" s="57" t="str">
        <f>IF($O153="","",INDEX(jr_name,$O153)&amp;"")</f>
        <v/>
      </c>
      <c r="F153" s="57" t="str">
        <f>IF($O153="","",INDEX(jr_order,$O153)&amp;"")</f>
        <v/>
      </c>
      <c r="G153" s="57" t="str">
        <f>IF($O153="","",INDEX(jr_ext,$O153)&amp;"")</f>
        <v/>
      </c>
      <c r="H153" s="57" t="str">
        <f>IF($O153="","",INDEX(jr_carrier,$O153)&amp;"")</f>
        <v/>
      </c>
      <c r="I153" s="66" t="str">
        <f>IF(A153="","",COUNTIF(jr_num,A153))</f>
        <v/>
      </c>
      <c r="J153" s="66" t="str">
        <f>IF(A153="","",SUMIF(jr_num,A153,jr_colis))</f>
        <v/>
      </c>
      <c r="K153" s="63" t="str">
        <f>IF(A153="","",SUMIF(jr_num,A153,jr_kg))</f>
        <v/>
      </c>
      <c r="L153" s="64" t="str">
        <f>IF(A153="","",SUMIF(jr_num,A153,jr_val))</f>
        <v/>
      </c>
      <c r="M153" s="60" t="str">
        <f>IF(A153="","",IF(COUNTIFS(jr_num,A153,jr_check,"&lt;&gt;OK")&gt;0,"À vérifier",IF(LEFT(A153,2)="BL",IF(COUNTIFS(jr_num,A153,jr_rel,"&gt;0")&gt;0,"Reliquat en cours",IF(COUNTIFS(jr_num,A153,jr_gap,"&lt;0")&gt;0,"Reliquat livré","Complet")),IF(LEFT(A153,2)="BR",IF(COUNTIFS(jr_num,A153,jr_etat,"Refusé")&gt;0,"Refusé",IF(COUNTIFS(jr_num,A153,jr_etat,"Avec réserves")&gt;0,"Avec réserves",IF(COUNTIFS(jr_num,A153,jr_rel,"&gt;0")&gt;0,"Reliquat en cours",IF(COUNTIFS(jr_num,A153,jr_gap,"&lt;0")+COUNTIFS(jr_num,A153,jr_gap,"&gt;0")&gt;0,"Écart","Conforme")))),IF(COUNTIFS(jr_num,A153,jr_gap,"&lt;0")&gt;0,"Partiel","Sorti")))))</f>
        <v/>
      </c>
      <c r="O153" t="str">
        <f>IFERROR(MATCH(148,jr_grank,0),"")</f>
        <v/>
      </c>
      <c r="R153" s="67" t="str">
        <f>IFERROR(INDEX(jr_num,MATCH("BL148",jr_nkey,0))&amp;"","")</f>
        <v/>
      </c>
      <c r="S153" s="67" t="str">
        <f>IFERROR(INDEX(jr_num,MATCH("BR148",jr_nkey,0))&amp;"","")</f>
        <v/>
      </c>
      <c r="T153" s="67" t="str">
        <f>IFERROR(INDEX(jr_num,MATCH("BS148",jr_nkey,0))&amp;"","")</f>
        <v/>
      </c>
    </row>
    <row r="154">
      <c r="A154" s="60" t="str">
        <f>IF($O154="","",INDEX(jr_num,$O154)&amp;"")</f>
        <v/>
      </c>
      <c r="B154" s="60" t="str">
        <f>IF($O154="","",IF(INDEX(jr_type,$O154)="BL","Livraison",IF(INDEX(jr_type,$O154)="BR","Réception","Sortie")))</f>
        <v/>
      </c>
      <c r="C154" s="65" t="str">
        <f>IF($O154="","",INDEX(jr_date,$O154))</f>
        <v/>
      </c>
      <c r="D154" s="60" t="str">
        <f>IF($O154="","",INDEX(jr_tiers,$O154)&amp;"")</f>
        <v/>
      </c>
      <c r="E154" s="57" t="str">
        <f>IF($O154="","",INDEX(jr_name,$O154)&amp;"")</f>
        <v/>
      </c>
      <c r="F154" s="57" t="str">
        <f>IF($O154="","",INDEX(jr_order,$O154)&amp;"")</f>
        <v/>
      </c>
      <c r="G154" s="57" t="str">
        <f>IF($O154="","",INDEX(jr_ext,$O154)&amp;"")</f>
        <v/>
      </c>
      <c r="H154" s="57" t="str">
        <f>IF($O154="","",INDEX(jr_carrier,$O154)&amp;"")</f>
        <v/>
      </c>
      <c r="I154" s="66" t="str">
        <f>IF(A154="","",COUNTIF(jr_num,A154))</f>
        <v/>
      </c>
      <c r="J154" s="66" t="str">
        <f>IF(A154="","",SUMIF(jr_num,A154,jr_colis))</f>
        <v/>
      </c>
      <c r="K154" s="63" t="str">
        <f>IF(A154="","",SUMIF(jr_num,A154,jr_kg))</f>
        <v/>
      </c>
      <c r="L154" s="64" t="str">
        <f>IF(A154="","",SUMIF(jr_num,A154,jr_val))</f>
        <v/>
      </c>
      <c r="M154" s="60" t="str">
        <f>IF(A154="","",IF(COUNTIFS(jr_num,A154,jr_check,"&lt;&gt;OK")&gt;0,"À vérifier",IF(LEFT(A154,2)="BL",IF(COUNTIFS(jr_num,A154,jr_rel,"&gt;0")&gt;0,"Reliquat en cours",IF(COUNTIFS(jr_num,A154,jr_gap,"&lt;0")&gt;0,"Reliquat livré","Complet")),IF(LEFT(A154,2)="BR",IF(COUNTIFS(jr_num,A154,jr_etat,"Refusé")&gt;0,"Refusé",IF(COUNTIFS(jr_num,A154,jr_etat,"Avec réserves")&gt;0,"Avec réserves",IF(COUNTIFS(jr_num,A154,jr_rel,"&gt;0")&gt;0,"Reliquat en cours",IF(COUNTIFS(jr_num,A154,jr_gap,"&lt;0")+COUNTIFS(jr_num,A154,jr_gap,"&gt;0")&gt;0,"Écart","Conforme")))),IF(COUNTIFS(jr_num,A154,jr_gap,"&lt;0")&gt;0,"Partiel","Sorti")))))</f>
        <v/>
      </c>
      <c r="O154" t="str">
        <f>IFERROR(MATCH(149,jr_grank,0),"")</f>
        <v/>
      </c>
      <c r="R154" s="67" t="str">
        <f>IFERROR(INDEX(jr_num,MATCH("BL149",jr_nkey,0))&amp;"","")</f>
        <v/>
      </c>
      <c r="S154" s="67" t="str">
        <f>IFERROR(INDEX(jr_num,MATCH("BR149",jr_nkey,0))&amp;"","")</f>
        <v/>
      </c>
      <c r="T154" s="67" t="str">
        <f>IFERROR(INDEX(jr_num,MATCH("BS149",jr_nkey,0))&amp;"","")</f>
        <v/>
      </c>
    </row>
    <row r="155">
      <c r="A155" s="60" t="str">
        <f>IF($O155="","",INDEX(jr_num,$O155)&amp;"")</f>
        <v/>
      </c>
      <c r="B155" s="60" t="str">
        <f>IF($O155="","",IF(INDEX(jr_type,$O155)="BL","Livraison",IF(INDEX(jr_type,$O155)="BR","Réception","Sortie")))</f>
        <v/>
      </c>
      <c r="C155" s="65" t="str">
        <f>IF($O155="","",INDEX(jr_date,$O155))</f>
        <v/>
      </c>
      <c r="D155" s="60" t="str">
        <f>IF($O155="","",INDEX(jr_tiers,$O155)&amp;"")</f>
        <v/>
      </c>
      <c r="E155" s="57" t="str">
        <f>IF($O155="","",INDEX(jr_name,$O155)&amp;"")</f>
        <v/>
      </c>
      <c r="F155" s="57" t="str">
        <f>IF($O155="","",INDEX(jr_order,$O155)&amp;"")</f>
        <v/>
      </c>
      <c r="G155" s="57" t="str">
        <f>IF($O155="","",INDEX(jr_ext,$O155)&amp;"")</f>
        <v/>
      </c>
      <c r="H155" s="57" t="str">
        <f>IF($O155="","",INDEX(jr_carrier,$O155)&amp;"")</f>
        <v/>
      </c>
      <c r="I155" s="66" t="str">
        <f>IF(A155="","",COUNTIF(jr_num,A155))</f>
        <v/>
      </c>
      <c r="J155" s="66" t="str">
        <f>IF(A155="","",SUMIF(jr_num,A155,jr_colis))</f>
        <v/>
      </c>
      <c r="K155" s="63" t="str">
        <f>IF(A155="","",SUMIF(jr_num,A155,jr_kg))</f>
        <v/>
      </c>
      <c r="L155" s="64" t="str">
        <f>IF(A155="","",SUMIF(jr_num,A155,jr_val))</f>
        <v/>
      </c>
      <c r="M155" s="60" t="str">
        <f>IF(A155="","",IF(COUNTIFS(jr_num,A155,jr_check,"&lt;&gt;OK")&gt;0,"À vérifier",IF(LEFT(A155,2)="BL",IF(COUNTIFS(jr_num,A155,jr_rel,"&gt;0")&gt;0,"Reliquat en cours",IF(COUNTIFS(jr_num,A155,jr_gap,"&lt;0")&gt;0,"Reliquat livré","Complet")),IF(LEFT(A155,2)="BR",IF(COUNTIFS(jr_num,A155,jr_etat,"Refusé")&gt;0,"Refusé",IF(COUNTIFS(jr_num,A155,jr_etat,"Avec réserves")&gt;0,"Avec réserves",IF(COUNTIFS(jr_num,A155,jr_rel,"&gt;0")&gt;0,"Reliquat en cours",IF(COUNTIFS(jr_num,A155,jr_gap,"&lt;0")+COUNTIFS(jr_num,A155,jr_gap,"&gt;0")&gt;0,"Écart","Conforme")))),IF(COUNTIFS(jr_num,A155,jr_gap,"&lt;0")&gt;0,"Partiel","Sorti")))))</f>
        <v/>
      </c>
      <c r="O155" t="str">
        <f>IFERROR(MATCH(150,jr_grank,0),"")</f>
        <v/>
      </c>
      <c r="R155" s="67" t="str">
        <f>IFERROR(INDEX(jr_num,MATCH("BL150",jr_nkey,0))&amp;"","")</f>
        <v/>
      </c>
      <c r="S155" s="67" t="str">
        <f>IFERROR(INDEX(jr_num,MATCH("BR150",jr_nkey,0))&amp;"","")</f>
        <v/>
      </c>
      <c r="T155" s="67" t="str">
        <f>IFERROR(INDEX(jr_num,MATCH("BS150",jr_nkey,0))&amp;"","")</f>
        <v/>
      </c>
    </row>
    <row r="156">
      <c r="A156" s="60" t="str">
        <f>IF($O156="","",INDEX(jr_num,$O156)&amp;"")</f>
        <v/>
      </c>
      <c r="B156" s="60" t="str">
        <f>IF($O156="","",IF(INDEX(jr_type,$O156)="BL","Livraison",IF(INDEX(jr_type,$O156)="BR","Réception","Sortie")))</f>
        <v/>
      </c>
      <c r="C156" s="65" t="str">
        <f>IF($O156="","",INDEX(jr_date,$O156))</f>
        <v/>
      </c>
      <c r="D156" s="60" t="str">
        <f>IF($O156="","",INDEX(jr_tiers,$O156)&amp;"")</f>
        <v/>
      </c>
      <c r="E156" s="57" t="str">
        <f>IF($O156="","",INDEX(jr_name,$O156)&amp;"")</f>
        <v/>
      </c>
      <c r="F156" s="57" t="str">
        <f>IF($O156="","",INDEX(jr_order,$O156)&amp;"")</f>
        <v/>
      </c>
      <c r="G156" s="57" t="str">
        <f>IF($O156="","",INDEX(jr_ext,$O156)&amp;"")</f>
        <v/>
      </c>
      <c r="H156" s="57" t="str">
        <f>IF($O156="","",INDEX(jr_carrier,$O156)&amp;"")</f>
        <v/>
      </c>
      <c r="I156" s="66" t="str">
        <f>IF(A156="","",COUNTIF(jr_num,A156))</f>
        <v/>
      </c>
      <c r="J156" s="66" t="str">
        <f>IF(A156="","",SUMIF(jr_num,A156,jr_colis))</f>
        <v/>
      </c>
      <c r="K156" s="63" t="str">
        <f>IF(A156="","",SUMIF(jr_num,A156,jr_kg))</f>
        <v/>
      </c>
      <c r="L156" s="64" t="str">
        <f>IF(A156="","",SUMIF(jr_num,A156,jr_val))</f>
        <v/>
      </c>
      <c r="M156" s="60" t="str">
        <f>IF(A156="","",IF(COUNTIFS(jr_num,A156,jr_check,"&lt;&gt;OK")&gt;0,"À vérifier",IF(LEFT(A156,2)="BL",IF(COUNTIFS(jr_num,A156,jr_rel,"&gt;0")&gt;0,"Reliquat en cours",IF(COUNTIFS(jr_num,A156,jr_gap,"&lt;0")&gt;0,"Reliquat livré","Complet")),IF(LEFT(A156,2)="BR",IF(COUNTIFS(jr_num,A156,jr_etat,"Refusé")&gt;0,"Refusé",IF(COUNTIFS(jr_num,A156,jr_etat,"Avec réserves")&gt;0,"Avec réserves",IF(COUNTIFS(jr_num,A156,jr_rel,"&gt;0")&gt;0,"Reliquat en cours",IF(COUNTIFS(jr_num,A156,jr_gap,"&lt;0")+COUNTIFS(jr_num,A156,jr_gap,"&gt;0")&gt;0,"Écart","Conforme")))),IF(COUNTIFS(jr_num,A156,jr_gap,"&lt;0")&gt;0,"Partiel","Sorti")))))</f>
        <v/>
      </c>
      <c r="O156" t="str">
        <f>IFERROR(MATCH(151,jr_grank,0),"")</f>
        <v/>
      </c>
      <c r="R156" s="67" t="str">
        <f>IFERROR(INDEX(jr_num,MATCH("BL151",jr_nkey,0))&amp;"","")</f>
        <v/>
      </c>
      <c r="S156" s="67" t="str">
        <f>IFERROR(INDEX(jr_num,MATCH("BR151",jr_nkey,0))&amp;"","")</f>
        <v/>
      </c>
      <c r="T156" s="67" t="str">
        <f>IFERROR(INDEX(jr_num,MATCH("BS151",jr_nkey,0))&amp;"","")</f>
        <v/>
      </c>
    </row>
    <row r="157">
      <c r="A157" s="60" t="str">
        <f>IF($O157="","",INDEX(jr_num,$O157)&amp;"")</f>
        <v/>
      </c>
      <c r="B157" s="60" t="str">
        <f>IF($O157="","",IF(INDEX(jr_type,$O157)="BL","Livraison",IF(INDEX(jr_type,$O157)="BR","Réception","Sortie")))</f>
        <v/>
      </c>
      <c r="C157" s="65" t="str">
        <f>IF($O157="","",INDEX(jr_date,$O157))</f>
        <v/>
      </c>
      <c r="D157" s="60" t="str">
        <f>IF($O157="","",INDEX(jr_tiers,$O157)&amp;"")</f>
        <v/>
      </c>
      <c r="E157" s="57" t="str">
        <f>IF($O157="","",INDEX(jr_name,$O157)&amp;"")</f>
        <v/>
      </c>
      <c r="F157" s="57" t="str">
        <f>IF($O157="","",INDEX(jr_order,$O157)&amp;"")</f>
        <v/>
      </c>
      <c r="G157" s="57" t="str">
        <f>IF($O157="","",INDEX(jr_ext,$O157)&amp;"")</f>
        <v/>
      </c>
      <c r="H157" s="57" t="str">
        <f>IF($O157="","",INDEX(jr_carrier,$O157)&amp;"")</f>
        <v/>
      </c>
      <c r="I157" s="66" t="str">
        <f>IF(A157="","",COUNTIF(jr_num,A157))</f>
        <v/>
      </c>
      <c r="J157" s="66" t="str">
        <f>IF(A157="","",SUMIF(jr_num,A157,jr_colis))</f>
        <v/>
      </c>
      <c r="K157" s="63" t="str">
        <f>IF(A157="","",SUMIF(jr_num,A157,jr_kg))</f>
        <v/>
      </c>
      <c r="L157" s="64" t="str">
        <f>IF(A157="","",SUMIF(jr_num,A157,jr_val))</f>
        <v/>
      </c>
      <c r="M157" s="60" t="str">
        <f>IF(A157="","",IF(COUNTIFS(jr_num,A157,jr_check,"&lt;&gt;OK")&gt;0,"À vérifier",IF(LEFT(A157,2)="BL",IF(COUNTIFS(jr_num,A157,jr_rel,"&gt;0")&gt;0,"Reliquat en cours",IF(COUNTIFS(jr_num,A157,jr_gap,"&lt;0")&gt;0,"Reliquat livré","Complet")),IF(LEFT(A157,2)="BR",IF(COUNTIFS(jr_num,A157,jr_etat,"Refusé")&gt;0,"Refusé",IF(COUNTIFS(jr_num,A157,jr_etat,"Avec réserves")&gt;0,"Avec réserves",IF(COUNTIFS(jr_num,A157,jr_rel,"&gt;0")&gt;0,"Reliquat en cours",IF(COUNTIFS(jr_num,A157,jr_gap,"&lt;0")+COUNTIFS(jr_num,A157,jr_gap,"&gt;0")&gt;0,"Écart","Conforme")))),IF(COUNTIFS(jr_num,A157,jr_gap,"&lt;0")&gt;0,"Partiel","Sorti")))))</f>
        <v/>
      </c>
      <c r="O157" t="str">
        <f>IFERROR(MATCH(152,jr_grank,0),"")</f>
        <v/>
      </c>
      <c r="R157" s="67" t="str">
        <f>IFERROR(INDEX(jr_num,MATCH("BL152",jr_nkey,0))&amp;"","")</f>
        <v/>
      </c>
      <c r="S157" s="67" t="str">
        <f>IFERROR(INDEX(jr_num,MATCH("BR152",jr_nkey,0))&amp;"","")</f>
        <v/>
      </c>
      <c r="T157" s="67" t="str">
        <f>IFERROR(INDEX(jr_num,MATCH("BS152",jr_nkey,0))&amp;"","")</f>
        <v/>
      </c>
    </row>
    <row r="158">
      <c r="A158" s="60" t="str">
        <f>IF($O158="","",INDEX(jr_num,$O158)&amp;"")</f>
        <v/>
      </c>
      <c r="B158" s="60" t="str">
        <f>IF($O158="","",IF(INDEX(jr_type,$O158)="BL","Livraison",IF(INDEX(jr_type,$O158)="BR","Réception","Sortie")))</f>
        <v/>
      </c>
      <c r="C158" s="65" t="str">
        <f>IF($O158="","",INDEX(jr_date,$O158))</f>
        <v/>
      </c>
      <c r="D158" s="60" t="str">
        <f>IF($O158="","",INDEX(jr_tiers,$O158)&amp;"")</f>
        <v/>
      </c>
      <c r="E158" s="57" t="str">
        <f>IF($O158="","",INDEX(jr_name,$O158)&amp;"")</f>
        <v/>
      </c>
      <c r="F158" s="57" t="str">
        <f>IF($O158="","",INDEX(jr_order,$O158)&amp;"")</f>
        <v/>
      </c>
      <c r="G158" s="57" t="str">
        <f>IF($O158="","",INDEX(jr_ext,$O158)&amp;"")</f>
        <v/>
      </c>
      <c r="H158" s="57" t="str">
        <f>IF($O158="","",INDEX(jr_carrier,$O158)&amp;"")</f>
        <v/>
      </c>
      <c r="I158" s="66" t="str">
        <f>IF(A158="","",COUNTIF(jr_num,A158))</f>
        <v/>
      </c>
      <c r="J158" s="66" t="str">
        <f>IF(A158="","",SUMIF(jr_num,A158,jr_colis))</f>
        <v/>
      </c>
      <c r="K158" s="63" t="str">
        <f>IF(A158="","",SUMIF(jr_num,A158,jr_kg))</f>
        <v/>
      </c>
      <c r="L158" s="64" t="str">
        <f>IF(A158="","",SUMIF(jr_num,A158,jr_val))</f>
        <v/>
      </c>
      <c r="M158" s="60" t="str">
        <f>IF(A158="","",IF(COUNTIFS(jr_num,A158,jr_check,"&lt;&gt;OK")&gt;0,"À vérifier",IF(LEFT(A158,2)="BL",IF(COUNTIFS(jr_num,A158,jr_rel,"&gt;0")&gt;0,"Reliquat en cours",IF(COUNTIFS(jr_num,A158,jr_gap,"&lt;0")&gt;0,"Reliquat livré","Complet")),IF(LEFT(A158,2)="BR",IF(COUNTIFS(jr_num,A158,jr_etat,"Refusé")&gt;0,"Refusé",IF(COUNTIFS(jr_num,A158,jr_etat,"Avec réserves")&gt;0,"Avec réserves",IF(COUNTIFS(jr_num,A158,jr_rel,"&gt;0")&gt;0,"Reliquat en cours",IF(COUNTIFS(jr_num,A158,jr_gap,"&lt;0")+COUNTIFS(jr_num,A158,jr_gap,"&gt;0")&gt;0,"Écart","Conforme")))),IF(COUNTIFS(jr_num,A158,jr_gap,"&lt;0")&gt;0,"Partiel","Sorti")))))</f>
        <v/>
      </c>
      <c r="O158" t="str">
        <f>IFERROR(MATCH(153,jr_grank,0),"")</f>
        <v/>
      </c>
      <c r="R158" s="67" t="str">
        <f>IFERROR(INDEX(jr_num,MATCH("BL153",jr_nkey,0))&amp;"","")</f>
        <v/>
      </c>
      <c r="S158" s="67" t="str">
        <f>IFERROR(INDEX(jr_num,MATCH("BR153",jr_nkey,0))&amp;"","")</f>
        <v/>
      </c>
      <c r="T158" s="67" t="str">
        <f>IFERROR(INDEX(jr_num,MATCH("BS153",jr_nkey,0))&amp;"","")</f>
        <v/>
      </c>
    </row>
    <row r="159">
      <c r="A159" s="60" t="str">
        <f>IF($O159="","",INDEX(jr_num,$O159)&amp;"")</f>
        <v/>
      </c>
      <c r="B159" s="60" t="str">
        <f>IF($O159="","",IF(INDEX(jr_type,$O159)="BL","Livraison",IF(INDEX(jr_type,$O159)="BR","Réception","Sortie")))</f>
        <v/>
      </c>
      <c r="C159" s="65" t="str">
        <f>IF($O159="","",INDEX(jr_date,$O159))</f>
        <v/>
      </c>
      <c r="D159" s="60" t="str">
        <f>IF($O159="","",INDEX(jr_tiers,$O159)&amp;"")</f>
        <v/>
      </c>
      <c r="E159" s="57" t="str">
        <f>IF($O159="","",INDEX(jr_name,$O159)&amp;"")</f>
        <v/>
      </c>
      <c r="F159" s="57" t="str">
        <f>IF($O159="","",INDEX(jr_order,$O159)&amp;"")</f>
        <v/>
      </c>
      <c r="G159" s="57" t="str">
        <f>IF($O159="","",INDEX(jr_ext,$O159)&amp;"")</f>
        <v/>
      </c>
      <c r="H159" s="57" t="str">
        <f>IF($O159="","",INDEX(jr_carrier,$O159)&amp;"")</f>
        <v/>
      </c>
      <c r="I159" s="66" t="str">
        <f>IF(A159="","",COUNTIF(jr_num,A159))</f>
        <v/>
      </c>
      <c r="J159" s="66" t="str">
        <f>IF(A159="","",SUMIF(jr_num,A159,jr_colis))</f>
        <v/>
      </c>
      <c r="K159" s="63" t="str">
        <f>IF(A159="","",SUMIF(jr_num,A159,jr_kg))</f>
        <v/>
      </c>
      <c r="L159" s="64" t="str">
        <f>IF(A159="","",SUMIF(jr_num,A159,jr_val))</f>
        <v/>
      </c>
      <c r="M159" s="60" t="str">
        <f>IF(A159="","",IF(COUNTIFS(jr_num,A159,jr_check,"&lt;&gt;OK")&gt;0,"À vérifier",IF(LEFT(A159,2)="BL",IF(COUNTIFS(jr_num,A159,jr_rel,"&gt;0")&gt;0,"Reliquat en cours",IF(COUNTIFS(jr_num,A159,jr_gap,"&lt;0")&gt;0,"Reliquat livré","Complet")),IF(LEFT(A159,2)="BR",IF(COUNTIFS(jr_num,A159,jr_etat,"Refusé")&gt;0,"Refusé",IF(COUNTIFS(jr_num,A159,jr_etat,"Avec réserves")&gt;0,"Avec réserves",IF(COUNTIFS(jr_num,A159,jr_rel,"&gt;0")&gt;0,"Reliquat en cours",IF(COUNTIFS(jr_num,A159,jr_gap,"&lt;0")+COUNTIFS(jr_num,A159,jr_gap,"&gt;0")&gt;0,"Écart","Conforme")))),IF(COUNTIFS(jr_num,A159,jr_gap,"&lt;0")&gt;0,"Partiel","Sorti")))))</f>
        <v/>
      </c>
      <c r="O159" t="str">
        <f>IFERROR(MATCH(154,jr_grank,0),"")</f>
        <v/>
      </c>
      <c r="R159" s="67" t="str">
        <f>IFERROR(INDEX(jr_num,MATCH("BL154",jr_nkey,0))&amp;"","")</f>
        <v/>
      </c>
      <c r="S159" s="67" t="str">
        <f>IFERROR(INDEX(jr_num,MATCH("BR154",jr_nkey,0))&amp;"","")</f>
        <v/>
      </c>
      <c r="T159" s="67" t="str">
        <f>IFERROR(INDEX(jr_num,MATCH("BS154",jr_nkey,0))&amp;"","")</f>
        <v/>
      </c>
    </row>
    <row r="160">
      <c r="A160" s="60" t="str">
        <f>IF($O160="","",INDEX(jr_num,$O160)&amp;"")</f>
        <v/>
      </c>
      <c r="B160" s="60" t="str">
        <f>IF($O160="","",IF(INDEX(jr_type,$O160)="BL","Livraison",IF(INDEX(jr_type,$O160)="BR","Réception","Sortie")))</f>
        <v/>
      </c>
      <c r="C160" s="65" t="str">
        <f>IF($O160="","",INDEX(jr_date,$O160))</f>
        <v/>
      </c>
      <c r="D160" s="60" t="str">
        <f>IF($O160="","",INDEX(jr_tiers,$O160)&amp;"")</f>
        <v/>
      </c>
      <c r="E160" s="57" t="str">
        <f>IF($O160="","",INDEX(jr_name,$O160)&amp;"")</f>
        <v/>
      </c>
      <c r="F160" s="57" t="str">
        <f>IF($O160="","",INDEX(jr_order,$O160)&amp;"")</f>
        <v/>
      </c>
      <c r="G160" s="57" t="str">
        <f>IF($O160="","",INDEX(jr_ext,$O160)&amp;"")</f>
        <v/>
      </c>
      <c r="H160" s="57" t="str">
        <f>IF($O160="","",INDEX(jr_carrier,$O160)&amp;"")</f>
        <v/>
      </c>
      <c r="I160" s="66" t="str">
        <f>IF(A160="","",COUNTIF(jr_num,A160))</f>
        <v/>
      </c>
      <c r="J160" s="66" t="str">
        <f>IF(A160="","",SUMIF(jr_num,A160,jr_colis))</f>
        <v/>
      </c>
      <c r="K160" s="63" t="str">
        <f>IF(A160="","",SUMIF(jr_num,A160,jr_kg))</f>
        <v/>
      </c>
      <c r="L160" s="64" t="str">
        <f>IF(A160="","",SUMIF(jr_num,A160,jr_val))</f>
        <v/>
      </c>
      <c r="M160" s="60" t="str">
        <f>IF(A160="","",IF(COUNTIFS(jr_num,A160,jr_check,"&lt;&gt;OK")&gt;0,"À vérifier",IF(LEFT(A160,2)="BL",IF(COUNTIFS(jr_num,A160,jr_rel,"&gt;0")&gt;0,"Reliquat en cours",IF(COUNTIFS(jr_num,A160,jr_gap,"&lt;0")&gt;0,"Reliquat livré","Complet")),IF(LEFT(A160,2)="BR",IF(COUNTIFS(jr_num,A160,jr_etat,"Refusé")&gt;0,"Refusé",IF(COUNTIFS(jr_num,A160,jr_etat,"Avec réserves")&gt;0,"Avec réserves",IF(COUNTIFS(jr_num,A160,jr_rel,"&gt;0")&gt;0,"Reliquat en cours",IF(COUNTIFS(jr_num,A160,jr_gap,"&lt;0")+COUNTIFS(jr_num,A160,jr_gap,"&gt;0")&gt;0,"Écart","Conforme")))),IF(COUNTIFS(jr_num,A160,jr_gap,"&lt;0")&gt;0,"Partiel","Sorti")))))</f>
        <v/>
      </c>
      <c r="O160" t="str">
        <f>IFERROR(MATCH(155,jr_grank,0),"")</f>
        <v/>
      </c>
      <c r="R160" s="67" t="str">
        <f>IFERROR(INDEX(jr_num,MATCH("BL155",jr_nkey,0))&amp;"","")</f>
        <v/>
      </c>
      <c r="S160" s="67" t="str">
        <f>IFERROR(INDEX(jr_num,MATCH("BR155",jr_nkey,0))&amp;"","")</f>
        <v/>
      </c>
      <c r="T160" s="67" t="str">
        <f>IFERROR(INDEX(jr_num,MATCH("BS155",jr_nkey,0))&amp;"","")</f>
        <v/>
      </c>
    </row>
    <row r="161">
      <c r="A161" s="60" t="str">
        <f>IF($O161="","",INDEX(jr_num,$O161)&amp;"")</f>
        <v/>
      </c>
      <c r="B161" s="60" t="str">
        <f>IF($O161="","",IF(INDEX(jr_type,$O161)="BL","Livraison",IF(INDEX(jr_type,$O161)="BR","Réception","Sortie")))</f>
        <v/>
      </c>
      <c r="C161" s="65" t="str">
        <f>IF($O161="","",INDEX(jr_date,$O161))</f>
        <v/>
      </c>
      <c r="D161" s="60" t="str">
        <f>IF($O161="","",INDEX(jr_tiers,$O161)&amp;"")</f>
        <v/>
      </c>
      <c r="E161" s="57" t="str">
        <f>IF($O161="","",INDEX(jr_name,$O161)&amp;"")</f>
        <v/>
      </c>
      <c r="F161" s="57" t="str">
        <f>IF($O161="","",INDEX(jr_order,$O161)&amp;"")</f>
        <v/>
      </c>
      <c r="G161" s="57" t="str">
        <f>IF($O161="","",INDEX(jr_ext,$O161)&amp;"")</f>
        <v/>
      </c>
      <c r="H161" s="57" t="str">
        <f>IF($O161="","",INDEX(jr_carrier,$O161)&amp;"")</f>
        <v/>
      </c>
      <c r="I161" s="66" t="str">
        <f>IF(A161="","",COUNTIF(jr_num,A161))</f>
        <v/>
      </c>
      <c r="J161" s="66" t="str">
        <f>IF(A161="","",SUMIF(jr_num,A161,jr_colis))</f>
        <v/>
      </c>
      <c r="K161" s="63" t="str">
        <f>IF(A161="","",SUMIF(jr_num,A161,jr_kg))</f>
        <v/>
      </c>
      <c r="L161" s="64" t="str">
        <f>IF(A161="","",SUMIF(jr_num,A161,jr_val))</f>
        <v/>
      </c>
      <c r="M161" s="60" t="str">
        <f>IF(A161="","",IF(COUNTIFS(jr_num,A161,jr_check,"&lt;&gt;OK")&gt;0,"À vérifier",IF(LEFT(A161,2)="BL",IF(COUNTIFS(jr_num,A161,jr_rel,"&gt;0")&gt;0,"Reliquat en cours",IF(COUNTIFS(jr_num,A161,jr_gap,"&lt;0")&gt;0,"Reliquat livré","Complet")),IF(LEFT(A161,2)="BR",IF(COUNTIFS(jr_num,A161,jr_etat,"Refusé")&gt;0,"Refusé",IF(COUNTIFS(jr_num,A161,jr_etat,"Avec réserves")&gt;0,"Avec réserves",IF(COUNTIFS(jr_num,A161,jr_rel,"&gt;0")&gt;0,"Reliquat en cours",IF(COUNTIFS(jr_num,A161,jr_gap,"&lt;0")+COUNTIFS(jr_num,A161,jr_gap,"&gt;0")&gt;0,"Écart","Conforme")))),IF(COUNTIFS(jr_num,A161,jr_gap,"&lt;0")&gt;0,"Partiel","Sorti")))))</f>
        <v/>
      </c>
      <c r="O161" t="str">
        <f>IFERROR(MATCH(156,jr_grank,0),"")</f>
        <v/>
      </c>
      <c r="R161" s="67" t="str">
        <f>IFERROR(INDEX(jr_num,MATCH("BL156",jr_nkey,0))&amp;"","")</f>
        <v/>
      </c>
      <c r="S161" s="67" t="str">
        <f>IFERROR(INDEX(jr_num,MATCH("BR156",jr_nkey,0))&amp;"","")</f>
        <v/>
      </c>
      <c r="T161" s="67" t="str">
        <f>IFERROR(INDEX(jr_num,MATCH("BS156",jr_nkey,0))&amp;"","")</f>
        <v/>
      </c>
    </row>
    <row r="162">
      <c r="A162" s="60" t="str">
        <f>IF($O162="","",INDEX(jr_num,$O162)&amp;"")</f>
        <v/>
      </c>
      <c r="B162" s="60" t="str">
        <f>IF($O162="","",IF(INDEX(jr_type,$O162)="BL","Livraison",IF(INDEX(jr_type,$O162)="BR","Réception","Sortie")))</f>
        <v/>
      </c>
      <c r="C162" s="65" t="str">
        <f>IF($O162="","",INDEX(jr_date,$O162))</f>
        <v/>
      </c>
      <c r="D162" s="60" t="str">
        <f>IF($O162="","",INDEX(jr_tiers,$O162)&amp;"")</f>
        <v/>
      </c>
      <c r="E162" s="57" t="str">
        <f>IF($O162="","",INDEX(jr_name,$O162)&amp;"")</f>
        <v/>
      </c>
      <c r="F162" s="57" t="str">
        <f>IF($O162="","",INDEX(jr_order,$O162)&amp;"")</f>
        <v/>
      </c>
      <c r="G162" s="57" t="str">
        <f>IF($O162="","",INDEX(jr_ext,$O162)&amp;"")</f>
        <v/>
      </c>
      <c r="H162" s="57" t="str">
        <f>IF($O162="","",INDEX(jr_carrier,$O162)&amp;"")</f>
        <v/>
      </c>
      <c r="I162" s="66" t="str">
        <f>IF(A162="","",COUNTIF(jr_num,A162))</f>
        <v/>
      </c>
      <c r="J162" s="66" t="str">
        <f>IF(A162="","",SUMIF(jr_num,A162,jr_colis))</f>
        <v/>
      </c>
      <c r="K162" s="63" t="str">
        <f>IF(A162="","",SUMIF(jr_num,A162,jr_kg))</f>
        <v/>
      </c>
      <c r="L162" s="64" t="str">
        <f>IF(A162="","",SUMIF(jr_num,A162,jr_val))</f>
        <v/>
      </c>
      <c r="M162" s="60" t="str">
        <f>IF(A162="","",IF(COUNTIFS(jr_num,A162,jr_check,"&lt;&gt;OK")&gt;0,"À vérifier",IF(LEFT(A162,2)="BL",IF(COUNTIFS(jr_num,A162,jr_rel,"&gt;0")&gt;0,"Reliquat en cours",IF(COUNTIFS(jr_num,A162,jr_gap,"&lt;0")&gt;0,"Reliquat livré","Complet")),IF(LEFT(A162,2)="BR",IF(COUNTIFS(jr_num,A162,jr_etat,"Refusé")&gt;0,"Refusé",IF(COUNTIFS(jr_num,A162,jr_etat,"Avec réserves")&gt;0,"Avec réserves",IF(COUNTIFS(jr_num,A162,jr_rel,"&gt;0")&gt;0,"Reliquat en cours",IF(COUNTIFS(jr_num,A162,jr_gap,"&lt;0")+COUNTIFS(jr_num,A162,jr_gap,"&gt;0")&gt;0,"Écart","Conforme")))),IF(COUNTIFS(jr_num,A162,jr_gap,"&lt;0")&gt;0,"Partiel","Sorti")))))</f>
        <v/>
      </c>
      <c r="O162" t="str">
        <f>IFERROR(MATCH(157,jr_grank,0),"")</f>
        <v/>
      </c>
      <c r="R162" s="67" t="str">
        <f>IFERROR(INDEX(jr_num,MATCH("BL157",jr_nkey,0))&amp;"","")</f>
        <v/>
      </c>
      <c r="S162" s="67" t="str">
        <f>IFERROR(INDEX(jr_num,MATCH("BR157",jr_nkey,0))&amp;"","")</f>
        <v/>
      </c>
      <c r="T162" s="67" t="str">
        <f>IFERROR(INDEX(jr_num,MATCH("BS157",jr_nkey,0))&amp;"","")</f>
        <v/>
      </c>
    </row>
    <row r="163">
      <c r="A163" s="60" t="str">
        <f>IF($O163="","",INDEX(jr_num,$O163)&amp;"")</f>
        <v/>
      </c>
      <c r="B163" s="60" t="str">
        <f>IF($O163="","",IF(INDEX(jr_type,$O163)="BL","Livraison",IF(INDEX(jr_type,$O163)="BR","Réception","Sortie")))</f>
        <v/>
      </c>
      <c r="C163" s="65" t="str">
        <f>IF($O163="","",INDEX(jr_date,$O163))</f>
        <v/>
      </c>
      <c r="D163" s="60" t="str">
        <f>IF($O163="","",INDEX(jr_tiers,$O163)&amp;"")</f>
        <v/>
      </c>
      <c r="E163" s="57" t="str">
        <f>IF($O163="","",INDEX(jr_name,$O163)&amp;"")</f>
        <v/>
      </c>
      <c r="F163" s="57" t="str">
        <f>IF($O163="","",INDEX(jr_order,$O163)&amp;"")</f>
        <v/>
      </c>
      <c r="G163" s="57" t="str">
        <f>IF($O163="","",INDEX(jr_ext,$O163)&amp;"")</f>
        <v/>
      </c>
      <c r="H163" s="57" t="str">
        <f>IF($O163="","",INDEX(jr_carrier,$O163)&amp;"")</f>
        <v/>
      </c>
      <c r="I163" s="66" t="str">
        <f>IF(A163="","",COUNTIF(jr_num,A163))</f>
        <v/>
      </c>
      <c r="J163" s="66" t="str">
        <f>IF(A163="","",SUMIF(jr_num,A163,jr_colis))</f>
        <v/>
      </c>
      <c r="K163" s="63" t="str">
        <f>IF(A163="","",SUMIF(jr_num,A163,jr_kg))</f>
        <v/>
      </c>
      <c r="L163" s="64" t="str">
        <f>IF(A163="","",SUMIF(jr_num,A163,jr_val))</f>
        <v/>
      </c>
      <c r="M163" s="60" t="str">
        <f>IF(A163="","",IF(COUNTIFS(jr_num,A163,jr_check,"&lt;&gt;OK")&gt;0,"À vérifier",IF(LEFT(A163,2)="BL",IF(COUNTIFS(jr_num,A163,jr_rel,"&gt;0")&gt;0,"Reliquat en cours",IF(COUNTIFS(jr_num,A163,jr_gap,"&lt;0")&gt;0,"Reliquat livré","Complet")),IF(LEFT(A163,2)="BR",IF(COUNTIFS(jr_num,A163,jr_etat,"Refusé")&gt;0,"Refusé",IF(COUNTIFS(jr_num,A163,jr_etat,"Avec réserves")&gt;0,"Avec réserves",IF(COUNTIFS(jr_num,A163,jr_rel,"&gt;0")&gt;0,"Reliquat en cours",IF(COUNTIFS(jr_num,A163,jr_gap,"&lt;0")+COUNTIFS(jr_num,A163,jr_gap,"&gt;0")&gt;0,"Écart","Conforme")))),IF(COUNTIFS(jr_num,A163,jr_gap,"&lt;0")&gt;0,"Partiel","Sorti")))))</f>
        <v/>
      </c>
      <c r="O163" t="str">
        <f>IFERROR(MATCH(158,jr_grank,0),"")</f>
        <v/>
      </c>
      <c r="R163" s="67" t="str">
        <f>IFERROR(INDEX(jr_num,MATCH("BL158",jr_nkey,0))&amp;"","")</f>
        <v/>
      </c>
      <c r="S163" s="67" t="str">
        <f>IFERROR(INDEX(jr_num,MATCH("BR158",jr_nkey,0))&amp;"","")</f>
        <v/>
      </c>
      <c r="T163" s="67" t="str">
        <f>IFERROR(INDEX(jr_num,MATCH("BS158",jr_nkey,0))&amp;"","")</f>
        <v/>
      </c>
    </row>
    <row r="164">
      <c r="A164" s="60" t="str">
        <f>IF($O164="","",INDEX(jr_num,$O164)&amp;"")</f>
        <v/>
      </c>
      <c r="B164" s="60" t="str">
        <f>IF($O164="","",IF(INDEX(jr_type,$O164)="BL","Livraison",IF(INDEX(jr_type,$O164)="BR","Réception","Sortie")))</f>
        <v/>
      </c>
      <c r="C164" s="65" t="str">
        <f>IF($O164="","",INDEX(jr_date,$O164))</f>
        <v/>
      </c>
      <c r="D164" s="60" t="str">
        <f>IF($O164="","",INDEX(jr_tiers,$O164)&amp;"")</f>
        <v/>
      </c>
      <c r="E164" s="57" t="str">
        <f>IF($O164="","",INDEX(jr_name,$O164)&amp;"")</f>
        <v/>
      </c>
      <c r="F164" s="57" t="str">
        <f>IF($O164="","",INDEX(jr_order,$O164)&amp;"")</f>
        <v/>
      </c>
      <c r="G164" s="57" t="str">
        <f>IF($O164="","",INDEX(jr_ext,$O164)&amp;"")</f>
        <v/>
      </c>
      <c r="H164" s="57" t="str">
        <f>IF($O164="","",INDEX(jr_carrier,$O164)&amp;"")</f>
        <v/>
      </c>
      <c r="I164" s="66" t="str">
        <f>IF(A164="","",COUNTIF(jr_num,A164))</f>
        <v/>
      </c>
      <c r="J164" s="66" t="str">
        <f>IF(A164="","",SUMIF(jr_num,A164,jr_colis))</f>
        <v/>
      </c>
      <c r="K164" s="63" t="str">
        <f>IF(A164="","",SUMIF(jr_num,A164,jr_kg))</f>
        <v/>
      </c>
      <c r="L164" s="64" t="str">
        <f>IF(A164="","",SUMIF(jr_num,A164,jr_val))</f>
        <v/>
      </c>
      <c r="M164" s="60" t="str">
        <f>IF(A164="","",IF(COUNTIFS(jr_num,A164,jr_check,"&lt;&gt;OK")&gt;0,"À vérifier",IF(LEFT(A164,2)="BL",IF(COUNTIFS(jr_num,A164,jr_rel,"&gt;0")&gt;0,"Reliquat en cours",IF(COUNTIFS(jr_num,A164,jr_gap,"&lt;0")&gt;0,"Reliquat livré","Complet")),IF(LEFT(A164,2)="BR",IF(COUNTIFS(jr_num,A164,jr_etat,"Refusé")&gt;0,"Refusé",IF(COUNTIFS(jr_num,A164,jr_etat,"Avec réserves")&gt;0,"Avec réserves",IF(COUNTIFS(jr_num,A164,jr_rel,"&gt;0")&gt;0,"Reliquat en cours",IF(COUNTIFS(jr_num,A164,jr_gap,"&lt;0")+COUNTIFS(jr_num,A164,jr_gap,"&gt;0")&gt;0,"Écart","Conforme")))),IF(COUNTIFS(jr_num,A164,jr_gap,"&lt;0")&gt;0,"Partiel","Sorti")))))</f>
        <v/>
      </c>
      <c r="O164" t="str">
        <f>IFERROR(MATCH(159,jr_grank,0),"")</f>
        <v/>
      </c>
      <c r="R164" s="67" t="str">
        <f>IFERROR(INDEX(jr_num,MATCH("BL159",jr_nkey,0))&amp;"","")</f>
        <v/>
      </c>
      <c r="S164" s="67" t="str">
        <f>IFERROR(INDEX(jr_num,MATCH("BR159",jr_nkey,0))&amp;"","")</f>
        <v/>
      </c>
      <c r="T164" s="67" t="str">
        <f>IFERROR(INDEX(jr_num,MATCH("BS159",jr_nkey,0))&amp;"","")</f>
        <v/>
      </c>
    </row>
    <row r="165">
      <c r="A165" s="60" t="str">
        <f>IF($O165="","",INDEX(jr_num,$O165)&amp;"")</f>
        <v/>
      </c>
      <c r="B165" s="60" t="str">
        <f>IF($O165="","",IF(INDEX(jr_type,$O165)="BL","Livraison",IF(INDEX(jr_type,$O165)="BR","Réception","Sortie")))</f>
        <v/>
      </c>
      <c r="C165" s="65" t="str">
        <f>IF($O165="","",INDEX(jr_date,$O165))</f>
        <v/>
      </c>
      <c r="D165" s="60" t="str">
        <f>IF($O165="","",INDEX(jr_tiers,$O165)&amp;"")</f>
        <v/>
      </c>
      <c r="E165" s="57" t="str">
        <f>IF($O165="","",INDEX(jr_name,$O165)&amp;"")</f>
        <v/>
      </c>
      <c r="F165" s="57" t="str">
        <f>IF($O165="","",INDEX(jr_order,$O165)&amp;"")</f>
        <v/>
      </c>
      <c r="G165" s="57" t="str">
        <f>IF($O165="","",INDEX(jr_ext,$O165)&amp;"")</f>
        <v/>
      </c>
      <c r="H165" s="57" t="str">
        <f>IF($O165="","",INDEX(jr_carrier,$O165)&amp;"")</f>
        <v/>
      </c>
      <c r="I165" s="66" t="str">
        <f>IF(A165="","",COUNTIF(jr_num,A165))</f>
        <v/>
      </c>
      <c r="J165" s="66" t="str">
        <f>IF(A165="","",SUMIF(jr_num,A165,jr_colis))</f>
        <v/>
      </c>
      <c r="K165" s="63" t="str">
        <f>IF(A165="","",SUMIF(jr_num,A165,jr_kg))</f>
        <v/>
      </c>
      <c r="L165" s="64" t="str">
        <f>IF(A165="","",SUMIF(jr_num,A165,jr_val))</f>
        <v/>
      </c>
      <c r="M165" s="60" t="str">
        <f>IF(A165="","",IF(COUNTIFS(jr_num,A165,jr_check,"&lt;&gt;OK")&gt;0,"À vérifier",IF(LEFT(A165,2)="BL",IF(COUNTIFS(jr_num,A165,jr_rel,"&gt;0")&gt;0,"Reliquat en cours",IF(COUNTIFS(jr_num,A165,jr_gap,"&lt;0")&gt;0,"Reliquat livré","Complet")),IF(LEFT(A165,2)="BR",IF(COUNTIFS(jr_num,A165,jr_etat,"Refusé")&gt;0,"Refusé",IF(COUNTIFS(jr_num,A165,jr_etat,"Avec réserves")&gt;0,"Avec réserves",IF(COUNTIFS(jr_num,A165,jr_rel,"&gt;0")&gt;0,"Reliquat en cours",IF(COUNTIFS(jr_num,A165,jr_gap,"&lt;0")+COUNTIFS(jr_num,A165,jr_gap,"&gt;0")&gt;0,"Écart","Conforme")))),IF(COUNTIFS(jr_num,A165,jr_gap,"&lt;0")&gt;0,"Partiel","Sorti")))))</f>
        <v/>
      </c>
      <c r="O165" t="str">
        <f>IFERROR(MATCH(160,jr_grank,0),"")</f>
        <v/>
      </c>
      <c r="R165" s="67" t="str">
        <f>IFERROR(INDEX(jr_num,MATCH("BL160",jr_nkey,0))&amp;"","")</f>
        <v/>
      </c>
      <c r="S165" s="67" t="str">
        <f>IFERROR(INDEX(jr_num,MATCH("BR160",jr_nkey,0))&amp;"","")</f>
        <v/>
      </c>
      <c r="T165" s="67" t="str">
        <f>IFERROR(INDEX(jr_num,MATCH("BS160",jr_nkey,0))&amp;"","")</f>
        <v/>
      </c>
    </row>
    <row r="166">
      <c r="A166" s="60" t="str">
        <f>IF($O166="","",INDEX(jr_num,$O166)&amp;"")</f>
        <v/>
      </c>
      <c r="B166" s="60" t="str">
        <f>IF($O166="","",IF(INDEX(jr_type,$O166)="BL","Livraison",IF(INDEX(jr_type,$O166)="BR","Réception","Sortie")))</f>
        <v/>
      </c>
      <c r="C166" s="65" t="str">
        <f>IF($O166="","",INDEX(jr_date,$O166))</f>
        <v/>
      </c>
      <c r="D166" s="60" t="str">
        <f>IF($O166="","",INDEX(jr_tiers,$O166)&amp;"")</f>
        <v/>
      </c>
      <c r="E166" s="57" t="str">
        <f>IF($O166="","",INDEX(jr_name,$O166)&amp;"")</f>
        <v/>
      </c>
      <c r="F166" s="57" t="str">
        <f>IF($O166="","",INDEX(jr_order,$O166)&amp;"")</f>
        <v/>
      </c>
      <c r="G166" s="57" t="str">
        <f>IF($O166="","",INDEX(jr_ext,$O166)&amp;"")</f>
        <v/>
      </c>
      <c r="H166" s="57" t="str">
        <f>IF($O166="","",INDEX(jr_carrier,$O166)&amp;"")</f>
        <v/>
      </c>
      <c r="I166" s="66" t="str">
        <f>IF(A166="","",COUNTIF(jr_num,A166))</f>
        <v/>
      </c>
      <c r="J166" s="66" t="str">
        <f>IF(A166="","",SUMIF(jr_num,A166,jr_colis))</f>
        <v/>
      </c>
      <c r="K166" s="63" t="str">
        <f>IF(A166="","",SUMIF(jr_num,A166,jr_kg))</f>
        <v/>
      </c>
      <c r="L166" s="64" t="str">
        <f>IF(A166="","",SUMIF(jr_num,A166,jr_val))</f>
        <v/>
      </c>
      <c r="M166" s="60" t="str">
        <f>IF(A166="","",IF(COUNTIFS(jr_num,A166,jr_check,"&lt;&gt;OK")&gt;0,"À vérifier",IF(LEFT(A166,2)="BL",IF(COUNTIFS(jr_num,A166,jr_rel,"&gt;0")&gt;0,"Reliquat en cours",IF(COUNTIFS(jr_num,A166,jr_gap,"&lt;0")&gt;0,"Reliquat livré","Complet")),IF(LEFT(A166,2)="BR",IF(COUNTIFS(jr_num,A166,jr_etat,"Refusé")&gt;0,"Refusé",IF(COUNTIFS(jr_num,A166,jr_etat,"Avec réserves")&gt;0,"Avec réserves",IF(COUNTIFS(jr_num,A166,jr_rel,"&gt;0")&gt;0,"Reliquat en cours",IF(COUNTIFS(jr_num,A166,jr_gap,"&lt;0")+COUNTIFS(jr_num,A166,jr_gap,"&gt;0")&gt;0,"Écart","Conforme")))),IF(COUNTIFS(jr_num,A166,jr_gap,"&lt;0")&gt;0,"Partiel","Sorti")))))</f>
        <v/>
      </c>
      <c r="O166" t="str">
        <f>IFERROR(MATCH(161,jr_grank,0),"")</f>
        <v/>
      </c>
      <c r="R166" s="67" t="str">
        <f>IFERROR(INDEX(jr_num,MATCH("BL161",jr_nkey,0))&amp;"","")</f>
        <v/>
      </c>
      <c r="S166" s="67" t="str">
        <f>IFERROR(INDEX(jr_num,MATCH("BR161",jr_nkey,0))&amp;"","")</f>
        <v/>
      </c>
      <c r="T166" s="67" t="str">
        <f>IFERROR(INDEX(jr_num,MATCH("BS161",jr_nkey,0))&amp;"","")</f>
        <v/>
      </c>
    </row>
    <row r="167">
      <c r="A167" s="60" t="str">
        <f>IF($O167="","",INDEX(jr_num,$O167)&amp;"")</f>
        <v/>
      </c>
      <c r="B167" s="60" t="str">
        <f>IF($O167="","",IF(INDEX(jr_type,$O167)="BL","Livraison",IF(INDEX(jr_type,$O167)="BR","Réception","Sortie")))</f>
        <v/>
      </c>
      <c r="C167" s="65" t="str">
        <f>IF($O167="","",INDEX(jr_date,$O167))</f>
        <v/>
      </c>
      <c r="D167" s="60" t="str">
        <f>IF($O167="","",INDEX(jr_tiers,$O167)&amp;"")</f>
        <v/>
      </c>
      <c r="E167" s="57" t="str">
        <f>IF($O167="","",INDEX(jr_name,$O167)&amp;"")</f>
        <v/>
      </c>
      <c r="F167" s="57" t="str">
        <f>IF($O167="","",INDEX(jr_order,$O167)&amp;"")</f>
        <v/>
      </c>
      <c r="G167" s="57" t="str">
        <f>IF($O167="","",INDEX(jr_ext,$O167)&amp;"")</f>
        <v/>
      </c>
      <c r="H167" s="57" t="str">
        <f>IF($O167="","",INDEX(jr_carrier,$O167)&amp;"")</f>
        <v/>
      </c>
      <c r="I167" s="66" t="str">
        <f>IF(A167="","",COUNTIF(jr_num,A167))</f>
        <v/>
      </c>
      <c r="J167" s="66" t="str">
        <f>IF(A167="","",SUMIF(jr_num,A167,jr_colis))</f>
        <v/>
      </c>
      <c r="K167" s="63" t="str">
        <f>IF(A167="","",SUMIF(jr_num,A167,jr_kg))</f>
        <v/>
      </c>
      <c r="L167" s="64" t="str">
        <f>IF(A167="","",SUMIF(jr_num,A167,jr_val))</f>
        <v/>
      </c>
      <c r="M167" s="60" t="str">
        <f>IF(A167="","",IF(COUNTIFS(jr_num,A167,jr_check,"&lt;&gt;OK")&gt;0,"À vérifier",IF(LEFT(A167,2)="BL",IF(COUNTIFS(jr_num,A167,jr_rel,"&gt;0")&gt;0,"Reliquat en cours",IF(COUNTIFS(jr_num,A167,jr_gap,"&lt;0")&gt;0,"Reliquat livré","Complet")),IF(LEFT(A167,2)="BR",IF(COUNTIFS(jr_num,A167,jr_etat,"Refusé")&gt;0,"Refusé",IF(COUNTIFS(jr_num,A167,jr_etat,"Avec réserves")&gt;0,"Avec réserves",IF(COUNTIFS(jr_num,A167,jr_rel,"&gt;0")&gt;0,"Reliquat en cours",IF(COUNTIFS(jr_num,A167,jr_gap,"&lt;0")+COUNTIFS(jr_num,A167,jr_gap,"&gt;0")&gt;0,"Écart","Conforme")))),IF(COUNTIFS(jr_num,A167,jr_gap,"&lt;0")&gt;0,"Partiel","Sorti")))))</f>
        <v/>
      </c>
      <c r="O167" t="str">
        <f>IFERROR(MATCH(162,jr_grank,0),"")</f>
        <v/>
      </c>
      <c r="R167" s="67" t="str">
        <f>IFERROR(INDEX(jr_num,MATCH("BL162",jr_nkey,0))&amp;"","")</f>
        <v/>
      </c>
      <c r="S167" s="67" t="str">
        <f>IFERROR(INDEX(jr_num,MATCH("BR162",jr_nkey,0))&amp;"","")</f>
        <v/>
      </c>
      <c r="T167" s="67" t="str">
        <f>IFERROR(INDEX(jr_num,MATCH("BS162",jr_nkey,0))&amp;"","")</f>
        <v/>
      </c>
    </row>
    <row r="168">
      <c r="A168" s="60" t="str">
        <f>IF($O168="","",INDEX(jr_num,$O168)&amp;"")</f>
        <v/>
      </c>
      <c r="B168" s="60" t="str">
        <f>IF($O168="","",IF(INDEX(jr_type,$O168)="BL","Livraison",IF(INDEX(jr_type,$O168)="BR","Réception","Sortie")))</f>
        <v/>
      </c>
      <c r="C168" s="65" t="str">
        <f>IF($O168="","",INDEX(jr_date,$O168))</f>
        <v/>
      </c>
      <c r="D168" s="60" t="str">
        <f>IF($O168="","",INDEX(jr_tiers,$O168)&amp;"")</f>
        <v/>
      </c>
      <c r="E168" s="57" t="str">
        <f>IF($O168="","",INDEX(jr_name,$O168)&amp;"")</f>
        <v/>
      </c>
      <c r="F168" s="57" t="str">
        <f>IF($O168="","",INDEX(jr_order,$O168)&amp;"")</f>
        <v/>
      </c>
      <c r="G168" s="57" t="str">
        <f>IF($O168="","",INDEX(jr_ext,$O168)&amp;"")</f>
        <v/>
      </c>
      <c r="H168" s="57" t="str">
        <f>IF($O168="","",INDEX(jr_carrier,$O168)&amp;"")</f>
        <v/>
      </c>
      <c r="I168" s="66" t="str">
        <f>IF(A168="","",COUNTIF(jr_num,A168))</f>
        <v/>
      </c>
      <c r="J168" s="66" t="str">
        <f>IF(A168="","",SUMIF(jr_num,A168,jr_colis))</f>
        <v/>
      </c>
      <c r="K168" s="63" t="str">
        <f>IF(A168="","",SUMIF(jr_num,A168,jr_kg))</f>
        <v/>
      </c>
      <c r="L168" s="64" t="str">
        <f>IF(A168="","",SUMIF(jr_num,A168,jr_val))</f>
        <v/>
      </c>
      <c r="M168" s="60" t="str">
        <f>IF(A168="","",IF(COUNTIFS(jr_num,A168,jr_check,"&lt;&gt;OK")&gt;0,"À vérifier",IF(LEFT(A168,2)="BL",IF(COUNTIFS(jr_num,A168,jr_rel,"&gt;0")&gt;0,"Reliquat en cours",IF(COUNTIFS(jr_num,A168,jr_gap,"&lt;0")&gt;0,"Reliquat livré","Complet")),IF(LEFT(A168,2)="BR",IF(COUNTIFS(jr_num,A168,jr_etat,"Refusé")&gt;0,"Refusé",IF(COUNTIFS(jr_num,A168,jr_etat,"Avec réserves")&gt;0,"Avec réserves",IF(COUNTIFS(jr_num,A168,jr_rel,"&gt;0")&gt;0,"Reliquat en cours",IF(COUNTIFS(jr_num,A168,jr_gap,"&lt;0")+COUNTIFS(jr_num,A168,jr_gap,"&gt;0")&gt;0,"Écart","Conforme")))),IF(COUNTIFS(jr_num,A168,jr_gap,"&lt;0")&gt;0,"Partiel","Sorti")))))</f>
        <v/>
      </c>
      <c r="O168" t="str">
        <f>IFERROR(MATCH(163,jr_grank,0),"")</f>
        <v/>
      </c>
      <c r="R168" s="67" t="str">
        <f>IFERROR(INDEX(jr_num,MATCH("BL163",jr_nkey,0))&amp;"","")</f>
        <v/>
      </c>
      <c r="S168" s="67" t="str">
        <f>IFERROR(INDEX(jr_num,MATCH("BR163",jr_nkey,0))&amp;"","")</f>
        <v/>
      </c>
      <c r="T168" s="67" t="str">
        <f>IFERROR(INDEX(jr_num,MATCH("BS163",jr_nkey,0))&amp;"","")</f>
        <v/>
      </c>
    </row>
    <row r="169">
      <c r="A169" s="60" t="str">
        <f>IF($O169="","",INDEX(jr_num,$O169)&amp;"")</f>
        <v/>
      </c>
      <c r="B169" s="60" t="str">
        <f>IF($O169="","",IF(INDEX(jr_type,$O169)="BL","Livraison",IF(INDEX(jr_type,$O169)="BR","Réception","Sortie")))</f>
        <v/>
      </c>
      <c r="C169" s="65" t="str">
        <f>IF($O169="","",INDEX(jr_date,$O169))</f>
        <v/>
      </c>
      <c r="D169" s="60" t="str">
        <f>IF($O169="","",INDEX(jr_tiers,$O169)&amp;"")</f>
        <v/>
      </c>
      <c r="E169" s="57" t="str">
        <f>IF($O169="","",INDEX(jr_name,$O169)&amp;"")</f>
        <v/>
      </c>
      <c r="F169" s="57" t="str">
        <f>IF($O169="","",INDEX(jr_order,$O169)&amp;"")</f>
        <v/>
      </c>
      <c r="G169" s="57" t="str">
        <f>IF($O169="","",INDEX(jr_ext,$O169)&amp;"")</f>
        <v/>
      </c>
      <c r="H169" s="57" t="str">
        <f>IF($O169="","",INDEX(jr_carrier,$O169)&amp;"")</f>
        <v/>
      </c>
      <c r="I169" s="66" t="str">
        <f>IF(A169="","",COUNTIF(jr_num,A169))</f>
        <v/>
      </c>
      <c r="J169" s="66" t="str">
        <f>IF(A169="","",SUMIF(jr_num,A169,jr_colis))</f>
        <v/>
      </c>
      <c r="K169" s="63" t="str">
        <f>IF(A169="","",SUMIF(jr_num,A169,jr_kg))</f>
        <v/>
      </c>
      <c r="L169" s="64" t="str">
        <f>IF(A169="","",SUMIF(jr_num,A169,jr_val))</f>
        <v/>
      </c>
      <c r="M169" s="60" t="str">
        <f>IF(A169="","",IF(COUNTIFS(jr_num,A169,jr_check,"&lt;&gt;OK")&gt;0,"À vérifier",IF(LEFT(A169,2)="BL",IF(COUNTIFS(jr_num,A169,jr_rel,"&gt;0")&gt;0,"Reliquat en cours",IF(COUNTIFS(jr_num,A169,jr_gap,"&lt;0")&gt;0,"Reliquat livré","Complet")),IF(LEFT(A169,2)="BR",IF(COUNTIFS(jr_num,A169,jr_etat,"Refusé")&gt;0,"Refusé",IF(COUNTIFS(jr_num,A169,jr_etat,"Avec réserves")&gt;0,"Avec réserves",IF(COUNTIFS(jr_num,A169,jr_rel,"&gt;0")&gt;0,"Reliquat en cours",IF(COUNTIFS(jr_num,A169,jr_gap,"&lt;0")+COUNTIFS(jr_num,A169,jr_gap,"&gt;0")&gt;0,"Écart","Conforme")))),IF(COUNTIFS(jr_num,A169,jr_gap,"&lt;0")&gt;0,"Partiel","Sorti")))))</f>
        <v/>
      </c>
      <c r="O169" t="str">
        <f>IFERROR(MATCH(164,jr_grank,0),"")</f>
        <v/>
      </c>
      <c r="R169" s="67" t="str">
        <f>IFERROR(INDEX(jr_num,MATCH("BL164",jr_nkey,0))&amp;"","")</f>
        <v/>
      </c>
      <c r="S169" s="67" t="str">
        <f>IFERROR(INDEX(jr_num,MATCH("BR164",jr_nkey,0))&amp;"","")</f>
        <v/>
      </c>
      <c r="T169" s="67" t="str">
        <f>IFERROR(INDEX(jr_num,MATCH("BS164",jr_nkey,0))&amp;"","")</f>
        <v/>
      </c>
    </row>
    <row r="170">
      <c r="A170" s="60" t="str">
        <f>IF($O170="","",INDEX(jr_num,$O170)&amp;"")</f>
        <v/>
      </c>
      <c r="B170" s="60" t="str">
        <f>IF($O170="","",IF(INDEX(jr_type,$O170)="BL","Livraison",IF(INDEX(jr_type,$O170)="BR","Réception","Sortie")))</f>
        <v/>
      </c>
      <c r="C170" s="65" t="str">
        <f>IF($O170="","",INDEX(jr_date,$O170))</f>
        <v/>
      </c>
      <c r="D170" s="60" t="str">
        <f>IF($O170="","",INDEX(jr_tiers,$O170)&amp;"")</f>
        <v/>
      </c>
      <c r="E170" s="57" t="str">
        <f>IF($O170="","",INDEX(jr_name,$O170)&amp;"")</f>
        <v/>
      </c>
      <c r="F170" s="57" t="str">
        <f>IF($O170="","",INDEX(jr_order,$O170)&amp;"")</f>
        <v/>
      </c>
      <c r="G170" s="57" t="str">
        <f>IF($O170="","",INDEX(jr_ext,$O170)&amp;"")</f>
        <v/>
      </c>
      <c r="H170" s="57" t="str">
        <f>IF($O170="","",INDEX(jr_carrier,$O170)&amp;"")</f>
        <v/>
      </c>
      <c r="I170" s="66" t="str">
        <f>IF(A170="","",COUNTIF(jr_num,A170))</f>
        <v/>
      </c>
      <c r="J170" s="66" t="str">
        <f>IF(A170="","",SUMIF(jr_num,A170,jr_colis))</f>
        <v/>
      </c>
      <c r="K170" s="63" t="str">
        <f>IF(A170="","",SUMIF(jr_num,A170,jr_kg))</f>
        <v/>
      </c>
      <c r="L170" s="64" t="str">
        <f>IF(A170="","",SUMIF(jr_num,A170,jr_val))</f>
        <v/>
      </c>
      <c r="M170" s="60" t="str">
        <f>IF(A170="","",IF(COUNTIFS(jr_num,A170,jr_check,"&lt;&gt;OK")&gt;0,"À vérifier",IF(LEFT(A170,2)="BL",IF(COUNTIFS(jr_num,A170,jr_rel,"&gt;0")&gt;0,"Reliquat en cours",IF(COUNTIFS(jr_num,A170,jr_gap,"&lt;0")&gt;0,"Reliquat livré","Complet")),IF(LEFT(A170,2)="BR",IF(COUNTIFS(jr_num,A170,jr_etat,"Refusé")&gt;0,"Refusé",IF(COUNTIFS(jr_num,A170,jr_etat,"Avec réserves")&gt;0,"Avec réserves",IF(COUNTIFS(jr_num,A170,jr_rel,"&gt;0")&gt;0,"Reliquat en cours",IF(COUNTIFS(jr_num,A170,jr_gap,"&lt;0")+COUNTIFS(jr_num,A170,jr_gap,"&gt;0")&gt;0,"Écart","Conforme")))),IF(COUNTIFS(jr_num,A170,jr_gap,"&lt;0")&gt;0,"Partiel","Sorti")))))</f>
        <v/>
      </c>
      <c r="O170" t="str">
        <f>IFERROR(MATCH(165,jr_grank,0),"")</f>
        <v/>
      </c>
      <c r="R170" s="67" t="str">
        <f>IFERROR(INDEX(jr_num,MATCH("BL165",jr_nkey,0))&amp;"","")</f>
        <v/>
      </c>
      <c r="S170" s="67" t="str">
        <f>IFERROR(INDEX(jr_num,MATCH("BR165",jr_nkey,0))&amp;"","")</f>
        <v/>
      </c>
      <c r="T170" s="67" t="str">
        <f>IFERROR(INDEX(jr_num,MATCH("BS165",jr_nkey,0))&amp;"","")</f>
        <v/>
      </c>
    </row>
    <row r="171">
      <c r="A171" s="60" t="str">
        <f>IF($O171="","",INDEX(jr_num,$O171)&amp;"")</f>
        <v/>
      </c>
      <c r="B171" s="60" t="str">
        <f>IF($O171="","",IF(INDEX(jr_type,$O171)="BL","Livraison",IF(INDEX(jr_type,$O171)="BR","Réception","Sortie")))</f>
        <v/>
      </c>
      <c r="C171" s="65" t="str">
        <f>IF($O171="","",INDEX(jr_date,$O171))</f>
        <v/>
      </c>
      <c r="D171" s="60" t="str">
        <f>IF($O171="","",INDEX(jr_tiers,$O171)&amp;"")</f>
        <v/>
      </c>
      <c r="E171" s="57" t="str">
        <f>IF($O171="","",INDEX(jr_name,$O171)&amp;"")</f>
        <v/>
      </c>
      <c r="F171" s="57" t="str">
        <f>IF($O171="","",INDEX(jr_order,$O171)&amp;"")</f>
        <v/>
      </c>
      <c r="G171" s="57" t="str">
        <f>IF($O171="","",INDEX(jr_ext,$O171)&amp;"")</f>
        <v/>
      </c>
      <c r="H171" s="57" t="str">
        <f>IF($O171="","",INDEX(jr_carrier,$O171)&amp;"")</f>
        <v/>
      </c>
      <c r="I171" s="66" t="str">
        <f>IF(A171="","",COUNTIF(jr_num,A171))</f>
        <v/>
      </c>
      <c r="J171" s="66" t="str">
        <f>IF(A171="","",SUMIF(jr_num,A171,jr_colis))</f>
        <v/>
      </c>
      <c r="K171" s="63" t="str">
        <f>IF(A171="","",SUMIF(jr_num,A171,jr_kg))</f>
        <v/>
      </c>
      <c r="L171" s="64" t="str">
        <f>IF(A171="","",SUMIF(jr_num,A171,jr_val))</f>
        <v/>
      </c>
      <c r="M171" s="60" t="str">
        <f>IF(A171="","",IF(COUNTIFS(jr_num,A171,jr_check,"&lt;&gt;OK")&gt;0,"À vérifier",IF(LEFT(A171,2)="BL",IF(COUNTIFS(jr_num,A171,jr_rel,"&gt;0")&gt;0,"Reliquat en cours",IF(COUNTIFS(jr_num,A171,jr_gap,"&lt;0")&gt;0,"Reliquat livré","Complet")),IF(LEFT(A171,2)="BR",IF(COUNTIFS(jr_num,A171,jr_etat,"Refusé")&gt;0,"Refusé",IF(COUNTIFS(jr_num,A171,jr_etat,"Avec réserves")&gt;0,"Avec réserves",IF(COUNTIFS(jr_num,A171,jr_rel,"&gt;0")&gt;0,"Reliquat en cours",IF(COUNTIFS(jr_num,A171,jr_gap,"&lt;0")+COUNTIFS(jr_num,A171,jr_gap,"&gt;0")&gt;0,"Écart","Conforme")))),IF(COUNTIFS(jr_num,A171,jr_gap,"&lt;0")&gt;0,"Partiel","Sorti")))))</f>
        <v/>
      </c>
      <c r="O171" t="str">
        <f>IFERROR(MATCH(166,jr_grank,0),"")</f>
        <v/>
      </c>
      <c r="R171" s="67" t="str">
        <f>IFERROR(INDEX(jr_num,MATCH("BL166",jr_nkey,0))&amp;"","")</f>
        <v/>
      </c>
      <c r="S171" s="67" t="str">
        <f>IFERROR(INDEX(jr_num,MATCH("BR166",jr_nkey,0))&amp;"","")</f>
        <v/>
      </c>
      <c r="T171" s="67" t="str">
        <f>IFERROR(INDEX(jr_num,MATCH("BS166",jr_nkey,0))&amp;"","")</f>
        <v/>
      </c>
    </row>
    <row r="172">
      <c r="A172" s="60" t="str">
        <f>IF($O172="","",INDEX(jr_num,$O172)&amp;"")</f>
        <v/>
      </c>
      <c r="B172" s="60" t="str">
        <f>IF($O172="","",IF(INDEX(jr_type,$O172)="BL","Livraison",IF(INDEX(jr_type,$O172)="BR","Réception","Sortie")))</f>
        <v/>
      </c>
      <c r="C172" s="65" t="str">
        <f>IF($O172="","",INDEX(jr_date,$O172))</f>
        <v/>
      </c>
      <c r="D172" s="60" t="str">
        <f>IF($O172="","",INDEX(jr_tiers,$O172)&amp;"")</f>
        <v/>
      </c>
      <c r="E172" s="57" t="str">
        <f>IF($O172="","",INDEX(jr_name,$O172)&amp;"")</f>
        <v/>
      </c>
      <c r="F172" s="57" t="str">
        <f>IF($O172="","",INDEX(jr_order,$O172)&amp;"")</f>
        <v/>
      </c>
      <c r="G172" s="57" t="str">
        <f>IF($O172="","",INDEX(jr_ext,$O172)&amp;"")</f>
        <v/>
      </c>
      <c r="H172" s="57" t="str">
        <f>IF($O172="","",INDEX(jr_carrier,$O172)&amp;"")</f>
        <v/>
      </c>
      <c r="I172" s="66" t="str">
        <f>IF(A172="","",COUNTIF(jr_num,A172))</f>
        <v/>
      </c>
      <c r="J172" s="66" t="str">
        <f>IF(A172="","",SUMIF(jr_num,A172,jr_colis))</f>
        <v/>
      </c>
      <c r="K172" s="63" t="str">
        <f>IF(A172="","",SUMIF(jr_num,A172,jr_kg))</f>
        <v/>
      </c>
      <c r="L172" s="64" t="str">
        <f>IF(A172="","",SUMIF(jr_num,A172,jr_val))</f>
        <v/>
      </c>
      <c r="M172" s="60" t="str">
        <f>IF(A172="","",IF(COUNTIFS(jr_num,A172,jr_check,"&lt;&gt;OK")&gt;0,"À vérifier",IF(LEFT(A172,2)="BL",IF(COUNTIFS(jr_num,A172,jr_rel,"&gt;0")&gt;0,"Reliquat en cours",IF(COUNTIFS(jr_num,A172,jr_gap,"&lt;0")&gt;0,"Reliquat livré","Complet")),IF(LEFT(A172,2)="BR",IF(COUNTIFS(jr_num,A172,jr_etat,"Refusé")&gt;0,"Refusé",IF(COUNTIFS(jr_num,A172,jr_etat,"Avec réserves")&gt;0,"Avec réserves",IF(COUNTIFS(jr_num,A172,jr_rel,"&gt;0")&gt;0,"Reliquat en cours",IF(COUNTIFS(jr_num,A172,jr_gap,"&lt;0")+COUNTIFS(jr_num,A172,jr_gap,"&gt;0")&gt;0,"Écart","Conforme")))),IF(COUNTIFS(jr_num,A172,jr_gap,"&lt;0")&gt;0,"Partiel","Sorti")))))</f>
        <v/>
      </c>
      <c r="O172" t="str">
        <f>IFERROR(MATCH(167,jr_grank,0),"")</f>
        <v/>
      </c>
      <c r="R172" s="67" t="str">
        <f>IFERROR(INDEX(jr_num,MATCH("BL167",jr_nkey,0))&amp;"","")</f>
        <v/>
      </c>
      <c r="S172" s="67" t="str">
        <f>IFERROR(INDEX(jr_num,MATCH("BR167",jr_nkey,0))&amp;"","")</f>
        <v/>
      </c>
      <c r="T172" s="67" t="str">
        <f>IFERROR(INDEX(jr_num,MATCH("BS167",jr_nkey,0))&amp;"","")</f>
        <v/>
      </c>
    </row>
    <row r="173">
      <c r="A173" s="60" t="str">
        <f>IF($O173="","",INDEX(jr_num,$O173)&amp;"")</f>
        <v/>
      </c>
      <c r="B173" s="60" t="str">
        <f>IF($O173="","",IF(INDEX(jr_type,$O173)="BL","Livraison",IF(INDEX(jr_type,$O173)="BR","Réception","Sortie")))</f>
        <v/>
      </c>
      <c r="C173" s="65" t="str">
        <f>IF($O173="","",INDEX(jr_date,$O173))</f>
        <v/>
      </c>
      <c r="D173" s="60" t="str">
        <f>IF($O173="","",INDEX(jr_tiers,$O173)&amp;"")</f>
        <v/>
      </c>
      <c r="E173" s="57" t="str">
        <f>IF($O173="","",INDEX(jr_name,$O173)&amp;"")</f>
        <v/>
      </c>
      <c r="F173" s="57" t="str">
        <f>IF($O173="","",INDEX(jr_order,$O173)&amp;"")</f>
        <v/>
      </c>
      <c r="G173" s="57" t="str">
        <f>IF($O173="","",INDEX(jr_ext,$O173)&amp;"")</f>
        <v/>
      </c>
      <c r="H173" s="57" t="str">
        <f>IF($O173="","",INDEX(jr_carrier,$O173)&amp;"")</f>
        <v/>
      </c>
      <c r="I173" s="66" t="str">
        <f>IF(A173="","",COUNTIF(jr_num,A173))</f>
        <v/>
      </c>
      <c r="J173" s="66" t="str">
        <f>IF(A173="","",SUMIF(jr_num,A173,jr_colis))</f>
        <v/>
      </c>
      <c r="K173" s="63" t="str">
        <f>IF(A173="","",SUMIF(jr_num,A173,jr_kg))</f>
        <v/>
      </c>
      <c r="L173" s="64" t="str">
        <f>IF(A173="","",SUMIF(jr_num,A173,jr_val))</f>
        <v/>
      </c>
      <c r="M173" s="60" t="str">
        <f>IF(A173="","",IF(COUNTIFS(jr_num,A173,jr_check,"&lt;&gt;OK")&gt;0,"À vérifier",IF(LEFT(A173,2)="BL",IF(COUNTIFS(jr_num,A173,jr_rel,"&gt;0")&gt;0,"Reliquat en cours",IF(COUNTIFS(jr_num,A173,jr_gap,"&lt;0")&gt;0,"Reliquat livré","Complet")),IF(LEFT(A173,2)="BR",IF(COUNTIFS(jr_num,A173,jr_etat,"Refusé")&gt;0,"Refusé",IF(COUNTIFS(jr_num,A173,jr_etat,"Avec réserves")&gt;0,"Avec réserves",IF(COUNTIFS(jr_num,A173,jr_rel,"&gt;0")&gt;0,"Reliquat en cours",IF(COUNTIFS(jr_num,A173,jr_gap,"&lt;0")+COUNTIFS(jr_num,A173,jr_gap,"&gt;0")&gt;0,"Écart","Conforme")))),IF(COUNTIFS(jr_num,A173,jr_gap,"&lt;0")&gt;0,"Partiel","Sorti")))))</f>
        <v/>
      </c>
      <c r="O173" t="str">
        <f>IFERROR(MATCH(168,jr_grank,0),"")</f>
        <v/>
      </c>
      <c r="R173" s="67" t="str">
        <f>IFERROR(INDEX(jr_num,MATCH("BL168",jr_nkey,0))&amp;"","")</f>
        <v/>
      </c>
      <c r="S173" s="67" t="str">
        <f>IFERROR(INDEX(jr_num,MATCH("BR168",jr_nkey,0))&amp;"","")</f>
        <v/>
      </c>
      <c r="T173" s="67" t="str">
        <f>IFERROR(INDEX(jr_num,MATCH("BS168",jr_nkey,0))&amp;"","")</f>
        <v/>
      </c>
    </row>
    <row r="174">
      <c r="A174" s="60" t="str">
        <f>IF($O174="","",INDEX(jr_num,$O174)&amp;"")</f>
        <v/>
      </c>
      <c r="B174" s="60" t="str">
        <f>IF($O174="","",IF(INDEX(jr_type,$O174)="BL","Livraison",IF(INDEX(jr_type,$O174)="BR","Réception","Sortie")))</f>
        <v/>
      </c>
      <c r="C174" s="65" t="str">
        <f>IF($O174="","",INDEX(jr_date,$O174))</f>
        <v/>
      </c>
      <c r="D174" s="60" t="str">
        <f>IF($O174="","",INDEX(jr_tiers,$O174)&amp;"")</f>
        <v/>
      </c>
      <c r="E174" s="57" t="str">
        <f>IF($O174="","",INDEX(jr_name,$O174)&amp;"")</f>
        <v/>
      </c>
      <c r="F174" s="57" t="str">
        <f>IF($O174="","",INDEX(jr_order,$O174)&amp;"")</f>
        <v/>
      </c>
      <c r="G174" s="57" t="str">
        <f>IF($O174="","",INDEX(jr_ext,$O174)&amp;"")</f>
        <v/>
      </c>
      <c r="H174" s="57" t="str">
        <f>IF($O174="","",INDEX(jr_carrier,$O174)&amp;"")</f>
        <v/>
      </c>
      <c r="I174" s="66" t="str">
        <f>IF(A174="","",COUNTIF(jr_num,A174))</f>
        <v/>
      </c>
      <c r="J174" s="66" t="str">
        <f>IF(A174="","",SUMIF(jr_num,A174,jr_colis))</f>
        <v/>
      </c>
      <c r="K174" s="63" t="str">
        <f>IF(A174="","",SUMIF(jr_num,A174,jr_kg))</f>
        <v/>
      </c>
      <c r="L174" s="64" t="str">
        <f>IF(A174="","",SUMIF(jr_num,A174,jr_val))</f>
        <v/>
      </c>
      <c r="M174" s="60" t="str">
        <f>IF(A174="","",IF(COUNTIFS(jr_num,A174,jr_check,"&lt;&gt;OK")&gt;0,"À vérifier",IF(LEFT(A174,2)="BL",IF(COUNTIFS(jr_num,A174,jr_rel,"&gt;0")&gt;0,"Reliquat en cours",IF(COUNTIFS(jr_num,A174,jr_gap,"&lt;0")&gt;0,"Reliquat livré","Complet")),IF(LEFT(A174,2)="BR",IF(COUNTIFS(jr_num,A174,jr_etat,"Refusé")&gt;0,"Refusé",IF(COUNTIFS(jr_num,A174,jr_etat,"Avec réserves")&gt;0,"Avec réserves",IF(COUNTIFS(jr_num,A174,jr_rel,"&gt;0")&gt;0,"Reliquat en cours",IF(COUNTIFS(jr_num,A174,jr_gap,"&lt;0")+COUNTIFS(jr_num,A174,jr_gap,"&gt;0")&gt;0,"Écart","Conforme")))),IF(COUNTIFS(jr_num,A174,jr_gap,"&lt;0")&gt;0,"Partiel","Sorti")))))</f>
        <v/>
      </c>
      <c r="O174" t="str">
        <f>IFERROR(MATCH(169,jr_grank,0),"")</f>
        <v/>
      </c>
      <c r="R174" s="67" t="str">
        <f>IFERROR(INDEX(jr_num,MATCH("BL169",jr_nkey,0))&amp;"","")</f>
        <v/>
      </c>
      <c r="S174" s="67" t="str">
        <f>IFERROR(INDEX(jr_num,MATCH("BR169",jr_nkey,0))&amp;"","")</f>
        <v/>
      </c>
      <c r="T174" s="67" t="str">
        <f>IFERROR(INDEX(jr_num,MATCH("BS169",jr_nkey,0))&amp;"","")</f>
        <v/>
      </c>
    </row>
    <row r="175">
      <c r="A175" s="60" t="str">
        <f>IF($O175="","",INDEX(jr_num,$O175)&amp;"")</f>
        <v/>
      </c>
      <c r="B175" s="60" t="str">
        <f>IF($O175="","",IF(INDEX(jr_type,$O175)="BL","Livraison",IF(INDEX(jr_type,$O175)="BR","Réception","Sortie")))</f>
        <v/>
      </c>
      <c r="C175" s="65" t="str">
        <f>IF($O175="","",INDEX(jr_date,$O175))</f>
        <v/>
      </c>
      <c r="D175" s="60" t="str">
        <f>IF($O175="","",INDEX(jr_tiers,$O175)&amp;"")</f>
        <v/>
      </c>
      <c r="E175" s="57" t="str">
        <f>IF($O175="","",INDEX(jr_name,$O175)&amp;"")</f>
        <v/>
      </c>
      <c r="F175" s="57" t="str">
        <f>IF($O175="","",INDEX(jr_order,$O175)&amp;"")</f>
        <v/>
      </c>
      <c r="G175" s="57" t="str">
        <f>IF($O175="","",INDEX(jr_ext,$O175)&amp;"")</f>
        <v/>
      </c>
      <c r="H175" s="57" t="str">
        <f>IF($O175="","",INDEX(jr_carrier,$O175)&amp;"")</f>
        <v/>
      </c>
      <c r="I175" s="66" t="str">
        <f>IF(A175="","",COUNTIF(jr_num,A175))</f>
        <v/>
      </c>
      <c r="J175" s="66" t="str">
        <f>IF(A175="","",SUMIF(jr_num,A175,jr_colis))</f>
        <v/>
      </c>
      <c r="K175" s="63" t="str">
        <f>IF(A175="","",SUMIF(jr_num,A175,jr_kg))</f>
        <v/>
      </c>
      <c r="L175" s="64" t="str">
        <f>IF(A175="","",SUMIF(jr_num,A175,jr_val))</f>
        <v/>
      </c>
      <c r="M175" s="60" t="str">
        <f>IF(A175="","",IF(COUNTIFS(jr_num,A175,jr_check,"&lt;&gt;OK")&gt;0,"À vérifier",IF(LEFT(A175,2)="BL",IF(COUNTIFS(jr_num,A175,jr_rel,"&gt;0")&gt;0,"Reliquat en cours",IF(COUNTIFS(jr_num,A175,jr_gap,"&lt;0")&gt;0,"Reliquat livré","Complet")),IF(LEFT(A175,2)="BR",IF(COUNTIFS(jr_num,A175,jr_etat,"Refusé")&gt;0,"Refusé",IF(COUNTIFS(jr_num,A175,jr_etat,"Avec réserves")&gt;0,"Avec réserves",IF(COUNTIFS(jr_num,A175,jr_rel,"&gt;0")&gt;0,"Reliquat en cours",IF(COUNTIFS(jr_num,A175,jr_gap,"&lt;0")+COUNTIFS(jr_num,A175,jr_gap,"&gt;0")&gt;0,"Écart","Conforme")))),IF(COUNTIFS(jr_num,A175,jr_gap,"&lt;0")&gt;0,"Partiel","Sorti")))))</f>
        <v/>
      </c>
      <c r="O175" t="str">
        <f>IFERROR(MATCH(170,jr_grank,0),"")</f>
        <v/>
      </c>
      <c r="R175" s="67" t="str">
        <f>IFERROR(INDEX(jr_num,MATCH("BL170",jr_nkey,0))&amp;"","")</f>
        <v/>
      </c>
      <c r="S175" s="67" t="str">
        <f>IFERROR(INDEX(jr_num,MATCH("BR170",jr_nkey,0))&amp;"","")</f>
        <v/>
      </c>
      <c r="T175" s="67" t="str">
        <f>IFERROR(INDEX(jr_num,MATCH("BS170",jr_nkey,0))&amp;"","")</f>
        <v/>
      </c>
    </row>
    <row r="176">
      <c r="A176" s="60" t="str">
        <f>IF($O176="","",INDEX(jr_num,$O176)&amp;"")</f>
        <v/>
      </c>
      <c r="B176" s="60" t="str">
        <f>IF($O176="","",IF(INDEX(jr_type,$O176)="BL","Livraison",IF(INDEX(jr_type,$O176)="BR","Réception","Sortie")))</f>
        <v/>
      </c>
      <c r="C176" s="65" t="str">
        <f>IF($O176="","",INDEX(jr_date,$O176))</f>
        <v/>
      </c>
      <c r="D176" s="60" t="str">
        <f>IF($O176="","",INDEX(jr_tiers,$O176)&amp;"")</f>
        <v/>
      </c>
      <c r="E176" s="57" t="str">
        <f>IF($O176="","",INDEX(jr_name,$O176)&amp;"")</f>
        <v/>
      </c>
      <c r="F176" s="57" t="str">
        <f>IF($O176="","",INDEX(jr_order,$O176)&amp;"")</f>
        <v/>
      </c>
      <c r="G176" s="57" t="str">
        <f>IF($O176="","",INDEX(jr_ext,$O176)&amp;"")</f>
        <v/>
      </c>
      <c r="H176" s="57" t="str">
        <f>IF($O176="","",INDEX(jr_carrier,$O176)&amp;"")</f>
        <v/>
      </c>
      <c r="I176" s="66" t="str">
        <f>IF(A176="","",COUNTIF(jr_num,A176))</f>
        <v/>
      </c>
      <c r="J176" s="66" t="str">
        <f>IF(A176="","",SUMIF(jr_num,A176,jr_colis))</f>
        <v/>
      </c>
      <c r="K176" s="63" t="str">
        <f>IF(A176="","",SUMIF(jr_num,A176,jr_kg))</f>
        <v/>
      </c>
      <c r="L176" s="64" t="str">
        <f>IF(A176="","",SUMIF(jr_num,A176,jr_val))</f>
        <v/>
      </c>
      <c r="M176" s="60" t="str">
        <f>IF(A176="","",IF(COUNTIFS(jr_num,A176,jr_check,"&lt;&gt;OK")&gt;0,"À vérifier",IF(LEFT(A176,2)="BL",IF(COUNTIFS(jr_num,A176,jr_rel,"&gt;0")&gt;0,"Reliquat en cours",IF(COUNTIFS(jr_num,A176,jr_gap,"&lt;0")&gt;0,"Reliquat livré","Complet")),IF(LEFT(A176,2)="BR",IF(COUNTIFS(jr_num,A176,jr_etat,"Refusé")&gt;0,"Refusé",IF(COUNTIFS(jr_num,A176,jr_etat,"Avec réserves")&gt;0,"Avec réserves",IF(COUNTIFS(jr_num,A176,jr_rel,"&gt;0")&gt;0,"Reliquat en cours",IF(COUNTIFS(jr_num,A176,jr_gap,"&lt;0")+COUNTIFS(jr_num,A176,jr_gap,"&gt;0")&gt;0,"Écart","Conforme")))),IF(COUNTIFS(jr_num,A176,jr_gap,"&lt;0")&gt;0,"Partiel","Sorti")))))</f>
        <v/>
      </c>
      <c r="O176" t="str">
        <f>IFERROR(MATCH(171,jr_grank,0),"")</f>
        <v/>
      </c>
      <c r="R176" s="67" t="str">
        <f>IFERROR(INDEX(jr_num,MATCH("BL171",jr_nkey,0))&amp;"","")</f>
        <v/>
      </c>
      <c r="S176" s="67" t="str">
        <f>IFERROR(INDEX(jr_num,MATCH("BR171",jr_nkey,0))&amp;"","")</f>
        <v/>
      </c>
      <c r="T176" s="67" t="str">
        <f>IFERROR(INDEX(jr_num,MATCH("BS171",jr_nkey,0))&amp;"","")</f>
        <v/>
      </c>
    </row>
    <row r="177">
      <c r="A177" s="60" t="str">
        <f>IF($O177="","",INDEX(jr_num,$O177)&amp;"")</f>
        <v/>
      </c>
      <c r="B177" s="60" t="str">
        <f>IF($O177="","",IF(INDEX(jr_type,$O177)="BL","Livraison",IF(INDEX(jr_type,$O177)="BR","Réception","Sortie")))</f>
        <v/>
      </c>
      <c r="C177" s="65" t="str">
        <f>IF($O177="","",INDEX(jr_date,$O177))</f>
        <v/>
      </c>
      <c r="D177" s="60" t="str">
        <f>IF($O177="","",INDEX(jr_tiers,$O177)&amp;"")</f>
        <v/>
      </c>
      <c r="E177" s="57" t="str">
        <f>IF($O177="","",INDEX(jr_name,$O177)&amp;"")</f>
        <v/>
      </c>
      <c r="F177" s="57" t="str">
        <f>IF($O177="","",INDEX(jr_order,$O177)&amp;"")</f>
        <v/>
      </c>
      <c r="G177" s="57" t="str">
        <f>IF($O177="","",INDEX(jr_ext,$O177)&amp;"")</f>
        <v/>
      </c>
      <c r="H177" s="57" t="str">
        <f>IF($O177="","",INDEX(jr_carrier,$O177)&amp;"")</f>
        <v/>
      </c>
      <c r="I177" s="66" t="str">
        <f>IF(A177="","",COUNTIF(jr_num,A177))</f>
        <v/>
      </c>
      <c r="J177" s="66" t="str">
        <f>IF(A177="","",SUMIF(jr_num,A177,jr_colis))</f>
        <v/>
      </c>
      <c r="K177" s="63" t="str">
        <f>IF(A177="","",SUMIF(jr_num,A177,jr_kg))</f>
        <v/>
      </c>
      <c r="L177" s="64" t="str">
        <f>IF(A177="","",SUMIF(jr_num,A177,jr_val))</f>
        <v/>
      </c>
      <c r="M177" s="60" t="str">
        <f>IF(A177="","",IF(COUNTIFS(jr_num,A177,jr_check,"&lt;&gt;OK")&gt;0,"À vérifier",IF(LEFT(A177,2)="BL",IF(COUNTIFS(jr_num,A177,jr_rel,"&gt;0")&gt;0,"Reliquat en cours",IF(COUNTIFS(jr_num,A177,jr_gap,"&lt;0")&gt;0,"Reliquat livré","Complet")),IF(LEFT(A177,2)="BR",IF(COUNTIFS(jr_num,A177,jr_etat,"Refusé")&gt;0,"Refusé",IF(COUNTIFS(jr_num,A177,jr_etat,"Avec réserves")&gt;0,"Avec réserves",IF(COUNTIFS(jr_num,A177,jr_rel,"&gt;0")&gt;0,"Reliquat en cours",IF(COUNTIFS(jr_num,A177,jr_gap,"&lt;0")+COUNTIFS(jr_num,A177,jr_gap,"&gt;0")&gt;0,"Écart","Conforme")))),IF(COUNTIFS(jr_num,A177,jr_gap,"&lt;0")&gt;0,"Partiel","Sorti")))))</f>
        <v/>
      </c>
      <c r="O177" t="str">
        <f>IFERROR(MATCH(172,jr_grank,0),"")</f>
        <v/>
      </c>
      <c r="R177" s="67" t="str">
        <f>IFERROR(INDEX(jr_num,MATCH("BL172",jr_nkey,0))&amp;"","")</f>
        <v/>
      </c>
      <c r="S177" s="67" t="str">
        <f>IFERROR(INDEX(jr_num,MATCH("BR172",jr_nkey,0))&amp;"","")</f>
        <v/>
      </c>
      <c r="T177" s="67" t="str">
        <f>IFERROR(INDEX(jr_num,MATCH("BS172",jr_nkey,0))&amp;"","")</f>
        <v/>
      </c>
    </row>
    <row r="178">
      <c r="A178" s="60" t="str">
        <f>IF($O178="","",INDEX(jr_num,$O178)&amp;"")</f>
        <v/>
      </c>
      <c r="B178" s="60" t="str">
        <f>IF($O178="","",IF(INDEX(jr_type,$O178)="BL","Livraison",IF(INDEX(jr_type,$O178)="BR","Réception","Sortie")))</f>
        <v/>
      </c>
      <c r="C178" s="65" t="str">
        <f>IF($O178="","",INDEX(jr_date,$O178))</f>
        <v/>
      </c>
      <c r="D178" s="60" t="str">
        <f>IF($O178="","",INDEX(jr_tiers,$O178)&amp;"")</f>
        <v/>
      </c>
      <c r="E178" s="57" t="str">
        <f>IF($O178="","",INDEX(jr_name,$O178)&amp;"")</f>
        <v/>
      </c>
      <c r="F178" s="57" t="str">
        <f>IF($O178="","",INDEX(jr_order,$O178)&amp;"")</f>
        <v/>
      </c>
      <c r="G178" s="57" t="str">
        <f>IF($O178="","",INDEX(jr_ext,$O178)&amp;"")</f>
        <v/>
      </c>
      <c r="H178" s="57" t="str">
        <f>IF($O178="","",INDEX(jr_carrier,$O178)&amp;"")</f>
        <v/>
      </c>
      <c r="I178" s="66" t="str">
        <f>IF(A178="","",COUNTIF(jr_num,A178))</f>
        <v/>
      </c>
      <c r="J178" s="66" t="str">
        <f>IF(A178="","",SUMIF(jr_num,A178,jr_colis))</f>
        <v/>
      </c>
      <c r="K178" s="63" t="str">
        <f>IF(A178="","",SUMIF(jr_num,A178,jr_kg))</f>
        <v/>
      </c>
      <c r="L178" s="64" t="str">
        <f>IF(A178="","",SUMIF(jr_num,A178,jr_val))</f>
        <v/>
      </c>
      <c r="M178" s="60" t="str">
        <f>IF(A178="","",IF(COUNTIFS(jr_num,A178,jr_check,"&lt;&gt;OK")&gt;0,"À vérifier",IF(LEFT(A178,2)="BL",IF(COUNTIFS(jr_num,A178,jr_rel,"&gt;0")&gt;0,"Reliquat en cours",IF(COUNTIFS(jr_num,A178,jr_gap,"&lt;0")&gt;0,"Reliquat livré","Complet")),IF(LEFT(A178,2)="BR",IF(COUNTIFS(jr_num,A178,jr_etat,"Refusé")&gt;0,"Refusé",IF(COUNTIFS(jr_num,A178,jr_etat,"Avec réserves")&gt;0,"Avec réserves",IF(COUNTIFS(jr_num,A178,jr_rel,"&gt;0")&gt;0,"Reliquat en cours",IF(COUNTIFS(jr_num,A178,jr_gap,"&lt;0")+COUNTIFS(jr_num,A178,jr_gap,"&gt;0")&gt;0,"Écart","Conforme")))),IF(COUNTIFS(jr_num,A178,jr_gap,"&lt;0")&gt;0,"Partiel","Sorti")))))</f>
        <v/>
      </c>
      <c r="O178" t="str">
        <f>IFERROR(MATCH(173,jr_grank,0),"")</f>
        <v/>
      </c>
      <c r="R178" s="67" t="str">
        <f>IFERROR(INDEX(jr_num,MATCH("BL173",jr_nkey,0))&amp;"","")</f>
        <v/>
      </c>
      <c r="S178" s="67" t="str">
        <f>IFERROR(INDEX(jr_num,MATCH("BR173",jr_nkey,0))&amp;"","")</f>
        <v/>
      </c>
      <c r="T178" s="67" t="str">
        <f>IFERROR(INDEX(jr_num,MATCH("BS173",jr_nkey,0))&amp;"","")</f>
        <v/>
      </c>
    </row>
    <row r="179">
      <c r="A179" s="60" t="str">
        <f>IF($O179="","",INDEX(jr_num,$O179)&amp;"")</f>
        <v/>
      </c>
      <c r="B179" s="60" t="str">
        <f>IF($O179="","",IF(INDEX(jr_type,$O179)="BL","Livraison",IF(INDEX(jr_type,$O179)="BR","Réception","Sortie")))</f>
        <v/>
      </c>
      <c r="C179" s="65" t="str">
        <f>IF($O179="","",INDEX(jr_date,$O179))</f>
        <v/>
      </c>
      <c r="D179" s="60" t="str">
        <f>IF($O179="","",INDEX(jr_tiers,$O179)&amp;"")</f>
        <v/>
      </c>
      <c r="E179" s="57" t="str">
        <f>IF($O179="","",INDEX(jr_name,$O179)&amp;"")</f>
        <v/>
      </c>
      <c r="F179" s="57" t="str">
        <f>IF($O179="","",INDEX(jr_order,$O179)&amp;"")</f>
        <v/>
      </c>
      <c r="G179" s="57" t="str">
        <f>IF($O179="","",INDEX(jr_ext,$O179)&amp;"")</f>
        <v/>
      </c>
      <c r="H179" s="57" t="str">
        <f>IF($O179="","",INDEX(jr_carrier,$O179)&amp;"")</f>
        <v/>
      </c>
      <c r="I179" s="66" t="str">
        <f>IF(A179="","",COUNTIF(jr_num,A179))</f>
        <v/>
      </c>
      <c r="J179" s="66" t="str">
        <f>IF(A179="","",SUMIF(jr_num,A179,jr_colis))</f>
        <v/>
      </c>
      <c r="K179" s="63" t="str">
        <f>IF(A179="","",SUMIF(jr_num,A179,jr_kg))</f>
        <v/>
      </c>
      <c r="L179" s="64" t="str">
        <f>IF(A179="","",SUMIF(jr_num,A179,jr_val))</f>
        <v/>
      </c>
      <c r="M179" s="60" t="str">
        <f>IF(A179="","",IF(COUNTIFS(jr_num,A179,jr_check,"&lt;&gt;OK")&gt;0,"À vérifier",IF(LEFT(A179,2)="BL",IF(COUNTIFS(jr_num,A179,jr_rel,"&gt;0")&gt;0,"Reliquat en cours",IF(COUNTIFS(jr_num,A179,jr_gap,"&lt;0")&gt;0,"Reliquat livré","Complet")),IF(LEFT(A179,2)="BR",IF(COUNTIFS(jr_num,A179,jr_etat,"Refusé")&gt;0,"Refusé",IF(COUNTIFS(jr_num,A179,jr_etat,"Avec réserves")&gt;0,"Avec réserves",IF(COUNTIFS(jr_num,A179,jr_rel,"&gt;0")&gt;0,"Reliquat en cours",IF(COUNTIFS(jr_num,A179,jr_gap,"&lt;0")+COUNTIFS(jr_num,A179,jr_gap,"&gt;0")&gt;0,"Écart","Conforme")))),IF(COUNTIFS(jr_num,A179,jr_gap,"&lt;0")&gt;0,"Partiel","Sorti")))))</f>
        <v/>
      </c>
      <c r="O179" t="str">
        <f>IFERROR(MATCH(174,jr_grank,0),"")</f>
        <v/>
      </c>
      <c r="R179" s="67" t="str">
        <f>IFERROR(INDEX(jr_num,MATCH("BL174",jr_nkey,0))&amp;"","")</f>
        <v/>
      </c>
      <c r="S179" s="67" t="str">
        <f>IFERROR(INDEX(jr_num,MATCH("BR174",jr_nkey,0))&amp;"","")</f>
        <v/>
      </c>
      <c r="T179" s="67" t="str">
        <f>IFERROR(INDEX(jr_num,MATCH("BS174",jr_nkey,0))&amp;"","")</f>
        <v/>
      </c>
    </row>
    <row r="180">
      <c r="A180" s="60" t="str">
        <f>IF($O180="","",INDEX(jr_num,$O180)&amp;"")</f>
        <v/>
      </c>
      <c r="B180" s="60" t="str">
        <f>IF($O180="","",IF(INDEX(jr_type,$O180)="BL","Livraison",IF(INDEX(jr_type,$O180)="BR","Réception","Sortie")))</f>
        <v/>
      </c>
      <c r="C180" s="65" t="str">
        <f>IF($O180="","",INDEX(jr_date,$O180))</f>
        <v/>
      </c>
      <c r="D180" s="60" t="str">
        <f>IF($O180="","",INDEX(jr_tiers,$O180)&amp;"")</f>
        <v/>
      </c>
      <c r="E180" s="57" t="str">
        <f>IF($O180="","",INDEX(jr_name,$O180)&amp;"")</f>
        <v/>
      </c>
      <c r="F180" s="57" t="str">
        <f>IF($O180="","",INDEX(jr_order,$O180)&amp;"")</f>
        <v/>
      </c>
      <c r="G180" s="57" t="str">
        <f>IF($O180="","",INDEX(jr_ext,$O180)&amp;"")</f>
        <v/>
      </c>
      <c r="H180" s="57" t="str">
        <f>IF($O180="","",INDEX(jr_carrier,$O180)&amp;"")</f>
        <v/>
      </c>
      <c r="I180" s="66" t="str">
        <f>IF(A180="","",COUNTIF(jr_num,A180))</f>
        <v/>
      </c>
      <c r="J180" s="66" t="str">
        <f>IF(A180="","",SUMIF(jr_num,A180,jr_colis))</f>
        <v/>
      </c>
      <c r="K180" s="63" t="str">
        <f>IF(A180="","",SUMIF(jr_num,A180,jr_kg))</f>
        <v/>
      </c>
      <c r="L180" s="64" t="str">
        <f>IF(A180="","",SUMIF(jr_num,A180,jr_val))</f>
        <v/>
      </c>
      <c r="M180" s="60" t="str">
        <f>IF(A180="","",IF(COUNTIFS(jr_num,A180,jr_check,"&lt;&gt;OK")&gt;0,"À vérifier",IF(LEFT(A180,2)="BL",IF(COUNTIFS(jr_num,A180,jr_rel,"&gt;0")&gt;0,"Reliquat en cours",IF(COUNTIFS(jr_num,A180,jr_gap,"&lt;0")&gt;0,"Reliquat livré","Complet")),IF(LEFT(A180,2)="BR",IF(COUNTIFS(jr_num,A180,jr_etat,"Refusé")&gt;0,"Refusé",IF(COUNTIFS(jr_num,A180,jr_etat,"Avec réserves")&gt;0,"Avec réserves",IF(COUNTIFS(jr_num,A180,jr_rel,"&gt;0")&gt;0,"Reliquat en cours",IF(COUNTIFS(jr_num,A180,jr_gap,"&lt;0")+COUNTIFS(jr_num,A180,jr_gap,"&gt;0")&gt;0,"Écart","Conforme")))),IF(COUNTIFS(jr_num,A180,jr_gap,"&lt;0")&gt;0,"Partiel","Sorti")))))</f>
        <v/>
      </c>
      <c r="O180" t="str">
        <f>IFERROR(MATCH(175,jr_grank,0),"")</f>
        <v/>
      </c>
      <c r="R180" s="67" t="str">
        <f>IFERROR(INDEX(jr_num,MATCH("BL175",jr_nkey,0))&amp;"","")</f>
        <v/>
      </c>
      <c r="S180" s="67" t="str">
        <f>IFERROR(INDEX(jr_num,MATCH("BR175",jr_nkey,0))&amp;"","")</f>
        <v/>
      </c>
      <c r="T180" s="67" t="str">
        <f>IFERROR(INDEX(jr_num,MATCH("BS175",jr_nkey,0))&amp;"","")</f>
        <v/>
      </c>
    </row>
    <row r="181">
      <c r="A181" s="60" t="str">
        <f>IF($O181="","",INDEX(jr_num,$O181)&amp;"")</f>
        <v/>
      </c>
      <c r="B181" s="60" t="str">
        <f>IF($O181="","",IF(INDEX(jr_type,$O181)="BL","Livraison",IF(INDEX(jr_type,$O181)="BR","Réception","Sortie")))</f>
        <v/>
      </c>
      <c r="C181" s="65" t="str">
        <f>IF($O181="","",INDEX(jr_date,$O181))</f>
        <v/>
      </c>
      <c r="D181" s="60" t="str">
        <f>IF($O181="","",INDEX(jr_tiers,$O181)&amp;"")</f>
        <v/>
      </c>
      <c r="E181" s="57" t="str">
        <f>IF($O181="","",INDEX(jr_name,$O181)&amp;"")</f>
        <v/>
      </c>
      <c r="F181" s="57" t="str">
        <f>IF($O181="","",INDEX(jr_order,$O181)&amp;"")</f>
        <v/>
      </c>
      <c r="G181" s="57" t="str">
        <f>IF($O181="","",INDEX(jr_ext,$O181)&amp;"")</f>
        <v/>
      </c>
      <c r="H181" s="57" t="str">
        <f>IF($O181="","",INDEX(jr_carrier,$O181)&amp;"")</f>
        <v/>
      </c>
      <c r="I181" s="66" t="str">
        <f>IF(A181="","",COUNTIF(jr_num,A181))</f>
        <v/>
      </c>
      <c r="J181" s="66" t="str">
        <f>IF(A181="","",SUMIF(jr_num,A181,jr_colis))</f>
        <v/>
      </c>
      <c r="K181" s="63" t="str">
        <f>IF(A181="","",SUMIF(jr_num,A181,jr_kg))</f>
        <v/>
      </c>
      <c r="L181" s="64" t="str">
        <f>IF(A181="","",SUMIF(jr_num,A181,jr_val))</f>
        <v/>
      </c>
      <c r="M181" s="60" t="str">
        <f>IF(A181="","",IF(COUNTIFS(jr_num,A181,jr_check,"&lt;&gt;OK")&gt;0,"À vérifier",IF(LEFT(A181,2)="BL",IF(COUNTIFS(jr_num,A181,jr_rel,"&gt;0")&gt;0,"Reliquat en cours",IF(COUNTIFS(jr_num,A181,jr_gap,"&lt;0")&gt;0,"Reliquat livré","Complet")),IF(LEFT(A181,2)="BR",IF(COUNTIFS(jr_num,A181,jr_etat,"Refusé")&gt;0,"Refusé",IF(COUNTIFS(jr_num,A181,jr_etat,"Avec réserves")&gt;0,"Avec réserves",IF(COUNTIFS(jr_num,A181,jr_rel,"&gt;0")&gt;0,"Reliquat en cours",IF(COUNTIFS(jr_num,A181,jr_gap,"&lt;0")+COUNTIFS(jr_num,A181,jr_gap,"&gt;0")&gt;0,"Écart","Conforme")))),IF(COUNTIFS(jr_num,A181,jr_gap,"&lt;0")&gt;0,"Partiel","Sorti")))))</f>
        <v/>
      </c>
      <c r="O181" t="str">
        <f>IFERROR(MATCH(176,jr_grank,0),"")</f>
        <v/>
      </c>
      <c r="R181" s="67" t="str">
        <f>IFERROR(INDEX(jr_num,MATCH("BL176",jr_nkey,0))&amp;"","")</f>
        <v/>
      </c>
      <c r="S181" s="67" t="str">
        <f>IFERROR(INDEX(jr_num,MATCH("BR176",jr_nkey,0))&amp;"","")</f>
        <v/>
      </c>
      <c r="T181" s="67" t="str">
        <f>IFERROR(INDEX(jr_num,MATCH("BS176",jr_nkey,0))&amp;"","")</f>
        <v/>
      </c>
    </row>
    <row r="182">
      <c r="A182" s="60" t="str">
        <f>IF($O182="","",INDEX(jr_num,$O182)&amp;"")</f>
        <v/>
      </c>
      <c r="B182" s="60" t="str">
        <f>IF($O182="","",IF(INDEX(jr_type,$O182)="BL","Livraison",IF(INDEX(jr_type,$O182)="BR","Réception","Sortie")))</f>
        <v/>
      </c>
      <c r="C182" s="65" t="str">
        <f>IF($O182="","",INDEX(jr_date,$O182))</f>
        <v/>
      </c>
      <c r="D182" s="60" t="str">
        <f>IF($O182="","",INDEX(jr_tiers,$O182)&amp;"")</f>
        <v/>
      </c>
      <c r="E182" s="57" t="str">
        <f>IF($O182="","",INDEX(jr_name,$O182)&amp;"")</f>
        <v/>
      </c>
      <c r="F182" s="57" t="str">
        <f>IF($O182="","",INDEX(jr_order,$O182)&amp;"")</f>
        <v/>
      </c>
      <c r="G182" s="57" t="str">
        <f>IF($O182="","",INDEX(jr_ext,$O182)&amp;"")</f>
        <v/>
      </c>
      <c r="H182" s="57" t="str">
        <f>IF($O182="","",INDEX(jr_carrier,$O182)&amp;"")</f>
        <v/>
      </c>
      <c r="I182" s="66" t="str">
        <f>IF(A182="","",COUNTIF(jr_num,A182))</f>
        <v/>
      </c>
      <c r="J182" s="66" t="str">
        <f>IF(A182="","",SUMIF(jr_num,A182,jr_colis))</f>
        <v/>
      </c>
      <c r="K182" s="63" t="str">
        <f>IF(A182="","",SUMIF(jr_num,A182,jr_kg))</f>
        <v/>
      </c>
      <c r="L182" s="64" t="str">
        <f>IF(A182="","",SUMIF(jr_num,A182,jr_val))</f>
        <v/>
      </c>
      <c r="M182" s="60" t="str">
        <f>IF(A182="","",IF(COUNTIFS(jr_num,A182,jr_check,"&lt;&gt;OK")&gt;0,"À vérifier",IF(LEFT(A182,2)="BL",IF(COUNTIFS(jr_num,A182,jr_rel,"&gt;0")&gt;0,"Reliquat en cours",IF(COUNTIFS(jr_num,A182,jr_gap,"&lt;0")&gt;0,"Reliquat livré","Complet")),IF(LEFT(A182,2)="BR",IF(COUNTIFS(jr_num,A182,jr_etat,"Refusé")&gt;0,"Refusé",IF(COUNTIFS(jr_num,A182,jr_etat,"Avec réserves")&gt;0,"Avec réserves",IF(COUNTIFS(jr_num,A182,jr_rel,"&gt;0")&gt;0,"Reliquat en cours",IF(COUNTIFS(jr_num,A182,jr_gap,"&lt;0")+COUNTIFS(jr_num,A182,jr_gap,"&gt;0")&gt;0,"Écart","Conforme")))),IF(COUNTIFS(jr_num,A182,jr_gap,"&lt;0")&gt;0,"Partiel","Sorti")))))</f>
        <v/>
      </c>
      <c r="O182" t="str">
        <f>IFERROR(MATCH(177,jr_grank,0),"")</f>
        <v/>
      </c>
      <c r="R182" s="67" t="str">
        <f>IFERROR(INDEX(jr_num,MATCH("BL177",jr_nkey,0))&amp;"","")</f>
        <v/>
      </c>
      <c r="S182" s="67" t="str">
        <f>IFERROR(INDEX(jr_num,MATCH("BR177",jr_nkey,0))&amp;"","")</f>
        <v/>
      </c>
      <c r="T182" s="67" t="str">
        <f>IFERROR(INDEX(jr_num,MATCH("BS177",jr_nkey,0))&amp;"","")</f>
        <v/>
      </c>
    </row>
    <row r="183">
      <c r="A183" s="60" t="str">
        <f>IF($O183="","",INDEX(jr_num,$O183)&amp;"")</f>
        <v/>
      </c>
      <c r="B183" s="60" t="str">
        <f>IF($O183="","",IF(INDEX(jr_type,$O183)="BL","Livraison",IF(INDEX(jr_type,$O183)="BR","Réception","Sortie")))</f>
        <v/>
      </c>
      <c r="C183" s="65" t="str">
        <f>IF($O183="","",INDEX(jr_date,$O183))</f>
        <v/>
      </c>
      <c r="D183" s="60" t="str">
        <f>IF($O183="","",INDEX(jr_tiers,$O183)&amp;"")</f>
        <v/>
      </c>
      <c r="E183" s="57" t="str">
        <f>IF($O183="","",INDEX(jr_name,$O183)&amp;"")</f>
        <v/>
      </c>
      <c r="F183" s="57" t="str">
        <f>IF($O183="","",INDEX(jr_order,$O183)&amp;"")</f>
        <v/>
      </c>
      <c r="G183" s="57" t="str">
        <f>IF($O183="","",INDEX(jr_ext,$O183)&amp;"")</f>
        <v/>
      </c>
      <c r="H183" s="57" t="str">
        <f>IF($O183="","",INDEX(jr_carrier,$O183)&amp;"")</f>
        <v/>
      </c>
      <c r="I183" s="66" t="str">
        <f>IF(A183="","",COUNTIF(jr_num,A183))</f>
        <v/>
      </c>
      <c r="J183" s="66" t="str">
        <f>IF(A183="","",SUMIF(jr_num,A183,jr_colis))</f>
        <v/>
      </c>
      <c r="K183" s="63" t="str">
        <f>IF(A183="","",SUMIF(jr_num,A183,jr_kg))</f>
        <v/>
      </c>
      <c r="L183" s="64" t="str">
        <f>IF(A183="","",SUMIF(jr_num,A183,jr_val))</f>
        <v/>
      </c>
      <c r="M183" s="60" t="str">
        <f>IF(A183="","",IF(COUNTIFS(jr_num,A183,jr_check,"&lt;&gt;OK")&gt;0,"À vérifier",IF(LEFT(A183,2)="BL",IF(COUNTIFS(jr_num,A183,jr_rel,"&gt;0")&gt;0,"Reliquat en cours",IF(COUNTIFS(jr_num,A183,jr_gap,"&lt;0")&gt;0,"Reliquat livré","Complet")),IF(LEFT(A183,2)="BR",IF(COUNTIFS(jr_num,A183,jr_etat,"Refusé")&gt;0,"Refusé",IF(COUNTIFS(jr_num,A183,jr_etat,"Avec réserves")&gt;0,"Avec réserves",IF(COUNTIFS(jr_num,A183,jr_rel,"&gt;0")&gt;0,"Reliquat en cours",IF(COUNTIFS(jr_num,A183,jr_gap,"&lt;0")+COUNTIFS(jr_num,A183,jr_gap,"&gt;0")&gt;0,"Écart","Conforme")))),IF(COUNTIFS(jr_num,A183,jr_gap,"&lt;0")&gt;0,"Partiel","Sorti")))))</f>
        <v/>
      </c>
      <c r="O183" t="str">
        <f>IFERROR(MATCH(178,jr_grank,0),"")</f>
        <v/>
      </c>
      <c r="R183" s="67" t="str">
        <f>IFERROR(INDEX(jr_num,MATCH("BL178",jr_nkey,0))&amp;"","")</f>
        <v/>
      </c>
      <c r="S183" s="67" t="str">
        <f>IFERROR(INDEX(jr_num,MATCH("BR178",jr_nkey,0))&amp;"","")</f>
        <v/>
      </c>
      <c r="T183" s="67" t="str">
        <f>IFERROR(INDEX(jr_num,MATCH("BS178",jr_nkey,0))&amp;"","")</f>
        <v/>
      </c>
    </row>
    <row r="184">
      <c r="A184" s="60" t="str">
        <f>IF($O184="","",INDEX(jr_num,$O184)&amp;"")</f>
        <v/>
      </c>
      <c r="B184" s="60" t="str">
        <f>IF($O184="","",IF(INDEX(jr_type,$O184)="BL","Livraison",IF(INDEX(jr_type,$O184)="BR","Réception","Sortie")))</f>
        <v/>
      </c>
      <c r="C184" s="65" t="str">
        <f>IF($O184="","",INDEX(jr_date,$O184))</f>
        <v/>
      </c>
      <c r="D184" s="60" t="str">
        <f>IF($O184="","",INDEX(jr_tiers,$O184)&amp;"")</f>
        <v/>
      </c>
      <c r="E184" s="57" t="str">
        <f>IF($O184="","",INDEX(jr_name,$O184)&amp;"")</f>
        <v/>
      </c>
      <c r="F184" s="57" t="str">
        <f>IF($O184="","",INDEX(jr_order,$O184)&amp;"")</f>
        <v/>
      </c>
      <c r="G184" s="57" t="str">
        <f>IF($O184="","",INDEX(jr_ext,$O184)&amp;"")</f>
        <v/>
      </c>
      <c r="H184" s="57" t="str">
        <f>IF($O184="","",INDEX(jr_carrier,$O184)&amp;"")</f>
        <v/>
      </c>
      <c r="I184" s="66" t="str">
        <f>IF(A184="","",COUNTIF(jr_num,A184))</f>
        <v/>
      </c>
      <c r="J184" s="66" t="str">
        <f>IF(A184="","",SUMIF(jr_num,A184,jr_colis))</f>
        <v/>
      </c>
      <c r="K184" s="63" t="str">
        <f>IF(A184="","",SUMIF(jr_num,A184,jr_kg))</f>
        <v/>
      </c>
      <c r="L184" s="64" t="str">
        <f>IF(A184="","",SUMIF(jr_num,A184,jr_val))</f>
        <v/>
      </c>
      <c r="M184" s="60" t="str">
        <f>IF(A184="","",IF(COUNTIFS(jr_num,A184,jr_check,"&lt;&gt;OK")&gt;0,"À vérifier",IF(LEFT(A184,2)="BL",IF(COUNTIFS(jr_num,A184,jr_rel,"&gt;0")&gt;0,"Reliquat en cours",IF(COUNTIFS(jr_num,A184,jr_gap,"&lt;0")&gt;0,"Reliquat livré","Complet")),IF(LEFT(A184,2)="BR",IF(COUNTIFS(jr_num,A184,jr_etat,"Refusé")&gt;0,"Refusé",IF(COUNTIFS(jr_num,A184,jr_etat,"Avec réserves")&gt;0,"Avec réserves",IF(COUNTIFS(jr_num,A184,jr_rel,"&gt;0")&gt;0,"Reliquat en cours",IF(COUNTIFS(jr_num,A184,jr_gap,"&lt;0")+COUNTIFS(jr_num,A184,jr_gap,"&gt;0")&gt;0,"Écart","Conforme")))),IF(COUNTIFS(jr_num,A184,jr_gap,"&lt;0")&gt;0,"Partiel","Sorti")))))</f>
        <v/>
      </c>
      <c r="O184" t="str">
        <f>IFERROR(MATCH(179,jr_grank,0),"")</f>
        <v/>
      </c>
      <c r="R184" s="67" t="str">
        <f>IFERROR(INDEX(jr_num,MATCH("BL179",jr_nkey,0))&amp;"","")</f>
        <v/>
      </c>
      <c r="S184" s="67" t="str">
        <f>IFERROR(INDEX(jr_num,MATCH("BR179",jr_nkey,0))&amp;"","")</f>
        <v/>
      </c>
      <c r="T184" s="67" t="str">
        <f>IFERROR(INDEX(jr_num,MATCH("BS179",jr_nkey,0))&amp;"","")</f>
        <v/>
      </c>
    </row>
    <row r="185">
      <c r="A185" s="60" t="str">
        <f>IF($O185="","",INDEX(jr_num,$O185)&amp;"")</f>
        <v/>
      </c>
      <c r="B185" s="60" t="str">
        <f>IF($O185="","",IF(INDEX(jr_type,$O185)="BL","Livraison",IF(INDEX(jr_type,$O185)="BR","Réception","Sortie")))</f>
        <v/>
      </c>
      <c r="C185" s="65" t="str">
        <f>IF($O185="","",INDEX(jr_date,$O185))</f>
        <v/>
      </c>
      <c r="D185" s="60" t="str">
        <f>IF($O185="","",INDEX(jr_tiers,$O185)&amp;"")</f>
        <v/>
      </c>
      <c r="E185" s="57" t="str">
        <f>IF($O185="","",INDEX(jr_name,$O185)&amp;"")</f>
        <v/>
      </c>
      <c r="F185" s="57" t="str">
        <f>IF($O185="","",INDEX(jr_order,$O185)&amp;"")</f>
        <v/>
      </c>
      <c r="G185" s="57" t="str">
        <f>IF($O185="","",INDEX(jr_ext,$O185)&amp;"")</f>
        <v/>
      </c>
      <c r="H185" s="57" t="str">
        <f>IF($O185="","",INDEX(jr_carrier,$O185)&amp;"")</f>
        <v/>
      </c>
      <c r="I185" s="66" t="str">
        <f>IF(A185="","",COUNTIF(jr_num,A185))</f>
        <v/>
      </c>
      <c r="J185" s="66" t="str">
        <f>IF(A185="","",SUMIF(jr_num,A185,jr_colis))</f>
        <v/>
      </c>
      <c r="K185" s="63" t="str">
        <f>IF(A185="","",SUMIF(jr_num,A185,jr_kg))</f>
        <v/>
      </c>
      <c r="L185" s="64" t="str">
        <f>IF(A185="","",SUMIF(jr_num,A185,jr_val))</f>
        <v/>
      </c>
      <c r="M185" s="60" t="str">
        <f>IF(A185="","",IF(COUNTIFS(jr_num,A185,jr_check,"&lt;&gt;OK")&gt;0,"À vérifier",IF(LEFT(A185,2)="BL",IF(COUNTIFS(jr_num,A185,jr_rel,"&gt;0")&gt;0,"Reliquat en cours",IF(COUNTIFS(jr_num,A185,jr_gap,"&lt;0")&gt;0,"Reliquat livré","Complet")),IF(LEFT(A185,2)="BR",IF(COUNTIFS(jr_num,A185,jr_etat,"Refusé")&gt;0,"Refusé",IF(COUNTIFS(jr_num,A185,jr_etat,"Avec réserves")&gt;0,"Avec réserves",IF(COUNTIFS(jr_num,A185,jr_rel,"&gt;0")&gt;0,"Reliquat en cours",IF(COUNTIFS(jr_num,A185,jr_gap,"&lt;0")+COUNTIFS(jr_num,A185,jr_gap,"&gt;0")&gt;0,"Écart","Conforme")))),IF(COUNTIFS(jr_num,A185,jr_gap,"&lt;0")&gt;0,"Partiel","Sorti")))))</f>
        <v/>
      </c>
      <c r="O185" t="str">
        <f>IFERROR(MATCH(180,jr_grank,0),"")</f>
        <v/>
      </c>
      <c r="R185" s="67" t="str">
        <f>IFERROR(INDEX(jr_num,MATCH("BL180",jr_nkey,0))&amp;"","")</f>
        <v/>
      </c>
      <c r="S185" s="67" t="str">
        <f>IFERROR(INDEX(jr_num,MATCH("BR180",jr_nkey,0))&amp;"","")</f>
        <v/>
      </c>
      <c r="T185" s="67" t="str">
        <f>IFERROR(INDEX(jr_num,MATCH("BS180",jr_nkey,0))&amp;"","")</f>
        <v/>
      </c>
    </row>
    <row r="186">
      <c r="A186" s="60" t="str">
        <f>IF($O186="","",INDEX(jr_num,$O186)&amp;"")</f>
        <v/>
      </c>
      <c r="B186" s="60" t="str">
        <f>IF($O186="","",IF(INDEX(jr_type,$O186)="BL","Livraison",IF(INDEX(jr_type,$O186)="BR","Réception","Sortie")))</f>
        <v/>
      </c>
      <c r="C186" s="65" t="str">
        <f>IF($O186="","",INDEX(jr_date,$O186))</f>
        <v/>
      </c>
      <c r="D186" s="60" t="str">
        <f>IF($O186="","",INDEX(jr_tiers,$O186)&amp;"")</f>
        <v/>
      </c>
      <c r="E186" s="57" t="str">
        <f>IF($O186="","",INDEX(jr_name,$O186)&amp;"")</f>
        <v/>
      </c>
      <c r="F186" s="57" t="str">
        <f>IF($O186="","",INDEX(jr_order,$O186)&amp;"")</f>
        <v/>
      </c>
      <c r="G186" s="57" t="str">
        <f>IF($O186="","",INDEX(jr_ext,$O186)&amp;"")</f>
        <v/>
      </c>
      <c r="H186" s="57" t="str">
        <f>IF($O186="","",INDEX(jr_carrier,$O186)&amp;"")</f>
        <v/>
      </c>
      <c r="I186" s="66" t="str">
        <f>IF(A186="","",COUNTIF(jr_num,A186))</f>
        <v/>
      </c>
      <c r="J186" s="66" t="str">
        <f>IF(A186="","",SUMIF(jr_num,A186,jr_colis))</f>
        <v/>
      </c>
      <c r="K186" s="63" t="str">
        <f>IF(A186="","",SUMIF(jr_num,A186,jr_kg))</f>
        <v/>
      </c>
      <c r="L186" s="64" t="str">
        <f>IF(A186="","",SUMIF(jr_num,A186,jr_val))</f>
        <v/>
      </c>
      <c r="M186" s="60" t="str">
        <f>IF(A186="","",IF(COUNTIFS(jr_num,A186,jr_check,"&lt;&gt;OK")&gt;0,"À vérifier",IF(LEFT(A186,2)="BL",IF(COUNTIFS(jr_num,A186,jr_rel,"&gt;0")&gt;0,"Reliquat en cours",IF(COUNTIFS(jr_num,A186,jr_gap,"&lt;0")&gt;0,"Reliquat livré","Complet")),IF(LEFT(A186,2)="BR",IF(COUNTIFS(jr_num,A186,jr_etat,"Refusé")&gt;0,"Refusé",IF(COUNTIFS(jr_num,A186,jr_etat,"Avec réserves")&gt;0,"Avec réserves",IF(COUNTIFS(jr_num,A186,jr_rel,"&gt;0")&gt;0,"Reliquat en cours",IF(COUNTIFS(jr_num,A186,jr_gap,"&lt;0")+COUNTIFS(jr_num,A186,jr_gap,"&gt;0")&gt;0,"Écart","Conforme")))),IF(COUNTIFS(jr_num,A186,jr_gap,"&lt;0")&gt;0,"Partiel","Sorti")))))</f>
        <v/>
      </c>
      <c r="O186" t="str">
        <f>IFERROR(MATCH(181,jr_grank,0),"")</f>
        <v/>
      </c>
      <c r="R186" s="67" t="str">
        <f>IFERROR(INDEX(jr_num,MATCH("BL181",jr_nkey,0))&amp;"","")</f>
        <v/>
      </c>
      <c r="S186" s="67" t="str">
        <f>IFERROR(INDEX(jr_num,MATCH("BR181",jr_nkey,0))&amp;"","")</f>
        <v/>
      </c>
      <c r="T186" s="67" t="str">
        <f>IFERROR(INDEX(jr_num,MATCH("BS181",jr_nkey,0))&amp;"","")</f>
        <v/>
      </c>
    </row>
    <row r="187">
      <c r="A187" s="60" t="str">
        <f>IF($O187="","",INDEX(jr_num,$O187)&amp;"")</f>
        <v/>
      </c>
      <c r="B187" s="60" t="str">
        <f>IF($O187="","",IF(INDEX(jr_type,$O187)="BL","Livraison",IF(INDEX(jr_type,$O187)="BR","Réception","Sortie")))</f>
        <v/>
      </c>
      <c r="C187" s="65" t="str">
        <f>IF($O187="","",INDEX(jr_date,$O187))</f>
        <v/>
      </c>
      <c r="D187" s="60" t="str">
        <f>IF($O187="","",INDEX(jr_tiers,$O187)&amp;"")</f>
        <v/>
      </c>
      <c r="E187" s="57" t="str">
        <f>IF($O187="","",INDEX(jr_name,$O187)&amp;"")</f>
        <v/>
      </c>
      <c r="F187" s="57" t="str">
        <f>IF($O187="","",INDEX(jr_order,$O187)&amp;"")</f>
        <v/>
      </c>
      <c r="G187" s="57" t="str">
        <f>IF($O187="","",INDEX(jr_ext,$O187)&amp;"")</f>
        <v/>
      </c>
      <c r="H187" s="57" t="str">
        <f>IF($O187="","",INDEX(jr_carrier,$O187)&amp;"")</f>
        <v/>
      </c>
      <c r="I187" s="66" t="str">
        <f>IF(A187="","",COUNTIF(jr_num,A187))</f>
        <v/>
      </c>
      <c r="J187" s="66" t="str">
        <f>IF(A187="","",SUMIF(jr_num,A187,jr_colis))</f>
        <v/>
      </c>
      <c r="K187" s="63" t="str">
        <f>IF(A187="","",SUMIF(jr_num,A187,jr_kg))</f>
        <v/>
      </c>
      <c r="L187" s="64" t="str">
        <f>IF(A187="","",SUMIF(jr_num,A187,jr_val))</f>
        <v/>
      </c>
      <c r="M187" s="60" t="str">
        <f>IF(A187="","",IF(COUNTIFS(jr_num,A187,jr_check,"&lt;&gt;OK")&gt;0,"À vérifier",IF(LEFT(A187,2)="BL",IF(COUNTIFS(jr_num,A187,jr_rel,"&gt;0")&gt;0,"Reliquat en cours",IF(COUNTIFS(jr_num,A187,jr_gap,"&lt;0")&gt;0,"Reliquat livré","Complet")),IF(LEFT(A187,2)="BR",IF(COUNTIFS(jr_num,A187,jr_etat,"Refusé")&gt;0,"Refusé",IF(COUNTIFS(jr_num,A187,jr_etat,"Avec réserves")&gt;0,"Avec réserves",IF(COUNTIFS(jr_num,A187,jr_rel,"&gt;0")&gt;0,"Reliquat en cours",IF(COUNTIFS(jr_num,A187,jr_gap,"&lt;0")+COUNTIFS(jr_num,A187,jr_gap,"&gt;0")&gt;0,"Écart","Conforme")))),IF(COUNTIFS(jr_num,A187,jr_gap,"&lt;0")&gt;0,"Partiel","Sorti")))))</f>
        <v/>
      </c>
      <c r="O187" t="str">
        <f>IFERROR(MATCH(182,jr_grank,0),"")</f>
        <v/>
      </c>
      <c r="R187" s="67" t="str">
        <f>IFERROR(INDEX(jr_num,MATCH("BL182",jr_nkey,0))&amp;"","")</f>
        <v/>
      </c>
      <c r="S187" s="67" t="str">
        <f>IFERROR(INDEX(jr_num,MATCH("BR182",jr_nkey,0))&amp;"","")</f>
        <v/>
      </c>
      <c r="T187" s="67" t="str">
        <f>IFERROR(INDEX(jr_num,MATCH("BS182",jr_nkey,0))&amp;"","")</f>
        <v/>
      </c>
    </row>
    <row r="188">
      <c r="A188" s="60" t="str">
        <f>IF($O188="","",INDEX(jr_num,$O188)&amp;"")</f>
        <v/>
      </c>
      <c r="B188" s="60" t="str">
        <f>IF($O188="","",IF(INDEX(jr_type,$O188)="BL","Livraison",IF(INDEX(jr_type,$O188)="BR","Réception","Sortie")))</f>
        <v/>
      </c>
      <c r="C188" s="65" t="str">
        <f>IF($O188="","",INDEX(jr_date,$O188))</f>
        <v/>
      </c>
      <c r="D188" s="60" t="str">
        <f>IF($O188="","",INDEX(jr_tiers,$O188)&amp;"")</f>
        <v/>
      </c>
      <c r="E188" s="57" t="str">
        <f>IF($O188="","",INDEX(jr_name,$O188)&amp;"")</f>
        <v/>
      </c>
      <c r="F188" s="57" t="str">
        <f>IF($O188="","",INDEX(jr_order,$O188)&amp;"")</f>
        <v/>
      </c>
      <c r="G188" s="57" t="str">
        <f>IF($O188="","",INDEX(jr_ext,$O188)&amp;"")</f>
        <v/>
      </c>
      <c r="H188" s="57" t="str">
        <f>IF($O188="","",INDEX(jr_carrier,$O188)&amp;"")</f>
        <v/>
      </c>
      <c r="I188" s="66" t="str">
        <f>IF(A188="","",COUNTIF(jr_num,A188))</f>
        <v/>
      </c>
      <c r="J188" s="66" t="str">
        <f>IF(A188="","",SUMIF(jr_num,A188,jr_colis))</f>
        <v/>
      </c>
      <c r="K188" s="63" t="str">
        <f>IF(A188="","",SUMIF(jr_num,A188,jr_kg))</f>
        <v/>
      </c>
      <c r="L188" s="64" t="str">
        <f>IF(A188="","",SUMIF(jr_num,A188,jr_val))</f>
        <v/>
      </c>
      <c r="M188" s="60" t="str">
        <f>IF(A188="","",IF(COUNTIFS(jr_num,A188,jr_check,"&lt;&gt;OK")&gt;0,"À vérifier",IF(LEFT(A188,2)="BL",IF(COUNTIFS(jr_num,A188,jr_rel,"&gt;0")&gt;0,"Reliquat en cours",IF(COUNTIFS(jr_num,A188,jr_gap,"&lt;0")&gt;0,"Reliquat livré","Complet")),IF(LEFT(A188,2)="BR",IF(COUNTIFS(jr_num,A188,jr_etat,"Refusé")&gt;0,"Refusé",IF(COUNTIFS(jr_num,A188,jr_etat,"Avec réserves")&gt;0,"Avec réserves",IF(COUNTIFS(jr_num,A188,jr_rel,"&gt;0")&gt;0,"Reliquat en cours",IF(COUNTIFS(jr_num,A188,jr_gap,"&lt;0")+COUNTIFS(jr_num,A188,jr_gap,"&gt;0")&gt;0,"Écart","Conforme")))),IF(COUNTIFS(jr_num,A188,jr_gap,"&lt;0")&gt;0,"Partiel","Sorti")))))</f>
        <v/>
      </c>
      <c r="O188" t="str">
        <f>IFERROR(MATCH(183,jr_grank,0),"")</f>
        <v/>
      </c>
      <c r="R188" s="67" t="str">
        <f>IFERROR(INDEX(jr_num,MATCH("BL183",jr_nkey,0))&amp;"","")</f>
        <v/>
      </c>
      <c r="S188" s="67" t="str">
        <f>IFERROR(INDEX(jr_num,MATCH("BR183",jr_nkey,0))&amp;"","")</f>
        <v/>
      </c>
      <c r="T188" s="67" t="str">
        <f>IFERROR(INDEX(jr_num,MATCH("BS183",jr_nkey,0))&amp;"","")</f>
        <v/>
      </c>
    </row>
    <row r="189">
      <c r="A189" s="60" t="str">
        <f>IF($O189="","",INDEX(jr_num,$O189)&amp;"")</f>
        <v/>
      </c>
      <c r="B189" s="60" t="str">
        <f>IF($O189="","",IF(INDEX(jr_type,$O189)="BL","Livraison",IF(INDEX(jr_type,$O189)="BR","Réception","Sortie")))</f>
        <v/>
      </c>
      <c r="C189" s="65" t="str">
        <f>IF($O189="","",INDEX(jr_date,$O189))</f>
        <v/>
      </c>
      <c r="D189" s="60" t="str">
        <f>IF($O189="","",INDEX(jr_tiers,$O189)&amp;"")</f>
        <v/>
      </c>
      <c r="E189" s="57" t="str">
        <f>IF($O189="","",INDEX(jr_name,$O189)&amp;"")</f>
        <v/>
      </c>
      <c r="F189" s="57" t="str">
        <f>IF($O189="","",INDEX(jr_order,$O189)&amp;"")</f>
        <v/>
      </c>
      <c r="G189" s="57" t="str">
        <f>IF($O189="","",INDEX(jr_ext,$O189)&amp;"")</f>
        <v/>
      </c>
      <c r="H189" s="57" t="str">
        <f>IF($O189="","",INDEX(jr_carrier,$O189)&amp;"")</f>
        <v/>
      </c>
      <c r="I189" s="66" t="str">
        <f>IF(A189="","",COUNTIF(jr_num,A189))</f>
        <v/>
      </c>
      <c r="J189" s="66" t="str">
        <f>IF(A189="","",SUMIF(jr_num,A189,jr_colis))</f>
        <v/>
      </c>
      <c r="K189" s="63" t="str">
        <f>IF(A189="","",SUMIF(jr_num,A189,jr_kg))</f>
        <v/>
      </c>
      <c r="L189" s="64" t="str">
        <f>IF(A189="","",SUMIF(jr_num,A189,jr_val))</f>
        <v/>
      </c>
      <c r="M189" s="60" t="str">
        <f>IF(A189="","",IF(COUNTIFS(jr_num,A189,jr_check,"&lt;&gt;OK")&gt;0,"À vérifier",IF(LEFT(A189,2)="BL",IF(COUNTIFS(jr_num,A189,jr_rel,"&gt;0")&gt;0,"Reliquat en cours",IF(COUNTIFS(jr_num,A189,jr_gap,"&lt;0")&gt;0,"Reliquat livré","Complet")),IF(LEFT(A189,2)="BR",IF(COUNTIFS(jr_num,A189,jr_etat,"Refusé")&gt;0,"Refusé",IF(COUNTIFS(jr_num,A189,jr_etat,"Avec réserves")&gt;0,"Avec réserves",IF(COUNTIFS(jr_num,A189,jr_rel,"&gt;0")&gt;0,"Reliquat en cours",IF(COUNTIFS(jr_num,A189,jr_gap,"&lt;0")+COUNTIFS(jr_num,A189,jr_gap,"&gt;0")&gt;0,"Écart","Conforme")))),IF(COUNTIFS(jr_num,A189,jr_gap,"&lt;0")&gt;0,"Partiel","Sorti")))))</f>
        <v/>
      </c>
      <c r="O189" t="str">
        <f>IFERROR(MATCH(184,jr_grank,0),"")</f>
        <v/>
      </c>
      <c r="R189" s="67" t="str">
        <f>IFERROR(INDEX(jr_num,MATCH("BL184",jr_nkey,0))&amp;"","")</f>
        <v/>
      </c>
      <c r="S189" s="67" t="str">
        <f>IFERROR(INDEX(jr_num,MATCH("BR184",jr_nkey,0))&amp;"","")</f>
        <v/>
      </c>
      <c r="T189" s="67" t="str">
        <f>IFERROR(INDEX(jr_num,MATCH("BS184",jr_nkey,0))&amp;"","")</f>
        <v/>
      </c>
    </row>
    <row r="190">
      <c r="A190" s="60" t="str">
        <f>IF($O190="","",INDEX(jr_num,$O190)&amp;"")</f>
        <v/>
      </c>
      <c r="B190" s="60" t="str">
        <f>IF($O190="","",IF(INDEX(jr_type,$O190)="BL","Livraison",IF(INDEX(jr_type,$O190)="BR","Réception","Sortie")))</f>
        <v/>
      </c>
      <c r="C190" s="65" t="str">
        <f>IF($O190="","",INDEX(jr_date,$O190))</f>
        <v/>
      </c>
      <c r="D190" s="60" t="str">
        <f>IF($O190="","",INDEX(jr_tiers,$O190)&amp;"")</f>
        <v/>
      </c>
      <c r="E190" s="57" t="str">
        <f>IF($O190="","",INDEX(jr_name,$O190)&amp;"")</f>
        <v/>
      </c>
      <c r="F190" s="57" t="str">
        <f>IF($O190="","",INDEX(jr_order,$O190)&amp;"")</f>
        <v/>
      </c>
      <c r="G190" s="57" t="str">
        <f>IF($O190="","",INDEX(jr_ext,$O190)&amp;"")</f>
        <v/>
      </c>
      <c r="H190" s="57" t="str">
        <f>IF($O190="","",INDEX(jr_carrier,$O190)&amp;"")</f>
        <v/>
      </c>
      <c r="I190" s="66" t="str">
        <f>IF(A190="","",COUNTIF(jr_num,A190))</f>
        <v/>
      </c>
      <c r="J190" s="66" t="str">
        <f>IF(A190="","",SUMIF(jr_num,A190,jr_colis))</f>
        <v/>
      </c>
      <c r="K190" s="63" t="str">
        <f>IF(A190="","",SUMIF(jr_num,A190,jr_kg))</f>
        <v/>
      </c>
      <c r="L190" s="64" t="str">
        <f>IF(A190="","",SUMIF(jr_num,A190,jr_val))</f>
        <v/>
      </c>
      <c r="M190" s="60" t="str">
        <f>IF(A190="","",IF(COUNTIFS(jr_num,A190,jr_check,"&lt;&gt;OK")&gt;0,"À vérifier",IF(LEFT(A190,2)="BL",IF(COUNTIFS(jr_num,A190,jr_rel,"&gt;0")&gt;0,"Reliquat en cours",IF(COUNTIFS(jr_num,A190,jr_gap,"&lt;0")&gt;0,"Reliquat livré","Complet")),IF(LEFT(A190,2)="BR",IF(COUNTIFS(jr_num,A190,jr_etat,"Refusé")&gt;0,"Refusé",IF(COUNTIFS(jr_num,A190,jr_etat,"Avec réserves")&gt;0,"Avec réserves",IF(COUNTIFS(jr_num,A190,jr_rel,"&gt;0")&gt;0,"Reliquat en cours",IF(COUNTIFS(jr_num,A190,jr_gap,"&lt;0")+COUNTIFS(jr_num,A190,jr_gap,"&gt;0")&gt;0,"Écart","Conforme")))),IF(COUNTIFS(jr_num,A190,jr_gap,"&lt;0")&gt;0,"Partiel","Sorti")))))</f>
        <v/>
      </c>
      <c r="O190" t="str">
        <f>IFERROR(MATCH(185,jr_grank,0),"")</f>
        <v/>
      </c>
      <c r="R190" s="67" t="str">
        <f>IFERROR(INDEX(jr_num,MATCH("BL185",jr_nkey,0))&amp;"","")</f>
        <v/>
      </c>
      <c r="S190" s="67" t="str">
        <f>IFERROR(INDEX(jr_num,MATCH("BR185",jr_nkey,0))&amp;"","")</f>
        <v/>
      </c>
      <c r="T190" s="67" t="str">
        <f>IFERROR(INDEX(jr_num,MATCH("BS185",jr_nkey,0))&amp;"","")</f>
        <v/>
      </c>
    </row>
    <row r="191">
      <c r="A191" s="60" t="str">
        <f>IF($O191="","",INDEX(jr_num,$O191)&amp;"")</f>
        <v/>
      </c>
      <c r="B191" s="60" t="str">
        <f>IF($O191="","",IF(INDEX(jr_type,$O191)="BL","Livraison",IF(INDEX(jr_type,$O191)="BR","Réception","Sortie")))</f>
        <v/>
      </c>
      <c r="C191" s="65" t="str">
        <f>IF($O191="","",INDEX(jr_date,$O191))</f>
        <v/>
      </c>
      <c r="D191" s="60" t="str">
        <f>IF($O191="","",INDEX(jr_tiers,$O191)&amp;"")</f>
        <v/>
      </c>
      <c r="E191" s="57" t="str">
        <f>IF($O191="","",INDEX(jr_name,$O191)&amp;"")</f>
        <v/>
      </c>
      <c r="F191" s="57" t="str">
        <f>IF($O191="","",INDEX(jr_order,$O191)&amp;"")</f>
        <v/>
      </c>
      <c r="G191" s="57" t="str">
        <f>IF($O191="","",INDEX(jr_ext,$O191)&amp;"")</f>
        <v/>
      </c>
      <c r="H191" s="57" t="str">
        <f>IF($O191="","",INDEX(jr_carrier,$O191)&amp;"")</f>
        <v/>
      </c>
      <c r="I191" s="66" t="str">
        <f>IF(A191="","",COUNTIF(jr_num,A191))</f>
        <v/>
      </c>
      <c r="J191" s="66" t="str">
        <f>IF(A191="","",SUMIF(jr_num,A191,jr_colis))</f>
        <v/>
      </c>
      <c r="K191" s="63" t="str">
        <f>IF(A191="","",SUMIF(jr_num,A191,jr_kg))</f>
        <v/>
      </c>
      <c r="L191" s="64" t="str">
        <f>IF(A191="","",SUMIF(jr_num,A191,jr_val))</f>
        <v/>
      </c>
      <c r="M191" s="60" t="str">
        <f>IF(A191="","",IF(COUNTIFS(jr_num,A191,jr_check,"&lt;&gt;OK")&gt;0,"À vérifier",IF(LEFT(A191,2)="BL",IF(COUNTIFS(jr_num,A191,jr_rel,"&gt;0")&gt;0,"Reliquat en cours",IF(COUNTIFS(jr_num,A191,jr_gap,"&lt;0")&gt;0,"Reliquat livré","Complet")),IF(LEFT(A191,2)="BR",IF(COUNTIFS(jr_num,A191,jr_etat,"Refusé")&gt;0,"Refusé",IF(COUNTIFS(jr_num,A191,jr_etat,"Avec réserves")&gt;0,"Avec réserves",IF(COUNTIFS(jr_num,A191,jr_rel,"&gt;0")&gt;0,"Reliquat en cours",IF(COUNTIFS(jr_num,A191,jr_gap,"&lt;0")+COUNTIFS(jr_num,A191,jr_gap,"&gt;0")&gt;0,"Écart","Conforme")))),IF(COUNTIFS(jr_num,A191,jr_gap,"&lt;0")&gt;0,"Partiel","Sorti")))))</f>
        <v/>
      </c>
      <c r="O191" t="str">
        <f>IFERROR(MATCH(186,jr_grank,0),"")</f>
        <v/>
      </c>
      <c r="R191" s="67" t="str">
        <f>IFERROR(INDEX(jr_num,MATCH("BL186",jr_nkey,0))&amp;"","")</f>
        <v/>
      </c>
      <c r="S191" s="67" t="str">
        <f>IFERROR(INDEX(jr_num,MATCH("BR186",jr_nkey,0))&amp;"","")</f>
        <v/>
      </c>
      <c r="T191" s="67" t="str">
        <f>IFERROR(INDEX(jr_num,MATCH("BS186",jr_nkey,0))&amp;"","")</f>
        <v/>
      </c>
    </row>
    <row r="192">
      <c r="A192" s="60" t="str">
        <f>IF($O192="","",INDEX(jr_num,$O192)&amp;"")</f>
        <v/>
      </c>
      <c r="B192" s="60" t="str">
        <f>IF($O192="","",IF(INDEX(jr_type,$O192)="BL","Livraison",IF(INDEX(jr_type,$O192)="BR","Réception","Sortie")))</f>
        <v/>
      </c>
      <c r="C192" s="65" t="str">
        <f>IF($O192="","",INDEX(jr_date,$O192))</f>
        <v/>
      </c>
      <c r="D192" s="60" t="str">
        <f>IF($O192="","",INDEX(jr_tiers,$O192)&amp;"")</f>
        <v/>
      </c>
      <c r="E192" s="57" t="str">
        <f>IF($O192="","",INDEX(jr_name,$O192)&amp;"")</f>
        <v/>
      </c>
      <c r="F192" s="57" t="str">
        <f>IF($O192="","",INDEX(jr_order,$O192)&amp;"")</f>
        <v/>
      </c>
      <c r="G192" s="57" t="str">
        <f>IF($O192="","",INDEX(jr_ext,$O192)&amp;"")</f>
        <v/>
      </c>
      <c r="H192" s="57" t="str">
        <f>IF($O192="","",INDEX(jr_carrier,$O192)&amp;"")</f>
        <v/>
      </c>
      <c r="I192" s="66" t="str">
        <f>IF(A192="","",COUNTIF(jr_num,A192))</f>
        <v/>
      </c>
      <c r="J192" s="66" t="str">
        <f>IF(A192="","",SUMIF(jr_num,A192,jr_colis))</f>
        <v/>
      </c>
      <c r="K192" s="63" t="str">
        <f>IF(A192="","",SUMIF(jr_num,A192,jr_kg))</f>
        <v/>
      </c>
      <c r="L192" s="64" t="str">
        <f>IF(A192="","",SUMIF(jr_num,A192,jr_val))</f>
        <v/>
      </c>
      <c r="M192" s="60" t="str">
        <f>IF(A192="","",IF(COUNTIFS(jr_num,A192,jr_check,"&lt;&gt;OK")&gt;0,"À vérifier",IF(LEFT(A192,2)="BL",IF(COUNTIFS(jr_num,A192,jr_rel,"&gt;0")&gt;0,"Reliquat en cours",IF(COUNTIFS(jr_num,A192,jr_gap,"&lt;0")&gt;0,"Reliquat livré","Complet")),IF(LEFT(A192,2)="BR",IF(COUNTIFS(jr_num,A192,jr_etat,"Refusé")&gt;0,"Refusé",IF(COUNTIFS(jr_num,A192,jr_etat,"Avec réserves")&gt;0,"Avec réserves",IF(COUNTIFS(jr_num,A192,jr_rel,"&gt;0")&gt;0,"Reliquat en cours",IF(COUNTIFS(jr_num,A192,jr_gap,"&lt;0")+COUNTIFS(jr_num,A192,jr_gap,"&gt;0")&gt;0,"Écart","Conforme")))),IF(COUNTIFS(jr_num,A192,jr_gap,"&lt;0")&gt;0,"Partiel","Sorti")))))</f>
        <v/>
      </c>
      <c r="O192" t="str">
        <f>IFERROR(MATCH(187,jr_grank,0),"")</f>
        <v/>
      </c>
      <c r="R192" s="67" t="str">
        <f>IFERROR(INDEX(jr_num,MATCH("BL187",jr_nkey,0))&amp;"","")</f>
        <v/>
      </c>
      <c r="S192" s="67" t="str">
        <f>IFERROR(INDEX(jr_num,MATCH("BR187",jr_nkey,0))&amp;"","")</f>
        <v/>
      </c>
      <c r="T192" s="67" t="str">
        <f>IFERROR(INDEX(jr_num,MATCH("BS187",jr_nkey,0))&amp;"","")</f>
        <v/>
      </c>
    </row>
    <row r="193">
      <c r="A193" s="60" t="str">
        <f>IF($O193="","",INDEX(jr_num,$O193)&amp;"")</f>
        <v/>
      </c>
      <c r="B193" s="60" t="str">
        <f>IF($O193="","",IF(INDEX(jr_type,$O193)="BL","Livraison",IF(INDEX(jr_type,$O193)="BR","Réception","Sortie")))</f>
        <v/>
      </c>
      <c r="C193" s="65" t="str">
        <f>IF($O193="","",INDEX(jr_date,$O193))</f>
        <v/>
      </c>
      <c r="D193" s="60" t="str">
        <f>IF($O193="","",INDEX(jr_tiers,$O193)&amp;"")</f>
        <v/>
      </c>
      <c r="E193" s="57" t="str">
        <f>IF($O193="","",INDEX(jr_name,$O193)&amp;"")</f>
        <v/>
      </c>
      <c r="F193" s="57" t="str">
        <f>IF($O193="","",INDEX(jr_order,$O193)&amp;"")</f>
        <v/>
      </c>
      <c r="G193" s="57" t="str">
        <f>IF($O193="","",INDEX(jr_ext,$O193)&amp;"")</f>
        <v/>
      </c>
      <c r="H193" s="57" t="str">
        <f>IF($O193="","",INDEX(jr_carrier,$O193)&amp;"")</f>
        <v/>
      </c>
      <c r="I193" s="66" t="str">
        <f>IF(A193="","",COUNTIF(jr_num,A193))</f>
        <v/>
      </c>
      <c r="J193" s="66" t="str">
        <f>IF(A193="","",SUMIF(jr_num,A193,jr_colis))</f>
        <v/>
      </c>
      <c r="K193" s="63" t="str">
        <f>IF(A193="","",SUMIF(jr_num,A193,jr_kg))</f>
        <v/>
      </c>
      <c r="L193" s="64" t="str">
        <f>IF(A193="","",SUMIF(jr_num,A193,jr_val))</f>
        <v/>
      </c>
      <c r="M193" s="60" t="str">
        <f>IF(A193="","",IF(COUNTIFS(jr_num,A193,jr_check,"&lt;&gt;OK")&gt;0,"À vérifier",IF(LEFT(A193,2)="BL",IF(COUNTIFS(jr_num,A193,jr_rel,"&gt;0")&gt;0,"Reliquat en cours",IF(COUNTIFS(jr_num,A193,jr_gap,"&lt;0")&gt;0,"Reliquat livré","Complet")),IF(LEFT(A193,2)="BR",IF(COUNTIFS(jr_num,A193,jr_etat,"Refusé")&gt;0,"Refusé",IF(COUNTIFS(jr_num,A193,jr_etat,"Avec réserves")&gt;0,"Avec réserves",IF(COUNTIFS(jr_num,A193,jr_rel,"&gt;0")&gt;0,"Reliquat en cours",IF(COUNTIFS(jr_num,A193,jr_gap,"&lt;0")+COUNTIFS(jr_num,A193,jr_gap,"&gt;0")&gt;0,"Écart","Conforme")))),IF(COUNTIFS(jr_num,A193,jr_gap,"&lt;0")&gt;0,"Partiel","Sorti")))))</f>
        <v/>
      </c>
      <c r="O193" t="str">
        <f>IFERROR(MATCH(188,jr_grank,0),"")</f>
        <v/>
      </c>
      <c r="R193" s="67" t="str">
        <f>IFERROR(INDEX(jr_num,MATCH("BL188",jr_nkey,0))&amp;"","")</f>
        <v/>
      </c>
      <c r="S193" s="67" t="str">
        <f>IFERROR(INDEX(jr_num,MATCH("BR188",jr_nkey,0))&amp;"","")</f>
        <v/>
      </c>
      <c r="T193" s="67" t="str">
        <f>IFERROR(INDEX(jr_num,MATCH("BS188",jr_nkey,0))&amp;"","")</f>
        <v/>
      </c>
    </row>
    <row r="194">
      <c r="A194" s="60" t="str">
        <f>IF($O194="","",INDEX(jr_num,$O194)&amp;"")</f>
        <v/>
      </c>
      <c r="B194" s="60" t="str">
        <f>IF($O194="","",IF(INDEX(jr_type,$O194)="BL","Livraison",IF(INDEX(jr_type,$O194)="BR","Réception","Sortie")))</f>
        <v/>
      </c>
      <c r="C194" s="65" t="str">
        <f>IF($O194="","",INDEX(jr_date,$O194))</f>
        <v/>
      </c>
      <c r="D194" s="60" t="str">
        <f>IF($O194="","",INDEX(jr_tiers,$O194)&amp;"")</f>
        <v/>
      </c>
      <c r="E194" s="57" t="str">
        <f>IF($O194="","",INDEX(jr_name,$O194)&amp;"")</f>
        <v/>
      </c>
      <c r="F194" s="57" t="str">
        <f>IF($O194="","",INDEX(jr_order,$O194)&amp;"")</f>
        <v/>
      </c>
      <c r="G194" s="57" t="str">
        <f>IF($O194="","",INDEX(jr_ext,$O194)&amp;"")</f>
        <v/>
      </c>
      <c r="H194" s="57" t="str">
        <f>IF($O194="","",INDEX(jr_carrier,$O194)&amp;"")</f>
        <v/>
      </c>
      <c r="I194" s="66" t="str">
        <f>IF(A194="","",COUNTIF(jr_num,A194))</f>
        <v/>
      </c>
      <c r="J194" s="66" t="str">
        <f>IF(A194="","",SUMIF(jr_num,A194,jr_colis))</f>
        <v/>
      </c>
      <c r="K194" s="63" t="str">
        <f>IF(A194="","",SUMIF(jr_num,A194,jr_kg))</f>
        <v/>
      </c>
      <c r="L194" s="64" t="str">
        <f>IF(A194="","",SUMIF(jr_num,A194,jr_val))</f>
        <v/>
      </c>
      <c r="M194" s="60" t="str">
        <f>IF(A194="","",IF(COUNTIFS(jr_num,A194,jr_check,"&lt;&gt;OK")&gt;0,"À vérifier",IF(LEFT(A194,2)="BL",IF(COUNTIFS(jr_num,A194,jr_rel,"&gt;0")&gt;0,"Reliquat en cours",IF(COUNTIFS(jr_num,A194,jr_gap,"&lt;0")&gt;0,"Reliquat livré","Complet")),IF(LEFT(A194,2)="BR",IF(COUNTIFS(jr_num,A194,jr_etat,"Refusé")&gt;0,"Refusé",IF(COUNTIFS(jr_num,A194,jr_etat,"Avec réserves")&gt;0,"Avec réserves",IF(COUNTIFS(jr_num,A194,jr_rel,"&gt;0")&gt;0,"Reliquat en cours",IF(COUNTIFS(jr_num,A194,jr_gap,"&lt;0")+COUNTIFS(jr_num,A194,jr_gap,"&gt;0")&gt;0,"Écart","Conforme")))),IF(COUNTIFS(jr_num,A194,jr_gap,"&lt;0")&gt;0,"Partiel","Sorti")))))</f>
        <v/>
      </c>
      <c r="O194" t="str">
        <f>IFERROR(MATCH(189,jr_grank,0),"")</f>
        <v/>
      </c>
      <c r="R194" s="67" t="str">
        <f>IFERROR(INDEX(jr_num,MATCH("BL189",jr_nkey,0))&amp;"","")</f>
        <v/>
      </c>
      <c r="S194" s="67" t="str">
        <f>IFERROR(INDEX(jr_num,MATCH("BR189",jr_nkey,0))&amp;"","")</f>
        <v/>
      </c>
      <c r="T194" s="67" t="str">
        <f>IFERROR(INDEX(jr_num,MATCH("BS189",jr_nkey,0))&amp;"","")</f>
        <v/>
      </c>
    </row>
    <row r="195">
      <c r="A195" s="60" t="str">
        <f>IF($O195="","",INDEX(jr_num,$O195)&amp;"")</f>
        <v/>
      </c>
      <c r="B195" s="60" t="str">
        <f>IF($O195="","",IF(INDEX(jr_type,$O195)="BL","Livraison",IF(INDEX(jr_type,$O195)="BR","Réception","Sortie")))</f>
        <v/>
      </c>
      <c r="C195" s="65" t="str">
        <f>IF($O195="","",INDEX(jr_date,$O195))</f>
        <v/>
      </c>
      <c r="D195" s="60" t="str">
        <f>IF($O195="","",INDEX(jr_tiers,$O195)&amp;"")</f>
        <v/>
      </c>
      <c r="E195" s="57" t="str">
        <f>IF($O195="","",INDEX(jr_name,$O195)&amp;"")</f>
        <v/>
      </c>
      <c r="F195" s="57" t="str">
        <f>IF($O195="","",INDEX(jr_order,$O195)&amp;"")</f>
        <v/>
      </c>
      <c r="G195" s="57" t="str">
        <f>IF($O195="","",INDEX(jr_ext,$O195)&amp;"")</f>
        <v/>
      </c>
      <c r="H195" s="57" t="str">
        <f>IF($O195="","",INDEX(jr_carrier,$O195)&amp;"")</f>
        <v/>
      </c>
      <c r="I195" s="66" t="str">
        <f>IF(A195="","",COUNTIF(jr_num,A195))</f>
        <v/>
      </c>
      <c r="J195" s="66" t="str">
        <f>IF(A195="","",SUMIF(jr_num,A195,jr_colis))</f>
        <v/>
      </c>
      <c r="K195" s="63" t="str">
        <f>IF(A195="","",SUMIF(jr_num,A195,jr_kg))</f>
        <v/>
      </c>
      <c r="L195" s="64" t="str">
        <f>IF(A195="","",SUMIF(jr_num,A195,jr_val))</f>
        <v/>
      </c>
      <c r="M195" s="60" t="str">
        <f>IF(A195="","",IF(COUNTIFS(jr_num,A195,jr_check,"&lt;&gt;OK")&gt;0,"À vérifier",IF(LEFT(A195,2)="BL",IF(COUNTIFS(jr_num,A195,jr_rel,"&gt;0")&gt;0,"Reliquat en cours",IF(COUNTIFS(jr_num,A195,jr_gap,"&lt;0")&gt;0,"Reliquat livré","Complet")),IF(LEFT(A195,2)="BR",IF(COUNTIFS(jr_num,A195,jr_etat,"Refusé")&gt;0,"Refusé",IF(COUNTIFS(jr_num,A195,jr_etat,"Avec réserves")&gt;0,"Avec réserves",IF(COUNTIFS(jr_num,A195,jr_rel,"&gt;0")&gt;0,"Reliquat en cours",IF(COUNTIFS(jr_num,A195,jr_gap,"&lt;0")+COUNTIFS(jr_num,A195,jr_gap,"&gt;0")&gt;0,"Écart","Conforme")))),IF(COUNTIFS(jr_num,A195,jr_gap,"&lt;0")&gt;0,"Partiel","Sorti")))))</f>
        <v/>
      </c>
      <c r="O195" t="str">
        <f>IFERROR(MATCH(190,jr_grank,0),"")</f>
        <v/>
      </c>
      <c r="R195" s="67" t="str">
        <f>IFERROR(INDEX(jr_num,MATCH("BL190",jr_nkey,0))&amp;"","")</f>
        <v/>
      </c>
      <c r="S195" s="67" t="str">
        <f>IFERROR(INDEX(jr_num,MATCH("BR190",jr_nkey,0))&amp;"","")</f>
        <v/>
      </c>
      <c r="T195" s="67" t="str">
        <f>IFERROR(INDEX(jr_num,MATCH("BS190",jr_nkey,0))&amp;"","")</f>
        <v/>
      </c>
    </row>
    <row r="196">
      <c r="A196" s="60" t="str">
        <f>IF($O196="","",INDEX(jr_num,$O196)&amp;"")</f>
        <v/>
      </c>
      <c r="B196" s="60" t="str">
        <f>IF($O196="","",IF(INDEX(jr_type,$O196)="BL","Livraison",IF(INDEX(jr_type,$O196)="BR","Réception","Sortie")))</f>
        <v/>
      </c>
      <c r="C196" s="65" t="str">
        <f>IF($O196="","",INDEX(jr_date,$O196))</f>
        <v/>
      </c>
      <c r="D196" s="60" t="str">
        <f>IF($O196="","",INDEX(jr_tiers,$O196)&amp;"")</f>
        <v/>
      </c>
      <c r="E196" s="57" t="str">
        <f>IF($O196="","",INDEX(jr_name,$O196)&amp;"")</f>
        <v/>
      </c>
      <c r="F196" s="57" t="str">
        <f>IF($O196="","",INDEX(jr_order,$O196)&amp;"")</f>
        <v/>
      </c>
      <c r="G196" s="57" t="str">
        <f>IF($O196="","",INDEX(jr_ext,$O196)&amp;"")</f>
        <v/>
      </c>
      <c r="H196" s="57" t="str">
        <f>IF($O196="","",INDEX(jr_carrier,$O196)&amp;"")</f>
        <v/>
      </c>
      <c r="I196" s="66" t="str">
        <f>IF(A196="","",COUNTIF(jr_num,A196))</f>
        <v/>
      </c>
      <c r="J196" s="66" t="str">
        <f>IF(A196="","",SUMIF(jr_num,A196,jr_colis))</f>
        <v/>
      </c>
      <c r="K196" s="63" t="str">
        <f>IF(A196="","",SUMIF(jr_num,A196,jr_kg))</f>
        <v/>
      </c>
      <c r="L196" s="64" t="str">
        <f>IF(A196="","",SUMIF(jr_num,A196,jr_val))</f>
        <v/>
      </c>
      <c r="M196" s="60" t="str">
        <f>IF(A196="","",IF(COUNTIFS(jr_num,A196,jr_check,"&lt;&gt;OK")&gt;0,"À vérifier",IF(LEFT(A196,2)="BL",IF(COUNTIFS(jr_num,A196,jr_rel,"&gt;0")&gt;0,"Reliquat en cours",IF(COUNTIFS(jr_num,A196,jr_gap,"&lt;0")&gt;0,"Reliquat livré","Complet")),IF(LEFT(A196,2)="BR",IF(COUNTIFS(jr_num,A196,jr_etat,"Refusé")&gt;0,"Refusé",IF(COUNTIFS(jr_num,A196,jr_etat,"Avec réserves")&gt;0,"Avec réserves",IF(COUNTIFS(jr_num,A196,jr_rel,"&gt;0")&gt;0,"Reliquat en cours",IF(COUNTIFS(jr_num,A196,jr_gap,"&lt;0")+COUNTIFS(jr_num,A196,jr_gap,"&gt;0")&gt;0,"Écart","Conforme")))),IF(COUNTIFS(jr_num,A196,jr_gap,"&lt;0")&gt;0,"Partiel","Sorti")))))</f>
        <v/>
      </c>
      <c r="O196" t="str">
        <f>IFERROR(MATCH(191,jr_grank,0),"")</f>
        <v/>
      </c>
      <c r="R196" s="67" t="str">
        <f>IFERROR(INDEX(jr_num,MATCH("BL191",jr_nkey,0))&amp;"","")</f>
        <v/>
      </c>
      <c r="S196" s="67" t="str">
        <f>IFERROR(INDEX(jr_num,MATCH("BR191",jr_nkey,0))&amp;"","")</f>
        <v/>
      </c>
      <c r="T196" s="67" t="str">
        <f>IFERROR(INDEX(jr_num,MATCH("BS191",jr_nkey,0))&amp;"","")</f>
        <v/>
      </c>
    </row>
    <row r="197">
      <c r="A197" s="60" t="str">
        <f>IF($O197="","",INDEX(jr_num,$O197)&amp;"")</f>
        <v/>
      </c>
      <c r="B197" s="60" t="str">
        <f>IF($O197="","",IF(INDEX(jr_type,$O197)="BL","Livraison",IF(INDEX(jr_type,$O197)="BR","Réception","Sortie")))</f>
        <v/>
      </c>
      <c r="C197" s="65" t="str">
        <f>IF($O197="","",INDEX(jr_date,$O197))</f>
        <v/>
      </c>
      <c r="D197" s="60" t="str">
        <f>IF($O197="","",INDEX(jr_tiers,$O197)&amp;"")</f>
        <v/>
      </c>
      <c r="E197" s="57" t="str">
        <f>IF($O197="","",INDEX(jr_name,$O197)&amp;"")</f>
        <v/>
      </c>
      <c r="F197" s="57" t="str">
        <f>IF($O197="","",INDEX(jr_order,$O197)&amp;"")</f>
        <v/>
      </c>
      <c r="G197" s="57" t="str">
        <f>IF($O197="","",INDEX(jr_ext,$O197)&amp;"")</f>
        <v/>
      </c>
      <c r="H197" s="57" t="str">
        <f>IF($O197="","",INDEX(jr_carrier,$O197)&amp;"")</f>
        <v/>
      </c>
      <c r="I197" s="66" t="str">
        <f>IF(A197="","",COUNTIF(jr_num,A197))</f>
        <v/>
      </c>
      <c r="J197" s="66" t="str">
        <f>IF(A197="","",SUMIF(jr_num,A197,jr_colis))</f>
        <v/>
      </c>
      <c r="K197" s="63" t="str">
        <f>IF(A197="","",SUMIF(jr_num,A197,jr_kg))</f>
        <v/>
      </c>
      <c r="L197" s="64" t="str">
        <f>IF(A197="","",SUMIF(jr_num,A197,jr_val))</f>
        <v/>
      </c>
      <c r="M197" s="60" t="str">
        <f>IF(A197="","",IF(COUNTIFS(jr_num,A197,jr_check,"&lt;&gt;OK")&gt;0,"À vérifier",IF(LEFT(A197,2)="BL",IF(COUNTIFS(jr_num,A197,jr_rel,"&gt;0")&gt;0,"Reliquat en cours",IF(COUNTIFS(jr_num,A197,jr_gap,"&lt;0")&gt;0,"Reliquat livré","Complet")),IF(LEFT(A197,2)="BR",IF(COUNTIFS(jr_num,A197,jr_etat,"Refusé")&gt;0,"Refusé",IF(COUNTIFS(jr_num,A197,jr_etat,"Avec réserves")&gt;0,"Avec réserves",IF(COUNTIFS(jr_num,A197,jr_rel,"&gt;0")&gt;0,"Reliquat en cours",IF(COUNTIFS(jr_num,A197,jr_gap,"&lt;0")+COUNTIFS(jr_num,A197,jr_gap,"&gt;0")&gt;0,"Écart","Conforme")))),IF(COUNTIFS(jr_num,A197,jr_gap,"&lt;0")&gt;0,"Partiel","Sorti")))))</f>
        <v/>
      </c>
      <c r="O197" t="str">
        <f>IFERROR(MATCH(192,jr_grank,0),"")</f>
        <v/>
      </c>
      <c r="R197" s="67" t="str">
        <f>IFERROR(INDEX(jr_num,MATCH("BL192",jr_nkey,0))&amp;"","")</f>
        <v/>
      </c>
      <c r="S197" s="67" t="str">
        <f>IFERROR(INDEX(jr_num,MATCH("BR192",jr_nkey,0))&amp;"","")</f>
        <v/>
      </c>
      <c r="T197" s="67" t="str">
        <f>IFERROR(INDEX(jr_num,MATCH("BS192",jr_nkey,0))&amp;"","")</f>
        <v/>
      </c>
    </row>
    <row r="198">
      <c r="A198" s="60" t="str">
        <f>IF($O198="","",INDEX(jr_num,$O198)&amp;"")</f>
        <v/>
      </c>
      <c r="B198" s="60" t="str">
        <f>IF($O198="","",IF(INDEX(jr_type,$O198)="BL","Livraison",IF(INDEX(jr_type,$O198)="BR","Réception","Sortie")))</f>
        <v/>
      </c>
      <c r="C198" s="65" t="str">
        <f>IF($O198="","",INDEX(jr_date,$O198))</f>
        <v/>
      </c>
      <c r="D198" s="60" t="str">
        <f>IF($O198="","",INDEX(jr_tiers,$O198)&amp;"")</f>
        <v/>
      </c>
      <c r="E198" s="57" t="str">
        <f>IF($O198="","",INDEX(jr_name,$O198)&amp;"")</f>
        <v/>
      </c>
      <c r="F198" s="57" t="str">
        <f>IF($O198="","",INDEX(jr_order,$O198)&amp;"")</f>
        <v/>
      </c>
      <c r="G198" s="57" t="str">
        <f>IF($O198="","",INDEX(jr_ext,$O198)&amp;"")</f>
        <v/>
      </c>
      <c r="H198" s="57" t="str">
        <f>IF($O198="","",INDEX(jr_carrier,$O198)&amp;"")</f>
        <v/>
      </c>
      <c r="I198" s="66" t="str">
        <f>IF(A198="","",COUNTIF(jr_num,A198))</f>
        <v/>
      </c>
      <c r="J198" s="66" t="str">
        <f>IF(A198="","",SUMIF(jr_num,A198,jr_colis))</f>
        <v/>
      </c>
      <c r="K198" s="63" t="str">
        <f>IF(A198="","",SUMIF(jr_num,A198,jr_kg))</f>
        <v/>
      </c>
      <c r="L198" s="64" t="str">
        <f>IF(A198="","",SUMIF(jr_num,A198,jr_val))</f>
        <v/>
      </c>
      <c r="M198" s="60" t="str">
        <f>IF(A198="","",IF(COUNTIFS(jr_num,A198,jr_check,"&lt;&gt;OK")&gt;0,"À vérifier",IF(LEFT(A198,2)="BL",IF(COUNTIFS(jr_num,A198,jr_rel,"&gt;0")&gt;0,"Reliquat en cours",IF(COUNTIFS(jr_num,A198,jr_gap,"&lt;0")&gt;0,"Reliquat livré","Complet")),IF(LEFT(A198,2)="BR",IF(COUNTIFS(jr_num,A198,jr_etat,"Refusé")&gt;0,"Refusé",IF(COUNTIFS(jr_num,A198,jr_etat,"Avec réserves")&gt;0,"Avec réserves",IF(COUNTIFS(jr_num,A198,jr_rel,"&gt;0")&gt;0,"Reliquat en cours",IF(COUNTIFS(jr_num,A198,jr_gap,"&lt;0")+COUNTIFS(jr_num,A198,jr_gap,"&gt;0")&gt;0,"Écart","Conforme")))),IF(COUNTIFS(jr_num,A198,jr_gap,"&lt;0")&gt;0,"Partiel","Sorti")))))</f>
        <v/>
      </c>
      <c r="O198" t="str">
        <f>IFERROR(MATCH(193,jr_grank,0),"")</f>
        <v/>
      </c>
      <c r="R198" s="67" t="str">
        <f>IFERROR(INDEX(jr_num,MATCH("BL193",jr_nkey,0))&amp;"","")</f>
        <v/>
      </c>
      <c r="S198" s="67" t="str">
        <f>IFERROR(INDEX(jr_num,MATCH("BR193",jr_nkey,0))&amp;"","")</f>
        <v/>
      </c>
      <c r="T198" s="67" t="str">
        <f>IFERROR(INDEX(jr_num,MATCH("BS193",jr_nkey,0))&amp;"","")</f>
        <v/>
      </c>
    </row>
    <row r="199">
      <c r="A199" s="60" t="str">
        <f>IF($O199="","",INDEX(jr_num,$O199)&amp;"")</f>
        <v/>
      </c>
      <c r="B199" s="60" t="str">
        <f>IF($O199="","",IF(INDEX(jr_type,$O199)="BL","Livraison",IF(INDEX(jr_type,$O199)="BR","Réception","Sortie")))</f>
        <v/>
      </c>
      <c r="C199" s="65" t="str">
        <f>IF($O199="","",INDEX(jr_date,$O199))</f>
        <v/>
      </c>
      <c r="D199" s="60" t="str">
        <f>IF($O199="","",INDEX(jr_tiers,$O199)&amp;"")</f>
        <v/>
      </c>
      <c r="E199" s="57" t="str">
        <f>IF($O199="","",INDEX(jr_name,$O199)&amp;"")</f>
        <v/>
      </c>
      <c r="F199" s="57" t="str">
        <f>IF($O199="","",INDEX(jr_order,$O199)&amp;"")</f>
        <v/>
      </c>
      <c r="G199" s="57" t="str">
        <f>IF($O199="","",INDEX(jr_ext,$O199)&amp;"")</f>
        <v/>
      </c>
      <c r="H199" s="57" t="str">
        <f>IF($O199="","",INDEX(jr_carrier,$O199)&amp;"")</f>
        <v/>
      </c>
      <c r="I199" s="66" t="str">
        <f>IF(A199="","",COUNTIF(jr_num,A199))</f>
        <v/>
      </c>
      <c r="J199" s="66" t="str">
        <f>IF(A199="","",SUMIF(jr_num,A199,jr_colis))</f>
        <v/>
      </c>
      <c r="K199" s="63" t="str">
        <f>IF(A199="","",SUMIF(jr_num,A199,jr_kg))</f>
        <v/>
      </c>
      <c r="L199" s="64" t="str">
        <f>IF(A199="","",SUMIF(jr_num,A199,jr_val))</f>
        <v/>
      </c>
      <c r="M199" s="60" t="str">
        <f>IF(A199="","",IF(COUNTIFS(jr_num,A199,jr_check,"&lt;&gt;OK")&gt;0,"À vérifier",IF(LEFT(A199,2)="BL",IF(COUNTIFS(jr_num,A199,jr_rel,"&gt;0")&gt;0,"Reliquat en cours",IF(COUNTIFS(jr_num,A199,jr_gap,"&lt;0")&gt;0,"Reliquat livré","Complet")),IF(LEFT(A199,2)="BR",IF(COUNTIFS(jr_num,A199,jr_etat,"Refusé")&gt;0,"Refusé",IF(COUNTIFS(jr_num,A199,jr_etat,"Avec réserves")&gt;0,"Avec réserves",IF(COUNTIFS(jr_num,A199,jr_rel,"&gt;0")&gt;0,"Reliquat en cours",IF(COUNTIFS(jr_num,A199,jr_gap,"&lt;0")+COUNTIFS(jr_num,A199,jr_gap,"&gt;0")&gt;0,"Écart","Conforme")))),IF(COUNTIFS(jr_num,A199,jr_gap,"&lt;0")&gt;0,"Partiel","Sorti")))))</f>
        <v/>
      </c>
      <c r="O199" t="str">
        <f>IFERROR(MATCH(194,jr_grank,0),"")</f>
        <v/>
      </c>
      <c r="R199" s="67" t="str">
        <f>IFERROR(INDEX(jr_num,MATCH("BL194",jr_nkey,0))&amp;"","")</f>
        <v/>
      </c>
      <c r="S199" s="67" t="str">
        <f>IFERROR(INDEX(jr_num,MATCH("BR194",jr_nkey,0))&amp;"","")</f>
        <v/>
      </c>
      <c r="T199" s="67" t="str">
        <f>IFERROR(INDEX(jr_num,MATCH("BS194",jr_nkey,0))&amp;"","")</f>
        <v/>
      </c>
    </row>
    <row r="200">
      <c r="A200" s="60" t="str">
        <f>IF($O200="","",INDEX(jr_num,$O200)&amp;"")</f>
        <v/>
      </c>
      <c r="B200" s="60" t="str">
        <f>IF($O200="","",IF(INDEX(jr_type,$O200)="BL","Livraison",IF(INDEX(jr_type,$O200)="BR","Réception","Sortie")))</f>
        <v/>
      </c>
      <c r="C200" s="65" t="str">
        <f>IF($O200="","",INDEX(jr_date,$O200))</f>
        <v/>
      </c>
      <c r="D200" s="60" t="str">
        <f>IF($O200="","",INDEX(jr_tiers,$O200)&amp;"")</f>
        <v/>
      </c>
      <c r="E200" s="57" t="str">
        <f>IF($O200="","",INDEX(jr_name,$O200)&amp;"")</f>
        <v/>
      </c>
      <c r="F200" s="57" t="str">
        <f>IF($O200="","",INDEX(jr_order,$O200)&amp;"")</f>
        <v/>
      </c>
      <c r="G200" s="57" t="str">
        <f>IF($O200="","",INDEX(jr_ext,$O200)&amp;"")</f>
        <v/>
      </c>
      <c r="H200" s="57" t="str">
        <f>IF($O200="","",INDEX(jr_carrier,$O200)&amp;"")</f>
        <v/>
      </c>
      <c r="I200" s="66" t="str">
        <f>IF(A200="","",COUNTIF(jr_num,A200))</f>
        <v/>
      </c>
      <c r="J200" s="66" t="str">
        <f>IF(A200="","",SUMIF(jr_num,A200,jr_colis))</f>
        <v/>
      </c>
      <c r="K200" s="63" t="str">
        <f>IF(A200="","",SUMIF(jr_num,A200,jr_kg))</f>
        <v/>
      </c>
      <c r="L200" s="64" t="str">
        <f>IF(A200="","",SUMIF(jr_num,A200,jr_val))</f>
        <v/>
      </c>
      <c r="M200" s="60" t="str">
        <f>IF(A200="","",IF(COUNTIFS(jr_num,A200,jr_check,"&lt;&gt;OK")&gt;0,"À vérifier",IF(LEFT(A200,2)="BL",IF(COUNTIFS(jr_num,A200,jr_rel,"&gt;0")&gt;0,"Reliquat en cours",IF(COUNTIFS(jr_num,A200,jr_gap,"&lt;0")&gt;0,"Reliquat livré","Complet")),IF(LEFT(A200,2)="BR",IF(COUNTIFS(jr_num,A200,jr_etat,"Refusé")&gt;0,"Refusé",IF(COUNTIFS(jr_num,A200,jr_etat,"Avec réserves")&gt;0,"Avec réserves",IF(COUNTIFS(jr_num,A200,jr_rel,"&gt;0")&gt;0,"Reliquat en cours",IF(COUNTIFS(jr_num,A200,jr_gap,"&lt;0")+COUNTIFS(jr_num,A200,jr_gap,"&gt;0")&gt;0,"Écart","Conforme")))),IF(COUNTIFS(jr_num,A200,jr_gap,"&lt;0")&gt;0,"Partiel","Sorti")))))</f>
        <v/>
      </c>
      <c r="O200" t="str">
        <f>IFERROR(MATCH(195,jr_grank,0),"")</f>
        <v/>
      </c>
      <c r="R200" s="67" t="str">
        <f>IFERROR(INDEX(jr_num,MATCH("BL195",jr_nkey,0))&amp;"","")</f>
        <v/>
      </c>
      <c r="S200" s="67" t="str">
        <f>IFERROR(INDEX(jr_num,MATCH("BR195",jr_nkey,0))&amp;"","")</f>
        <v/>
      </c>
      <c r="T200" s="67" t="str">
        <f>IFERROR(INDEX(jr_num,MATCH("BS195",jr_nkey,0))&amp;"","")</f>
        <v/>
      </c>
    </row>
    <row r="201">
      <c r="A201" s="60" t="str">
        <f>IF($O201="","",INDEX(jr_num,$O201)&amp;"")</f>
        <v/>
      </c>
      <c r="B201" s="60" t="str">
        <f>IF($O201="","",IF(INDEX(jr_type,$O201)="BL","Livraison",IF(INDEX(jr_type,$O201)="BR","Réception","Sortie")))</f>
        <v/>
      </c>
      <c r="C201" s="65" t="str">
        <f>IF($O201="","",INDEX(jr_date,$O201))</f>
        <v/>
      </c>
      <c r="D201" s="60" t="str">
        <f>IF($O201="","",INDEX(jr_tiers,$O201)&amp;"")</f>
        <v/>
      </c>
      <c r="E201" s="57" t="str">
        <f>IF($O201="","",INDEX(jr_name,$O201)&amp;"")</f>
        <v/>
      </c>
      <c r="F201" s="57" t="str">
        <f>IF($O201="","",INDEX(jr_order,$O201)&amp;"")</f>
        <v/>
      </c>
      <c r="G201" s="57" t="str">
        <f>IF($O201="","",INDEX(jr_ext,$O201)&amp;"")</f>
        <v/>
      </c>
      <c r="H201" s="57" t="str">
        <f>IF($O201="","",INDEX(jr_carrier,$O201)&amp;"")</f>
        <v/>
      </c>
      <c r="I201" s="66" t="str">
        <f>IF(A201="","",COUNTIF(jr_num,A201))</f>
        <v/>
      </c>
      <c r="J201" s="66" t="str">
        <f>IF(A201="","",SUMIF(jr_num,A201,jr_colis))</f>
        <v/>
      </c>
      <c r="K201" s="63" t="str">
        <f>IF(A201="","",SUMIF(jr_num,A201,jr_kg))</f>
        <v/>
      </c>
      <c r="L201" s="64" t="str">
        <f>IF(A201="","",SUMIF(jr_num,A201,jr_val))</f>
        <v/>
      </c>
      <c r="M201" s="60" t="str">
        <f>IF(A201="","",IF(COUNTIFS(jr_num,A201,jr_check,"&lt;&gt;OK")&gt;0,"À vérifier",IF(LEFT(A201,2)="BL",IF(COUNTIFS(jr_num,A201,jr_rel,"&gt;0")&gt;0,"Reliquat en cours",IF(COUNTIFS(jr_num,A201,jr_gap,"&lt;0")&gt;0,"Reliquat livré","Complet")),IF(LEFT(A201,2)="BR",IF(COUNTIFS(jr_num,A201,jr_etat,"Refusé")&gt;0,"Refusé",IF(COUNTIFS(jr_num,A201,jr_etat,"Avec réserves")&gt;0,"Avec réserves",IF(COUNTIFS(jr_num,A201,jr_rel,"&gt;0")&gt;0,"Reliquat en cours",IF(COUNTIFS(jr_num,A201,jr_gap,"&lt;0")+COUNTIFS(jr_num,A201,jr_gap,"&gt;0")&gt;0,"Écart","Conforme")))),IF(COUNTIFS(jr_num,A201,jr_gap,"&lt;0")&gt;0,"Partiel","Sorti")))))</f>
        <v/>
      </c>
      <c r="O201" t="str">
        <f>IFERROR(MATCH(196,jr_grank,0),"")</f>
        <v/>
      </c>
      <c r="R201" s="67" t="str">
        <f>IFERROR(INDEX(jr_num,MATCH("BL196",jr_nkey,0))&amp;"","")</f>
        <v/>
      </c>
      <c r="S201" s="67" t="str">
        <f>IFERROR(INDEX(jr_num,MATCH("BR196",jr_nkey,0))&amp;"","")</f>
        <v/>
      </c>
      <c r="T201" s="67" t="str">
        <f>IFERROR(INDEX(jr_num,MATCH("BS196",jr_nkey,0))&amp;"","")</f>
        <v/>
      </c>
    </row>
    <row r="202">
      <c r="A202" s="60" t="str">
        <f>IF($O202="","",INDEX(jr_num,$O202)&amp;"")</f>
        <v/>
      </c>
      <c r="B202" s="60" t="str">
        <f>IF($O202="","",IF(INDEX(jr_type,$O202)="BL","Livraison",IF(INDEX(jr_type,$O202)="BR","Réception","Sortie")))</f>
        <v/>
      </c>
      <c r="C202" s="65" t="str">
        <f>IF($O202="","",INDEX(jr_date,$O202))</f>
        <v/>
      </c>
      <c r="D202" s="60" t="str">
        <f>IF($O202="","",INDEX(jr_tiers,$O202)&amp;"")</f>
        <v/>
      </c>
      <c r="E202" s="57" t="str">
        <f>IF($O202="","",INDEX(jr_name,$O202)&amp;"")</f>
        <v/>
      </c>
      <c r="F202" s="57" t="str">
        <f>IF($O202="","",INDEX(jr_order,$O202)&amp;"")</f>
        <v/>
      </c>
      <c r="G202" s="57" t="str">
        <f>IF($O202="","",INDEX(jr_ext,$O202)&amp;"")</f>
        <v/>
      </c>
      <c r="H202" s="57" t="str">
        <f>IF($O202="","",INDEX(jr_carrier,$O202)&amp;"")</f>
        <v/>
      </c>
      <c r="I202" s="66" t="str">
        <f>IF(A202="","",COUNTIF(jr_num,A202))</f>
        <v/>
      </c>
      <c r="J202" s="66" t="str">
        <f>IF(A202="","",SUMIF(jr_num,A202,jr_colis))</f>
        <v/>
      </c>
      <c r="K202" s="63" t="str">
        <f>IF(A202="","",SUMIF(jr_num,A202,jr_kg))</f>
        <v/>
      </c>
      <c r="L202" s="64" t="str">
        <f>IF(A202="","",SUMIF(jr_num,A202,jr_val))</f>
        <v/>
      </c>
      <c r="M202" s="60" t="str">
        <f>IF(A202="","",IF(COUNTIFS(jr_num,A202,jr_check,"&lt;&gt;OK")&gt;0,"À vérifier",IF(LEFT(A202,2)="BL",IF(COUNTIFS(jr_num,A202,jr_rel,"&gt;0")&gt;0,"Reliquat en cours",IF(COUNTIFS(jr_num,A202,jr_gap,"&lt;0")&gt;0,"Reliquat livré","Complet")),IF(LEFT(A202,2)="BR",IF(COUNTIFS(jr_num,A202,jr_etat,"Refusé")&gt;0,"Refusé",IF(COUNTIFS(jr_num,A202,jr_etat,"Avec réserves")&gt;0,"Avec réserves",IF(COUNTIFS(jr_num,A202,jr_rel,"&gt;0")&gt;0,"Reliquat en cours",IF(COUNTIFS(jr_num,A202,jr_gap,"&lt;0")+COUNTIFS(jr_num,A202,jr_gap,"&gt;0")&gt;0,"Écart","Conforme")))),IF(COUNTIFS(jr_num,A202,jr_gap,"&lt;0")&gt;0,"Partiel","Sorti")))))</f>
        <v/>
      </c>
      <c r="O202" t="str">
        <f>IFERROR(MATCH(197,jr_grank,0),"")</f>
        <v/>
      </c>
      <c r="R202" s="67" t="str">
        <f>IFERROR(INDEX(jr_num,MATCH("BL197",jr_nkey,0))&amp;"","")</f>
        <v/>
      </c>
      <c r="S202" s="67" t="str">
        <f>IFERROR(INDEX(jr_num,MATCH("BR197",jr_nkey,0))&amp;"","")</f>
        <v/>
      </c>
      <c r="T202" s="67" t="str">
        <f>IFERROR(INDEX(jr_num,MATCH("BS197",jr_nkey,0))&amp;"","")</f>
        <v/>
      </c>
    </row>
    <row r="203">
      <c r="A203" s="60" t="str">
        <f>IF($O203="","",INDEX(jr_num,$O203)&amp;"")</f>
        <v/>
      </c>
      <c r="B203" s="60" t="str">
        <f>IF($O203="","",IF(INDEX(jr_type,$O203)="BL","Livraison",IF(INDEX(jr_type,$O203)="BR","Réception","Sortie")))</f>
        <v/>
      </c>
      <c r="C203" s="65" t="str">
        <f>IF($O203="","",INDEX(jr_date,$O203))</f>
        <v/>
      </c>
      <c r="D203" s="60" t="str">
        <f>IF($O203="","",INDEX(jr_tiers,$O203)&amp;"")</f>
        <v/>
      </c>
      <c r="E203" s="57" t="str">
        <f>IF($O203="","",INDEX(jr_name,$O203)&amp;"")</f>
        <v/>
      </c>
      <c r="F203" s="57" t="str">
        <f>IF($O203="","",INDEX(jr_order,$O203)&amp;"")</f>
        <v/>
      </c>
      <c r="G203" s="57" t="str">
        <f>IF($O203="","",INDEX(jr_ext,$O203)&amp;"")</f>
        <v/>
      </c>
      <c r="H203" s="57" t="str">
        <f>IF($O203="","",INDEX(jr_carrier,$O203)&amp;"")</f>
        <v/>
      </c>
      <c r="I203" s="66" t="str">
        <f>IF(A203="","",COUNTIF(jr_num,A203))</f>
        <v/>
      </c>
      <c r="J203" s="66" t="str">
        <f>IF(A203="","",SUMIF(jr_num,A203,jr_colis))</f>
        <v/>
      </c>
      <c r="K203" s="63" t="str">
        <f>IF(A203="","",SUMIF(jr_num,A203,jr_kg))</f>
        <v/>
      </c>
      <c r="L203" s="64" t="str">
        <f>IF(A203="","",SUMIF(jr_num,A203,jr_val))</f>
        <v/>
      </c>
      <c r="M203" s="60" t="str">
        <f>IF(A203="","",IF(COUNTIFS(jr_num,A203,jr_check,"&lt;&gt;OK")&gt;0,"À vérifier",IF(LEFT(A203,2)="BL",IF(COUNTIFS(jr_num,A203,jr_rel,"&gt;0")&gt;0,"Reliquat en cours",IF(COUNTIFS(jr_num,A203,jr_gap,"&lt;0")&gt;0,"Reliquat livré","Complet")),IF(LEFT(A203,2)="BR",IF(COUNTIFS(jr_num,A203,jr_etat,"Refusé")&gt;0,"Refusé",IF(COUNTIFS(jr_num,A203,jr_etat,"Avec réserves")&gt;0,"Avec réserves",IF(COUNTIFS(jr_num,A203,jr_rel,"&gt;0")&gt;0,"Reliquat en cours",IF(COUNTIFS(jr_num,A203,jr_gap,"&lt;0")+COUNTIFS(jr_num,A203,jr_gap,"&gt;0")&gt;0,"Écart","Conforme")))),IF(COUNTIFS(jr_num,A203,jr_gap,"&lt;0")&gt;0,"Partiel","Sorti")))))</f>
        <v/>
      </c>
      <c r="O203" t="str">
        <f>IFERROR(MATCH(198,jr_grank,0),"")</f>
        <v/>
      </c>
      <c r="R203" s="67" t="str">
        <f>IFERROR(INDEX(jr_num,MATCH("BL198",jr_nkey,0))&amp;"","")</f>
        <v/>
      </c>
      <c r="S203" s="67" t="str">
        <f>IFERROR(INDEX(jr_num,MATCH("BR198",jr_nkey,0))&amp;"","")</f>
        <v/>
      </c>
      <c r="T203" s="67" t="str">
        <f>IFERROR(INDEX(jr_num,MATCH("BS198",jr_nkey,0))&amp;"","")</f>
        <v/>
      </c>
    </row>
    <row r="204">
      <c r="A204" s="60" t="str">
        <f>IF($O204="","",INDEX(jr_num,$O204)&amp;"")</f>
        <v/>
      </c>
      <c r="B204" s="60" t="str">
        <f>IF($O204="","",IF(INDEX(jr_type,$O204)="BL","Livraison",IF(INDEX(jr_type,$O204)="BR","Réception","Sortie")))</f>
        <v/>
      </c>
      <c r="C204" s="65" t="str">
        <f>IF($O204="","",INDEX(jr_date,$O204))</f>
        <v/>
      </c>
      <c r="D204" s="60" t="str">
        <f>IF($O204="","",INDEX(jr_tiers,$O204)&amp;"")</f>
        <v/>
      </c>
      <c r="E204" s="57" t="str">
        <f>IF($O204="","",INDEX(jr_name,$O204)&amp;"")</f>
        <v/>
      </c>
      <c r="F204" s="57" t="str">
        <f>IF($O204="","",INDEX(jr_order,$O204)&amp;"")</f>
        <v/>
      </c>
      <c r="G204" s="57" t="str">
        <f>IF($O204="","",INDEX(jr_ext,$O204)&amp;"")</f>
        <v/>
      </c>
      <c r="H204" s="57" t="str">
        <f>IF($O204="","",INDEX(jr_carrier,$O204)&amp;"")</f>
        <v/>
      </c>
      <c r="I204" s="66" t="str">
        <f>IF(A204="","",COUNTIF(jr_num,A204))</f>
        <v/>
      </c>
      <c r="J204" s="66" t="str">
        <f>IF(A204="","",SUMIF(jr_num,A204,jr_colis))</f>
        <v/>
      </c>
      <c r="K204" s="63" t="str">
        <f>IF(A204="","",SUMIF(jr_num,A204,jr_kg))</f>
        <v/>
      </c>
      <c r="L204" s="64" t="str">
        <f>IF(A204="","",SUMIF(jr_num,A204,jr_val))</f>
        <v/>
      </c>
      <c r="M204" s="60" t="str">
        <f>IF(A204="","",IF(COUNTIFS(jr_num,A204,jr_check,"&lt;&gt;OK")&gt;0,"À vérifier",IF(LEFT(A204,2)="BL",IF(COUNTIFS(jr_num,A204,jr_rel,"&gt;0")&gt;0,"Reliquat en cours",IF(COUNTIFS(jr_num,A204,jr_gap,"&lt;0")&gt;0,"Reliquat livré","Complet")),IF(LEFT(A204,2)="BR",IF(COUNTIFS(jr_num,A204,jr_etat,"Refusé")&gt;0,"Refusé",IF(COUNTIFS(jr_num,A204,jr_etat,"Avec réserves")&gt;0,"Avec réserves",IF(COUNTIFS(jr_num,A204,jr_rel,"&gt;0")&gt;0,"Reliquat en cours",IF(COUNTIFS(jr_num,A204,jr_gap,"&lt;0")+COUNTIFS(jr_num,A204,jr_gap,"&gt;0")&gt;0,"Écart","Conforme")))),IF(COUNTIFS(jr_num,A204,jr_gap,"&lt;0")&gt;0,"Partiel","Sorti")))))</f>
        <v/>
      </c>
      <c r="O204" t="str">
        <f>IFERROR(MATCH(199,jr_grank,0),"")</f>
        <v/>
      </c>
      <c r="R204" s="67" t="str">
        <f>IFERROR(INDEX(jr_num,MATCH("BL199",jr_nkey,0))&amp;"","")</f>
        <v/>
      </c>
      <c r="S204" s="67" t="str">
        <f>IFERROR(INDEX(jr_num,MATCH("BR199",jr_nkey,0))&amp;"","")</f>
        <v/>
      </c>
      <c r="T204" s="67" t="str">
        <f>IFERROR(INDEX(jr_num,MATCH("BS199",jr_nkey,0))&amp;"","")</f>
        <v/>
      </c>
    </row>
    <row r="205">
      <c r="A205" s="60" t="str">
        <f>IF($O205="","",INDEX(jr_num,$O205)&amp;"")</f>
        <v/>
      </c>
      <c r="B205" s="60" t="str">
        <f>IF($O205="","",IF(INDEX(jr_type,$O205)="BL","Livraison",IF(INDEX(jr_type,$O205)="BR","Réception","Sortie")))</f>
        <v/>
      </c>
      <c r="C205" s="65" t="str">
        <f>IF($O205="","",INDEX(jr_date,$O205))</f>
        <v/>
      </c>
      <c r="D205" s="60" t="str">
        <f>IF($O205="","",INDEX(jr_tiers,$O205)&amp;"")</f>
        <v/>
      </c>
      <c r="E205" s="57" t="str">
        <f>IF($O205="","",INDEX(jr_name,$O205)&amp;"")</f>
        <v/>
      </c>
      <c r="F205" s="57" t="str">
        <f>IF($O205="","",INDEX(jr_order,$O205)&amp;"")</f>
        <v/>
      </c>
      <c r="G205" s="57" t="str">
        <f>IF($O205="","",INDEX(jr_ext,$O205)&amp;"")</f>
        <v/>
      </c>
      <c r="H205" s="57" t="str">
        <f>IF($O205="","",INDEX(jr_carrier,$O205)&amp;"")</f>
        <v/>
      </c>
      <c r="I205" s="66" t="str">
        <f>IF(A205="","",COUNTIF(jr_num,A205))</f>
        <v/>
      </c>
      <c r="J205" s="66" t="str">
        <f>IF(A205="","",SUMIF(jr_num,A205,jr_colis))</f>
        <v/>
      </c>
      <c r="K205" s="63" t="str">
        <f>IF(A205="","",SUMIF(jr_num,A205,jr_kg))</f>
        <v/>
      </c>
      <c r="L205" s="64" t="str">
        <f>IF(A205="","",SUMIF(jr_num,A205,jr_val))</f>
        <v/>
      </c>
      <c r="M205" s="60" t="str">
        <f>IF(A205="","",IF(COUNTIFS(jr_num,A205,jr_check,"&lt;&gt;OK")&gt;0,"À vérifier",IF(LEFT(A205,2)="BL",IF(COUNTIFS(jr_num,A205,jr_rel,"&gt;0")&gt;0,"Reliquat en cours",IF(COUNTIFS(jr_num,A205,jr_gap,"&lt;0")&gt;0,"Reliquat livré","Complet")),IF(LEFT(A205,2)="BR",IF(COUNTIFS(jr_num,A205,jr_etat,"Refusé")&gt;0,"Refusé",IF(COUNTIFS(jr_num,A205,jr_etat,"Avec réserves")&gt;0,"Avec réserves",IF(COUNTIFS(jr_num,A205,jr_rel,"&gt;0")&gt;0,"Reliquat en cours",IF(COUNTIFS(jr_num,A205,jr_gap,"&lt;0")+COUNTIFS(jr_num,A205,jr_gap,"&gt;0")&gt;0,"Écart","Conforme")))),IF(COUNTIFS(jr_num,A205,jr_gap,"&lt;0")&gt;0,"Partiel","Sorti")))))</f>
        <v/>
      </c>
      <c r="O205" t="str">
        <f>IFERROR(MATCH(200,jr_grank,0),"")</f>
        <v/>
      </c>
      <c r="R205" s="67" t="str">
        <f>IFERROR(INDEX(jr_num,MATCH("BL200",jr_nkey,0))&amp;"","")</f>
        <v/>
      </c>
      <c r="S205" s="67" t="str">
        <f>IFERROR(INDEX(jr_num,MATCH("BR200",jr_nkey,0))&amp;"","")</f>
        <v/>
      </c>
      <c r="T205" s="67" t="str">
        <f>IFERROR(INDEX(jr_num,MATCH("BS200",jr_nkey,0))&amp;"","")</f>
        <v/>
      </c>
    </row>
    <row r="206">
      <c r="A206" s="60" t="str">
        <f>IF($O206="","",INDEX(jr_num,$O206)&amp;"")</f>
        <v/>
      </c>
      <c r="B206" s="60" t="str">
        <f>IF($O206="","",IF(INDEX(jr_type,$O206)="BL","Livraison",IF(INDEX(jr_type,$O206)="BR","Réception","Sortie")))</f>
        <v/>
      </c>
      <c r="C206" s="65" t="str">
        <f>IF($O206="","",INDEX(jr_date,$O206))</f>
        <v/>
      </c>
      <c r="D206" s="60" t="str">
        <f>IF($O206="","",INDEX(jr_tiers,$O206)&amp;"")</f>
        <v/>
      </c>
      <c r="E206" s="57" t="str">
        <f>IF($O206="","",INDEX(jr_name,$O206)&amp;"")</f>
        <v/>
      </c>
      <c r="F206" s="57" t="str">
        <f>IF($O206="","",INDEX(jr_order,$O206)&amp;"")</f>
        <v/>
      </c>
      <c r="G206" s="57" t="str">
        <f>IF($O206="","",INDEX(jr_ext,$O206)&amp;"")</f>
        <v/>
      </c>
      <c r="H206" s="57" t="str">
        <f>IF($O206="","",INDEX(jr_carrier,$O206)&amp;"")</f>
        <v/>
      </c>
      <c r="I206" s="66" t="str">
        <f>IF(A206="","",COUNTIF(jr_num,A206))</f>
        <v/>
      </c>
      <c r="J206" s="66" t="str">
        <f>IF(A206="","",SUMIF(jr_num,A206,jr_colis))</f>
        <v/>
      </c>
      <c r="K206" s="63" t="str">
        <f>IF(A206="","",SUMIF(jr_num,A206,jr_kg))</f>
        <v/>
      </c>
      <c r="L206" s="64" t="str">
        <f>IF(A206="","",SUMIF(jr_num,A206,jr_val))</f>
        <v/>
      </c>
      <c r="M206" s="60" t="str">
        <f>IF(A206="","",IF(COUNTIFS(jr_num,A206,jr_check,"&lt;&gt;OK")&gt;0,"À vérifier",IF(LEFT(A206,2)="BL",IF(COUNTIFS(jr_num,A206,jr_rel,"&gt;0")&gt;0,"Reliquat en cours",IF(COUNTIFS(jr_num,A206,jr_gap,"&lt;0")&gt;0,"Reliquat livré","Complet")),IF(LEFT(A206,2)="BR",IF(COUNTIFS(jr_num,A206,jr_etat,"Refusé")&gt;0,"Refusé",IF(COUNTIFS(jr_num,A206,jr_etat,"Avec réserves")&gt;0,"Avec réserves",IF(COUNTIFS(jr_num,A206,jr_rel,"&gt;0")&gt;0,"Reliquat en cours",IF(COUNTIFS(jr_num,A206,jr_gap,"&lt;0")+COUNTIFS(jr_num,A206,jr_gap,"&gt;0")&gt;0,"Écart","Conforme")))),IF(COUNTIFS(jr_num,A206,jr_gap,"&lt;0")&gt;0,"Partiel","Sorti")))))</f>
        <v/>
      </c>
      <c r="O206" t="str">
        <f>IFERROR(MATCH(201,jr_grank,0),"")</f>
        <v/>
      </c>
      <c r="R206" s="67" t="str">
        <f>IFERROR(INDEX(jr_num,MATCH("BL201",jr_nkey,0))&amp;"","")</f>
        <v/>
      </c>
      <c r="S206" s="67" t="str">
        <f>IFERROR(INDEX(jr_num,MATCH("BR201",jr_nkey,0))&amp;"","")</f>
        <v/>
      </c>
      <c r="T206" s="67" t="str">
        <f>IFERROR(INDEX(jr_num,MATCH("BS201",jr_nkey,0))&amp;"","")</f>
        <v/>
      </c>
    </row>
    <row r="207">
      <c r="A207" s="60" t="str">
        <f>IF($O207="","",INDEX(jr_num,$O207)&amp;"")</f>
        <v/>
      </c>
      <c r="B207" s="60" t="str">
        <f>IF($O207="","",IF(INDEX(jr_type,$O207)="BL","Livraison",IF(INDEX(jr_type,$O207)="BR","Réception","Sortie")))</f>
        <v/>
      </c>
      <c r="C207" s="65" t="str">
        <f>IF($O207="","",INDEX(jr_date,$O207))</f>
        <v/>
      </c>
      <c r="D207" s="60" t="str">
        <f>IF($O207="","",INDEX(jr_tiers,$O207)&amp;"")</f>
        <v/>
      </c>
      <c r="E207" s="57" t="str">
        <f>IF($O207="","",INDEX(jr_name,$O207)&amp;"")</f>
        <v/>
      </c>
      <c r="F207" s="57" t="str">
        <f>IF($O207="","",INDEX(jr_order,$O207)&amp;"")</f>
        <v/>
      </c>
      <c r="G207" s="57" t="str">
        <f>IF($O207="","",INDEX(jr_ext,$O207)&amp;"")</f>
        <v/>
      </c>
      <c r="H207" s="57" t="str">
        <f>IF($O207="","",INDEX(jr_carrier,$O207)&amp;"")</f>
        <v/>
      </c>
      <c r="I207" s="66" t="str">
        <f>IF(A207="","",COUNTIF(jr_num,A207))</f>
        <v/>
      </c>
      <c r="J207" s="66" t="str">
        <f>IF(A207="","",SUMIF(jr_num,A207,jr_colis))</f>
        <v/>
      </c>
      <c r="K207" s="63" t="str">
        <f>IF(A207="","",SUMIF(jr_num,A207,jr_kg))</f>
        <v/>
      </c>
      <c r="L207" s="64" t="str">
        <f>IF(A207="","",SUMIF(jr_num,A207,jr_val))</f>
        <v/>
      </c>
      <c r="M207" s="60" t="str">
        <f>IF(A207="","",IF(COUNTIFS(jr_num,A207,jr_check,"&lt;&gt;OK")&gt;0,"À vérifier",IF(LEFT(A207,2)="BL",IF(COUNTIFS(jr_num,A207,jr_rel,"&gt;0")&gt;0,"Reliquat en cours",IF(COUNTIFS(jr_num,A207,jr_gap,"&lt;0")&gt;0,"Reliquat livré","Complet")),IF(LEFT(A207,2)="BR",IF(COUNTIFS(jr_num,A207,jr_etat,"Refusé")&gt;0,"Refusé",IF(COUNTIFS(jr_num,A207,jr_etat,"Avec réserves")&gt;0,"Avec réserves",IF(COUNTIFS(jr_num,A207,jr_rel,"&gt;0")&gt;0,"Reliquat en cours",IF(COUNTIFS(jr_num,A207,jr_gap,"&lt;0")+COUNTIFS(jr_num,A207,jr_gap,"&gt;0")&gt;0,"Écart","Conforme")))),IF(COUNTIFS(jr_num,A207,jr_gap,"&lt;0")&gt;0,"Partiel","Sorti")))))</f>
        <v/>
      </c>
      <c r="O207" t="str">
        <f>IFERROR(MATCH(202,jr_grank,0),"")</f>
        <v/>
      </c>
      <c r="R207" s="67" t="str">
        <f>IFERROR(INDEX(jr_num,MATCH("BL202",jr_nkey,0))&amp;"","")</f>
        <v/>
      </c>
      <c r="S207" s="67" t="str">
        <f>IFERROR(INDEX(jr_num,MATCH("BR202",jr_nkey,0))&amp;"","")</f>
        <v/>
      </c>
      <c r="T207" s="67" t="str">
        <f>IFERROR(INDEX(jr_num,MATCH("BS202",jr_nkey,0))&amp;"","")</f>
        <v/>
      </c>
    </row>
    <row r="208">
      <c r="A208" s="60" t="str">
        <f>IF($O208="","",INDEX(jr_num,$O208)&amp;"")</f>
        <v/>
      </c>
      <c r="B208" s="60" t="str">
        <f>IF($O208="","",IF(INDEX(jr_type,$O208)="BL","Livraison",IF(INDEX(jr_type,$O208)="BR","Réception","Sortie")))</f>
        <v/>
      </c>
      <c r="C208" s="65" t="str">
        <f>IF($O208="","",INDEX(jr_date,$O208))</f>
        <v/>
      </c>
      <c r="D208" s="60" t="str">
        <f>IF($O208="","",INDEX(jr_tiers,$O208)&amp;"")</f>
        <v/>
      </c>
      <c r="E208" s="57" t="str">
        <f>IF($O208="","",INDEX(jr_name,$O208)&amp;"")</f>
        <v/>
      </c>
      <c r="F208" s="57" t="str">
        <f>IF($O208="","",INDEX(jr_order,$O208)&amp;"")</f>
        <v/>
      </c>
      <c r="G208" s="57" t="str">
        <f>IF($O208="","",INDEX(jr_ext,$O208)&amp;"")</f>
        <v/>
      </c>
      <c r="H208" s="57" t="str">
        <f>IF($O208="","",INDEX(jr_carrier,$O208)&amp;"")</f>
        <v/>
      </c>
      <c r="I208" s="66" t="str">
        <f>IF(A208="","",COUNTIF(jr_num,A208))</f>
        <v/>
      </c>
      <c r="J208" s="66" t="str">
        <f>IF(A208="","",SUMIF(jr_num,A208,jr_colis))</f>
        <v/>
      </c>
      <c r="K208" s="63" t="str">
        <f>IF(A208="","",SUMIF(jr_num,A208,jr_kg))</f>
        <v/>
      </c>
      <c r="L208" s="64" t="str">
        <f>IF(A208="","",SUMIF(jr_num,A208,jr_val))</f>
        <v/>
      </c>
      <c r="M208" s="60" t="str">
        <f>IF(A208="","",IF(COUNTIFS(jr_num,A208,jr_check,"&lt;&gt;OK")&gt;0,"À vérifier",IF(LEFT(A208,2)="BL",IF(COUNTIFS(jr_num,A208,jr_rel,"&gt;0")&gt;0,"Reliquat en cours",IF(COUNTIFS(jr_num,A208,jr_gap,"&lt;0")&gt;0,"Reliquat livré","Complet")),IF(LEFT(A208,2)="BR",IF(COUNTIFS(jr_num,A208,jr_etat,"Refusé")&gt;0,"Refusé",IF(COUNTIFS(jr_num,A208,jr_etat,"Avec réserves")&gt;0,"Avec réserves",IF(COUNTIFS(jr_num,A208,jr_rel,"&gt;0")&gt;0,"Reliquat en cours",IF(COUNTIFS(jr_num,A208,jr_gap,"&lt;0")+COUNTIFS(jr_num,A208,jr_gap,"&gt;0")&gt;0,"Écart","Conforme")))),IF(COUNTIFS(jr_num,A208,jr_gap,"&lt;0")&gt;0,"Partiel","Sorti")))))</f>
        <v/>
      </c>
      <c r="O208" t="str">
        <f>IFERROR(MATCH(203,jr_grank,0),"")</f>
        <v/>
      </c>
      <c r="R208" s="67" t="str">
        <f>IFERROR(INDEX(jr_num,MATCH("BL203",jr_nkey,0))&amp;"","")</f>
        <v/>
      </c>
      <c r="S208" s="67" t="str">
        <f>IFERROR(INDEX(jr_num,MATCH("BR203",jr_nkey,0))&amp;"","")</f>
        <v/>
      </c>
      <c r="T208" s="67" t="str">
        <f>IFERROR(INDEX(jr_num,MATCH("BS203",jr_nkey,0))&amp;"","")</f>
        <v/>
      </c>
    </row>
    <row r="209">
      <c r="A209" s="60" t="str">
        <f>IF($O209="","",INDEX(jr_num,$O209)&amp;"")</f>
        <v/>
      </c>
      <c r="B209" s="60" t="str">
        <f>IF($O209="","",IF(INDEX(jr_type,$O209)="BL","Livraison",IF(INDEX(jr_type,$O209)="BR","Réception","Sortie")))</f>
        <v/>
      </c>
      <c r="C209" s="65" t="str">
        <f>IF($O209="","",INDEX(jr_date,$O209))</f>
        <v/>
      </c>
      <c r="D209" s="60" t="str">
        <f>IF($O209="","",INDEX(jr_tiers,$O209)&amp;"")</f>
        <v/>
      </c>
      <c r="E209" s="57" t="str">
        <f>IF($O209="","",INDEX(jr_name,$O209)&amp;"")</f>
        <v/>
      </c>
      <c r="F209" s="57" t="str">
        <f>IF($O209="","",INDEX(jr_order,$O209)&amp;"")</f>
        <v/>
      </c>
      <c r="G209" s="57" t="str">
        <f>IF($O209="","",INDEX(jr_ext,$O209)&amp;"")</f>
        <v/>
      </c>
      <c r="H209" s="57" t="str">
        <f>IF($O209="","",INDEX(jr_carrier,$O209)&amp;"")</f>
        <v/>
      </c>
      <c r="I209" s="66" t="str">
        <f>IF(A209="","",COUNTIF(jr_num,A209))</f>
        <v/>
      </c>
      <c r="J209" s="66" t="str">
        <f>IF(A209="","",SUMIF(jr_num,A209,jr_colis))</f>
        <v/>
      </c>
      <c r="K209" s="63" t="str">
        <f>IF(A209="","",SUMIF(jr_num,A209,jr_kg))</f>
        <v/>
      </c>
      <c r="L209" s="64" t="str">
        <f>IF(A209="","",SUMIF(jr_num,A209,jr_val))</f>
        <v/>
      </c>
      <c r="M209" s="60" t="str">
        <f>IF(A209="","",IF(COUNTIFS(jr_num,A209,jr_check,"&lt;&gt;OK")&gt;0,"À vérifier",IF(LEFT(A209,2)="BL",IF(COUNTIFS(jr_num,A209,jr_rel,"&gt;0")&gt;0,"Reliquat en cours",IF(COUNTIFS(jr_num,A209,jr_gap,"&lt;0")&gt;0,"Reliquat livré","Complet")),IF(LEFT(A209,2)="BR",IF(COUNTIFS(jr_num,A209,jr_etat,"Refusé")&gt;0,"Refusé",IF(COUNTIFS(jr_num,A209,jr_etat,"Avec réserves")&gt;0,"Avec réserves",IF(COUNTIFS(jr_num,A209,jr_rel,"&gt;0")&gt;0,"Reliquat en cours",IF(COUNTIFS(jr_num,A209,jr_gap,"&lt;0")+COUNTIFS(jr_num,A209,jr_gap,"&gt;0")&gt;0,"Écart","Conforme")))),IF(COUNTIFS(jr_num,A209,jr_gap,"&lt;0")&gt;0,"Partiel","Sorti")))))</f>
        <v/>
      </c>
      <c r="O209" t="str">
        <f>IFERROR(MATCH(204,jr_grank,0),"")</f>
        <v/>
      </c>
      <c r="R209" s="67" t="str">
        <f>IFERROR(INDEX(jr_num,MATCH("BL204",jr_nkey,0))&amp;"","")</f>
        <v/>
      </c>
      <c r="S209" s="67" t="str">
        <f>IFERROR(INDEX(jr_num,MATCH("BR204",jr_nkey,0))&amp;"","")</f>
        <v/>
      </c>
      <c r="T209" s="67" t="str">
        <f>IFERROR(INDEX(jr_num,MATCH("BS204",jr_nkey,0))&amp;"","")</f>
        <v/>
      </c>
    </row>
    <row r="210">
      <c r="A210" s="60" t="str">
        <f>IF($O210="","",INDEX(jr_num,$O210)&amp;"")</f>
        <v/>
      </c>
      <c r="B210" s="60" t="str">
        <f>IF($O210="","",IF(INDEX(jr_type,$O210)="BL","Livraison",IF(INDEX(jr_type,$O210)="BR","Réception","Sortie")))</f>
        <v/>
      </c>
      <c r="C210" s="65" t="str">
        <f>IF($O210="","",INDEX(jr_date,$O210))</f>
        <v/>
      </c>
      <c r="D210" s="60" t="str">
        <f>IF($O210="","",INDEX(jr_tiers,$O210)&amp;"")</f>
        <v/>
      </c>
      <c r="E210" s="57" t="str">
        <f>IF($O210="","",INDEX(jr_name,$O210)&amp;"")</f>
        <v/>
      </c>
      <c r="F210" s="57" t="str">
        <f>IF($O210="","",INDEX(jr_order,$O210)&amp;"")</f>
        <v/>
      </c>
      <c r="G210" s="57" t="str">
        <f>IF($O210="","",INDEX(jr_ext,$O210)&amp;"")</f>
        <v/>
      </c>
      <c r="H210" s="57" t="str">
        <f>IF($O210="","",INDEX(jr_carrier,$O210)&amp;"")</f>
        <v/>
      </c>
      <c r="I210" s="66" t="str">
        <f>IF(A210="","",COUNTIF(jr_num,A210))</f>
        <v/>
      </c>
      <c r="J210" s="66" t="str">
        <f>IF(A210="","",SUMIF(jr_num,A210,jr_colis))</f>
        <v/>
      </c>
      <c r="K210" s="63" t="str">
        <f>IF(A210="","",SUMIF(jr_num,A210,jr_kg))</f>
        <v/>
      </c>
      <c r="L210" s="64" t="str">
        <f>IF(A210="","",SUMIF(jr_num,A210,jr_val))</f>
        <v/>
      </c>
      <c r="M210" s="60" t="str">
        <f>IF(A210="","",IF(COUNTIFS(jr_num,A210,jr_check,"&lt;&gt;OK")&gt;0,"À vérifier",IF(LEFT(A210,2)="BL",IF(COUNTIFS(jr_num,A210,jr_rel,"&gt;0")&gt;0,"Reliquat en cours",IF(COUNTIFS(jr_num,A210,jr_gap,"&lt;0")&gt;0,"Reliquat livré","Complet")),IF(LEFT(A210,2)="BR",IF(COUNTIFS(jr_num,A210,jr_etat,"Refusé")&gt;0,"Refusé",IF(COUNTIFS(jr_num,A210,jr_etat,"Avec réserves")&gt;0,"Avec réserves",IF(COUNTIFS(jr_num,A210,jr_rel,"&gt;0")&gt;0,"Reliquat en cours",IF(COUNTIFS(jr_num,A210,jr_gap,"&lt;0")+COUNTIFS(jr_num,A210,jr_gap,"&gt;0")&gt;0,"Écart","Conforme")))),IF(COUNTIFS(jr_num,A210,jr_gap,"&lt;0")&gt;0,"Partiel","Sorti")))))</f>
        <v/>
      </c>
      <c r="O210" t="str">
        <f>IFERROR(MATCH(205,jr_grank,0),"")</f>
        <v/>
      </c>
      <c r="R210" s="67" t="str">
        <f>IFERROR(INDEX(jr_num,MATCH("BL205",jr_nkey,0))&amp;"","")</f>
        <v/>
      </c>
      <c r="S210" s="67" t="str">
        <f>IFERROR(INDEX(jr_num,MATCH("BR205",jr_nkey,0))&amp;"","")</f>
        <v/>
      </c>
      <c r="T210" s="67" t="str">
        <f>IFERROR(INDEX(jr_num,MATCH("BS205",jr_nkey,0))&amp;"","")</f>
        <v/>
      </c>
    </row>
    <row r="211">
      <c r="A211" s="60" t="str">
        <f>IF($O211="","",INDEX(jr_num,$O211)&amp;"")</f>
        <v/>
      </c>
      <c r="B211" s="60" t="str">
        <f>IF($O211="","",IF(INDEX(jr_type,$O211)="BL","Livraison",IF(INDEX(jr_type,$O211)="BR","Réception","Sortie")))</f>
        <v/>
      </c>
      <c r="C211" s="65" t="str">
        <f>IF($O211="","",INDEX(jr_date,$O211))</f>
        <v/>
      </c>
      <c r="D211" s="60" t="str">
        <f>IF($O211="","",INDEX(jr_tiers,$O211)&amp;"")</f>
        <v/>
      </c>
      <c r="E211" s="57" t="str">
        <f>IF($O211="","",INDEX(jr_name,$O211)&amp;"")</f>
        <v/>
      </c>
      <c r="F211" s="57" t="str">
        <f>IF($O211="","",INDEX(jr_order,$O211)&amp;"")</f>
        <v/>
      </c>
      <c r="G211" s="57" t="str">
        <f>IF($O211="","",INDEX(jr_ext,$O211)&amp;"")</f>
        <v/>
      </c>
      <c r="H211" s="57" t="str">
        <f>IF($O211="","",INDEX(jr_carrier,$O211)&amp;"")</f>
        <v/>
      </c>
      <c r="I211" s="66" t="str">
        <f>IF(A211="","",COUNTIF(jr_num,A211))</f>
        <v/>
      </c>
      <c r="J211" s="66" t="str">
        <f>IF(A211="","",SUMIF(jr_num,A211,jr_colis))</f>
        <v/>
      </c>
      <c r="K211" s="63" t="str">
        <f>IF(A211="","",SUMIF(jr_num,A211,jr_kg))</f>
        <v/>
      </c>
      <c r="L211" s="64" t="str">
        <f>IF(A211="","",SUMIF(jr_num,A211,jr_val))</f>
        <v/>
      </c>
      <c r="M211" s="60" t="str">
        <f>IF(A211="","",IF(COUNTIFS(jr_num,A211,jr_check,"&lt;&gt;OK")&gt;0,"À vérifier",IF(LEFT(A211,2)="BL",IF(COUNTIFS(jr_num,A211,jr_rel,"&gt;0")&gt;0,"Reliquat en cours",IF(COUNTIFS(jr_num,A211,jr_gap,"&lt;0")&gt;0,"Reliquat livré","Complet")),IF(LEFT(A211,2)="BR",IF(COUNTIFS(jr_num,A211,jr_etat,"Refusé")&gt;0,"Refusé",IF(COUNTIFS(jr_num,A211,jr_etat,"Avec réserves")&gt;0,"Avec réserves",IF(COUNTIFS(jr_num,A211,jr_rel,"&gt;0")&gt;0,"Reliquat en cours",IF(COUNTIFS(jr_num,A211,jr_gap,"&lt;0")+COUNTIFS(jr_num,A211,jr_gap,"&gt;0")&gt;0,"Écart","Conforme")))),IF(COUNTIFS(jr_num,A211,jr_gap,"&lt;0")&gt;0,"Partiel","Sorti")))))</f>
        <v/>
      </c>
      <c r="O211" t="str">
        <f>IFERROR(MATCH(206,jr_grank,0),"")</f>
        <v/>
      </c>
      <c r="R211" s="67" t="str">
        <f>IFERROR(INDEX(jr_num,MATCH("BL206",jr_nkey,0))&amp;"","")</f>
        <v/>
      </c>
      <c r="S211" s="67" t="str">
        <f>IFERROR(INDEX(jr_num,MATCH("BR206",jr_nkey,0))&amp;"","")</f>
        <v/>
      </c>
      <c r="T211" s="67" t="str">
        <f>IFERROR(INDEX(jr_num,MATCH("BS206",jr_nkey,0))&amp;"","")</f>
        <v/>
      </c>
    </row>
    <row r="212">
      <c r="A212" s="60" t="str">
        <f>IF($O212="","",INDEX(jr_num,$O212)&amp;"")</f>
        <v/>
      </c>
      <c r="B212" s="60" t="str">
        <f>IF($O212="","",IF(INDEX(jr_type,$O212)="BL","Livraison",IF(INDEX(jr_type,$O212)="BR","Réception","Sortie")))</f>
        <v/>
      </c>
      <c r="C212" s="65" t="str">
        <f>IF($O212="","",INDEX(jr_date,$O212))</f>
        <v/>
      </c>
      <c r="D212" s="60" t="str">
        <f>IF($O212="","",INDEX(jr_tiers,$O212)&amp;"")</f>
        <v/>
      </c>
      <c r="E212" s="57" t="str">
        <f>IF($O212="","",INDEX(jr_name,$O212)&amp;"")</f>
        <v/>
      </c>
      <c r="F212" s="57" t="str">
        <f>IF($O212="","",INDEX(jr_order,$O212)&amp;"")</f>
        <v/>
      </c>
      <c r="G212" s="57" t="str">
        <f>IF($O212="","",INDEX(jr_ext,$O212)&amp;"")</f>
        <v/>
      </c>
      <c r="H212" s="57" t="str">
        <f>IF($O212="","",INDEX(jr_carrier,$O212)&amp;"")</f>
        <v/>
      </c>
      <c r="I212" s="66" t="str">
        <f>IF(A212="","",COUNTIF(jr_num,A212))</f>
        <v/>
      </c>
      <c r="J212" s="66" t="str">
        <f>IF(A212="","",SUMIF(jr_num,A212,jr_colis))</f>
        <v/>
      </c>
      <c r="K212" s="63" t="str">
        <f>IF(A212="","",SUMIF(jr_num,A212,jr_kg))</f>
        <v/>
      </c>
      <c r="L212" s="64" t="str">
        <f>IF(A212="","",SUMIF(jr_num,A212,jr_val))</f>
        <v/>
      </c>
      <c r="M212" s="60" t="str">
        <f>IF(A212="","",IF(COUNTIFS(jr_num,A212,jr_check,"&lt;&gt;OK")&gt;0,"À vérifier",IF(LEFT(A212,2)="BL",IF(COUNTIFS(jr_num,A212,jr_rel,"&gt;0")&gt;0,"Reliquat en cours",IF(COUNTIFS(jr_num,A212,jr_gap,"&lt;0")&gt;0,"Reliquat livré","Complet")),IF(LEFT(A212,2)="BR",IF(COUNTIFS(jr_num,A212,jr_etat,"Refusé")&gt;0,"Refusé",IF(COUNTIFS(jr_num,A212,jr_etat,"Avec réserves")&gt;0,"Avec réserves",IF(COUNTIFS(jr_num,A212,jr_rel,"&gt;0")&gt;0,"Reliquat en cours",IF(COUNTIFS(jr_num,A212,jr_gap,"&lt;0")+COUNTIFS(jr_num,A212,jr_gap,"&gt;0")&gt;0,"Écart","Conforme")))),IF(COUNTIFS(jr_num,A212,jr_gap,"&lt;0")&gt;0,"Partiel","Sorti")))))</f>
        <v/>
      </c>
      <c r="O212" t="str">
        <f>IFERROR(MATCH(207,jr_grank,0),"")</f>
        <v/>
      </c>
      <c r="R212" s="67" t="str">
        <f>IFERROR(INDEX(jr_num,MATCH("BL207",jr_nkey,0))&amp;"","")</f>
        <v/>
      </c>
      <c r="S212" s="67" t="str">
        <f>IFERROR(INDEX(jr_num,MATCH("BR207",jr_nkey,0))&amp;"","")</f>
        <v/>
      </c>
      <c r="T212" s="67" t="str">
        <f>IFERROR(INDEX(jr_num,MATCH("BS207",jr_nkey,0))&amp;"","")</f>
        <v/>
      </c>
    </row>
    <row r="213">
      <c r="A213" s="60" t="str">
        <f>IF($O213="","",INDEX(jr_num,$O213)&amp;"")</f>
        <v/>
      </c>
      <c r="B213" s="60" t="str">
        <f>IF($O213="","",IF(INDEX(jr_type,$O213)="BL","Livraison",IF(INDEX(jr_type,$O213)="BR","Réception","Sortie")))</f>
        <v/>
      </c>
      <c r="C213" s="65" t="str">
        <f>IF($O213="","",INDEX(jr_date,$O213))</f>
        <v/>
      </c>
      <c r="D213" s="60" t="str">
        <f>IF($O213="","",INDEX(jr_tiers,$O213)&amp;"")</f>
        <v/>
      </c>
      <c r="E213" s="57" t="str">
        <f>IF($O213="","",INDEX(jr_name,$O213)&amp;"")</f>
        <v/>
      </c>
      <c r="F213" s="57" t="str">
        <f>IF($O213="","",INDEX(jr_order,$O213)&amp;"")</f>
        <v/>
      </c>
      <c r="G213" s="57" t="str">
        <f>IF($O213="","",INDEX(jr_ext,$O213)&amp;"")</f>
        <v/>
      </c>
      <c r="H213" s="57" t="str">
        <f>IF($O213="","",INDEX(jr_carrier,$O213)&amp;"")</f>
        <v/>
      </c>
      <c r="I213" s="66" t="str">
        <f>IF(A213="","",COUNTIF(jr_num,A213))</f>
        <v/>
      </c>
      <c r="J213" s="66" t="str">
        <f>IF(A213="","",SUMIF(jr_num,A213,jr_colis))</f>
        <v/>
      </c>
      <c r="K213" s="63" t="str">
        <f>IF(A213="","",SUMIF(jr_num,A213,jr_kg))</f>
        <v/>
      </c>
      <c r="L213" s="64" t="str">
        <f>IF(A213="","",SUMIF(jr_num,A213,jr_val))</f>
        <v/>
      </c>
      <c r="M213" s="60" t="str">
        <f>IF(A213="","",IF(COUNTIFS(jr_num,A213,jr_check,"&lt;&gt;OK")&gt;0,"À vérifier",IF(LEFT(A213,2)="BL",IF(COUNTIFS(jr_num,A213,jr_rel,"&gt;0")&gt;0,"Reliquat en cours",IF(COUNTIFS(jr_num,A213,jr_gap,"&lt;0")&gt;0,"Reliquat livré","Complet")),IF(LEFT(A213,2)="BR",IF(COUNTIFS(jr_num,A213,jr_etat,"Refusé")&gt;0,"Refusé",IF(COUNTIFS(jr_num,A213,jr_etat,"Avec réserves")&gt;0,"Avec réserves",IF(COUNTIFS(jr_num,A213,jr_rel,"&gt;0")&gt;0,"Reliquat en cours",IF(COUNTIFS(jr_num,A213,jr_gap,"&lt;0")+COUNTIFS(jr_num,A213,jr_gap,"&gt;0")&gt;0,"Écart","Conforme")))),IF(COUNTIFS(jr_num,A213,jr_gap,"&lt;0")&gt;0,"Partiel","Sorti")))))</f>
        <v/>
      </c>
      <c r="O213" t="str">
        <f>IFERROR(MATCH(208,jr_grank,0),"")</f>
        <v/>
      </c>
      <c r="R213" s="67" t="str">
        <f>IFERROR(INDEX(jr_num,MATCH("BL208",jr_nkey,0))&amp;"","")</f>
        <v/>
      </c>
      <c r="S213" s="67" t="str">
        <f>IFERROR(INDEX(jr_num,MATCH("BR208",jr_nkey,0))&amp;"","")</f>
        <v/>
      </c>
      <c r="T213" s="67" t="str">
        <f>IFERROR(INDEX(jr_num,MATCH("BS208",jr_nkey,0))&amp;"","")</f>
        <v/>
      </c>
    </row>
    <row r="214">
      <c r="A214" s="60" t="str">
        <f>IF($O214="","",INDEX(jr_num,$O214)&amp;"")</f>
        <v/>
      </c>
      <c r="B214" s="60" t="str">
        <f>IF($O214="","",IF(INDEX(jr_type,$O214)="BL","Livraison",IF(INDEX(jr_type,$O214)="BR","Réception","Sortie")))</f>
        <v/>
      </c>
      <c r="C214" s="65" t="str">
        <f>IF($O214="","",INDEX(jr_date,$O214))</f>
        <v/>
      </c>
      <c r="D214" s="60" t="str">
        <f>IF($O214="","",INDEX(jr_tiers,$O214)&amp;"")</f>
        <v/>
      </c>
      <c r="E214" s="57" t="str">
        <f>IF($O214="","",INDEX(jr_name,$O214)&amp;"")</f>
        <v/>
      </c>
      <c r="F214" s="57" t="str">
        <f>IF($O214="","",INDEX(jr_order,$O214)&amp;"")</f>
        <v/>
      </c>
      <c r="G214" s="57" t="str">
        <f>IF($O214="","",INDEX(jr_ext,$O214)&amp;"")</f>
        <v/>
      </c>
      <c r="H214" s="57" t="str">
        <f>IF($O214="","",INDEX(jr_carrier,$O214)&amp;"")</f>
        <v/>
      </c>
      <c r="I214" s="66" t="str">
        <f>IF(A214="","",COUNTIF(jr_num,A214))</f>
        <v/>
      </c>
      <c r="J214" s="66" t="str">
        <f>IF(A214="","",SUMIF(jr_num,A214,jr_colis))</f>
        <v/>
      </c>
      <c r="K214" s="63" t="str">
        <f>IF(A214="","",SUMIF(jr_num,A214,jr_kg))</f>
        <v/>
      </c>
      <c r="L214" s="64" t="str">
        <f>IF(A214="","",SUMIF(jr_num,A214,jr_val))</f>
        <v/>
      </c>
      <c r="M214" s="60" t="str">
        <f>IF(A214="","",IF(COUNTIFS(jr_num,A214,jr_check,"&lt;&gt;OK")&gt;0,"À vérifier",IF(LEFT(A214,2)="BL",IF(COUNTIFS(jr_num,A214,jr_rel,"&gt;0")&gt;0,"Reliquat en cours",IF(COUNTIFS(jr_num,A214,jr_gap,"&lt;0")&gt;0,"Reliquat livré","Complet")),IF(LEFT(A214,2)="BR",IF(COUNTIFS(jr_num,A214,jr_etat,"Refusé")&gt;0,"Refusé",IF(COUNTIFS(jr_num,A214,jr_etat,"Avec réserves")&gt;0,"Avec réserves",IF(COUNTIFS(jr_num,A214,jr_rel,"&gt;0")&gt;0,"Reliquat en cours",IF(COUNTIFS(jr_num,A214,jr_gap,"&lt;0")+COUNTIFS(jr_num,A214,jr_gap,"&gt;0")&gt;0,"Écart","Conforme")))),IF(COUNTIFS(jr_num,A214,jr_gap,"&lt;0")&gt;0,"Partiel","Sorti")))))</f>
        <v/>
      </c>
      <c r="O214" t="str">
        <f>IFERROR(MATCH(209,jr_grank,0),"")</f>
        <v/>
      </c>
      <c r="R214" s="67" t="str">
        <f>IFERROR(INDEX(jr_num,MATCH("BL209",jr_nkey,0))&amp;"","")</f>
        <v/>
      </c>
      <c r="S214" s="67" t="str">
        <f>IFERROR(INDEX(jr_num,MATCH("BR209",jr_nkey,0))&amp;"","")</f>
        <v/>
      </c>
      <c r="T214" s="67" t="str">
        <f>IFERROR(INDEX(jr_num,MATCH("BS209",jr_nkey,0))&amp;"","")</f>
        <v/>
      </c>
    </row>
    <row r="215">
      <c r="A215" s="60" t="str">
        <f>IF($O215="","",INDEX(jr_num,$O215)&amp;"")</f>
        <v/>
      </c>
      <c r="B215" s="60" t="str">
        <f>IF($O215="","",IF(INDEX(jr_type,$O215)="BL","Livraison",IF(INDEX(jr_type,$O215)="BR","Réception","Sortie")))</f>
        <v/>
      </c>
      <c r="C215" s="65" t="str">
        <f>IF($O215="","",INDEX(jr_date,$O215))</f>
        <v/>
      </c>
      <c r="D215" s="60" t="str">
        <f>IF($O215="","",INDEX(jr_tiers,$O215)&amp;"")</f>
        <v/>
      </c>
      <c r="E215" s="57" t="str">
        <f>IF($O215="","",INDEX(jr_name,$O215)&amp;"")</f>
        <v/>
      </c>
      <c r="F215" s="57" t="str">
        <f>IF($O215="","",INDEX(jr_order,$O215)&amp;"")</f>
        <v/>
      </c>
      <c r="G215" s="57" t="str">
        <f>IF($O215="","",INDEX(jr_ext,$O215)&amp;"")</f>
        <v/>
      </c>
      <c r="H215" s="57" t="str">
        <f>IF($O215="","",INDEX(jr_carrier,$O215)&amp;"")</f>
        <v/>
      </c>
      <c r="I215" s="66" t="str">
        <f>IF(A215="","",COUNTIF(jr_num,A215))</f>
        <v/>
      </c>
      <c r="J215" s="66" t="str">
        <f>IF(A215="","",SUMIF(jr_num,A215,jr_colis))</f>
        <v/>
      </c>
      <c r="K215" s="63" t="str">
        <f>IF(A215="","",SUMIF(jr_num,A215,jr_kg))</f>
        <v/>
      </c>
      <c r="L215" s="64" t="str">
        <f>IF(A215="","",SUMIF(jr_num,A215,jr_val))</f>
        <v/>
      </c>
      <c r="M215" s="60" t="str">
        <f>IF(A215="","",IF(COUNTIFS(jr_num,A215,jr_check,"&lt;&gt;OK")&gt;0,"À vérifier",IF(LEFT(A215,2)="BL",IF(COUNTIFS(jr_num,A215,jr_rel,"&gt;0")&gt;0,"Reliquat en cours",IF(COUNTIFS(jr_num,A215,jr_gap,"&lt;0")&gt;0,"Reliquat livré","Complet")),IF(LEFT(A215,2)="BR",IF(COUNTIFS(jr_num,A215,jr_etat,"Refusé")&gt;0,"Refusé",IF(COUNTIFS(jr_num,A215,jr_etat,"Avec réserves")&gt;0,"Avec réserves",IF(COUNTIFS(jr_num,A215,jr_rel,"&gt;0")&gt;0,"Reliquat en cours",IF(COUNTIFS(jr_num,A215,jr_gap,"&lt;0")+COUNTIFS(jr_num,A215,jr_gap,"&gt;0")&gt;0,"Écart","Conforme")))),IF(COUNTIFS(jr_num,A215,jr_gap,"&lt;0")&gt;0,"Partiel","Sorti")))))</f>
        <v/>
      </c>
      <c r="O215" t="str">
        <f>IFERROR(MATCH(210,jr_grank,0),"")</f>
        <v/>
      </c>
      <c r="R215" s="67" t="str">
        <f>IFERROR(INDEX(jr_num,MATCH("BL210",jr_nkey,0))&amp;"","")</f>
        <v/>
      </c>
      <c r="S215" s="67" t="str">
        <f>IFERROR(INDEX(jr_num,MATCH("BR210",jr_nkey,0))&amp;"","")</f>
        <v/>
      </c>
      <c r="T215" s="67" t="str">
        <f>IFERROR(INDEX(jr_num,MATCH("BS210",jr_nkey,0))&amp;"","")</f>
        <v/>
      </c>
    </row>
    <row r="216">
      <c r="A216" s="60" t="str">
        <f>IF($O216="","",INDEX(jr_num,$O216)&amp;"")</f>
        <v/>
      </c>
      <c r="B216" s="60" t="str">
        <f>IF($O216="","",IF(INDEX(jr_type,$O216)="BL","Livraison",IF(INDEX(jr_type,$O216)="BR","Réception","Sortie")))</f>
        <v/>
      </c>
      <c r="C216" s="65" t="str">
        <f>IF($O216="","",INDEX(jr_date,$O216))</f>
        <v/>
      </c>
      <c r="D216" s="60" t="str">
        <f>IF($O216="","",INDEX(jr_tiers,$O216)&amp;"")</f>
        <v/>
      </c>
      <c r="E216" s="57" t="str">
        <f>IF($O216="","",INDEX(jr_name,$O216)&amp;"")</f>
        <v/>
      </c>
      <c r="F216" s="57" t="str">
        <f>IF($O216="","",INDEX(jr_order,$O216)&amp;"")</f>
        <v/>
      </c>
      <c r="G216" s="57" t="str">
        <f>IF($O216="","",INDEX(jr_ext,$O216)&amp;"")</f>
        <v/>
      </c>
      <c r="H216" s="57" t="str">
        <f>IF($O216="","",INDEX(jr_carrier,$O216)&amp;"")</f>
        <v/>
      </c>
      <c r="I216" s="66" t="str">
        <f>IF(A216="","",COUNTIF(jr_num,A216))</f>
        <v/>
      </c>
      <c r="J216" s="66" t="str">
        <f>IF(A216="","",SUMIF(jr_num,A216,jr_colis))</f>
        <v/>
      </c>
      <c r="K216" s="63" t="str">
        <f>IF(A216="","",SUMIF(jr_num,A216,jr_kg))</f>
        <v/>
      </c>
      <c r="L216" s="64" t="str">
        <f>IF(A216="","",SUMIF(jr_num,A216,jr_val))</f>
        <v/>
      </c>
      <c r="M216" s="60" t="str">
        <f>IF(A216="","",IF(COUNTIFS(jr_num,A216,jr_check,"&lt;&gt;OK")&gt;0,"À vérifier",IF(LEFT(A216,2)="BL",IF(COUNTIFS(jr_num,A216,jr_rel,"&gt;0")&gt;0,"Reliquat en cours",IF(COUNTIFS(jr_num,A216,jr_gap,"&lt;0")&gt;0,"Reliquat livré","Complet")),IF(LEFT(A216,2)="BR",IF(COUNTIFS(jr_num,A216,jr_etat,"Refusé")&gt;0,"Refusé",IF(COUNTIFS(jr_num,A216,jr_etat,"Avec réserves")&gt;0,"Avec réserves",IF(COUNTIFS(jr_num,A216,jr_rel,"&gt;0")&gt;0,"Reliquat en cours",IF(COUNTIFS(jr_num,A216,jr_gap,"&lt;0")+COUNTIFS(jr_num,A216,jr_gap,"&gt;0")&gt;0,"Écart","Conforme")))),IF(COUNTIFS(jr_num,A216,jr_gap,"&lt;0")&gt;0,"Partiel","Sorti")))))</f>
        <v/>
      </c>
      <c r="O216" t="str">
        <f>IFERROR(MATCH(211,jr_grank,0),"")</f>
        <v/>
      </c>
      <c r="R216" s="67" t="str">
        <f>IFERROR(INDEX(jr_num,MATCH("BL211",jr_nkey,0))&amp;"","")</f>
        <v/>
      </c>
      <c r="S216" s="67" t="str">
        <f>IFERROR(INDEX(jr_num,MATCH("BR211",jr_nkey,0))&amp;"","")</f>
        <v/>
      </c>
      <c r="T216" s="67" t="str">
        <f>IFERROR(INDEX(jr_num,MATCH("BS211",jr_nkey,0))&amp;"","")</f>
        <v/>
      </c>
    </row>
    <row r="217">
      <c r="A217" s="60" t="str">
        <f>IF($O217="","",INDEX(jr_num,$O217)&amp;"")</f>
        <v/>
      </c>
      <c r="B217" s="60" t="str">
        <f>IF($O217="","",IF(INDEX(jr_type,$O217)="BL","Livraison",IF(INDEX(jr_type,$O217)="BR","Réception","Sortie")))</f>
        <v/>
      </c>
      <c r="C217" s="65" t="str">
        <f>IF($O217="","",INDEX(jr_date,$O217))</f>
        <v/>
      </c>
      <c r="D217" s="60" t="str">
        <f>IF($O217="","",INDEX(jr_tiers,$O217)&amp;"")</f>
        <v/>
      </c>
      <c r="E217" s="57" t="str">
        <f>IF($O217="","",INDEX(jr_name,$O217)&amp;"")</f>
        <v/>
      </c>
      <c r="F217" s="57" t="str">
        <f>IF($O217="","",INDEX(jr_order,$O217)&amp;"")</f>
        <v/>
      </c>
      <c r="G217" s="57" t="str">
        <f>IF($O217="","",INDEX(jr_ext,$O217)&amp;"")</f>
        <v/>
      </c>
      <c r="H217" s="57" t="str">
        <f>IF($O217="","",INDEX(jr_carrier,$O217)&amp;"")</f>
        <v/>
      </c>
      <c r="I217" s="66" t="str">
        <f>IF(A217="","",COUNTIF(jr_num,A217))</f>
        <v/>
      </c>
      <c r="J217" s="66" t="str">
        <f>IF(A217="","",SUMIF(jr_num,A217,jr_colis))</f>
        <v/>
      </c>
      <c r="K217" s="63" t="str">
        <f>IF(A217="","",SUMIF(jr_num,A217,jr_kg))</f>
        <v/>
      </c>
      <c r="L217" s="64" t="str">
        <f>IF(A217="","",SUMIF(jr_num,A217,jr_val))</f>
        <v/>
      </c>
      <c r="M217" s="60" t="str">
        <f>IF(A217="","",IF(COUNTIFS(jr_num,A217,jr_check,"&lt;&gt;OK")&gt;0,"À vérifier",IF(LEFT(A217,2)="BL",IF(COUNTIFS(jr_num,A217,jr_rel,"&gt;0")&gt;0,"Reliquat en cours",IF(COUNTIFS(jr_num,A217,jr_gap,"&lt;0")&gt;0,"Reliquat livré","Complet")),IF(LEFT(A217,2)="BR",IF(COUNTIFS(jr_num,A217,jr_etat,"Refusé")&gt;0,"Refusé",IF(COUNTIFS(jr_num,A217,jr_etat,"Avec réserves")&gt;0,"Avec réserves",IF(COUNTIFS(jr_num,A217,jr_rel,"&gt;0")&gt;0,"Reliquat en cours",IF(COUNTIFS(jr_num,A217,jr_gap,"&lt;0")+COUNTIFS(jr_num,A217,jr_gap,"&gt;0")&gt;0,"Écart","Conforme")))),IF(COUNTIFS(jr_num,A217,jr_gap,"&lt;0")&gt;0,"Partiel","Sorti")))))</f>
        <v/>
      </c>
      <c r="O217" t="str">
        <f>IFERROR(MATCH(212,jr_grank,0),"")</f>
        <v/>
      </c>
      <c r="R217" s="67" t="str">
        <f>IFERROR(INDEX(jr_num,MATCH("BL212",jr_nkey,0))&amp;"","")</f>
        <v/>
      </c>
      <c r="S217" s="67" t="str">
        <f>IFERROR(INDEX(jr_num,MATCH("BR212",jr_nkey,0))&amp;"","")</f>
        <v/>
      </c>
      <c r="T217" s="67" t="str">
        <f>IFERROR(INDEX(jr_num,MATCH("BS212",jr_nkey,0))&amp;"","")</f>
        <v/>
      </c>
    </row>
    <row r="218">
      <c r="A218" s="60" t="str">
        <f>IF($O218="","",INDEX(jr_num,$O218)&amp;"")</f>
        <v/>
      </c>
      <c r="B218" s="60" t="str">
        <f>IF($O218="","",IF(INDEX(jr_type,$O218)="BL","Livraison",IF(INDEX(jr_type,$O218)="BR","Réception","Sortie")))</f>
        <v/>
      </c>
      <c r="C218" s="65" t="str">
        <f>IF($O218="","",INDEX(jr_date,$O218))</f>
        <v/>
      </c>
      <c r="D218" s="60" t="str">
        <f>IF($O218="","",INDEX(jr_tiers,$O218)&amp;"")</f>
        <v/>
      </c>
      <c r="E218" s="57" t="str">
        <f>IF($O218="","",INDEX(jr_name,$O218)&amp;"")</f>
        <v/>
      </c>
      <c r="F218" s="57" t="str">
        <f>IF($O218="","",INDEX(jr_order,$O218)&amp;"")</f>
        <v/>
      </c>
      <c r="G218" s="57" t="str">
        <f>IF($O218="","",INDEX(jr_ext,$O218)&amp;"")</f>
        <v/>
      </c>
      <c r="H218" s="57" t="str">
        <f>IF($O218="","",INDEX(jr_carrier,$O218)&amp;"")</f>
        <v/>
      </c>
      <c r="I218" s="66" t="str">
        <f>IF(A218="","",COUNTIF(jr_num,A218))</f>
        <v/>
      </c>
      <c r="J218" s="66" t="str">
        <f>IF(A218="","",SUMIF(jr_num,A218,jr_colis))</f>
        <v/>
      </c>
      <c r="K218" s="63" t="str">
        <f>IF(A218="","",SUMIF(jr_num,A218,jr_kg))</f>
        <v/>
      </c>
      <c r="L218" s="64" t="str">
        <f>IF(A218="","",SUMIF(jr_num,A218,jr_val))</f>
        <v/>
      </c>
      <c r="M218" s="60" t="str">
        <f>IF(A218="","",IF(COUNTIFS(jr_num,A218,jr_check,"&lt;&gt;OK")&gt;0,"À vérifier",IF(LEFT(A218,2)="BL",IF(COUNTIFS(jr_num,A218,jr_rel,"&gt;0")&gt;0,"Reliquat en cours",IF(COUNTIFS(jr_num,A218,jr_gap,"&lt;0")&gt;0,"Reliquat livré","Complet")),IF(LEFT(A218,2)="BR",IF(COUNTIFS(jr_num,A218,jr_etat,"Refusé")&gt;0,"Refusé",IF(COUNTIFS(jr_num,A218,jr_etat,"Avec réserves")&gt;0,"Avec réserves",IF(COUNTIFS(jr_num,A218,jr_rel,"&gt;0")&gt;0,"Reliquat en cours",IF(COUNTIFS(jr_num,A218,jr_gap,"&lt;0")+COUNTIFS(jr_num,A218,jr_gap,"&gt;0")&gt;0,"Écart","Conforme")))),IF(COUNTIFS(jr_num,A218,jr_gap,"&lt;0")&gt;0,"Partiel","Sorti")))))</f>
        <v/>
      </c>
      <c r="O218" t="str">
        <f>IFERROR(MATCH(213,jr_grank,0),"")</f>
        <v/>
      </c>
      <c r="R218" s="67" t="str">
        <f>IFERROR(INDEX(jr_num,MATCH("BL213",jr_nkey,0))&amp;"","")</f>
        <v/>
      </c>
      <c r="S218" s="67" t="str">
        <f>IFERROR(INDEX(jr_num,MATCH("BR213",jr_nkey,0))&amp;"","")</f>
        <v/>
      </c>
      <c r="T218" s="67" t="str">
        <f>IFERROR(INDEX(jr_num,MATCH("BS213",jr_nkey,0))&amp;"","")</f>
        <v/>
      </c>
    </row>
    <row r="219">
      <c r="A219" s="60" t="str">
        <f>IF($O219="","",INDEX(jr_num,$O219)&amp;"")</f>
        <v/>
      </c>
      <c r="B219" s="60" t="str">
        <f>IF($O219="","",IF(INDEX(jr_type,$O219)="BL","Livraison",IF(INDEX(jr_type,$O219)="BR","Réception","Sortie")))</f>
        <v/>
      </c>
      <c r="C219" s="65" t="str">
        <f>IF($O219="","",INDEX(jr_date,$O219))</f>
        <v/>
      </c>
      <c r="D219" s="60" t="str">
        <f>IF($O219="","",INDEX(jr_tiers,$O219)&amp;"")</f>
        <v/>
      </c>
      <c r="E219" s="57" t="str">
        <f>IF($O219="","",INDEX(jr_name,$O219)&amp;"")</f>
        <v/>
      </c>
      <c r="F219" s="57" t="str">
        <f>IF($O219="","",INDEX(jr_order,$O219)&amp;"")</f>
        <v/>
      </c>
      <c r="G219" s="57" t="str">
        <f>IF($O219="","",INDEX(jr_ext,$O219)&amp;"")</f>
        <v/>
      </c>
      <c r="H219" s="57" t="str">
        <f>IF($O219="","",INDEX(jr_carrier,$O219)&amp;"")</f>
        <v/>
      </c>
      <c r="I219" s="66" t="str">
        <f>IF(A219="","",COUNTIF(jr_num,A219))</f>
        <v/>
      </c>
      <c r="J219" s="66" t="str">
        <f>IF(A219="","",SUMIF(jr_num,A219,jr_colis))</f>
        <v/>
      </c>
      <c r="K219" s="63" t="str">
        <f>IF(A219="","",SUMIF(jr_num,A219,jr_kg))</f>
        <v/>
      </c>
      <c r="L219" s="64" t="str">
        <f>IF(A219="","",SUMIF(jr_num,A219,jr_val))</f>
        <v/>
      </c>
      <c r="M219" s="60" t="str">
        <f>IF(A219="","",IF(COUNTIFS(jr_num,A219,jr_check,"&lt;&gt;OK")&gt;0,"À vérifier",IF(LEFT(A219,2)="BL",IF(COUNTIFS(jr_num,A219,jr_rel,"&gt;0")&gt;0,"Reliquat en cours",IF(COUNTIFS(jr_num,A219,jr_gap,"&lt;0")&gt;0,"Reliquat livré","Complet")),IF(LEFT(A219,2)="BR",IF(COUNTIFS(jr_num,A219,jr_etat,"Refusé")&gt;0,"Refusé",IF(COUNTIFS(jr_num,A219,jr_etat,"Avec réserves")&gt;0,"Avec réserves",IF(COUNTIFS(jr_num,A219,jr_rel,"&gt;0")&gt;0,"Reliquat en cours",IF(COUNTIFS(jr_num,A219,jr_gap,"&lt;0")+COUNTIFS(jr_num,A219,jr_gap,"&gt;0")&gt;0,"Écart","Conforme")))),IF(COUNTIFS(jr_num,A219,jr_gap,"&lt;0")&gt;0,"Partiel","Sorti")))))</f>
        <v/>
      </c>
      <c r="O219" t="str">
        <f>IFERROR(MATCH(214,jr_grank,0),"")</f>
        <v/>
      </c>
      <c r="R219" s="67" t="str">
        <f>IFERROR(INDEX(jr_num,MATCH("BL214",jr_nkey,0))&amp;"","")</f>
        <v/>
      </c>
      <c r="S219" s="67" t="str">
        <f>IFERROR(INDEX(jr_num,MATCH("BR214",jr_nkey,0))&amp;"","")</f>
        <v/>
      </c>
      <c r="T219" s="67" t="str">
        <f>IFERROR(INDEX(jr_num,MATCH("BS214",jr_nkey,0))&amp;"","")</f>
        <v/>
      </c>
    </row>
    <row r="220">
      <c r="A220" s="60" t="str">
        <f>IF($O220="","",INDEX(jr_num,$O220)&amp;"")</f>
        <v/>
      </c>
      <c r="B220" s="60" t="str">
        <f>IF($O220="","",IF(INDEX(jr_type,$O220)="BL","Livraison",IF(INDEX(jr_type,$O220)="BR","Réception","Sortie")))</f>
        <v/>
      </c>
      <c r="C220" s="65" t="str">
        <f>IF($O220="","",INDEX(jr_date,$O220))</f>
        <v/>
      </c>
      <c r="D220" s="60" t="str">
        <f>IF($O220="","",INDEX(jr_tiers,$O220)&amp;"")</f>
        <v/>
      </c>
      <c r="E220" s="57" t="str">
        <f>IF($O220="","",INDEX(jr_name,$O220)&amp;"")</f>
        <v/>
      </c>
      <c r="F220" s="57" t="str">
        <f>IF($O220="","",INDEX(jr_order,$O220)&amp;"")</f>
        <v/>
      </c>
      <c r="G220" s="57" t="str">
        <f>IF($O220="","",INDEX(jr_ext,$O220)&amp;"")</f>
        <v/>
      </c>
      <c r="H220" s="57" t="str">
        <f>IF($O220="","",INDEX(jr_carrier,$O220)&amp;"")</f>
        <v/>
      </c>
      <c r="I220" s="66" t="str">
        <f>IF(A220="","",COUNTIF(jr_num,A220))</f>
        <v/>
      </c>
      <c r="J220" s="66" t="str">
        <f>IF(A220="","",SUMIF(jr_num,A220,jr_colis))</f>
        <v/>
      </c>
      <c r="K220" s="63" t="str">
        <f>IF(A220="","",SUMIF(jr_num,A220,jr_kg))</f>
        <v/>
      </c>
      <c r="L220" s="64" t="str">
        <f>IF(A220="","",SUMIF(jr_num,A220,jr_val))</f>
        <v/>
      </c>
      <c r="M220" s="60" t="str">
        <f>IF(A220="","",IF(COUNTIFS(jr_num,A220,jr_check,"&lt;&gt;OK")&gt;0,"À vérifier",IF(LEFT(A220,2)="BL",IF(COUNTIFS(jr_num,A220,jr_rel,"&gt;0")&gt;0,"Reliquat en cours",IF(COUNTIFS(jr_num,A220,jr_gap,"&lt;0")&gt;0,"Reliquat livré","Complet")),IF(LEFT(A220,2)="BR",IF(COUNTIFS(jr_num,A220,jr_etat,"Refusé")&gt;0,"Refusé",IF(COUNTIFS(jr_num,A220,jr_etat,"Avec réserves")&gt;0,"Avec réserves",IF(COUNTIFS(jr_num,A220,jr_rel,"&gt;0")&gt;0,"Reliquat en cours",IF(COUNTIFS(jr_num,A220,jr_gap,"&lt;0")+COUNTIFS(jr_num,A220,jr_gap,"&gt;0")&gt;0,"Écart","Conforme")))),IF(COUNTIFS(jr_num,A220,jr_gap,"&lt;0")&gt;0,"Partiel","Sorti")))))</f>
        <v/>
      </c>
      <c r="O220" t="str">
        <f>IFERROR(MATCH(215,jr_grank,0),"")</f>
        <v/>
      </c>
      <c r="R220" s="67" t="str">
        <f>IFERROR(INDEX(jr_num,MATCH("BL215",jr_nkey,0))&amp;"","")</f>
        <v/>
      </c>
      <c r="S220" s="67" t="str">
        <f>IFERROR(INDEX(jr_num,MATCH("BR215",jr_nkey,0))&amp;"","")</f>
        <v/>
      </c>
      <c r="T220" s="67" t="str">
        <f>IFERROR(INDEX(jr_num,MATCH("BS215",jr_nkey,0))&amp;"","")</f>
        <v/>
      </c>
    </row>
    <row r="221">
      <c r="A221" s="60" t="str">
        <f>IF($O221="","",INDEX(jr_num,$O221)&amp;"")</f>
        <v/>
      </c>
      <c r="B221" s="60" t="str">
        <f>IF($O221="","",IF(INDEX(jr_type,$O221)="BL","Livraison",IF(INDEX(jr_type,$O221)="BR","Réception","Sortie")))</f>
        <v/>
      </c>
      <c r="C221" s="65" t="str">
        <f>IF($O221="","",INDEX(jr_date,$O221))</f>
        <v/>
      </c>
      <c r="D221" s="60" t="str">
        <f>IF($O221="","",INDEX(jr_tiers,$O221)&amp;"")</f>
        <v/>
      </c>
      <c r="E221" s="57" t="str">
        <f>IF($O221="","",INDEX(jr_name,$O221)&amp;"")</f>
        <v/>
      </c>
      <c r="F221" s="57" t="str">
        <f>IF($O221="","",INDEX(jr_order,$O221)&amp;"")</f>
        <v/>
      </c>
      <c r="G221" s="57" t="str">
        <f>IF($O221="","",INDEX(jr_ext,$O221)&amp;"")</f>
        <v/>
      </c>
      <c r="H221" s="57" t="str">
        <f>IF($O221="","",INDEX(jr_carrier,$O221)&amp;"")</f>
        <v/>
      </c>
      <c r="I221" s="66" t="str">
        <f>IF(A221="","",COUNTIF(jr_num,A221))</f>
        <v/>
      </c>
      <c r="J221" s="66" t="str">
        <f>IF(A221="","",SUMIF(jr_num,A221,jr_colis))</f>
        <v/>
      </c>
      <c r="K221" s="63" t="str">
        <f>IF(A221="","",SUMIF(jr_num,A221,jr_kg))</f>
        <v/>
      </c>
      <c r="L221" s="64" t="str">
        <f>IF(A221="","",SUMIF(jr_num,A221,jr_val))</f>
        <v/>
      </c>
      <c r="M221" s="60" t="str">
        <f>IF(A221="","",IF(COUNTIFS(jr_num,A221,jr_check,"&lt;&gt;OK")&gt;0,"À vérifier",IF(LEFT(A221,2)="BL",IF(COUNTIFS(jr_num,A221,jr_rel,"&gt;0")&gt;0,"Reliquat en cours",IF(COUNTIFS(jr_num,A221,jr_gap,"&lt;0")&gt;0,"Reliquat livré","Complet")),IF(LEFT(A221,2)="BR",IF(COUNTIFS(jr_num,A221,jr_etat,"Refusé")&gt;0,"Refusé",IF(COUNTIFS(jr_num,A221,jr_etat,"Avec réserves")&gt;0,"Avec réserves",IF(COUNTIFS(jr_num,A221,jr_rel,"&gt;0")&gt;0,"Reliquat en cours",IF(COUNTIFS(jr_num,A221,jr_gap,"&lt;0")+COUNTIFS(jr_num,A221,jr_gap,"&gt;0")&gt;0,"Écart","Conforme")))),IF(COUNTIFS(jr_num,A221,jr_gap,"&lt;0")&gt;0,"Partiel","Sorti")))))</f>
        <v/>
      </c>
      <c r="O221" t="str">
        <f>IFERROR(MATCH(216,jr_grank,0),"")</f>
        <v/>
      </c>
      <c r="R221" s="67" t="str">
        <f>IFERROR(INDEX(jr_num,MATCH("BL216",jr_nkey,0))&amp;"","")</f>
        <v/>
      </c>
      <c r="S221" s="67" t="str">
        <f>IFERROR(INDEX(jr_num,MATCH("BR216",jr_nkey,0))&amp;"","")</f>
        <v/>
      </c>
      <c r="T221" s="67" t="str">
        <f>IFERROR(INDEX(jr_num,MATCH("BS216",jr_nkey,0))&amp;"","")</f>
        <v/>
      </c>
    </row>
    <row r="222">
      <c r="A222" s="60" t="str">
        <f>IF($O222="","",INDEX(jr_num,$O222)&amp;"")</f>
        <v/>
      </c>
      <c r="B222" s="60" t="str">
        <f>IF($O222="","",IF(INDEX(jr_type,$O222)="BL","Livraison",IF(INDEX(jr_type,$O222)="BR","Réception","Sortie")))</f>
        <v/>
      </c>
      <c r="C222" s="65" t="str">
        <f>IF($O222="","",INDEX(jr_date,$O222))</f>
        <v/>
      </c>
      <c r="D222" s="60" t="str">
        <f>IF($O222="","",INDEX(jr_tiers,$O222)&amp;"")</f>
        <v/>
      </c>
      <c r="E222" s="57" t="str">
        <f>IF($O222="","",INDEX(jr_name,$O222)&amp;"")</f>
        <v/>
      </c>
      <c r="F222" s="57" t="str">
        <f>IF($O222="","",INDEX(jr_order,$O222)&amp;"")</f>
        <v/>
      </c>
      <c r="G222" s="57" t="str">
        <f>IF($O222="","",INDEX(jr_ext,$O222)&amp;"")</f>
        <v/>
      </c>
      <c r="H222" s="57" t="str">
        <f>IF($O222="","",INDEX(jr_carrier,$O222)&amp;"")</f>
        <v/>
      </c>
      <c r="I222" s="66" t="str">
        <f>IF(A222="","",COUNTIF(jr_num,A222))</f>
        <v/>
      </c>
      <c r="J222" s="66" t="str">
        <f>IF(A222="","",SUMIF(jr_num,A222,jr_colis))</f>
        <v/>
      </c>
      <c r="K222" s="63" t="str">
        <f>IF(A222="","",SUMIF(jr_num,A222,jr_kg))</f>
        <v/>
      </c>
      <c r="L222" s="64" t="str">
        <f>IF(A222="","",SUMIF(jr_num,A222,jr_val))</f>
        <v/>
      </c>
      <c r="M222" s="60" t="str">
        <f>IF(A222="","",IF(COUNTIFS(jr_num,A222,jr_check,"&lt;&gt;OK")&gt;0,"À vérifier",IF(LEFT(A222,2)="BL",IF(COUNTIFS(jr_num,A222,jr_rel,"&gt;0")&gt;0,"Reliquat en cours",IF(COUNTIFS(jr_num,A222,jr_gap,"&lt;0")&gt;0,"Reliquat livré","Complet")),IF(LEFT(A222,2)="BR",IF(COUNTIFS(jr_num,A222,jr_etat,"Refusé")&gt;0,"Refusé",IF(COUNTIFS(jr_num,A222,jr_etat,"Avec réserves")&gt;0,"Avec réserves",IF(COUNTIFS(jr_num,A222,jr_rel,"&gt;0")&gt;0,"Reliquat en cours",IF(COUNTIFS(jr_num,A222,jr_gap,"&lt;0")+COUNTIFS(jr_num,A222,jr_gap,"&gt;0")&gt;0,"Écart","Conforme")))),IF(COUNTIFS(jr_num,A222,jr_gap,"&lt;0")&gt;0,"Partiel","Sorti")))))</f>
        <v/>
      </c>
      <c r="O222" t="str">
        <f>IFERROR(MATCH(217,jr_grank,0),"")</f>
        <v/>
      </c>
      <c r="R222" s="67" t="str">
        <f>IFERROR(INDEX(jr_num,MATCH("BL217",jr_nkey,0))&amp;"","")</f>
        <v/>
      </c>
      <c r="S222" s="67" t="str">
        <f>IFERROR(INDEX(jr_num,MATCH("BR217",jr_nkey,0))&amp;"","")</f>
        <v/>
      </c>
      <c r="T222" s="67" t="str">
        <f>IFERROR(INDEX(jr_num,MATCH("BS217",jr_nkey,0))&amp;"","")</f>
        <v/>
      </c>
    </row>
    <row r="223">
      <c r="A223" s="60" t="str">
        <f>IF($O223="","",INDEX(jr_num,$O223)&amp;"")</f>
        <v/>
      </c>
      <c r="B223" s="60" t="str">
        <f>IF($O223="","",IF(INDEX(jr_type,$O223)="BL","Livraison",IF(INDEX(jr_type,$O223)="BR","Réception","Sortie")))</f>
        <v/>
      </c>
      <c r="C223" s="65" t="str">
        <f>IF($O223="","",INDEX(jr_date,$O223))</f>
        <v/>
      </c>
      <c r="D223" s="60" t="str">
        <f>IF($O223="","",INDEX(jr_tiers,$O223)&amp;"")</f>
        <v/>
      </c>
      <c r="E223" s="57" t="str">
        <f>IF($O223="","",INDEX(jr_name,$O223)&amp;"")</f>
        <v/>
      </c>
      <c r="F223" s="57" t="str">
        <f>IF($O223="","",INDEX(jr_order,$O223)&amp;"")</f>
        <v/>
      </c>
      <c r="G223" s="57" t="str">
        <f>IF($O223="","",INDEX(jr_ext,$O223)&amp;"")</f>
        <v/>
      </c>
      <c r="H223" s="57" t="str">
        <f>IF($O223="","",INDEX(jr_carrier,$O223)&amp;"")</f>
        <v/>
      </c>
      <c r="I223" s="66" t="str">
        <f>IF(A223="","",COUNTIF(jr_num,A223))</f>
        <v/>
      </c>
      <c r="J223" s="66" t="str">
        <f>IF(A223="","",SUMIF(jr_num,A223,jr_colis))</f>
        <v/>
      </c>
      <c r="K223" s="63" t="str">
        <f>IF(A223="","",SUMIF(jr_num,A223,jr_kg))</f>
        <v/>
      </c>
      <c r="L223" s="64" t="str">
        <f>IF(A223="","",SUMIF(jr_num,A223,jr_val))</f>
        <v/>
      </c>
      <c r="M223" s="60" t="str">
        <f>IF(A223="","",IF(COUNTIFS(jr_num,A223,jr_check,"&lt;&gt;OK")&gt;0,"À vérifier",IF(LEFT(A223,2)="BL",IF(COUNTIFS(jr_num,A223,jr_rel,"&gt;0")&gt;0,"Reliquat en cours",IF(COUNTIFS(jr_num,A223,jr_gap,"&lt;0")&gt;0,"Reliquat livré","Complet")),IF(LEFT(A223,2)="BR",IF(COUNTIFS(jr_num,A223,jr_etat,"Refusé")&gt;0,"Refusé",IF(COUNTIFS(jr_num,A223,jr_etat,"Avec réserves")&gt;0,"Avec réserves",IF(COUNTIFS(jr_num,A223,jr_rel,"&gt;0")&gt;0,"Reliquat en cours",IF(COUNTIFS(jr_num,A223,jr_gap,"&lt;0")+COUNTIFS(jr_num,A223,jr_gap,"&gt;0")&gt;0,"Écart","Conforme")))),IF(COUNTIFS(jr_num,A223,jr_gap,"&lt;0")&gt;0,"Partiel","Sorti")))))</f>
        <v/>
      </c>
      <c r="O223" t="str">
        <f>IFERROR(MATCH(218,jr_grank,0),"")</f>
        <v/>
      </c>
      <c r="R223" s="67" t="str">
        <f>IFERROR(INDEX(jr_num,MATCH("BL218",jr_nkey,0))&amp;"","")</f>
        <v/>
      </c>
      <c r="S223" s="67" t="str">
        <f>IFERROR(INDEX(jr_num,MATCH("BR218",jr_nkey,0))&amp;"","")</f>
        <v/>
      </c>
      <c r="T223" s="67" t="str">
        <f>IFERROR(INDEX(jr_num,MATCH("BS218",jr_nkey,0))&amp;"","")</f>
        <v/>
      </c>
    </row>
    <row r="224">
      <c r="A224" s="60" t="str">
        <f>IF($O224="","",INDEX(jr_num,$O224)&amp;"")</f>
        <v/>
      </c>
      <c r="B224" s="60" t="str">
        <f>IF($O224="","",IF(INDEX(jr_type,$O224)="BL","Livraison",IF(INDEX(jr_type,$O224)="BR","Réception","Sortie")))</f>
        <v/>
      </c>
      <c r="C224" s="65" t="str">
        <f>IF($O224="","",INDEX(jr_date,$O224))</f>
        <v/>
      </c>
      <c r="D224" s="60" t="str">
        <f>IF($O224="","",INDEX(jr_tiers,$O224)&amp;"")</f>
        <v/>
      </c>
      <c r="E224" s="57" t="str">
        <f>IF($O224="","",INDEX(jr_name,$O224)&amp;"")</f>
        <v/>
      </c>
      <c r="F224" s="57" t="str">
        <f>IF($O224="","",INDEX(jr_order,$O224)&amp;"")</f>
        <v/>
      </c>
      <c r="G224" s="57" t="str">
        <f>IF($O224="","",INDEX(jr_ext,$O224)&amp;"")</f>
        <v/>
      </c>
      <c r="H224" s="57" t="str">
        <f>IF($O224="","",INDEX(jr_carrier,$O224)&amp;"")</f>
        <v/>
      </c>
      <c r="I224" s="66" t="str">
        <f>IF(A224="","",COUNTIF(jr_num,A224))</f>
        <v/>
      </c>
      <c r="J224" s="66" t="str">
        <f>IF(A224="","",SUMIF(jr_num,A224,jr_colis))</f>
        <v/>
      </c>
      <c r="K224" s="63" t="str">
        <f>IF(A224="","",SUMIF(jr_num,A224,jr_kg))</f>
        <v/>
      </c>
      <c r="L224" s="64" t="str">
        <f>IF(A224="","",SUMIF(jr_num,A224,jr_val))</f>
        <v/>
      </c>
      <c r="M224" s="60" t="str">
        <f>IF(A224="","",IF(COUNTIFS(jr_num,A224,jr_check,"&lt;&gt;OK")&gt;0,"À vérifier",IF(LEFT(A224,2)="BL",IF(COUNTIFS(jr_num,A224,jr_rel,"&gt;0")&gt;0,"Reliquat en cours",IF(COUNTIFS(jr_num,A224,jr_gap,"&lt;0")&gt;0,"Reliquat livré","Complet")),IF(LEFT(A224,2)="BR",IF(COUNTIFS(jr_num,A224,jr_etat,"Refusé")&gt;0,"Refusé",IF(COUNTIFS(jr_num,A224,jr_etat,"Avec réserves")&gt;0,"Avec réserves",IF(COUNTIFS(jr_num,A224,jr_rel,"&gt;0")&gt;0,"Reliquat en cours",IF(COUNTIFS(jr_num,A224,jr_gap,"&lt;0")+COUNTIFS(jr_num,A224,jr_gap,"&gt;0")&gt;0,"Écart","Conforme")))),IF(COUNTIFS(jr_num,A224,jr_gap,"&lt;0")&gt;0,"Partiel","Sorti")))))</f>
        <v/>
      </c>
      <c r="O224" t="str">
        <f>IFERROR(MATCH(219,jr_grank,0),"")</f>
        <v/>
      </c>
      <c r="R224" s="67" t="str">
        <f>IFERROR(INDEX(jr_num,MATCH("BL219",jr_nkey,0))&amp;"","")</f>
        <v/>
      </c>
      <c r="S224" s="67" t="str">
        <f>IFERROR(INDEX(jr_num,MATCH("BR219",jr_nkey,0))&amp;"","")</f>
        <v/>
      </c>
      <c r="T224" s="67" t="str">
        <f>IFERROR(INDEX(jr_num,MATCH("BS219",jr_nkey,0))&amp;"","")</f>
        <v/>
      </c>
    </row>
    <row r="225">
      <c r="A225" s="60" t="str">
        <f>IF($O225="","",INDEX(jr_num,$O225)&amp;"")</f>
        <v/>
      </c>
      <c r="B225" s="60" t="str">
        <f>IF($O225="","",IF(INDEX(jr_type,$O225)="BL","Livraison",IF(INDEX(jr_type,$O225)="BR","Réception","Sortie")))</f>
        <v/>
      </c>
      <c r="C225" s="65" t="str">
        <f>IF($O225="","",INDEX(jr_date,$O225))</f>
        <v/>
      </c>
      <c r="D225" s="60" t="str">
        <f>IF($O225="","",INDEX(jr_tiers,$O225)&amp;"")</f>
        <v/>
      </c>
      <c r="E225" s="57" t="str">
        <f>IF($O225="","",INDEX(jr_name,$O225)&amp;"")</f>
        <v/>
      </c>
      <c r="F225" s="57" t="str">
        <f>IF($O225="","",INDEX(jr_order,$O225)&amp;"")</f>
        <v/>
      </c>
      <c r="G225" s="57" t="str">
        <f>IF($O225="","",INDEX(jr_ext,$O225)&amp;"")</f>
        <v/>
      </c>
      <c r="H225" s="57" t="str">
        <f>IF($O225="","",INDEX(jr_carrier,$O225)&amp;"")</f>
        <v/>
      </c>
      <c r="I225" s="66" t="str">
        <f>IF(A225="","",COUNTIF(jr_num,A225))</f>
        <v/>
      </c>
      <c r="J225" s="66" t="str">
        <f>IF(A225="","",SUMIF(jr_num,A225,jr_colis))</f>
        <v/>
      </c>
      <c r="K225" s="63" t="str">
        <f>IF(A225="","",SUMIF(jr_num,A225,jr_kg))</f>
        <v/>
      </c>
      <c r="L225" s="64" t="str">
        <f>IF(A225="","",SUMIF(jr_num,A225,jr_val))</f>
        <v/>
      </c>
      <c r="M225" s="60" t="str">
        <f>IF(A225="","",IF(COUNTIFS(jr_num,A225,jr_check,"&lt;&gt;OK")&gt;0,"À vérifier",IF(LEFT(A225,2)="BL",IF(COUNTIFS(jr_num,A225,jr_rel,"&gt;0")&gt;0,"Reliquat en cours",IF(COUNTIFS(jr_num,A225,jr_gap,"&lt;0")&gt;0,"Reliquat livré","Complet")),IF(LEFT(A225,2)="BR",IF(COUNTIFS(jr_num,A225,jr_etat,"Refusé")&gt;0,"Refusé",IF(COUNTIFS(jr_num,A225,jr_etat,"Avec réserves")&gt;0,"Avec réserves",IF(COUNTIFS(jr_num,A225,jr_rel,"&gt;0")&gt;0,"Reliquat en cours",IF(COUNTIFS(jr_num,A225,jr_gap,"&lt;0")+COUNTIFS(jr_num,A225,jr_gap,"&gt;0")&gt;0,"Écart","Conforme")))),IF(COUNTIFS(jr_num,A225,jr_gap,"&lt;0")&gt;0,"Partiel","Sorti")))))</f>
        <v/>
      </c>
      <c r="O225" t="str">
        <f>IFERROR(MATCH(220,jr_grank,0),"")</f>
        <v/>
      </c>
      <c r="R225" s="67" t="str">
        <f>IFERROR(INDEX(jr_num,MATCH("BL220",jr_nkey,0))&amp;"","")</f>
        <v/>
      </c>
      <c r="S225" s="67" t="str">
        <f>IFERROR(INDEX(jr_num,MATCH("BR220",jr_nkey,0))&amp;"","")</f>
        <v/>
      </c>
      <c r="T225" s="67" t="str">
        <f>IFERROR(INDEX(jr_num,MATCH("BS220",jr_nkey,0))&amp;"","")</f>
        <v/>
      </c>
    </row>
    <row r="226">
      <c r="A226" s="60" t="str">
        <f>IF($O226="","",INDEX(jr_num,$O226)&amp;"")</f>
        <v/>
      </c>
      <c r="B226" s="60" t="str">
        <f>IF($O226="","",IF(INDEX(jr_type,$O226)="BL","Livraison",IF(INDEX(jr_type,$O226)="BR","Réception","Sortie")))</f>
        <v/>
      </c>
      <c r="C226" s="65" t="str">
        <f>IF($O226="","",INDEX(jr_date,$O226))</f>
        <v/>
      </c>
      <c r="D226" s="60" t="str">
        <f>IF($O226="","",INDEX(jr_tiers,$O226)&amp;"")</f>
        <v/>
      </c>
      <c r="E226" s="57" t="str">
        <f>IF($O226="","",INDEX(jr_name,$O226)&amp;"")</f>
        <v/>
      </c>
      <c r="F226" s="57" t="str">
        <f>IF($O226="","",INDEX(jr_order,$O226)&amp;"")</f>
        <v/>
      </c>
      <c r="G226" s="57" t="str">
        <f>IF($O226="","",INDEX(jr_ext,$O226)&amp;"")</f>
        <v/>
      </c>
      <c r="H226" s="57" t="str">
        <f>IF($O226="","",INDEX(jr_carrier,$O226)&amp;"")</f>
        <v/>
      </c>
      <c r="I226" s="66" t="str">
        <f>IF(A226="","",COUNTIF(jr_num,A226))</f>
        <v/>
      </c>
      <c r="J226" s="66" t="str">
        <f>IF(A226="","",SUMIF(jr_num,A226,jr_colis))</f>
        <v/>
      </c>
      <c r="K226" s="63" t="str">
        <f>IF(A226="","",SUMIF(jr_num,A226,jr_kg))</f>
        <v/>
      </c>
      <c r="L226" s="64" t="str">
        <f>IF(A226="","",SUMIF(jr_num,A226,jr_val))</f>
        <v/>
      </c>
      <c r="M226" s="60" t="str">
        <f>IF(A226="","",IF(COUNTIFS(jr_num,A226,jr_check,"&lt;&gt;OK")&gt;0,"À vérifier",IF(LEFT(A226,2)="BL",IF(COUNTIFS(jr_num,A226,jr_rel,"&gt;0")&gt;0,"Reliquat en cours",IF(COUNTIFS(jr_num,A226,jr_gap,"&lt;0")&gt;0,"Reliquat livré","Complet")),IF(LEFT(A226,2)="BR",IF(COUNTIFS(jr_num,A226,jr_etat,"Refusé")&gt;0,"Refusé",IF(COUNTIFS(jr_num,A226,jr_etat,"Avec réserves")&gt;0,"Avec réserves",IF(COUNTIFS(jr_num,A226,jr_rel,"&gt;0")&gt;0,"Reliquat en cours",IF(COUNTIFS(jr_num,A226,jr_gap,"&lt;0")+COUNTIFS(jr_num,A226,jr_gap,"&gt;0")&gt;0,"Écart","Conforme")))),IF(COUNTIFS(jr_num,A226,jr_gap,"&lt;0")&gt;0,"Partiel","Sorti")))))</f>
        <v/>
      </c>
      <c r="O226" t="str">
        <f>IFERROR(MATCH(221,jr_grank,0),"")</f>
        <v/>
      </c>
      <c r="R226" s="67" t="str">
        <f>IFERROR(INDEX(jr_num,MATCH("BL221",jr_nkey,0))&amp;"","")</f>
        <v/>
      </c>
      <c r="S226" s="67" t="str">
        <f>IFERROR(INDEX(jr_num,MATCH("BR221",jr_nkey,0))&amp;"","")</f>
        <v/>
      </c>
      <c r="T226" s="67" t="str">
        <f>IFERROR(INDEX(jr_num,MATCH("BS221",jr_nkey,0))&amp;"","")</f>
        <v/>
      </c>
    </row>
    <row r="227">
      <c r="A227" s="60" t="str">
        <f>IF($O227="","",INDEX(jr_num,$O227)&amp;"")</f>
        <v/>
      </c>
      <c r="B227" s="60" t="str">
        <f>IF($O227="","",IF(INDEX(jr_type,$O227)="BL","Livraison",IF(INDEX(jr_type,$O227)="BR","Réception","Sortie")))</f>
        <v/>
      </c>
      <c r="C227" s="65" t="str">
        <f>IF($O227="","",INDEX(jr_date,$O227))</f>
        <v/>
      </c>
      <c r="D227" s="60" t="str">
        <f>IF($O227="","",INDEX(jr_tiers,$O227)&amp;"")</f>
        <v/>
      </c>
      <c r="E227" s="57" t="str">
        <f>IF($O227="","",INDEX(jr_name,$O227)&amp;"")</f>
        <v/>
      </c>
      <c r="F227" s="57" t="str">
        <f>IF($O227="","",INDEX(jr_order,$O227)&amp;"")</f>
        <v/>
      </c>
      <c r="G227" s="57" t="str">
        <f>IF($O227="","",INDEX(jr_ext,$O227)&amp;"")</f>
        <v/>
      </c>
      <c r="H227" s="57" t="str">
        <f>IF($O227="","",INDEX(jr_carrier,$O227)&amp;"")</f>
        <v/>
      </c>
      <c r="I227" s="66" t="str">
        <f>IF(A227="","",COUNTIF(jr_num,A227))</f>
        <v/>
      </c>
      <c r="J227" s="66" t="str">
        <f>IF(A227="","",SUMIF(jr_num,A227,jr_colis))</f>
        <v/>
      </c>
      <c r="K227" s="63" t="str">
        <f>IF(A227="","",SUMIF(jr_num,A227,jr_kg))</f>
        <v/>
      </c>
      <c r="L227" s="64" t="str">
        <f>IF(A227="","",SUMIF(jr_num,A227,jr_val))</f>
        <v/>
      </c>
      <c r="M227" s="60" t="str">
        <f>IF(A227="","",IF(COUNTIFS(jr_num,A227,jr_check,"&lt;&gt;OK")&gt;0,"À vérifier",IF(LEFT(A227,2)="BL",IF(COUNTIFS(jr_num,A227,jr_rel,"&gt;0")&gt;0,"Reliquat en cours",IF(COUNTIFS(jr_num,A227,jr_gap,"&lt;0")&gt;0,"Reliquat livré","Complet")),IF(LEFT(A227,2)="BR",IF(COUNTIFS(jr_num,A227,jr_etat,"Refusé")&gt;0,"Refusé",IF(COUNTIFS(jr_num,A227,jr_etat,"Avec réserves")&gt;0,"Avec réserves",IF(COUNTIFS(jr_num,A227,jr_rel,"&gt;0")&gt;0,"Reliquat en cours",IF(COUNTIFS(jr_num,A227,jr_gap,"&lt;0")+COUNTIFS(jr_num,A227,jr_gap,"&gt;0")&gt;0,"Écart","Conforme")))),IF(COUNTIFS(jr_num,A227,jr_gap,"&lt;0")&gt;0,"Partiel","Sorti")))))</f>
        <v/>
      </c>
      <c r="O227" t="str">
        <f>IFERROR(MATCH(222,jr_grank,0),"")</f>
        <v/>
      </c>
      <c r="R227" s="67" t="str">
        <f>IFERROR(INDEX(jr_num,MATCH("BL222",jr_nkey,0))&amp;"","")</f>
        <v/>
      </c>
      <c r="S227" s="67" t="str">
        <f>IFERROR(INDEX(jr_num,MATCH("BR222",jr_nkey,0))&amp;"","")</f>
        <v/>
      </c>
      <c r="T227" s="67" t="str">
        <f>IFERROR(INDEX(jr_num,MATCH("BS222",jr_nkey,0))&amp;"","")</f>
        <v/>
      </c>
    </row>
    <row r="228">
      <c r="A228" s="60" t="str">
        <f>IF($O228="","",INDEX(jr_num,$O228)&amp;"")</f>
        <v/>
      </c>
      <c r="B228" s="60" t="str">
        <f>IF($O228="","",IF(INDEX(jr_type,$O228)="BL","Livraison",IF(INDEX(jr_type,$O228)="BR","Réception","Sortie")))</f>
        <v/>
      </c>
      <c r="C228" s="65" t="str">
        <f>IF($O228="","",INDEX(jr_date,$O228))</f>
        <v/>
      </c>
      <c r="D228" s="60" t="str">
        <f>IF($O228="","",INDEX(jr_tiers,$O228)&amp;"")</f>
        <v/>
      </c>
      <c r="E228" s="57" t="str">
        <f>IF($O228="","",INDEX(jr_name,$O228)&amp;"")</f>
        <v/>
      </c>
      <c r="F228" s="57" t="str">
        <f>IF($O228="","",INDEX(jr_order,$O228)&amp;"")</f>
        <v/>
      </c>
      <c r="G228" s="57" t="str">
        <f>IF($O228="","",INDEX(jr_ext,$O228)&amp;"")</f>
        <v/>
      </c>
      <c r="H228" s="57" t="str">
        <f>IF($O228="","",INDEX(jr_carrier,$O228)&amp;"")</f>
        <v/>
      </c>
      <c r="I228" s="66" t="str">
        <f>IF(A228="","",COUNTIF(jr_num,A228))</f>
        <v/>
      </c>
      <c r="J228" s="66" t="str">
        <f>IF(A228="","",SUMIF(jr_num,A228,jr_colis))</f>
        <v/>
      </c>
      <c r="K228" s="63" t="str">
        <f>IF(A228="","",SUMIF(jr_num,A228,jr_kg))</f>
        <v/>
      </c>
      <c r="L228" s="64" t="str">
        <f>IF(A228="","",SUMIF(jr_num,A228,jr_val))</f>
        <v/>
      </c>
      <c r="M228" s="60" t="str">
        <f>IF(A228="","",IF(COUNTIFS(jr_num,A228,jr_check,"&lt;&gt;OK")&gt;0,"À vérifier",IF(LEFT(A228,2)="BL",IF(COUNTIFS(jr_num,A228,jr_rel,"&gt;0")&gt;0,"Reliquat en cours",IF(COUNTIFS(jr_num,A228,jr_gap,"&lt;0")&gt;0,"Reliquat livré","Complet")),IF(LEFT(A228,2)="BR",IF(COUNTIFS(jr_num,A228,jr_etat,"Refusé")&gt;0,"Refusé",IF(COUNTIFS(jr_num,A228,jr_etat,"Avec réserves")&gt;0,"Avec réserves",IF(COUNTIFS(jr_num,A228,jr_rel,"&gt;0")&gt;0,"Reliquat en cours",IF(COUNTIFS(jr_num,A228,jr_gap,"&lt;0")+COUNTIFS(jr_num,A228,jr_gap,"&gt;0")&gt;0,"Écart","Conforme")))),IF(COUNTIFS(jr_num,A228,jr_gap,"&lt;0")&gt;0,"Partiel","Sorti")))))</f>
        <v/>
      </c>
      <c r="O228" t="str">
        <f>IFERROR(MATCH(223,jr_grank,0),"")</f>
        <v/>
      </c>
      <c r="R228" s="67" t="str">
        <f>IFERROR(INDEX(jr_num,MATCH("BL223",jr_nkey,0))&amp;"","")</f>
        <v/>
      </c>
      <c r="S228" s="67" t="str">
        <f>IFERROR(INDEX(jr_num,MATCH("BR223",jr_nkey,0))&amp;"","")</f>
        <v/>
      </c>
      <c r="T228" s="67" t="str">
        <f>IFERROR(INDEX(jr_num,MATCH("BS223",jr_nkey,0))&amp;"","")</f>
        <v/>
      </c>
    </row>
    <row r="229">
      <c r="A229" s="60" t="str">
        <f>IF($O229="","",INDEX(jr_num,$O229)&amp;"")</f>
        <v/>
      </c>
      <c r="B229" s="60" t="str">
        <f>IF($O229="","",IF(INDEX(jr_type,$O229)="BL","Livraison",IF(INDEX(jr_type,$O229)="BR","Réception","Sortie")))</f>
        <v/>
      </c>
      <c r="C229" s="65" t="str">
        <f>IF($O229="","",INDEX(jr_date,$O229))</f>
        <v/>
      </c>
      <c r="D229" s="60" t="str">
        <f>IF($O229="","",INDEX(jr_tiers,$O229)&amp;"")</f>
        <v/>
      </c>
      <c r="E229" s="57" t="str">
        <f>IF($O229="","",INDEX(jr_name,$O229)&amp;"")</f>
        <v/>
      </c>
      <c r="F229" s="57" t="str">
        <f>IF($O229="","",INDEX(jr_order,$O229)&amp;"")</f>
        <v/>
      </c>
      <c r="G229" s="57" t="str">
        <f>IF($O229="","",INDEX(jr_ext,$O229)&amp;"")</f>
        <v/>
      </c>
      <c r="H229" s="57" t="str">
        <f>IF($O229="","",INDEX(jr_carrier,$O229)&amp;"")</f>
        <v/>
      </c>
      <c r="I229" s="66" t="str">
        <f>IF(A229="","",COUNTIF(jr_num,A229))</f>
        <v/>
      </c>
      <c r="J229" s="66" t="str">
        <f>IF(A229="","",SUMIF(jr_num,A229,jr_colis))</f>
        <v/>
      </c>
      <c r="K229" s="63" t="str">
        <f>IF(A229="","",SUMIF(jr_num,A229,jr_kg))</f>
        <v/>
      </c>
      <c r="L229" s="64" t="str">
        <f>IF(A229="","",SUMIF(jr_num,A229,jr_val))</f>
        <v/>
      </c>
      <c r="M229" s="60" t="str">
        <f>IF(A229="","",IF(COUNTIFS(jr_num,A229,jr_check,"&lt;&gt;OK")&gt;0,"À vérifier",IF(LEFT(A229,2)="BL",IF(COUNTIFS(jr_num,A229,jr_rel,"&gt;0")&gt;0,"Reliquat en cours",IF(COUNTIFS(jr_num,A229,jr_gap,"&lt;0")&gt;0,"Reliquat livré","Complet")),IF(LEFT(A229,2)="BR",IF(COUNTIFS(jr_num,A229,jr_etat,"Refusé")&gt;0,"Refusé",IF(COUNTIFS(jr_num,A229,jr_etat,"Avec réserves")&gt;0,"Avec réserves",IF(COUNTIFS(jr_num,A229,jr_rel,"&gt;0")&gt;0,"Reliquat en cours",IF(COUNTIFS(jr_num,A229,jr_gap,"&lt;0")+COUNTIFS(jr_num,A229,jr_gap,"&gt;0")&gt;0,"Écart","Conforme")))),IF(COUNTIFS(jr_num,A229,jr_gap,"&lt;0")&gt;0,"Partiel","Sorti")))))</f>
        <v/>
      </c>
      <c r="O229" t="str">
        <f>IFERROR(MATCH(224,jr_grank,0),"")</f>
        <v/>
      </c>
      <c r="R229" s="67" t="str">
        <f>IFERROR(INDEX(jr_num,MATCH("BL224",jr_nkey,0))&amp;"","")</f>
        <v/>
      </c>
      <c r="S229" s="67" t="str">
        <f>IFERROR(INDEX(jr_num,MATCH("BR224",jr_nkey,0))&amp;"","")</f>
        <v/>
      </c>
      <c r="T229" s="67" t="str">
        <f>IFERROR(INDEX(jr_num,MATCH("BS224",jr_nkey,0))&amp;"","")</f>
        <v/>
      </c>
    </row>
    <row r="230">
      <c r="A230" s="60" t="str">
        <f>IF($O230="","",INDEX(jr_num,$O230)&amp;"")</f>
        <v/>
      </c>
      <c r="B230" s="60" t="str">
        <f>IF($O230="","",IF(INDEX(jr_type,$O230)="BL","Livraison",IF(INDEX(jr_type,$O230)="BR","Réception","Sortie")))</f>
        <v/>
      </c>
      <c r="C230" s="65" t="str">
        <f>IF($O230="","",INDEX(jr_date,$O230))</f>
        <v/>
      </c>
      <c r="D230" s="60" t="str">
        <f>IF($O230="","",INDEX(jr_tiers,$O230)&amp;"")</f>
        <v/>
      </c>
      <c r="E230" s="57" t="str">
        <f>IF($O230="","",INDEX(jr_name,$O230)&amp;"")</f>
        <v/>
      </c>
      <c r="F230" s="57" t="str">
        <f>IF($O230="","",INDEX(jr_order,$O230)&amp;"")</f>
        <v/>
      </c>
      <c r="G230" s="57" t="str">
        <f>IF($O230="","",INDEX(jr_ext,$O230)&amp;"")</f>
        <v/>
      </c>
      <c r="H230" s="57" t="str">
        <f>IF($O230="","",INDEX(jr_carrier,$O230)&amp;"")</f>
        <v/>
      </c>
      <c r="I230" s="66" t="str">
        <f>IF(A230="","",COUNTIF(jr_num,A230))</f>
        <v/>
      </c>
      <c r="J230" s="66" t="str">
        <f>IF(A230="","",SUMIF(jr_num,A230,jr_colis))</f>
        <v/>
      </c>
      <c r="K230" s="63" t="str">
        <f>IF(A230="","",SUMIF(jr_num,A230,jr_kg))</f>
        <v/>
      </c>
      <c r="L230" s="64" t="str">
        <f>IF(A230="","",SUMIF(jr_num,A230,jr_val))</f>
        <v/>
      </c>
      <c r="M230" s="60" t="str">
        <f>IF(A230="","",IF(COUNTIFS(jr_num,A230,jr_check,"&lt;&gt;OK")&gt;0,"À vérifier",IF(LEFT(A230,2)="BL",IF(COUNTIFS(jr_num,A230,jr_rel,"&gt;0")&gt;0,"Reliquat en cours",IF(COUNTIFS(jr_num,A230,jr_gap,"&lt;0")&gt;0,"Reliquat livré","Complet")),IF(LEFT(A230,2)="BR",IF(COUNTIFS(jr_num,A230,jr_etat,"Refusé")&gt;0,"Refusé",IF(COUNTIFS(jr_num,A230,jr_etat,"Avec réserves")&gt;0,"Avec réserves",IF(COUNTIFS(jr_num,A230,jr_rel,"&gt;0")&gt;0,"Reliquat en cours",IF(COUNTIFS(jr_num,A230,jr_gap,"&lt;0")+COUNTIFS(jr_num,A230,jr_gap,"&gt;0")&gt;0,"Écart","Conforme")))),IF(COUNTIFS(jr_num,A230,jr_gap,"&lt;0")&gt;0,"Partiel","Sorti")))))</f>
        <v/>
      </c>
      <c r="O230" t="str">
        <f>IFERROR(MATCH(225,jr_grank,0),"")</f>
        <v/>
      </c>
      <c r="R230" s="67" t="str">
        <f>IFERROR(INDEX(jr_num,MATCH("BL225",jr_nkey,0))&amp;"","")</f>
        <v/>
      </c>
      <c r="S230" s="67" t="str">
        <f>IFERROR(INDEX(jr_num,MATCH("BR225",jr_nkey,0))&amp;"","")</f>
        <v/>
      </c>
      <c r="T230" s="67" t="str">
        <f>IFERROR(INDEX(jr_num,MATCH("BS225",jr_nkey,0))&amp;"","")</f>
        <v/>
      </c>
    </row>
    <row r="231">
      <c r="A231" s="60" t="str">
        <f>IF($O231="","",INDEX(jr_num,$O231)&amp;"")</f>
        <v/>
      </c>
      <c r="B231" s="60" t="str">
        <f>IF($O231="","",IF(INDEX(jr_type,$O231)="BL","Livraison",IF(INDEX(jr_type,$O231)="BR","Réception","Sortie")))</f>
        <v/>
      </c>
      <c r="C231" s="65" t="str">
        <f>IF($O231="","",INDEX(jr_date,$O231))</f>
        <v/>
      </c>
      <c r="D231" s="60" t="str">
        <f>IF($O231="","",INDEX(jr_tiers,$O231)&amp;"")</f>
        <v/>
      </c>
      <c r="E231" s="57" t="str">
        <f>IF($O231="","",INDEX(jr_name,$O231)&amp;"")</f>
        <v/>
      </c>
      <c r="F231" s="57" t="str">
        <f>IF($O231="","",INDEX(jr_order,$O231)&amp;"")</f>
        <v/>
      </c>
      <c r="G231" s="57" t="str">
        <f>IF($O231="","",INDEX(jr_ext,$O231)&amp;"")</f>
        <v/>
      </c>
      <c r="H231" s="57" t="str">
        <f>IF($O231="","",INDEX(jr_carrier,$O231)&amp;"")</f>
        <v/>
      </c>
      <c r="I231" s="66" t="str">
        <f>IF(A231="","",COUNTIF(jr_num,A231))</f>
        <v/>
      </c>
      <c r="J231" s="66" t="str">
        <f>IF(A231="","",SUMIF(jr_num,A231,jr_colis))</f>
        <v/>
      </c>
      <c r="K231" s="63" t="str">
        <f>IF(A231="","",SUMIF(jr_num,A231,jr_kg))</f>
        <v/>
      </c>
      <c r="L231" s="64" t="str">
        <f>IF(A231="","",SUMIF(jr_num,A231,jr_val))</f>
        <v/>
      </c>
      <c r="M231" s="60" t="str">
        <f>IF(A231="","",IF(COUNTIFS(jr_num,A231,jr_check,"&lt;&gt;OK")&gt;0,"À vérifier",IF(LEFT(A231,2)="BL",IF(COUNTIFS(jr_num,A231,jr_rel,"&gt;0")&gt;0,"Reliquat en cours",IF(COUNTIFS(jr_num,A231,jr_gap,"&lt;0")&gt;0,"Reliquat livré","Complet")),IF(LEFT(A231,2)="BR",IF(COUNTIFS(jr_num,A231,jr_etat,"Refusé")&gt;0,"Refusé",IF(COUNTIFS(jr_num,A231,jr_etat,"Avec réserves")&gt;0,"Avec réserves",IF(COUNTIFS(jr_num,A231,jr_rel,"&gt;0")&gt;0,"Reliquat en cours",IF(COUNTIFS(jr_num,A231,jr_gap,"&lt;0")+COUNTIFS(jr_num,A231,jr_gap,"&gt;0")&gt;0,"Écart","Conforme")))),IF(COUNTIFS(jr_num,A231,jr_gap,"&lt;0")&gt;0,"Partiel","Sorti")))))</f>
        <v/>
      </c>
      <c r="O231" t="str">
        <f>IFERROR(MATCH(226,jr_grank,0),"")</f>
        <v/>
      </c>
      <c r="R231" s="67" t="str">
        <f>IFERROR(INDEX(jr_num,MATCH("BL226",jr_nkey,0))&amp;"","")</f>
        <v/>
      </c>
      <c r="S231" s="67" t="str">
        <f>IFERROR(INDEX(jr_num,MATCH("BR226",jr_nkey,0))&amp;"","")</f>
        <v/>
      </c>
      <c r="T231" s="67" t="str">
        <f>IFERROR(INDEX(jr_num,MATCH("BS226",jr_nkey,0))&amp;"","")</f>
        <v/>
      </c>
    </row>
    <row r="232">
      <c r="A232" s="60" t="str">
        <f>IF($O232="","",INDEX(jr_num,$O232)&amp;"")</f>
        <v/>
      </c>
      <c r="B232" s="60" t="str">
        <f>IF($O232="","",IF(INDEX(jr_type,$O232)="BL","Livraison",IF(INDEX(jr_type,$O232)="BR","Réception","Sortie")))</f>
        <v/>
      </c>
      <c r="C232" s="65" t="str">
        <f>IF($O232="","",INDEX(jr_date,$O232))</f>
        <v/>
      </c>
      <c r="D232" s="60" t="str">
        <f>IF($O232="","",INDEX(jr_tiers,$O232)&amp;"")</f>
        <v/>
      </c>
      <c r="E232" s="57" t="str">
        <f>IF($O232="","",INDEX(jr_name,$O232)&amp;"")</f>
        <v/>
      </c>
      <c r="F232" s="57" t="str">
        <f>IF($O232="","",INDEX(jr_order,$O232)&amp;"")</f>
        <v/>
      </c>
      <c r="G232" s="57" t="str">
        <f>IF($O232="","",INDEX(jr_ext,$O232)&amp;"")</f>
        <v/>
      </c>
      <c r="H232" s="57" t="str">
        <f>IF($O232="","",INDEX(jr_carrier,$O232)&amp;"")</f>
        <v/>
      </c>
      <c r="I232" s="66" t="str">
        <f>IF(A232="","",COUNTIF(jr_num,A232))</f>
        <v/>
      </c>
      <c r="J232" s="66" t="str">
        <f>IF(A232="","",SUMIF(jr_num,A232,jr_colis))</f>
        <v/>
      </c>
      <c r="K232" s="63" t="str">
        <f>IF(A232="","",SUMIF(jr_num,A232,jr_kg))</f>
        <v/>
      </c>
      <c r="L232" s="64" t="str">
        <f>IF(A232="","",SUMIF(jr_num,A232,jr_val))</f>
        <v/>
      </c>
      <c r="M232" s="60" t="str">
        <f>IF(A232="","",IF(COUNTIFS(jr_num,A232,jr_check,"&lt;&gt;OK")&gt;0,"À vérifier",IF(LEFT(A232,2)="BL",IF(COUNTIFS(jr_num,A232,jr_rel,"&gt;0")&gt;0,"Reliquat en cours",IF(COUNTIFS(jr_num,A232,jr_gap,"&lt;0")&gt;0,"Reliquat livré","Complet")),IF(LEFT(A232,2)="BR",IF(COUNTIFS(jr_num,A232,jr_etat,"Refusé")&gt;0,"Refusé",IF(COUNTIFS(jr_num,A232,jr_etat,"Avec réserves")&gt;0,"Avec réserves",IF(COUNTIFS(jr_num,A232,jr_rel,"&gt;0")&gt;0,"Reliquat en cours",IF(COUNTIFS(jr_num,A232,jr_gap,"&lt;0")+COUNTIFS(jr_num,A232,jr_gap,"&gt;0")&gt;0,"Écart","Conforme")))),IF(COUNTIFS(jr_num,A232,jr_gap,"&lt;0")&gt;0,"Partiel","Sorti")))))</f>
        <v/>
      </c>
      <c r="O232" t="str">
        <f>IFERROR(MATCH(227,jr_grank,0),"")</f>
        <v/>
      </c>
      <c r="R232" s="67" t="str">
        <f>IFERROR(INDEX(jr_num,MATCH("BL227",jr_nkey,0))&amp;"","")</f>
        <v/>
      </c>
      <c r="S232" s="67" t="str">
        <f>IFERROR(INDEX(jr_num,MATCH("BR227",jr_nkey,0))&amp;"","")</f>
        <v/>
      </c>
      <c r="T232" s="67" t="str">
        <f>IFERROR(INDEX(jr_num,MATCH("BS227",jr_nkey,0))&amp;"","")</f>
        <v/>
      </c>
    </row>
    <row r="233">
      <c r="A233" s="60" t="str">
        <f>IF($O233="","",INDEX(jr_num,$O233)&amp;"")</f>
        <v/>
      </c>
      <c r="B233" s="60" t="str">
        <f>IF($O233="","",IF(INDEX(jr_type,$O233)="BL","Livraison",IF(INDEX(jr_type,$O233)="BR","Réception","Sortie")))</f>
        <v/>
      </c>
      <c r="C233" s="65" t="str">
        <f>IF($O233="","",INDEX(jr_date,$O233))</f>
        <v/>
      </c>
      <c r="D233" s="60" t="str">
        <f>IF($O233="","",INDEX(jr_tiers,$O233)&amp;"")</f>
        <v/>
      </c>
      <c r="E233" s="57" t="str">
        <f>IF($O233="","",INDEX(jr_name,$O233)&amp;"")</f>
        <v/>
      </c>
      <c r="F233" s="57" t="str">
        <f>IF($O233="","",INDEX(jr_order,$O233)&amp;"")</f>
        <v/>
      </c>
      <c r="G233" s="57" t="str">
        <f>IF($O233="","",INDEX(jr_ext,$O233)&amp;"")</f>
        <v/>
      </c>
      <c r="H233" s="57" t="str">
        <f>IF($O233="","",INDEX(jr_carrier,$O233)&amp;"")</f>
        <v/>
      </c>
      <c r="I233" s="66" t="str">
        <f>IF(A233="","",COUNTIF(jr_num,A233))</f>
        <v/>
      </c>
      <c r="J233" s="66" t="str">
        <f>IF(A233="","",SUMIF(jr_num,A233,jr_colis))</f>
        <v/>
      </c>
      <c r="K233" s="63" t="str">
        <f>IF(A233="","",SUMIF(jr_num,A233,jr_kg))</f>
        <v/>
      </c>
      <c r="L233" s="64" t="str">
        <f>IF(A233="","",SUMIF(jr_num,A233,jr_val))</f>
        <v/>
      </c>
      <c r="M233" s="60" t="str">
        <f>IF(A233="","",IF(COUNTIFS(jr_num,A233,jr_check,"&lt;&gt;OK")&gt;0,"À vérifier",IF(LEFT(A233,2)="BL",IF(COUNTIFS(jr_num,A233,jr_rel,"&gt;0")&gt;0,"Reliquat en cours",IF(COUNTIFS(jr_num,A233,jr_gap,"&lt;0")&gt;0,"Reliquat livré","Complet")),IF(LEFT(A233,2)="BR",IF(COUNTIFS(jr_num,A233,jr_etat,"Refusé")&gt;0,"Refusé",IF(COUNTIFS(jr_num,A233,jr_etat,"Avec réserves")&gt;0,"Avec réserves",IF(COUNTIFS(jr_num,A233,jr_rel,"&gt;0")&gt;0,"Reliquat en cours",IF(COUNTIFS(jr_num,A233,jr_gap,"&lt;0")+COUNTIFS(jr_num,A233,jr_gap,"&gt;0")&gt;0,"Écart","Conforme")))),IF(COUNTIFS(jr_num,A233,jr_gap,"&lt;0")&gt;0,"Partiel","Sorti")))))</f>
        <v/>
      </c>
      <c r="O233" t="str">
        <f>IFERROR(MATCH(228,jr_grank,0),"")</f>
        <v/>
      </c>
      <c r="R233" s="67" t="str">
        <f>IFERROR(INDEX(jr_num,MATCH("BL228",jr_nkey,0))&amp;"","")</f>
        <v/>
      </c>
      <c r="S233" s="67" t="str">
        <f>IFERROR(INDEX(jr_num,MATCH("BR228",jr_nkey,0))&amp;"","")</f>
        <v/>
      </c>
      <c r="T233" s="67" t="str">
        <f>IFERROR(INDEX(jr_num,MATCH("BS228",jr_nkey,0))&amp;"","")</f>
        <v/>
      </c>
    </row>
    <row r="234">
      <c r="A234" s="60" t="str">
        <f>IF($O234="","",INDEX(jr_num,$O234)&amp;"")</f>
        <v/>
      </c>
      <c r="B234" s="60" t="str">
        <f>IF($O234="","",IF(INDEX(jr_type,$O234)="BL","Livraison",IF(INDEX(jr_type,$O234)="BR","Réception","Sortie")))</f>
        <v/>
      </c>
      <c r="C234" s="65" t="str">
        <f>IF($O234="","",INDEX(jr_date,$O234))</f>
        <v/>
      </c>
      <c r="D234" s="60" t="str">
        <f>IF($O234="","",INDEX(jr_tiers,$O234)&amp;"")</f>
        <v/>
      </c>
      <c r="E234" s="57" t="str">
        <f>IF($O234="","",INDEX(jr_name,$O234)&amp;"")</f>
        <v/>
      </c>
      <c r="F234" s="57" t="str">
        <f>IF($O234="","",INDEX(jr_order,$O234)&amp;"")</f>
        <v/>
      </c>
      <c r="G234" s="57" t="str">
        <f>IF($O234="","",INDEX(jr_ext,$O234)&amp;"")</f>
        <v/>
      </c>
      <c r="H234" s="57" t="str">
        <f>IF($O234="","",INDEX(jr_carrier,$O234)&amp;"")</f>
        <v/>
      </c>
      <c r="I234" s="66" t="str">
        <f>IF(A234="","",COUNTIF(jr_num,A234))</f>
        <v/>
      </c>
      <c r="J234" s="66" t="str">
        <f>IF(A234="","",SUMIF(jr_num,A234,jr_colis))</f>
        <v/>
      </c>
      <c r="K234" s="63" t="str">
        <f>IF(A234="","",SUMIF(jr_num,A234,jr_kg))</f>
        <v/>
      </c>
      <c r="L234" s="64" t="str">
        <f>IF(A234="","",SUMIF(jr_num,A234,jr_val))</f>
        <v/>
      </c>
      <c r="M234" s="60" t="str">
        <f>IF(A234="","",IF(COUNTIFS(jr_num,A234,jr_check,"&lt;&gt;OK")&gt;0,"À vérifier",IF(LEFT(A234,2)="BL",IF(COUNTIFS(jr_num,A234,jr_rel,"&gt;0")&gt;0,"Reliquat en cours",IF(COUNTIFS(jr_num,A234,jr_gap,"&lt;0")&gt;0,"Reliquat livré","Complet")),IF(LEFT(A234,2)="BR",IF(COUNTIFS(jr_num,A234,jr_etat,"Refusé")&gt;0,"Refusé",IF(COUNTIFS(jr_num,A234,jr_etat,"Avec réserves")&gt;0,"Avec réserves",IF(COUNTIFS(jr_num,A234,jr_rel,"&gt;0")&gt;0,"Reliquat en cours",IF(COUNTIFS(jr_num,A234,jr_gap,"&lt;0")+COUNTIFS(jr_num,A234,jr_gap,"&gt;0")&gt;0,"Écart","Conforme")))),IF(COUNTIFS(jr_num,A234,jr_gap,"&lt;0")&gt;0,"Partiel","Sorti")))))</f>
        <v/>
      </c>
      <c r="O234" t="str">
        <f>IFERROR(MATCH(229,jr_grank,0),"")</f>
        <v/>
      </c>
      <c r="R234" s="67" t="str">
        <f>IFERROR(INDEX(jr_num,MATCH("BL229",jr_nkey,0))&amp;"","")</f>
        <v/>
      </c>
      <c r="S234" s="67" t="str">
        <f>IFERROR(INDEX(jr_num,MATCH("BR229",jr_nkey,0))&amp;"","")</f>
        <v/>
      </c>
      <c r="T234" s="67" t="str">
        <f>IFERROR(INDEX(jr_num,MATCH("BS229",jr_nkey,0))&amp;"","")</f>
        <v/>
      </c>
    </row>
    <row r="235">
      <c r="A235" s="60" t="str">
        <f>IF($O235="","",INDEX(jr_num,$O235)&amp;"")</f>
        <v/>
      </c>
      <c r="B235" s="60" t="str">
        <f>IF($O235="","",IF(INDEX(jr_type,$O235)="BL","Livraison",IF(INDEX(jr_type,$O235)="BR","Réception","Sortie")))</f>
        <v/>
      </c>
      <c r="C235" s="65" t="str">
        <f>IF($O235="","",INDEX(jr_date,$O235))</f>
        <v/>
      </c>
      <c r="D235" s="60" t="str">
        <f>IF($O235="","",INDEX(jr_tiers,$O235)&amp;"")</f>
        <v/>
      </c>
      <c r="E235" s="57" t="str">
        <f>IF($O235="","",INDEX(jr_name,$O235)&amp;"")</f>
        <v/>
      </c>
      <c r="F235" s="57" t="str">
        <f>IF($O235="","",INDEX(jr_order,$O235)&amp;"")</f>
        <v/>
      </c>
      <c r="G235" s="57" t="str">
        <f>IF($O235="","",INDEX(jr_ext,$O235)&amp;"")</f>
        <v/>
      </c>
      <c r="H235" s="57" t="str">
        <f>IF($O235="","",INDEX(jr_carrier,$O235)&amp;"")</f>
        <v/>
      </c>
      <c r="I235" s="66" t="str">
        <f>IF(A235="","",COUNTIF(jr_num,A235))</f>
        <v/>
      </c>
      <c r="J235" s="66" t="str">
        <f>IF(A235="","",SUMIF(jr_num,A235,jr_colis))</f>
        <v/>
      </c>
      <c r="K235" s="63" t="str">
        <f>IF(A235="","",SUMIF(jr_num,A235,jr_kg))</f>
        <v/>
      </c>
      <c r="L235" s="64" t="str">
        <f>IF(A235="","",SUMIF(jr_num,A235,jr_val))</f>
        <v/>
      </c>
      <c r="M235" s="60" t="str">
        <f>IF(A235="","",IF(COUNTIFS(jr_num,A235,jr_check,"&lt;&gt;OK")&gt;0,"À vérifier",IF(LEFT(A235,2)="BL",IF(COUNTIFS(jr_num,A235,jr_rel,"&gt;0")&gt;0,"Reliquat en cours",IF(COUNTIFS(jr_num,A235,jr_gap,"&lt;0")&gt;0,"Reliquat livré","Complet")),IF(LEFT(A235,2)="BR",IF(COUNTIFS(jr_num,A235,jr_etat,"Refusé")&gt;0,"Refusé",IF(COUNTIFS(jr_num,A235,jr_etat,"Avec réserves")&gt;0,"Avec réserves",IF(COUNTIFS(jr_num,A235,jr_rel,"&gt;0")&gt;0,"Reliquat en cours",IF(COUNTIFS(jr_num,A235,jr_gap,"&lt;0")+COUNTIFS(jr_num,A235,jr_gap,"&gt;0")&gt;0,"Écart","Conforme")))),IF(COUNTIFS(jr_num,A235,jr_gap,"&lt;0")&gt;0,"Partiel","Sorti")))))</f>
        <v/>
      </c>
      <c r="O235" t="str">
        <f>IFERROR(MATCH(230,jr_grank,0),"")</f>
        <v/>
      </c>
      <c r="R235" s="67" t="str">
        <f>IFERROR(INDEX(jr_num,MATCH("BL230",jr_nkey,0))&amp;"","")</f>
        <v/>
      </c>
      <c r="S235" s="67" t="str">
        <f>IFERROR(INDEX(jr_num,MATCH("BR230",jr_nkey,0))&amp;"","")</f>
        <v/>
      </c>
      <c r="T235" s="67" t="str">
        <f>IFERROR(INDEX(jr_num,MATCH("BS230",jr_nkey,0))&amp;"","")</f>
        <v/>
      </c>
    </row>
    <row r="236">
      <c r="A236" s="60" t="str">
        <f>IF($O236="","",INDEX(jr_num,$O236)&amp;"")</f>
        <v/>
      </c>
      <c r="B236" s="60" t="str">
        <f>IF($O236="","",IF(INDEX(jr_type,$O236)="BL","Livraison",IF(INDEX(jr_type,$O236)="BR","Réception","Sortie")))</f>
        <v/>
      </c>
      <c r="C236" s="65" t="str">
        <f>IF($O236="","",INDEX(jr_date,$O236))</f>
        <v/>
      </c>
      <c r="D236" s="60" t="str">
        <f>IF($O236="","",INDEX(jr_tiers,$O236)&amp;"")</f>
        <v/>
      </c>
      <c r="E236" s="57" t="str">
        <f>IF($O236="","",INDEX(jr_name,$O236)&amp;"")</f>
        <v/>
      </c>
      <c r="F236" s="57" t="str">
        <f>IF($O236="","",INDEX(jr_order,$O236)&amp;"")</f>
        <v/>
      </c>
      <c r="G236" s="57" t="str">
        <f>IF($O236="","",INDEX(jr_ext,$O236)&amp;"")</f>
        <v/>
      </c>
      <c r="H236" s="57" t="str">
        <f>IF($O236="","",INDEX(jr_carrier,$O236)&amp;"")</f>
        <v/>
      </c>
      <c r="I236" s="66" t="str">
        <f>IF(A236="","",COUNTIF(jr_num,A236))</f>
        <v/>
      </c>
      <c r="J236" s="66" t="str">
        <f>IF(A236="","",SUMIF(jr_num,A236,jr_colis))</f>
        <v/>
      </c>
      <c r="K236" s="63" t="str">
        <f>IF(A236="","",SUMIF(jr_num,A236,jr_kg))</f>
        <v/>
      </c>
      <c r="L236" s="64" t="str">
        <f>IF(A236="","",SUMIF(jr_num,A236,jr_val))</f>
        <v/>
      </c>
      <c r="M236" s="60" t="str">
        <f>IF(A236="","",IF(COUNTIFS(jr_num,A236,jr_check,"&lt;&gt;OK")&gt;0,"À vérifier",IF(LEFT(A236,2)="BL",IF(COUNTIFS(jr_num,A236,jr_rel,"&gt;0")&gt;0,"Reliquat en cours",IF(COUNTIFS(jr_num,A236,jr_gap,"&lt;0")&gt;0,"Reliquat livré","Complet")),IF(LEFT(A236,2)="BR",IF(COUNTIFS(jr_num,A236,jr_etat,"Refusé")&gt;0,"Refusé",IF(COUNTIFS(jr_num,A236,jr_etat,"Avec réserves")&gt;0,"Avec réserves",IF(COUNTIFS(jr_num,A236,jr_rel,"&gt;0")&gt;0,"Reliquat en cours",IF(COUNTIFS(jr_num,A236,jr_gap,"&lt;0")+COUNTIFS(jr_num,A236,jr_gap,"&gt;0")&gt;0,"Écart","Conforme")))),IF(COUNTIFS(jr_num,A236,jr_gap,"&lt;0")&gt;0,"Partiel","Sorti")))))</f>
        <v/>
      </c>
      <c r="O236" t="str">
        <f>IFERROR(MATCH(231,jr_grank,0),"")</f>
        <v/>
      </c>
      <c r="R236" s="67" t="str">
        <f>IFERROR(INDEX(jr_num,MATCH("BL231",jr_nkey,0))&amp;"","")</f>
        <v/>
      </c>
      <c r="S236" s="67" t="str">
        <f>IFERROR(INDEX(jr_num,MATCH("BR231",jr_nkey,0))&amp;"","")</f>
        <v/>
      </c>
      <c r="T236" s="67" t="str">
        <f>IFERROR(INDEX(jr_num,MATCH("BS231",jr_nkey,0))&amp;"","")</f>
        <v/>
      </c>
    </row>
    <row r="237">
      <c r="A237" s="60" t="str">
        <f>IF($O237="","",INDEX(jr_num,$O237)&amp;"")</f>
        <v/>
      </c>
      <c r="B237" s="60" t="str">
        <f>IF($O237="","",IF(INDEX(jr_type,$O237)="BL","Livraison",IF(INDEX(jr_type,$O237)="BR","Réception","Sortie")))</f>
        <v/>
      </c>
      <c r="C237" s="65" t="str">
        <f>IF($O237="","",INDEX(jr_date,$O237))</f>
        <v/>
      </c>
      <c r="D237" s="60" t="str">
        <f>IF($O237="","",INDEX(jr_tiers,$O237)&amp;"")</f>
        <v/>
      </c>
      <c r="E237" s="57" t="str">
        <f>IF($O237="","",INDEX(jr_name,$O237)&amp;"")</f>
        <v/>
      </c>
      <c r="F237" s="57" t="str">
        <f>IF($O237="","",INDEX(jr_order,$O237)&amp;"")</f>
        <v/>
      </c>
      <c r="G237" s="57" t="str">
        <f>IF($O237="","",INDEX(jr_ext,$O237)&amp;"")</f>
        <v/>
      </c>
      <c r="H237" s="57" t="str">
        <f>IF($O237="","",INDEX(jr_carrier,$O237)&amp;"")</f>
        <v/>
      </c>
      <c r="I237" s="66" t="str">
        <f>IF(A237="","",COUNTIF(jr_num,A237))</f>
        <v/>
      </c>
      <c r="J237" s="66" t="str">
        <f>IF(A237="","",SUMIF(jr_num,A237,jr_colis))</f>
        <v/>
      </c>
      <c r="K237" s="63" t="str">
        <f>IF(A237="","",SUMIF(jr_num,A237,jr_kg))</f>
        <v/>
      </c>
      <c r="L237" s="64" t="str">
        <f>IF(A237="","",SUMIF(jr_num,A237,jr_val))</f>
        <v/>
      </c>
      <c r="M237" s="60" t="str">
        <f>IF(A237="","",IF(COUNTIFS(jr_num,A237,jr_check,"&lt;&gt;OK")&gt;0,"À vérifier",IF(LEFT(A237,2)="BL",IF(COUNTIFS(jr_num,A237,jr_rel,"&gt;0")&gt;0,"Reliquat en cours",IF(COUNTIFS(jr_num,A237,jr_gap,"&lt;0")&gt;0,"Reliquat livré","Complet")),IF(LEFT(A237,2)="BR",IF(COUNTIFS(jr_num,A237,jr_etat,"Refusé")&gt;0,"Refusé",IF(COUNTIFS(jr_num,A237,jr_etat,"Avec réserves")&gt;0,"Avec réserves",IF(COUNTIFS(jr_num,A237,jr_rel,"&gt;0")&gt;0,"Reliquat en cours",IF(COUNTIFS(jr_num,A237,jr_gap,"&lt;0")+COUNTIFS(jr_num,A237,jr_gap,"&gt;0")&gt;0,"Écart","Conforme")))),IF(COUNTIFS(jr_num,A237,jr_gap,"&lt;0")&gt;0,"Partiel","Sorti")))))</f>
        <v/>
      </c>
      <c r="O237" t="str">
        <f>IFERROR(MATCH(232,jr_grank,0),"")</f>
        <v/>
      </c>
      <c r="R237" s="67" t="str">
        <f>IFERROR(INDEX(jr_num,MATCH("BL232",jr_nkey,0))&amp;"","")</f>
        <v/>
      </c>
      <c r="S237" s="67" t="str">
        <f>IFERROR(INDEX(jr_num,MATCH("BR232",jr_nkey,0))&amp;"","")</f>
        <v/>
      </c>
      <c r="T237" s="67" t="str">
        <f>IFERROR(INDEX(jr_num,MATCH("BS232",jr_nkey,0))&amp;"","")</f>
        <v/>
      </c>
    </row>
    <row r="238">
      <c r="A238" s="60" t="str">
        <f>IF($O238="","",INDEX(jr_num,$O238)&amp;"")</f>
        <v/>
      </c>
      <c r="B238" s="60" t="str">
        <f>IF($O238="","",IF(INDEX(jr_type,$O238)="BL","Livraison",IF(INDEX(jr_type,$O238)="BR","Réception","Sortie")))</f>
        <v/>
      </c>
      <c r="C238" s="65" t="str">
        <f>IF($O238="","",INDEX(jr_date,$O238))</f>
        <v/>
      </c>
      <c r="D238" s="60" t="str">
        <f>IF($O238="","",INDEX(jr_tiers,$O238)&amp;"")</f>
        <v/>
      </c>
      <c r="E238" s="57" t="str">
        <f>IF($O238="","",INDEX(jr_name,$O238)&amp;"")</f>
        <v/>
      </c>
      <c r="F238" s="57" t="str">
        <f>IF($O238="","",INDEX(jr_order,$O238)&amp;"")</f>
        <v/>
      </c>
      <c r="G238" s="57" t="str">
        <f>IF($O238="","",INDEX(jr_ext,$O238)&amp;"")</f>
        <v/>
      </c>
      <c r="H238" s="57" t="str">
        <f>IF($O238="","",INDEX(jr_carrier,$O238)&amp;"")</f>
        <v/>
      </c>
      <c r="I238" s="66" t="str">
        <f>IF(A238="","",COUNTIF(jr_num,A238))</f>
        <v/>
      </c>
      <c r="J238" s="66" t="str">
        <f>IF(A238="","",SUMIF(jr_num,A238,jr_colis))</f>
        <v/>
      </c>
      <c r="K238" s="63" t="str">
        <f>IF(A238="","",SUMIF(jr_num,A238,jr_kg))</f>
        <v/>
      </c>
      <c r="L238" s="64" t="str">
        <f>IF(A238="","",SUMIF(jr_num,A238,jr_val))</f>
        <v/>
      </c>
      <c r="M238" s="60" t="str">
        <f>IF(A238="","",IF(COUNTIFS(jr_num,A238,jr_check,"&lt;&gt;OK")&gt;0,"À vérifier",IF(LEFT(A238,2)="BL",IF(COUNTIFS(jr_num,A238,jr_rel,"&gt;0")&gt;0,"Reliquat en cours",IF(COUNTIFS(jr_num,A238,jr_gap,"&lt;0")&gt;0,"Reliquat livré","Complet")),IF(LEFT(A238,2)="BR",IF(COUNTIFS(jr_num,A238,jr_etat,"Refusé")&gt;0,"Refusé",IF(COUNTIFS(jr_num,A238,jr_etat,"Avec réserves")&gt;0,"Avec réserves",IF(COUNTIFS(jr_num,A238,jr_rel,"&gt;0")&gt;0,"Reliquat en cours",IF(COUNTIFS(jr_num,A238,jr_gap,"&lt;0")+COUNTIFS(jr_num,A238,jr_gap,"&gt;0")&gt;0,"Écart","Conforme")))),IF(COUNTIFS(jr_num,A238,jr_gap,"&lt;0")&gt;0,"Partiel","Sorti")))))</f>
        <v/>
      </c>
      <c r="O238" t="str">
        <f>IFERROR(MATCH(233,jr_grank,0),"")</f>
        <v/>
      </c>
      <c r="R238" s="67" t="str">
        <f>IFERROR(INDEX(jr_num,MATCH("BL233",jr_nkey,0))&amp;"","")</f>
        <v/>
      </c>
      <c r="S238" s="67" t="str">
        <f>IFERROR(INDEX(jr_num,MATCH("BR233",jr_nkey,0))&amp;"","")</f>
        <v/>
      </c>
      <c r="T238" s="67" t="str">
        <f>IFERROR(INDEX(jr_num,MATCH("BS233",jr_nkey,0))&amp;"","")</f>
        <v/>
      </c>
    </row>
    <row r="239">
      <c r="A239" s="60" t="str">
        <f>IF($O239="","",INDEX(jr_num,$O239)&amp;"")</f>
        <v/>
      </c>
      <c r="B239" s="60" t="str">
        <f>IF($O239="","",IF(INDEX(jr_type,$O239)="BL","Livraison",IF(INDEX(jr_type,$O239)="BR","Réception","Sortie")))</f>
        <v/>
      </c>
      <c r="C239" s="65" t="str">
        <f>IF($O239="","",INDEX(jr_date,$O239))</f>
        <v/>
      </c>
      <c r="D239" s="60" t="str">
        <f>IF($O239="","",INDEX(jr_tiers,$O239)&amp;"")</f>
        <v/>
      </c>
      <c r="E239" s="57" t="str">
        <f>IF($O239="","",INDEX(jr_name,$O239)&amp;"")</f>
        <v/>
      </c>
      <c r="F239" s="57" t="str">
        <f>IF($O239="","",INDEX(jr_order,$O239)&amp;"")</f>
        <v/>
      </c>
      <c r="G239" s="57" t="str">
        <f>IF($O239="","",INDEX(jr_ext,$O239)&amp;"")</f>
        <v/>
      </c>
      <c r="H239" s="57" t="str">
        <f>IF($O239="","",INDEX(jr_carrier,$O239)&amp;"")</f>
        <v/>
      </c>
      <c r="I239" s="66" t="str">
        <f>IF(A239="","",COUNTIF(jr_num,A239))</f>
        <v/>
      </c>
      <c r="J239" s="66" t="str">
        <f>IF(A239="","",SUMIF(jr_num,A239,jr_colis))</f>
        <v/>
      </c>
      <c r="K239" s="63" t="str">
        <f>IF(A239="","",SUMIF(jr_num,A239,jr_kg))</f>
        <v/>
      </c>
      <c r="L239" s="64" t="str">
        <f>IF(A239="","",SUMIF(jr_num,A239,jr_val))</f>
        <v/>
      </c>
      <c r="M239" s="60" t="str">
        <f>IF(A239="","",IF(COUNTIFS(jr_num,A239,jr_check,"&lt;&gt;OK")&gt;0,"À vérifier",IF(LEFT(A239,2)="BL",IF(COUNTIFS(jr_num,A239,jr_rel,"&gt;0")&gt;0,"Reliquat en cours",IF(COUNTIFS(jr_num,A239,jr_gap,"&lt;0")&gt;0,"Reliquat livré","Complet")),IF(LEFT(A239,2)="BR",IF(COUNTIFS(jr_num,A239,jr_etat,"Refusé")&gt;0,"Refusé",IF(COUNTIFS(jr_num,A239,jr_etat,"Avec réserves")&gt;0,"Avec réserves",IF(COUNTIFS(jr_num,A239,jr_rel,"&gt;0")&gt;0,"Reliquat en cours",IF(COUNTIFS(jr_num,A239,jr_gap,"&lt;0")+COUNTIFS(jr_num,A239,jr_gap,"&gt;0")&gt;0,"Écart","Conforme")))),IF(COUNTIFS(jr_num,A239,jr_gap,"&lt;0")&gt;0,"Partiel","Sorti")))))</f>
        <v/>
      </c>
      <c r="O239" t="str">
        <f>IFERROR(MATCH(234,jr_grank,0),"")</f>
        <v/>
      </c>
      <c r="R239" s="67" t="str">
        <f>IFERROR(INDEX(jr_num,MATCH("BL234",jr_nkey,0))&amp;"","")</f>
        <v/>
      </c>
      <c r="S239" s="67" t="str">
        <f>IFERROR(INDEX(jr_num,MATCH("BR234",jr_nkey,0))&amp;"","")</f>
        <v/>
      </c>
      <c r="T239" s="67" t="str">
        <f>IFERROR(INDEX(jr_num,MATCH("BS234",jr_nkey,0))&amp;"","")</f>
        <v/>
      </c>
    </row>
    <row r="240">
      <c r="A240" s="60" t="str">
        <f>IF($O240="","",INDEX(jr_num,$O240)&amp;"")</f>
        <v/>
      </c>
      <c r="B240" s="60" t="str">
        <f>IF($O240="","",IF(INDEX(jr_type,$O240)="BL","Livraison",IF(INDEX(jr_type,$O240)="BR","Réception","Sortie")))</f>
        <v/>
      </c>
      <c r="C240" s="65" t="str">
        <f>IF($O240="","",INDEX(jr_date,$O240))</f>
        <v/>
      </c>
      <c r="D240" s="60" t="str">
        <f>IF($O240="","",INDEX(jr_tiers,$O240)&amp;"")</f>
        <v/>
      </c>
      <c r="E240" s="57" t="str">
        <f>IF($O240="","",INDEX(jr_name,$O240)&amp;"")</f>
        <v/>
      </c>
      <c r="F240" s="57" t="str">
        <f>IF($O240="","",INDEX(jr_order,$O240)&amp;"")</f>
        <v/>
      </c>
      <c r="G240" s="57" t="str">
        <f>IF($O240="","",INDEX(jr_ext,$O240)&amp;"")</f>
        <v/>
      </c>
      <c r="H240" s="57" t="str">
        <f>IF($O240="","",INDEX(jr_carrier,$O240)&amp;"")</f>
        <v/>
      </c>
      <c r="I240" s="66" t="str">
        <f>IF(A240="","",COUNTIF(jr_num,A240))</f>
        <v/>
      </c>
      <c r="J240" s="66" t="str">
        <f>IF(A240="","",SUMIF(jr_num,A240,jr_colis))</f>
        <v/>
      </c>
      <c r="K240" s="63" t="str">
        <f>IF(A240="","",SUMIF(jr_num,A240,jr_kg))</f>
        <v/>
      </c>
      <c r="L240" s="64" t="str">
        <f>IF(A240="","",SUMIF(jr_num,A240,jr_val))</f>
        <v/>
      </c>
      <c r="M240" s="60" t="str">
        <f>IF(A240="","",IF(COUNTIFS(jr_num,A240,jr_check,"&lt;&gt;OK")&gt;0,"À vérifier",IF(LEFT(A240,2)="BL",IF(COUNTIFS(jr_num,A240,jr_rel,"&gt;0")&gt;0,"Reliquat en cours",IF(COUNTIFS(jr_num,A240,jr_gap,"&lt;0")&gt;0,"Reliquat livré","Complet")),IF(LEFT(A240,2)="BR",IF(COUNTIFS(jr_num,A240,jr_etat,"Refusé")&gt;0,"Refusé",IF(COUNTIFS(jr_num,A240,jr_etat,"Avec réserves")&gt;0,"Avec réserves",IF(COUNTIFS(jr_num,A240,jr_rel,"&gt;0")&gt;0,"Reliquat en cours",IF(COUNTIFS(jr_num,A240,jr_gap,"&lt;0")+COUNTIFS(jr_num,A240,jr_gap,"&gt;0")&gt;0,"Écart","Conforme")))),IF(COUNTIFS(jr_num,A240,jr_gap,"&lt;0")&gt;0,"Partiel","Sorti")))))</f>
        <v/>
      </c>
      <c r="O240" t="str">
        <f>IFERROR(MATCH(235,jr_grank,0),"")</f>
        <v/>
      </c>
      <c r="R240" s="67" t="str">
        <f>IFERROR(INDEX(jr_num,MATCH("BL235",jr_nkey,0))&amp;"","")</f>
        <v/>
      </c>
      <c r="S240" s="67" t="str">
        <f>IFERROR(INDEX(jr_num,MATCH("BR235",jr_nkey,0))&amp;"","")</f>
        <v/>
      </c>
      <c r="T240" s="67" t="str">
        <f>IFERROR(INDEX(jr_num,MATCH("BS235",jr_nkey,0))&amp;"","")</f>
        <v/>
      </c>
    </row>
    <row r="241">
      <c r="A241" s="60" t="str">
        <f>IF($O241="","",INDEX(jr_num,$O241)&amp;"")</f>
        <v/>
      </c>
      <c r="B241" s="60" t="str">
        <f>IF($O241="","",IF(INDEX(jr_type,$O241)="BL","Livraison",IF(INDEX(jr_type,$O241)="BR","Réception","Sortie")))</f>
        <v/>
      </c>
      <c r="C241" s="65" t="str">
        <f>IF($O241="","",INDEX(jr_date,$O241))</f>
        <v/>
      </c>
      <c r="D241" s="60" t="str">
        <f>IF($O241="","",INDEX(jr_tiers,$O241)&amp;"")</f>
        <v/>
      </c>
      <c r="E241" s="57" t="str">
        <f>IF($O241="","",INDEX(jr_name,$O241)&amp;"")</f>
        <v/>
      </c>
      <c r="F241" s="57" t="str">
        <f>IF($O241="","",INDEX(jr_order,$O241)&amp;"")</f>
        <v/>
      </c>
      <c r="G241" s="57" t="str">
        <f>IF($O241="","",INDEX(jr_ext,$O241)&amp;"")</f>
        <v/>
      </c>
      <c r="H241" s="57" t="str">
        <f>IF($O241="","",INDEX(jr_carrier,$O241)&amp;"")</f>
        <v/>
      </c>
      <c r="I241" s="66" t="str">
        <f>IF(A241="","",COUNTIF(jr_num,A241))</f>
        <v/>
      </c>
      <c r="J241" s="66" t="str">
        <f>IF(A241="","",SUMIF(jr_num,A241,jr_colis))</f>
        <v/>
      </c>
      <c r="K241" s="63" t="str">
        <f>IF(A241="","",SUMIF(jr_num,A241,jr_kg))</f>
        <v/>
      </c>
      <c r="L241" s="64" t="str">
        <f>IF(A241="","",SUMIF(jr_num,A241,jr_val))</f>
        <v/>
      </c>
      <c r="M241" s="60" t="str">
        <f>IF(A241="","",IF(COUNTIFS(jr_num,A241,jr_check,"&lt;&gt;OK")&gt;0,"À vérifier",IF(LEFT(A241,2)="BL",IF(COUNTIFS(jr_num,A241,jr_rel,"&gt;0")&gt;0,"Reliquat en cours",IF(COUNTIFS(jr_num,A241,jr_gap,"&lt;0")&gt;0,"Reliquat livré","Complet")),IF(LEFT(A241,2)="BR",IF(COUNTIFS(jr_num,A241,jr_etat,"Refusé")&gt;0,"Refusé",IF(COUNTIFS(jr_num,A241,jr_etat,"Avec réserves")&gt;0,"Avec réserves",IF(COUNTIFS(jr_num,A241,jr_rel,"&gt;0")&gt;0,"Reliquat en cours",IF(COUNTIFS(jr_num,A241,jr_gap,"&lt;0")+COUNTIFS(jr_num,A241,jr_gap,"&gt;0")&gt;0,"Écart","Conforme")))),IF(COUNTIFS(jr_num,A241,jr_gap,"&lt;0")&gt;0,"Partiel","Sorti")))))</f>
        <v/>
      </c>
      <c r="O241" t="str">
        <f>IFERROR(MATCH(236,jr_grank,0),"")</f>
        <v/>
      </c>
      <c r="R241" s="67" t="str">
        <f>IFERROR(INDEX(jr_num,MATCH("BL236",jr_nkey,0))&amp;"","")</f>
        <v/>
      </c>
      <c r="S241" s="67" t="str">
        <f>IFERROR(INDEX(jr_num,MATCH("BR236",jr_nkey,0))&amp;"","")</f>
        <v/>
      </c>
      <c r="T241" s="67" t="str">
        <f>IFERROR(INDEX(jr_num,MATCH("BS236",jr_nkey,0))&amp;"","")</f>
        <v/>
      </c>
    </row>
    <row r="242">
      <c r="A242" s="60" t="str">
        <f>IF($O242="","",INDEX(jr_num,$O242)&amp;"")</f>
        <v/>
      </c>
      <c r="B242" s="60" t="str">
        <f>IF($O242="","",IF(INDEX(jr_type,$O242)="BL","Livraison",IF(INDEX(jr_type,$O242)="BR","Réception","Sortie")))</f>
        <v/>
      </c>
      <c r="C242" s="65" t="str">
        <f>IF($O242="","",INDEX(jr_date,$O242))</f>
        <v/>
      </c>
      <c r="D242" s="60" t="str">
        <f>IF($O242="","",INDEX(jr_tiers,$O242)&amp;"")</f>
        <v/>
      </c>
      <c r="E242" s="57" t="str">
        <f>IF($O242="","",INDEX(jr_name,$O242)&amp;"")</f>
        <v/>
      </c>
      <c r="F242" s="57" t="str">
        <f>IF($O242="","",INDEX(jr_order,$O242)&amp;"")</f>
        <v/>
      </c>
      <c r="G242" s="57" t="str">
        <f>IF($O242="","",INDEX(jr_ext,$O242)&amp;"")</f>
        <v/>
      </c>
      <c r="H242" s="57" t="str">
        <f>IF($O242="","",INDEX(jr_carrier,$O242)&amp;"")</f>
        <v/>
      </c>
      <c r="I242" s="66" t="str">
        <f>IF(A242="","",COUNTIF(jr_num,A242))</f>
        <v/>
      </c>
      <c r="J242" s="66" t="str">
        <f>IF(A242="","",SUMIF(jr_num,A242,jr_colis))</f>
        <v/>
      </c>
      <c r="K242" s="63" t="str">
        <f>IF(A242="","",SUMIF(jr_num,A242,jr_kg))</f>
        <v/>
      </c>
      <c r="L242" s="64" t="str">
        <f>IF(A242="","",SUMIF(jr_num,A242,jr_val))</f>
        <v/>
      </c>
      <c r="M242" s="60" t="str">
        <f>IF(A242="","",IF(COUNTIFS(jr_num,A242,jr_check,"&lt;&gt;OK")&gt;0,"À vérifier",IF(LEFT(A242,2)="BL",IF(COUNTIFS(jr_num,A242,jr_rel,"&gt;0")&gt;0,"Reliquat en cours",IF(COUNTIFS(jr_num,A242,jr_gap,"&lt;0")&gt;0,"Reliquat livré","Complet")),IF(LEFT(A242,2)="BR",IF(COUNTIFS(jr_num,A242,jr_etat,"Refusé")&gt;0,"Refusé",IF(COUNTIFS(jr_num,A242,jr_etat,"Avec réserves")&gt;0,"Avec réserves",IF(COUNTIFS(jr_num,A242,jr_rel,"&gt;0")&gt;0,"Reliquat en cours",IF(COUNTIFS(jr_num,A242,jr_gap,"&lt;0")+COUNTIFS(jr_num,A242,jr_gap,"&gt;0")&gt;0,"Écart","Conforme")))),IF(COUNTIFS(jr_num,A242,jr_gap,"&lt;0")&gt;0,"Partiel","Sorti")))))</f>
        <v/>
      </c>
      <c r="O242" t="str">
        <f>IFERROR(MATCH(237,jr_grank,0),"")</f>
        <v/>
      </c>
      <c r="R242" s="67" t="str">
        <f>IFERROR(INDEX(jr_num,MATCH("BL237",jr_nkey,0))&amp;"","")</f>
        <v/>
      </c>
      <c r="S242" s="67" t="str">
        <f>IFERROR(INDEX(jr_num,MATCH("BR237",jr_nkey,0))&amp;"","")</f>
        <v/>
      </c>
      <c r="T242" s="67" t="str">
        <f>IFERROR(INDEX(jr_num,MATCH("BS237",jr_nkey,0))&amp;"","")</f>
        <v/>
      </c>
    </row>
    <row r="243">
      <c r="A243" s="60" t="str">
        <f>IF($O243="","",INDEX(jr_num,$O243)&amp;"")</f>
        <v/>
      </c>
      <c r="B243" s="60" t="str">
        <f>IF($O243="","",IF(INDEX(jr_type,$O243)="BL","Livraison",IF(INDEX(jr_type,$O243)="BR","Réception","Sortie")))</f>
        <v/>
      </c>
      <c r="C243" s="65" t="str">
        <f>IF($O243="","",INDEX(jr_date,$O243))</f>
        <v/>
      </c>
      <c r="D243" s="60" t="str">
        <f>IF($O243="","",INDEX(jr_tiers,$O243)&amp;"")</f>
        <v/>
      </c>
      <c r="E243" s="57" t="str">
        <f>IF($O243="","",INDEX(jr_name,$O243)&amp;"")</f>
        <v/>
      </c>
      <c r="F243" s="57" t="str">
        <f>IF($O243="","",INDEX(jr_order,$O243)&amp;"")</f>
        <v/>
      </c>
      <c r="G243" s="57" t="str">
        <f>IF($O243="","",INDEX(jr_ext,$O243)&amp;"")</f>
        <v/>
      </c>
      <c r="H243" s="57" t="str">
        <f>IF($O243="","",INDEX(jr_carrier,$O243)&amp;"")</f>
        <v/>
      </c>
      <c r="I243" s="66" t="str">
        <f>IF(A243="","",COUNTIF(jr_num,A243))</f>
        <v/>
      </c>
      <c r="J243" s="66" t="str">
        <f>IF(A243="","",SUMIF(jr_num,A243,jr_colis))</f>
        <v/>
      </c>
      <c r="K243" s="63" t="str">
        <f>IF(A243="","",SUMIF(jr_num,A243,jr_kg))</f>
        <v/>
      </c>
      <c r="L243" s="64" t="str">
        <f>IF(A243="","",SUMIF(jr_num,A243,jr_val))</f>
        <v/>
      </c>
      <c r="M243" s="60" t="str">
        <f>IF(A243="","",IF(COUNTIFS(jr_num,A243,jr_check,"&lt;&gt;OK")&gt;0,"À vérifier",IF(LEFT(A243,2)="BL",IF(COUNTIFS(jr_num,A243,jr_rel,"&gt;0")&gt;0,"Reliquat en cours",IF(COUNTIFS(jr_num,A243,jr_gap,"&lt;0")&gt;0,"Reliquat livré","Complet")),IF(LEFT(A243,2)="BR",IF(COUNTIFS(jr_num,A243,jr_etat,"Refusé")&gt;0,"Refusé",IF(COUNTIFS(jr_num,A243,jr_etat,"Avec réserves")&gt;0,"Avec réserves",IF(COUNTIFS(jr_num,A243,jr_rel,"&gt;0")&gt;0,"Reliquat en cours",IF(COUNTIFS(jr_num,A243,jr_gap,"&lt;0")+COUNTIFS(jr_num,A243,jr_gap,"&gt;0")&gt;0,"Écart","Conforme")))),IF(COUNTIFS(jr_num,A243,jr_gap,"&lt;0")&gt;0,"Partiel","Sorti")))))</f>
        <v/>
      </c>
      <c r="O243" t="str">
        <f>IFERROR(MATCH(238,jr_grank,0),"")</f>
        <v/>
      </c>
      <c r="R243" s="67" t="str">
        <f>IFERROR(INDEX(jr_num,MATCH("BL238",jr_nkey,0))&amp;"","")</f>
        <v/>
      </c>
      <c r="S243" s="67" t="str">
        <f>IFERROR(INDEX(jr_num,MATCH("BR238",jr_nkey,0))&amp;"","")</f>
        <v/>
      </c>
      <c r="T243" s="67" t="str">
        <f>IFERROR(INDEX(jr_num,MATCH("BS238",jr_nkey,0))&amp;"","")</f>
        <v/>
      </c>
    </row>
    <row r="244">
      <c r="A244" s="60" t="str">
        <f>IF($O244="","",INDEX(jr_num,$O244)&amp;"")</f>
        <v/>
      </c>
      <c r="B244" s="60" t="str">
        <f>IF($O244="","",IF(INDEX(jr_type,$O244)="BL","Livraison",IF(INDEX(jr_type,$O244)="BR","Réception","Sortie")))</f>
        <v/>
      </c>
      <c r="C244" s="65" t="str">
        <f>IF($O244="","",INDEX(jr_date,$O244))</f>
        <v/>
      </c>
      <c r="D244" s="60" t="str">
        <f>IF($O244="","",INDEX(jr_tiers,$O244)&amp;"")</f>
        <v/>
      </c>
      <c r="E244" s="57" t="str">
        <f>IF($O244="","",INDEX(jr_name,$O244)&amp;"")</f>
        <v/>
      </c>
      <c r="F244" s="57" t="str">
        <f>IF($O244="","",INDEX(jr_order,$O244)&amp;"")</f>
        <v/>
      </c>
      <c r="G244" s="57" t="str">
        <f>IF($O244="","",INDEX(jr_ext,$O244)&amp;"")</f>
        <v/>
      </c>
      <c r="H244" s="57" t="str">
        <f>IF($O244="","",INDEX(jr_carrier,$O244)&amp;"")</f>
        <v/>
      </c>
      <c r="I244" s="66" t="str">
        <f>IF(A244="","",COUNTIF(jr_num,A244))</f>
        <v/>
      </c>
      <c r="J244" s="66" t="str">
        <f>IF(A244="","",SUMIF(jr_num,A244,jr_colis))</f>
        <v/>
      </c>
      <c r="K244" s="63" t="str">
        <f>IF(A244="","",SUMIF(jr_num,A244,jr_kg))</f>
        <v/>
      </c>
      <c r="L244" s="64" t="str">
        <f>IF(A244="","",SUMIF(jr_num,A244,jr_val))</f>
        <v/>
      </c>
      <c r="M244" s="60" t="str">
        <f>IF(A244="","",IF(COUNTIFS(jr_num,A244,jr_check,"&lt;&gt;OK")&gt;0,"À vérifier",IF(LEFT(A244,2)="BL",IF(COUNTIFS(jr_num,A244,jr_rel,"&gt;0")&gt;0,"Reliquat en cours",IF(COUNTIFS(jr_num,A244,jr_gap,"&lt;0")&gt;0,"Reliquat livré","Complet")),IF(LEFT(A244,2)="BR",IF(COUNTIFS(jr_num,A244,jr_etat,"Refusé")&gt;0,"Refusé",IF(COUNTIFS(jr_num,A244,jr_etat,"Avec réserves")&gt;0,"Avec réserves",IF(COUNTIFS(jr_num,A244,jr_rel,"&gt;0")&gt;0,"Reliquat en cours",IF(COUNTIFS(jr_num,A244,jr_gap,"&lt;0")+COUNTIFS(jr_num,A244,jr_gap,"&gt;0")&gt;0,"Écart","Conforme")))),IF(COUNTIFS(jr_num,A244,jr_gap,"&lt;0")&gt;0,"Partiel","Sorti")))))</f>
        <v/>
      </c>
      <c r="O244" t="str">
        <f>IFERROR(MATCH(239,jr_grank,0),"")</f>
        <v/>
      </c>
      <c r="R244" s="67" t="str">
        <f>IFERROR(INDEX(jr_num,MATCH("BL239",jr_nkey,0))&amp;"","")</f>
        <v/>
      </c>
      <c r="S244" s="67" t="str">
        <f>IFERROR(INDEX(jr_num,MATCH("BR239",jr_nkey,0))&amp;"","")</f>
        <v/>
      </c>
      <c r="T244" s="67" t="str">
        <f>IFERROR(INDEX(jr_num,MATCH("BS239",jr_nkey,0))&amp;"","")</f>
        <v/>
      </c>
    </row>
    <row r="245">
      <c r="A245" s="60" t="str">
        <f>IF($O245="","",INDEX(jr_num,$O245)&amp;"")</f>
        <v/>
      </c>
      <c r="B245" s="60" t="str">
        <f>IF($O245="","",IF(INDEX(jr_type,$O245)="BL","Livraison",IF(INDEX(jr_type,$O245)="BR","Réception","Sortie")))</f>
        <v/>
      </c>
      <c r="C245" s="65" t="str">
        <f>IF($O245="","",INDEX(jr_date,$O245))</f>
        <v/>
      </c>
      <c r="D245" s="60" t="str">
        <f>IF($O245="","",INDEX(jr_tiers,$O245)&amp;"")</f>
        <v/>
      </c>
      <c r="E245" s="57" t="str">
        <f>IF($O245="","",INDEX(jr_name,$O245)&amp;"")</f>
        <v/>
      </c>
      <c r="F245" s="57" t="str">
        <f>IF($O245="","",INDEX(jr_order,$O245)&amp;"")</f>
        <v/>
      </c>
      <c r="G245" s="57" t="str">
        <f>IF($O245="","",INDEX(jr_ext,$O245)&amp;"")</f>
        <v/>
      </c>
      <c r="H245" s="57" t="str">
        <f>IF($O245="","",INDEX(jr_carrier,$O245)&amp;"")</f>
        <v/>
      </c>
      <c r="I245" s="66" t="str">
        <f>IF(A245="","",COUNTIF(jr_num,A245))</f>
        <v/>
      </c>
      <c r="J245" s="66" t="str">
        <f>IF(A245="","",SUMIF(jr_num,A245,jr_colis))</f>
        <v/>
      </c>
      <c r="K245" s="63" t="str">
        <f>IF(A245="","",SUMIF(jr_num,A245,jr_kg))</f>
        <v/>
      </c>
      <c r="L245" s="64" t="str">
        <f>IF(A245="","",SUMIF(jr_num,A245,jr_val))</f>
        <v/>
      </c>
      <c r="M245" s="60" t="str">
        <f>IF(A245="","",IF(COUNTIFS(jr_num,A245,jr_check,"&lt;&gt;OK")&gt;0,"À vérifier",IF(LEFT(A245,2)="BL",IF(COUNTIFS(jr_num,A245,jr_rel,"&gt;0")&gt;0,"Reliquat en cours",IF(COUNTIFS(jr_num,A245,jr_gap,"&lt;0")&gt;0,"Reliquat livré","Complet")),IF(LEFT(A245,2)="BR",IF(COUNTIFS(jr_num,A245,jr_etat,"Refusé")&gt;0,"Refusé",IF(COUNTIFS(jr_num,A245,jr_etat,"Avec réserves")&gt;0,"Avec réserves",IF(COUNTIFS(jr_num,A245,jr_rel,"&gt;0")&gt;0,"Reliquat en cours",IF(COUNTIFS(jr_num,A245,jr_gap,"&lt;0")+COUNTIFS(jr_num,A245,jr_gap,"&gt;0")&gt;0,"Écart","Conforme")))),IF(COUNTIFS(jr_num,A245,jr_gap,"&lt;0")&gt;0,"Partiel","Sorti")))))</f>
        <v/>
      </c>
      <c r="O245" t="str">
        <f>IFERROR(MATCH(240,jr_grank,0),"")</f>
        <v/>
      </c>
      <c r="R245" s="67" t="str">
        <f>IFERROR(INDEX(jr_num,MATCH("BL240",jr_nkey,0))&amp;"","")</f>
        <v/>
      </c>
      <c r="S245" s="67" t="str">
        <f>IFERROR(INDEX(jr_num,MATCH("BR240",jr_nkey,0))&amp;"","")</f>
        <v/>
      </c>
      <c r="T245" s="67" t="str">
        <f>IFERROR(INDEX(jr_num,MATCH("BS240",jr_nkey,0))&amp;"","")</f>
        <v/>
      </c>
    </row>
    <row r="246">
      <c r="A246" s="60" t="str">
        <f>IF($O246="","",INDEX(jr_num,$O246)&amp;"")</f>
        <v/>
      </c>
      <c r="B246" s="60" t="str">
        <f>IF($O246="","",IF(INDEX(jr_type,$O246)="BL","Livraison",IF(INDEX(jr_type,$O246)="BR","Réception","Sortie")))</f>
        <v/>
      </c>
      <c r="C246" s="65" t="str">
        <f>IF($O246="","",INDEX(jr_date,$O246))</f>
        <v/>
      </c>
      <c r="D246" s="60" t="str">
        <f>IF($O246="","",INDEX(jr_tiers,$O246)&amp;"")</f>
        <v/>
      </c>
      <c r="E246" s="57" t="str">
        <f>IF($O246="","",INDEX(jr_name,$O246)&amp;"")</f>
        <v/>
      </c>
      <c r="F246" s="57" t="str">
        <f>IF($O246="","",INDEX(jr_order,$O246)&amp;"")</f>
        <v/>
      </c>
      <c r="G246" s="57" t="str">
        <f>IF($O246="","",INDEX(jr_ext,$O246)&amp;"")</f>
        <v/>
      </c>
      <c r="H246" s="57" t="str">
        <f>IF($O246="","",INDEX(jr_carrier,$O246)&amp;"")</f>
        <v/>
      </c>
      <c r="I246" s="66" t="str">
        <f>IF(A246="","",COUNTIF(jr_num,A246))</f>
        <v/>
      </c>
      <c r="J246" s="66" t="str">
        <f>IF(A246="","",SUMIF(jr_num,A246,jr_colis))</f>
        <v/>
      </c>
      <c r="K246" s="63" t="str">
        <f>IF(A246="","",SUMIF(jr_num,A246,jr_kg))</f>
        <v/>
      </c>
      <c r="L246" s="64" t="str">
        <f>IF(A246="","",SUMIF(jr_num,A246,jr_val))</f>
        <v/>
      </c>
      <c r="M246" s="60" t="str">
        <f>IF(A246="","",IF(COUNTIFS(jr_num,A246,jr_check,"&lt;&gt;OK")&gt;0,"À vérifier",IF(LEFT(A246,2)="BL",IF(COUNTIFS(jr_num,A246,jr_rel,"&gt;0")&gt;0,"Reliquat en cours",IF(COUNTIFS(jr_num,A246,jr_gap,"&lt;0")&gt;0,"Reliquat livré","Complet")),IF(LEFT(A246,2)="BR",IF(COUNTIFS(jr_num,A246,jr_etat,"Refusé")&gt;0,"Refusé",IF(COUNTIFS(jr_num,A246,jr_etat,"Avec réserves")&gt;0,"Avec réserves",IF(COUNTIFS(jr_num,A246,jr_rel,"&gt;0")&gt;0,"Reliquat en cours",IF(COUNTIFS(jr_num,A246,jr_gap,"&lt;0")+COUNTIFS(jr_num,A246,jr_gap,"&gt;0")&gt;0,"Écart","Conforme")))),IF(COUNTIFS(jr_num,A246,jr_gap,"&lt;0")&gt;0,"Partiel","Sorti")))))</f>
        <v/>
      </c>
      <c r="O246" t="str">
        <f>IFERROR(MATCH(241,jr_grank,0),"")</f>
        <v/>
      </c>
      <c r="R246" s="67" t="str">
        <f>IFERROR(INDEX(jr_num,MATCH("BL241",jr_nkey,0))&amp;"","")</f>
        <v/>
      </c>
      <c r="S246" s="67" t="str">
        <f>IFERROR(INDEX(jr_num,MATCH("BR241",jr_nkey,0))&amp;"","")</f>
        <v/>
      </c>
      <c r="T246" s="67" t="str">
        <f>IFERROR(INDEX(jr_num,MATCH("BS241",jr_nkey,0))&amp;"","")</f>
        <v/>
      </c>
    </row>
    <row r="247">
      <c r="A247" s="60" t="str">
        <f>IF($O247="","",INDEX(jr_num,$O247)&amp;"")</f>
        <v/>
      </c>
      <c r="B247" s="60" t="str">
        <f>IF($O247="","",IF(INDEX(jr_type,$O247)="BL","Livraison",IF(INDEX(jr_type,$O247)="BR","Réception","Sortie")))</f>
        <v/>
      </c>
      <c r="C247" s="65" t="str">
        <f>IF($O247="","",INDEX(jr_date,$O247))</f>
        <v/>
      </c>
      <c r="D247" s="60" t="str">
        <f>IF($O247="","",INDEX(jr_tiers,$O247)&amp;"")</f>
        <v/>
      </c>
      <c r="E247" s="57" t="str">
        <f>IF($O247="","",INDEX(jr_name,$O247)&amp;"")</f>
        <v/>
      </c>
      <c r="F247" s="57" t="str">
        <f>IF($O247="","",INDEX(jr_order,$O247)&amp;"")</f>
        <v/>
      </c>
      <c r="G247" s="57" t="str">
        <f>IF($O247="","",INDEX(jr_ext,$O247)&amp;"")</f>
        <v/>
      </c>
      <c r="H247" s="57" t="str">
        <f>IF($O247="","",INDEX(jr_carrier,$O247)&amp;"")</f>
        <v/>
      </c>
      <c r="I247" s="66" t="str">
        <f>IF(A247="","",COUNTIF(jr_num,A247))</f>
        <v/>
      </c>
      <c r="J247" s="66" t="str">
        <f>IF(A247="","",SUMIF(jr_num,A247,jr_colis))</f>
        <v/>
      </c>
      <c r="K247" s="63" t="str">
        <f>IF(A247="","",SUMIF(jr_num,A247,jr_kg))</f>
        <v/>
      </c>
      <c r="L247" s="64" t="str">
        <f>IF(A247="","",SUMIF(jr_num,A247,jr_val))</f>
        <v/>
      </c>
      <c r="M247" s="60" t="str">
        <f>IF(A247="","",IF(COUNTIFS(jr_num,A247,jr_check,"&lt;&gt;OK")&gt;0,"À vérifier",IF(LEFT(A247,2)="BL",IF(COUNTIFS(jr_num,A247,jr_rel,"&gt;0")&gt;0,"Reliquat en cours",IF(COUNTIFS(jr_num,A247,jr_gap,"&lt;0")&gt;0,"Reliquat livré","Complet")),IF(LEFT(A247,2)="BR",IF(COUNTIFS(jr_num,A247,jr_etat,"Refusé")&gt;0,"Refusé",IF(COUNTIFS(jr_num,A247,jr_etat,"Avec réserves")&gt;0,"Avec réserves",IF(COUNTIFS(jr_num,A247,jr_rel,"&gt;0")&gt;0,"Reliquat en cours",IF(COUNTIFS(jr_num,A247,jr_gap,"&lt;0")+COUNTIFS(jr_num,A247,jr_gap,"&gt;0")&gt;0,"Écart","Conforme")))),IF(COUNTIFS(jr_num,A247,jr_gap,"&lt;0")&gt;0,"Partiel","Sorti")))))</f>
        <v/>
      </c>
      <c r="O247" t="str">
        <f>IFERROR(MATCH(242,jr_grank,0),"")</f>
        <v/>
      </c>
      <c r="R247" s="67" t="str">
        <f>IFERROR(INDEX(jr_num,MATCH("BL242",jr_nkey,0))&amp;"","")</f>
        <v/>
      </c>
      <c r="S247" s="67" t="str">
        <f>IFERROR(INDEX(jr_num,MATCH("BR242",jr_nkey,0))&amp;"","")</f>
        <v/>
      </c>
      <c r="T247" s="67" t="str">
        <f>IFERROR(INDEX(jr_num,MATCH("BS242",jr_nkey,0))&amp;"","")</f>
        <v/>
      </c>
    </row>
    <row r="248">
      <c r="A248" s="60" t="str">
        <f>IF($O248="","",INDEX(jr_num,$O248)&amp;"")</f>
        <v/>
      </c>
      <c r="B248" s="60" t="str">
        <f>IF($O248="","",IF(INDEX(jr_type,$O248)="BL","Livraison",IF(INDEX(jr_type,$O248)="BR","Réception","Sortie")))</f>
        <v/>
      </c>
      <c r="C248" s="65" t="str">
        <f>IF($O248="","",INDEX(jr_date,$O248))</f>
        <v/>
      </c>
      <c r="D248" s="60" t="str">
        <f>IF($O248="","",INDEX(jr_tiers,$O248)&amp;"")</f>
        <v/>
      </c>
      <c r="E248" s="57" t="str">
        <f>IF($O248="","",INDEX(jr_name,$O248)&amp;"")</f>
        <v/>
      </c>
      <c r="F248" s="57" t="str">
        <f>IF($O248="","",INDEX(jr_order,$O248)&amp;"")</f>
        <v/>
      </c>
      <c r="G248" s="57" t="str">
        <f>IF($O248="","",INDEX(jr_ext,$O248)&amp;"")</f>
        <v/>
      </c>
      <c r="H248" s="57" t="str">
        <f>IF($O248="","",INDEX(jr_carrier,$O248)&amp;"")</f>
        <v/>
      </c>
      <c r="I248" s="66" t="str">
        <f>IF(A248="","",COUNTIF(jr_num,A248))</f>
        <v/>
      </c>
      <c r="J248" s="66" t="str">
        <f>IF(A248="","",SUMIF(jr_num,A248,jr_colis))</f>
        <v/>
      </c>
      <c r="K248" s="63" t="str">
        <f>IF(A248="","",SUMIF(jr_num,A248,jr_kg))</f>
        <v/>
      </c>
      <c r="L248" s="64" t="str">
        <f>IF(A248="","",SUMIF(jr_num,A248,jr_val))</f>
        <v/>
      </c>
      <c r="M248" s="60" t="str">
        <f>IF(A248="","",IF(COUNTIFS(jr_num,A248,jr_check,"&lt;&gt;OK")&gt;0,"À vérifier",IF(LEFT(A248,2)="BL",IF(COUNTIFS(jr_num,A248,jr_rel,"&gt;0")&gt;0,"Reliquat en cours",IF(COUNTIFS(jr_num,A248,jr_gap,"&lt;0")&gt;0,"Reliquat livré","Complet")),IF(LEFT(A248,2)="BR",IF(COUNTIFS(jr_num,A248,jr_etat,"Refusé")&gt;0,"Refusé",IF(COUNTIFS(jr_num,A248,jr_etat,"Avec réserves")&gt;0,"Avec réserves",IF(COUNTIFS(jr_num,A248,jr_rel,"&gt;0")&gt;0,"Reliquat en cours",IF(COUNTIFS(jr_num,A248,jr_gap,"&lt;0")+COUNTIFS(jr_num,A248,jr_gap,"&gt;0")&gt;0,"Écart","Conforme")))),IF(COUNTIFS(jr_num,A248,jr_gap,"&lt;0")&gt;0,"Partiel","Sorti")))))</f>
        <v/>
      </c>
      <c r="O248" t="str">
        <f>IFERROR(MATCH(243,jr_grank,0),"")</f>
        <v/>
      </c>
      <c r="R248" s="67" t="str">
        <f>IFERROR(INDEX(jr_num,MATCH("BL243",jr_nkey,0))&amp;"","")</f>
        <v/>
      </c>
      <c r="S248" s="67" t="str">
        <f>IFERROR(INDEX(jr_num,MATCH("BR243",jr_nkey,0))&amp;"","")</f>
        <v/>
      </c>
      <c r="T248" s="67" t="str">
        <f>IFERROR(INDEX(jr_num,MATCH("BS243",jr_nkey,0))&amp;"","")</f>
        <v/>
      </c>
    </row>
    <row r="249">
      <c r="A249" s="60" t="str">
        <f>IF($O249="","",INDEX(jr_num,$O249)&amp;"")</f>
        <v/>
      </c>
      <c r="B249" s="60" t="str">
        <f>IF($O249="","",IF(INDEX(jr_type,$O249)="BL","Livraison",IF(INDEX(jr_type,$O249)="BR","Réception","Sortie")))</f>
        <v/>
      </c>
      <c r="C249" s="65" t="str">
        <f>IF($O249="","",INDEX(jr_date,$O249))</f>
        <v/>
      </c>
      <c r="D249" s="60" t="str">
        <f>IF($O249="","",INDEX(jr_tiers,$O249)&amp;"")</f>
        <v/>
      </c>
      <c r="E249" s="57" t="str">
        <f>IF($O249="","",INDEX(jr_name,$O249)&amp;"")</f>
        <v/>
      </c>
      <c r="F249" s="57" t="str">
        <f>IF($O249="","",INDEX(jr_order,$O249)&amp;"")</f>
        <v/>
      </c>
      <c r="G249" s="57" t="str">
        <f>IF($O249="","",INDEX(jr_ext,$O249)&amp;"")</f>
        <v/>
      </c>
      <c r="H249" s="57" t="str">
        <f>IF($O249="","",INDEX(jr_carrier,$O249)&amp;"")</f>
        <v/>
      </c>
      <c r="I249" s="66" t="str">
        <f>IF(A249="","",COUNTIF(jr_num,A249))</f>
        <v/>
      </c>
      <c r="J249" s="66" t="str">
        <f>IF(A249="","",SUMIF(jr_num,A249,jr_colis))</f>
        <v/>
      </c>
      <c r="K249" s="63" t="str">
        <f>IF(A249="","",SUMIF(jr_num,A249,jr_kg))</f>
        <v/>
      </c>
      <c r="L249" s="64" t="str">
        <f>IF(A249="","",SUMIF(jr_num,A249,jr_val))</f>
        <v/>
      </c>
      <c r="M249" s="60" t="str">
        <f>IF(A249="","",IF(COUNTIFS(jr_num,A249,jr_check,"&lt;&gt;OK")&gt;0,"À vérifier",IF(LEFT(A249,2)="BL",IF(COUNTIFS(jr_num,A249,jr_rel,"&gt;0")&gt;0,"Reliquat en cours",IF(COUNTIFS(jr_num,A249,jr_gap,"&lt;0")&gt;0,"Reliquat livré","Complet")),IF(LEFT(A249,2)="BR",IF(COUNTIFS(jr_num,A249,jr_etat,"Refusé")&gt;0,"Refusé",IF(COUNTIFS(jr_num,A249,jr_etat,"Avec réserves")&gt;0,"Avec réserves",IF(COUNTIFS(jr_num,A249,jr_rel,"&gt;0")&gt;0,"Reliquat en cours",IF(COUNTIFS(jr_num,A249,jr_gap,"&lt;0")+COUNTIFS(jr_num,A249,jr_gap,"&gt;0")&gt;0,"Écart","Conforme")))),IF(COUNTIFS(jr_num,A249,jr_gap,"&lt;0")&gt;0,"Partiel","Sorti")))))</f>
        <v/>
      </c>
      <c r="O249" t="str">
        <f>IFERROR(MATCH(244,jr_grank,0),"")</f>
        <v/>
      </c>
      <c r="R249" s="67" t="str">
        <f>IFERROR(INDEX(jr_num,MATCH("BL244",jr_nkey,0))&amp;"","")</f>
        <v/>
      </c>
      <c r="S249" s="67" t="str">
        <f>IFERROR(INDEX(jr_num,MATCH("BR244",jr_nkey,0))&amp;"","")</f>
        <v/>
      </c>
      <c r="T249" s="67" t="str">
        <f>IFERROR(INDEX(jr_num,MATCH("BS244",jr_nkey,0))&amp;"","")</f>
        <v/>
      </c>
    </row>
    <row r="250">
      <c r="A250" s="60" t="str">
        <f>IF($O250="","",INDEX(jr_num,$O250)&amp;"")</f>
        <v/>
      </c>
      <c r="B250" s="60" t="str">
        <f>IF($O250="","",IF(INDEX(jr_type,$O250)="BL","Livraison",IF(INDEX(jr_type,$O250)="BR","Réception","Sortie")))</f>
        <v/>
      </c>
      <c r="C250" s="65" t="str">
        <f>IF($O250="","",INDEX(jr_date,$O250))</f>
        <v/>
      </c>
      <c r="D250" s="60" t="str">
        <f>IF($O250="","",INDEX(jr_tiers,$O250)&amp;"")</f>
        <v/>
      </c>
      <c r="E250" s="57" t="str">
        <f>IF($O250="","",INDEX(jr_name,$O250)&amp;"")</f>
        <v/>
      </c>
      <c r="F250" s="57" t="str">
        <f>IF($O250="","",INDEX(jr_order,$O250)&amp;"")</f>
        <v/>
      </c>
      <c r="G250" s="57" t="str">
        <f>IF($O250="","",INDEX(jr_ext,$O250)&amp;"")</f>
        <v/>
      </c>
      <c r="H250" s="57" t="str">
        <f>IF($O250="","",INDEX(jr_carrier,$O250)&amp;"")</f>
        <v/>
      </c>
      <c r="I250" s="66" t="str">
        <f>IF(A250="","",COUNTIF(jr_num,A250))</f>
        <v/>
      </c>
      <c r="J250" s="66" t="str">
        <f>IF(A250="","",SUMIF(jr_num,A250,jr_colis))</f>
        <v/>
      </c>
      <c r="K250" s="63" t="str">
        <f>IF(A250="","",SUMIF(jr_num,A250,jr_kg))</f>
        <v/>
      </c>
      <c r="L250" s="64" t="str">
        <f>IF(A250="","",SUMIF(jr_num,A250,jr_val))</f>
        <v/>
      </c>
      <c r="M250" s="60" t="str">
        <f>IF(A250="","",IF(COUNTIFS(jr_num,A250,jr_check,"&lt;&gt;OK")&gt;0,"À vérifier",IF(LEFT(A250,2)="BL",IF(COUNTIFS(jr_num,A250,jr_rel,"&gt;0")&gt;0,"Reliquat en cours",IF(COUNTIFS(jr_num,A250,jr_gap,"&lt;0")&gt;0,"Reliquat livré","Complet")),IF(LEFT(A250,2)="BR",IF(COUNTIFS(jr_num,A250,jr_etat,"Refusé")&gt;0,"Refusé",IF(COUNTIFS(jr_num,A250,jr_etat,"Avec réserves")&gt;0,"Avec réserves",IF(COUNTIFS(jr_num,A250,jr_rel,"&gt;0")&gt;0,"Reliquat en cours",IF(COUNTIFS(jr_num,A250,jr_gap,"&lt;0")+COUNTIFS(jr_num,A250,jr_gap,"&gt;0")&gt;0,"Écart","Conforme")))),IF(COUNTIFS(jr_num,A250,jr_gap,"&lt;0")&gt;0,"Partiel","Sorti")))))</f>
        <v/>
      </c>
      <c r="O250" t="str">
        <f>IFERROR(MATCH(245,jr_grank,0),"")</f>
        <v/>
      </c>
      <c r="R250" s="67" t="str">
        <f>IFERROR(INDEX(jr_num,MATCH("BL245",jr_nkey,0))&amp;"","")</f>
        <v/>
      </c>
      <c r="S250" s="67" t="str">
        <f>IFERROR(INDEX(jr_num,MATCH("BR245",jr_nkey,0))&amp;"","")</f>
        <v/>
      </c>
      <c r="T250" s="67" t="str">
        <f>IFERROR(INDEX(jr_num,MATCH("BS245",jr_nkey,0))&amp;"","")</f>
        <v/>
      </c>
    </row>
    <row r="251">
      <c r="A251" s="60" t="str">
        <f>IF($O251="","",INDEX(jr_num,$O251)&amp;"")</f>
        <v/>
      </c>
      <c r="B251" s="60" t="str">
        <f>IF($O251="","",IF(INDEX(jr_type,$O251)="BL","Livraison",IF(INDEX(jr_type,$O251)="BR","Réception","Sortie")))</f>
        <v/>
      </c>
      <c r="C251" s="65" t="str">
        <f>IF($O251="","",INDEX(jr_date,$O251))</f>
        <v/>
      </c>
      <c r="D251" s="60" t="str">
        <f>IF($O251="","",INDEX(jr_tiers,$O251)&amp;"")</f>
        <v/>
      </c>
      <c r="E251" s="57" t="str">
        <f>IF($O251="","",INDEX(jr_name,$O251)&amp;"")</f>
        <v/>
      </c>
      <c r="F251" s="57" t="str">
        <f>IF($O251="","",INDEX(jr_order,$O251)&amp;"")</f>
        <v/>
      </c>
      <c r="G251" s="57" t="str">
        <f>IF($O251="","",INDEX(jr_ext,$O251)&amp;"")</f>
        <v/>
      </c>
      <c r="H251" s="57" t="str">
        <f>IF($O251="","",INDEX(jr_carrier,$O251)&amp;"")</f>
        <v/>
      </c>
      <c r="I251" s="66" t="str">
        <f>IF(A251="","",COUNTIF(jr_num,A251))</f>
        <v/>
      </c>
      <c r="J251" s="66" t="str">
        <f>IF(A251="","",SUMIF(jr_num,A251,jr_colis))</f>
        <v/>
      </c>
      <c r="K251" s="63" t="str">
        <f>IF(A251="","",SUMIF(jr_num,A251,jr_kg))</f>
        <v/>
      </c>
      <c r="L251" s="64" t="str">
        <f>IF(A251="","",SUMIF(jr_num,A251,jr_val))</f>
        <v/>
      </c>
      <c r="M251" s="60" t="str">
        <f>IF(A251="","",IF(COUNTIFS(jr_num,A251,jr_check,"&lt;&gt;OK")&gt;0,"À vérifier",IF(LEFT(A251,2)="BL",IF(COUNTIFS(jr_num,A251,jr_rel,"&gt;0")&gt;0,"Reliquat en cours",IF(COUNTIFS(jr_num,A251,jr_gap,"&lt;0")&gt;0,"Reliquat livré","Complet")),IF(LEFT(A251,2)="BR",IF(COUNTIFS(jr_num,A251,jr_etat,"Refusé")&gt;0,"Refusé",IF(COUNTIFS(jr_num,A251,jr_etat,"Avec réserves")&gt;0,"Avec réserves",IF(COUNTIFS(jr_num,A251,jr_rel,"&gt;0")&gt;0,"Reliquat en cours",IF(COUNTIFS(jr_num,A251,jr_gap,"&lt;0")+COUNTIFS(jr_num,A251,jr_gap,"&gt;0")&gt;0,"Écart","Conforme")))),IF(COUNTIFS(jr_num,A251,jr_gap,"&lt;0")&gt;0,"Partiel","Sorti")))))</f>
        <v/>
      </c>
      <c r="O251" t="str">
        <f>IFERROR(MATCH(246,jr_grank,0),"")</f>
        <v/>
      </c>
      <c r="R251" s="67" t="str">
        <f>IFERROR(INDEX(jr_num,MATCH("BL246",jr_nkey,0))&amp;"","")</f>
        <v/>
      </c>
      <c r="S251" s="67" t="str">
        <f>IFERROR(INDEX(jr_num,MATCH("BR246",jr_nkey,0))&amp;"","")</f>
        <v/>
      </c>
      <c r="T251" s="67" t="str">
        <f>IFERROR(INDEX(jr_num,MATCH("BS246",jr_nkey,0))&amp;"","")</f>
        <v/>
      </c>
    </row>
    <row r="252">
      <c r="A252" s="60" t="str">
        <f>IF($O252="","",INDEX(jr_num,$O252)&amp;"")</f>
        <v/>
      </c>
      <c r="B252" s="60" t="str">
        <f>IF($O252="","",IF(INDEX(jr_type,$O252)="BL","Livraison",IF(INDEX(jr_type,$O252)="BR","Réception","Sortie")))</f>
        <v/>
      </c>
      <c r="C252" s="65" t="str">
        <f>IF($O252="","",INDEX(jr_date,$O252))</f>
        <v/>
      </c>
      <c r="D252" s="60" t="str">
        <f>IF($O252="","",INDEX(jr_tiers,$O252)&amp;"")</f>
        <v/>
      </c>
      <c r="E252" s="57" t="str">
        <f>IF($O252="","",INDEX(jr_name,$O252)&amp;"")</f>
        <v/>
      </c>
      <c r="F252" s="57" t="str">
        <f>IF($O252="","",INDEX(jr_order,$O252)&amp;"")</f>
        <v/>
      </c>
      <c r="G252" s="57" t="str">
        <f>IF($O252="","",INDEX(jr_ext,$O252)&amp;"")</f>
        <v/>
      </c>
      <c r="H252" s="57" t="str">
        <f>IF($O252="","",INDEX(jr_carrier,$O252)&amp;"")</f>
        <v/>
      </c>
      <c r="I252" s="66" t="str">
        <f>IF(A252="","",COUNTIF(jr_num,A252))</f>
        <v/>
      </c>
      <c r="J252" s="66" t="str">
        <f>IF(A252="","",SUMIF(jr_num,A252,jr_colis))</f>
        <v/>
      </c>
      <c r="K252" s="63" t="str">
        <f>IF(A252="","",SUMIF(jr_num,A252,jr_kg))</f>
        <v/>
      </c>
      <c r="L252" s="64" t="str">
        <f>IF(A252="","",SUMIF(jr_num,A252,jr_val))</f>
        <v/>
      </c>
      <c r="M252" s="60" t="str">
        <f>IF(A252="","",IF(COUNTIFS(jr_num,A252,jr_check,"&lt;&gt;OK")&gt;0,"À vérifier",IF(LEFT(A252,2)="BL",IF(COUNTIFS(jr_num,A252,jr_rel,"&gt;0")&gt;0,"Reliquat en cours",IF(COUNTIFS(jr_num,A252,jr_gap,"&lt;0")&gt;0,"Reliquat livré","Complet")),IF(LEFT(A252,2)="BR",IF(COUNTIFS(jr_num,A252,jr_etat,"Refusé")&gt;0,"Refusé",IF(COUNTIFS(jr_num,A252,jr_etat,"Avec réserves")&gt;0,"Avec réserves",IF(COUNTIFS(jr_num,A252,jr_rel,"&gt;0")&gt;0,"Reliquat en cours",IF(COUNTIFS(jr_num,A252,jr_gap,"&lt;0")+COUNTIFS(jr_num,A252,jr_gap,"&gt;0")&gt;0,"Écart","Conforme")))),IF(COUNTIFS(jr_num,A252,jr_gap,"&lt;0")&gt;0,"Partiel","Sorti")))))</f>
        <v/>
      </c>
      <c r="O252" t="str">
        <f>IFERROR(MATCH(247,jr_grank,0),"")</f>
        <v/>
      </c>
      <c r="R252" s="67" t="str">
        <f>IFERROR(INDEX(jr_num,MATCH("BL247",jr_nkey,0))&amp;"","")</f>
        <v/>
      </c>
      <c r="S252" s="67" t="str">
        <f>IFERROR(INDEX(jr_num,MATCH("BR247",jr_nkey,0))&amp;"","")</f>
        <v/>
      </c>
      <c r="T252" s="67" t="str">
        <f>IFERROR(INDEX(jr_num,MATCH("BS247",jr_nkey,0))&amp;"","")</f>
        <v/>
      </c>
    </row>
    <row r="253">
      <c r="A253" s="60" t="str">
        <f>IF($O253="","",INDEX(jr_num,$O253)&amp;"")</f>
        <v/>
      </c>
      <c r="B253" s="60" t="str">
        <f>IF($O253="","",IF(INDEX(jr_type,$O253)="BL","Livraison",IF(INDEX(jr_type,$O253)="BR","Réception","Sortie")))</f>
        <v/>
      </c>
      <c r="C253" s="65" t="str">
        <f>IF($O253="","",INDEX(jr_date,$O253))</f>
        <v/>
      </c>
      <c r="D253" s="60" t="str">
        <f>IF($O253="","",INDEX(jr_tiers,$O253)&amp;"")</f>
        <v/>
      </c>
      <c r="E253" s="57" t="str">
        <f>IF($O253="","",INDEX(jr_name,$O253)&amp;"")</f>
        <v/>
      </c>
      <c r="F253" s="57" t="str">
        <f>IF($O253="","",INDEX(jr_order,$O253)&amp;"")</f>
        <v/>
      </c>
      <c r="G253" s="57" t="str">
        <f>IF($O253="","",INDEX(jr_ext,$O253)&amp;"")</f>
        <v/>
      </c>
      <c r="H253" s="57" t="str">
        <f>IF($O253="","",INDEX(jr_carrier,$O253)&amp;"")</f>
        <v/>
      </c>
      <c r="I253" s="66" t="str">
        <f>IF(A253="","",COUNTIF(jr_num,A253))</f>
        <v/>
      </c>
      <c r="J253" s="66" t="str">
        <f>IF(A253="","",SUMIF(jr_num,A253,jr_colis))</f>
        <v/>
      </c>
      <c r="K253" s="63" t="str">
        <f>IF(A253="","",SUMIF(jr_num,A253,jr_kg))</f>
        <v/>
      </c>
      <c r="L253" s="64" t="str">
        <f>IF(A253="","",SUMIF(jr_num,A253,jr_val))</f>
        <v/>
      </c>
      <c r="M253" s="60" t="str">
        <f>IF(A253="","",IF(COUNTIFS(jr_num,A253,jr_check,"&lt;&gt;OK")&gt;0,"À vérifier",IF(LEFT(A253,2)="BL",IF(COUNTIFS(jr_num,A253,jr_rel,"&gt;0")&gt;0,"Reliquat en cours",IF(COUNTIFS(jr_num,A253,jr_gap,"&lt;0")&gt;0,"Reliquat livré","Complet")),IF(LEFT(A253,2)="BR",IF(COUNTIFS(jr_num,A253,jr_etat,"Refusé")&gt;0,"Refusé",IF(COUNTIFS(jr_num,A253,jr_etat,"Avec réserves")&gt;0,"Avec réserves",IF(COUNTIFS(jr_num,A253,jr_rel,"&gt;0")&gt;0,"Reliquat en cours",IF(COUNTIFS(jr_num,A253,jr_gap,"&lt;0")+COUNTIFS(jr_num,A253,jr_gap,"&gt;0")&gt;0,"Écart","Conforme")))),IF(COUNTIFS(jr_num,A253,jr_gap,"&lt;0")&gt;0,"Partiel","Sorti")))))</f>
        <v/>
      </c>
      <c r="O253" t="str">
        <f>IFERROR(MATCH(248,jr_grank,0),"")</f>
        <v/>
      </c>
      <c r="R253" s="67" t="str">
        <f>IFERROR(INDEX(jr_num,MATCH("BL248",jr_nkey,0))&amp;"","")</f>
        <v/>
      </c>
      <c r="S253" s="67" t="str">
        <f>IFERROR(INDEX(jr_num,MATCH("BR248",jr_nkey,0))&amp;"","")</f>
        <v/>
      </c>
      <c r="T253" s="67" t="str">
        <f>IFERROR(INDEX(jr_num,MATCH("BS248",jr_nkey,0))&amp;"","")</f>
        <v/>
      </c>
    </row>
    <row r="254">
      <c r="A254" s="60" t="str">
        <f>IF($O254="","",INDEX(jr_num,$O254)&amp;"")</f>
        <v/>
      </c>
      <c r="B254" s="60" t="str">
        <f>IF($O254="","",IF(INDEX(jr_type,$O254)="BL","Livraison",IF(INDEX(jr_type,$O254)="BR","Réception","Sortie")))</f>
        <v/>
      </c>
      <c r="C254" s="65" t="str">
        <f>IF($O254="","",INDEX(jr_date,$O254))</f>
        <v/>
      </c>
      <c r="D254" s="60" t="str">
        <f>IF($O254="","",INDEX(jr_tiers,$O254)&amp;"")</f>
        <v/>
      </c>
      <c r="E254" s="57" t="str">
        <f>IF($O254="","",INDEX(jr_name,$O254)&amp;"")</f>
        <v/>
      </c>
      <c r="F254" s="57" t="str">
        <f>IF($O254="","",INDEX(jr_order,$O254)&amp;"")</f>
        <v/>
      </c>
      <c r="G254" s="57" t="str">
        <f>IF($O254="","",INDEX(jr_ext,$O254)&amp;"")</f>
        <v/>
      </c>
      <c r="H254" s="57" t="str">
        <f>IF($O254="","",INDEX(jr_carrier,$O254)&amp;"")</f>
        <v/>
      </c>
      <c r="I254" s="66" t="str">
        <f>IF(A254="","",COUNTIF(jr_num,A254))</f>
        <v/>
      </c>
      <c r="J254" s="66" t="str">
        <f>IF(A254="","",SUMIF(jr_num,A254,jr_colis))</f>
        <v/>
      </c>
      <c r="K254" s="63" t="str">
        <f>IF(A254="","",SUMIF(jr_num,A254,jr_kg))</f>
        <v/>
      </c>
      <c r="L254" s="64" t="str">
        <f>IF(A254="","",SUMIF(jr_num,A254,jr_val))</f>
        <v/>
      </c>
      <c r="M254" s="60" t="str">
        <f>IF(A254="","",IF(COUNTIFS(jr_num,A254,jr_check,"&lt;&gt;OK")&gt;0,"À vérifier",IF(LEFT(A254,2)="BL",IF(COUNTIFS(jr_num,A254,jr_rel,"&gt;0")&gt;0,"Reliquat en cours",IF(COUNTIFS(jr_num,A254,jr_gap,"&lt;0")&gt;0,"Reliquat livré","Complet")),IF(LEFT(A254,2)="BR",IF(COUNTIFS(jr_num,A254,jr_etat,"Refusé")&gt;0,"Refusé",IF(COUNTIFS(jr_num,A254,jr_etat,"Avec réserves")&gt;0,"Avec réserves",IF(COUNTIFS(jr_num,A254,jr_rel,"&gt;0")&gt;0,"Reliquat en cours",IF(COUNTIFS(jr_num,A254,jr_gap,"&lt;0")+COUNTIFS(jr_num,A254,jr_gap,"&gt;0")&gt;0,"Écart","Conforme")))),IF(COUNTIFS(jr_num,A254,jr_gap,"&lt;0")&gt;0,"Partiel","Sorti")))))</f>
        <v/>
      </c>
      <c r="O254" t="str">
        <f>IFERROR(MATCH(249,jr_grank,0),"")</f>
        <v/>
      </c>
      <c r="R254" s="67" t="str">
        <f>IFERROR(INDEX(jr_num,MATCH("BL249",jr_nkey,0))&amp;"","")</f>
        <v/>
      </c>
      <c r="S254" s="67" t="str">
        <f>IFERROR(INDEX(jr_num,MATCH("BR249",jr_nkey,0))&amp;"","")</f>
        <v/>
      </c>
      <c r="T254" s="67" t="str">
        <f>IFERROR(INDEX(jr_num,MATCH("BS249",jr_nkey,0))&amp;"","")</f>
        <v/>
      </c>
    </row>
    <row r="255">
      <c r="A255" s="60" t="str">
        <f>IF($O255="","",INDEX(jr_num,$O255)&amp;"")</f>
        <v/>
      </c>
      <c r="B255" s="60" t="str">
        <f>IF($O255="","",IF(INDEX(jr_type,$O255)="BL","Livraison",IF(INDEX(jr_type,$O255)="BR","Réception","Sortie")))</f>
        <v/>
      </c>
      <c r="C255" s="65" t="str">
        <f>IF($O255="","",INDEX(jr_date,$O255))</f>
        <v/>
      </c>
      <c r="D255" s="60" t="str">
        <f>IF($O255="","",INDEX(jr_tiers,$O255)&amp;"")</f>
        <v/>
      </c>
      <c r="E255" s="57" t="str">
        <f>IF($O255="","",INDEX(jr_name,$O255)&amp;"")</f>
        <v/>
      </c>
      <c r="F255" s="57" t="str">
        <f>IF($O255="","",INDEX(jr_order,$O255)&amp;"")</f>
        <v/>
      </c>
      <c r="G255" s="57" t="str">
        <f>IF($O255="","",INDEX(jr_ext,$O255)&amp;"")</f>
        <v/>
      </c>
      <c r="H255" s="57" t="str">
        <f>IF($O255="","",INDEX(jr_carrier,$O255)&amp;"")</f>
        <v/>
      </c>
      <c r="I255" s="66" t="str">
        <f>IF(A255="","",COUNTIF(jr_num,A255))</f>
        <v/>
      </c>
      <c r="J255" s="66" t="str">
        <f>IF(A255="","",SUMIF(jr_num,A255,jr_colis))</f>
        <v/>
      </c>
      <c r="K255" s="63" t="str">
        <f>IF(A255="","",SUMIF(jr_num,A255,jr_kg))</f>
        <v/>
      </c>
      <c r="L255" s="64" t="str">
        <f>IF(A255="","",SUMIF(jr_num,A255,jr_val))</f>
        <v/>
      </c>
      <c r="M255" s="60" t="str">
        <f>IF(A255="","",IF(COUNTIFS(jr_num,A255,jr_check,"&lt;&gt;OK")&gt;0,"À vérifier",IF(LEFT(A255,2)="BL",IF(COUNTIFS(jr_num,A255,jr_rel,"&gt;0")&gt;0,"Reliquat en cours",IF(COUNTIFS(jr_num,A255,jr_gap,"&lt;0")&gt;0,"Reliquat livré","Complet")),IF(LEFT(A255,2)="BR",IF(COUNTIFS(jr_num,A255,jr_etat,"Refusé")&gt;0,"Refusé",IF(COUNTIFS(jr_num,A255,jr_etat,"Avec réserves")&gt;0,"Avec réserves",IF(COUNTIFS(jr_num,A255,jr_rel,"&gt;0")&gt;0,"Reliquat en cours",IF(COUNTIFS(jr_num,A255,jr_gap,"&lt;0")+COUNTIFS(jr_num,A255,jr_gap,"&gt;0")&gt;0,"Écart","Conforme")))),IF(COUNTIFS(jr_num,A255,jr_gap,"&lt;0")&gt;0,"Partiel","Sorti")))))</f>
        <v/>
      </c>
      <c r="O255" t="str">
        <f>IFERROR(MATCH(250,jr_grank,0),"")</f>
        <v/>
      </c>
      <c r="R255" s="67" t="str">
        <f>IFERROR(INDEX(jr_num,MATCH("BL250",jr_nkey,0))&amp;"","")</f>
        <v/>
      </c>
      <c r="S255" s="67" t="str">
        <f>IFERROR(INDEX(jr_num,MATCH("BR250",jr_nkey,0))&amp;"","")</f>
        <v/>
      </c>
      <c r="T255" s="67" t="str">
        <f>IFERROR(INDEX(jr_num,MATCH("BS250",jr_nkey,0))&amp;"","")</f>
        <v/>
      </c>
    </row>
    <row r="256">
      <c r="A256" s="60" t="str">
        <f>IF($O256="","",INDEX(jr_num,$O256)&amp;"")</f>
        <v/>
      </c>
      <c r="B256" s="60" t="str">
        <f>IF($O256="","",IF(INDEX(jr_type,$O256)="BL","Livraison",IF(INDEX(jr_type,$O256)="BR","Réception","Sortie")))</f>
        <v/>
      </c>
      <c r="C256" s="65" t="str">
        <f>IF($O256="","",INDEX(jr_date,$O256))</f>
        <v/>
      </c>
      <c r="D256" s="60" t="str">
        <f>IF($O256="","",INDEX(jr_tiers,$O256)&amp;"")</f>
        <v/>
      </c>
      <c r="E256" s="57" t="str">
        <f>IF($O256="","",INDEX(jr_name,$O256)&amp;"")</f>
        <v/>
      </c>
      <c r="F256" s="57" t="str">
        <f>IF($O256="","",INDEX(jr_order,$O256)&amp;"")</f>
        <v/>
      </c>
      <c r="G256" s="57" t="str">
        <f>IF($O256="","",INDEX(jr_ext,$O256)&amp;"")</f>
        <v/>
      </c>
      <c r="H256" s="57" t="str">
        <f>IF($O256="","",INDEX(jr_carrier,$O256)&amp;"")</f>
        <v/>
      </c>
      <c r="I256" s="66" t="str">
        <f>IF(A256="","",COUNTIF(jr_num,A256))</f>
        <v/>
      </c>
      <c r="J256" s="66" t="str">
        <f>IF(A256="","",SUMIF(jr_num,A256,jr_colis))</f>
        <v/>
      </c>
      <c r="K256" s="63" t="str">
        <f>IF(A256="","",SUMIF(jr_num,A256,jr_kg))</f>
        <v/>
      </c>
      <c r="L256" s="64" t="str">
        <f>IF(A256="","",SUMIF(jr_num,A256,jr_val))</f>
        <v/>
      </c>
      <c r="M256" s="60" t="str">
        <f>IF(A256="","",IF(COUNTIFS(jr_num,A256,jr_check,"&lt;&gt;OK")&gt;0,"À vérifier",IF(LEFT(A256,2)="BL",IF(COUNTIFS(jr_num,A256,jr_rel,"&gt;0")&gt;0,"Reliquat en cours",IF(COUNTIFS(jr_num,A256,jr_gap,"&lt;0")&gt;0,"Reliquat livré","Complet")),IF(LEFT(A256,2)="BR",IF(COUNTIFS(jr_num,A256,jr_etat,"Refusé")&gt;0,"Refusé",IF(COUNTIFS(jr_num,A256,jr_etat,"Avec réserves")&gt;0,"Avec réserves",IF(COUNTIFS(jr_num,A256,jr_rel,"&gt;0")&gt;0,"Reliquat en cours",IF(COUNTIFS(jr_num,A256,jr_gap,"&lt;0")+COUNTIFS(jr_num,A256,jr_gap,"&gt;0")&gt;0,"Écart","Conforme")))),IF(COUNTIFS(jr_num,A256,jr_gap,"&lt;0")&gt;0,"Partiel","Sorti")))))</f>
        <v/>
      </c>
      <c r="O256" t="str">
        <f>IFERROR(MATCH(251,jr_grank,0),"")</f>
        <v/>
      </c>
      <c r="R256" s="67" t="str">
        <f>IFERROR(INDEX(jr_num,MATCH("BL251",jr_nkey,0))&amp;"","")</f>
        <v/>
      </c>
      <c r="S256" s="67" t="str">
        <f>IFERROR(INDEX(jr_num,MATCH("BR251",jr_nkey,0))&amp;"","")</f>
        <v/>
      </c>
      <c r="T256" s="67" t="str">
        <f>IFERROR(INDEX(jr_num,MATCH("BS251",jr_nkey,0))&amp;"","")</f>
        <v/>
      </c>
    </row>
    <row r="257">
      <c r="A257" s="60" t="str">
        <f>IF($O257="","",INDEX(jr_num,$O257)&amp;"")</f>
        <v/>
      </c>
      <c r="B257" s="60" t="str">
        <f>IF($O257="","",IF(INDEX(jr_type,$O257)="BL","Livraison",IF(INDEX(jr_type,$O257)="BR","Réception","Sortie")))</f>
        <v/>
      </c>
      <c r="C257" s="65" t="str">
        <f>IF($O257="","",INDEX(jr_date,$O257))</f>
        <v/>
      </c>
      <c r="D257" s="60" t="str">
        <f>IF($O257="","",INDEX(jr_tiers,$O257)&amp;"")</f>
        <v/>
      </c>
      <c r="E257" s="57" t="str">
        <f>IF($O257="","",INDEX(jr_name,$O257)&amp;"")</f>
        <v/>
      </c>
      <c r="F257" s="57" t="str">
        <f>IF($O257="","",INDEX(jr_order,$O257)&amp;"")</f>
        <v/>
      </c>
      <c r="G257" s="57" t="str">
        <f>IF($O257="","",INDEX(jr_ext,$O257)&amp;"")</f>
        <v/>
      </c>
      <c r="H257" s="57" t="str">
        <f>IF($O257="","",INDEX(jr_carrier,$O257)&amp;"")</f>
        <v/>
      </c>
      <c r="I257" s="66" t="str">
        <f>IF(A257="","",COUNTIF(jr_num,A257))</f>
        <v/>
      </c>
      <c r="J257" s="66" t="str">
        <f>IF(A257="","",SUMIF(jr_num,A257,jr_colis))</f>
        <v/>
      </c>
      <c r="K257" s="63" t="str">
        <f>IF(A257="","",SUMIF(jr_num,A257,jr_kg))</f>
        <v/>
      </c>
      <c r="L257" s="64" t="str">
        <f>IF(A257="","",SUMIF(jr_num,A257,jr_val))</f>
        <v/>
      </c>
      <c r="M257" s="60" t="str">
        <f>IF(A257="","",IF(COUNTIFS(jr_num,A257,jr_check,"&lt;&gt;OK")&gt;0,"À vérifier",IF(LEFT(A257,2)="BL",IF(COUNTIFS(jr_num,A257,jr_rel,"&gt;0")&gt;0,"Reliquat en cours",IF(COUNTIFS(jr_num,A257,jr_gap,"&lt;0")&gt;0,"Reliquat livré","Complet")),IF(LEFT(A257,2)="BR",IF(COUNTIFS(jr_num,A257,jr_etat,"Refusé")&gt;0,"Refusé",IF(COUNTIFS(jr_num,A257,jr_etat,"Avec réserves")&gt;0,"Avec réserves",IF(COUNTIFS(jr_num,A257,jr_rel,"&gt;0")&gt;0,"Reliquat en cours",IF(COUNTIFS(jr_num,A257,jr_gap,"&lt;0")+COUNTIFS(jr_num,A257,jr_gap,"&gt;0")&gt;0,"Écart","Conforme")))),IF(COUNTIFS(jr_num,A257,jr_gap,"&lt;0")&gt;0,"Partiel","Sorti")))))</f>
        <v/>
      </c>
      <c r="O257" t="str">
        <f>IFERROR(MATCH(252,jr_grank,0),"")</f>
        <v/>
      </c>
      <c r="R257" s="67" t="str">
        <f>IFERROR(INDEX(jr_num,MATCH("BL252",jr_nkey,0))&amp;"","")</f>
        <v/>
      </c>
      <c r="S257" s="67" t="str">
        <f>IFERROR(INDEX(jr_num,MATCH("BR252",jr_nkey,0))&amp;"","")</f>
        <v/>
      </c>
      <c r="T257" s="67" t="str">
        <f>IFERROR(INDEX(jr_num,MATCH("BS252",jr_nkey,0))&amp;"","")</f>
        <v/>
      </c>
    </row>
    <row r="258">
      <c r="A258" s="60" t="str">
        <f>IF($O258="","",INDEX(jr_num,$O258)&amp;"")</f>
        <v/>
      </c>
      <c r="B258" s="60" t="str">
        <f>IF($O258="","",IF(INDEX(jr_type,$O258)="BL","Livraison",IF(INDEX(jr_type,$O258)="BR","Réception","Sortie")))</f>
        <v/>
      </c>
      <c r="C258" s="65" t="str">
        <f>IF($O258="","",INDEX(jr_date,$O258))</f>
        <v/>
      </c>
      <c r="D258" s="60" t="str">
        <f>IF($O258="","",INDEX(jr_tiers,$O258)&amp;"")</f>
        <v/>
      </c>
      <c r="E258" s="57" t="str">
        <f>IF($O258="","",INDEX(jr_name,$O258)&amp;"")</f>
        <v/>
      </c>
      <c r="F258" s="57" t="str">
        <f>IF($O258="","",INDEX(jr_order,$O258)&amp;"")</f>
        <v/>
      </c>
      <c r="G258" s="57" t="str">
        <f>IF($O258="","",INDEX(jr_ext,$O258)&amp;"")</f>
        <v/>
      </c>
      <c r="H258" s="57" t="str">
        <f>IF($O258="","",INDEX(jr_carrier,$O258)&amp;"")</f>
        <v/>
      </c>
      <c r="I258" s="66" t="str">
        <f>IF(A258="","",COUNTIF(jr_num,A258))</f>
        <v/>
      </c>
      <c r="J258" s="66" t="str">
        <f>IF(A258="","",SUMIF(jr_num,A258,jr_colis))</f>
        <v/>
      </c>
      <c r="K258" s="63" t="str">
        <f>IF(A258="","",SUMIF(jr_num,A258,jr_kg))</f>
        <v/>
      </c>
      <c r="L258" s="64" t="str">
        <f>IF(A258="","",SUMIF(jr_num,A258,jr_val))</f>
        <v/>
      </c>
      <c r="M258" s="60" t="str">
        <f>IF(A258="","",IF(COUNTIFS(jr_num,A258,jr_check,"&lt;&gt;OK")&gt;0,"À vérifier",IF(LEFT(A258,2)="BL",IF(COUNTIFS(jr_num,A258,jr_rel,"&gt;0")&gt;0,"Reliquat en cours",IF(COUNTIFS(jr_num,A258,jr_gap,"&lt;0")&gt;0,"Reliquat livré","Complet")),IF(LEFT(A258,2)="BR",IF(COUNTIFS(jr_num,A258,jr_etat,"Refusé")&gt;0,"Refusé",IF(COUNTIFS(jr_num,A258,jr_etat,"Avec réserves")&gt;0,"Avec réserves",IF(COUNTIFS(jr_num,A258,jr_rel,"&gt;0")&gt;0,"Reliquat en cours",IF(COUNTIFS(jr_num,A258,jr_gap,"&lt;0")+COUNTIFS(jr_num,A258,jr_gap,"&gt;0")&gt;0,"Écart","Conforme")))),IF(COUNTIFS(jr_num,A258,jr_gap,"&lt;0")&gt;0,"Partiel","Sorti")))))</f>
        <v/>
      </c>
      <c r="O258" t="str">
        <f>IFERROR(MATCH(253,jr_grank,0),"")</f>
        <v/>
      </c>
      <c r="R258" s="67" t="str">
        <f>IFERROR(INDEX(jr_num,MATCH("BL253",jr_nkey,0))&amp;"","")</f>
        <v/>
      </c>
      <c r="S258" s="67" t="str">
        <f>IFERROR(INDEX(jr_num,MATCH("BR253",jr_nkey,0))&amp;"","")</f>
        <v/>
      </c>
      <c r="T258" s="67" t="str">
        <f>IFERROR(INDEX(jr_num,MATCH("BS253",jr_nkey,0))&amp;"","")</f>
        <v/>
      </c>
    </row>
    <row r="259">
      <c r="A259" s="60" t="str">
        <f>IF($O259="","",INDEX(jr_num,$O259)&amp;"")</f>
        <v/>
      </c>
      <c r="B259" s="60" t="str">
        <f>IF($O259="","",IF(INDEX(jr_type,$O259)="BL","Livraison",IF(INDEX(jr_type,$O259)="BR","Réception","Sortie")))</f>
        <v/>
      </c>
      <c r="C259" s="65" t="str">
        <f>IF($O259="","",INDEX(jr_date,$O259))</f>
        <v/>
      </c>
      <c r="D259" s="60" t="str">
        <f>IF($O259="","",INDEX(jr_tiers,$O259)&amp;"")</f>
        <v/>
      </c>
      <c r="E259" s="57" t="str">
        <f>IF($O259="","",INDEX(jr_name,$O259)&amp;"")</f>
        <v/>
      </c>
      <c r="F259" s="57" t="str">
        <f>IF($O259="","",INDEX(jr_order,$O259)&amp;"")</f>
        <v/>
      </c>
      <c r="G259" s="57" t="str">
        <f>IF($O259="","",INDEX(jr_ext,$O259)&amp;"")</f>
        <v/>
      </c>
      <c r="H259" s="57" t="str">
        <f>IF($O259="","",INDEX(jr_carrier,$O259)&amp;"")</f>
        <v/>
      </c>
      <c r="I259" s="66" t="str">
        <f>IF(A259="","",COUNTIF(jr_num,A259))</f>
        <v/>
      </c>
      <c r="J259" s="66" t="str">
        <f>IF(A259="","",SUMIF(jr_num,A259,jr_colis))</f>
        <v/>
      </c>
      <c r="K259" s="63" t="str">
        <f>IF(A259="","",SUMIF(jr_num,A259,jr_kg))</f>
        <v/>
      </c>
      <c r="L259" s="64" t="str">
        <f>IF(A259="","",SUMIF(jr_num,A259,jr_val))</f>
        <v/>
      </c>
      <c r="M259" s="60" t="str">
        <f>IF(A259="","",IF(COUNTIFS(jr_num,A259,jr_check,"&lt;&gt;OK")&gt;0,"À vérifier",IF(LEFT(A259,2)="BL",IF(COUNTIFS(jr_num,A259,jr_rel,"&gt;0")&gt;0,"Reliquat en cours",IF(COUNTIFS(jr_num,A259,jr_gap,"&lt;0")&gt;0,"Reliquat livré","Complet")),IF(LEFT(A259,2)="BR",IF(COUNTIFS(jr_num,A259,jr_etat,"Refusé")&gt;0,"Refusé",IF(COUNTIFS(jr_num,A259,jr_etat,"Avec réserves")&gt;0,"Avec réserves",IF(COUNTIFS(jr_num,A259,jr_rel,"&gt;0")&gt;0,"Reliquat en cours",IF(COUNTIFS(jr_num,A259,jr_gap,"&lt;0")+COUNTIFS(jr_num,A259,jr_gap,"&gt;0")&gt;0,"Écart","Conforme")))),IF(COUNTIFS(jr_num,A259,jr_gap,"&lt;0")&gt;0,"Partiel","Sorti")))))</f>
        <v/>
      </c>
      <c r="O259" t="str">
        <f>IFERROR(MATCH(254,jr_grank,0),"")</f>
        <v/>
      </c>
      <c r="R259" s="67" t="str">
        <f>IFERROR(INDEX(jr_num,MATCH("BL254",jr_nkey,0))&amp;"","")</f>
        <v/>
      </c>
      <c r="S259" s="67" t="str">
        <f>IFERROR(INDEX(jr_num,MATCH("BR254",jr_nkey,0))&amp;"","")</f>
        <v/>
      </c>
      <c r="T259" s="67" t="str">
        <f>IFERROR(INDEX(jr_num,MATCH("BS254",jr_nkey,0))&amp;"","")</f>
        <v/>
      </c>
    </row>
    <row r="260">
      <c r="A260" s="60" t="str">
        <f>IF($O260="","",INDEX(jr_num,$O260)&amp;"")</f>
        <v/>
      </c>
      <c r="B260" s="60" t="str">
        <f>IF($O260="","",IF(INDEX(jr_type,$O260)="BL","Livraison",IF(INDEX(jr_type,$O260)="BR","Réception","Sortie")))</f>
        <v/>
      </c>
      <c r="C260" s="65" t="str">
        <f>IF($O260="","",INDEX(jr_date,$O260))</f>
        <v/>
      </c>
      <c r="D260" s="60" t="str">
        <f>IF($O260="","",INDEX(jr_tiers,$O260)&amp;"")</f>
        <v/>
      </c>
      <c r="E260" s="57" t="str">
        <f>IF($O260="","",INDEX(jr_name,$O260)&amp;"")</f>
        <v/>
      </c>
      <c r="F260" s="57" t="str">
        <f>IF($O260="","",INDEX(jr_order,$O260)&amp;"")</f>
        <v/>
      </c>
      <c r="G260" s="57" t="str">
        <f>IF($O260="","",INDEX(jr_ext,$O260)&amp;"")</f>
        <v/>
      </c>
      <c r="H260" s="57" t="str">
        <f>IF($O260="","",INDEX(jr_carrier,$O260)&amp;"")</f>
        <v/>
      </c>
      <c r="I260" s="66" t="str">
        <f>IF(A260="","",COUNTIF(jr_num,A260))</f>
        <v/>
      </c>
      <c r="J260" s="66" t="str">
        <f>IF(A260="","",SUMIF(jr_num,A260,jr_colis))</f>
        <v/>
      </c>
      <c r="K260" s="63" t="str">
        <f>IF(A260="","",SUMIF(jr_num,A260,jr_kg))</f>
        <v/>
      </c>
      <c r="L260" s="64" t="str">
        <f>IF(A260="","",SUMIF(jr_num,A260,jr_val))</f>
        <v/>
      </c>
      <c r="M260" s="60" t="str">
        <f>IF(A260="","",IF(COUNTIFS(jr_num,A260,jr_check,"&lt;&gt;OK")&gt;0,"À vérifier",IF(LEFT(A260,2)="BL",IF(COUNTIFS(jr_num,A260,jr_rel,"&gt;0")&gt;0,"Reliquat en cours",IF(COUNTIFS(jr_num,A260,jr_gap,"&lt;0")&gt;0,"Reliquat livré","Complet")),IF(LEFT(A260,2)="BR",IF(COUNTIFS(jr_num,A260,jr_etat,"Refusé")&gt;0,"Refusé",IF(COUNTIFS(jr_num,A260,jr_etat,"Avec réserves")&gt;0,"Avec réserves",IF(COUNTIFS(jr_num,A260,jr_rel,"&gt;0")&gt;0,"Reliquat en cours",IF(COUNTIFS(jr_num,A260,jr_gap,"&lt;0")+COUNTIFS(jr_num,A260,jr_gap,"&gt;0")&gt;0,"Écart","Conforme")))),IF(COUNTIFS(jr_num,A260,jr_gap,"&lt;0")&gt;0,"Partiel","Sorti")))))</f>
        <v/>
      </c>
      <c r="O260" t="str">
        <f>IFERROR(MATCH(255,jr_grank,0),"")</f>
        <v/>
      </c>
      <c r="R260" s="67" t="str">
        <f>IFERROR(INDEX(jr_num,MATCH("BL255",jr_nkey,0))&amp;"","")</f>
        <v/>
      </c>
      <c r="S260" s="67" t="str">
        <f>IFERROR(INDEX(jr_num,MATCH("BR255",jr_nkey,0))&amp;"","")</f>
        <v/>
      </c>
      <c r="T260" s="67" t="str">
        <f>IFERROR(INDEX(jr_num,MATCH("BS255",jr_nkey,0))&amp;"","")</f>
        <v/>
      </c>
    </row>
    <row r="261">
      <c r="A261" s="60" t="str">
        <f>IF($O261="","",INDEX(jr_num,$O261)&amp;"")</f>
        <v/>
      </c>
      <c r="B261" s="60" t="str">
        <f>IF($O261="","",IF(INDEX(jr_type,$O261)="BL","Livraison",IF(INDEX(jr_type,$O261)="BR","Réception","Sortie")))</f>
        <v/>
      </c>
      <c r="C261" s="65" t="str">
        <f>IF($O261="","",INDEX(jr_date,$O261))</f>
        <v/>
      </c>
      <c r="D261" s="60" t="str">
        <f>IF($O261="","",INDEX(jr_tiers,$O261)&amp;"")</f>
        <v/>
      </c>
      <c r="E261" s="57" t="str">
        <f>IF($O261="","",INDEX(jr_name,$O261)&amp;"")</f>
        <v/>
      </c>
      <c r="F261" s="57" t="str">
        <f>IF($O261="","",INDEX(jr_order,$O261)&amp;"")</f>
        <v/>
      </c>
      <c r="G261" s="57" t="str">
        <f>IF($O261="","",INDEX(jr_ext,$O261)&amp;"")</f>
        <v/>
      </c>
      <c r="H261" s="57" t="str">
        <f>IF($O261="","",INDEX(jr_carrier,$O261)&amp;"")</f>
        <v/>
      </c>
      <c r="I261" s="66" t="str">
        <f>IF(A261="","",COUNTIF(jr_num,A261))</f>
        <v/>
      </c>
      <c r="J261" s="66" t="str">
        <f>IF(A261="","",SUMIF(jr_num,A261,jr_colis))</f>
        <v/>
      </c>
      <c r="K261" s="63" t="str">
        <f>IF(A261="","",SUMIF(jr_num,A261,jr_kg))</f>
        <v/>
      </c>
      <c r="L261" s="64" t="str">
        <f>IF(A261="","",SUMIF(jr_num,A261,jr_val))</f>
        <v/>
      </c>
      <c r="M261" s="60" t="str">
        <f>IF(A261="","",IF(COUNTIFS(jr_num,A261,jr_check,"&lt;&gt;OK")&gt;0,"À vérifier",IF(LEFT(A261,2)="BL",IF(COUNTIFS(jr_num,A261,jr_rel,"&gt;0")&gt;0,"Reliquat en cours",IF(COUNTIFS(jr_num,A261,jr_gap,"&lt;0")&gt;0,"Reliquat livré","Complet")),IF(LEFT(A261,2)="BR",IF(COUNTIFS(jr_num,A261,jr_etat,"Refusé")&gt;0,"Refusé",IF(COUNTIFS(jr_num,A261,jr_etat,"Avec réserves")&gt;0,"Avec réserves",IF(COUNTIFS(jr_num,A261,jr_rel,"&gt;0")&gt;0,"Reliquat en cours",IF(COUNTIFS(jr_num,A261,jr_gap,"&lt;0")+COUNTIFS(jr_num,A261,jr_gap,"&gt;0")&gt;0,"Écart","Conforme")))),IF(COUNTIFS(jr_num,A261,jr_gap,"&lt;0")&gt;0,"Partiel","Sorti")))))</f>
        <v/>
      </c>
      <c r="O261" t="str">
        <f>IFERROR(MATCH(256,jr_grank,0),"")</f>
        <v/>
      </c>
      <c r="R261" s="67" t="str">
        <f>IFERROR(INDEX(jr_num,MATCH("BL256",jr_nkey,0))&amp;"","")</f>
        <v/>
      </c>
      <c r="S261" s="67" t="str">
        <f>IFERROR(INDEX(jr_num,MATCH("BR256",jr_nkey,0))&amp;"","")</f>
        <v/>
      </c>
      <c r="T261" s="67" t="str">
        <f>IFERROR(INDEX(jr_num,MATCH("BS256",jr_nkey,0))&amp;"","")</f>
        <v/>
      </c>
    </row>
    <row r="262">
      <c r="A262" s="60" t="str">
        <f>IF($O262="","",INDEX(jr_num,$O262)&amp;"")</f>
        <v/>
      </c>
      <c r="B262" s="60" t="str">
        <f>IF($O262="","",IF(INDEX(jr_type,$O262)="BL","Livraison",IF(INDEX(jr_type,$O262)="BR","Réception","Sortie")))</f>
        <v/>
      </c>
      <c r="C262" s="65" t="str">
        <f>IF($O262="","",INDEX(jr_date,$O262))</f>
        <v/>
      </c>
      <c r="D262" s="60" t="str">
        <f>IF($O262="","",INDEX(jr_tiers,$O262)&amp;"")</f>
        <v/>
      </c>
      <c r="E262" s="57" t="str">
        <f>IF($O262="","",INDEX(jr_name,$O262)&amp;"")</f>
        <v/>
      </c>
      <c r="F262" s="57" t="str">
        <f>IF($O262="","",INDEX(jr_order,$O262)&amp;"")</f>
        <v/>
      </c>
      <c r="G262" s="57" t="str">
        <f>IF($O262="","",INDEX(jr_ext,$O262)&amp;"")</f>
        <v/>
      </c>
      <c r="H262" s="57" t="str">
        <f>IF($O262="","",INDEX(jr_carrier,$O262)&amp;"")</f>
        <v/>
      </c>
      <c r="I262" s="66" t="str">
        <f>IF(A262="","",COUNTIF(jr_num,A262))</f>
        <v/>
      </c>
      <c r="J262" s="66" t="str">
        <f>IF(A262="","",SUMIF(jr_num,A262,jr_colis))</f>
        <v/>
      </c>
      <c r="K262" s="63" t="str">
        <f>IF(A262="","",SUMIF(jr_num,A262,jr_kg))</f>
        <v/>
      </c>
      <c r="L262" s="64" t="str">
        <f>IF(A262="","",SUMIF(jr_num,A262,jr_val))</f>
        <v/>
      </c>
      <c r="M262" s="60" t="str">
        <f>IF(A262="","",IF(COUNTIFS(jr_num,A262,jr_check,"&lt;&gt;OK")&gt;0,"À vérifier",IF(LEFT(A262,2)="BL",IF(COUNTIFS(jr_num,A262,jr_rel,"&gt;0")&gt;0,"Reliquat en cours",IF(COUNTIFS(jr_num,A262,jr_gap,"&lt;0")&gt;0,"Reliquat livré","Complet")),IF(LEFT(A262,2)="BR",IF(COUNTIFS(jr_num,A262,jr_etat,"Refusé")&gt;0,"Refusé",IF(COUNTIFS(jr_num,A262,jr_etat,"Avec réserves")&gt;0,"Avec réserves",IF(COUNTIFS(jr_num,A262,jr_rel,"&gt;0")&gt;0,"Reliquat en cours",IF(COUNTIFS(jr_num,A262,jr_gap,"&lt;0")+COUNTIFS(jr_num,A262,jr_gap,"&gt;0")&gt;0,"Écart","Conforme")))),IF(COUNTIFS(jr_num,A262,jr_gap,"&lt;0")&gt;0,"Partiel","Sorti")))))</f>
        <v/>
      </c>
      <c r="O262" t="str">
        <f>IFERROR(MATCH(257,jr_grank,0),"")</f>
        <v/>
      </c>
      <c r="R262" s="67" t="str">
        <f>IFERROR(INDEX(jr_num,MATCH("BL257",jr_nkey,0))&amp;"","")</f>
        <v/>
      </c>
      <c r="S262" s="67" t="str">
        <f>IFERROR(INDEX(jr_num,MATCH("BR257",jr_nkey,0))&amp;"","")</f>
        <v/>
      </c>
      <c r="T262" s="67" t="str">
        <f>IFERROR(INDEX(jr_num,MATCH("BS257",jr_nkey,0))&amp;"","")</f>
        <v/>
      </c>
    </row>
    <row r="263">
      <c r="A263" s="60" t="str">
        <f>IF($O263="","",INDEX(jr_num,$O263)&amp;"")</f>
        <v/>
      </c>
      <c r="B263" s="60" t="str">
        <f>IF($O263="","",IF(INDEX(jr_type,$O263)="BL","Livraison",IF(INDEX(jr_type,$O263)="BR","Réception","Sortie")))</f>
        <v/>
      </c>
      <c r="C263" s="65" t="str">
        <f>IF($O263="","",INDEX(jr_date,$O263))</f>
        <v/>
      </c>
      <c r="D263" s="60" t="str">
        <f>IF($O263="","",INDEX(jr_tiers,$O263)&amp;"")</f>
        <v/>
      </c>
      <c r="E263" s="57" t="str">
        <f>IF($O263="","",INDEX(jr_name,$O263)&amp;"")</f>
        <v/>
      </c>
      <c r="F263" s="57" t="str">
        <f>IF($O263="","",INDEX(jr_order,$O263)&amp;"")</f>
        <v/>
      </c>
      <c r="G263" s="57" t="str">
        <f>IF($O263="","",INDEX(jr_ext,$O263)&amp;"")</f>
        <v/>
      </c>
      <c r="H263" s="57" t="str">
        <f>IF($O263="","",INDEX(jr_carrier,$O263)&amp;"")</f>
        <v/>
      </c>
      <c r="I263" s="66" t="str">
        <f>IF(A263="","",COUNTIF(jr_num,A263))</f>
        <v/>
      </c>
      <c r="J263" s="66" t="str">
        <f>IF(A263="","",SUMIF(jr_num,A263,jr_colis))</f>
        <v/>
      </c>
      <c r="K263" s="63" t="str">
        <f>IF(A263="","",SUMIF(jr_num,A263,jr_kg))</f>
        <v/>
      </c>
      <c r="L263" s="64" t="str">
        <f>IF(A263="","",SUMIF(jr_num,A263,jr_val))</f>
        <v/>
      </c>
      <c r="M263" s="60" t="str">
        <f>IF(A263="","",IF(COUNTIFS(jr_num,A263,jr_check,"&lt;&gt;OK")&gt;0,"À vérifier",IF(LEFT(A263,2)="BL",IF(COUNTIFS(jr_num,A263,jr_rel,"&gt;0")&gt;0,"Reliquat en cours",IF(COUNTIFS(jr_num,A263,jr_gap,"&lt;0")&gt;0,"Reliquat livré","Complet")),IF(LEFT(A263,2)="BR",IF(COUNTIFS(jr_num,A263,jr_etat,"Refusé")&gt;0,"Refusé",IF(COUNTIFS(jr_num,A263,jr_etat,"Avec réserves")&gt;0,"Avec réserves",IF(COUNTIFS(jr_num,A263,jr_rel,"&gt;0")&gt;0,"Reliquat en cours",IF(COUNTIFS(jr_num,A263,jr_gap,"&lt;0")+COUNTIFS(jr_num,A263,jr_gap,"&gt;0")&gt;0,"Écart","Conforme")))),IF(COUNTIFS(jr_num,A263,jr_gap,"&lt;0")&gt;0,"Partiel","Sorti")))))</f>
        <v/>
      </c>
      <c r="O263" t="str">
        <f>IFERROR(MATCH(258,jr_grank,0),"")</f>
        <v/>
      </c>
      <c r="R263" s="67" t="str">
        <f>IFERROR(INDEX(jr_num,MATCH("BL258",jr_nkey,0))&amp;"","")</f>
        <v/>
      </c>
      <c r="S263" s="67" t="str">
        <f>IFERROR(INDEX(jr_num,MATCH("BR258",jr_nkey,0))&amp;"","")</f>
        <v/>
      </c>
      <c r="T263" s="67" t="str">
        <f>IFERROR(INDEX(jr_num,MATCH("BS258",jr_nkey,0))&amp;"","")</f>
        <v/>
      </c>
    </row>
    <row r="264">
      <c r="A264" s="60" t="str">
        <f>IF($O264="","",INDEX(jr_num,$O264)&amp;"")</f>
        <v/>
      </c>
      <c r="B264" s="60" t="str">
        <f>IF($O264="","",IF(INDEX(jr_type,$O264)="BL","Livraison",IF(INDEX(jr_type,$O264)="BR","Réception","Sortie")))</f>
        <v/>
      </c>
      <c r="C264" s="65" t="str">
        <f>IF($O264="","",INDEX(jr_date,$O264))</f>
        <v/>
      </c>
      <c r="D264" s="60" t="str">
        <f>IF($O264="","",INDEX(jr_tiers,$O264)&amp;"")</f>
        <v/>
      </c>
      <c r="E264" s="57" t="str">
        <f>IF($O264="","",INDEX(jr_name,$O264)&amp;"")</f>
        <v/>
      </c>
      <c r="F264" s="57" t="str">
        <f>IF($O264="","",INDEX(jr_order,$O264)&amp;"")</f>
        <v/>
      </c>
      <c r="G264" s="57" t="str">
        <f>IF($O264="","",INDEX(jr_ext,$O264)&amp;"")</f>
        <v/>
      </c>
      <c r="H264" s="57" t="str">
        <f>IF($O264="","",INDEX(jr_carrier,$O264)&amp;"")</f>
        <v/>
      </c>
      <c r="I264" s="66" t="str">
        <f>IF(A264="","",COUNTIF(jr_num,A264))</f>
        <v/>
      </c>
      <c r="J264" s="66" t="str">
        <f>IF(A264="","",SUMIF(jr_num,A264,jr_colis))</f>
        <v/>
      </c>
      <c r="K264" s="63" t="str">
        <f>IF(A264="","",SUMIF(jr_num,A264,jr_kg))</f>
        <v/>
      </c>
      <c r="L264" s="64" t="str">
        <f>IF(A264="","",SUMIF(jr_num,A264,jr_val))</f>
        <v/>
      </c>
      <c r="M264" s="60" t="str">
        <f>IF(A264="","",IF(COUNTIFS(jr_num,A264,jr_check,"&lt;&gt;OK")&gt;0,"À vérifier",IF(LEFT(A264,2)="BL",IF(COUNTIFS(jr_num,A264,jr_rel,"&gt;0")&gt;0,"Reliquat en cours",IF(COUNTIFS(jr_num,A264,jr_gap,"&lt;0")&gt;0,"Reliquat livré","Complet")),IF(LEFT(A264,2)="BR",IF(COUNTIFS(jr_num,A264,jr_etat,"Refusé")&gt;0,"Refusé",IF(COUNTIFS(jr_num,A264,jr_etat,"Avec réserves")&gt;0,"Avec réserves",IF(COUNTIFS(jr_num,A264,jr_rel,"&gt;0")&gt;0,"Reliquat en cours",IF(COUNTIFS(jr_num,A264,jr_gap,"&lt;0")+COUNTIFS(jr_num,A264,jr_gap,"&gt;0")&gt;0,"Écart","Conforme")))),IF(COUNTIFS(jr_num,A264,jr_gap,"&lt;0")&gt;0,"Partiel","Sorti")))))</f>
        <v/>
      </c>
      <c r="O264" t="str">
        <f>IFERROR(MATCH(259,jr_grank,0),"")</f>
        <v/>
      </c>
      <c r="R264" s="67" t="str">
        <f>IFERROR(INDEX(jr_num,MATCH("BL259",jr_nkey,0))&amp;"","")</f>
        <v/>
      </c>
      <c r="S264" s="67" t="str">
        <f>IFERROR(INDEX(jr_num,MATCH("BR259",jr_nkey,0))&amp;"","")</f>
        <v/>
      </c>
      <c r="T264" s="67" t="str">
        <f>IFERROR(INDEX(jr_num,MATCH("BS259",jr_nkey,0))&amp;"","")</f>
        <v/>
      </c>
    </row>
    <row r="265">
      <c r="A265" s="60" t="str">
        <f>IF($O265="","",INDEX(jr_num,$O265)&amp;"")</f>
        <v/>
      </c>
      <c r="B265" s="60" t="str">
        <f>IF($O265="","",IF(INDEX(jr_type,$O265)="BL","Livraison",IF(INDEX(jr_type,$O265)="BR","Réception","Sortie")))</f>
        <v/>
      </c>
      <c r="C265" s="65" t="str">
        <f>IF($O265="","",INDEX(jr_date,$O265))</f>
        <v/>
      </c>
      <c r="D265" s="60" t="str">
        <f>IF($O265="","",INDEX(jr_tiers,$O265)&amp;"")</f>
        <v/>
      </c>
      <c r="E265" s="57" t="str">
        <f>IF($O265="","",INDEX(jr_name,$O265)&amp;"")</f>
        <v/>
      </c>
      <c r="F265" s="57" t="str">
        <f>IF($O265="","",INDEX(jr_order,$O265)&amp;"")</f>
        <v/>
      </c>
      <c r="G265" s="57" t="str">
        <f>IF($O265="","",INDEX(jr_ext,$O265)&amp;"")</f>
        <v/>
      </c>
      <c r="H265" s="57" t="str">
        <f>IF($O265="","",INDEX(jr_carrier,$O265)&amp;"")</f>
        <v/>
      </c>
      <c r="I265" s="66" t="str">
        <f>IF(A265="","",COUNTIF(jr_num,A265))</f>
        <v/>
      </c>
      <c r="J265" s="66" t="str">
        <f>IF(A265="","",SUMIF(jr_num,A265,jr_colis))</f>
        <v/>
      </c>
      <c r="K265" s="63" t="str">
        <f>IF(A265="","",SUMIF(jr_num,A265,jr_kg))</f>
        <v/>
      </c>
      <c r="L265" s="64" t="str">
        <f>IF(A265="","",SUMIF(jr_num,A265,jr_val))</f>
        <v/>
      </c>
      <c r="M265" s="60" t="str">
        <f>IF(A265="","",IF(COUNTIFS(jr_num,A265,jr_check,"&lt;&gt;OK")&gt;0,"À vérifier",IF(LEFT(A265,2)="BL",IF(COUNTIFS(jr_num,A265,jr_rel,"&gt;0")&gt;0,"Reliquat en cours",IF(COUNTIFS(jr_num,A265,jr_gap,"&lt;0")&gt;0,"Reliquat livré","Complet")),IF(LEFT(A265,2)="BR",IF(COUNTIFS(jr_num,A265,jr_etat,"Refusé")&gt;0,"Refusé",IF(COUNTIFS(jr_num,A265,jr_etat,"Avec réserves")&gt;0,"Avec réserves",IF(COUNTIFS(jr_num,A265,jr_rel,"&gt;0")&gt;0,"Reliquat en cours",IF(COUNTIFS(jr_num,A265,jr_gap,"&lt;0")+COUNTIFS(jr_num,A265,jr_gap,"&gt;0")&gt;0,"Écart","Conforme")))),IF(COUNTIFS(jr_num,A265,jr_gap,"&lt;0")&gt;0,"Partiel","Sorti")))))</f>
        <v/>
      </c>
      <c r="O265" t="str">
        <f>IFERROR(MATCH(260,jr_grank,0),"")</f>
        <v/>
      </c>
      <c r="R265" s="67" t="str">
        <f>IFERROR(INDEX(jr_num,MATCH("BL260",jr_nkey,0))&amp;"","")</f>
        <v/>
      </c>
      <c r="S265" s="67" t="str">
        <f>IFERROR(INDEX(jr_num,MATCH("BR260",jr_nkey,0))&amp;"","")</f>
        <v/>
      </c>
      <c r="T265" s="67" t="str">
        <f>IFERROR(INDEX(jr_num,MATCH("BS260",jr_nkey,0))&amp;"","")</f>
        <v/>
      </c>
    </row>
    <row r="266">
      <c r="A266" s="60" t="str">
        <f>IF($O266="","",INDEX(jr_num,$O266)&amp;"")</f>
        <v/>
      </c>
      <c r="B266" s="60" t="str">
        <f>IF($O266="","",IF(INDEX(jr_type,$O266)="BL","Livraison",IF(INDEX(jr_type,$O266)="BR","Réception","Sortie")))</f>
        <v/>
      </c>
      <c r="C266" s="65" t="str">
        <f>IF($O266="","",INDEX(jr_date,$O266))</f>
        <v/>
      </c>
      <c r="D266" s="60" t="str">
        <f>IF($O266="","",INDEX(jr_tiers,$O266)&amp;"")</f>
        <v/>
      </c>
      <c r="E266" s="57" t="str">
        <f>IF($O266="","",INDEX(jr_name,$O266)&amp;"")</f>
        <v/>
      </c>
      <c r="F266" s="57" t="str">
        <f>IF($O266="","",INDEX(jr_order,$O266)&amp;"")</f>
        <v/>
      </c>
      <c r="G266" s="57" t="str">
        <f>IF($O266="","",INDEX(jr_ext,$O266)&amp;"")</f>
        <v/>
      </c>
      <c r="H266" s="57" t="str">
        <f>IF($O266="","",INDEX(jr_carrier,$O266)&amp;"")</f>
        <v/>
      </c>
      <c r="I266" s="66" t="str">
        <f>IF(A266="","",COUNTIF(jr_num,A266))</f>
        <v/>
      </c>
      <c r="J266" s="66" t="str">
        <f>IF(A266="","",SUMIF(jr_num,A266,jr_colis))</f>
        <v/>
      </c>
      <c r="K266" s="63" t="str">
        <f>IF(A266="","",SUMIF(jr_num,A266,jr_kg))</f>
        <v/>
      </c>
      <c r="L266" s="64" t="str">
        <f>IF(A266="","",SUMIF(jr_num,A266,jr_val))</f>
        <v/>
      </c>
      <c r="M266" s="60" t="str">
        <f>IF(A266="","",IF(COUNTIFS(jr_num,A266,jr_check,"&lt;&gt;OK")&gt;0,"À vérifier",IF(LEFT(A266,2)="BL",IF(COUNTIFS(jr_num,A266,jr_rel,"&gt;0")&gt;0,"Reliquat en cours",IF(COUNTIFS(jr_num,A266,jr_gap,"&lt;0")&gt;0,"Reliquat livré","Complet")),IF(LEFT(A266,2)="BR",IF(COUNTIFS(jr_num,A266,jr_etat,"Refusé")&gt;0,"Refusé",IF(COUNTIFS(jr_num,A266,jr_etat,"Avec réserves")&gt;0,"Avec réserves",IF(COUNTIFS(jr_num,A266,jr_rel,"&gt;0")&gt;0,"Reliquat en cours",IF(COUNTIFS(jr_num,A266,jr_gap,"&lt;0")+COUNTIFS(jr_num,A266,jr_gap,"&gt;0")&gt;0,"Écart","Conforme")))),IF(COUNTIFS(jr_num,A266,jr_gap,"&lt;0")&gt;0,"Partiel","Sorti")))))</f>
        <v/>
      </c>
      <c r="O266" t="str">
        <f>IFERROR(MATCH(261,jr_grank,0),"")</f>
        <v/>
      </c>
      <c r="R266" s="67" t="str">
        <f>IFERROR(INDEX(jr_num,MATCH("BL261",jr_nkey,0))&amp;"","")</f>
        <v/>
      </c>
      <c r="S266" s="67" t="str">
        <f>IFERROR(INDEX(jr_num,MATCH("BR261",jr_nkey,0))&amp;"","")</f>
        <v/>
      </c>
      <c r="T266" s="67" t="str">
        <f>IFERROR(INDEX(jr_num,MATCH("BS261",jr_nkey,0))&amp;"","")</f>
        <v/>
      </c>
    </row>
    <row r="267">
      <c r="A267" s="60" t="str">
        <f>IF($O267="","",INDEX(jr_num,$O267)&amp;"")</f>
        <v/>
      </c>
      <c r="B267" s="60" t="str">
        <f>IF($O267="","",IF(INDEX(jr_type,$O267)="BL","Livraison",IF(INDEX(jr_type,$O267)="BR","Réception","Sortie")))</f>
        <v/>
      </c>
      <c r="C267" s="65" t="str">
        <f>IF($O267="","",INDEX(jr_date,$O267))</f>
        <v/>
      </c>
      <c r="D267" s="60" t="str">
        <f>IF($O267="","",INDEX(jr_tiers,$O267)&amp;"")</f>
        <v/>
      </c>
      <c r="E267" s="57" t="str">
        <f>IF($O267="","",INDEX(jr_name,$O267)&amp;"")</f>
        <v/>
      </c>
      <c r="F267" s="57" t="str">
        <f>IF($O267="","",INDEX(jr_order,$O267)&amp;"")</f>
        <v/>
      </c>
      <c r="G267" s="57" t="str">
        <f>IF($O267="","",INDEX(jr_ext,$O267)&amp;"")</f>
        <v/>
      </c>
      <c r="H267" s="57" t="str">
        <f>IF($O267="","",INDEX(jr_carrier,$O267)&amp;"")</f>
        <v/>
      </c>
      <c r="I267" s="66" t="str">
        <f>IF(A267="","",COUNTIF(jr_num,A267))</f>
        <v/>
      </c>
      <c r="J267" s="66" t="str">
        <f>IF(A267="","",SUMIF(jr_num,A267,jr_colis))</f>
        <v/>
      </c>
      <c r="K267" s="63" t="str">
        <f>IF(A267="","",SUMIF(jr_num,A267,jr_kg))</f>
        <v/>
      </c>
      <c r="L267" s="64" t="str">
        <f>IF(A267="","",SUMIF(jr_num,A267,jr_val))</f>
        <v/>
      </c>
      <c r="M267" s="60" t="str">
        <f>IF(A267="","",IF(COUNTIFS(jr_num,A267,jr_check,"&lt;&gt;OK")&gt;0,"À vérifier",IF(LEFT(A267,2)="BL",IF(COUNTIFS(jr_num,A267,jr_rel,"&gt;0")&gt;0,"Reliquat en cours",IF(COUNTIFS(jr_num,A267,jr_gap,"&lt;0")&gt;0,"Reliquat livré","Complet")),IF(LEFT(A267,2)="BR",IF(COUNTIFS(jr_num,A267,jr_etat,"Refusé")&gt;0,"Refusé",IF(COUNTIFS(jr_num,A267,jr_etat,"Avec réserves")&gt;0,"Avec réserves",IF(COUNTIFS(jr_num,A267,jr_rel,"&gt;0")&gt;0,"Reliquat en cours",IF(COUNTIFS(jr_num,A267,jr_gap,"&lt;0")+COUNTIFS(jr_num,A267,jr_gap,"&gt;0")&gt;0,"Écart","Conforme")))),IF(COUNTIFS(jr_num,A267,jr_gap,"&lt;0")&gt;0,"Partiel","Sorti")))))</f>
        <v/>
      </c>
      <c r="O267" t="str">
        <f>IFERROR(MATCH(262,jr_grank,0),"")</f>
        <v/>
      </c>
      <c r="R267" s="67" t="str">
        <f>IFERROR(INDEX(jr_num,MATCH("BL262",jr_nkey,0))&amp;"","")</f>
        <v/>
      </c>
      <c r="S267" s="67" t="str">
        <f>IFERROR(INDEX(jr_num,MATCH("BR262",jr_nkey,0))&amp;"","")</f>
        <v/>
      </c>
      <c r="T267" s="67" t="str">
        <f>IFERROR(INDEX(jr_num,MATCH("BS262",jr_nkey,0))&amp;"","")</f>
        <v/>
      </c>
    </row>
    <row r="268">
      <c r="A268" s="60" t="str">
        <f>IF($O268="","",INDEX(jr_num,$O268)&amp;"")</f>
        <v/>
      </c>
      <c r="B268" s="60" t="str">
        <f>IF($O268="","",IF(INDEX(jr_type,$O268)="BL","Livraison",IF(INDEX(jr_type,$O268)="BR","Réception","Sortie")))</f>
        <v/>
      </c>
      <c r="C268" s="65" t="str">
        <f>IF($O268="","",INDEX(jr_date,$O268))</f>
        <v/>
      </c>
      <c r="D268" s="60" t="str">
        <f>IF($O268="","",INDEX(jr_tiers,$O268)&amp;"")</f>
        <v/>
      </c>
      <c r="E268" s="57" t="str">
        <f>IF($O268="","",INDEX(jr_name,$O268)&amp;"")</f>
        <v/>
      </c>
      <c r="F268" s="57" t="str">
        <f>IF($O268="","",INDEX(jr_order,$O268)&amp;"")</f>
        <v/>
      </c>
      <c r="G268" s="57" t="str">
        <f>IF($O268="","",INDEX(jr_ext,$O268)&amp;"")</f>
        <v/>
      </c>
      <c r="H268" s="57" t="str">
        <f>IF($O268="","",INDEX(jr_carrier,$O268)&amp;"")</f>
        <v/>
      </c>
      <c r="I268" s="66" t="str">
        <f>IF(A268="","",COUNTIF(jr_num,A268))</f>
        <v/>
      </c>
      <c r="J268" s="66" t="str">
        <f>IF(A268="","",SUMIF(jr_num,A268,jr_colis))</f>
        <v/>
      </c>
      <c r="K268" s="63" t="str">
        <f>IF(A268="","",SUMIF(jr_num,A268,jr_kg))</f>
        <v/>
      </c>
      <c r="L268" s="64" t="str">
        <f>IF(A268="","",SUMIF(jr_num,A268,jr_val))</f>
        <v/>
      </c>
      <c r="M268" s="60" t="str">
        <f>IF(A268="","",IF(COUNTIFS(jr_num,A268,jr_check,"&lt;&gt;OK")&gt;0,"À vérifier",IF(LEFT(A268,2)="BL",IF(COUNTIFS(jr_num,A268,jr_rel,"&gt;0")&gt;0,"Reliquat en cours",IF(COUNTIFS(jr_num,A268,jr_gap,"&lt;0")&gt;0,"Reliquat livré","Complet")),IF(LEFT(A268,2)="BR",IF(COUNTIFS(jr_num,A268,jr_etat,"Refusé")&gt;0,"Refusé",IF(COUNTIFS(jr_num,A268,jr_etat,"Avec réserves")&gt;0,"Avec réserves",IF(COUNTIFS(jr_num,A268,jr_rel,"&gt;0")&gt;0,"Reliquat en cours",IF(COUNTIFS(jr_num,A268,jr_gap,"&lt;0")+COUNTIFS(jr_num,A268,jr_gap,"&gt;0")&gt;0,"Écart","Conforme")))),IF(COUNTIFS(jr_num,A268,jr_gap,"&lt;0")&gt;0,"Partiel","Sorti")))))</f>
        <v/>
      </c>
      <c r="O268" t="str">
        <f>IFERROR(MATCH(263,jr_grank,0),"")</f>
        <v/>
      </c>
      <c r="R268" s="67" t="str">
        <f>IFERROR(INDEX(jr_num,MATCH("BL263",jr_nkey,0))&amp;"","")</f>
        <v/>
      </c>
      <c r="S268" s="67" t="str">
        <f>IFERROR(INDEX(jr_num,MATCH("BR263",jr_nkey,0))&amp;"","")</f>
        <v/>
      </c>
      <c r="T268" s="67" t="str">
        <f>IFERROR(INDEX(jr_num,MATCH("BS263",jr_nkey,0))&amp;"","")</f>
        <v/>
      </c>
    </row>
    <row r="269">
      <c r="A269" s="60" t="str">
        <f>IF($O269="","",INDEX(jr_num,$O269)&amp;"")</f>
        <v/>
      </c>
      <c r="B269" s="60" t="str">
        <f>IF($O269="","",IF(INDEX(jr_type,$O269)="BL","Livraison",IF(INDEX(jr_type,$O269)="BR","Réception","Sortie")))</f>
        <v/>
      </c>
      <c r="C269" s="65" t="str">
        <f>IF($O269="","",INDEX(jr_date,$O269))</f>
        <v/>
      </c>
      <c r="D269" s="60" t="str">
        <f>IF($O269="","",INDEX(jr_tiers,$O269)&amp;"")</f>
        <v/>
      </c>
      <c r="E269" s="57" t="str">
        <f>IF($O269="","",INDEX(jr_name,$O269)&amp;"")</f>
        <v/>
      </c>
      <c r="F269" s="57" t="str">
        <f>IF($O269="","",INDEX(jr_order,$O269)&amp;"")</f>
        <v/>
      </c>
      <c r="G269" s="57" t="str">
        <f>IF($O269="","",INDEX(jr_ext,$O269)&amp;"")</f>
        <v/>
      </c>
      <c r="H269" s="57" t="str">
        <f>IF($O269="","",INDEX(jr_carrier,$O269)&amp;"")</f>
        <v/>
      </c>
      <c r="I269" s="66" t="str">
        <f>IF(A269="","",COUNTIF(jr_num,A269))</f>
        <v/>
      </c>
      <c r="J269" s="66" t="str">
        <f>IF(A269="","",SUMIF(jr_num,A269,jr_colis))</f>
        <v/>
      </c>
      <c r="K269" s="63" t="str">
        <f>IF(A269="","",SUMIF(jr_num,A269,jr_kg))</f>
        <v/>
      </c>
      <c r="L269" s="64" t="str">
        <f>IF(A269="","",SUMIF(jr_num,A269,jr_val))</f>
        <v/>
      </c>
      <c r="M269" s="60" t="str">
        <f>IF(A269="","",IF(COUNTIFS(jr_num,A269,jr_check,"&lt;&gt;OK")&gt;0,"À vérifier",IF(LEFT(A269,2)="BL",IF(COUNTIFS(jr_num,A269,jr_rel,"&gt;0")&gt;0,"Reliquat en cours",IF(COUNTIFS(jr_num,A269,jr_gap,"&lt;0")&gt;0,"Reliquat livré","Complet")),IF(LEFT(A269,2)="BR",IF(COUNTIFS(jr_num,A269,jr_etat,"Refusé")&gt;0,"Refusé",IF(COUNTIFS(jr_num,A269,jr_etat,"Avec réserves")&gt;0,"Avec réserves",IF(COUNTIFS(jr_num,A269,jr_rel,"&gt;0")&gt;0,"Reliquat en cours",IF(COUNTIFS(jr_num,A269,jr_gap,"&lt;0")+COUNTIFS(jr_num,A269,jr_gap,"&gt;0")&gt;0,"Écart","Conforme")))),IF(COUNTIFS(jr_num,A269,jr_gap,"&lt;0")&gt;0,"Partiel","Sorti")))))</f>
        <v/>
      </c>
      <c r="O269" t="str">
        <f>IFERROR(MATCH(264,jr_grank,0),"")</f>
        <v/>
      </c>
      <c r="R269" s="67" t="str">
        <f>IFERROR(INDEX(jr_num,MATCH("BL264",jr_nkey,0))&amp;"","")</f>
        <v/>
      </c>
      <c r="S269" s="67" t="str">
        <f>IFERROR(INDEX(jr_num,MATCH("BR264",jr_nkey,0))&amp;"","")</f>
        <v/>
      </c>
      <c r="T269" s="67" t="str">
        <f>IFERROR(INDEX(jr_num,MATCH("BS264",jr_nkey,0))&amp;"","")</f>
        <v/>
      </c>
    </row>
    <row r="270">
      <c r="A270" s="60" t="str">
        <f>IF($O270="","",INDEX(jr_num,$O270)&amp;"")</f>
        <v/>
      </c>
      <c r="B270" s="60" t="str">
        <f>IF($O270="","",IF(INDEX(jr_type,$O270)="BL","Livraison",IF(INDEX(jr_type,$O270)="BR","Réception","Sortie")))</f>
        <v/>
      </c>
      <c r="C270" s="65" t="str">
        <f>IF($O270="","",INDEX(jr_date,$O270))</f>
        <v/>
      </c>
      <c r="D270" s="60" t="str">
        <f>IF($O270="","",INDEX(jr_tiers,$O270)&amp;"")</f>
        <v/>
      </c>
      <c r="E270" s="57" t="str">
        <f>IF($O270="","",INDEX(jr_name,$O270)&amp;"")</f>
        <v/>
      </c>
      <c r="F270" s="57" t="str">
        <f>IF($O270="","",INDEX(jr_order,$O270)&amp;"")</f>
        <v/>
      </c>
      <c r="G270" s="57" t="str">
        <f>IF($O270="","",INDEX(jr_ext,$O270)&amp;"")</f>
        <v/>
      </c>
      <c r="H270" s="57" t="str">
        <f>IF($O270="","",INDEX(jr_carrier,$O270)&amp;"")</f>
        <v/>
      </c>
      <c r="I270" s="66" t="str">
        <f>IF(A270="","",COUNTIF(jr_num,A270))</f>
        <v/>
      </c>
      <c r="J270" s="66" t="str">
        <f>IF(A270="","",SUMIF(jr_num,A270,jr_colis))</f>
        <v/>
      </c>
      <c r="K270" s="63" t="str">
        <f>IF(A270="","",SUMIF(jr_num,A270,jr_kg))</f>
        <v/>
      </c>
      <c r="L270" s="64" t="str">
        <f>IF(A270="","",SUMIF(jr_num,A270,jr_val))</f>
        <v/>
      </c>
      <c r="M270" s="60" t="str">
        <f>IF(A270="","",IF(COUNTIFS(jr_num,A270,jr_check,"&lt;&gt;OK")&gt;0,"À vérifier",IF(LEFT(A270,2)="BL",IF(COUNTIFS(jr_num,A270,jr_rel,"&gt;0")&gt;0,"Reliquat en cours",IF(COUNTIFS(jr_num,A270,jr_gap,"&lt;0")&gt;0,"Reliquat livré","Complet")),IF(LEFT(A270,2)="BR",IF(COUNTIFS(jr_num,A270,jr_etat,"Refusé")&gt;0,"Refusé",IF(COUNTIFS(jr_num,A270,jr_etat,"Avec réserves")&gt;0,"Avec réserves",IF(COUNTIFS(jr_num,A270,jr_rel,"&gt;0")&gt;0,"Reliquat en cours",IF(COUNTIFS(jr_num,A270,jr_gap,"&lt;0")+COUNTIFS(jr_num,A270,jr_gap,"&gt;0")&gt;0,"Écart","Conforme")))),IF(COUNTIFS(jr_num,A270,jr_gap,"&lt;0")&gt;0,"Partiel","Sorti")))))</f>
        <v/>
      </c>
      <c r="O270" t="str">
        <f>IFERROR(MATCH(265,jr_grank,0),"")</f>
        <v/>
      </c>
      <c r="R270" s="67" t="str">
        <f>IFERROR(INDEX(jr_num,MATCH("BL265",jr_nkey,0))&amp;"","")</f>
        <v/>
      </c>
      <c r="S270" s="67" t="str">
        <f>IFERROR(INDEX(jr_num,MATCH("BR265",jr_nkey,0))&amp;"","")</f>
        <v/>
      </c>
      <c r="T270" s="67" t="str">
        <f>IFERROR(INDEX(jr_num,MATCH("BS265",jr_nkey,0))&amp;"","")</f>
        <v/>
      </c>
    </row>
    <row r="271">
      <c r="A271" s="60" t="str">
        <f>IF($O271="","",INDEX(jr_num,$O271)&amp;"")</f>
        <v/>
      </c>
      <c r="B271" s="60" t="str">
        <f>IF($O271="","",IF(INDEX(jr_type,$O271)="BL","Livraison",IF(INDEX(jr_type,$O271)="BR","Réception","Sortie")))</f>
        <v/>
      </c>
      <c r="C271" s="65" t="str">
        <f>IF($O271="","",INDEX(jr_date,$O271))</f>
        <v/>
      </c>
      <c r="D271" s="60" t="str">
        <f>IF($O271="","",INDEX(jr_tiers,$O271)&amp;"")</f>
        <v/>
      </c>
      <c r="E271" s="57" t="str">
        <f>IF($O271="","",INDEX(jr_name,$O271)&amp;"")</f>
        <v/>
      </c>
      <c r="F271" s="57" t="str">
        <f>IF($O271="","",INDEX(jr_order,$O271)&amp;"")</f>
        <v/>
      </c>
      <c r="G271" s="57" t="str">
        <f>IF($O271="","",INDEX(jr_ext,$O271)&amp;"")</f>
        <v/>
      </c>
      <c r="H271" s="57" t="str">
        <f>IF($O271="","",INDEX(jr_carrier,$O271)&amp;"")</f>
        <v/>
      </c>
      <c r="I271" s="66" t="str">
        <f>IF(A271="","",COUNTIF(jr_num,A271))</f>
        <v/>
      </c>
      <c r="J271" s="66" t="str">
        <f>IF(A271="","",SUMIF(jr_num,A271,jr_colis))</f>
        <v/>
      </c>
      <c r="K271" s="63" t="str">
        <f>IF(A271="","",SUMIF(jr_num,A271,jr_kg))</f>
        <v/>
      </c>
      <c r="L271" s="64" t="str">
        <f>IF(A271="","",SUMIF(jr_num,A271,jr_val))</f>
        <v/>
      </c>
      <c r="M271" s="60" t="str">
        <f>IF(A271="","",IF(COUNTIFS(jr_num,A271,jr_check,"&lt;&gt;OK")&gt;0,"À vérifier",IF(LEFT(A271,2)="BL",IF(COUNTIFS(jr_num,A271,jr_rel,"&gt;0")&gt;0,"Reliquat en cours",IF(COUNTIFS(jr_num,A271,jr_gap,"&lt;0")&gt;0,"Reliquat livré","Complet")),IF(LEFT(A271,2)="BR",IF(COUNTIFS(jr_num,A271,jr_etat,"Refusé")&gt;0,"Refusé",IF(COUNTIFS(jr_num,A271,jr_etat,"Avec réserves")&gt;0,"Avec réserves",IF(COUNTIFS(jr_num,A271,jr_rel,"&gt;0")&gt;0,"Reliquat en cours",IF(COUNTIFS(jr_num,A271,jr_gap,"&lt;0")+COUNTIFS(jr_num,A271,jr_gap,"&gt;0")&gt;0,"Écart","Conforme")))),IF(COUNTIFS(jr_num,A271,jr_gap,"&lt;0")&gt;0,"Partiel","Sorti")))))</f>
        <v/>
      </c>
      <c r="O271" t="str">
        <f>IFERROR(MATCH(266,jr_grank,0),"")</f>
        <v/>
      </c>
      <c r="R271" s="67" t="str">
        <f>IFERROR(INDEX(jr_num,MATCH("BL266",jr_nkey,0))&amp;"","")</f>
        <v/>
      </c>
      <c r="S271" s="67" t="str">
        <f>IFERROR(INDEX(jr_num,MATCH("BR266",jr_nkey,0))&amp;"","")</f>
        <v/>
      </c>
      <c r="T271" s="67" t="str">
        <f>IFERROR(INDEX(jr_num,MATCH("BS266",jr_nkey,0))&amp;"","")</f>
        <v/>
      </c>
    </row>
    <row r="272">
      <c r="A272" s="60" t="str">
        <f>IF($O272="","",INDEX(jr_num,$O272)&amp;"")</f>
        <v/>
      </c>
      <c r="B272" s="60" t="str">
        <f>IF($O272="","",IF(INDEX(jr_type,$O272)="BL","Livraison",IF(INDEX(jr_type,$O272)="BR","Réception","Sortie")))</f>
        <v/>
      </c>
      <c r="C272" s="65" t="str">
        <f>IF($O272="","",INDEX(jr_date,$O272))</f>
        <v/>
      </c>
      <c r="D272" s="60" t="str">
        <f>IF($O272="","",INDEX(jr_tiers,$O272)&amp;"")</f>
        <v/>
      </c>
      <c r="E272" s="57" t="str">
        <f>IF($O272="","",INDEX(jr_name,$O272)&amp;"")</f>
        <v/>
      </c>
      <c r="F272" s="57" t="str">
        <f>IF($O272="","",INDEX(jr_order,$O272)&amp;"")</f>
        <v/>
      </c>
      <c r="G272" s="57" t="str">
        <f>IF($O272="","",INDEX(jr_ext,$O272)&amp;"")</f>
        <v/>
      </c>
      <c r="H272" s="57" t="str">
        <f>IF($O272="","",INDEX(jr_carrier,$O272)&amp;"")</f>
        <v/>
      </c>
      <c r="I272" s="66" t="str">
        <f>IF(A272="","",COUNTIF(jr_num,A272))</f>
        <v/>
      </c>
      <c r="J272" s="66" t="str">
        <f>IF(A272="","",SUMIF(jr_num,A272,jr_colis))</f>
        <v/>
      </c>
      <c r="K272" s="63" t="str">
        <f>IF(A272="","",SUMIF(jr_num,A272,jr_kg))</f>
        <v/>
      </c>
      <c r="L272" s="64" t="str">
        <f>IF(A272="","",SUMIF(jr_num,A272,jr_val))</f>
        <v/>
      </c>
      <c r="M272" s="60" t="str">
        <f>IF(A272="","",IF(COUNTIFS(jr_num,A272,jr_check,"&lt;&gt;OK")&gt;0,"À vérifier",IF(LEFT(A272,2)="BL",IF(COUNTIFS(jr_num,A272,jr_rel,"&gt;0")&gt;0,"Reliquat en cours",IF(COUNTIFS(jr_num,A272,jr_gap,"&lt;0")&gt;0,"Reliquat livré","Complet")),IF(LEFT(A272,2)="BR",IF(COUNTIFS(jr_num,A272,jr_etat,"Refusé")&gt;0,"Refusé",IF(COUNTIFS(jr_num,A272,jr_etat,"Avec réserves")&gt;0,"Avec réserves",IF(COUNTIFS(jr_num,A272,jr_rel,"&gt;0")&gt;0,"Reliquat en cours",IF(COUNTIFS(jr_num,A272,jr_gap,"&lt;0")+COUNTIFS(jr_num,A272,jr_gap,"&gt;0")&gt;0,"Écart","Conforme")))),IF(COUNTIFS(jr_num,A272,jr_gap,"&lt;0")&gt;0,"Partiel","Sorti")))))</f>
        <v/>
      </c>
      <c r="O272" t="str">
        <f>IFERROR(MATCH(267,jr_grank,0),"")</f>
        <v/>
      </c>
      <c r="R272" s="67" t="str">
        <f>IFERROR(INDEX(jr_num,MATCH("BL267",jr_nkey,0))&amp;"","")</f>
        <v/>
      </c>
      <c r="S272" s="67" t="str">
        <f>IFERROR(INDEX(jr_num,MATCH("BR267",jr_nkey,0))&amp;"","")</f>
        <v/>
      </c>
      <c r="T272" s="67" t="str">
        <f>IFERROR(INDEX(jr_num,MATCH("BS267",jr_nkey,0))&amp;"","")</f>
        <v/>
      </c>
    </row>
    <row r="273">
      <c r="A273" s="60" t="str">
        <f>IF($O273="","",INDEX(jr_num,$O273)&amp;"")</f>
        <v/>
      </c>
      <c r="B273" s="60" t="str">
        <f>IF($O273="","",IF(INDEX(jr_type,$O273)="BL","Livraison",IF(INDEX(jr_type,$O273)="BR","Réception","Sortie")))</f>
        <v/>
      </c>
      <c r="C273" s="65" t="str">
        <f>IF($O273="","",INDEX(jr_date,$O273))</f>
        <v/>
      </c>
      <c r="D273" s="60" t="str">
        <f>IF($O273="","",INDEX(jr_tiers,$O273)&amp;"")</f>
        <v/>
      </c>
      <c r="E273" s="57" t="str">
        <f>IF($O273="","",INDEX(jr_name,$O273)&amp;"")</f>
        <v/>
      </c>
      <c r="F273" s="57" t="str">
        <f>IF($O273="","",INDEX(jr_order,$O273)&amp;"")</f>
        <v/>
      </c>
      <c r="G273" s="57" t="str">
        <f>IF($O273="","",INDEX(jr_ext,$O273)&amp;"")</f>
        <v/>
      </c>
      <c r="H273" s="57" t="str">
        <f>IF($O273="","",INDEX(jr_carrier,$O273)&amp;"")</f>
        <v/>
      </c>
      <c r="I273" s="66" t="str">
        <f>IF(A273="","",COUNTIF(jr_num,A273))</f>
        <v/>
      </c>
      <c r="J273" s="66" t="str">
        <f>IF(A273="","",SUMIF(jr_num,A273,jr_colis))</f>
        <v/>
      </c>
      <c r="K273" s="63" t="str">
        <f>IF(A273="","",SUMIF(jr_num,A273,jr_kg))</f>
        <v/>
      </c>
      <c r="L273" s="64" t="str">
        <f>IF(A273="","",SUMIF(jr_num,A273,jr_val))</f>
        <v/>
      </c>
      <c r="M273" s="60" t="str">
        <f>IF(A273="","",IF(COUNTIFS(jr_num,A273,jr_check,"&lt;&gt;OK")&gt;0,"À vérifier",IF(LEFT(A273,2)="BL",IF(COUNTIFS(jr_num,A273,jr_rel,"&gt;0")&gt;0,"Reliquat en cours",IF(COUNTIFS(jr_num,A273,jr_gap,"&lt;0")&gt;0,"Reliquat livré","Complet")),IF(LEFT(A273,2)="BR",IF(COUNTIFS(jr_num,A273,jr_etat,"Refusé")&gt;0,"Refusé",IF(COUNTIFS(jr_num,A273,jr_etat,"Avec réserves")&gt;0,"Avec réserves",IF(COUNTIFS(jr_num,A273,jr_rel,"&gt;0")&gt;0,"Reliquat en cours",IF(COUNTIFS(jr_num,A273,jr_gap,"&lt;0")+COUNTIFS(jr_num,A273,jr_gap,"&gt;0")&gt;0,"Écart","Conforme")))),IF(COUNTIFS(jr_num,A273,jr_gap,"&lt;0")&gt;0,"Partiel","Sorti")))))</f>
        <v/>
      </c>
      <c r="O273" t="str">
        <f>IFERROR(MATCH(268,jr_grank,0),"")</f>
        <v/>
      </c>
      <c r="R273" s="67" t="str">
        <f>IFERROR(INDEX(jr_num,MATCH("BL268",jr_nkey,0))&amp;"","")</f>
        <v/>
      </c>
      <c r="S273" s="67" t="str">
        <f>IFERROR(INDEX(jr_num,MATCH("BR268",jr_nkey,0))&amp;"","")</f>
        <v/>
      </c>
      <c r="T273" s="67" t="str">
        <f>IFERROR(INDEX(jr_num,MATCH("BS268",jr_nkey,0))&amp;"","")</f>
        <v/>
      </c>
    </row>
    <row r="274">
      <c r="A274" s="60" t="str">
        <f>IF($O274="","",INDEX(jr_num,$O274)&amp;"")</f>
        <v/>
      </c>
      <c r="B274" s="60" t="str">
        <f>IF($O274="","",IF(INDEX(jr_type,$O274)="BL","Livraison",IF(INDEX(jr_type,$O274)="BR","Réception","Sortie")))</f>
        <v/>
      </c>
      <c r="C274" s="65" t="str">
        <f>IF($O274="","",INDEX(jr_date,$O274))</f>
        <v/>
      </c>
      <c r="D274" s="60" t="str">
        <f>IF($O274="","",INDEX(jr_tiers,$O274)&amp;"")</f>
        <v/>
      </c>
      <c r="E274" s="57" t="str">
        <f>IF($O274="","",INDEX(jr_name,$O274)&amp;"")</f>
        <v/>
      </c>
      <c r="F274" s="57" t="str">
        <f>IF($O274="","",INDEX(jr_order,$O274)&amp;"")</f>
        <v/>
      </c>
      <c r="G274" s="57" t="str">
        <f>IF($O274="","",INDEX(jr_ext,$O274)&amp;"")</f>
        <v/>
      </c>
      <c r="H274" s="57" t="str">
        <f>IF($O274="","",INDEX(jr_carrier,$O274)&amp;"")</f>
        <v/>
      </c>
      <c r="I274" s="66" t="str">
        <f>IF(A274="","",COUNTIF(jr_num,A274))</f>
        <v/>
      </c>
      <c r="J274" s="66" t="str">
        <f>IF(A274="","",SUMIF(jr_num,A274,jr_colis))</f>
        <v/>
      </c>
      <c r="K274" s="63" t="str">
        <f>IF(A274="","",SUMIF(jr_num,A274,jr_kg))</f>
        <v/>
      </c>
      <c r="L274" s="64" t="str">
        <f>IF(A274="","",SUMIF(jr_num,A274,jr_val))</f>
        <v/>
      </c>
      <c r="M274" s="60" t="str">
        <f>IF(A274="","",IF(COUNTIFS(jr_num,A274,jr_check,"&lt;&gt;OK")&gt;0,"À vérifier",IF(LEFT(A274,2)="BL",IF(COUNTIFS(jr_num,A274,jr_rel,"&gt;0")&gt;0,"Reliquat en cours",IF(COUNTIFS(jr_num,A274,jr_gap,"&lt;0")&gt;0,"Reliquat livré","Complet")),IF(LEFT(A274,2)="BR",IF(COUNTIFS(jr_num,A274,jr_etat,"Refusé")&gt;0,"Refusé",IF(COUNTIFS(jr_num,A274,jr_etat,"Avec réserves")&gt;0,"Avec réserves",IF(COUNTIFS(jr_num,A274,jr_rel,"&gt;0")&gt;0,"Reliquat en cours",IF(COUNTIFS(jr_num,A274,jr_gap,"&lt;0")+COUNTIFS(jr_num,A274,jr_gap,"&gt;0")&gt;0,"Écart","Conforme")))),IF(COUNTIFS(jr_num,A274,jr_gap,"&lt;0")&gt;0,"Partiel","Sorti")))))</f>
        <v/>
      </c>
      <c r="O274" t="str">
        <f>IFERROR(MATCH(269,jr_grank,0),"")</f>
        <v/>
      </c>
      <c r="R274" s="67" t="str">
        <f>IFERROR(INDEX(jr_num,MATCH("BL269",jr_nkey,0))&amp;"","")</f>
        <v/>
      </c>
      <c r="S274" s="67" t="str">
        <f>IFERROR(INDEX(jr_num,MATCH("BR269",jr_nkey,0))&amp;"","")</f>
        <v/>
      </c>
      <c r="T274" s="67" t="str">
        <f>IFERROR(INDEX(jr_num,MATCH("BS269",jr_nkey,0))&amp;"","")</f>
        <v/>
      </c>
    </row>
    <row r="275">
      <c r="A275" s="60" t="str">
        <f>IF($O275="","",INDEX(jr_num,$O275)&amp;"")</f>
        <v/>
      </c>
      <c r="B275" s="60" t="str">
        <f>IF($O275="","",IF(INDEX(jr_type,$O275)="BL","Livraison",IF(INDEX(jr_type,$O275)="BR","Réception","Sortie")))</f>
        <v/>
      </c>
      <c r="C275" s="65" t="str">
        <f>IF($O275="","",INDEX(jr_date,$O275))</f>
        <v/>
      </c>
      <c r="D275" s="60" t="str">
        <f>IF($O275="","",INDEX(jr_tiers,$O275)&amp;"")</f>
        <v/>
      </c>
      <c r="E275" s="57" t="str">
        <f>IF($O275="","",INDEX(jr_name,$O275)&amp;"")</f>
        <v/>
      </c>
      <c r="F275" s="57" t="str">
        <f>IF($O275="","",INDEX(jr_order,$O275)&amp;"")</f>
        <v/>
      </c>
      <c r="G275" s="57" t="str">
        <f>IF($O275="","",INDEX(jr_ext,$O275)&amp;"")</f>
        <v/>
      </c>
      <c r="H275" s="57" t="str">
        <f>IF($O275="","",INDEX(jr_carrier,$O275)&amp;"")</f>
        <v/>
      </c>
      <c r="I275" s="66" t="str">
        <f>IF(A275="","",COUNTIF(jr_num,A275))</f>
        <v/>
      </c>
      <c r="J275" s="66" t="str">
        <f>IF(A275="","",SUMIF(jr_num,A275,jr_colis))</f>
        <v/>
      </c>
      <c r="K275" s="63" t="str">
        <f>IF(A275="","",SUMIF(jr_num,A275,jr_kg))</f>
        <v/>
      </c>
      <c r="L275" s="64" t="str">
        <f>IF(A275="","",SUMIF(jr_num,A275,jr_val))</f>
        <v/>
      </c>
      <c r="M275" s="60" t="str">
        <f>IF(A275="","",IF(COUNTIFS(jr_num,A275,jr_check,"&lt;&gt;OK")&gt;0,"À vérifier",IF(LEFT(A275,2)="BL",IF(COUNTIFS(jr_num,A275,jr_rel,"&gt;0")&gt;0,"Reliquat en cours",IF(COUNTIFS(jr_num,A275,jr_gap,"&lt;0")&gt;0,"Reliquat livré","Complet")),IF(LEFT(A275,2)="BR",IF(COUNTIFS(jr_num,A275,jr_etat,"Refusé")&gt;0,"Refusé",IF(COUNTIFS(jr_num,A275,jr_etat,"Avec réserves")&gt;0,"Avec réserves",IF(COUNTIFS(jr_num,A275,jr_rel,"&gt;0")&gt;0,"Reliquat en cours",IF(COUNTIFS(jr_num,A275,jr_gap,"&lt;0")+COUNTIFS(jr_num,A275,jr_gap,"&gt;0")&gt;0,"Écart","Conforme")))),IF(COUNTIFS(jr_num,A275,jr_gap,"&lt;0")&gt;0,"Partiel","Sorti")))))</f>
        <v/>
      </c>
      <c r="O275" t="str">
        <f>IFERROR(MATCH(270,jr_grank,0),"")</f>
        <v/>
      </c>
      <c r="R275" s="67" t="str">
        <f>IFERROR(INDEX(jr_num,MATCH("BL270",jr_nkey,0))&amp;"","")</f>
        <v/>
      </c>
      <c r="S275" s="67" t="str">
        <f>IFERROR(INDEX(jr_num,MATCH("BR270",jr_nkey,0))&amp;"","")</f>
        <v/>
      </c>
      <c r="T275" s="67" t="str">
        <f>IFERROR(INDEX(jr_num,MATCH("BS270",jr_nkey,0))&amp;"","")</f>
        <v/>
      </c>
    </row>
    <row r="276">
      <c r="A276" s="60" t="str">
        <f>IF($O276="","",INDEX(jr_num,$O276)&amp;"")</f>
        <v/>
      </c>
      <c r="B276" s="60" t="str">
        <f>IF($O276="","",IF(INDEX(jr_type,$O276)="BL","Livraison",IF(INDEX(jr_type,$O276)="BR","Réception","Sortie")))</f>
        <v/>
      </c>
      <c r="C276" s="65" t="str">
        <f>IF($O276="","",INDEX(jr_date,$O276))</f>
        <v/>
      </c>
      <c r="D276" s="60" t="str">
        <f>IF($O276="","",INDEX(jr_tiers,$O276)&amp;"")</f>
        <v/>
      </c>
      <c r="E276" s="57" t="str">
        <f>IF($O276="","",INDEX(jr_name,$O276)&amp;"")</f>
        <v/>
      </c>
      <c r="F276" s="57" t="str">
        <f>IF($O276="","",INDEX(jr_order,$O276)&amp;"")</f>
        <v/>
      </c>
      <c r="G276" s="57" t="str">
        <f>IF($O276="","",INDEX(jr_ext,$O276)&amp;"")</f>
        <v/>
      </c>
      <c r="H276" s="57" t="str">
        <f>IF($O276="","",INDEX(jr_carrier,$O276)&amp;"")</f>
        <v/>
      </c>
      <c r="I276" s="66" t="str">
        <f>IF(A276="","",COUNTIF(jr_num,A276))</f>
        <v/>
      </c>
      <c r="J276" s="66" t="str">
        <f>IF(A276="","",SUMIF(jr_num,A276,jr_colis))</f>
        <v/>
      </c>
      <c r="K276" s="63" t="str">
        <f>IF(A276="","",SUMIF(jr_num,A276,jr_kg))</f>
        <v/>
      </c>
      <c r="L276" s="64" t="str">
        <f>IF(A276="","",SUMIF(jr_num,A276,jr_val))</f>
        <v/>
      </c>
      <c r="M276" s="60" t="str">
        <f>IF(A276="","",IF(COUNTIFS(jr_num,A276,jr_check,"&lt;&gt;OK")&gt;0,"À vérifier",IF(LEFT(A276,2)="BL",IF(COUNTIFS(jr_num,A276,jr_rel,"&gt;0")&gt;0,"Reliquat en cours",IF(COUNTIFS(jr_num,A276,jr_gap,"&lt;0")&gt;0,"Reliquat livré","Complet")),IF(LEFT(A276,2)="BR",IF(COUNTIFS(jr_num,A276,jr_etat,"Refusé")&gt;0,"Refusé",IF(COUNTIFS(jr_num,A276,jr_etat,"Avec réserves")&gt;0,"Avec réserves",IF(COUNTIFS(jr_num,A276,jr_rel,"&gt;0")&gt;0,"Reliquat en cours",IF(COUNTIFS(jr_num,A276,jr_gap,"&lt;0")+COUNTIFS(jr_num,A276,jr_gap,"&gt;0")&gt;0,"Écart","Conforme")))),IF(COUNTIFS(jr_num,A276,jr_gap,"&lt;0")&gt;0,"Partiel","Sorti")))))</f>
        <v/>
      </c>
      <c r="O276" t="str">
        <f>IFERROR(MATCH(271,jr_grank,0),"")</f>
        <v/>
      </c>
      <c r="R276" s="67" t="str">
        <f>IFERROR(INDEX(jr_num,MATCH("BL271",jr_nkey,0))&amp;"","")</f>
        <v/>
      </c>
      <c r="S276" s="67" t="str">
        <f>IFERROR(INDEX(jr_num,MATCH("BR271",jr_nkey,0))&amp;"","")</f>
        <v/>
      </c>
      <c r="T276" s="67" t="str">
        <f>IFERROR(INDEX(jr_num,MATCH("BS271",jr_nkey,0))&amp;"","")</f>
        <v/>
      </c>
    </row>
    <row r="277">
      <c r="A277" s="60" t="str">
        <f>IF($O277="","",INDEX(jr_num,$O277)&amp;"")</f>
        <v/>
      </c>
      <c r="B277" s="60" t="str">
        <f>IF($O277="","",IF(INDEX(jr_type,$O277)="BL","Livraison",IF(INDEX(jr_type,$O277)="BR","Réception","Sortie")))</f>
        <v/>
      </c>
      <c r="C277" s="65" t="str">
        <f>IF($O277="","",INDEX(jr_date,$O277))</f>
        <v/>
      </c>
      <c r="D277" s="60" t="str">
        <f>IF($O277="","",INDEX(jr_tiers,$O277)&amp;"")</f>
        <v/>
      </c>
      <c r="E277" s="57" t="str">
        <f>IF($O277="","",INDEX(jr_name,$O277)&amp;"")</f>
        <v/>
      </c>
      <c r="F277" s="57" t="str">
        <f>IF($O277="","",INDEX(jr_order,$O277)&amp;"")</f>
        <v/>
      </c>
      <c r="G277" s="57" t="str">
        <f>IF($O277="","",INDEX(jr_ext,$O277)&amp;"")</f>
        <v/>
      </c>
      <c r="H277" s="57" t="str">
        <f>IF($O277="","",INDEX(jr_carrier,$O277)&amp;"")</f>
        <v/>
      </c>
      <c r="I277" s="66" t="str">
        <f>IF(A277="","",COUNTIF(jr_num,A277))</f>
        <v/>
      </c>
      <c r="J277" s="66" t="str">
        <f>IF(A277="","",SUMIF(jr_num,A277,jr_colis))</f>
        <v/>
      </c>
      <c r="K277" s="63" t="str">
        <f>IF(A277="","",SUMIF(jr_num,A277,jr_kg))</f>
        <v/>
      </c>
      <c r="L277" s="64" t="str">
        <f>IF(A277="","",SUMIF(jr_num,A277,jr_val))</f>
        <v/>
      </c>
      <c r="M277" s="60" t="str">
        <f>IF(A277="","",IF(COUNTIFS(jr_num,A277,jr_check,"&lt;&gt;OK")&gt;0,"À vérifier",IF(LEFT(A277,2)="BL",IF(COUNTIFS(jr_num,A277,jr_rel,"&gt;0")&gt;0,"Reliquat en cours",IF(COUNTIFS(jr_num,A277,jr_gap,"&lt;0")&gt;0,"Reliquat livré","Complet")),IF(LEFT(A277,2)="BR",IF(COUNTIFS(jr_num,A277,jr_etat,"Refusé")&gt;0,"Refusé",IF(COUNTIFS(jr_num,A277,jr_etat,"Avec réserves")&gt;0,"Avec réserves",IF(COUNTIFS(jr_num,A277,jr_rel,"&gt;0")&gt;0,"Reliquat en cours",IF(COUNTIFS(jr_num,A277,jr_gap,"&lt;0")+COUNTIFS(jr_num,A277,jr_gap,"&gt;0")&gt;0,"Écart","Conforme")))),IF(COUNTIFS(jr_num,A277,jr_gap,"&lt;0")&gt;0,"Partiel","Sorti")))))</f>
        <v/>
      </c>
      <c r="O277" t="str">
        <f>IFERROR(MATCH(272,jr_grank,0),"")</f>
        <v/>
      </c>
      <c r="R277" s="67" t="str">
        <f>IFERROR(INDEX(jr_num,MATCH("BL272",jr_nkey,0))&amp;"","")</f>
        <v/>
      </c>
      <c r="S277" s="67" t="str">
        <f>IFERROR(INDEX(jr_num,MATCH("BR272",jr_nkey,0))&amp;"","")</f>
        <v/>
      </c>
      <c r="T277" s="67" t="str">
        <f>IFERROR(INDEX(jr_num,MATCH("BS272",jr_nkey,0))&amp;"","")</f>
        <v/>
      </c>
    </row>
    <row r="278">
      <c r="A278" s="60" t="str">
        <f>IF($O278="","",INDEX(jr_num,$O278)&amp;"")</f>
        <v/>
      </c>
      <c r="B278" s="60" t="str">
        <f>IF($O278="","",IF(INDEX(jr_type,$O278)="BL","Livraison",IF(INDEX(jr_type,$O278)="BR","Réception","Sortie")))</f>
        <v/>
      </c>
      <c r="C278" s="65" t="str">
        <f>IF($O278="","",INDEX(jr_date,$O278))</f>
        <v/>
      </c>
      <c r="D278" s="60" t="str">
        <f>IF($O278="","",INDEX(jr_tiers,$O278)&amp;"")</f>
        <v/>
      </c>
      <c r="E278" s="57" t="str">
        <f>IF($O278="","",INDEX(jr_name,$O278)&amp;"")</f>
        <v/>
      </c>
      <c r="F278" s="57" t="str">
        <f>IF($O278="","",INDEX(jr_order,$O278)&amp;"")</f>
        <v/>
      </c>
      <c r="G278" s="57" t="str">
        <f>IF($O278="","",INDEX(jr_ext,$O278)&amp;"")</f>
        <v/>
      </c>
      <c r="H278" s="57" t="str">
        <f>IF($O278="","",INDEX(jr_carrier,$O278)&amp;"")</f>
        <v/>
      </c>
      <c r="I278" s="66" t="str">
        <f>IF(A278="","",COUNTIF(jr_num,A278))</f>
        <v/>
      </c>
      <c r="J278" s="66" t="str">
        <f>IF(A278="","",SUMIF(jr_num,A278,jr_colis))</f>
        <v/>
      </c>
      <c r="K278" s="63" t="str">
        <f>IF(A278="","",SUMIF(jr_num,A278,jr_kg))</f>
        <v/>
      </c>
      <c r="L278" s="64" t="str">
        <f>IF(A278="","",SUMIF(jr_num,A278,jr_val))</f>
        <v/>
      </c>
      <c r="M278" s="60" t="str">
        <f>IF(A278="","",IF(COUNTIFS(jr_num,A278,jr_check,"&lt;&gt;OK")&gt;0,"À vérifier",IF(LEFT(A278,2)="BL",IF(COUNTIFS(jr_num,A278,jr_rel,"&gt;0")&gt;0,"Reliquat en cours",IF(COUNTIFS(jr_num,A278,jr_gap,"&lt;0")&gt;0,"Reliquat livré","Complet")),IF(LEFT(A278,2)="BR",IF(COUNTIFS(jr_num,A278,jr_etat,"Refusé")&gt;0,"Refusé",IF(COUNTIFS(jr_num,A278,jr_etat,"Avec réserves")&gt;0,"Avec réserves",IF(COUNTIFS(jr_num,A278,jr_rel,"&gt;0")&gt;0,"Reliquat en cours",IF(COUNTIFS(jr_num,A278,jr_gap,"&lt;0")+COUNTIFS(jr_num,A278,jr_gap,"&gt;0")&gt;0,"Écart","Conforme")))),IF(COUNTIFS(jr_num,A278,jr_gap,"&lt;0")&gt;0,"Partiel","Sorti")))))</f>
        <v/>
      </c>
      <c r="O278" t="str">
        <f>IFERROR(MATCH(273,jr_grank,0),"")</f>
        <v/>
      </c>
      <c r="R278" s="67" t="str">
        <f>IFERROR(INDEX(jr_num,MATCH("BL273",jr_nkey,0))&amp;"","")</f>
        <v/>
      </c>
      <c r="S278" s="67" t="str">
        <f>IFERROR(INDEX(jr_num,MATCH("BR273",jr_nkey,0))&amp;"","")</f>
        <v/>
      </c>
      <c r="T278" s="67" t="str">
        <f>IFERROR(INDEX(jr_num,MATCH("BS273",jr_nkey,0))&amp;"","")</f>
        <v/>
      </c>
    </row>
    <row r="279">
      <c r="A279" s="60" t="str">
        <f>IF($O279="","",INDEX(jr_num,$O279)&amp;"")</f>
        <v/>
      </c>
      <c r="B279" s="60" t="str">
        <f>IF($O279="","",IF(INDEX(jr_type,$O279)="BL","Livraison",IF(INDEX(jr_type,$O279)="BR","Réception","Sortie")))</f>
        <v/>
      </c>
      <c r="C279" s="65" t="str">
        <f>IF($O279="","",INDEX(jr_date,$O279))</f>
        <v/>
      </c>
      <c r="D279" s="60" t="str">
        <f>IF($O279="","",INDEX(jr_tiers,$O279)&amp;"")</f>
        <v/>
      </c>
      <c r="E279" s="57" t="str">
        <f>IF($O279="","",INDEX(jr_name,$O279)&amp;"")</f>
        <v/>
      </c>
      <c r="F279" s="57" t="str">
        <f>IF($O279="","",INDEX(jr_order,$O279)&amp;"")</f>
        <v/>
      </c>
      <c r="G279" s="57" t="str">
        <f>IF($O279="","",INDEX(jr_ext,$O279)&amp;"")</f>
        <v/>
      </c>
      <c r="H279" s="57" t="str">
        <f>IF($O279="","",INDEX(jr_carrier,$O279)&amp;"")</f>
        <v/>
      </c>
      <c r="I279" s="66" t="str">
        <f>IF(A279="","",COUNTIF(jr_num,A279))</f>
        <v/>
      </c>
      <c r="J279" s="66" t="str">
        <f>IF(A279="","",SUMIF(jr_num,A279,jr_colis))</f>
        <v/>
      </c>
      <c r="K279" s="63" t="str">
        <f>IF(A279="","",SUMIF(jr_num,A279,jr_kg))</f>
        <v/>
      </c>
      <c r="L279" s="64" t="str">
        <f>IF(A279="","",SUMIF(jr_num,A279,jr_val))</f>
        <v/>
      </c>
      <c r="M279" s="60" t="str">
        <f>IF(A279="","",IF(COUNTIFS(jr_num,A279,jr_check,"&lt;&gt;OK")&gt;0,"À vérifier",IF(LEFT(A279,2)="BL",IF(COUNTIFS(jr_num,A279,jr_rel,"&gt;0")&gt;0,"Reliquat en cours",IF(COUNTIFS(jr_num,A279,jr_gap,"&lt;0")&gt;0,"Reliquat livré","Complet")),IF(LEFT(A279,2)="BR",IF(COUNTIFS(jr_num,A279,jr_etat,"Refusé")&gt;0,"Refusé",IF(COUNTIFS(jr_num,A279,jr_etat,"Avec réserves")&gt;0,"Avec réserves",IF(COUNTIFS(jr_num,A279,jr_rel,"&gt;0")&gt;0,"Reliquat en cours",IF(COUNTIFS(jr_num,A279,jr_gap,"&lt;0")+COUNTIFS(jr_num,A279,jr_gap,"&gt;0")&gt;0,"Écart","Conforme")))),IF(COUNTIFS(jr_num,A279,jr_gap,"&lt;0")&gt;0,"Partiel","Sorti")))))</f>
        <v/>
      </c>
      <c r="O279" t="str">
        <f>IFERROR(MATCH(274,jr_grank,0),"")</f>
        <v/>
      </c>
      <c r="R279" s="67" t="str">
        <f>IFERROR(INDEX(jr_num,MATCH("BL274",jr_nkey,0))&amp;"","")</f>
        <v/>
      </c>
      <c r="S279" s="67" t="str">
        <f>IFERROR(INDEX(jr_num,MATCH("BR274",jr_nkey,0))&amp;"","")</f>
        <v/>
      </c>
      <c r="T279" s="67" t="str">
        <f>IFERROR(INDEX(jr_num,MATCH("BS274",jr_nkey,0))&amp;"","")</f>
        <v/>
      </c>
    </row>
    <row r="280">
      <c r="A280" s="60" t="str">
        <f>IF($O280="","",INDEX(jr_num,$O280)&amp;"")</f>
        <v/>
      </c>
      <c r="B280" s="60" t="str">
        <f>IF($O280="","",IF(INDEX(jr_type,$O280)="BL","Livraison",IF(INDEX(jr_type,$O280)="BR","Réception","Sortie")))</f>
        <v/>
      </c>
      <c r="C280" s="65" t="str">
        <f>IF($O280="","",INDEX(jr_date,$O280))</f>
        <v/>
      </c>
      <c r="D280" s="60" t="str">
        <f>IF($O280="","",INDEX(jr_tiers,$O280)&amp;"")</f>
        <v/>
      </c>
      <c r="E280" s="57" t="str">
        <f>IF($O280="","",INDEX(jr_name,$O280)&amp;"")</f>
        <v/>
      </c>
      <c r="F280" s="57" t="str">
        <f>IF($O280="","",INDEX(jr_order,$O280)&amp;"")</f>
        <v/>
      </c>
      <c r="G280" s="57" t="str">
        <f>IF($O280="","",INDEX(jr_ext,$O280)&amp;"")</f>
        <v/>
      </c>
      <c r="H280" s="57" t="str">
        <f>IF($O280="","",INDEX(jr_carrier,$O280)&amp;"")</f>
        <v/>
      </c>
      <c r="I280" s="66" t="str">
        <f>IF(A280="","",COUNTIF(jr_num,A280))</f>
        <v/>
      </c>
      <c r="J280" s="66" t="str">
        <f>IF(A280="","",SUMIF(jr_num,A280,jr_colis))</f>
        <v/>
      </c>
      <c r="K280" s="63" t="str">
        <f>IF(A280="","",SUMIF(jr_num,A280,jr_kg))</f>
        <v/>
      </c>
      <c r="L280" s="64" t="str">
        <f>IF(A280="","",SUMIF(jr_num,A280,jr_val))</f>
        <v/>
      </c>
      <c r="M280" s="60" t="str">
        <f>IF(A280="","",IF(COUNTIFS(jr_num,A280,jr_check,"&lt;&gt;OK")&gt;0,"À vérifier",IF(LEFT(A280,2)="BL",IF(COUNTIFS(jr_num,A280,jr_rel,"&gt;0")&gt;0,"Reliquat en cours",IF(COUNTIFS(jr_num,A280,jr_gap,"&lt;0")&gt;0,"Reliquat livré","Complet")),IF(LEFT(A280,2)="BR",IF(COUNTIFS(jr_num,A280,jr_etat,"Refusé")&gt;0,"Refusé",IF(COUNTIFS(jr_num,A280,jr_etat,"Avec réserves")&gt;0,"Avec réserves",IF(COUNTIFS(jr_num,A280,jr_rel,"&gt;0")&gt;0,"Reliquat en cours",IF(COUNTIFS(jr_num,A280,jr_gap,"&lt;0")+COUNTIFS(jr_num,A280,jr_gap,"&gt;0")&gt;0,"Écart","Conforme")))),IF(COUNTIFS(jr_num,A280,jr_gap,"&lt;0")&gt;0,"Partiel","Sorti")))))</f>
        <v/>
      </c>
      <c r="O280" t="str">
        <f>IFERROR(MATCH(275,jr_grank,0),"")</f>
        <v/>
      </c>
      <c r="R280" s="67" t="str">
        <f>IFERROR(INDEX(jr_num,MATCH("BL275",jr_nkey,0))&amp;"","")</f>
        <v/>
      </c>
      <c r="S280" s="67" t="str">
        <f>IFERROR(INDEX(jr_num,MATCH("BR275",jr_nkey,0))&amp;"","")</f>
        <v/>
      </c>
      <c r="T280" s="67" t="str">
        <f>IFERROR(INDEX(jr_num,MATCH("BS275",jr_nkey,0))&amp;"","")</f>
        <v/>
      </c>
    </row>
    <row r="281">
      <c r="A281" s="60" t="str">
        <f>IF($O281="","",INDEX(jr_num,$O281)&amp;"")</f>
        <v/>
      </c>
      <c r="B281" s="60" t="str">
        <f>IF($O281="","",IF(INDEX(jr_type,$O281)="BL","Livraison",IF(INDEX(jr_type,$O281)="BR","Réception","Sortie")))</f>
        <v/>
      </c>
      <c r="C281" s="65" t="str">
        <f>IF($O281="","",INDEX(jr_date,$O281))</f>
        <v/>
      </c>
      <c r="D281" s="60" t="str">
        <f>IF($O281="","",INDEX(jr_tiers,$O281)&amp;"")</f>
        <v/>
      </c>
      <c r="E281" s="57" t="str">
        <f>IF($O281="","",INDEX(jr_name,$O281)&amp;"")</f>
        <v/>
      </c>
      <c r="F281" s="57" t="str">
        <f>IF($O281="","",INDEX(jr_order,$O281)&amp;"")</f>
        <v/>
      </c>
      <c r="G281" s="57" t="str">
        <f>IF($O281="","",INDEX(jr_ext,$O281)&amp;"")</f>
        <v/>
      </c>
      <c r="H281" s="57" t="str">
        <f>IF($O281="","",INDEX(jr_carrier,$O281)&amp;"")</f>
        <v/>
      </c>
      <c r="I281" s="66" t="str">
        <f>IF(A281="","",COUNTIF(jr_num,A281))</f>
        <v/>
      </c>
      <c r="J281" s="66" t="str">
        <f>IF(A281="","",SUMIF(jr_num,A281,jr_colis))</f>
        <v/>
      </c>
      <c r="K281" s="63" t="str">
        <f>IF(A281="","",SUMIF(jr_num,A281,jr_kg))</f>
        <v/>
      </c>
      <c r="L281" s="64" t="str">
        <f>IF(A281="","",SUMIF(jr_num,A281,jr_val))</f>
        <v/>
      </c>
      <c r="M281" s="60" t="str">
        <f>IF(A281="","",IF(COUNTIFS(jr_num,A281,jr_check,"&lt;&gt;OK")&gt;0,"À vérifier",IF(LEFT(A281,2)="BL",IF(COUNTIFS(jr_num,A281,jr_rel,"&gt;0")&gt;0,"Reliquat en cours",IF(COUNTIFS(jr_num,A281,jr_gap,"&lt;0")&gt;0,"Reliquat livré","Complet")),IF(LEFT(A281,2)="BR",IF(COUNTIFS(jr_num,A281,jr_etat,"Refusé")&gt;0,"Refusé",IF(COUNTIFS(jr_num,A281,jr_etat,"Avec réserves")&gt;0,"Avec réserves",IF(COUNTIFS(jr_num,A281,jr_rel,"&gt;0")&gt;0,"Reliquat en cours",IF(COUNTIFS(jr_num,A281,jr_gap,"&lt;0")+COUNTIFS(jr_num,A281,jr_gap,"&gt;0")&gt;0,"Écart","Conforme")))),IF(COUNTIFS(jr_num,A281,jr_gap,"&lt;0")&gt;0,"Partiel","Sorti")))))</f>
        <v/>
      </c>
      <c r="O281" t="str">
        <f>IFERROR(MATCH(276,jr_grank,0),"")</f>
        <v/>
      </c>
      <c r="R281" s="67" t="str">
        <f>IFERROR(INDEX(jr_num,MATCH("BL276",jr_nkey,0))&amp;"","")</f>
        <v/>
      </c>
      <c r="S281" s="67" t="str">
        <f>IFERROR(INDEX(jr_num,MATCH("BR276",jr_nkey,0))&amp;"","")</f>
        <v/>
      </c>
      <c r="T281" s="67" t="str">
        <f>IFERROR(INDEX(jr_num,MATCH("BS276",jr_nkey,0))&amp;"","")</f>
        <v/>
      </c>
    </row>
    <row r="282">
      <c r="A282" s="60" t="str">
        <f>IF($O282="","",INDEX(jr_num,$O282)&amp;"")</f>
        <v/>
      </c>
      <c r="B282" s="60" t="str">
        <f>IF($O282="","",IF(INDEX(jr_type,$O282)="BL","Livraison",IF(INDEX(jr_type,$O282)="BR","Réception","Sortie")))</f>
        <v/>
      </c>
      <c r="C282" s="65" t="str">
        <f>IF($O282="","",INDEX(jr_date,$O282))</f>
        <v/>
      </c>
      <c r="D282" s="60" t="str">
        <f>IF($O282="","",INDEX(jr_tiers,$O282)&amp;"")</f>
        <v/>
      </c>
      <c r="E282" s="57" t="str">
        <f>IF($O282="","",INDEX(jr_name,$O282)&amp;"")</f>
        <v/>
      </c>
      <c r="F282" s="57" t="str">
        <f>IF($O282="","",INDEX(jr_order,$O282)&amp;"")</f>
        <v/>
      </c>
      <c r="G282" s="57" t="str">
        <f>IF($O282="","",INDEX(jr_ext,$O282)&amp;"")</f>
        <v/>
      </c>
      <c r="H282" s="57" t="str">
        <f>IF($O282="","",INDEX(jr_carrier,$O282)&amp;"")</f>
        <v/>
      </c>
      <c r="I282" s="66" t="str">
        <f>IF(A282="","",COUNTIF(jr_num,A282))</f>
        <v/>
      </c>
      <c r="J282" s="66" t="str">
        <f>IF(A282="","",SUMIF(jr_num,A282,jr_colis))</f>
        <v/>
      </c>
      <c r="K282" s="63" t="str">
        <f>IF(A282="","",SUMIF(jr_num,A282,jr_kg))</f>
        <v/>
      </c>
      <c r="L282" s="64" t="str">
        <f>IF(A282="","",SUMIF(jr_num,A282,jr_val))</f>
        <v/>
      </c>
      <c r="M282" s="60" t="str">
        <f>IF(A282="","",IF(COUNTIFS(jr_num,A282,jr_check,"&lt;&gt;OK")&gt;0,"À vérifier",IF(LEFT(A282,2)="BL",IF(COUNTIFS(jr_num,A282,jr_rel,"&gt;0")&gt;0,"Reliquat en cours",IF(COUNTIFS(jr_num,A282,jr_gap,"&lt;0")&gt;0,"Reliquat livré","Complet")),IF(LEFT(A282,2)="BR",IF(COUNTIFS(jr_num,A282,jr_etat,"Refusé")&gt;0,"Refusé",IF(COUNTIFS(jr_num,A282,jr_etat,"Avec réserves")&gt;0,"Avec réserves",IF(COUNTIFS(jr_num,A282,jr_rel,"&gt;0")&gt;0,"Reliquat en cours",IF(COUNTIFS(jr_num,A282,jr_gap,"&lt;0")+COUNTIFS(jr_num,A282,jr_gap,"&gt;0")&gt;0,"Écart","Conforme")))),IF(COUNTIFS(jr_num,A282,jr_gap,"&lt;0")&gt;0,"Partiel","Sorti")))))</f>
        <v/>
      </c>
      <c r="O282" t="str">
        <f>IFERROR(MATCH(277,jr_grank,0),"")</f>
        <v/>
      </c>
      <c r="R282" s="67" t="str">
        <f>IFERROR(INDEX(jr_num,MATCH("BL277",jr_nkey,0))&amp;"","")</f>
        <v/>
      </c>
      <c r="S282" s="67" t="str">
        <f>IFERROR(INDEX(jr_num,MATCH("BR277",jr_nkey,0))&amp;"","")</f>
        <v/>
      </c>
      <c r="T282" s="67" t="str">
        <f>IFERROR(INDEX(jr_num,MATCH("BS277",jr_nkey,0))&amp;"","")</f>
        <v/>
      </c>
    </row>
    <row r="283">
      <c r="A283" s="60" t="str">
        <f>IF($O283="","",INDEX(jr_num,$O283)&amp;"")</f>
        <v/>
      </c>
      <c r="B283" s="60" t="str">
        <f>IF($O283="","",IF(INDEX(jr_type,$O283)="BL","Livraison",IF(INDEX(jr_type,$O283)="BR","Réception","Sortie")))</f>
        <v/>
      </c>
      <c r="C283" s="65" t="str">
        <f>IF($O283="","",INDEX(jr_date,$O283))</f>
        <v/>
      </c>
      <c r="D283" s="60" t="str">
        <f>IF($O283="","",INDEX(jr_tiers,$O283)&amp;"")</f>
        <v/>
      </c>
      <c r="E283" s="57" t="str">
        <f>IF($O283="","",INDEX(jr_name,$O283)&amp;"")</f>
        <v/>
      </c>
      <c r="F283" s="57" t="str">
        <f>IF($O283="","",INDEX(jr_order,$O283)&amp;"")</f>
        <v/>
      </c>
      <c r="G283" s="57" t="str">
        <f>IF($O283="","",INDEX(jr_ext,$O283)&amp;"")</f>
        <v/>
      </c>
      <c r="H283" s="57" t="str">
        <f>IF($O283="","",INDEX(jr_carrier,$O283)&amp;"")</f>
        <v/>
      </c>
      <c r="I283" s="66" t="str">
        <f>IF(A283="","",COUNTIF(jr_num,A283))</f>
        <v/>
      </c>
      <c r="J283" s="66" t="str">
        <f>IF(A283="","",SUMIF(jr_num,A283,jr_colis))</f>
        <v/>
      </c>
      <c r="K283" s="63" t="str">
        <f>IF(A283="","",SUMIF(jr_num,A283,jr_kg))</f>
        <v/>
      </c>
      <c r="L283" s="64" t="str">
        <f>IF(A283="","",SUMIF(jr_num,A283,jr_val))</f>
        <v/>
      </c>
      <c r="M283" s="60" t="str">
        <f>IF(A283="","",IF(COUNTIFS(jr_num,A283,jr_check,"&lt;&gt;OK")&gt;0,"À vérifier",IF(LEFT(A283,2)="BL",IF(COUNTIFS(jr_num,A283,jr_rel,"&gt;0")&gt;0,"Reliquat en cours",IF(COUNTIFS(jr_num,A283,jr_gap,"&lt;0")&gt;0,"Reliquat livré","Complet")),IF(LEFT(A283,2)="BR",IF(COUNTIFS(jr_num,A283,jr_etat,"Refusé")&gt;0,"Refusé",IF(COUNTIFS(jr_num,A283,jr_etat,"Avec réserves")&gt;0,"Avec réserves",IF(COUNTIFS(jr_num,A283,jr_rel,"&gt;0")&gt;0,"Reliquat en cours",IF(COUNTIFS(jr_num,A283,jr_gap,"&lt;0")+COUNTIFS(jr_num,A283,jr_gap,"&gt;0")&gt;0,"Écart","Conforme")))),IF(COUNTIFS(jr_num,A283,jr_gap,"&lt;0")&gt;0,"Partiel","Sorti")))))</f>
        <v/>
      </c>
      <c r="O283" t="str">
        <f>IFERROR(MATCH(278,jr_grank,0),"")</f>
        <v/>
      </c>
      <c r="R283" s="67" t="str">
        <f>IFERROR(INDEX(jr_num,MATCH("BL278",jr_nkey,0))&amp;"","")</f>
        <v/>
      </c>
      <c r="S283" s="67" t="str">
        <f>IFERROR(INDEX(jr_num,MATCH("BR278",jr_nkey,0))&amp;"","")</f>
        <v/>
      </c>
      <c r="T283" s="67" t="str">
        <f>IFERROR(INDEX(jr_num,MATCH("BS278",jr_nkey,0))&amp;"","")</f>
        <v/>
      </c>
    </row>
    <row r="284">
      <c r="A284" s="60" t="str">
        <f>IF($O284="","",INDEX(jr_num,$O284)&amp;"")</f>
        <v/>
      </c>
      <c r="B284" s="60" t="str">
        <f>IF($O284="","",IF(INDEX(jr_type,$O284)="BL","Livraison",IF(INDEX(jr_type,$O284)="BR","Réception","Sortie")))</f>
        <v/>
      </c>
      <c r="C284" s="65" t="str">
        <f>IF($O284="","",INDEX(jr_date,$O284))</f>
        <v/>
      </c>
      <c r="D284" s="60" t="str">
        <f>IF($O284="","",INDEX(jr_tiers,$O284)&amp;"")</f>
        <v/>
      </c>
      <c r="E284" s="57" t="str">
        <f>IF($O284="","",INDEX(jr_name,$O284)&amp;"")</f>
        <v/>
      </c>
      <c r="F284" s="57" t="str">
        <f>IF($O284="","",INDEX(jr_order,$O284)&amp;"")</f>
        <v/>
      </c>
      <c r="G284" s="57" t="str">
        <f>IF($O284="","",INDEX(jr_ext,$O284)&amp;"")</f>
        <v/>
      </c>
      <c r="H284" s="57" t="str">
        <f>IF($O284="","",INDEX(jr_carrier,$O284)&amp;"")</f>
        <v/>
      </c>
      <c r="I284" s="66" t="str">
        <f>IF(A284="","",COUNTIF(jr_num,A284))</f>
        <v/>
      </c>
      <c r="J284" s="66" t="str">
        <f>IF(A284="","",SUMIF(jr_num,A284,jr_colis))</f>
        <v/>
      </c>
      <c r="K284" s="63" t="str">
        <f>IF(A284="","",SUMIF(jr_num,A284,jr_kg))</f>
        <v/>
      </c>
      <c r="L284" s="64" t="str">
        <f>IF(A284="","",SUMIF(jr_num,A284,jr_val))</f>
        <v/>
      </c>
      <c r="M284" s="60" t="str">
        <f>IF(A284="","",IF(COUNTIFS(jr_num,A284,jr_check,"&lt;&gt;OK")&gt;0,"À vérifier",IF(LEFT(A284,2)="BL",IF(COUNTIFS(jr_num,A284,jr_rel,"&gt;0")&gt;0,"Reliquat en cours",IF(COUNTIFS(jr_num,A284,jr_gap,"&lt;0")&gt;0,"Reliquat livré","Complet")),IF(LEFT(A284,2)="BR",IF(COUNTIFS(jr_num,A284,jr_etat,"Refusé")&gt;0,"Refusé",IF(COUNTIFS(jr_num,A284,jr_etat,"Avec réserves")&gt;0,"Avec réserves",IF(COUNTIFS(jr_num,A284,jr_rel,"&gt;0")&gt;0,"Reliquat en cours",IF(COUNTIFS(jr_num,A284,jr_gap,"&lt;0")+COUNTIFS(jr_num,A284,jr_gap,"&gt;0")&gt;0,"Écart","Conforme")))),IF(COUNTIFS(jr_num,A284,jr_gap,"&lt;0")&gt;0,"Partiel","Sorti")))))</f>
        <v/>
      </c>
      <c r="O284" t="str">
        <f>IFERROR(MATCH(279,jr_grank,0),"")</f>
        <v/>
      </c>
      <c r="R284" s="67" t="str">
        <f>IFERROR(INDEX(jr_num,MATCH("BL279",jr_nkey,0))&amp;"","")</f>
        <v/>
      </c>
      <c r="S284" s="67" t="str">
        <f>IFERROR(INDEX(jr_num,MATCH("BR279",jr_nkey,0))&amp;"","")</f>
        <v/>
      </c>
      <c r="T284" s="67" t="str">
        <f>IFERROR(INDEX(jr_num,MATCH("BS279",jr_nkey,0))&amp;"","")</f>
        <v/>
      </c>
    </row>
    <row r="285">
      <c r="A285" s="60" t="str">
        <f>IF($O285="","",INDEX(jr_num,$O285)&amp;"")</f>
        <v/>
      </c>
      <c r="B285" s="60" t="str">
        <f>IF($O285="","",IF(INDEX(jr_type,$O285)="BL","Livraison",IF(INDEX(jr_type,$O285)="BR","Réception","Sortie")))</f>
        <v/>
      </c>
      <c r="C285" s="65" t="str">
        <f>IF($O285="","",INDEX(jr_date,$O285))</f>
        <v/>
      </c>
      <c r="D285" s="60" t="str">
        <f>IF($O285="","",INDEX(jr_tiers,$O285)&amp;"")</f>
        <v/>
      </c>
      <c r="E285" s="57" t="str">
        <f>IF($O285="","",INDEX(jr_name,$O285)&amp;"")</f>
        <v/>
      </c>
      <c r="F285" s="57" t="str">
        <f>IF($O285="","",INDEX(jr_order,$O285)&amp;"")</f>
        <v/>
      </c>
      <c r="G285" s="57" t="str">
        <f>IF($O285="","",INDEX(jr_ext,$O285)&amp;"")</f>
        <v/>
      </c>
      <c r="H285" s="57" t="str">
        <f>IF($O285="","",INDEX(jr_carrier,$O285)&amp;"")</f>
        <v/>
      </c>
      <c r="I285" s="66" t="str">
        <f>IF(A285="","",COUNTIF(jr_num,A285))</f>
        <v/>
      </c>
      <c r="J285" s="66" t="str">
        <f>IF(A285="","",SUMIF(jr_num,A285,jr_colis))</f>
        <v/>
      </c>
      <c r="K285" s="63" t="str">
        <f>IF(A285="","",SUMIF(jr_num,A285,jr_kg))</f>
        <v/>
      </c>
      <c r="L285" s="64" t="str">
        <f>IF(A285="","",SUMIF(jr_num,A285,jr_val))</f>
        <v/>
      </c>
      <c r="M285" s="60" t="str">
        <f>IF(A285="","",IF(COUNTIFS(jr_num,A285,jr_check,"&lt;&gt;OK")&gt;0,"À vérifier",IF(LEFT(A285,2)="BL",IF(COUNTIFS(jr_num,A285,jr_rel,"&gt;0")&gt;0,"Reliquat en cours",IF(COUNTIFS(jr_num,A285,jr_gap,"&lt;0")&gt;0,"Reliquat livré","Complet")),IF(LEFT(A285,2)="BR",IF(COUNTIFS(jr_num,A285,jr_etat,"Refusé")&gt;0,"Refusé",IF(COUNTIFS(jr_num,A285,jr_etat,"Avec réserves")&gt;0,"Avec réserves",IF(COUNTIFS(jr_num,A285,jr_rel,"&gt;0")&gt;0,"Reliquat en cours",IF(COUNTIFS(jr_num,A285,jr_gap,"&lt;0")+COUNTIFS(jr_num,A285,jr_gap,"&gt;0")&gt;0,"Écart","Conforme")))),IF(COUNTIFS(jr_num,A285,jr_gap,"&lt;0")&gt;0,"Partiel","Sorti")))))</f>
        <v/>
      </c>
      <c r="O285" t="str">
        <f>IFERROR(MATCH(280,jr_grank,0),"")</f>
        <v/>
      </c>
      <c r="R285" s="67" t="str">
        <f>IFERROR(INDEX(jr_num,MATCH("BL280",jr_nkey,0))&amp;"","")</f>
        <v/>
      </c>
      <c r="S285" s="67" t="str">
        <f>IFERROR(INDEX(jr_num,MATCH("BR280",jr_nkey,0))&amp;"","")</f>
        <v/>
      </c>
      <c r="T285" s="67" t="str">
        <f>IFERROR(INDEX(jr_num,MATCH("BS280",jr_nkey,0))&amp;"","")</f>
        <v/>
      </c>
    </row>
    <row r="286">
      <c r="A286" s="60" t="str">
        <f>IF($O286="","",INDEX(jr_num,$O286)&amp;"")</f>
        <v/>
      </c>
      <c r="B286" s="60" t="str">
        <f>IF($O286="","",IF(INDEX(jr_type,$O286)="BL","Livraison",IF(INDEX(jr_type,$O286)="BR","Réception","Sortie")))</f>
        <v/>
      </c>
      <c r="C286" s="65" t="str">
        <f>IF($O286="","",INDEX(jr_date,$O286))</f>
        <v/>
      </c>
      <c r="D286" s="60" t="str">
        <f>IF($O286="","",INDEX(jr_tiers,$O286)&amp;"")</f>
        <v/>
      </c>
      <c r="E286" s="57" t="str">
        <f>IF($O286="","",INDEX(jr_name,$O286)&amp;"")</f>
        <v/>
      </c>
      <c r="F286" s="57" t="str">
        <f>IF($O286="","",INDEX(jr_order,$O286)&amp;"")</f>
        <v/>
      </c>
      <c r="G286" s="57" t="str">
        <f>IF($O286="","",INDEX(jr_ext,$O286)&amp;"")</f>
        <v/>
      </c>
      <c r="H286" s="57" t="str">
        <f>IF($O286="","",INDEX(jr_carrier,$O286)&amp;"")</f>
        <v/>
      </c>
      <c r="I286" s="66" t="str">
        <f>IF(A286="","",COUNTIF(jr_num,A286))</f>
        <v/>
      </c>
      <c r="J286" s="66" t="str">
        <f>IF(A286="","",SUMIF(jr_num,A286,jr_colis))</f>
        <v/>
      </c>
      <c r="K286" s="63" t="str">
        <f>IF(A286="","",SUMIF(jr_num,A286,jr_kg))</f>
        <v/>
      </c>
      <c r="L286" s="64" t="str">
        <f>IF(A286="","",SUMIF(jr_num,A286,jr_val))</f>
        <v/>
      </c>
      <c r="M286" s="60" t="str">
        <f>IF(A286="","",IF(COUNTIFS(jr_num,A286,jr_check,"&lt;&gt;OK")&gt;0,"À vérifier",IF(LEFT(A286,2)="BL",IF(COUNTIFS(jr_num,A286,jr_rel,"&gt;0")&gt;0,"Reliquat en cours",IF(COUNTIFS(jr_num,A286,jr_gap,"&lt;0")&gt;0,"Reliquat livré","Complet")),IF(LEFT(A286,2)="BR",IF(COUNTIFS(jr_num,A286,jr_etat,"Refusé")&gt;0,"Refusé",IF(COUNTIFS(jr_num,A286,jr_etat,"Avec réserves")&gt;0,"Avec réserves",IF(COUNTIFS(jr_num,A286,jr_rel,"&gt;0")&gt;0,"Reliquat en cours",IF(COUNTIFS(jr_num,A286,jr_gap,"&lt;0")+COUNTIFS(jr_num,A286,jr_gap,"&gt;0")&gt;0,"Écart","Conforme")))),IF(COUNTIFS(jr_num,A286,jr_gap,"&lt;0")&gt;0,"Partiel","Sorti")))))</f>
        <v/>
      </c>
      <c r="O286" t="str">
        <f>IFERROR(MATCH(281,jr_grank,0),"")</f>
        <v/>
      </c>
      <c r="R286" s="67" t="str">
        <f>IFERROR(INDEX(jr_num,MATCH("BL281",jr_nkey,0))&amp;"","")</f>
        <v/>
      </c>
      <c r="S286" s="67" t="str">
        <f>IFERROR(INDEX(jr_num,MATCH("BR281",jr_nkey,0))&amp;"","")</f>
        <v/>
      </c>
      <c r="T286" s="67" t="str">
        <f>IFERROR(INDEX(jr_num,MATCH("BS281",jr_nkey,0))&amp;"","")</f>
        <v/>
      </c>
    </row>
    <row r="287">
      <c r="A287" s="60" t="str">
        <f>IF($O287="","",INDEX(jr_num,$O287)&amp;"")</f>
        <v/>
      </c>
      <c r="B287" s="60" t="str">
        <f>IF($O287="","",IF(INDEX(jr_type,$O287)="BL","Livraison",IF(INDEX(jr_type,$O287)="BR","Réception","Sortie")))</f>
        <v/>
      </c>
      <c r="C287" s="65" t="str">
        <f>IF($O287="","",INDEX(jr_date,$O287))</f>
        <v/>
      </c>
      <c r="D287" s="60" t="str">
        <f>IF($O287="","",INDEX(jr_tiers,$O287)&amp;"")</f>
        <v/>
      </c>
      <c r="E287" s="57" t="str">
        <f>IF($O287="","",INDEX(jr_name,$O287)&amp;"")</f>
        <v/>
      </c>
      <c r="F287" s="57" t="str">
        <f>IF($O287="","",INDEX(jr_order,$O287)&amp;"")</f>
        <v/>
      </c>
      <c r="G287" s="57" t="str">
        <f>IF($O287="","",INDEX(jr_ext,$O287)&amp;"")</f>
        <v/>
      </c>
      <c r="H287" s="57" t="str">
        <f>IF($O287="","",INDEX(jr_carrier,$O287)&amp;"")</f>
        <v/>
      </c>
      <c r="I287" s="66" t="str">
        <f>IF(A287="","",COUNTIF(jr_num,A287))</f>
        <v/>
      </c>
      <c r="J287" s="66" t="str">
        <f>IF(A287="","",SUMIF(jr_num,A287,jr_colis))</f>
        <v/>
      </c>
      <c r="K287" s="63" t="str">
        <f>IF(A287="","",SUMIF(jr_num,A287,jr_kg))</f>
        <v/>
      </c>
      <c r="L287" s="64" t="str">
        <f>IF(A287="","",SUMIF(jr_num,A287,jr_val))</f>
        <v/>
      </c>
      <c r="M287" s="60" t="str">
        <f>IF(A287="","",IF(COUNTIFS(jr_num,A287,jr_check,"&lt;&gt;OK")&gt;0,"À vérifier",IF(LEFT(A287,2)="BL",IF(COUNTIFS(jr_num,A287,jr_rel,"&gt;0")&gt;0,"Reliquat en cours",IF(COUNTIFS(jr_num,A287,jr_gap,"&lt;0")&gt;0,"Reliquat livré","Complet")),IF(LEFT(A287,2)="BR",IF(COUNTIFS(jr_num,A287,jr_etat,"Refusé")&gt;0,"Refusé",IF(COUNTIFS(jr_num,A287,jr_etat,"Avec réserves")&gt;0,"Avec réserves",IF(COUNTIFS(jr_num,A287,jr_rel,"&gt;0")&gt;0,"Reliquat en cours",IF(COUNTIFS(jr_num,A287,jr_gap,"&lt;0")+COUNTIFS(jr_num,A287,jr_gap,"&gt;0")&gt;0,"Écart","Conforme")))),IF(COUNTIFS(jr_num,A287,jr_gap,"&lt;0")&gt;0,"Partiel","Sorti")))))</f>
        <v/>
      </c>
      <c r="O287" t="str">
        <f>IFERROR(MATCH(282,jr_grank,0),"")</f>
        <v/>
      </c>
      <c r="R287" s="67" t="str">
        <f>IFERROR(INDEX(jr_num,MATCH("BL282",jr_nkey,0))&amp;"","")</f>
        <v/>
      </c>
      <c r="S287" s="67" t="str">
        <f>IFERROR(INDEX(jr_num,MATCH("BR282",jr_nkey,0))&amp;"","")</f>
        <v/>
      </c>
      <c r="T287" s="67" t="str">
        <f>IFERROR(INDEX(jr_num,MATCH("BS282",jr_nkey,0))&amp;"","")</f>
        <v/>
      </c>
    </row>
    <row r="288">
      <c r="A288" s="60" t="str">
        <f>IF($O288="","",INDEX(jr_num,$O288)&amp;"")</f>
        <v/>
      </c>
      <c r="B288" s="60" t="str">
        <f>IF($O288="","",IF(INDEX(jr_type,$O288)="BL","Livraison",IF(INDEX(jr_type,$O288)="BR","Réception","Sortie")))</f>
        <v/>
      </c>
      <c r="C288" s="65" t="str">
        <f>IF($O288="","",INDEX(jr_date,$O288))</f>
        <v/>
      </c>
      <c r="D288" s="60" t="str">
        <f>IF($O288="","",INDEX(jr_tiers,$O288)&amp;"")</f>
        <v/>
      </c>
      <c r="E288" s="57" t="str">
        <f>IF($O288="","",INDEX(jr_name,$O288)&amp;"")</f>
        <v/>
      </c>
      <c r="F288" s="57" t="str">
        <f>IF($O288="","",INDEX(jr_order,$O288)&amp;"")</f>
        <v/>
      </c>
      <c r="G288" s="57" t="str">
        <f>IF($O288="","",INDEX(jr_ext,$O288)&amp;"")</f>
        <v/>
      </c>
      <c r="H288" s="57" t="str">
        <f>IF($O288="","",INDEX(jr_carrier,$O288)&amp;"")</f>
        <v/>
      </c>
      <c r="I288" s="66" t="str">
        <f>IF(A288="","",COUNTIF(jr_num,A288))</f>
        <v/>
      </c>
      <c r="J288" s="66" t="str">
        <f>IF(A288="","",SUMIF(jr_num,A288,jr_colis))</f>
        <v/>
      </c>
      <c r="K288" s="63" t="str">
        <f>IF(A288="","",SUMIF(jr_num,A288,jr_kg))</f>
        <v/>
      </c>
      <c r="L288" s="64" t="str">
        <f>IF(A288="","",SUMIF(jr_num,A288,jr_val))</f>
        <v/>
      </c>
      <c r="M288" s="60" t="str">
        <f>IF(A288="","",IF(COUNTIFS(jr_num,A288,jr_check,"&lt;&gt;OK")&gt;0,"À vérifier",IF(LEFT(A288,2)="BL",IF(COUNTIFS(jr_num,A288,jr_rel,"&gt;0")&gt;0,"Reliquat en cours",IF(COUNTIFS(jr_num,A288,jr_gap,"&lt;0")&gt;0,"Reliquat livré","Complet")),IF(LEFT(A288,2)="BR",IF(COUNTIFS(jr_num,A288,jr_etat,"Refusé")&gt;0,"Refusé",IF(COUNTIFS(jr_num,A288,jr_etat,"Avec réserves")&gt;0,"Avec réserves",IF(COUNTIFS(jr_num,A288,jr_rel,"&gt;0")&gt;0,"Reliquat en cours",IF(COUNTIFS(jr_num,A288,jr_gap,"&lt;0")+COUNTIFS(jr_num,A288,jr_gap,"&gt;0")&gt;0,"Écart","Conforme")))),IF(COUNTIFS(jr_num,A288,jr_gap,"&lt;0")&gt;0,"Partiel","Sorti")))))</f>
        <v/>
      </c>
      <c r="O288" t="str">
        <f>IFERROR(MATCH(283,jr_grank,0),"")</f>
        <v/>
      </c>
      <c r="R288" s="67" t="str">
        <f>IFERROR(INDEX(jr_num,MATCH("BL283",jr_nkey,0))&amp;"","")</f>
        <v/>
      </c>
      <c r="S288" s="67" t="str">
        <f>IFERROR(INDEX(jr_num,MATCH("BR283",jr_nkey,0))&amp;"","")</f>
        <v/>
      </c>
      <c r="T288" s="67" t="str">
        <f>IFERROR(INDEX(jr_num,MATCH("BS283",jr_nkey,0))&amp;"","")</f>
        <v/>
      </c>
    </row>
    <row r="289">
      <c r="A289" s="60" t="str">
        <f>IF($O289="","",INDEX(jr_num,$O289)&amp;"")</f>
        <v/>
      </c>
      <c r="B289" s="60" t="str">
        <f>IF($O289="","",IF(INDEX(jr_type,$O289)="BL","Livraison",IF(INDEX(jr_type,$O289)="BR","Réception","Sortie")))</f>
        <v/>
      </c>
      <c r="C289" s="65" t="str">
        <f>IF($O289="","",INDEX(jr_date,$O289))</f>
        <v/>
      </c>
      <c r="D289" s="60" t="str">
        <f>IF($O289="","",INDEX(jr_tiers,$O289)&amp;"")</f>
        <v/>
      </c>
      <c r="E289" s="57" t="str">
        <f>IF($O289="","",INDEX(jr_name,$O289)&amp;"")</f>
        <v/>
      </c>
      <c r="F289" s="57" t="str">
        <f>IF($O289="","",INDEX(jr_order,$O289)&amp;"")</f>
        <v/>
      </c>
      <c r="G289" s="57" t="str">
        <f>IF($O289="","",INDEX(jr_ext,$O289)&amp;"")</f>
        <v/>
      </c>
      <c r="H289" s="57" t="str">
        <f>IF($O289="","",INDEX(jr_carrier,$O289)&amp;"")</f>
        <v/>
      </c>
      <c r="I289" s="66" t="str">
        <f>IF(A289="","",COUNTIF(jr_num,A289))</f>
        <v/>
      </c>
      <c r="J289" s="66" t="str">
        <f>IF(A289="","",SUMIF(jr_num,A289,jr_colis))</f>
        <v/>
      </c>
      <c r="K289" s="63" t="str">
        <f>IF(A289="","",SUMIF(jr_num,A289,jr_kg))</f>
        <v/>
      </c>
      <c r="L289" s="64" t="str">
        <f>IF(A289="","",SUMIF(jr_num,A289,jr_val))</f>
        <v/>
      </c>
      <c r="M289" s="60" t="str">
        <f>IF(A289="","",IF(COUNTIFS(jr_num,A289,jr_check,"&lt;&gt;OK")&gt;0,"À vérifier",IF(LEFT(A289,2)="BL",IF(COUNTIFS(jr_num,A289,jr_rel,"&gt;0")&gt;0,"Reliquat en cours",IF(COUNTIFS(jr_num,A289,jr_gap,"&lt;0")&gt;0,"Reliquat livré","Complet")),IF(LEFT(A289,2)="BR",IF(COUNTIFS(jr_num,A289,jr_etat,"Refusé")&gt;0,"Refusé",IF(COUNTIFS(jr_num,A289,jr_etat,"Avec réserves")&gt;0,"Avec réserves",IF(COUNTIFS(jr_num,A289,jr_rel,"&gt;0")&gt;0,"Reliquat en cours",IF(COUNTIFS(jr_num,A289,jr_gap,"&lt;0")+COUNTIFS(jr_num,A289,jr_gap,"&gt;0")&gt;0,"Écart","Conforme")))),IF(COUNTIFS(jr_num,A289,jr_gap,"&lt;0")&gt;0,"Partiel","Sorti")))))</f>
        <v/>
      </c>
      <c r="O289" t="str">
        <f>IFERROR(MATCH(284,jr_grank,0),"")</f>
        <v/>
      </c>
      <c r="R289" s="67" t="str">
        <f>IFERROR(INDEX(jr_num,MATCH("BL284",jr_nkey,0))&amp;"","")</f>
        <v/>
      </c>
      <c r="S289" s="67" t="str">
        <f>IFERROR(INDEX(jr_num,MATCH("BR284",jr_nkey,0))&amp;"","")</f>
        <v/>
      </c>
      <c r="T289" s="67" t="str">
        <f>IFERROR(INDEX(jr_num,MATCH("BS284",jr_nkey,0))&amp;"","")</f>
        <v/>
      </c>
    </row>
    <row r="290">
      <c r="A290" s="60" t="str">
        <f>IF($O290="","",INDEX(jr_num,$O290)&amp;"")</f>
        <v/>
      </c>
      <c r="B290" s="60" t="str">
        <f>IF($O290="","",IF(INDEX(jr_type,$O290)="BL","Livraison",IF(INDEX(jr_type,$O290)="BR","Réception","Sortie")))</f>
        <v/>
      </c>
      <c r="C290" s="65" t="str">
        <f>IF($O290="","",INDEX(jr_date,$O290))</f>
        <v/>
      </c>
      <c r="D290" s="60" t="str">
        <f>IF($O290="","",INDEX(jr_tiers,$O290)&amp;"")</f>
        <v/>
      </c>
      <c r="E290" s="57" t="str">
        <f>IF($O290="","",INDEX(jr_name,$O290)&amp;"")</f>
        <v/>
      </c>
      <c r="F290" s="57" t="str">
        <f>IF($O290="","",INDEX(jr_order,$O290)&amp;"")</f>
        <v/>
      </c>
      <c r="G290" s="57" t="str">
        <f>IF($O290="","",INDEX(jr_ext,$O290)&amp;"")</f>
        <v/>
      </c>
      <c r="H290" s="57" t="str">
        <f>IF($O290="","",INDEX(jr_carrier,$O290)&amp;"")</f>
        <v/>
      </c>
      <c r="I290" s="66" t="str">
        <f>IF(A290="","",COUNTIF(jr_num,A290))</f>
        <v/>
      </c>
      <c r="J290" s="66" t="str">
        <f>IF(A290="","",SUMIF(jr_num,A290,jr_colis))</f>
        <v/>
      </c>
      <c r="K290" s="63" t="str">
        <f>IF(A290="","",SUMIF(jr_num,A290,jr_kg))</f>
        <v/>
      </c>
      <c r="L290" s="64" t="str">
        <f>IF(A290="","",SUMIF(jr_num,A290,jr_val))</f>
        <v/>
      </c>
      <c r="M290" s="60" t="str">
        <f>IF(A290="","",IF(COUNTIFS(jr_num,A290,jr_check,"&lt;&gt;OK")&gt;0,"À vérifier",IF(LEFT(A290,2)="BL",IF(COUNTIFS(jr_num,A290,jr_rel,"&gt;0")&gt;0,"Reliquat en cours",IF(COUNTIFS(jr_num,A290,jr_gap,"&lt;0")&gt;0,"Reliquat livré","Complet")),IF(LEFT(A290,2)="BR",IF(COUNTIFS(jr_num,A290,jr_etat,"Refusé")&gt;0,"Refusé",IF(COUNTIFS(jr_num,A290,jr_etat,"Avec réserves")&gt;0,"Avec réserves",IF(COUNTIFS(jr_num,A290,jr_rel,"&gt;0")&gt;0,"Reliquat en cours",IF(COUNTIFS(jr_num,A290,jr_gap,"&lt;0")+COUNTIFS(jr_num,A290,jr_gap,"&gt;0")&gt;0,"Écart","Conforme")))),IF(COUNTIFS(jr_num,A290,jr_gap,"&lt;0")&gt;0,"Partiel","Sorti")))))</f>
        <v/>
      </c>
      <c r="O290" t="str">
        <f>IFERROR(MATCH(285,jr_grank,0),"")</f>
        <v/>
      </c>
      <c r="R290" s="67" t="str">
        <f>IFERROR(INDEX(jr_num,MATCH("BL285",jr_nkey,0))&amp;"","")</f>
        <v/>
      </c>
      <c r="S290" s="67" t="str">
        <f>IFERROR(INDEX(jr_num,MATCH("BR285",jr_nkey,0))&amp;"","")</f>
        <v/>
      </c>
      <c r="T290" s="67" t="str">
        <f>IFERROR(INDEX(jr_num,MATCH("BS285",jr_nkey,0))&amp;"","")</f>
        <v/>
      </c>
    </row>
    <row r="291">
      <c r="A291" s="60" t="str">
        <f>IF($O291="","",INDEX(jr_num,$O291)&amp;"")</f>
        <v/>
      </c>
      <c r="B291" s="60" t="str">
        <f>IF($O291="","",IF(INDEX(jr_type,$O291)="BL","Livraison",IF(INDEX(jr_type,$O291)="BR","Réception","Sortie")))</f>
        <v/>
      </c>
      <c r="C291" s="65" t="str">
        <f>IF($O291="","",INDEX(jr_date,$O291))</f>
        <v/>
      </c>
      <c r="D291" s="60" t="str">
        <f>IF($O291="","",INDEX(jr_tiers,$O291)&amp;"")</f>
        <v/>
      </c>
      <c r="E291" s="57" t="str">
        <f>IF($O291="","",INDEX(jr_name,$O291)&amp;"")</f>
        <v/>
      </c>
      <c r="F291" s="57" t="str">
        <f>IF($O291="","",INDEX(jr_order,$O291)&amp;"")</f>
        <v/>
      </c>
      <c r="G291" s="57" t="str">
        <f>IF($O291="","",INDEX(jr_ext,$O291)&amp;"")</f>
        <v/>
      </c>
      <c r="H291" s="57" t="str">
        <f>IF($O291="","",INDEX(jr_carrier,$O291)&amp;"")</f>
        <v/>
      </c>
      <c r="I291" s="66" t="str">
        <f>IF(A291="","",COUNTIF(jr_num,A291))</f>
        <v/>
      </c>
      <c r="J291" s="66" t="str">
        <f>IF(A291="","",SUMIF(jr_num,A291,jr_colis))</f>
        <v/>
      </c>
      <c r="K291" s="63" t="str">
        <f>IF(A291="","",SUMIF(jr_num,A291,jr_kg))</f>
        <v/>
      </c>
      <c r="L291" s="64" t="str">
        <f>IF(A291="","",SUMIF(jr_num,A291,jr_val))</f>
        <v/>
      </c>
      <c r="M291" s="60" t="str">
        <f>IF(A291="","",IF(COUNTIFS(jr_num,A291,jr_check,"&lt;&gt;OK")&gt;0,"À vérifier",IF(LEFT(A291,2)="BL",IF(COUNTIFS(jr_num,A291,jr_rel,"&gt;0")&gt;0,"Reliquat en cours",IF(COUNTIFS(jr_num,A291,jr_gap,"&lt;0")&gt;0,"Reliquat livré","Complet")),IF(LEFT(A291,2)="BR",IF(COUNTIFS(jr_num,A291,jr_etat,"Refusé")&gt;0,"Refusé",IF(COUNTIFS(jr_num,A291,jr_etat,"Avec réserves")&gt;0,"Avec réserves",IF(COUNTIFS(jr_num,A291,jr_rel,"&gt;0")&gt;0,"Reliquat en cours",IF(COUNTIFS(jr_num,A291,jr_gap,"&lt;0")+COUNTIFS(jr_num,A291,jr_gap,"&gt;0")&gt;0,"Écart","Conforme")))),IF(COUNTIFS(jr_num,A291,jr_gap,"&lt;0")&gt;0,"Partiel","Sorti")))))</f>
        <v/>
      </c>
      <c r="O291" t="str">
        <f>IFERROR(MATCH(286,jr_grank,0),"")</f>
        <v/>
      </c>
      <c r="R291" s="67" t="str">
        <f>IFERROR(INDEX(jr_num,MATCH("BL286",jr_nkey,0))&amp;"","")</f>
        <v/>
      </c>
      <c r="S291" s="67" t="str">
        <f>IFERROR(INDEX(jr_num,MATCH("BR286",jr_nkey,0))&amp;"","")</f>
        <v/>
      </c>
      <c r="T291" s="67" t="str">
        <f>IFERROR(INDEX(jr_num,MATCH("BS286",jr_nkey,0))&amp;"","")</f>
        <v/>
      </c>
    </row>
    <row r="292">
      <c r="A292" s="60" t="str">
        <f>IF($O292="","",INDEX(jr_num,$O292)&amp;"")</f>
        <v/>
      </c>
      <c r="B292" s="60" t="str">
        <f>IF($O292="","",IF(INDEX(jr_type,$O292)="BL","Livraison",IF(INDEX(jr_type,$O292)="BR","Réception","Sortie")))</f>
        <v/>
      </c>
      <c r="C292" s="65" t="str">
        <f>IF($O292="","",INDEX(jr_date,$O292))</f>
        <v/>
      </c>
      <c r="D292" s="60" t="str">
        <f>IF($O292="","",INDEX(jr_tiers,$O292)&amp;"")</f>
        <v/>
      </c>
      <c r="E292" s="57" t="str">
        <f>IF($O292="","",INDEX(jr_name,$O292)&amp;"")</f>
        <v/>
      </c>
      <c r="F292" s="57" t="str">
        <f>IF($O292="","",INDEX(jr_order,$O292)&amp;"")</f>
        <v/>
      </c>
      <c r="G292" s="57" t="str">
        <f>IF($O292="","",INDEX(jr_ext,$O292)&amp;"")</f>
        <v/>
      </c>
      <c r="H292" s="57" t="str">
        <f>IF($O292="","",INDEX(jr_carrier,$O292)&amp;"")</f>
        <v/>
      </c>
      <c r="I292" s="66" t="str">
        <f>IF(A292="","",COUNTIF(jr_num,A292))</f>
        <v/>
      </c>
      <c r="J292" s="66" t="str">
        <f>IF(A292="","",SUMIF(jr_num,A292,jr_colis))</f>
        <v/>
      </c>
      <c r="K292" s="63" t="str">
        <f>IF(A292="","",SUMIF(jr_num,A292,jr_kg))</f>
        <v/>
      </c>
      <c r="L292" s="64" t="str">
        <f>IF(A292="","",SUMIF(jr_num,A292,jr_val))</f>
        <v/>
      </c>
      <c r="M292" s="60" t="str">
        <f>IF(A292="","",IF(COUNTIFS(jr_num,A292,jr_check,"&lt;&gt;OK")&gt;0,"À vérifier",IF(LEFT(A292,2)="BL",IF(COUNTIFS(jr_num,A292,jr_rel,"&gt;0")&gt;0,"Reliquat en cours",IF(COUNTIFS(jr_num,A292,jr_gap,"&lt;0")&gt;0,"Reliquat livré","Complet")),IF(LEFT(A292,2)="BR",IF(COUNTIFS(jr_num,A292,jr_etat,"Refusé")&gt;0,"Refusé",IF(COUNTIFS(jr_num,A292,jr_etat,"Avec réserves")&gt;0,"Avec réserves",IF(COUNTIFS(jr_num,A292,jr_rel,"&gt;0")&gt;0,"Reliquat en cours",IF(COUNTIFS(jr_num,A292,jr_gap,"&lt;0")+COUNTIFS(jr_num,A292,jr_gap,"&gt;0")&gt;0,"Écart","Conforme")))),IF(COUNTIFS(jr_num,A292,jr_gap,"&lt;0")&gt;0,"Partiel","Sorti")))))</f>
        <v/>
      </c>
      <c r="O292" t="str">
        <f>IFERROR(MATCH(287,jr_grank,0),"")</f>
        <v/>
      </c>
      <c r="R292" s="67" t="str">
        <f>IFERROR(INDEX(jr_num,MATCH("BL287",jr_nkey,0))&amp;"","")</f>
        <v/>
      </c>
      <c r="S292" s="67" t="str">
        <f>IFERROR(INDEX(jr_num,MATCH("BR287",jr_nkey,0))&amp;"","")</f>
        <v/>
      </c>
      <c r="T292" s="67" t="str">
        <f>IFERROR(INDEX(jr_num,MATCH("BS287",jr_nkey,0))&amp;"","")</f>
        <v/>
      </c>
    </row>
    <row r="293">
      <c r="A293" s="60" t="str">
        <f>IF($O293="","",INDEX(jr_num,$O293)&amp;"")</f>
        <v/>
      </c>
      <c r="B293" s="60" t="str">
        <f>IF($O293="","",IF(INDEX(jr_type,$O293)="BL","Livraison",IF(INDEX(jr_type,$O293)="BR","Réception","Sortie")))</f>
        <v/>
      </c>
      <c r="C293" s="65" t="str">
        <f>IF($O293="","",INDEX(jr_date,$O293))</f>
        <v/>
      </c>
      <c r="D293" s="60" t="str">
        <f>IF($O293="","",INDEX(jr_tiers,$O293)&amp;"")</f>
        <v/>
      </c>
      <c r="E293" s="57" t="str">
        <f>IF($O293="","",INDEX(jr_name,$O293)&amp;"")</f>
        <v/>
      </c>
      <c r="F293" s="57" t="str">
        <f>IF($O293="","",INDEX(jr_order,$O293)&amp;"")</f>
        <v/>
      </c>
      <c r="G293" s="57" t="str">
        <f>IF($O293="","",INDEX(jr_ext,$O293)&amp;"")</f>
        <v/>
      </c>
      <c r="H293" s="57" t="str">
        <f>IF($O293="","",INDEX(jr_carrier,$O293)&amp;"")</f>
        <v/>
      </c>
      <c r="I293" s="66" t="str">
        <f>IF(A293="","",COUNTIF(jr_num,A293))</f>
        <v/>
      </c>
      <c r="J293" s="66" t="str">
        <f>IF(A293="","",SUMIF(jr_num,A293,jr_colis))</f>
        <v/>
      </c>
      <c r="K293" s="63" t="str">
        <f>IF(A293="","",SUMIF(jr_num,A293,jr_kg))</f>
        <v/>
      </c>
      <c r="L293" s="64" t="str">
        <f>IF(A293="","",SUMIF(jr_num,A293,jr_val))</f>
        <v/>
      </c>
      <c r="M293" s="60" t="str">
        <f>IF(A293="","",IF(COUNTIFS(jr_num,A293,jr_check,"&lt;&gt;OK")&gt;0,"À vérifier",IF(LEFT(A293,2)="BL",IF(COUNTIFS(jr_num,A293,jr_rel,"&gt;0")&gt;0,"Reliquat en cours",IF(COUNTIFS(jr_num,A293,jr_gap,"&lt;0")&gt;0,"Reliquat livré","Complet")),IF(LEFT(A293,2)="BR",IF(COUNTIFS(jr_num,A293,jr_etat,"Refusé")&gt;0,"Refusé",IF(COUNTIFS(jr_num,A293,jr_etat,"Avec réserves")&gt;0,"Avec réserves",IF(COUNTIFS(jr_num,A293,jr_rel,"&gt;0")&gt;0,"Reliquat en cours",IF(COUNTIFS(jr_num,A293,jr_gap,"&lt;0")+COUNTIFS(jr_num,A293,jr_gap,"&gt;0")&gt;0,"Écart","Conforme")))),IF(COUNTIFS(jr_num,A293,jr_gap,"&lt;0")&gt;0,"Partiel","Sorti")))))</f>
        <v/>
      </c>
      <c r="O293" t="str">
        <f>IFERROR(MATCH(288,jr_grank,0),"")</f>
        <v/>
      </c>
      <c r="R293" s="67" t="str">
        <f>IFERROR(INDEX(jr_num,MATCH("BL288",jr_nkey,0))&amp;"","")</f>
        <v/>
      </c>
      <c r="S293" s="67" t="str">
        <f>IFERROR(INDEX(jr_num,MATCH("BR288",jr_nkey,0))&amp;"","")</f>
        <v/>
      </c>
      <c r="T293" s="67" t="str">
        <f>IFERROR(INDEX(jr_num,MATCH("BS288",jr_nkey,0))&amp;"","")</f>
        <v/>
      </c>
    </row>
    <row r="294">
      <c r="A294" s="60" t="str">
        <f>IF($O294="","",INDEX(jr_num,$O294)&amp;"")</f>
        <v/>
      </c>
      <c r="B294" s="60" t="str">
        <f>IF($O294="","",IF(INDEX(jr_type,$O294)="BL","Livraison",IF(INDEX(jr_type,$O294)="BR","Réception","Sortie")))</f>
        <v/>
      </c>
      <c r="C294" s="65" t="str">
        <f>IF($O294="","",INDEX(jr_date,$O294))</f>
        <v/>
      </c>
      <c r="D294" s="60" t="str">
        <f>IF($O294="","",INDEX(jr_tiers,$O294)&amp;"")</f>
        <v/>
      </c>
      <c r="E294" s="57" t="str">
        <f>IF($O294="","",INDEX(jr_name,$O294)&amp;"")</f>
        <v/>
      </c>
      <c r="F294" s="57" t="str">
        <f>IF($O294="","",INDEX(jr_order,$O294)&amp;"")</f>
        <v/>
      </c>
      <c r="G294" s="57" t="str">
        <f>IF($O294="","",INDEX(jr_ext,$O294)&amp;"")</f>
        <v/>
      </c>
      <c r="H294" s="57" t="str">
        <f>IF($O294="","",INDEX(jr_carrier,$O294)&amp;"")</f>
        <v/>
      </c>
      <c r="I294" s="66" t="str">
        <f>IF(A294="","",COUNTIF(jr_num,A294))</f>
        <v/>
      </c>
      <c r="J294" s="66" t="str">
        <f>IF(A294="","",SUMIF(jr_num,A294,jr_colis))</f>
        <v/>
      </c>
      <c r="K294" s="63" t="str">
        <f>IF(A294="","",SUMIF(jr_num,A294,jr_kg))</f>
        <v/>
      </c>
      <c r="L294" s="64" t="str">
        <f>IF(A294="","",SUMIF(jr_num,A294,jr_val))</f>
        <v/>
      </c>
      <c r="M294" s="60" t="str">
        <f>IF(A294="","",IF(COUNTIFS(jr_num,A294,jr_check,"&lt;&gt;OK")&gt;0,"À vérifier",IF(LEFT(A294,2)="BL",IF(COUNTIFS(jr_num,A294,jr_rel,"&gt;0")&gt;0,"Reliquat en cours",IF(COUNTIFS(jr_num,A294,jr_gap,"&lt;0")&gt;0,"Reliquat livré","Complet")),IF(LEFT(A294,2)="BR",IF(COUNTIFS(jr_num,A294,jr_etat,"Refusé")&gt;0,"Refusé",IF(COUNTIFS(jr_num,A294,jr_etat,"Avec réserves")&gt;0,"Avec réserves",IF(COUNTIFS(jr_num,A294,jr_rel,"&gt;0")&gt;0,"Reliquat en cours",IF(COUNTIFS(jr_num,A294,jr_gap,"&lt;0")+COUNTIFS(jr_num,A294,jr_gap,"&gt;0")&gt;0,"Écart","Conforme")))),IF(COUNTIFS(jr_num,A294,jr_gap,"&lt;0")&gt;0,"Partiel","Sorti")))))</f>
        <v/>
      </c>
      <c r="O294" t="str">
        <f>IFERROR(MATCH(289,jr_grank,0),"")</f>
        <v/>
      </c>
      <c r="R294" s="67" t="str">
        <f>IFERROR(INDEX(jr_num,MATCH("BL289",jr_nkey,0))&amp;"","")</f>
        <v/>
      </c>
      <c r="S294" s="67" t="str">
        <f>IFERROR(INDEX(jr_num,MATCH("BR289",jr_nkey,0))&amp;"","")</f>
        <v/>
      </c>
      <c r="T294" s="67" t="str">
        <f>IFERROR(INDEX(jr_num,MATCH("BS289",jr_nkey,0))&amp;"","")</f>
        <v/>
      </c>
    </row>
    <row r="295">
      <c r="A295" s="60" t="str">
        <f>IF($O295="","",INDEX(jr_num,$O295)&amp;"")</f>
        <v/>
      </c>
      <c r="B295" s="60" t="str">
        <f>IF($O295="","",IF(INDEX(jr_type,$O295)="BL","Livraison",IF(INDEX(jr_type,$O295)="BR","Réception","Sortie")))</f>
        <v/>
      </c>
      <c r="C295" s="65" t="str">
        <f>IF($O295="","",INDEX(jr_date,$O295))</f>
        <v/>
      </c>
      <c r="D295" s="60" t="str">
        <f>IF($O295="","",INDEX(jr_tiers,$O295)&amp;"")</f>
        <v/>
      </c>
      <c r="E295" s="57" t="str">
        <f>IF($O295="","",INDEX(jr_name,$O295)&amp;"")</f>
        <v/>
      </c>
      <c r="F295" s="57" t="str">
        <f>IF($O295="","",INDEX(jr_order,$O295)&amp;"")</f>
        <v/>
      </c>
      <c r="G295" s="57" t="str">
        <f>IF($O295="","",INDEX(jr_ext,$O295)&amp;"")</f>
        <v/>
      </c>
      <c r="H295" s="57" t="str">
        <f>IF($O295="","",INDEX(jr_carrier,$O295)&amp;"")</f>
        <v/>
      </c>
      <c r="I295" s="66" t="str">
        <f>IF(A295="","",COUNTIF(jr_num,A295))</f>
        <v/>
      </c>
      <c r="J295" s="66" t="str">
        <f>IF(A295="","",SUMIF(jr_num,A295,jr_colis))</f>
        <v/>
      </c>
      <c r="K295" s="63" t="str">
        <f>IF(A295="","",SUMIF(jr_num,A295,jr_kg))</f>
        <v/>
      </c>
      <c r="L295" s="64" t="str">
        <f>IF(A295="","",SUMIF(jr_num,A295,jr_val))</f>
        <v/>
      </c>
      <c r="M295" s="60" t="str">
        <f>IF(A295="","",IF(COUNTIFS(jr_num,A295,jr_check,"&lt;&gt;OK")&gt;0,"À vérifier",IF(LEFT(A295,2)="BL",IF(COUNTIFS(jr_num,A295,jr_rel,"&gt;0")&gt;0,"Reliquat en cours",IF(COUNTIFS(jr_num,A295,jr_gap,"&lt;0")&gt;0,"Reliquat livré","Complet")),IF(LEFT(A295,2)="BR",IF(COUNTIFS(jr_num,A295,jr_etat,"Refusé")&gt;0,"Refusé",IF(COUNTIFS(jr_num,A295,jr_etat,"Avec réserves")&gt;0,"Avec réserves",IF(COUNTIFS(jr_num,A295,jr_rel,"&gt;0")&gt;0,"Reliquat en cours",IF(COUNTIFS(jr_num,A295,jr_gap,"&lt;0")+COUNTIFS(jr_num,A295,jr_gap,"&gt;0")&gt;0,"Écart","Conforme")))),IF(COUNTIFS(jr_num,A295,jr_gap,"&lt;0")&gt;0,"Partiel","Sorti")))))</f>
        <v/>
      </c>
      <c r="O295" t="str">
        <f>IFERROR(MATCH(290,jr_grank,0),"")</f>
        <v/>
      </c>
      <c r="R295" s="67" t="str">
        <f>IFERROR(INDEX(jr_num,MATCH("BL290",jr_nkey,0))&amp;"","")</f>
        <v/>
      </c>
      <c r="S295" s="67" t="str">
        <f>IFERROR(INDEX(jr_num,MATCH("BR290",jr_nkey,0))&amp;"","")</f>
        <v/>
      </c>
      <c r="T295" s="67" t="str">
        <f>IFERROR(INDEX(jr_num,MATCH("BS290",jr_nkey,0))&amp;"","")</f>
        <v/>
      </c>
    </row>
    <row r="296">
      <c r="A296" s="60" t="str">
        <f>IF($O296="","",INDEX(jr_num,$O296)&amp;"")</f>
        <v/>
      </c>
      <c r="B296" s="60" t="str">
        <f>IF($O296="","",IF(INDEX(jr_type,$O296)="BL","Livraison",IF(INDEX(jr_type,$O296)="BR","Réception","Sortie")))</f>
        <v/>
      </c>
      <c r="C296" s="65" t="str">
        <f>IF($O296="","",INDEX(jr_date,$O296))</f>
        <v/>
      </c>
      <c r="D296" s="60" t="str">
        <f>IF($O296="","",INDEX(jr_tiers,$O296)&amp;"")</f>
        <v/>
      </c>
      <c r="E296" s="57" t="str">
        <f>IF($O296="","",INDEX(jr_name,$O296)&amp;"")</f>
        <v/>
      </c>
      <c r="F296" s="57" t="str">
        <f>IF($O296="","",INDEX(jr_order,$O296)&amp;"")</f>
        <v/>
      </c>
      <c r="G296" s="57" t="str">
        <f>IF($O296="","",INDEX(jr_ext,$O296)&amp;"")</f>
        <v/>
      </c>
      <c r="H296" s="57" t="str">
        <f>IF($O296="","",INDEX(jr_carrier,$O296)&amp;"")</f>
        <v/>
      </c>
      <c r="I296" s="66" t="str">
        <f>IF(A296="","",COUNTIF(jr_num,A296))</f>
        <v/>
      </c>
      <c r="J296" s="66" t="str">
        <f>IF(A296="","",SUMIF(jr_num,A296,jr_colis))</f>
        <v/>
      </c>
      <c r="K296" s="63" t="str">
        <f>IF(A296="","",SUMIF(jr_num,A296,jr_kg))</f>
        <v/>
      </c>
      <c r="L296" s="64" t="str">
        <f>IF(A296="","",SUMIF(jr_num,A296,jr_val))</f>
        <v/>
      </c>
      <c r="M296" s="60" t="str">
        <f>IF(A296="","",IF(COUNTIFS(jr_num,A296,jr_check,"&lt;&gt;OK")&gt;0,"À vérifier",IF(LEFT(A296,2)="BL",IF(COUNTIFS(jr_num,A296,jr_rel,"&gt;0")&gt;0,"Reliquat en cours",IF(COUNTIFS(jr_num,A296,jr_gap,"&lt;0")&gt;0,"Reliquat livré","Complet")),IF(LEFT(A296,2)="BR",IF(COUNTIFS(jr_num,A296,jr_etat,"Refusé")&gt;0,"Refusé",IF(COUNTIFS(jr_num,A296,jr_etat,"Avec réserves")&gt;0,"Avec réserves",IF(COUNTIFS(jr_num,A296,jr_rel,"&gt;0")&gt;0,"Reliquat en cours",IF(COUNTIFS(jr_num,A296,jr_gap,"&lt;0")+COUNTIFS(jr_num,A296,jr_gap,"&gt;0")&gt;0,"Écart","Conforme")))),IF(COUNTIFS(jr_num,A296,jr_gap,"&lt;0")&gt;0,"Partiel","Sorti")))))</f>
        <v/>
      </c>
      <c r="O296" t="str">
        <f>IFERROR(MATCH(291,jr_grank,0),"")</f>
        <v/>
      </c>
      <c r="R296" s="67" t="str">
        <f>IFERROR(INDEX(jr_num,MATCH("BL291",jr_nkey,0))&amp;"","")</f>
        <v/>
      </c>
      <c r="S296" s="67" t="str">
        <f>IFERROR(INDEX(jr_num,MATCH("BR291",jr_nkey,0))&amp;"","")</f>
        <v/>
      </c>
      <c r="T296" s="67" t="str">
        <f>IFERROR(INDEX(jr_num,MATCH("BS291",jr_nkey,0))&amp;"","")</f>
        <v/>
      </c>
    </row>
    <row r="297">
      <c r="A297" s="60" t="str">
        <f>IF($O297="","",INDEX(jr_num,$O297)&amp;"")</f>
        <v/>
      </c>
      <c r="B297" s="60" t="str">
        <f>IF($O297="","",IF(INDEX(jr_type,$O297)="BL","Livraison",IF(INDEX(jr_type,$O297)="BR","Réception","Sortie")))</f>
        <v/>
      </c>
      <c r="C297" s="65" t="str">
        <f>IF($O297="","",INDEX(jr_date,$O297))</f>
        <v/>
      </c>
      <c r="D297" s="60" t="str">
        <f>IF($O297="","",INDEX(jr_tiers,$O297)&amp;"")</f>
        <v/>
      </c>
      <c r="E297" s="57" t="str">
        <f>IF($O297="","",INDEX(jr_name,$O297)&amp;"")</f>
        <v/>
      </c>
      <c r="F297" s="57" t="str">
        <f>IF($O297="","",INDEX(jr_order,$O297)&amp;"")</f>
        <v/>
      </c>
      <c r="G297" s="57" t="str">
        <f>IF($O297="","",INDEX(jr_ext,$O297)&amp;"")</f>
        <v/>
      </c>
      <c r="H297" s="57" t="str">
        <f>IF($O297="","",INDEX(jr_carrier,$O297)&amp;"")</f>
        <v/>
      </c>
      <c r="I297" s="66" t="str">
        <f>IF(A297="","",COUNTIF(jr_num,A297))</f>
        <v/>
      </c>
      <c r="J297" s="66" t="str">
        <f>IF(A297="","",SUMIF(jr_num,A297,jr_colis))</f>
        <v/>
      </c>
      <c r="K297" s="63" t="str">
        <f>IF(A297="","",SUMIF(jr_num,A297,jr_kg))</f>
        <v/>
      </c>
      <c r="L297" s="64" t="str">
        <f>IF(A297="","",SUMIF(jr_num,A297,jr_val))</f>
        <v/>
      </c>
      <c r="M297" s="60" t="str">
        <f>IF(A297="","",IF(COUNTIFS(jr_num,A297,jr_check,"&lt;&gt;OK")&gt;0,"À vérifier",IF(LEFT(A297,2)="BL",IF(COUNTIFS(jr_num,A297,jr_rel,"&gt;0")&gt;0,"Reliquat en cours",IF(COUNTIFS(jr_num,A297,jr_gap,"&lt;0")&gt;0,"Reliquat livré","Complet")),IF(LEFT(A297,2)="BR",IF(COUNTIFS(jr_num,A297,jr_etat,"Refusé")&gt;0,"Refusé",IF(COUNTIFS(jr_num,A297,jr_etat,"Avec réserves")&gt;0,"Avec réserves",IF(COUNTIFS(jr_num,A297,jr_rel,"&gt;0")&gt;0,"Reliquat en cours",IF(COUNTIFS(jr_num,A297,jr_gap,"&lt;0")+COUNTIFS(jr_num,A297,jr_gap,"&gt;0")&gt;0,"Écart","Conforme")))),IF(COUNTIFS(jr_num,A297,jr_gap,"&lt;0")&gt;0,"Partiel","Sorti")))))</f>
        <v/>
      </c>
      <c r="O297" t="str">
        <f>IFERROR(MATCH(292,jr_grank,0),"")</f>
        <v/>
      </c>
      <c r="R297" s="67" t="str">
        <f>IFERROR(INDEX(jr_num,MATCH("BL292",jr_nkey,0))&amp;"","")</f>
        <v/>
      </c>
      <c r="S297" s="67" t="str">
        <f>IFERROR(INDEX(jr_num,MATCH("BR292",jr_nkey,0))&amp;"","")</f>
        <v/>
      </c>
      <c r="T297" s="67" t="str">
        <f>IFERROR(INDEX(jr_num,MATCH("BS292",jr_nkey,0))&amp;"","")</f>
        <v/>
      </c>
    </row>
    <row r="298">
      <c r="A298" s="60" t="str">
        <f>IF($O298="","",INDEX(jr_num,$O298)&amp;"")</f>
        <v/>
      </c>
      <c r="B298" s="60" t="str">
        <f>IF($O298="","",IF(INDEX(jr_type,$O298)="BL","Livraison",IF(INDEX(jr_type,$O298)="BR","Réception","Sortie")))</f>
        <v/>
      </c>
      <c r="C298" s="65" t="str">
        <f>IF($O298="","",INDEX(jr_date,$O298))</f>
        <v/>
      </c>
      <c r="D298" s="60" t="str">
        <f>IF($O298="","",INDEX(jr_tiers,$O298)&amp;"")</f>
        <v/>
      </c>
      <c r="E298" s="57" t="str">
        <f>IF($O298="","",INDEX(jr_name,$O298)&amp;"")</f>
        <v/>
      </c>
      <c r="F298" s="57" t="str">
        <f>IF($O298="","",INDEX(jr_order,$O298)&amp;"")</f>
        <v/>
      </c>
      <c r="G298" s="57" t="str">
        <f>IF($O298="","",INDEX(jr_ext,$O298)&amp;"")</f>
        <v/>
      </c>
      <c r="H298" s="57" t="str">
        <f>IF($O298="","",INDEX(jr_carrier,$O298)&amp;"")</f>
        <v/>
      </c>
      <c r="I298" s="66" t="str">
        <f>IF(A298="","",COUNTIF(jr_num,A298))</f>
        <v/>
      </c>
      <c r="J298" s="66" t="str">
        <f>IF(A298="","",SUMIF(jr_num,A298,jr_colis))</f>
        <v/>
      </c>
      <c r="K298" s="63" t="str">
        <f>IF(A298="","",SUMIF(jr_num,A298,jr_kg))</f>
        <v/>
      </c>
      <c r="L298" s="64" t="str">
        <f>IF(A298="","",SUMIF(jr_num,A298,jr_val))</f>
        <v/>
      </c>
      <c r="M298" s="60" t="str">
        <f>IF(A298="","",IF(COUNTIFS(jr_num,A298,jr_check,"&lt;&gt;OK")&gt;0,"À vérifier",IF(LEFT(A298,2)="BL",IF(COUNTIFS(jr_num,A298,jr_rel,"&gt;0")&gt;0,"Reliquat en cours",IF(COUNTIFS(jr_num,A298,jr_gap,"&lt;0")&gt;0,"Reliquat livré","Complet")),IF(LEFT(A298,2)="BR",IF(COUNTIFS(jr_num,A298,jr_etat,"Refusé")&gt;0,"Refusé",IF(COUNTIFS(jr_num,A298,jr_etat,"Avec réserves")&gt;0,"Avec réserves",IF(COUNTIFS(jr_num,A298,jr_rel,"&gt;0")&gt;0,"Reliquat en cours",IF(COUNTIFS(jr_num,A298,jr_gap,"&lt;0")+COUNTIFS(jr_num,A298,jr_gap,"&gt;0")&gt;0,"Écart","Conforme")))),IF(COUNTIFS(jr_num,A298,jr_gap,"&lt;0")&gt;0,"Partiel","Sorti")))))</f>
        <v/>
      </c>
      <c r="O298" t="str">
        <f>IFERROR(MATCH(293,jr_grank,0),"")</f>
        <v/>
      </c>
      <c r="R298" s="67" t="str">
        <f>IFERROR(INDEX(jr_num,MATCH("BL293",jr_nkey,0))&amp;"","")</f>
        <v/>
      </c>
      <c r="S298" s="67" t="str">
        <f>IFERROR(INDEX(jr_num,MATCH("BR293",jr_nkey,0))&amp;"","")</f>
        <v/>
      </c>
      <c r="T298" s="67" t="str">
        <f>IFERROR(INDEX(jr_num,MATCH("BS293",jr_nkey,0))&amp;"","")</f>
        <v/>
      </c>
    </row>
    <row r="299">
      <c r="A299" s="60" t="str">
        <f>IF($O299="","",INDEX(jr_num,$O299)&amp;"")</f>
        <v/>
      </c>
      <c r="B299" s="60" t="str">
        <f>IF($O299="","",IF(INDEX(jr_type,$O299)="BL","Livraison",IF(INDEX(jr_type,$O299)="BR","Réception","Sortie")))</f>
        <v/>
      </c>
      <c r="C299" s="65" t="str">
        <f>IF($O299="","",INDEX(jr_date,$O299))</f>
        <v/>
      </c>
      <c r="D299" s="60" t="str">
        <f>IF($O299="","",INDEX(jr_tiers,$O299)&amp;"")</f>
        <v/>
      </c>
      <c r="E299" s="57" t="str">
        <f>IF($O299="","",INDEX(jr_name,$O299)&amp;"")</f>
        <v/>
      </c>
      <c r="F299" s="57" t="str">
        <f>IF($O299="","",INDEX(jr_order,$O299)&amp;"")</f>
        <v/>
      </c>
      <c r="G299" s="57" t="str">
        <f>IF($O299="","",INDEX(jr_ext,$O299)&amp;"")</f>
        <v/>
      </c>
      <c r="H299" s="57" t="str">
        <f>IF($O299="","",INDEX(jr_carrier,$O299)&amp;"")</f>
        <v/>
      </c>
      <c r="I299" s="66" t="str">
        <f>IF(A299="","",COUNTIF(jr_num,A299))</f>
        <v/>
      </c>
      <c r="J299" s="66" t="str">
        <f>IF(A299="","",SUMIF(jr_num,A299,jr_colis))</f>
        <v/>
      </c>
      <c r="K299" s="63" t="str">
        <f>IF(A299="","",SUMIF(jr_num,A299,jr_kg))</f>
        <v/>
      </c>
      <c r="L299" s="64" t="str">
        <f>IF(A299="","",SUMIF(jr_num,A299,jr_val))</f>
        <v/>
      </c>
      <c r="M299" s="60" t="str">
        <f>IF(A299="","",IF(COUNTIFS(jr_num,A299,jr_check,"&lt;&gt;OK")&gt;0,"À vérifier",IF(LEFT(A299,2)="BL",IF(COUNTIFS(jr_num,A299,jr_rel,"&gt;0")&gt;0,"Reliquat en cours",IF(COUNTIFS(jr_num,A299,jr_gap,"&lt;0")&gt;0,"Reliquat livré","Complet")),IF(LEFT(A299,2)="BR",IF(COUNTIFS(jr_num,A299,jr_etat,"Refusé")&gt;0,"Refusé",IF(COUNTIFS(jr_num,A299,jr_etat,"Avec réserves")&gt;0,"Avec réserves",IF(COUNTIFS(jr_num,A299,jr_rel,"&gt;0")&gt;0,"Reliquat en cours",IF(COUNTIFS(jr_num,A299,jr_gap,"&lt;0")+COUNTIFS(jr_num,A299,jr_gap,"&gt;0")&gt;0,"Écart","Conforme")))),IF(COUNTIFS(jr_num,A299,jr_gap,"&lt;0")&gt;0,"Partiel","Sorti")))))</f>
        <v/>
      </c>
      <c r="O299" t="str">
        <f>IFERROR(MATCH(294,jr_grank,0),"")</f>
        <v/>
      </c>
      <c r="R299" s="67" t="str">
        <f>IFERROR(INDEX(jr_num,MATCH("BL294",jr_nkey,0))&amp;"","")</f>
        <v/>
      </c>
      <c r="S299" s="67" t="str">
        <f>IFERROR(INDEX(jr_num,MATCH("BR294",jr_nkey,0))&amp;"","")</f>
        <v/>
      </c>
      <c r="T299" s="67" t="str">
        <f>IFERROR(INDEX(jr_num,MATCH("BS294",jr_nkey,0))&amp;"","")</f>
        <v/>
      </c>
    </row>
    <row r="300">
      <c r="A300" s="60" t="str">
        <f>IF($O300="","",INDEX(jr_num,$O300)&amp;"")</f>
        <v/>
      </c>
      <c r="B300" s="60" t="str">
        <f>IF($O300="","",IF(INDEX(jr_type,$O300)="BL","Livraison",IF(INDEX(jr_type,$O300)="BR","Réception","Sortie")))</f>
        <v/>
      </c>
      <c r="C300" s="65" t="str">
        <f>IF($O300="","",INDEX(jr_date,$O300))</f>
        <v/>
      </c>
      <c r="D300" s="60" t="str">
        <f>IF($O300="","",INDEX(jr_tiers,$O300)&amp;"")</f>
        <v/>
      </c>
      <c r="E300" s="57" t="str">
        <f>IF($O300="","",INDEX(jr_name,$O300)&amp;"")</f>
        <v/>
      </c>
      <c r="F300" s="57" t="str">
        <f>IF($O300="","",INDEX(jr_order,$O300)&amp;"")</f>
        <v/>
      </c>
      <c r="G300" s="57" t="str">
        <f>IF($O300="","",INDEX(jr_ext,$O300)&amp;"")</f>
        <v/>
      </c>
      <c r="H300" s="57" t="str">
        <f>IF($O300="","",INDEX(jr_carrier,$O300)&amp;"")</f>
        <v/>
      </c>
      <c r="I300" s="66" t="str">
        <f>IF(A300="","",COUNTIF(jr_num,A300))</f>
        <v/>
      </c>
      <c r="J300" s="66" t="str">
        <f>IF(A300="","",SUMIF(jr_num,A300,jr_colis))</f>
        <v/>
      </c>
      <c r="K300" s="63" t="str">
        <f>IF(A300="","",SUMIF(jr_num,A300,jr_kg))</f>
        <v/>
      </c>
      <c r="L300" s="64" t="str">
        <f>IF(A300="","",SUMIF(jr_num,A300,jr_val))</f>
        <v/>
      </c>
      <c r="M300" s="60" t="str">
        <f>IF(A300="","",IF(COUNTIFS(jr_num,A300,jr_check,"&lt;&gt;OK")&gt;0,"À vérifier",IF(LEFT(A300,2)="BL",IF(COUNTIFS(jr_num,A300,jr_rel,"&gt;0")&gt;0,"Reliquat en cours",IF(COUNTIFS(jr_num,A300,jr_gap,"&lt;0")&gt;0,"Reliquat livré","Complet")),IF(LEFT(A300,2)="BR",IF(COUNTIFS(jr_num,A300,jr_etat,"Refusé")&gt;0,"Refusé",IF(COUNTIFS(jr_num,A300,jr_etat,"Avec réserves")&gt;0,"Avec réserves",IF(COUNTIFS(jr_num,A300,jr_rel,"&gt;0")&gt;0,"Reliquat en cours",IF(COUNTIFS(jr_num,A300,jr_gap,"&lt;0")+COUNTIFS(jr_num,A300,jr_gap,"&gt;0")&gt;0,"Écart","Conforme")))),IF(COUNTIFS(jr_num,A300,jr_gap,"&lt;0")&gt;0,"Partiel","Sorti")))))</f>
        <v/>
      </c>
      <c r="O300" t="str">
        <f>IFERROR(MATCH(295,jr_grank,0),"")</f>
        <v/>
      </c>
      <c r="R300" s="67" t="str">
        <f>IFERROR(INDEX(jr_num,MATCH("BL295",jr_nkey,0))&amp;"","")</f>
        <v/>
      </c>
      <c r="S300" s="67" t="str">
        <f>IFERROR(INDEX(jr_num,MATCH("BR295",jr_nkey,0))&amp;"","")</f>
        <v/>
      </c>
      <c r="T300" s="67" t="str">
        <f>IFERROR(INDEX(jr_num,MATCH("BS295",jr_nkey,0))&amp;"","")</f>
        <v/>
      </c>
    </row>
    <row r="301">
      <c r="A301" s="60" t="str">
        <f>IF($O301="","",INDEX(jr_num,$O301)&amp;"")</f>
        <v/>
      </c>
      <c r="B301" s="60" t="str">
        <f>IF($O301="","",IF(INDEX(jr_type,$O301)="BL","Livraison",IF(INDEX(jr_type,$O301)="BR","Réception","Sortie")))</f>
        <v/>
      </c>
      <c r="C301" s="65" t="str">
        <f>IF($O301="","",INDEX(jr_date,$O301))</f>
        <v/>
      </c>
      <c r="D301" s="60" t="str">
        <f>IF($O301="","",INDEX(jr_tiers,$O301)&amp;"")</f>
        <v/>
      </c>
      <c r="E301" s="57" t="str">
        <f>IF($O301="","",INDEX(jr_name,$O301)&amp;"")</f>
        <v/>
      </c>
      <c r="F301" s="57" t="str">
        <f>IF($O301="","",INDEX(jr_order,$O301)&amp;"")</f>
        <v/>
      </c>
      <c r="G301" s="57" t="str">
        <f>IF($O301="","",INDEX(jr_ext,$O301)&amp;"")</f>
        <v/>
      </c>
      <c r="H301" s="57" t="str">
        <f>IF($O301="","",INDEX(jr_carrier,$O301)&amp;"")</f>
        <v/>
      </c>
      <c r="I301" s="66" t="str">
        <f>IF(A301="","",COUNTIF(jr_num,A301))</f>
        <v/>
      </c>
      <c r="J301" s="66" t="str">
        <f>IF(A301="","",SUMIF(jr_num,A301,jr_colis))</f>
        <v/>
      </c>
      <c r="K301" s="63" t="str">
        <f>IF(A301="","",SUMIF(jr_num,A301,jr_kg))</f>
        <v/>
      </c>
      <c r="L301" s="64" t="str">
        <f>IF(A301="","",SUMIF(jr_num,A301,jr_val))</f>
        <v/>
      </c>
      <c r="M301" s="60" t="str">
        <f>IF(A301="","",IF(COUNTIFS(jr_num,A301,jr_check,"&lt;&gt;OK")&gt;0,"À vérifier",IF(LEFT(A301,2)="BL",IF(COUNTIFS(jr_num,A301,jr_rel,"&gt;0")&gt;0,"Reliquat en cours",IF(COUNTIFS(jr_num,A301,jr_gap,"&lt;0")&gt;0,"Reliquat livré","Complet")),IF(LEFT(A301,2)="BR",IF(COUNTIFS(jr_num,A301,jr_etat,"Refusé")&gt;0,"Refusé",IF(COUNTIFS(jr_num,A301,jr_etat,"Avec réserves")&gt;0,"Avec réserves",IF(COUNTIFS(jr_num,A301,jr_rel,"&gt;0")&gt;0,"Reliquat en cours",IF(COUNTIFS(jr_num,A301,jr_gap,"&lt;0")+COUNTIFS(jr_num,A301,jr_gap,"&gt;0")&gt;0,"Écart","Conforme")))),IF(COUNTIFS(jr_num,A301,jr_gap,"&lt;0")&gt;0,"Partiel","Sorti")))))</f>
        <v/>
      </c>
      <c r="O301" t="str">
        <f>IFERROR(MATCH(296,jr_grank,0),"")</f>
        <v/>
      </c>
      <c r="R301" s="67" t="str">
        <f>IFERROR(INDEX(jr_num,MATCH("BL296",jr_nkey,0))&amp;"","")</f>
        <v/>
      </c>
      <c r="S301" s="67" t="str">
        <f>IFERROR(INDEX(jr_num,MATCH("BR296",jr_nkey,0))&amp;"","")</f>
        <v/>
      </c>
      <c r="T301" s="67" t="str">
        <f>IFERROR(INDEX(jr_num,MATCH("BS296",jr_nkey,0))&amp;"","")</f>
        <v/>
      </c>
    </row>
    <row r="302">
      <c r="A302" s="60" t="str">
        <f>IF($O302="","",INDEX(jr_num,$O302)&amp;"")</f>
        <v/>
      </c>
      <c r="B302" s="60" t="str">
        <f>IF($O302="","",IF(INDEX(jr_type,$O302)="BL","Livraison",IF(INDEX(jr_type,$O302)="BR","Réception","Sortie")))</f>
        <v/>
      </c>
      <c r="C302" s="65" t="str">
        <f>IF($O302="","",INDEX(jr_date,$O302))</f>
        <v/>
      </c>
      <c r="D302" s="60" t="str">
        <f>IF($O302="","",INDEX(jr_tiers,$O302)&amp;"")</f>
        <v/>
      </c>
      <c r="E302" s="57" t="str">
        <f>IF($O302="","",INDEX(jr_name,$O302)&amp;"")</f>
        <v/>
      </c>
      <c r="F302" s="57" t="str">
        <f>IF($O302="","",INDEX(jr_order,$O302)&amp;"")</f>
        <v/>
      </c>
      <c r="G302" s="57" t="str">
        <f>IF($O302="","",INDEX(jr_ext,$O302)&amp;"")</f>
        <v/>
      </c>
      <c r="H302" s="57" t="str">
        <f>IF($O302="","",INDEX(jr_carrier,$O302)&amp;"")</f>
        <v/>
      </c>
      <c r="I302" s="66" t="str">
        <f>IF(A302="","",COUNTIF(jr_num,A302))</f>
        <v/>
      </c>
      <c r="J302" s="66" t="str">
        <f>IF(A302="","",SUMIF(jr_num,A302,jr_colis))</f>
        <v/>
      </c>
      <c r="K302" s="63" t="str">
        <f>IF(A302="","",SUMIF(jr_num,A302,jr_kg))</f>
        <v/>
      </c>
      <c r="L302" s="64" t="str">
        <f>IF(A302="","",SUMIF(jr_num,A302,jr_val))</f>
        <v/>
      </c>
      <c r="M302" s="60" t="str">
        <f>IF(A302="","",IF(COUNTIFS(jr_num,A302,jr_check,"&lt;&gt;OK")&gt;0,"À vérifier",IF(LEFT(A302,2)="BL",IF(COUNTIFS(jr_num,A302,jr_rel,"&gt;0")&gt;0,"Reliquat en cours",IF(COUNTIFS(jr_num,A302,jr_gap,"&lt;0")&gt;0,"Reliquat livré","Complet")),IF(LEFT(A302,2)="BR",IF(COUNTIFS(jr_num,A302,jr_etat,"Refusé")&gt;0,"Refusé",IF(COUNTIFS(jr_num,A302,jr_etat,"Avec réserves")&gt;0,"Avec réserves",IF(COUNTIFS(jr_num,A302,jr_rel,"&gt;0")&gt;0,"Reliquat en cours",IF(COUNTIFS(jr_num,A302,jr_gap,"&lt;0")+COUNTIFS(jr_num,A302,jr_gap,"&gt;0")&gt;0,"Écart","Conforme")))),IF(COUNTIFS(jr_num,A302,jr_gap,"&lt;0")&gt;0,"Partiel","Sorti")))))</f>
        <v/>
      </c>
      <c r="O302" t="str">
        <f>IFERROR(MATCH(297,jr_grank,0),"")</f>
        <v/>
      </c>
      <c r="R302" s="67" t="str">
        <f>IFERROR(INDEX(jr_num,MATCH("BL297",jr_nkey,0))&amp;"","")</f>
        <v/>
      </c>
      <c r="S302" s="67" t="str">
        <f>IFERROR(INDEX(jr_num,MATCH("BR297",jr_nkey,0))&amp;"","")</f>
        <v/>
      </c>
      <c r="T302" s="67" t="str">
        <f>IFERROR(INDEX(jr_num,MATCH("BS297",jr_nkey,0))&amp;"","")</f>
        <v/>
      </c>
    </row>
    <row r="303">
      <c r="A303" s="60" t="str">
        <f>IF($O303="","",INDEX(jr_num,$O303)&amp;"")</f>
        <v/>
      </c>
      <c r="B303" s="60" t="str">
        <f>IF($O303="","",IF(INDEX(jr_type,$O303)="BL","Livraison",IF(INDEX(jr_type,$O303)="BR","Réception","Sortie")))</f>
        <v/>
      </c>
      <c r="C303" s="65" t="str">
        <f>IF($O303="","",INDEX(jr_date,$O303))</f>
        <v/>
      </c>
      <c r="D303" s="60" t="str">
        <f>IF($O303="","",INDEX(jr_tiers,$O303)&amp;"")</f>
        <v/>
      </c>
      <c r="E303" s="57" t="str">
        <f>IF($O303="","",INDEX(jr_name,$O303)&amp;"")</f>
        <v/>
      </c>
      <c r="F303" s="57" t="str">
        <f>IF($O303="","",INDEX(jr_order,$O303)&amp;"")</f>
        <v/>
      </c>
      <c r="G303" s="57" t="str">
        <f>IF($O303="","",INDEX(jr_ext,$O303)&amp;"")</f>
        <v/>
      </c>
      <c r="H303" s="57" t="str">
        <f>IF($O303="","",INDEX(jr_carrier,$O303)&amp;"")</f>
        <v/>
      </c>
      <c r="I303" s="66" t="str">
        <f>IF(A303="","",COUNTIF(jr_num,A303))</f>
        <v/>
      </c>
      <c r="J303" s="66" t="str">
        <f>IF(A303="","",SUMIF(jr_num,A303,jr_colis))</f>
        <v/>
      </c>
      <c r="K303" s="63" t="str">
        <f>IF(A303="","",SUMIF(jr_num,A303,jr_kg))</f>
        <v/>
      </c>
      <c r="L303" s="64" t="str">
        <f>IF(A303="","",SUMIF(jr_num,A303,jr_val))</f>
        <v/>
      </c>
      <c r="M303" s="60" t="str">
        <f>IF(A303="","",IF(COUNTIFS(jr_num,A303,jr_check,"&lt;&gt;OK")&gt;0,"À vérifier",IF(LEFT(A303,2)="BL",IF(COUNTIFS(jr_num,A303,jr_rel,"&gt;0")&gt;0,"Reliquat en cours",IF(COUNTIFS(jr_num,A303,jr_gap,"&lt;0")&gt;0,"Reliquat livré","Complet")),IF(LEFT(A303,2)="BR",IF(COUNTIFS(jr_num,A303,jr_etat,"Refusé")&gt;0,"Refusé",IF(COUNTIFS(jr_num,A303,jr_etat,"Avec réserves")&gt;0,"Avec réserves",IF(COUNTIFS(jr_num,A303,jr_rel,"&gt;0")&gt;0,"Reliquat en cours",IF(COUNTIFS(jr_num,A303,jr_gap,"&lt;0")+COUNTIFS(jr_num,A303,jr_gap,"&gt;0")&gt;0,"Écart","Conforme")))),IF(COUNTIFS(jr_num,A303,jr_gap,"&lt;0")&gt;0,"Partiel","Sorti")))))</f>
        <v/>
      </c>
      <c r="O303" t="str">
        <f>IFERROR(MATCH(298,jr_grank,0),"")</f>
        <v/>
      </c>
      <c r="R303" s="67" t="str">
        <f>IFERROR(INDEX(jr_num,MATCH("BL298",jr_nkey,0))&amp;"","")</f>
        <v/>
      </c>
      <c r="S303" s="67" t="str">
        <f>IFERROR(INDEX(jr_num,MATCH("BR298",jr_nkey,0))&amp;"","")</f>
        <v/>
      </c>
      <c r="T303" s="67" t="str">
        <f>IFERROR(INDEX(jr_num,MATCH("BS298",jr_nkey,0))&amp;"","")</f>
        <v/>
      </c>
    </row>
    <row r="304">
      <c r="A304" s="60" t="str">
        <f>IF($O304="","",INDEX(jr_num,$O304)&amp;"")</f>
        <v/>
      </c>
      <c r="B304" s="60" t="str">
        <f>IF($O304="","",IF(INDEX(jr_type,$O304)="BL","Livraison",IF(INDEX(jr_type,$O304)="BR","Réception","Sortie")))</f>
        <v/>
      </c>
      <c r="C304" s="65" t="str">
        <f>IF($O304="","",INDEX(jr_date,$O304))</f>
        <v/>
      </c>
      <c r="D304" s="60" t="str">
        <f>IF($O304="","",INDEX(jr_tiers,$O304)&amp;"")</f>
        <v/>
      </c>
      <c r="E304" s="57" t="str">
        <f>IF($O304="","",INDEX(jr_name,$O304)&amp;"")</f>
        <v/>
      </c>
      <c r="F304" s="57" t="str">
        <f>IF($O304="","",INDEX(jr_order,$O304)&amp;"")</f>
        <v/>
      </c>
      <c r="G304" s="57" t="str">
        <f>IF($O304="","",INDEX(jr_ext,$O304)&amp;"")</f>
        <v/>
      </c>
      <c r="H304" s="57" t="str">
        <f>IF($O304="","",INDEX(jr_carrier,$O304)&amp;"")</f>
        <v/>
      </c>
      <c r="I304" s="66" t="str">
        <f>IF(A304="","",COUNTIF(jr_num,A304))</f>
        <v/>
      </c>
      <c r="J304" s="66" t="str">
        <f>IF(A304="","",SUMIF(jr_num,A304,jr_colis))</f>
        <v/>
      </c>
      <c r="K304" s="63" t="str">
        <f>IF(A304="","",SUMIF(jr_num,A304,jr_kg))</f>
        <v/>
      </c>
      <c r="L304" s="64" t="str">
        <f>IF(A304="","",SUMIF(jr_num,A304,jr_val))</f>
        <v/>
      </c>
      <c r="M304" s="60" t="str">
        <f>IF(A304="","",IF(COUNTIFS(jr_num,A304,jr_check,"&lt;&gt;OK")&gt;0,"À vérifier",IF(LEFT(A304,2)="BL",IF(COUNTIFS(jr_num,A304,jr_rel,"&gt;0")&gt;0,"Reliquat en cours",IF(COUNTIFS(jr_num,A304,jr_gap,"&lt;0")&gt;0,"Reliquat livré","Complet")),IF(LEFT(A304,2)="BR",IF(COUNTIFS(jr_num,A304,jr_etat,"Refusé")&gt;0,"Refusé",IF(COUNTIFS(jr_num,A304,jr_etat,"Avec réserves")&gt;0,"Avec réserves",IF(COUNTIFS(jr_num,A304,jr_rel,"&gt;0")&gt;0,"Reliquat en cours",IF(COUNTIFS(jr_num,A304,jr_gap,"&lt;0")+COUNTIFS(jr_num,A304,jr_gap,"&gt;0")&gt;0,"Écart","Conforme")))),IF(COUNTIFS(jr_num,A304,jr_gap,"&lt;0")&gt;0,"Partiel","Sorti")))))</f>
        <v/>
      </c>
      <c r="O304" t="str">
        <f>IFERROR(MATCH(299,jr_grank,0),"")</f>
        <v/>
      </c>
      <c r="R304" s="67" t="str">
        <f>IFERROR(INDEX(jr_num,MATCH("BL299",jr_nkey,0))&amp;"","")</f>
        <v/>
      </c>
      <c r="S304" s="67" t="str">
        <f>IFERROR(INDEX(jr_num,MATCH("BR299",jr_nkey,0))&amp;"","")</f>
        <v/>
      </c>
      <c r="T304" s="67" t="str">
        <f>IFERROR(INDEX(jr_num,MATCH("BS299",jr_nkey,0))&amp;"","")</f>
        <v/>
      </c>
    </row>
    <row r="305">
      <c r="A305" s="60" t="str">
        <f>IF($O305="","",INDEX(jr_num,$O305)&amp;"")</f>
        <v/>
      </c>
      <c r="B305" s="60" t="str">
        <f>IF($O305="","",IF(INDEX(jr_type,$O305)="BL","Livraison",IF(INDEX(jr_type,$O305)="BR","Réception","Sortie")))</f>
        <v/>
      </c>
      <c r="C305" s="65" t="str">
        <f>IF($O305="","",INDEX(jr_date,$O305))</f>
        <v/>
      </c>
      <c r="D305" s="60" t="str">
        <f>IF($O305="","",INDEX(jr_tiers,$O305)&amp;"")</f>
        <v/>
      </c>
      <c r="E305" s="57" t="str">
        <f>IF($O305="","",INDEX(jr_name,$O305)&amp;"")</f>
        <v/>
      </c>
      <c r="F305" s="57" t="str">
        <f>IF($O305="","",INDEX(jr_order,$O305)&amp;"")</f>
        <v/>
      </c>
      <c r="G305" s="57" t="str">
        <f>IF($O305="","",INDEX(jr_ext,$O305)&amp;"")</f>
        <v/>
      </c>
      <c r="H305" s="57" t="str">
        <f>IF($O305="","",INDEX(jr_carrier,$O305)&amp;"")</f>
        <v/>
      </c>
      <c r="I305" s="66" t="str">
        <f>IF(A305="","",COUNTIF(jr_num,A305))</f>
        <v/>
      </c>
      <c r="J305" s="66" t="str">
        <f>IF(A305="","",SUMIF(jr_num,A305,jr_colis))</f>
        <v/>
      </c>
      <c r="K305" s="63" t="str">
        <f>IF(A305="","",SUMIF(jr_num,A305,jr_kg))</f>
        <v/>
      </c>
      <c r="L305" s="64" t="str">
        <f>IF(A305="","",SUMIF(jr_num,A305,jr_val))</f>
        <v/>
      </c>
      <c r="M305" s="60" t="str">
        <f>IF(A305="","",IF(COUNTIFS(jr_num,A305,jr_check,"&lt;&gt;OK")&gt;0,"À vérifier",IF(LEFT(A305,2)="BL",IF(COUNTIFS(jr_num,A305,jr_rel,"&gt;0")&gt;0,"Reliquat en cours",IF(COUNTIFS(jr_num,A305,jr_gap,"&lt;0")&gt;0,"Reliquat livré","Complet")),IF(LEFT(A305,2)="BR",IF(COUNTIFS(jr_num,A305,jr_etat,"Refusé")&gt;0,"Refusé",IF(COUNTIFS(jr_num,A305,jr_etat,"Avec réserves")&gt;0,"Avec réserves",IF(COUNTIFS(jr_num,A305,jr_rel,"&gt;0")&gt;0,"Reliquat en cours",IF(COUNTIFS(jr_num,A305,jr_gap,"&lt;0")+COUNTIFS(jr_num,A305,jr_gap,"&gt;0")&gt;0,"Écart","Conforme")))),IF(COUNTIFS(jr_num,A305,jr_gap,"&lt;0")&gt;0,"Partiel","Sorti")))))</f>
        <v/>
      </c>
      <c r="O305" t="str">
        <f>IFERROR(MATCH(300,jr_grank,0),"")</f>
        <v/>
      </c>
      <c r="R305" s="67" t="str">
        <f>IFERROR(INDEX(jr_num,MATCH("BL300",jr_nkey,0))&amp;"","")</f>
        <v/>
      </c>
      <c r="S305" s="67" t="str">
        <f>IFERROR(INDEX(jr_num,MATCH("BR300",jr_nkey,0))&amp;"","")</f>
        <v/>
      </c>
      <c r="T305" s="67" t="str">
        <f>IFERROR(INDEX(jr_num,MATCH("BS300",jr_nkey,0))&amp;"","")</f>
        <v/>
      </c>
    </row>
    <row r="306">
      <c r="A306" s="60" t="str">
        <f>IF($O306="","",INDEX(jr_num,$O306)&amp;"")</f>
        <v/>
      </c>
      <c r="B306" s="60" t="str">
        <f>IF($O306="","",IF(INDEX(jr_type,$O306)="BL","Livraison",IF(INDEX(jr_type,$O306)="BR","Réception","Sortie")))</f>
        <v/>
      </c>
      <c r="C306" s="65" t="str">
        <f>IF($O306="","",INDEX(jr_date,$O306))</f>
        <v/>
      </c>
      <c r="D306" s="60" t="str">
        <f>IF($O306="","",INDEX(jr_tiers,$O306)&amp;"")</f>
        <v/>
      </c>
      <c r="E306" s="57" t="str">
        <f>IF($O306="","",INDEX(jr_name,$O306)&amp;"")</f>
        <v/>
      </c>
      <c r="F306" s="57" t="str">
        <f>IF($O306="","",INDEX(jr_order,$O306)&amp;"")</f>
        <v/>
      </c>
      <c r="G306" s="57" t="str">
        <f>IF($O306="","",INDEX(jr_ext,$O306)&amp;"")</f>
        <v/>
      </c>
      <c r="H306" s="57" t="str">
        <f>IF($O306="","",INDEX(jr_carrier,$O306)&amp;"")</f>
        <v/>
      </c>
      <c r="I306" s="66" t="str">
        <f>IF(A306="","",COUNTIF(jr_num,A306))</f>
        <v/>
      </c>
      <c r="J306" s="66" t="str">
        <f>IF(A306="","",SUMIF(jr_num,A306,jr_colis))</f>
        <v/>
      </c>
      <c r="K306" s="63" t="str">
        <f>IF(A306="","",SUMIF(jr_num,A306,jr_kg))</f>
        <v/>
      </c>
      <c r="L306" s="64" t="str">
        <f>IF(A306="","",SUMIF(jr_num,A306,jr_val))</f>
        <v/>
      </c>
      <c r="M306" s="60" t="str">
        <f>IF(A306="","",IF(COUNTIFS(jr_num,A306,jr_check,"&lt;&gt;OK")&gt;0,"À vérifier",IF(LEFT(A306,2)="BL",IF(COUNTIFS(jr_num,A306,jr_rel,"&gt;0")&gt;0,"Reliquat en cours",IF(COUNTIFS(jr_num,A306,jr_gap,"&lt;0")&gt;0,"Reliquat livré","Complet")),IF(LEFT(A306,2)="BR",IF(COUNTIFS(jr_num,A306,jr_etat,"Refusé")&gt;0,"Refusé",IF(COUNTIFS(jr_num,A306,jr_etat,"Avec réserves")&gt;0,"Avec réserves",IF(COUNTIFS(jr_num,A306,jr_rel,"&gt;0")&gt;0,"Reliquat en cours",IF(COUNTIFS(jr_num,A306,jr_gap,"&lt;0")+COUNTIFS(jr_num,A306,jr_gap,"&gt;0")&gt;0,"Écart","Conforme")))),IF(COUNTIFS(jr_num,A306,jr_gap,"&lt;0")&gt;0,"Partiel","Sorti")))))</f>
        <v/>
      </c>
      <c r="O306" t="str">
        <f>IFERROR(MATCH(301,jr_grank,0),"")</f>
        <v/>
      </c>
      <c r="R306" s="67" t="str">
        <f>IFERROR(INDEX(jr_num,MATCH("BL301",jr_nkey,0))&amp;"","")</f>
        <v/>
      </c>
      <c r="S306" s="67" t="str">
        <f>IFERROR(INDEX(jr_num,MATCH("BR301",jr_nkey,0))&amp;"","")</f>
        <v/>
      </c>
      <c r="T306" s="67" t="str">
        <f>IFERROR(INDEX(jr_num,MATCH("BS301",jr_nkey,0))&amp;"","")</f>
        <v/>
      </c>
    </row>
    <row r="307">
      <c r="A307" s="60" t="str">
        <f>IF($O307="","",INDEX(jr_num,$O307)&amp;"")</f>
        <v/>
      </c>
      <c r="B307" s="60" t="str">
        <f>IF($O307="","",IF(INDEX(jr_type,$O307)="BL","Livraison",IF(INDEX(jr_type,$O307)="BR","Réception","Sortie")))</f>
        <v/>
      </c>
      <c r="C307" s="65" t="str">
        <f>IF($O307="","",INDEX(jr_date,$O307))</f>
        <v/>
      </c>
      <c r="D307" s="60" t="str">
        <f>IF($O307="","",INDEX(jr_tiers,$O307)&amp;"")</f>
        <v/>
      </c>
      <c r="E307" s="57" t="str">
        <f>IF($O307="","",INDEX(jr_name,$O307)&amp;"")</f>
        <v/>
      </c>
      <c r="F307" s="57" t="str">
        <f>IF($O307="","",INDEX(jr_order,$O307)&amp;"")</f>
        <v/>
      </c>
      <c r="G307" s="57" t="str">
        <f>IF($O307="","",INDEX(jr_ext,$O307)&amp;"")</f>
        <v/>
      </c>
      <c r="H307" s="57" t="str">
        <f>IF($O307="","",INDEX(jr_carrier,$O307)&amp;"")</f>
        <v/>
      </c>
      <c r="I307" s="66" t="str">
        <f>IF(A307="","",COUNTIF(jr_num,A307))</f>
        <v/>
      </c>
      <c r="J307" s="66" t="str">
        <f>IF(A307="","",SUMIF(jr_num,A307,jr_colis))</f>
        <v/>
      </c>
      <c r="K307" s="63" t="str">
        <f>IF(A307="","",SUMIF(jr_num,A307,jr_kg))</f>
        <v/>
      </c>
      <c r="L307" s="64" t="str">
        <f>IF(A307="","",SUMIF(jr_num,A307,jr_val))</f>
        <v/>
      </c>
      <c r="M307" s="60" t="str">
        <f>IF(A307="","",IF(COUNTIFS(jr_num,A307,jr_check,"&lt;&gt;OK")&gt;0,"À vérifier",IF(LEFT(A307,2)="BL",IF(COUNTIFS(jr_num,A307,jr_rel,"&gt;0")&gt;0,"Reliquat en cours",IF(COUNTIFS(jr_num,A307,jr_gap,"&lt;0")&gt;0,"Reliquat livré","Complet")),IF(LEFT(A307,2)="BR",IF(COUNTIFS(jr_num,A307,jr_etat,"Refusé")&gt;0,"Refusé",IF(COUNTIFS(jr_num,A307,jr_etat,"Avec réserves")&gt;0,"Avec réserves",IF(COUNTIFS(jr_num,A307,jr_rel,"&gt;0")&gt;0,"Reliquat en cours",IF(COUNTIFS(jr_num,A307,jr_gap,"&lt;0")+COUNTIFS(jr_num,A307,jr_gap,"&gt;0")&gt;0,"Écart","Conforme")))),IF(COUNTIFS(jr_num,A307,jr_gap,"&lt;0")&gt;0,"Partiel","Sorti")))))</f>
        <v/>
      </c>
      <c r="O307" t="str">
        <f>IFERROR(MATCH(302,jr_grank,0),"")</f>
        <v/>
      </c>
      <c r="R307" s="67" t="str">
        <f>IFERROR(INDEX(jr_num,MATCH("BL302",jr_nkey,0))&amp;"","")</f>
        <v/>
      </c>
      <c r="S307" s="67" t="str">
        <f>IFERROR(INDEX(jr_num,MATCH("BR302",jr_nkey,0))&amp;"","")</f>
        <v/>
      </c>
      <c r="T307" s="67" t="str">
        <f>IFERROR(INDEX(jr_num,MATCH("BS302",jr_nkey,0))&amp;"","")</f>
        <v/>
      </c>
    </row>
    <row r="308">
      <c r="A308" s="60" t="str">
        <f>IF($O308="","",INDEX(jr_num,$O308)&amp;"")</f>
        <v/>
      </c>
      <c r="B308" s="60" t="str">
        <f>IF($O308="","",IF(INDEX(jr_type,$O308)="BL","Livraison",IF(INDEX(jr_type,$O308)="BR","Réception","Sortie")))</f>
        <v/>
      </c>
      <c r="C308" s="65" t="str">
        <f>IF($O308="","",INDEX(jr_date,$O308))</f>
        <v/>
      </c>
      <c r="D308" s="60" t="str">
        <f>IF($O308="","",INDEX(jr_tiers,$O308)&amp;"")</f>
        <v/>
      </c>
      <c r="E308" s="57" t="str">
        <f>IF($O308="","",INDEX(jr_name,$O308)&amp;"")</f>
        <v/>
      </c>
      <c r="F308" s="57" t="str">
        <f>IF($O308="","",INDEX(jr_order,$O308)&amp;"")</f>
        <v/>
      </c>
      <c r="G308" s="57" t="str">
        <f>IF($O308="","",INDEX(jr_ext,$O308)&amp;"")</f>
        <v/>
      </c>
      <c r="H308" s="57" t="str">
        <f>IF($O308="","",INDEX(jr_carrier,$O308)&amp;"")</f>
        <v/>
      </c>
      <c r="I308" s="66" t="str">
        <f>IF(A308="","",COUNTIF(jr_num,A308))</f>
        <v/>
      </c>
      <c r="J308" s="66" t="str">
        <f>IF(A308="","",SUMIF(jr_num,A308,jr_colis))</f>
        <v/>
      </c>
      <c r="K308" s="63" t="str">
        <f>IF(A308="","",SUMIF(jr_num,A308,jr_kg))</f>
        <v/>
      </c>
      <c r="L308" s="64" t="str">
        <f>IF(A308="","",SUMIF(jr_num,A308,jr_val))</f>
        <v/>
      </c>
      <c r="M308" s="60" t="str">
        <f>IF(A308="","",IF(COUNTIFS(jr_num,A308,jr_check,"&lt;&gt;OK")&gt;0,"À vérifier",IF(LEFT(A308,2)="BL",IF(COUNTIFS(jr_num,A308,jr_rel,"&gt;0")&gt;0,"Reliquat en cours",IF(COUNTIFS(jr_num,A308,jr_gap,"&lt;0")&gt;0,"Reliquat livré","Complet")),IF(LEFT(A308,2)="BR",IF(COUNTIFS(jr_num,A308,jr_etat,"Refusé")&gt;0,"Refusé",IF(COUNTIFS(jr_num,A308,jr_etat,"Avec réserves")&gt;0,"Avec réserves",IF(COUNTIFS(jr_num,A308,jr_rel,"&gt;0")&gt;0,"Reliquat en cours",IF(COUNTIFS(jr_num,A308,jr_gap,"&lt;0")+COUNTIFS(jr_num,A308,jr_gap,"&gt;0")&gt;0,"Écart","Conforme")))),IF(COUNTIFS(jr_num,A308,jr_gap,"&lt;0")&gt;0,"Partiel","Sorti")))))</f>
        <v/>
      </c>
      <c r="O308" t="str">
        <f>IFERROR(MATCH(303,jr_grank,0),"")</f>
        <v/>
      </c>
      <c r="R308" s="67" t="str">
        <f>IFERROR(INDEX(jr_num,MATCH("BL303",jr_nkey,0))&amp;"","")</f>
        <v/>
      </c>
      <c r="S308" s="67" t="str">
        <f>IFERROR(INDEX(jr_num,MATCH("BR303",jr_nkey,0))&amp;"","")</f>
        <v/>
      </c>
      <c r="T308" s="67" t="str">
        <f>IFERROR(INDEX(jr_num,MATCH("BS303",jr_nkey,0))&amp;"","")</f>
        <v/>
      </c>
    </row>
    <row r="309">
      <c r="A309" s="60" t="str">
        <f>IF($O309="","",INDEX(jr_num,$O309)&amp;"")</f>
        <v/>
      </c>
      <c r="B309" s="60" t="str">
        <f>IF($O309="","",IF(INDEX(jr_type,$O309)="BL","Livraison",IF(INDEX(jr_type,$O309)="BR","Réception","Sortie")))</f>
        <v/>
      </c>
      <c r="C309" s="65" t="str">
        <f>IF($O309="","",INDEX(jr_date,$O309))</f>
        <v/>
      </c>
      <c r="D309" s="60" t="str">
        <f>IF($O309="","",INDEX(jr_tiers,$O309)&amp;"")</f>
        <v/>
      </c>
      <c r="E309" s="57" t="str">
        <f>IF($O309="","",INDEX(jr_name,$O309)&amp;"")</f>
        <v/>
      </c>
      <c r="F309" s="57" t="str">
        <f>IF($O309="","",INDEX(jr_order,$O309)&amp;"")</f>
        <v/>
      </c>
      <c r="G309" s="57" t="str">
        <f>IF($O309="","",INDEX(jr_ext,$O309)&amp;"")</f>
        <v/>
      </c>
      <c r="H309" s="57" t="str">
        <f>IF($O309="","",INDEX(jr_carrier,$O309)&amp;"")</f>
        <v/>
      </c>
      <c r="I309" s="66" t="str">
        <f>IF(A309="","",COUNTIF(jr_num,A309))</f>
        <v/>
      </c>
      <c r="J309" s="66" t="str">
        <f>IF(A309="","",SUMIF(jr_num,A309,jr_colis))</f>
        <v/>
      </c>
      <c r="K309" s="63" t="str">
        <f>IF(A309="","",SUMIF(jr_num,A309,jr_kg))</f>
        <v/>
      </c>
      <c r="L309" s="64" t="str">
        <f>IF(A309="","",SUMIF(jr_num,A309,jr_val))</f>
        <v/>
      </c>
      <c r="M309" s="60" t="str">
        <f>IF(A309="","",IF(COUNTIFS(jr_num,A309,jr_check,"&lt;&gt;OK")&gt;0,"À vérifier",IF(LEFT(A309,2)="BL",IF(COUNTIFS(jr_num,A309,jr_rel,"&gt;0")&gt;0,"Reliquat en cours",IF(COUNTIFS(jr_num,A309,jr_gap,"&lt;0")&gt;0,"Reliquat livré","Complet")),IF(LEFT(A309,2)="BR",IF(COUNTIFS(jr_num,A309,jr_etat,"Refusé")&gt;0,"Refusé",IF(COUNTIFS(jr_num,A309,jr_etat,"Avec réserves")&gt;0,"Avec réserves",IF(COUNTIFS(jr_num,A309,jr_rel,"&gt;0")&gt;0,"Reliquat en cours",IF(COUNTIFS(jr_num,A309,jr_gap,"&lt;0")+COUNTIFS(jr_num,A309,jr_gap,"&gt;0")&gt;0,"Écart","Conforme")))),IF(COUNTIFS(jr_num,A309,jr_gap,"&lt;0")&gt;0,"Partiel","Sorti")))))</f>
        <v/>
      </c>
      <c r="O309" t="str">
        <f>IFERROR(MATCH(304,jr_grank,0),"")</f>
        <v/>
      </c>
      <c r="R309" s="67" t="str">
        <f>IFERROR(INDEX(jr_num,MATCH("BL304",jr_nkey,0))&amp;"","")</f>
        <v/>
      </c>
      <c r="S309" s="67" t="str">
        <f>IFERROR(INDEX(jr_num,MATCH("BR304",jr_nkey,0))&amp;"","")</f>
        <v/>
      </c>
      <c r="T309" s="67" t="str">
        <f>IFERROR(INDEX(jr_num,MATCH("BS304",jr_nkey,0))&amp;"","")</f>
        <v/>
      </c>
    </row>
    <row r="310">
      <c r="A310" s="60" t="str">
        <f>IF($O310="","",INDEX(jr_num,$O310)&amp;"")</f>
        <v/>
      </c>
      <c r="B310" s="60" t="str">
        <f>IF($O310="","",IF(INDEX(jr_type,$O310)="BL","Livraison",IF(INDEX(jr_type,$O310)="BR","Réception","Sortie")))</f>
        <v/>
      </c>
      <c r="C310" s="65" t="str">
        <f>IF($O310="","",INDEX(jr_date,$O310))</f>
        <v/>
      </c>
      <c r="D310" s="60" t="str">
        <f>IF($O310="","",INDEX(jr_tiers,$O310)&amp;"")</f>
        <v/>
      </c>
      <c r="E310" s="57" t="str">
        <f>IF($O310="","",INDEX(jr_name,$O310)&amp;"")</f>
        <v/>
      </c>
      <c r="F310" s="57" t="str">
        <f>IF($O310="","",INDEX(jr_order,$O310)&amp;"")</f>
        <v/>
      </c>
      <c r="G310" s="57" t="str">
        <f>IF($O310="","",INDEX(jr_ext,$O310)&amp;"")</f>
        <v/>
      </c>
      <c r="H310" s="57" t="str">
        <f>IF($O310="","",INDEX(jr_carrier,$O310)&amp;"")</f>
        <v/>
      </c>
      <c r="I310" s="66" t="str">
        <f>IF(A310="","",COUNTIF(jr_num,A310))</f>
        <v/>
      </c>
      <c r="J310" s="66" t="str">
        <f>IF(A310="","",SUMIF(jr_num,A310,jr_colis))</f>
        <v/>
      </c>
      <c r="K310" s="63" t="str">
        <f>IF(A310="","",SUMIF(jr_num,A310,jr_kg))</f>
        <v/>
      </c>
      <c r="L310" s="64" t="str">
        <f>IF(A310="","",SUMIF(jr_num,A310,jr_val))</f>
        <v/>
      </c>
      <c r="M310" s="60" t="str">
        <f>IF(A310="","",IF(COUNTIFS(jr_num,A310,jr_check,"&lt;&gt;OK")&gt;0,"À vérifier",IF(LEFT(A310,2)="BL",IF(COUNTIFS(jr_num,A310,jr_rel,"&gt;0")&gt;0,"Reliquat en cours",IF(COUNTIFS(jr_num,A310,jr_gap,"&lt;0")&gt;0,"Reliquat livré","Complet")),IF(LEFT(A310,2)="BR",IF(COUNTIFS(jr_num,A310,jr_etat,"Refusé")&gt;0,"Refusé",IF(COUNTIFS(jr_num,A310,jr_etat,"Avec réserves")&gt;0,"Avec réserves",IF(COUNTIFS(jr_num,A310,jr_rel,"&gt;0")&gt;0,"Reliquat en cours",IF(COUNTIFS(jr_num,A310,jr_gap,"&lt;0")+COUNTIFS(jr_num,A310,jr_gap,"&gt;0")&gt;0,"Écart","Conforme")))),IF(COUNTIFS(jr_num,A310,jr_gap,"&lt;0")&gt;0,"Partiel","Sorti")))))</f>
        <v/>
      </c>
      <c r="O310" t="str">
        <f>IFERROR(MATCH(305,jr_grank,0),"")</f>
        <v/>
      </c>
      <c r="R310" s="67" t="str">
        <f>IFERROR(INDEX(jr_num,MATCH("BL305",jr_nkey,0))&amp;"","")</f>
        <v/>
      </c>
      <c r="S310" s="67" t="str">
        <f>IFERROR(INDEX(jr_num,MATCH("BR305",jr_nkey,0))&amp;"","")</f>
        <v/>
      </c>
      <c r="T310" s="67" t="str">
        <f>IFERROR(INDEX(jr_num,MATCH("BS305",jr_nkey,0))&amp;"","")</f>
        <v/>
      </c>
    </row>
    <row r="311">
      <c r="A311" s="60" t="str">
        <f>IF($O311="","",INDEX(jr_num,$O311)&amp;"")</f>
        <v/>
      </c>
      <c r="B311" s="60" t="str">
        <f>IF($O311="","",IF(INDEX(jr_type,$O311)="BL","Livraison",IF(INDEX(jr_type,$O311)="BR","Réception","Sortie")))</f>
        <v/>
      </c>
      <c r="C311" s="65" t="str">
        <f>IF($O311="","",INDEX(jr_date,$O311))</f>
        <v/>
      </c>
      <c r="D311" s="60" t="str">
        <f>IF($O311="","",INDEX(jr_tiers,$O311)&amp;"")</f>
        <v/>
      </c>
      <c r="E311" s="57" t="str">
        <f>IF($O311="","",INDEX(jr_name,$O311)&amp;"")</f>
        <v/>
      </c>
      <c r="F311" s="57" t="str">
        <f>IF($O311="","",INDEX(jr_order,$O311)&amp;"")</f>
        <v/>
      </c>
      <c r="G311" s="57" t="str">
        <f>IF($O311="","",INDEX(jr_ext,$O311)&amp;"")</f>
        <v/>
      </c>
      <c r="H311" s="57" t="str">
        <f>IF($O311="","",INDEX(jr_carrier,$O311)&amp;"")</f>
        <v/>
      </c>
      <c r="I311" s="66" t="str">
        <f>IF(A311="","",COUNTIF(jr_num,A311))</f>
        <v/>
      </c>
      <c r="J311" s="66" t="str">
        <f>IF(A311="","",SUMIF(jr_num,A311,jr_colis))</f>
        <v/>
      </c>
      <c r="K311" s="63" t="str">
        <f>IF(A311="","",SUMIF(jr_num,A311,jr_kg))</f>
        <v/>
      </c>
      <c r="L311" s="64" t="str">
        <f>IF(A311="","",SUMIF(jr_num,A311,jr_val))</f>
        <v/>
      </c>
      <c r="M311" s="60" t="str">
        <f>IF(A311="","",IF(COUNTIFS(jr_num,A311,jr_check,"&lt;&gt;OK")&gt;0,"À vérifier",IF(LEFT(A311,2)="BL",IF(COUNTIFS(jr_num,A311,jr_rel,"&gt;0")&gt;0,"Reliquat en cours",IF(COUNTIFS(jr_num,A311,jr_gap,"&lt;0")&gt;0,"Reliquat livré","Complet")),IF(LEFT(A311,2)="BR",IF(COUNTIFS(jr_num,A311,jr_etat,"Refusé")&gt;0,"Refusé",IF(COUNTIFS(jr_num,A311,jr_etat,"Avec réserves")&gt;0,"Avec réserves",IF(COUNTIFS(jr_num,A311,jr_rel,"&gt;0")&gt;0,"Reliquat en cours",IF(COUNTIFS(jr_num,A311,jr_gap,"&lt;0")+COUNTIFS(jr_num,A311,jr_gap,"&gt;0")&gt;0,"Écart","Conforme")))),IF(COUNTIFS(jr_num,A311,jr_gap,"&lt;0")&gt;0,"Partiel","Sorti")))))</f>
        <v/>
      </c>
      <c r="O311" t="str">
        <f>IFERROR(MATCH(306,jr_grank,0),"")</f>
        <v/>
      </c>
      <c r="R311" s="67" t="str">
        <f>IFERROR(INDEX(jr_num,MATCH("BL306",jr_nkey,0))&amp;"","")</f>
        <v/>
      </c>
      <c r="S311" s="67" t="str">
        <f>IFERROR(INDEX(jr_num,MATCH("BR306",jr_nkey,0))&amp;"","")</f>
        <v/>
      </c>
      <c r="T311" s="67" t="str">
        <f>IFERROR(INDEX(jr_num,MATCH("BS306",jr_nkey,0))&amp;"","")</f>
        <v/>
      </c>
    </row>
    <row r="312">
      <c r="A312" s="60" t="str">
        <f>IF($O312="","",INDEX(jr_num,$O312)&amp;"")</f>
        <v/>
      </c>
      <c r="B312" s="60" t="str">
        <f>IF($O312="","",IF(INDEX(jr_type,$O312)="BL","Livraison",IF(INDEX(jr_type,$O312)="BR","Réception","Sortie")))</f>
        <v/>
      </c>
      <c r="C312" s="65" t="str">
        <f>IF($O312="","",INDEX(jr_date,$O312))</f>
        <v/>
      </c>
      <c r="D312" s="60" t="str">
        <f>IF($O312="","",INDEX(jr_tiers,$O312)&amp;"")</f>
        <v/>
      </c>
      <c r="E312" s="57" t="str">
        <f>IF($O312="","",INDEX(jr_name,$O312)&amp;"")</f>
        <v/>
      </c>
      <c r="F312" s="57" t="str">
        <f>IF($O312="","",INDEX(jr_order,$O312)&amp;"")</f>
        <v/>
      </c>
      <c r="G312" s="57" t="str">
        <f>IF($O312="","",INDEX(jr_ext,$O312)&amp;"")</f>
        <v/>
      </c>
      <c r="H312" s="57" t="str">
        <f>IF($O312="","",INDEX(jr_carrier,$O312)&amp;"")</f>
        <v/>
      </c>
      <c r="I312" s="66" t="str">
        <f>IF(A312="","",COUNTIF(jr_num,A312))</f>
        <v/>
      </c>
      <c r="J312" s="66" t="str">
        <f>IF(A312="","",SUMIF(jr_num,A312,jr_colis))</f>
        <v/>
      </c>
      <c r="K312" s="63" t="str">
        <f>IF(A312="","",SUMIF(jr_num,A312,jr_kg))</f>
        <v/>
      </c>
      <c r="L312" s="64" t="str">
        <f>IF(A312="","",SUMIF(jr_num,A312,jr_val))</f>
        <v/>
      </c>
      <c r="M312" s="60" t="str">
        <f>IF(A312="","",IF(COUNTIFS(jr_num,A312,jr_check,"&lt;&gt;OK")&gt;0,"À vérifier",IF(LEFT(A312,2)="BL",IF(COUNTIFS(jr_num,A312,jr_rel,"&gt;0")&gt;0,"Reliquat en cours",IF(COUNTIFS(jr_num,A312,jr_gap,"&lt;0")&gt;0,"Reliquat livré","Complet")),IF(LEFT(A312,2)="BR",IF(COUNTIFS(jr_num,A312,jr_etat,"Refusé")&gt;0,"Refusé",IF(COUNTIFS(jr_num,A312,jr_etat,"Avec réserves")&gt;0,"Avec réserves",IF(COUNTIFS(jr_num,A312,jr_rel,"&gt;0")&gt;0,"Reliquat en cours",IF(COUNTIFS(jr_num,A312,jr_gap,"&lt;0")+COUNTIFS(jr_num,A312,jr_gap,"&gt;0")&gt;0,"Écart","Conforme")))),IF(COUNTIFS(jr_num,A312,jr_gap,"&lt;0")&gt;0,"Partiel","Sorti")))))</f>
        <v/>
      </c>
      <c r="O312" t="str">
        <f>IFERROR(MATCH(307,jr_grank,0),"")</f>
        <v/>
      </c>
      <c r="R312" s="67" t="str">
        <f>IFERROR(INDEX(jr_num,MATCH("BL307",jr_nkey,0))&amp;"","")</f>
        <v/>
      </c>
      <c r="S312" s="67" t="str">
        <f>IFERROR(INDEX(jr_num,MATCH("BR307",jr_nkey,0))&amp;"","")</f>
        <v/>
      </c>
      <c r="T312" s="67" t="str">
        <f>IFERROR(INDEX(jr_num,MATCH("BS307",jr_nkey,0))&amp;"","")</f>
        <v/>
      </c>
    </row>
    <row r="313">
      <c r="A313" s="60" t="str">
        <f>IF($O313="","",INDEX(jr_num,$O313)&amp;"")</f>
        <v/>
      </c>
      <c r="B313" s="60" t="str">
        <f>IF($O313="","",IF(INDEX(jr_type,$O313)="BL","Livraison",IF(INDEX(jr_type,$O313)="BR","Réception","Sortie")))</f>
        <v/>
      </c>
      <c r="C313" s="65" t="str">
        <f>IF($O313="","",INDEX(jr_date,$O313))</f>
        <v/>
      </c>
      <c r="D313" s="60" t="str">
        <f>IF($O313="","",INDEX(jr_tiers,$O313)&amp;"")</f>
        <v/>
      </c>
      <c r="E313" s="57" t="str">
        <f>IF($O313="","",INDEX(jr_name,$O313)&amp;"")</f>
        <v/>
      </c>
      <c r="F313" s="57" t="str">
        <f>IF($O313="","",INDEX(jr_order,$O313)&amp;"")</f>
        <v/>
      </c>
      <c r="G313" s="57" t="str">
        <f>IF($O313="","",INDEX(jr_ext,$O313)&amp;"")</f>
        <v/>
      </c>
      <c r="H313" s="57" t="str">
        <f>IF($O313="","",INDEX(jr_carrier,$O313)&amp;"")</f>
        <v/>
      </c>
      <c r="I313" s="66" t="str">
        <f>IF(A313="","",COUNTIF(jr_num,A313))</f>
        <v/>
      </c>
      <c r="J313" s="66" t="str">
        <f>IF(A313="","",SUMIF(jr_num,A313,jr_colis))</f>
        <v/>
      </c>
      <c r="K313" s="63" t="str">
        <f>IF(A313="","",SUMIF(jr_num,A313,jr_kg))</f>
        <v/>
      </c>
      <c r="L313" s="64" t="str">
        <f>IF(A313="","",SUMIF(jr_num,A313,jr_val))</f>
        <v/>
      </c>
      <c r="M313" s="60" t="str">
        <f>IF(A313="","",IF(COUNTIFS(jr_num,A313,jr_check,"&lt;&gt;OK")&gt;0,"À vérifier",IF(LEFT(A313,2)="BL",IF(COUNTIFS(jr_num,A313,jr_rel,"&gt;0")&gt;0,"Reliquat en cours",IF(COUNTIFS(jr_num,A313,jr_gap,"&lt;0")&gt;0,"Reliquat livré","Complet")),IF(LEFT(A313,2)="BR",IF(COUNTIFS(jr_num,A313,jr_etat,"Refusé")&gt;0,"Refusé",IF(COUNTIFS(jr_num,A313,jr_etat,"Avec réserves")&gt;0,"Avec réserves",IF(COUNTIFS(jr_num,A313,jr_rel,"&gt;0")&gt;0,"Reliquat en cours",IF(COUNTIFS(jr_num,A313,jr_gap,"&lt;0")+COUNTIFS(jr_num,A313,jr_gap,"&gt;0")&gt;0,"Écart","Conforme")))),IF(COUNTIFS(jr_num,A313,jr_gap,"&lt;0")&gt;0,"Partiel","Sorti")))))</f>
        <v/>
      </c>
      <c r="O313" t="str">
        <f>IFERROR(MATCH(308,jr_grank,0),"")</f>
        <v/>
      </c>
      <c r="R313" s="67" t="str">
        <f>IFERROR(INDEX(jr_num,MATCH("BL308",jr_nkey,0))&amp;"","")</f>
        <v/>
      </c>
      <c r="S313" s="67" t="str">
        <f>IFERROR(INDEX(jr_num,MATCH("BR308",jr_nkey,0))&amp;"","")</f>
        <v/>
      </c>
      <c r="T313" s="67" t="str">
        <f>IFERROR(INDEX(jr_num,MATCH("BS308",jr_nkey,0))&amp;"","")</f>
        <v/>
      </c>
    </row>
    <row r="314">
      <c r="A314" s="60" t="str">
        <f>IF($O314="","",INDEX(jr_num,$O314)&amp;"")</f>
        <v/>
      </c>
      <c r="B314" s="60" t="str">
        <f>IF($O314="","",IF(INDEX(jr_type,$O314)="BL","Livraison",IF(INDEX(jr_type,$O314)="BR","Réception","Sortie")))</f>
        <v/>
      </c>
      <c r="C314" s="65" t="str">
        <f>IF($O314="","",INDEX(jr_date,$O314))</f>
        <v/>
      </c>
      <c r="D314" s="60" t="str">
        <f>IF($O314="","",INDEX(jr_tiers,$O314)&amp;"")</f>
        <v/>
      </c>
      <c r="E314" s="57" t="str">
        <f>IF($O314="","",INDEX(jr_name,$O314)&amp;"")</f>
        <v/>
      </c>
      <c r="F314" s="57" t="str">
        <f>IF($O314="","",INDEX(jr_order,$O314)&amp;"")</f>
        <v/>
      </c>
      <c r="G314" s="57" t="str">
        <f>IF($O314="","",INDEX(jr_ext,$O314)&amp;"")</f>
        <v/>
      </c>
      <c r="H314" s="57" t="str">
        <f>IF($O314="","",INDEX(jr_carrier,$O314)&amp;"")</f>
        <v/>
      </c>
      <c r="I314" s="66" t="str">
        <f>IF(A314="","",COUNTIF(jr_num,A314))</f>
        <v/>
      </c>
      <c r="J314" s="66" t="str">
        <f>IF(A314="","",SUMIF(jr_num,A314,jr_colis))</f>
        <v/>
      </c>
      <c r="K314" s="63" t="str">
        <f>IF(A314="","",SUMIF(jr_num,A314,jr_kg))</f>
        <v/>
      </c>
      <c r="L314" s="64" t="str">
        <f>IF(A314="","",SUMIF(jr_num,A314,jr_val))</f>
        <v/>
      </c>
      <c r="M314" s="60" t="str">
        <f>IF(A314="","",IF(COUNTIFS(jr_num,A314,jr_check,"&lt;&gt;OK")&gt;0,"À vérifier",IF(LEFT(A314,2)="BL",IF(COUNTIFS(jr_num,A314,jr_rel,"&gt;0")&gt;0,"Reliquat en cours",IF(COUNTIFS(jr_num,A314,jr_gap,"&lt;0")&gt;0,"Reliquat livré","Complet")),IF(LEFT(A314,2)="BR",IF(COUNTIFS(jr_num,A314,jr_etat,"Refusé")&gt;0,"Refusé",IF(COUNTIFS(jr_num,A314,jr_etat,"Avec réserves")&gt;0,"Avec réserves",IF(COUNTIFS(jr_num,A314,jr_rel,"&gt;0")&gt;0,"Reliquat en cours",IF(COUNTIFS(jr_num,A314,jr_gap,"&lt;0")+COUNTIFS(jr_num,A314,jr_gap,"&gt;0")&gt;0,"Écart","Conforme")))),IF(COUNTIFS(jr_num,A314,jr_gap,"&lt;0")&gt;0,"Partiel","Sorti")))))</f>
        <v/>
      </c>
      <c r="O314" t="str">
        <f>IFERROR(MATCH(309,jr_grank,0),"")</f>
        <v/>
      </c>
      <c r="R314" s="67" t="str">
        <f>IFERROR(INDEX(jr_num,MATCH("BL309",jr_nkey,0))&amp;"","")</f>
        <v/>
      </c>
      <c r="S314" s="67" t="str">
        <f>IFERROR(INDEX(jr_num,MATCH("BR309",jr_nkey,0))&amp;"","")</f>
        <v/>
      </c>
      <c r="T314" s="67" t="str">
        <f>IFERROR(INDEX(jr_num,MATCH("BS309",jr_nkey,0))&amp;"","")</f>
        <v/>
      </c>
    </row>
    <row r="315">
      <c r="A315" s="60" t="str">
        <f>IF($O315="","",INDEX(jr_num,$O315)&amp;"")</f>
        <v/>
      </c>
      <c r="B315" s="60" t="str">
        <f>IF($O315="","",IF(INDEX(jr_type,$O315)="BL","Livraison",IF(INDEX(jr_type,$O315)="BR","Réception","Sortie")))</f>
        <v/>
      </c>
      <c r="C315" s="65" t="str">
        <f>IF($O315="","",INDEX(jr_date,$O315))</f>
        <v/>
      </c>
      <c r="D315" s="60" t="str">
        <f>IF($O315="","",INDEX(jr_tiers,$O315)&amp;"")</f>
        <v/>
      </c>
      <c r="E315" s="57" t="str">
        <f>IF($O315="","",INDEX(jr_name,$O315)&amp;"")</f>
        <v/>
      </c>
      <c r="F315" s="57" t="str">
        <f>IF($O315="","",INDEX(jr_order,$O315)&amp;"")</f>
        <v/>
      </c>
      <c r="G315" s="57" t="str">
        <f>IF($O315="","",INDEX(jr_ext,$O315)&amp;"")</f>
        <v/>
      </c>
      <c r="H315" s="57" t="str">
        <f>IF($O315="","",INDEX(jr_carrier,$O315)&amp;"")</f>
        <v/>
      </c>
      <c r="I315" s="66" t="str">
        <f>IF(A315="","",COUNTIF(jr_num,A315))</f>
        <v/>
      </c>
      <c r="J315" s="66" t="str">
        <f>IF(A315="","",SUMIF(jr_num,A315,jr_colis))</f>
        <v/>
      </c>
      <c r="K315" s="63" t="str">
        <f>IF(A315="","",SUMIF(jr_num,A315,jr_kg))</f>
        <v/>
      </c>
      <c r="L315" s="64" t="str">
        <f>IF(A315="","",SUMIF(jr_num,A315,jr_val))</f>
        <v/>
      </c>
      <c r="M315" s="60" t="str">
        <f>IF(A315="","",IF(COUNTIFS(jr_num,A315,jr_check,"&lt;&gt;OK")&gt;0,"À vérifier",IF(LEFT(A315,2)="BL",IF(COUNTIFS(jr_num,A315,jr_rel,"&gt;0")&gt;0,"Reliquat en cours",IF(COUNTIFS(jr_num,A315,jr_gap,"&lt;0")&gt;0,"Reliquat livré","Complet")),IF(LEFT(A315,2)="BR",IF(COUNTIFS(jr_num,A315,jr_etat,"Refusé")&gt;0,"Refusé",IF(COUNTIFS(jr_num,A315,jr_etat,"Avec réserves")&gt;0,"Avec réserves",IF(COUNTIFS(jr_num,A315,jr_rel,"&gt;0")&gt;0,"Reliquat en cours",IF(COUNTIFS(jr_num,A315,jr_gap,"&lt;0")+COUNTIFS(jr_num,A315,jr_gap,"&gt;0")&gt;0,"Écart","Conforme")))),IF(COUNTIFS(jr_num,A315,jr_gap,"&lt;0")&gt;0,"Partiel","Sorti")))))</f>
        <v/>
      </c>
      <c r="O315" t="str">
        <f>IFERROR(MATCH(310,jr_grank,0),"")</f>
        <v/>
      </c>
      <c r="R315" s="67" t="str">
        <f>IFERROR(INDEX(jr_num,MATCH("BL310",jr_nkey,0))&amp;"","")</f>
        <v/>
      </c>
      <c r="S315" s="67" t="str">
        <f>IFERROR(INDEX(jr_num,MATCH("BR310",jr_nkey,0))&amp;"","")</f>
        <v/>
      </c>
      <c r="T315" s="67" t="str">
        <f>IFERROR(INDEX(jr_num,MATCH("BS310",jr_nkey,0))&amp;"","")</f>
        <v/>
      </c>
    </row>
    <row r="316">
      <c r="A316" s="60" t="str">
        <f>IF($O316="","",INDEX(jr_num,$O316)&amp;"")</f>
        <v/>
      </c>
      <c r="B316" s="60" t="str">
        <f>IF($O316="","",IF(INDEX(jr_type,$O316)="BL","Livraison",IF(INDEX(jr_type,$O316)="BR","Réception","Sortie")))</f>
        <v/>
      </c>
      <c r="C316" s="65" t="str">
        <f>IF($O316="","",INDEX(jr_date,$O316))</f>
        <v/>
      </c>
      <c r="D316" s="60" t="str">
        <f>IF($O316="","",INDEX(jr_tiers,$O316)&amp;"")</f>
        <v/>
      </c>
      <c r="E316" s="57" t="str">
        <f>IF($O316="","",INDEX(jr_name,$O316)&amp;"")</f>
        <v/>
      </c>
      <c r="F316" s="57" t="str">
        <f>IF($O316="","",INDEX(jr_order,$O316)&amp;"")</f>
        <v/>
      </c>
      <c r="G316" s="57" t="str">
        <f>IF($O316="","",INDEX(jr_ext,$O316)&amp;"")</f>
        <v/>
      </c>
      <c r="H316" s="57" t="str">
        <f>IF($O316="","",INDEX(jr_carrier,$O316)&amp;"")</f>
        <v/>
      </c>
      <c r="I316" s="66" t="str">
        <f>IF(A316="","",COUNTIF(jr_num,A316))</f>
        <v/>
      </c>
      <c r="J316" s="66" t="str">
        <f>IF(A316="","",SUMIF(jr_num,A316,jr_colis))</f>
        <v/>
      </c>
      <c r="K316" s="63" t="str">
        <f>IF(A316="","",SUMIF(jr_num,A316,jr_kg))</f>
        <v/>
      </c>
      <c r="L316" s="64" t="str">
        <f>IF(A316="","",SUMIF(jr_num,A316,jr_val))</f>
        <v/>
      </c>
      <c r="M316" s="60" t="str">
        <f>IF(A316="","",IF(COUNTIFS(jr_num,A316,jr_check,"&lt;&gt;OK")&gt;0,"À vérifier",IF(LEFT(A316,2)="BL",IF(COUNTIFS(jr_num,A316,jr_rel,"&gt;0")&gt;0,"Reliquat en cours",IF(COUNTIFS(jr_num,A316,jr_gap,"&lt;0")&gt;0,"Reliquat livré","Complet")),IF(LEFT(A316,2)="BR",IF(COUNTIFS(jr_num,A316,jr_etat,"Refusé")&gt;0,"Refusé",IF(COUNTIFS(jr_num,A316,jr_etat,"Avec réserves")&gt;0,"Avec réserves",IF(COUNTIFS(jr_num,A316,jr_rel,"&gt;0")&gt;0,"Reliquat en cours",IF(COUNTIFS(jr_num,A316,jr_gap,"&lt;0")+COUNTIFS(jr_num,A316,jr_gap,"&gt;0")&gt;0,"Écart","Conforme")))),IF(COUNTIFS(jr_num,A316,jr_gap,"&lt;0")&gt;0,"Partiel","Sorti")))))</f>
        <v/>
      </c>
      <c r="O316" t="str">
        <f>IFERROR(MATCH(311,jr_grank,0),"")</f>
        <v/>
      </c>
      <c r="R316" s="67" t="str">
        <f>IFERROR(INDEX(jr_num,MATCH("BL311",jr_nkey,0))&amp;"","")</f>
        <v/>
      </c>
      <c r="S316" s="67" t="str">
        <f>IFERROR(INDEX(jr_num,MATCH("BR311",jr_nkey,0))&amp;"","")</f>
        <v/>
      </c>
      <c r="T316" s="67" t="str">
        <f>IFERROR(INDEX(jr_num,MATCH("BS311",jr_nkey,0))&amp;"","")</f>
        <v/>
      </c>
    </row>
    <row r="317">
      <c r="A317" s="60" t="str">
        <f>IF($O317="","",INDEX(jr_num,$O317)&amp;"")</f>
        <v/>
      </c>
      <c r="B317" s="60" t="str">
        <f>IF($O317="","",IF(INDEX(jr_type,$O317)="BL","Livraison",IF(INDEX(jr_type,$O317)="BR","Réception","Sortie")))</f>
        <v/>
      </c>
      <c r="C317" s="65" t="str">
        <f>IF($O317="","",INDEX(jr_date,$O317))</f>
        <v/>
      </c>
      <c r="D317" s="60" t="str">
        <f>IF($O317="","",INDEX(jr_tiers,$O317)&amp;"")</f>
        <v/>
      </c>
      <c r="E317" s="57" t="str">
        <f>IF($O317="","",INDEX(jr_name,$O317)&amp;"")</f>
        <v/>
      </c>
      <c r="F317" s="57" t="str">
        <f>IF($O317="","",INDEX(jr_order,$O317)&amp;"")</f>
        <v/>
      </c>
      <c r="G317" s="57" t="str">
        <f>IF($O317="","",INDEX(jr_ext,$O317)&amp;"")</f>
        <v/>
      </c>
      <c r="H317" s="57" t="str">
        <f>IF($O317="","",INDEX(jr_carrier,$O317)&amp;"")</f>
        <v/>
      </c>
      <c r="I317" s="66" t="str">
        <f>IF(A317="","",COUNTIF(jr_num,A317))</f>
        <v/>
      </c>
      <c r="J317" s="66" t="str">
        <f>IF(A317="","",SUMIF(jr_num,A317,jr_colis))</f>
        <v/>
      </c>
      <c r="K317" s="63" t="str">
        <f>IF(A317="","",SUMIF(jr_num,A317,jr_kg))</f>
        <v/>
      </c>
      <c r="L317" s="64" t="str">
        <f>IF(A317="","",SUMIF(jr_num,A317,jr_val))</f>
        <v/>
      </c>
      <c r="M317" s="60" t="str">
        <f>IF(A317="","",IF(COUNTIFS(jr_num,A317,jr_check,"&lt;&gt;OK")&gt;0,"À vérifier",IF(LEFT(A317,2)="BL",IF(COUNTIFS(jr_num,A317,jr_rel,"&gt;0")&gt;0,"Reliquat en cours",IF(COUNTIFS(jr_num,A317,jr_gap,"&lt;0")&gt;0,"Reliquat livré","Complet")),IF(LEFT(A317,2)="BR",IF(COUNTIFS(jr_num,A317,jr_etat,"Refusé")&gt;0,"Refusé",IF(COUNTIFS(jr_num,A317,jr_etat,"Avec réserves")&gt;0,"Avec réserves",IF(COUNTIFS(jr_num,A317,jr_rel,"&gt;0")&gt;0,"Reliquat en cours",IF(COUNTIFS(jr_num,A317,jr_gap,"&lt;0")+COUNTIFS(jr_num,A317,jr_gap,"&gt;0")&gt;0,"Écart","Conforme")))),IF(COUNTIFS(jr_num,A317,jr_gap,"&lt;0")&gt;0,"Partiel","Sorti")))))</f>
        <v/>
      </c>
      <c r="O317" t="str">
        <f>IFERROR(MATCH(312,jr_grank,0),"")</f>
        <v/>
      </c>
      <c r="R317" s="67" t="str">
        <f>IFERROR(INDEX(jr_num,MATCH("BL312",jr_nkey,0))&amp;"","")</f>
        <v/>
      </c>
      <c r="S317" s="67" t="str">
        <f>IFERROR(INDEX(jr_num,MATCH("BR312",jr_nkey,0))&amp;"","")</f>
        <v/>
      </c>
      <c r="T317" s="67" t="str">
        <f>IFERROR(INDEX(jr_num,MATCH("BS312",jr_nkey,0))&amp;"","")</f>
        <v/>
      </c>
    </row>
    <row r="318">
      <c r="A318" s="60" t="str">
        <f>IF($O318="","",INDEX(jr_num,$O318)&amp;"")</f>
        <v/>
      </c>
      <c r="B318" s="60" t="str">
        <f>IF($O318="","",IF(INDEX(jr_type,$O318)="BL","Livraison",IF(INDEX(jr_type,$O318)="BR","Réception","Sortie")))</f>
        <v/>
      </c>
      <c r="C318" s="65" t="str">
        <f>IF($O318="","",INDEX(jr_date,$O318))</f>
        <v/>
      </c>
      <c r="D318" s="60" t="str">
        <f>IF($O318="","",INDEX(jr_tiers,$O318)&amp;"")</f>
        <v/>
      </c>
      <c r="E318" s="57" t="str">
        <f>IF($O318="","",INDEX(jr_name,$O318)&amp;"")</f>
        <v/>
      </c>
      <c r="F318" s="57" t="str">
        <f>IF($O318="","",INDEX(jr_order,$O318)&amp;"")</f>
        <v/>
      </c>
      <c r="G318" s="57" t="str">
        <f>IF($O318="","",INDEX(jr_ext,$O318)&amp;"")</f>
        <v/>
      </c>
      <c r="H318" s="57" t="str">
        <f>IF($O318="","",INDEX(jr_carrier,$O318)&amp;"")</f>
        <v/>
      </c>
      <c r="I318" s="66" t="str">
        <f>IF(A318="","",COUNTIF(jr_num,A318))</f>
        <v/>
      </c>
      <c r="J318" s="66" t="str">
        <f>IF(A318="","",SUMIF(jr_num,A318,jr_colis))</f>
        <v/>
      </c>
      <c r="K318" s="63" t="str">
        <f>IF(A318="","",SUMIF(jr_num,A318,jr_kg))</f>
        <v/>
      </c>
      <c r="L318" s="64" t="str">
        <f>IF(A318="","",SUMIF(jr_num,A318,jr_val))</f>
        <v/>
      </c>
      <c r="M318" s="60" t="str">
        <f>IF(A318="","",IF(COUNTIFS(jr_num,A318,jr_check,"&lt;&gt;OK")&gt;0,"À vérifier",IF(LEFT(A318,2)="BL",IF(COUNTIFS(jr_num,A318,jr_rel,"&gt;0")&gt;0,"Reliquat en cours",IF(COUNTIFS(jr_num,A318,jr_gap,"&lt;0")&gt;0,"Reliquat livré","Complet")),IF(LEFT(A318,2)="BR",IF(COUNTIFS(jr_num,A318,jr_etat,"Refusé")&gt;0,"Refusé",IF(COUNTIFS(jr_num,A318,jr_etat,"Avec réserves")&gt;0,"Avec réserves",IF(COUNTIFS(jr_num,A318,jr_rel,"&gt;0")&gt;0,"Reliquat en cours",IF(COUNTIFS(jr_num,A318,jr_gap,"&lt;0")+COUNTIFS(jr_num,A318,jr_gap,"&gt;0")&gt;0,"Écart","Conforme")))),IF(COUNTIFS(jr_num,A318,jr_gap,"&lt;0")&gt;0,"Partiel","Sorti")))))</f>
        <v/>
      </c>
      <c r="O318" t="str">
        <f>IFERROR(MATCH(313,jr_grank,0),"")</f>
        <v/>
      </c>
      <c r="R318" s="67" t="str">
        <f>IFERROR(INDEX(jr_num,MATCH("BL313",jr_nkey,0))&amp;"","")</f>
        <v/>
      </c>
      <c r="S318" s="67" t="str">
        <f>IFERROR(INDEX(jr_num,MATCH("BR313",jr_nkey,0))&amp;"","")</f>
        <v/>
      </c>
      <c r="T318" s="67" t="str">
        <f>IFERROR(INDEX(jr_num,MATCH("BS313",jr_nkey,0))&amp;"","")</f>
        <v/>
      </c>
    </row>
    <row r="319">
      <c r="A319" s="60" t="str">
        <f>IF($O319="","",INDEX(jr_num,$O319)&amp;"")</f>
        <v/>
      </c>
      <c r="B319" s="60" t="str">
        <f>IF($O319="","",IF(INDEX(jr_type,$O319)="BL","Livraison",IF(INDEX(jr_type,$O319)="BR","Réception","Sortie")))</f>
        <v/>
      </c>
      <c r="C319" s="65" t="str">
        <f>IF($O319="","",INDEX(jr_date,$O319))</f>
        <v/>
      </c>
      <c r="D319" s="60" t="str">
        <f>IF($O319="","",INDEX(jr_tiers,$O319)&amp;"")</f>
        <v/>
      </c>
      <c r="E319" s="57" t="str">
        <f>IF($O319="","",INDEX(jr_name,$O319)&amp;"")</f>
        <v/>
      </c>
      <c r="F319" s="57" t="str">
        <f>IF($O319="","",INDEX(jr_order,$O319)&amp;"")</f>
        <v/>
      </c>
      <c r="G319" s="57" t="str">
        <f>IF($O319="","",INDEX(jr_ext,$O319)&amp;"")</f>
        <v/>
      </c>
      <c r="H319" s="57" t="str">
        <f>IF($O319="","",INDEX(jr_carrier,$O319)&amp;"")</f>
        <v/>
      </c>
      <c r="I319" s="66" t="str">
        <f>IF(A319="","",COUNTIF(jr_num,A319))</f>
        <v/>
      </c>
      <c r="J319" s="66" t="str">
        <f>IF(A319="","",SUMIF(jr_num,A319,jr_colis))</f>
        <v/>
      </c>
      <c r="K319" s="63" t="str">
        <f>IF(A319="","",SUMIF(jr_num,A319,jr_kg))</f>
        <v/>
      </c>
      <c r="L319" s="64" t="str">
        <f>IF(A319="","",SUMIF(jr_num,A319,jr_val))</f>
        <v/>
      </c>
      <c r="M319" s="60" t="str">
        <f>IF(A319="","",IF(COUNTIFS(jr_num,A319,jr_check,"&lt;&gt;OK")&gt;0,"À vérifier",IF(LEFT(A319,2)="BL",IF(COUNTIFS(jr_num,A319,jr_rel,"&gt;0")&gt;0,"Reliquat en cours",IF(COUNTIFS(jr_num,A319,jr_gap,"&lt;0")&gt;0,"Reliquat livré","Complet")),IF(LEFT(A319,2)="BR",IF(COUNTIFS(jr_num,A319,jr_etat,"Refusé")&gt;0,"Refusé",IF(COUNTIFS(jr_num,A319,jr_etat,"Avec réserves")&gt;0,"Avec réserves",IF(COUNTIFS(jr_num,A319,jr_rel,"&gt;0")&gt;0,"Reliquat en cours",IF(COUNTIFS(jr_num,A319,jr_gap,"&lt;0")+COUNTIFS(jr_num,A319,jr_gap,"&gt;0")&gt;0,"Écart","Conforme")))),IF(COUNTIFS(jr_num,A319,jr_gap,"&lt;0")&gt;0,"Partiel","Sorti")))))</f>
        <v/>
      </c>
      <c r="O319" t="str">
        <f>IFERROR(MATCH(314,jr_grank,0),"")</f>
        <v/>
      </c>
      <c r="R319" s="67" t="str">
        <f>IFERROR(INDEX(jr_num,MATCH("BL314",jr_nkey,0))&amp;"","")</f>
        <v/>
      </c>
      <c r="S319" s="67" t="str">
        <f>IFERROR(INDEX(jr_num,MATCH("BR314",jr_nkey,0))&amp;"","")</f>
        <v/>
      </c>
      <c r="T319" s="67" t="str">
        <f>IFERROR(INDEX(jr_num,MATCH("BS314",jr_nkey,0))&amp;"","")</f>
        <v/>
      </c>
    </row>
    <row r="320">
      <c r="A320" s="60" t="str">
        <f>IF($O320="","",INDEX(jr_num,$O320)&amp;"")</f>
        <v/>
      </c>
      <c r="B320" s="60" t="str">
        <f>IF($O320="","",IF(INDEX(jr_type,$O320)="BL","Livraison",IF(INDEX(jr_type,$O320)="BR","Réception","Sortie")))</f>
        <v/>
      </c>
      <c r="C320" s="65" t="str">
        <f>IF($O320="","",INDEX(jr_date,$O320))</f>
        <v/>
      </c>
      <c r="D320" s="60" t="str">
        <f>IF($O320="","",INDEX(jr_tiers,$O320)&amp;"")</f>
        <v/>
      </c>
      <c r="E320" s="57" t="str">
        <f>IF($O320="","",INDEX(jr_name,$O320)&amp;"")</f>
        <v/>
      </c>
      <c r="F320" s="57" t="str">
        <f>IF($O320="","",INDEX(jr_order,$O320)&amp;"")</f>
        <v/>
      </c>
      <c r="G320" s="57" t="str">
        <f>IF($O320="","",INDEX(jr_ext,$O320)&amp;"")</f>
        <v/>
      </c>
      <c r="H320" s="57" t="str">
        <f>IF($O320="","",INDEX(jr_carrier,$O320)&amp;"")</f>
        <v/>
      </c>
      <c r="I320" s="66" t="str">
        <f>IF(A320="","",COUNTIF(jr_num,A320))</f>
        <v/>
      </c>
      <c r="J320" s="66" t="str">
        <f>IF(A320="","",SUMIF(jr_num,A320,jr_colis))</f>
        <v/>
      </c>
      <c r="K320" s="63" t="str">
        <f>IF(A320="","",SUMIF(jr_num,A320,jr_kg))</f>
        <v/>
      </c>
      <c r="L320" s="64" t="str">
        <f>IF(A320="","",SUMIF(jr_num,A320,jr_val))</f>
        <v/>
      </c>
      <c r="M320" s="60" t="str">
        <f>IF(A320="","",IF(COUNTIFS(jr_num,A320,jr_check,"&lt;&gt;OK")&gt;0,"À vérifier",IF(LEFT(A320,2)="BL",IF(COUNTIFS(jr_num,A320,jr_rel,"&gt;0")&gt;0,"Reliquat en cours",IF(COUNTIFS(jr_num,A320,jr_gap,"&lt;0")&gt;0,"Reliquat livré","Complet")),IF(LEFT(A320,2)="BR",IF(COUNTIFS(jr_num,A320,jr_etat,"Refusé")&gt;0,"Refusé",IF(COUNTIFS(jr_num,A320,jr_etat,"Avec réserves")&gt;0,"Avec réserves",IF(COUNTIFS(jr_num,A320,jr_rel,"&gt;0")&gt;0,"Reliquat en cours",IF(COUNTIFS(jr_num,A320,jr_gap,"&lt;0")+COUNTIFS(jr_num,A320,jr_gap,"&gt;0")&gt;0,"Écart","Conforme")))),IF(COUNTIFS(jr_num,A320,jr_gap,"&lt;0")&gt;0,"Partiel","Sorti")))))</f>
        <v/>
      </c>
      <c r="O320" t="str">
        <f>IFERROR(MATCH(315,jr_grank,0),"")</f>
        <v/>
      </c>
      <c r="R320" s="67" t="str">
        <f>IFERROR(INDEX(jr_num,MATCH("BL315",jr_nkey,0))&amp;"","")</f>
        <v/>
      </c>
      <c r="S320" s="67" t="str">
        <f>IFERROR(INDEX(jr_num,MATCH("BR315",jr_nkey,0))&amp;"","")</f>
        <v/>
      </c>
      <c r="T320" s="67" t="str">
        <f>IFERROR(INDEX(jr_num,MATCH("BS315",jr_nkey,0))&amp;"","")</f>
        <v/>
      </c>
    </row>
    <row r="321">
      <c r="A321" s="60" t="str">
        <f>IF($O321="","",INDEX(jr_num,$O321)&amp;"")</f>
        <v/>
      </c>
      <c r="B321" s="60" t="str">
        <f>IF($O321="","",IF(INDEX(jr_type,$O321)="BL","Livraison",IF(INDEX(jr_type,$O321)="BR","Réception","Sortie")))</f>
        <v/>
      </c>
      <c r="C321" s="65" t="str">
        <f>IF($O321="","",INDEX(jr_date,$O321))</f>
        <v/>
      </c>
      <c r="D321" s="60" t="str">
        <f>IF($O321="","",INDEX(jr_tiers,$O321)&amp;"")</f>
        <v/>
      </c>
      <c r="E321" s="57" t="str">
        <f>IF($O321="","",INDEX(jr_name,$O321)&amp;"")</f>
        <v/>
      </c>
      <c r="F321" s="57" t="str">
        <f>IF($O321="","",INDEX(jr_order,$O321)&amp;"")</f>
        <v/>
      </c>
      <c r="G321" s="57" t="str">
        <f>IF($O321="","",INDEX(jr_ext,$O321)&amp;"")</f>
        <v/>
      </c>
      <c r="H321" s="57" t="str">
        <f>IF($O321="","",INDEX(jr_carrier,$O321)&amp;"")</f>
        <v/>
      </c>
      <c r="I321" s="66" t="str">
        <f>IF(A321="","",COUNTIF(jr_num,A321))</f>
        <v/>
      </c>
      <c r="J321" s="66" t="str">
        <f>IF(A321="","",SUMIF(jr_num,A321,jr_colis))</f>
        <v/>
      </c>
      <c r="K321" s="63" t="str">
        <f>IF(A321="","",SUMIF(jr_num,A321,jr_kg))</f>
        <v/>
      </c>
      <c r="L321" s="64" t="str">
        <f>IF(A321="","",SUMIF(jr_num,A321,jr_val))</f>
        <v/>
      </c>
      <c r="M321" s="60" t="str">
        <f>IF(A321="","",IF(COUNTIFS(jr_num,A321,jr_check,"&lt;&gt;OK")&gt;0,"À vérifier",IF(LEFT(A321,2)="BL",IF(COUNTIFS(jr_num,A321,jr_rel,"&gt;0")&gt;0,"Reliquat en cours",IF(COUNTIFS(jr_num,A321,jr_gap,"&lt;0")&gt;0,"Reliquat livré","Complet")),IF(LEFT(A321,2)="BR",IF(COUNTIFS(jr_num,A321,jr_etat,"Refusé")&gt;0,"Refusé",IF(COUNTIFS(jr_num,A321,jr_etat,"Avec réserves")&gt;0,"Avec réserves",IF(COUNTIFS(jr_num,A321,jr_rel,"&gt;0")&gt;0,"Reliquat en cours",IF(COUNTIFS(jr_num,A321,jr_gap,"&lt;0")+COUNTIFS(jr_num,A321,jr_gap,"&gt;0")&gt;0,"Écart","Conforme")))),IF(COUNTIFS(jr_num,A321,jr_gap,"&lt;0")&gt;0,"Partiel","Sorti")))))</f>
        <v/>
      </c>
      <c r="O321" t="str">
        <f>IFERROR(MATCH(316,jr_grank,0),"")</f>
        <v/>
      </c>
      <c r="R321" s="67" t="str">
        <f>IFERROR(INDEX(jr_num,MATCH("BL316",jr_nkey,0))&amp;"","")</f>
        <v/>
      </c>
      <c r="S321" s="67" t="str">
        <f>IFERROR(INDEX(jr_num,MATCH("BR316",jr_nkey,0))&amp;"","")</f>
        <v/>
      </c>
      <c r="T321" s="67" t="str">
        <f>IFERROR(INDEX(jr_num,MATCH("BS316",jr_nkey,0))&amp;"","")</f>
        <v/>
      </c>
    </row>
    <row r="322">
      <c r="A322" s="60" t="str">
        <f>IF($O322="","",INDEX(jr_num,$O322)&amp;"")</f>
        <v/>
      </c>
      <c r="B322" s="60" t="str">
        <f>IF($O322="","",IF(INDEX(jr_type,$O322)="BL","Livraison",IF(INDEX(jr_type,$O322)="BR","Réception","Sortie")))</f>
        <v/>
      </c>
      <c r="C322" s="65" t="str">
        <f>IF($O322="","",INDEX(jr_date,$O322))</f>
        <v/>
      </c>
      <c r="D322" s="60" t="str">
        <f>IF($O322="","",INDEX(jr_tiers,$O322)&amp;"")</f>
        <v/>
      </c>
      <c r="E322" s="57" t="str">
        <f>IF($O322="","",INDEX(jr_name,$O322)&amp;"")</f>
        <v/>
      </c>
      <c r="F322" s="57" t="str">
        <f>IF($O322="","",INDEX(jr_order,$O322)&amp;"")</f>
        <v/>
      </c>
      <c r="G322" s="57" t="str">
        <f>IF($O322="","",INDEX(jr_ext,$O322)&amp;"")</f>
        <v/>
      </c>
      <c r="H322" s="57" t="str">
        <f>IF($O322="","",INDEX(jr_carrier,$O322)&amp;"")</f>
        <v/>
      </c>
      <c r="I322" s="66" t="str">
        <f>IF(A322="","",COUNTIF(jr_num,A322))</f>
        <v/>
      </c>
      <c r="J322" s="66" t="str">
        <f>IF(A322="","",SUMIF(jr_num,A322,jr_colis))</f>
        <v/>
      </c>
      <c r="K322" s="63" t="str">
        <f>IF(A322="","",SUMIF(jr_num,A322,jr_kg))</f>
        <v/>
      </c>
      <c r="L322" s="64" t="str">
        <f>IF(A322="","",SUMIF(jr_num,A322,jr_val))</f>
        <v/>
      </c>
      <c r="M322" s="60" t="str">
        <f>IF(A322="","",IF(COUNTIFS(jr_num,A322,jr_check,"&lt;&gt;OK")&gt;0,"À vérifier",IF(LEFT(A322,2)="BL",IF(COUNTIFS(jr_num,A322,jr_rel,"&gt;0")&gt;0,"Reliquat en cours",IF(COUNTIFS(jr_num,A322,jr_gap,"&lt;0")&gt;0,"Reliquat livré","Complet")),IF(LEFT(A322,2)="BR",IF(COUNTIFS(jr_num,A322,jr_etat,"Refusé")&gt;0,"Refusé",IF(COUNTIFS(jr_num,A322,jr_etat,"Avec réserves")&gt;0,"Avec réserves",IF(COUNTIFS(jr_num,A322,jr_rel,"&gt;0")&gt;0,"Reliquat en cours",IF(COUNTIFS(jr_num,A322,jr_gap,"&lt;0")+COUNTIFS(jr_num,A322,jr_gap,"&gt;0")&gt;0,"Écart","Conforme")))),IF(COUNTIFS(jr_num,A322,jr_gap,"&lt;0")&gt;0,"Partiel","Sorti")))))</f>
        <v/>
      </c>
      <c r="O322" t="str">
        <f>IFERROR(MATCH(317,jr_grank,0),"")</f>
        <v/>
      </c>
      <c r="R322" s="67" t="str">
        <f>IFERROR(INDEX(jr_num,MATCH("BL317",jr_nkey,0))&amp;"","")</f>
        <v/>
      </c>
      <c r="S322" s="67" t="str">
        <f>IFERROR(INDEX(jr_num,MATCH("BR317",jr_nkey,0))&amp;"","")</f>
        <v/>
      </c>
      <c r="T322" s="67" t="str">
        <f>IFERROR(INDEX(jr_num,MATCH("BS317",jr_nkey,0))&amp;"","")</f>
        <v/>
      </c>
    </row>
    <row r="323">
      <c r="A323" s="60" t="str">
        <f>IF($O323="","",INDEX(jr_num,$O323)&amp;"")</f>
        <v/>
      </c>
      <c r="B323" s="60" t="str">
        <f>IF($O323="","",IF(INDEX(jr_type,$O323)="BL","Livraison",IF(INDEX(jr_type,$O323)="BR","Réception","Sortie")))</f>
        <v/>
      </c>
      <c r="C323" s="65" t="str">
        <f>IF($O323="","",INDEX(jr_date,$O323))</f>
        <v/>
      </c>
      <c r="D323" s="60" t="str">
        <f>IF($O323="","",INDEX(jr_tiers,$O323)&amp;"")</f>
        <v/>
      </c>
      <c r="E323" s="57" t="str">
        <f>IF($O323="","",INDEX(jr_name,$O323)&amp;"")</f>
        <v/>
      </c>
      <c r="F323" s="57" t="str">
        <f>IF($O323="","",INDEX(jr_order,$O323)&amp;"")</f>
        <v/>
      </c>
      <c r="G323" s="57" t="str">
        <f>IF($O323="","",INDEX(jr_ext,$O323)&amp;"")</f>
        <v/>
      </c>
      <c r="H323" s="57" t="str">
        <f>IF($O323="","",INDEX(jr_carrier,$O323)&amp;"")</f>
        <v/>
      </c>
      <c r="I323" s="66" t="str">
        <f>IF(A323="","",COUNTIF(jr_num,A323))</f>
        <v/>
      </c>
      <c r="J323" s="66" t="str">
        <f>IF(A323="","",SUMIF(jr_num,A323,jr_colis))</f>
        <v/>
      </c>
      <c r="K323" s="63" t="str">
        <f>IF(A323="","",SUMIF(jr_num,A323,jr_kg))</f>
        <v/>
      </c>
      <c r="L323" s="64" t="str">
        <f>IF(A323="","",SUMIF(jr_num,A323,jr_val))</f>
        <v/>
      </c>
      <c r="M323" s="60" t="str">
        <f>IF(A323="","",IF(COUNTIFS(jr_num,A323,jr_check,"&lt;&gt;OK")&gt;0,"À vérifier",IF(LEFT(A323,2)="BL",IF(COUNTIFS(jr_num,A323,jr_rel,"&gt;0")&gt;0,"Reliquat en cours",IF(COUNTIFS(jr_num,A323,jr_gap,"&lt;0")&gt;0,"Reliquat livré","Complet")),IF(LEFT(A323,2)="BR",IF(COUNTIFS(jr_num,A323,jr_etat,"Refusé")&gt;0,"Refusé",IF(COUNTIFS(jr_num,A323,jr_etat,"Avec réserves")&gt;0,"Avec réserves",IF(COUNTIFS(jr_num,A323,jr_rel,"&gt;0")&gt;0,"Reliquat en cours",IF(COUNTIFS(jr_num,A323,jr_gap,"&lt;0")+COUNTIFS(jr_num,A323,jr_gap,"&gt;0")&gt;0,"Écart","Conforme")))),IF(COUNTIFS(jr_num,A323,jr_gap,"&lt;0")&gt;0,"Partiel","Sorti")))))</f>
        <v/>
      </c>
      <c r="O323" t="str">
        <f>IFERROR(MATCH(318,jr_grank,0),"")</f>
        <v/>
      </c>
      <c r="R323" s="67" t="str">
        <f>IFERROR(INDEX(jr_num,MATCH("BL318",jr_nkey,0))&amp;"","")</f>
        <v/>
      </c>
      <c r="S323" s="67" t="str">
        <f>IFERROR(INDEX(jr_num,MATCH("BR318",jr_nkey,0))&amp;"","")</f>
        <v/>
      </c>
      <c r="T323" s="67" t="str">
        <f>IFERROR(INDEX(jr_num,MATCH("BS318",jr_nkey,0))&amp;"","")</f>
        <v/>
      </c>
    </row>
    <row r="324">
      <c r="A324" s="60" t="str">
        <f>IF($O324="","",INDEX(jr_num,$O324)&amp;"")</f>
        <v/>
      </c>
      <c r="B324" s="60" t="str">
        <f>IF($O324="","",IF(INDEX(jr_type,$O324)="BL","Livraison",IF(INDEX(jr_type,$O324)="BR","Réception","Sortie")))</f>
        <v/>
      </c>
      <c r="C324" s="65" t="str">
        <f>IF($O324="","",INDEX(jr_date,$O324))</f>
        <v/>
      </c>
      <c r="D324" s="60" t="str">
        <f>IF($O324="","",INDEX(jr_tiers,$O324)&amp;"")</f>
        <v/>
      </c>
      <c r="E324" s="57" t="str">
        <f>IF($O324="","",INDEX(jr_name,$O324)&amp;"")</f>
        <v/>
      </c>
      <c r="F324" s="57" t="str">
        <f>IF($O324="","",INDEX(jr_order,$O324)&amp;"")</f>
        <v/>
      </c>
      <c r="G324" s="57" t="str">
        <f>IF($O324="","",INDEX(jr_ext,$O324)&amp;"")</f>
        <v/>
      </c>
      <c r="H324" s="57" t="str">
        <f>IF($O324="","",INDEX(jr_carrier,$O324)&amp;"")</f>
        <v/>
      </c>
      <c r="I324" s="66" t="str">
        <f>IF(A324="","",COUNTIF(jr_num,A324))</f>
        <v/>
      </c>
      <c r="J324" s="66" t="str">
        <f>IF(A324="","",SUMIF(jr_num,A324,jr_colis))</f>
        <v/>
      </c>
      <c r="K324" s="63" t="str">
        <f>IF(A324="","",SUMIF(jr_num,A324,jr_kg))</f>
        <v/>
      </c>
      <c r="L324" s="64" t="str">
        <f>IF(A324="","",SUMIF(jr_num,A324,jr_val))</f>
        <v/>
      </c>
      <c r="M324" s="60" t="str">
        <f>IF(A324="","",IF(COUNTIFS(jr_num,A324,jr_check,"&lt;&gt;OK")&gt;0,"À vérifier",IF(LEFT(A324,2)="BL",IF(COUNTIFS(jr_num,A324,jr_rel,"&gt;0")&gt;0,"Reliquat en cours",IF(COUNTIFS(jr_num,A324,jr_gap,"&lt;0")&gt;0,"Reliquat livré","Complet")),IF(LEFT(A324,2)="BR",IF(COUNTIFS(jr_num,A324,jr_etat,"Refusé")&gt;0,"Refusé",IF(COUNTIFS(jr_num,A324,jr_etat,"Avec réserves")&gt;0,"Avec réserves",IF(COUNTIFS(jr_num,A324,jr_rel,"&gt;0")&gt;0,"Reliquat en cours",IF(COUNTIFS(jr_num,A324,jr_gap,"&lt;0")+COUNTIFS(jr_num,A324,jr_gap,"&gt;0")&gt;0,"Écart","Conforme")))),IF(COUNTIFS(jr_num,A324,jr_gap,"&lt;0")&gt;0,"Partiel","Sorti")))))</f>
        <v/>
      </c>
      <c r="O324" t="str">
        <f>IFERROR(MATCH(319,jr_grank,0),"")</f>
        <v/>
      </c>
      <c r="R324" s="67" t="str">
        <f>IFERROR(INDEX(jr_num,MATCH("BL319",jr_nkey,0))&amp;"","")</f>
        <v/>
      </c>
      <c r="S324" s="67" t="str">
        <f>IFERROR(INDEX(jr_num,MATCH("BR319",jr_nkey,0))&amp;"","")</f>
        <v/>
      </c>
      <c r="T324" s="67" t="str">
        <f>IFERROR(INDEX(jr_num,MATCH("BS319",jr_nkey,0))&amp;"","")</f>
        <v/>
      </c>
    </row>
    <row r="325">
      <c r="A325" s="60" t="str">
        <f>IF($O325="","",INDEX(jr_num,$O325)&amp;"")</f>
        <v/>
      </c>
      <c r="B325" s="60" t="str">
        <f>IF($O325="","",IF(INDEX(jr_type,$O325)="BL","Livraison",IF(INDEX(jr_type,$O325)="BR","Réception","Sortie")))</f>
        <v/>
      </c>
      <c r="C325" s="65" t="str">
        <f>IF($O325="","",INDEX(jr_date,$O325))</f>
        <v/>
      </c>
      <c r="D325" s="60" t="str">
        <f>IF($O325="","",INDEX(jr_tiers,$O325)&amp;"")</f>
        <v/>
      </c>
      <c r="E325" s="57" t="str">
        <f>IF($O325="","",INDEX(jr_name,$O325)&amp;"")</f>
        <v/>
      </c>
      <c r="F325" s="57" t="str">
        <f>IF($O325="","",INDEX(jr_order,$O325)&amp;"")</f>
        <v/>
      </c>
      <c r="G325" s="57" t="str">
        <f>IF($O325="","",INDEX(jr_ext,$O325)&amp;"")</f>
        <v/>
      </c>
      <c r="H325" s="57" t="str">
        <f>IF($O325="","",INDEX(jr_carrier,$O325)&amp;"")</f>
        <v/>
      </c>
      <c r="I325" s="66" t="str">
        <f>IF(A325="","",COUNTIF(jr_num,A325))</f>
        <v/>
      </c>
      <c r="J325" s="66" t="str">
        <f>IF(A325="","",SUMIF(jr_num,A325,jr_colis))</f>
        <v/>
      </c>
      <c r="K325" s="63" t="str">
        <f>IF(A325="","",SUMIF(jr_num,A325,jr_kg))</f>
        <v/>
      </c>
      <c r="L325" s="64" t="str">
        <f>IF(A325="","",SUMIF(jr_num,A325,jr_val))</f>
        <v/>
      </c>
      <c r="M325" s="60" t="str">
        <f>IF(A325="","",IF(COUNTIFS(jr_num,A325,jr_check,"&lt;&gt;OK")&gt;0,"À vérifier",IF(LEFT(A325,2)="BL",IF(COUNTIFS(jr_num,A325,jr_rel,"&gt;0")&gt;0,"Reliquat en cours",IF(COUNTIFS(jr_num,A325,jr_gap,"&lt;0")&gt;0,"Reliquat livré","Complet")),IF(LEFT(A325,2)="BR",IF(COUNTIFS(jr_num,A325,jr_etat,"Refusé")&gt;0,"Refusé",IF(COUNTIFS(jr_num,A325,jr_etat,"Avec réserves")&gt;0,"Avec réserves",IF(COUNTIFS(jr_num,A325,jr_rel,"&gt;0")&gt;0,"Reliquat en cours",IF(COUNTIFS(jr_num,A325,jr_gap,"&lt;0")+COUNTIFS(jr_num,A325,jr_gap,"&gt;0")&gt;0,"Écart","Conforme")))),IF(COUNTIFS(jr_num,A325,jr_gap,"&lt;0")&gt;0,"Partiel","Sorti")))))</f>
        <v/>
      </c>
      <c r="O325" t="str">
        <f>IFERROR(MATCH(320,jr_grank,0),"")</f>
        <v/>
      </c>
      <c r="R325" s="67" t="str">
        <f>IFERROR(INDEX(jr_num,MATCH("BL320",jr_nkey,0))&amp;"","")</f>
        <v/>
      </c>
      <c r="S325" s="67" t="str">
        <f>IFERROR(INDEX(jr_num,MATCH("BR320",jr_nkey,0))&amp;"","")</f>
        <v/>
      </c>
      <c r="T325" s="67" t="str">
        <f>IFERROR(INDEX(jr_num,MATCH("BS320",jr_nkey,0))&amp;"","")</f>
        <v/>
      </c>
    </row>
    <row r="326">
      <c r="A326" s="60" t="str">
        <f>IF($O326="","",INDEX(jr_num,$O326)&amp;"")</f>
        <v/>
      </c>
      <c r="B326" s="60" t="str">
        <f>IF($O326="","",IF(INDEX(jr_type,$O326)="BL","Livraison",IF(INDEX(jr_type,$O326)="BR","Réception","Sortie")))</f>
        <v/>
      </c>
      <c r="C326" s="65" t="str">
        <f>IF($O326="","",INDEX(jr_date,$O326))</f>
        <v/>
      </c>
      <c r="D326" s="60" t="str">
        <f>IF($O326="","",INDEX(jr_tiers,$O326)&amp;"")</f>
        <v/>
      </c>
      <c r="E326" s="57" t="str">
        <f>IF($O326="","",INDEX(jr_name,$O326)&amp;"")</f>
        <v/>
      </c>
      <c r="F326" s="57" t="str">
        <f>IF($O326="","",INDEX(jr_order,$O326)&amp;"")</f>
        <v/>
      </c>
      <c r="G326" s="57" t="str">
        <f>IF($O326="","",INDEX(jr_ext,$O326)&amp;"")</f>
        <v/>
      </c>
      <c r="H326" s="57" t="str">
        <f>IF($O326="","",INDEX(jr_carrier,$O326)&amp;"")</f>
        <v/>
      </c>
      <c r="I326" s="66" t="str">
        <f>IF(A326="","",COUNTIF(jr_num,A326))</f>
        <v/>
      </c>
      <c r="J326" s="66" t="str">
        <f>IF(A326="","",SUMIF(jr_num,A326,jr_colis))</f>
        <v/>
      </c>
      <c r="K326" s="63" t="str">
        <f>IF(A326="","",SUMIF(jr_num,A326,jr_kg))</f>
        <v/>
      </c>
      <c r="L326" s="64" t="str">
        <f>IF(A326="","",SUMIF(jr_num,A326,jr_val))</f>
        <v/>
      </c>
      <c r="M326" s="60" t="str">
        <f>IF(A326="","",IF(COUNTIFS(jr_num,A326,jr_check,"&lt;&gt;OK")&gt;0,"À vérifier",IF(LEFT(A326,2)="BL",IF(COUNTIFS(jr_num,A326,jr_rel,"&gt;0")&gt;0,"Reliquat en cours",IF(COUNTIFS(jr_num,A326,jr_gap,"&lt;0")&gt;0,"Reliquat livré","Complet")),IF(LEFT(A326,2)="BR",IF(COUNTIFS(jr_num,A326,jr_etat,"Refusé")&gt;0,"Refusé",IF(COUNTIFS(jr_num,A326,jr_etat,"Avec réserves")&gt;0,"Avec réserves",IF(COUNTIFS(jr_num,A326,jr_rel,"&gt;0")&gt;0,"Reliquat en cours",IF(COUNTIFS(jr_num,A326,jr_gap,"&lt;0")+COUNTIFS(jr_num,A326,jr_gap,"&gt;0")&gt;0,"Écart","Conforme")))),IF(COUNTIFS(jr_num,A326,jr_gap,"&lt;0")&gt;0,"Partiel","Sorti")))))</f>
        <v/>
      </c>
      <c r="O326" t="str">
        <f>IFERROR(MATCH(321,jr_grank,0),"")</f>
        <v/>
      </c>
      <c r="R326" s="67" t="str">
        <f>IFERROR(INDEX(jr_num,MATCH("BL321",jr_nkey,0))&amp;"","")</f>
        <v/>
      </c>
      <c r="S326" s="67" t="str">
        <f>IFERROR(INDEX(jr_num,MATCH("BR321",jr_nkey,0))&amp;"","")</f>
        <v/>
      </c>
      <c r="T326" s="67" t="str">
        <f>IFERROR(INDEX(jr_num,MATCH("BS321",jr_nkey,0))&amp;"","")</f>
        <v/>
      </c>
    </row>
    <row r="327">
      <c r="A327" s="60" t="str">
        <f>IF($O327="","",INDEX(jr_num,$O327)&amp;"")</f>
        <v/>
      </c>
      <c r="B327" s="60" t="str">
        <f>IF($O327="","",IF(INDEX(jr_type,$O327)="BL","Livraison",IF(INDEX(jr_type,$O327)="BR","Réception","Sortie")))</f>
        <v/>
      </c>
      <c r="C327" s="65" t="str">
        <f>IF($O327="","",INDEX(jr_date,$O327))</f>
        <v/>
      </c>
      <c r="D327" s="60" t="str">
        <f>IF($O327="","",INDEX(jr_tiers,$O327)&amp;"")</f>
        <v/>
      </c>
      <c r="E327" s="57" t="str">
        <f>IF($O327="","",INDEX(jr_name,$O327)&amp;"")</f>
        <v/>
      </c>
      <c r="F327" s="57" t="str">
        <f>IF($O327="","",INDEX(jr_order,$O327)&amp;"")</f>
        <v/>
      </c>
      <c r="G327" s="57" t="str">
        <f>IF($O327="","",INDEX(jr_ext,$O327)&amp;"")</f>
        <v/>
      </c>
      <c r="H327" s="57" t="str">
        <f>IF($O327="","",INDEX(jr_carrier,$O327)&amp;"")</f>
        <v/>
      </c>
      <c r="I327" s="66" t="str">
        <f>IF(A327="","",COUNTIF(jr_num,A327))</f>
        <v/>
      </c>
      <c r="J327" s="66" t="str">
        <f>IF(A327="","",SUMIF(jr_num,A327,jr_colis))</f>
        <v/>
      </c>
      <c r="K327" s="63" t="str">
        <f>IF(A327="","",SUMIF(jr_num,A327,jr_kg))</f>
        <v/>
      </c>
      <c r="L327" s="64" t="str">
        <f>IF(A327="","",SUMIF(jr_num,A327,jr_val))</f>
        <v/>
      </c>
      <c r="M327" s="60" t="str">
        <f>IF(A327="","",IF(COUNTIFS(jr_num,A327,jr_check,"&lt;&gt;OK")&gt;0,"À vérifier",IF(LEFT(A327,2)="BL",IF(COUNTIFS(jr_num,A327,jr_rel,"&gt;0")&gt;0,"Reliquat en cours",IF(COUNTIFS(jr_num,A327,jr_gap,"&lt;0")&gt;0,"Reliquat livré","Complet")),IF(LEFT(A327,2)="BR",IF(COUNTIFS(jr_num,A327,jr_etat,"Refusé")&gt;0,"Refusé",IF(COUNTIFS(jr_num,A327,jr_etat,"Avec réserves")&gt;0,"Avec réserves",IF(COUNTIFS(jr_num,A327,jr_rel,"&gt;0")&gt;0,"Reliquat en cours",IF(COUNTIFS(jr_num,A327,jr_gap,"&lt;0")+COUNTIFS(jr_num,A327,jr_gap,"&gt;0")&gt;0,"Écart","Conforme")))),IF(COUNTIFS(jr_num,A327,jr_gap,"&lt;0")&gt;0,"Partiel","Sorti")))))</f>
        <v/>
      </c>
      <c r="O327" t="str">
        <f>IFERROR(MATCH(322,jr_grank,0),"")</f>
        <v/>
      </c>
      <c r="R327" s="67" t="str">
        <f>IFERROR(INDEX(jr_num,MATCH("BL322",jr_nkey,0))&amp;"","")</f>
        <v/>
      </c>
      <c r="S327" s="67" t="str">
        <f>IFERROR(INDEX(jr_num,MATCH("BR322",jr_nkey,0))&amp;"","")</f>
        <v/>
      </c>
      <c r="T327" s="67" t="str">
        <f>IFERROR(INDEX(jr_num,MATCH("BS322",jr_nkey,0))&amp;"","")</f>
        <v/>
      </c>
    </row>
    <row r="328">
      <c r="A328" s="60" t="str">
        <f>IF($O328="","",INDEX(jr_num,$O328)&amp;"")</f>
        <v/>
      </c>
      <c r="B328" s="60" t="str">
        <f>IF($O328="","",IF(INDEX(jr_type,$O328)="BL","Livraison",IF(INDEX(jr_type,$O328)="BR","Réception","Sortie")))</f>
        <v/>
      </c>
      <c r="C328" s="65" t="str">
        <f>IF($O328="","",INDEX(jr_date,$O328))</f>
        <v/>
      </c>
      <c r="D328" s="60" t="str">
        <f>IF($O328="","",INDEX(jr_tiers,$O328)&amp;"")</f>
        <v/>
      </c>
      <c r="E328" s="57" t="str">
        <f>IF($O328="","",INDEX(jr_name,$O328)&amp;"")</f>
        <v/>
      </c>
      <c r="F328" s="57" t="str">
        <f>IF($O328="","",INDEX(jr_order,$O328)&amp;"")</f>
        <v/>
      </c>
      <c r="G328" s="57" t="str">
        <f>IF($O328="","",INDEX(jr_ext,$O328)&amp;"")</f>
        <v/>
      </c>
      <c r="H328" s="57" t="str">
        <f>IF($O328="","",INDEX(jr_carrier,$O328)&amp;"")</f>
        <v/>
      </c>
      <c r="I328" s="66" t="str">
        <f>IF(A328="","",COUNTIF(jr_num,A328))</f>
        <v/>
      </c>
      <c r="J328" s="66" t="str">
        <f>IF(A328="","",SUMIF(jr_num,A328,jr_colis))</f>
        <v/>
      </c>
      <c r="K328" s="63" t="str">
        <f>IF(A328="","",SUMIF(jr_num,A328,jr_kg))</f>
        <v/>
      </c>
      <c r="L328" s="64" t="str">
        <f>IF(A328="","",SUMIF(jr_num,A328,jr_val))</f>
        <v/>
      </c>
      <c r="M328" s="60" t="str">
        <f>IF(A328="","",IF(COUNTIFS(jr_num,A328,jr_check,"&lt;&gt;OK")&gt;0,"À vérifier",IF(LEFT(A328,2)="BL",IF(COUNTIFS(jr_num,A328,jr_rel,"&gt;0")&gt;0,"Reliquat en cours",IF(COUNTIFS(jr_num,A328,jr_gap,"&lt;0")&gt;0,"Reliquat livré","Complet")),IF(LEFT(A328,2)="BR",IF(COUNTIFS(jr_num,A328,jr_etat,"Refusé")&gt;0,"Refusé",IF(COUNTIFS(jr_num,A328,jr_etat,"Avec réserves")&gt;0,"Avec réserves",IF(COUNTIFS(jr_num,A328,jr_rel,"&gt;0")&gt;0,"Reliquat en cours",IF(COUNTIFS(jr_num,A328,jr_gap,"&lt;0")+COUNTIFS(jr_num,A328,jr_gap,"&gt;0")&gt;0,"Écart","Conforme")))),IF(COUNTIFS(jr_num,A328,jr_gap,"&lt;0")&gt;0,"Partiel","Sorti")))))</f>
        <v/>
      </c>
      <c r="O328" t="str">
        <f>IFERROR(MATCH(323,jr_grank,0),"")</f>
        <v/>
      </c>
      <c r="R328" s="67" t="str">
        <f>IFERROR(INDEX(jr_num,MATCH("BL323",jr_nkey,0))&amp;"","")</f>
        <v/>
      </c>
      <c r="S328" s="67" t="str">
        <f>IFERROR(INDEX(jr_num,MATCH("BR323",jr_nkey,0))&amp;"","")</f>
        <v/>
      </c>
      <c r="T328" s="67" t="str">
        <f>IFERROR(INDEX(jr_num,MATCH("BS323",jr_nkey,0))&amp;"","")</f>
        <v/>
      </c>
    </row>
    <row r="329">
      <c r="A329" s="60" t="str">
        <f>IF($O329="","",INDEX(jr_num,$O329)&amp;"")</f>
        <v/>
      </c>
      <c r="B329" s="60" t="str">
        <f>IF($O329="","",IF(INDEX(jr_type,$O329)="BL","Livraison",IF(INDEX(jr_type,$O329)="BR","Réception","Sortie")))</f>
        <v/>
      </c>
      <c r="C329" s="65" t="str">
        <f>IF($O329="","",INDEX(jr_date,$O329))</f>
        <v/>
      </c>
      <c r="D329" s="60" t="str">
        <f>IF($O329="","",INDEX(jr_tiers,$O329)&amp;"")</f>
        <v/>
      </c>
      <c r="E329" s="57" t="str">
        <f>IF($O329="","",INDEX(jr_name,$O329)&amp;"")</f>
        <v/>
      </c>
      <c r="F329" s="57" t="str">
        <f>IF($O329="","",INDEX(jr_order,$O329)&amp;"")</f>
        <v/>
      </c>
      <c r="G329" s="57" t="str">
        <f>IF($O329="","",INDEX(jr_ext,$O329)&amp;"")</f>
        <v/>
      </c>
      <c r="H329" s="57" t="str">
        <f>IF($O329="","",INDEX(jr_carrier,$O329)&amp;"")</f>
        <v/>
      </c>
      <c r="I329" s="66" t="str">
        <f>IF(A329="","",COUNTIF(jr_num,A329))</f>
        <v/>
      </c>
      <c r="J329" s="66" t="str">
        <f>IF(A329="","",SUMIF(jr_num,A329,jr_colis))</f>
        <v/>
      </c>
      <c r="K329" s="63" t="str">
        <f>IF(A329="","",SUMIF(jr_num,A329,jr_kg))</f>
        <v/>
      </c>
      <c r="L329" s="64" t="str">
        <f>IF(A329="","",SUMIF(jr_num,A329,jr_val))</f>
        <v/>
      </c>
      <c r="M329" s="60" t="str">
        <f>IF(A329="","",IF(COUNTIFS(jr_num,A329,jr_check,"&lt;&gt;OK")&gt;0,"À vérifier",IF(LEFT(A329,2)="BL",IF(COUNTIFS(jr_num,A329,jr_rel,"&gt;0")&gt;0,"Reliquat en cours",IF(COUNTIFS(jr_num,A329,jr_gap,"&lt;0")&gt;0,"Reliquat livré","Complet")),IF(LEFT(A329,2)="BR",IF(COUNTIFS(jr_num,A329,jr_etat,"Refusé")&gt;0,"Refusé",IF(COUNTIFS(jr_num,A329,jr_etat,"Avec réserves")&gt;0,"Avec réserves",IF(COUNTIFS(jr_num,A329,jr_rel,"&gt;0")&gt;0,"Reliquat en cours",IF(COUNTIFS(jr_num,A329,jr_gap,"&lt;0")+COUNTIFS(jr_num,A329,jr_gap,"&gt;0")&gt;0,"Écart","Conforme")))),IF(COUNTIFS(jr_num,A329,jr_gap,"&lt;0")&gt;0,"Partiel","Sorti")))))</f>
        <v/>
      </c>
      <c r="O329" t="str">
        <f>IFERROR(MATCH(324,jr_grank,0),"")</f>
        <v/>
      </c>
      <c r="R329" s="67" t="str">
        <f>IFERROR(INDEX(jr_num,MATCH("BL324",jr_nkey,0))&amp;"","")</f>
        <v/>
      </c>
      <c r="S329" s="67" t="str">
        <f>IFERROR(INDEX(jr_num,MATCH("BR324",jr_nkey,0))&amp;"","")</f>
        <v/>
      </c>
      <c r="T329" s="67" t="str">
        <f>IFERROR(INDEX(jr_num,MATCH("BS324",jr_nkey,0))&amp;"","")</f>
        <v/>
      </c>
    </row>
    <row r="330">
      <c r="A330" s="60" t="str">
        <f>IF($O330="","",INDEX(jr_num,$O330)&amp;"")</f>
        <v/>
      </c>
      <c r="B330" s="60" t="str">
        <f>IF($O330="","",IF(INDEX(jr_type,$O330)="BL","Livraison",IF(INDEX(jr_type,$O330)="BR","Réception","Sortie")))</f>
        <v/>
      </c>
      <c r="C330" s="65" t="str">
        <f>IF($O330="","",INDEX(jr_date,$O330))</f>
        <v/>
      </c>
      <c r="D330" s="60" t="str">
        <f>IF($O330="","",INDEX(jr_tiers,$O330)&amp;"")</f>
        <v/>
      </c>
      <c r="E330" s="57" t="str">
        <f>IF($O330="","",INDEX(jr_name,$O330)&amp;"")</f>
        <v/>
      </c>
      <c r="F330" s="57" t="str">
        <f>IF($O330="","",INDEX(jr_order,$O330)&amp;"")</f>
        <v/>
      </c>
      <c r="G330" s="57" t="str">
        <f>IF($O330="","",INDEX(jr_ext,$O330)&amp;"")</f>
        <v/>
      </c>
      <c r="H330" s="57" t="str">
        <f>IF($O330="","",INDEX(jr_carrier,$O330)&amp;"")</f>
        <v/>
      </c>
      <c r="I330" s="66" t="str">
        <f>IF(A330="","",COUNTIF(jr_num,A330))</f>
        <v/>
      </c>
      <c r="J330" s="66" t="str">
        <f>IF(A330="","",SUMIF(jr_num,A330,jr_colis))</f>
        <v/>
      </c>
      <c r="K330" s="63" t="str">
        <f>IF(A330="","",SUMIF(jr_num,A330,jr_kg))</f>
        <v/>
      </c>
      <c r="L330" s="64" t="str">
        <f>IF(A330="","",SUMIF(jr_num,A330,jr_val))</f>
        <v/>
      </c>
      <c r="M330" s="60" t="str">
        <f>IF(A330="","",IF(COUNTIFS(jr_num,A330,jr_check,"&lt;&gt;OK")&gt;0,"À vérifier",IF(LEFT(A330,2)="BL",IF(COUNTIFS(jr_num,A330,jr_rel,"&gt;0")&gt;0,"Reliquat en cours",IF(COUNTIFS(jr_num,A330,jr_gap,"&lt;0")&gt;0,"Reliquat livré","Complet")),IF(LEFT(A330,2)="BR",IF(COUNTIFS(jr_num,A330,jr_etat,"Refusé")&gt;0,"Refusé",IF(COUNTIFS(jr_num,A330,jr_etat,"Avec réserves")&gt;0,"Avec réserves",IF(COUNTIFS(jr_num,A330,jr_rel,"&gt;0")&gt;0,"Reliquat en cours",IF(COUNTIFS(jr_num,A330,jr_gap,"&lt;0")+COUNTIFS(jr_num,A330,jr_gap,"&gt;0")&gt;0,"Écart","Conforme")))),IF(COUNTIFS(jr_num,A330,jr_gap,"&lt;0")&gt;0,"Partiel","Sorti")))))</f>
        <v/>
      </c>
      <c r="O330" t="str">
        <f>IFERROR(MATCH(325,jr_grank,0),"")</f>
        <v/>
      </c>
      <c r="R330" s="67" t="str">
        <f>IFERROR(INDEX(jr_num,MATCH("BL325",jr_nkey,0))&amp;"","")</f>
        <v/>
      </c>
      <c r="S330" s="67" t="str">
        <f>IFERROR(INDEX(jr_num,MATCH("BR325",jr_nkey,0))&amp;"","")</f>
        <v/>
      </c>
      <c r="T330" s="67" t="str">
        <f>IFERROR(INDEX(jr_num,MATCH("BS325",jr_nkey,0))&amp;"","")</f>
        <v/>
      </c>
    </row>
    <row r="331">
      <c r="A331" s="60" t="str">
        <f>IF($O331="","",INDEX(jr_num,$O331)&amp;"")</f>
        <v/>
      </c>
      <c r="B331" s="60" t="str">
        <f>IF($O331="","",IF(INDEX(jr_type,$O331)="BL","Livraison",IF(INDEX(jr_type,$O331)="BR","Réception","Sortie")))</f>
        <v/>
      </c>
      <c r="C331" s="65" t="str">
        <f>IF($O331="","",INDEX(jr_date,$O331))</f>
        <v/>
      </c>
      <c r="D331" s="60" t="str">
        <f>IF($O331="","",INDEX(jr_tiers,$O331)&amp;"")</f>
        <v/>
      </c>
      <c r="E331" s="57" t="str">
        <f>IF($O331="","",INDEX(jr_name,$O331)&amp;"")</f>
        <v/>
      </c>
      <c r="F331" s="57" t="str">
        <f>IF($O331="","",INDEX(jr_order,$O331)&amp;"")</f>
        <v/>
      </c>
      <c r="G331" s="57" t="str">
        <f>IF($O331="","",INDEX(jr_ext,$O331)&amp;"")</f>
        <v/>
      </c>
      <c r="H331" s="57" t="str">
        <f>IF($O331="","",INDEX(jr_carrier,$O331)&amp;"")</f>
        <v/>
      </c>
      <c r="I331" s="66" t="str">
        <f>IF(A331="","",COUNTIF(jr_num,A331))</f>
        <v/>
      </c>
      <c r="J331" s="66" t="str">
        <f>IF(A331="","",SUMIF(jr_num,A331,jr_colis))</f>
        <v/>
      </c>
      <c r="K331" s="63" t="str">
        <f>IF(A331="","",SUMIF(jr_num,A331,jr_kg))</f>
        <v/>
      </c>
      <c r="L331" s="64" t="str">
        <f>IF(A331="","",SUMIF(jr_num,A331,jr_val))</f>
        <v/>
      </c>
      <c r="M331" s="60" t="str">
        <f>IF(A331="","",IF(COUNTIFS(jr_num,A331,jr_check,"&lt;&gt;OK")&gt;0,"À vérifier",IF(LEFT(A331,2)="BL",IF(COUNTIFS(jr_num,A331,jr_rel,"&gt;0")&gt;0,"Reliquat en cours",IF(COUNTIFS(jr_num,A331,jr_gap,"&lt;0")&gt;0,"Reliquat livré","Complet")),IF(LEFT(A331,2)="BR",IF(COUNTIFS(jr_num,A331,jr_etat,"Refusé")&gt;0,"Refusé",IF(COUNTIFS(jr_num,A331,jr_etat,"Avec réserves")&gt;0,"Avec réserves",IF(COUNTIFS(jr_num,A331,jr_rel,"&gt;0")&gt;0,"Reliquat en cours",IF(COUNTIFS(jr_num,A331,jr_gap,"&lt;0")+COUNTIFS(jr_num,A331,jr_gap,"&gt;0")&gt;0,"Écart","Conforme")))),IF(COUNTIFS(jr_num,A331,jr_gap,"&lt;0")&gt;0,"Partiel","Sorti")))))</f>
        <v/>
      </c>
      <c r="O331" t="str">
        <f>IFERROR(MATCH(326,jr_grank,0),"")</f>
        <v/>
      </c>
      <c r="R331" s="67" t="str">
        <f>IFERROR(INDEX(jr_num,MATCH("BL326",jr_nkey,0))&amp;"","")</f>
        <v/>
      </c>
      <c r="S331" s="67" t="str">
        <f>IFERROR(INDEX(jr_num,MATCH("BR326",jr_nkey,0))&amp;"","")</f>
        <v/>
      </c>
      <c r="T331" s="67" t="str">
        <f>IFERROR(INDEX(jr_num,MATCH("BS326",jr_nkey,0))&amp;"","")</f>
        <v/>
      </c>
    </row>
    <row r="332">
      <c r="A332" s="60" t="str">
        <f>IF($O332="","",INDEX(jr_num,$O332)&amp;"")</f>
        <v/>
      </c>
      <c r="B332" s="60" t="str">
        <f>IF($O332="","",IF(INDEX(jr_type,$O332)="BL","Livraison",IF(INDEX(jr_type,$O332)="BR","Réception","Sortie")))</f>
        <v/>
      </c>
      <c r="C332" s="65" t="str">
        <f>IF($O332="","",INDEX(jr_date,$O332))</f>
        <v/>
      </c>
      <c r="D332" s="60" t="str">
        <f>IF($O332="","",INDEX(jr_tiers,$O332)&amp;"")</f>
        <v/>
      </c>
      <c r="E332" s="57" t="str">
        <f>IF($O332="","",INDEX(jr_name,$O332)&amp;"")</f>
        <v/>
      </c>
      <c r="F332" s="57" t="str">
        <f>IF($O332="","",INDEX(jr_order,$O332)&amp;"")</f>
        <v/>
      </c>
      <c r="G332" s="57" t="str">
        <f>IF($O332="","",INDEX(jr_ext,$O332)&amp;"")</f>
        <v/>
      </c>
      <c r="H332" s="57" t="str">
        <f>IF($O332="","",INDEX(jr_carrier,$O332)&amp;"")</f>
        <v/>
      </c>
      <c r="I332" s="66" t="str">
        <f>IF(A332="","",COUNTIF(jr_num,A332))</f>
        <v/>
      </c>
      <c r="J332" s="66" t="str">
        <f>IF(A332="","",SUMIF(jr_num,A332,jr_colis))</f>
        <v/>
      </c>
      <c r="K332" s="63" t="str">
        <f>IF(A332="","",SUMIF(jr_num,A332,jr_kg))</f>
        <v/>
      </c>
      <c r="L332" s="64" t="str">
        <f>IF(A332="","",SUMIF(jr_num,A332,jr_val))</f>
        <v/>
      </c>
      <c r="M332" s="60" t="str">
        <f>IF(A332="","",IF(COUNTIFS(jr_num,A332,jr_check,"&lt;&gt;OK")&gt;0,"À vérifier",IF(LEFT(A332,2)="BL",IF(COUNTIFS(jr_num,A332,jr_rel,"&gt;0")&gt;0,"Reliquat en cours",IF(COUNTIFS(jr_num,A332,jr_gap,"&lt;0")&gt;0,"Reliquat livré","Complet")),IF(LEFT(A332,2)="BR",IF(COUNTIFS(jr_num,A332,jr_etat,"Refusé")&gt;0,"Refusé",IF(COUNTIFS(jr_num,A332,jr_etat,"Avec réserves")&gt;0,"Avec réserves",IF(COUNTIFS(jr_num,A332,jr_rel,"&gt;0")&gt;0,"Reliquat en cours",IF(COUNTIFS(jr_num,A332,jr_gap,"&lt;0")+COUNTIFS(jr_num,A332,jr_gap,"&gt;0")&gt;0,"Écart","Conforme")))),IF(COUNTIFS(jr_num,A332,jr_gap,"&lt;0")&gt;0,"Partiel","Sorti")))))</f>
        <v/>
      </c>
      <c r="O332" t="str">
        <f>IFERROR(MATCH(327,jr_grank,0),"")</f>
        <v/>
      </c>
      <c r="R332" s="67" t="str">
        <f>IFERROR(INDEX(jr_num,MATCH("BL327",jr_nkey,0))&amp;"","")</f>
        <v/>
      </c>
      <c r="S332" s="67" t="str">
        <f>IFERROR(INDEX(jr_num,MATCH("BR327",jr_nkey,0))&amp;"","")</f>
        <v/>
      </c>
      <c r="T332" s="67" t="str">
        <f>IFERROR(INDEX(jr_num,MATCH("BS327",jr_nkey,0))&amp;"","")</f>
        <v/>
      </c>
    </row>
    <row r="333">
      <c r="A333" s="60" t="str">
        <f>IF($O333="","",INDEX(jr_num,$O333)&amp;"")</f>
        <v/>
      </c>
      <c r="B333" s="60" t="str">
        <f>IF($O333="","",IF(INDEX(jr_type,$O333)="BL","Livraison",IF(INDEX(jr_type,$O333)="BR","Réception","Sortie")))</f>
        <v/>
      </c>
      <c r="C333" s="65" t="str">
        <f>IF($O333="","",INDEX(jr_date,$O333))</f>
        <v/>
      </c>
      <c r="D333" s="60" t="str">
        <f>IF($O333="","",INDEX(jr_tiers,$O333)&amp;"")</f>
        <v/>
      </c>
      <c r="E333" s="57" t="str">
        <f>IF($O333="","",INDEX(jr_name,$O333)&amp;"")</f>
        <v/>
      </c>
      <c r="F333" s="57" t="str">
        <f>IF($O333="","",INDEX(jr_order,$O333)&amp;"")</f>
        <v/>
      </c>
      <c r="G333" s="57" t="str">
        <f>IF($O333="","",INDEX(jr_ext,$O333)&amp;"")</f>
        <v/>
      </c>
      <c r="H333" s="57" t="str">
        <f>IF($O333="","",INDEX(jr_carrier,$O333)&amp;"")</f>
        <v/>
      </c>
      <c r="I333" s="66" t="str">
        <f>IF(A333="","",COUNTIF(jr_num,A333))</f>
        <v/>
      </c>
      <c r="J333" s="66" t="str">
        <f>IF(A333="","",SUMIF(jr_num,A333,jr_colis))</f>
        <v/>
      </c>
      <c r="K333" s="63" t="str">
        <f>IF(A333="","",SUMIF(jr_num,A333,jr_kg))</f>
        <v/>
      </c>
      <c r="L333" s="64" t="str">
        <f>IF(A333="","",SUMIF(jr_num,A333,jr_val))</f>
        <v/>
      </c>
      <c r="M333" s="60" t="str">
        <f>IF(A333="","",IF(COUNTIFS(jr_num,A333,jr_check,"&lt;&gt;OK")&gt;0,"À vérifier",IF(LEFT(A333,2)="BL",IF(COUNTIFS(jr_num,A333,jr_rel,"&gt;0")&gt;0,"Reliquat en cours",IF(COUNTIFS(jr_num,A333,jr_gap,"&lt;0")&gt;0,"Reliquat livré","Complet")),IF(LEFT(A333,2)="BR",IF(COUNTIFS(jr_num,A333,jr_etat,"Refusé")&gt;0,"Refusé",IF(COUNTIFS(jr_num,A333,jr_etat,"Avec réserves")&gt;0,"Avec réserves",IF(COUNTIFS(jr_num,A333,jr_rel,"&gt;0")&gt;0,"Reliquat en cours",IF(COUNTIFS(jr_num,A333,jr_gap,"&lt;0")+COUNTIFS(jr_num,A333,jr_gap,"&gt;0")&gt;0,"Écart","Conforme")))),IF(COUNTIFS(jr_num,A333,jr_gap,"&lt;0")&gt;0,"Partiel","Sorti")))))</f>
        <v/>
      </c>
      <c r="O333" t="str">
        <f>IFERROR(MATCH(328,jr_grank,0),"")</f>
        <v/>
      </c>
      <c r="R333" s="67" t="str">
        <f>IFERROR(INDEX(jr_num,MATCH("BL328",jr_nkey,0))&amp;"","")</f>
        <v/>
      </c>
      <c r="S333" s="67" t="str">
        <f>IFERROR(INDEX(jr_num,MATCH("BR328",jr_nkey,0))&amp;"","")</f>
        <v/>
      </c>
      <c r="T333" s="67" t="str">
        <f>IFERROR(INDEX(jr_num,MATCH("BS328",jr_nkey,0))&amp;"","")</f>
        <v/>
      </c>
    </row>
    <row r="334">
      <c r="A334" s="60" t="str">
        <f>IF($O334="","",INDEX(jr_num,$O334)&amp;"")</f>
        <v/>
      </c>
      <c r="B334" s="60" t="str">
        <f>IF($O334="","",IF(INDEX(jr_type,$O334)="BL","Livraison",IF(INDEX(jr_type,$O334)="BR","Réception","Sortie")))</f>
        <v/>
      </c>
      <c r="C334" s="65" t="str">
        <f>IF($O334="","",INDEX(jr_date,$O334))</f>
        <v/>
      </c>
      <c r="D334" s="60" t="str">
        <f>IF($O334="","",INDEX(jr_tiers,$O334)&amp;"")</f>
        <v/>
      </c>
      <c r="E334" s="57" t="str">
        <f>IF($O334="","",INDEX(jr_name,$O334)&amp;"")</f>
        <v/>
      </c>
      <c r="F334" s="57" t="str">
        <f>IF($O334="","",INDEX(jr_order,$O334)&amp;"")</f>
        <v/>
      </c>
      <c r="G334" s="57" t="str">
        <f>IF($O334="","",INDEX(jr_ext,$O334)&amp;"")</f>
        <v/>
      </c>
      <c r="H334" s="57" t="str">
        <f>IF($O334="","",INDEX(jr_carrier,$O334)&amp;"")</f>
        <v/>
      </c>
      <c r="I334" s="66" t="str">
        <f>IF(A334="","",COUNTIF(jr_num,A334))</f>
        <v/>
      </c>
      <c r="J334" s="66" t="str">
        <f>IF(A334="","",SUMIF(jr_num,A334,jr_colis))</f>
        <v/>
      </c>
      <c r="K334" s="63" t="str">
        <f>IF(A334="","",SUMIF(jr_num,A334,jr_kg))</f>
        <v/>
      </c>
      <c r="L334" s="64" t="str">
        <f>IF(A334="","",SUMIF(jr_num,A334,jr_val))</f>
        <v/>
      </c>
      <c r="M334" s="60" t="str">
        <f>IF(A334="","",IF(COUNTIFS(jr_num,A334,jr_check,"&lt;&gt;OK")&gt;0,"À vérifier",IF(LEFT(A334,2)="BL",IF(COUNTIFS(jr_num,A334,jr_rel,"&gt;0")&gt;0,"Reliquat en cours",IF(COUNTIFS(jr_num,A334,jr_gap,"&lt;0")&gt;0,"Reliquat livré","Complet")),IF(LEFT(A334,2)="BR",IF(COUNTIFS(jr_num,A334,jr_etat,"Refusé")&gt;0,"Refusé",IF(COUNTIFS(jr_num,A334,jr_etat,"Avec réserves")&gt;0,"Avec réserves",IF(COUNTIFS(jr_num,A334,jr_rel,"&gt;0")&gt;0,"Reliquat en cours",IF(COUNTIFS(jr_num,A334,jr_gap,"&lt;0")+COUNTIFS(jr_num,A334,jr_gap,"&gt;0")&gt;0,"Écart","Conforme")))),IF(COUNTIFS(jr_num,A334,jr_gap,"&lt;0")&gt;0,"Partiel","Sorti")))))</f>
        <v/>
      </c>
      <c r="O334" t="str">
        <f>IFERROR(MATCH(329,jr_grank,0),"")</f>
        <v/>
      </c>
      <c r="R334" s="67" t="str">
        <f>IFERROR(INDEX(jr_num,MATCH("BL329",jr_nkey,0))&amp;"","")</f>
        <v/>
      </c>
      <c r="S334" s="67" t="str">
        <f>IFERROR(INDEX(jr_num,MATCH("BR329",jr_nkey,0))&amp;"","")</f>
        <v/>
      </c>
      <c r="T334" s="67" t="str">
        <f>IFERROR(INDEX(jr_num,MATCH("BS329",jr_nkey,0))&amp;"","")</f>
        <v/>
      </c>
    </row>
    <row r="335">
      <c r="A335" s="60" t="str">
        <f>IF($O335="","",INDEX(jr_num,$O335)&amp;"")</f>
        <v/>
      </c>
      <c r="B335" s="60" t="str">
        <f>IF($O335="","",IF(INDEX(jr_type,$O335)="BL","Livraison",IF(INDEX(jr_type,$O335)="BR","Réception","Sortie")))</f>
        <v/>
      </c>
      <c r="C335" s="65" t="str">
        <f>IF($O335="","",INDEX(jr_date,$O335))</f>
        <v/>
      </c>
      <c r="D335" s="60" t="str">
        <f>IF($O335="","",INDEX(jr_tiers,$O335)&amp;"")</f>
        <v/>
      </c>
      <c r="E335" s="57" t="str">
        <f>IF($O335="","",INDEX(jr_name,$O335)&amp;"")</f>
        <v/>
      </c>
      <c r="F335" s="57" t="str">
        <f>IF($O335="","",INDEX(jr_order,$O335)&amp;"")</f>
        <v/>
      </c>
      <c r="G335" s="57" t="str">
        <f>IF($O335="","",INDEX(jr_ext,$O335)&amp;"")</f>
        <v/>
      </c>
      <c r="H335" s="57" t="str">
        <f>IF($O335="","",INDEX(jr_carrier,$O335)&amp;"")</f>
        <v/>
      </c>
      <c r="I335" s="66" t="str">
        <f>IF(A335="","",COUNTIF(jr_num,A335))</f>
        <v/>
      </c>
      <c r="J335" s="66" t="str">
        <f>IF(A335="","",SUMIF(jr_num,A335,jr_colis))</f>
        <v/>
      </c>
      <c r="K335" s="63" t="str">
        <f>IF(A335="","",SUMIF(jr_num,A335,jr_kg))</f>
        <v/>
      </c>
      <c r="L335" s="64" t="str">
        <f>IF(A335="","",SUMIF(jr_num,A335,jr_val))</f>
        <v/>
      </c>
      <c r="M335" s="60" t="str">
        <f>IF(A335="","",IF(COUNTIFS(jr_num,A335,jr_check,"&lt;&gt;OK")&gt;0,"À vérifier",IF(LEFT(A335,2)="BL",IF(COUNTIFS(jr_num,A335,jr_rel,"&gt;0")&gt;0,"Reliquat en cours",IF(COUNTIFS(jr_num,A335,jr_gap,"&lt;0")&gt;0,"Reliquat livré","Complet")),IF(LEFT(A335,2)="BR",IF(COUNTIFS(jr_num,A335,jr_etat,"Refusé")&gt;0,"Refusé",IF(COUNTIFS(jr_num,A335,jr_etat,"Avec réserves")&gt;0,"Avec réserves",IF(COUNTIFS(jr_num,A335,jr_rel,"&gt;0")&gt;0,"Reliquat en cours",IF(COUNTIFS(jr_num,A335,jr_gap,"&lt;0")+COUNTIFS(jr_num,A335,jr_gap,"&gt;0")&gt;0,"Écart","Conforme")))),IF(COUNTIFS(jr_num,A335,jr_gap,"&lt;0")&gt;0,"Partiel","Sorti")))))</f>
        <v/>
      </c>
      <c r="O335" t="str">
        <f>IFERROR(MATCH(330,jr_grank,0),"")</f>
        <v/>
      </c>
      <c r="R335" s="67" t="str">
        <f>IFERROR(INDEX(jr_num,MATCH("BL330",jr_nkey,0))&amp;"","")</f>
        <v/>
      </c>
      <c r="S335" s="67" t="str">
        <f>IFERROR(INDEX(jr_num,MATCH("BR330",jr_nkey,0))&amp;"","")</f>
        <v/>
      </c>
      <c r="T335" s="67" t="str">
        <f>IFERROR(INDEX(jr_num,MATCH("BS330",jr_nkey,0))&amp;"","")</f>
        <v/>
      </c>
    </row>
    <row r="336">
      <c r="A336" s="60" t="str">
        <f>IF($O336="","",INDEX(jr_num,$O336)&amp;"")</f>
        <v/>
      </c>
      <c r="B336" s="60" t="str">
        <f>IF($O336="","",IF(INDEX(jr_type,$O336)="BL","Livraison",IF(INDEX(jr_type,$O336)="BR","Réception","Sortie")))</f>
        <v/>
      </c>
      <c r="C336" s="65" t="str">
        <f>IF($O336="","",INDEX(jr_date,$O336))</f>
        <v/>
      </c>
      <c r="D336" s="60" t="str">
        <f>IF($O336="","",INDEX(jr_tiers,$O336)&amp;"")</f>
        <v/>
      </c>
      <c r="E336" s="57" t="str">
        <f>IF($O336="","",INDEX(jr_name,$O336)&amp;"")</f>
        <v/>
      </c>
      <c r="F336" s="57" t="str">
        <f>IF($O336="","",INDEX(jr_order,$O336)&amp;"")</f>
        <v/>
      </c>
      <c r="G336" s="57" t="str">
        <f>IF($O336="","",INDEX(jr_ext,$O336)&amp;"")</f>
        <v/>
      </c>
      <c r="H336" s="57" t="str">
        <f>IF($O336="","",INDEX(jr_carrier,$O336)&amp;"")</f>
        <v/>
      </c>
      <c r="I336" s="66" t="str">
        <f>IF(A336="","",COUNTIF(jr_num,A336))</f>
        <v/>
      </c>
      <c r="J336" s="66" t="str">
        <f>IF(A336="","",SUMIF(jr_num,A336,jr_colis))</f>
        <v/>
      </c>
      <c r="K336" s="63" t="str">
        <f>IF(A336="","",SUMIF(jr_num,A336,jr_kg))</f>
        <v/>
      </c>
      <c r="L336" s="64" t="str">
        <f>IF(A336="","",SUMIF(jr_num,A336,jr_val))</f>
        <v/>
      </c>
      <c r="M336" s="60" t="str">
        <f>IF(A336="","",IF(COUNTIFS(jr_num,A336,jr_check,"&lt;&gt;OK")&gt;0,"À vérifier",IF(LEFT(A336,2)="BL",IF(COUNTIFS(jr_num,A336,jr_rel,"&gt;0")&gt;0,"Reliquat en cours",IF(COUNTIFS(jr_num,A336,jr_gap,"&lt;0")&gt;0,"Reliquat livré","Complet")),IF(LEFT(A336,2)="BR",IF(COUNTIFS(jr_num,A336,jr_etat,"Refusé")&gt;0,"Refusé",IF(COUNTIFS(jr_num,A336,jr_etat,"Avec réserves")&gt;0,"Avec réserves",IF(COUNTIFS(jr_num,A336,jr_rel,"&gt;0")&gt;0,"Reliquat en cours",IF(COUNTIFS(jr_num,A336,jr_gap,"&lt;0")+COUNTIFS(jr_num,A336,jr_gap,"&gt;0")&gt;0,"Écart","Conforme")))),IF(COUNTIFS(jr_num,A336,jr_gap,"&lt;0")&gt;0,"Partiel","Sorti")))))</f>
        <v/>
      </c>
      <c r="O336" t="str">
        <f>IFERROR(MATCH(331,jr_grank,0),"")</f>
        <v/>
      </c>
      <c r="R336" s="67" t="str">
        <f>IFERROR(INDEX(jr_num,MATCH("BL331",jr_nkey,0))&amp;"","")</f>
        <v/>
      </c>
      <c r="S336" s="67" t="str">
        <f>IFERROR(INDEX(jr_num,MATCH("BR331",jr_nkey,0))&amp;"","")</f>
        <v/>
      </c>
      <c r="T336" s="67" t="str">
        <f>IFERROR(INDEX(jr_num,MATCH("BS331",jr_nkey,0))&amp;"","")</f>
        <v/>
      </c>
    </row>
    <row r="337">
      <c r="A337" s="60" t="str">
        <f>IF($O337="","",INDEX(jr_num,$O337)&amp;"")</f>
        <v/>
      </c>
      <c r="B337" s="60" t="str">
        <f>IF($O337="","",IF(INDEX(jr_type,$O337)="BL","Livraison",IF(INDEX(jr_type,$O337)="BR","Réception","Sortie")))</f>
        <v/>
      </c>
      <c r="C337" s="65" t="str">
        <f>IF($O337="","",INDEX(jr_date,$O337))</f>
        <v/>
      </c>
      <c r="D337" s="60" t="str">
        <f>IF($O337="","",INDEX(jr_tiers,$O337)&amp;"")</f>
        <v/>
      </c>
      <c r="E337" s="57" t="str">
        <f>IF($O337="","",INDEX(jr_name,$O337)&amp;"")</f>
        <v/>
      </c>
      <c r="F337" s="57" t="str">
        <f>IF($O337="","",INDEX(jr_order,$O337)&amp;"")</f>
        <v/>
      </c>
      <c r="G337" s="57" t="str">
        <f>IF($O337="","",INDEX(jr_ext,$O337)&amp;"")</f>
        <v/>
      </c>
      <c r="H337" s="57" t="str">
        <f>IF($O337="","",INDEX(jr_carrier,$O337)&amp;"")</f>
        <v/>
      </c>
      <c r="I337" s="66" t="str">
        <f>IF(A337="","",COUNTIF(jr_num,A337))</f>
        <v/>
      </c>
      <c r="J337" s="66" t="str">
        <f>IF(A337="","",SUMIF(jr_num,A337,jr_colis))</f>
        <v/>
      </c>
      <c r="K337" s="63" t="str">
        <f>IF(A337="","",SUMIF(jr_num,A337,jr_kg))</f>
        <v/>
      </c>
      <c r="L337" s="64" t="str">
        <f>IF(A337="","",SUMIF(jr_num,A337,jr_val))</f>
        <v/>
      </c>
      <c r="M337" s="60" t="str">
        <f>IF(A337="","",IF(COUNTIFS(jr_num,A337,jr_check,"&lt;&gt;OK")&gt;0,"À vérifier",IF(LEFT(A337,2)="BL",IF(COUNTIFS(jr_num,A337,jr_rel,"&gt;0")&gt;0,"Reliquat en cours",IF(COUNTIFS(jr_num,A337,jr_gap,"&lt;0")&gt;0,"Reliquat livré","Complet")),IF(LEFT(A337,2)="BR",IF(COUNTIFS(jr_num,A337,jr_etat,"Refusé")&gt;0,"Refusé",IF(COUNTIFS(jr_num,A337,jr_etat,"Avec réserves")&gt;0,"Avec réserves",IF(COUNTIFS(jr_num,A337,jr_rel,"&gt;0")&gt;0,"Reliquat en cours",IF(COUNTIFS(jr_num,A337,jr_gap,"&lt;0")+COUNTIFS(jr_num,A337,jr_gap,"&gt;0")&gt;0,"Écart","Conforme")))),IF(COUNTIFS(jr_num,A337,jr_gap,"&lt;0")&gt;0,"Partiel","Sorti")))))</f>
        <v/>
      </c>
      <c r="O337" t="str">
        <f>IFERROR(MATCH(332,jr_grank,0),"")</f>
        <v/>
      </c>
      <c r="R337" s="67" t="str">
        <f>IFERROR(INDEX(jr_num,MATCH("BL332",jr_nkey,0))&amp;"","")</f>
        <v/>
      </c>
      <c r="S337" s="67" t="str">
        <f>IFERROR(INDEX(jr_num,MATCH("BR332",jr_nkey,0))&amp;"","")</f>
        <v/>
      </c>
      <c r="T337" s="67" t="str">
        <f>IFERROR(INDEX(jr_num,MATCH("BS332",jr_nkey,0))&amp;"","")</f>
        <v/>
      </c>
    </row>
    <row r="338">
      <c r="A338" s="60" t="str">
        <f>IF($O338="","",INDEX(jr_num,$O338)&amp;"")</f>
        <v/>
      </c>
      <c r="B338" s="60" t="str">
        <f>IF($O338="","",IF(INDEX(jr_type,$O338)="BL","Livraison",IF(INDEX(jr_type,$O338)="BR","Réception","Sortie")))</f>
        <v/>
      </c>
      <c r="C338" s="65" t="str">
        <f>IF($O338="","",INDEX(jr_date,$O338))</f>
        <v/>
      </c>
      <c r="D338" s="60" t="str">
        <f>IF($O338="","",INDEX(jr_tiers,$O338)&amp;"")</f>
        <v/>
      </c>
      <c r="E338" s="57" t="str">
        <f>IF($O338="","",INDEX(jr_name,$O338)&amp;"")</f>
        <v/>
      </c>
      <c r="F338" s="57" t="str">
        <f>IF($O338="","",INDEX(jr_order,$O338)&amp;"")</f>
        <v/>
      </c>
      <c r="G338" s="57" t="str">
        <f>IF($O338="","",INDEX(jr_ext,$O338)&amp;"")</f>
        <v/>
      </c>
      <c r="H338" s="57" t="str">
        <f>IF($O338="","",INDEX(jr_carrier,$O338)&amp;"")</f>
        <v/>
      </c>
      <c r="I338" s="66" t="str">
        <f>IF(A338="","",COUNTIF(jr_num,A338))</f>
        <v/>
      </c>
      <c r="J338" s="66" t="str">
        <f>IF(A338="","",SUMIF(jr_num,A338,jr_colis))</f>
        <v/>
      </c>
      <c r="K338" s="63" t="str">
        <f>IF(A338="","",SUMIF(jr_num,A338,jr_kg))</f>
        <v/>
      </c>
      <c r="L338" s="64" t="str">
        <f>IF(A338="","",SUMIF(jr_num,A338,jr_val))</f>
        <v/>
      </c>
      <c r="M338" s="60" t="str">
        <f>IF(A338="","",IF(COUNTIFS(jr_num,A338,jr_check,"&lt;&gt;OK")&gt;0,"À vérifier",IF(LEFT(A338,2)="BL",IF(COUNTIFS(jr_num,A338,jr_rel,"&gt;0")&gt;0,"Reliquat en cours",IF(COUNTIFS(jr_num,A338,jr_gap,"&lt;0")&gt;0,"Reliquat livré","Complet")),IF(LEFT(A338,2)="BR",IF(COUNTIFS(jr_num,A338,jr_etat,"Refusé")&gt;0,"Refusé",IF(COUNTIFS(jr_num,A338,jr_etat,"Avec réserves")&gt;0,"Avec réserves",IF(COUNTIFS(jr_num,A338,jr_rel,"&gt;0")&gt;0,"Reliquat en cours",IF(COUNTIFS(jr_num,A338,jr_gap,"&lt;0")+COUNTIFS(jr_num,A338,jr_gap,"&gt;0")&gt;0,"Écart","Conforme")))),IF(COUNTIFS(jr_num,A338,jr_gap,"&lt;0")&gt;0,"Partiel","Sorti")))))</f>
        <v/>
      </c>
      <c r="O338" t="str">
        <f>IFERROR(MATCH(333,jr_grank,0),"")</f>
        <v/>
      </c>
      <c r="R338" s="67" t="str">
        <f>IFERROR(INDEX(jr_num,MATCH("BL333",jr_nkey,0))&amp;"","")</f>
        <v/>
      </c>
      <c r="S338" s="67" t="str">
        <f>IFERROR(INDEX(jr_num,MATCH("BR333",jr_nkey,0))&amp;"","")</f>
        <v/>
      </c>
      <c r="T338" s="67" t="str">
        <f>IFERROR(INDEX(jr_num,MATCH("BS333",jr_nkey,0))&amp;"","")</f>
        <v/>
      </c>
    </row>
    <row r="339">
      <c r="A339" s="60" t="str">
        <f>IF($O339="","",INDEX(jr_num,$O339)&amp;"")</f>
        <v/>
      </c>
      <c r="B339" s="60" t="str">
        <f>IF($O339="","",IF(INDEX(jr_type,$O339)="BL","Livraison",IF(INDEX(jr_type,$O339)="BR","Réception","Sortie")))</f>
        <v/>
      </c>
      <c r="C339" s="65" t="str">
        <f>IF($O339="","",INDEX(jr_date,$O339))</f>
        <v/>
      </c>
      <c r="D339" s="60" t="str">
        <f>IF($O339="","",INDEX(jr_tiers,$O339)&amp;"")</f>
        <v/>
      </c>
      <c r="E339" s="57" t="str">
        <f>IF($O339="","",INDEX(jr_name,$O339)&amp;"")</f>
        <v/>
      </c>
      <c r="F339" s="57" t="str">
        <f>IF($O339="","",INDEX(jr_order,$O339)&amp;"")</f>
        <v/>
      </c>
      <c r="G339" s="57" t="str">
        <f>IF($O339="","",INDEX(jr_ext,$O339)&amp;"")</f>
        <v/>
      </c>
      <c r="H339" s="57" t="str">
        <f>IF($O339="","",INDEX(jr_carrier,$O339)&amp;"")</f>
        <v/>
      </c>
      <c r="I339" s="66" t="str">
        <f>IF(A339="","",COUNTIF(jr_num,A339))</f>
        <v/>
      </c>
      <c r="J339" s="66" t="str">
        <f>IF(A339="","",SUMIF(jr_num,A339,jr_colis))</f>
        <v/>
      </c>
      <c r="K339" s="63" t="str">
        <f>IF(A339="","",SUMIF(jr_num,A339,jr_kg))</f>
        <v/>
      </c>
      <c r="L339" s="64" t="str">
        <f>IF(A339="","",SUMIF(jr_num,A339,jr_val))</f>
        <v/>
      </c>
      <c r="M339" s="60" t="str">
        <f>IF(A339="","",IF(COUNTIFS(jr_num,A339,jr_check,"&lt;&gt;OK")&gt;0,"À vérifier",IF(LEFT(A339,2)="BL",IF(COUNTIFS(jr_num,A339,jr_rel,"&gt;0")&gt;0,"Reliquat en cours",IF(COUNTIFS(jr_num,A339,jr_gap,"&lt;0")&gt;0,"Reliquat livré","Complet")),IF(LEFT(A339,2)="BR",IF(COUNTIFS(jr_num,A339,jr_etat,"Refusé")&gt;0,"Refusé",IF(COUNTIFS(jr_num,A339,jr_etat,"Avec réserves")&gt;0,"Avec réserves",IF(COUNTIFS(jr_num,A339,jr_rel,"&gt;0")&gt;0,"Reliquat en cours",IF(COUNTIFS(jr_num,A339,jr_gap,"&lt;0")+COUNTIFS(jr_num,A339,jr_gap,"&gt;0")&gt;0,"Écart","Conforme")))),IF(COUNTIFS(jr_num,A339,jr_gap,"&lt;0")&gt;0,"Partiel","Sorti")))))</f>
        <v/>
      </c>
      <c r="O339" t="str">
        <f>IFERROR(MATCH(334,jr_grank,0),"")</f>
        <v/>
      </c>
      <c r="R339" s="67" t="str">
        <f>IFERROR(INDEX(jr_num,MATCH("BL334",jr_nkey,0))&amp;"","")</f>
        <v/>
      </c>
      <c r="S339" s="67" t="str">
        <f>IFERROR(INDEX(jr_num,MATCH("BR334",jr_nkey,0))&amp;"","")</f>
        <v/>
      </c>
      <c r="T339" s="67" t="str">
        <f>IFERROR(INDEX(jr_num,MATCH("BS334",jr_nkey,0))&amp;"","")</f>
        <v/>
      </c>
    </row>
    <row r="340">
      <c r="A340" s="60" t="str">
        <f>IF($O340="","",INDEX(jr_num,$O340)&amp;"")</f>
        <v/>
      </c>
      <c r="B340" s="60" t="str">
        <f>IF($O340="","",IF(INDEX(jr_type,$O340)="BL","Livraison",IF(INDEX(jr_type,$O340)="BR","Réception","Sortie")))</f>
        <v/>
      </c>
      <c r="C340" s="65" t="str">
        <f>IF($O340="","",INDEX(jr_date,$O340))</f>
        <v/>
      </c>
      <c r="D340" s="60" t="str">
        <f>IF($O340="","",INDEX(jr_tiers,$O340)&amp;"")</f>
        <v/>
      </c>
      <c r="E340" s="57" t="str">
        <f>IF($O340="","",INDEX(jr_name,$O340)&amp;"")</f>
        <v/>
      </c>
      <c r="F340" s="57" t="str">
        <f>IF($O340="","",INDEX(jr_order,$O340)&amp;"")</f>
        <v/>
      </c>
      <c r="G340" s="57" t="str">
        <f>IF($O340="","",INDEX(jr_ext,$O340)&amp;"")</f>
        <v/>
      </c>
      <c r="H340" s="57" t="str">
        <f>IF($O340="","",INDEX(jr_carrier,$O340)&amp;"")</f>
        <v/>
      </c>
      <c r="I340" s="66" t="str">
        <f>IF(A340="","",COUNTIF(jr_num,A340))</f>
        <v/>
      </c>
      <c r="J340" s="66" t="str">
        <f>IF(A340="","",SUMIF(jr_num,A340,jr_colis))</f>
        <v/>
      </c>
      <c r="K340" s="63" t="str">
        <f>IF(A340="","",SUMIF(jr_num,A340,jr_kg))</f>
        <v/>
      </c>
      <c r="L340" s="64" t="str">
        <f>IF(A340="","",SUMIF(jr_num,A340,jr_val))</f>
        <v/>
      </c>
      <c r="M340" s="60" t="str">
        <f>IF(A340="","",IF(COUNTIFS(jr_num,A340,jr_check,"&lt;&gt;OK")&gt;0,"À vérifier",IF(LEFT(A340,2)="BL",IF(COUNTIFS(jr_num,A340,jr_rel,"&gt;0")&gt;0,"Reliquat en cours",IF(COUNTIFS(jr_num,A340,jr_gap,"&lt;0")&gt;0,"Reliquat livré","Complet")),IF(LEFT(A340,2)="BR",IF(COUNTIFS(jr_num,A340,jr_etat,"Refusé")&gt;0,"Refusé",IF(COUNTIFS(jr_num,A340,jr_etat,"Avec réserves")&gt;0,"Avec réserves",IF(COUNTIFS(jr_num,A340,jr_rel,"&gt;0")&gt;0,"Reliquat en cours",IF(COUNTIFS(jr_num,A340,jr_gap,"&lt;0")+COUNTIFS(jr_num,A340,jr_gap,"&gt;0")&gt;0,"Écart","Conforme")))),IF(COUNTIFS(jr_num,A340,jr_gap,"&lt;0")&gt;0,"Partiel","Sorti")))))</f>
        <v/>
      </c>
      <c r="O340" t="str">
        <f>IFERROR(MATCH(335,jr_grank,0),"")</f>
        <v/>
      </c>
      <c r="R340" s="67" t="str">
        <f>IFERROR(INDEX(jr_num,MATCH("BL335",jr_nkey,0))&amp;"","")</f>
        <v/>
      </c>
      <c r="S340" s="67" t="str">
        <f>IFERROR(INDEX(jr_num,MATCH("BR335",jr_nkey,0))&amp;"","")</f>
        <v/>
      </c>
      <c r="T340" s="67" t="str">
        <f>IFERROR(INDEX(jr_num,MATCH("BS335",jr_nkey,0))&amp;"","")</f>
        <v/>
      </c>
    </row>
    <row r="341">
      <c r="A341" s="60" t="str">
        <f>IF($O341="","",INDEX(jr_num,$O341)&amp;"")</f>
        <v/>
      </c>
      <c r="B341" s="60" t="str">
        <f>IF($O341="","",IF(INDEX(jr_type,$O341)="BL","Livraison",IF(INDEX(jr_type,$O341)="BR","Réception","Sortie")))</f>
        <v/>
      </c>
      <c r="C341" s="65" t="str">
        <f>IF($O341="","",INDEX(jr_date,$O341))</f>
        <v/>
      </c>
      <c r="D341" s="60" t="str">
        <f>IF($O341="","",INDEX(jr_tiers,$O341)&amp;"")</f>
        <v/>
      </c>
      <c r="E341" s="57" t="str">
        <f>IF($O341="","",INDEX(jr_name,$O341)&amp;"")</f>
        <v/>
      </c>
      <c r="F341" s="57" t="str">
        <f>IF($O341="","",INDEX(jr_order,$O341)&amp;"")</f>
        <v/>
      </c>
      <c r="G341" s="57" t="str">
        <f>IF($O341="","",INDEX(jr_ext,$O341)&amp;"")</f>
        <v/>
      </c>
      <c r="H341" s="57" t="str">
        <f>IF($O341="","",INDEX(jr_carrier,$O341)&amp;"")</f>
        <v/>
      </c>
      <c r="I341" s="66" t="str">
        <f>IF(A341="","",COUNTIF(jr_num,A341))</f>
        <v/>
      </c>
      <c r="J341" s="66" t="str">
        <f>IF(A341="","",SUMIF(jr_num,A341,jr_colis))</f>
        <v/>
      </c>
      <c r="K341" s="63" t="str">
        <f>IF(A341="","",SUMIF(jr_num,A341,jr_kg))</f>
        <v/>
      </c>
      <c r="L341" s="64" t="str">
        <f>IF(A341="","",SUMIF(jr_num,A341,jr_val))</f>
        <v/>
      </c>
      <c r="M341" s="60" t="str">
        <f>IF(A341="","",IF(COUNTIFS(jr_num,A341,jr_check,"&lt;&gt;OK")&gt;0,"À vérifier",IF(LEFT(A341,2)="BL",IF(COUNTIFS(jr_num,A341,jr_rel,"&gt;0")&gt;0,"Reliquat en cours",IF(COUNTIFS(jr_num,A341,jr_gap,"&lt;0")&gt;0,"Reliquat livré","Complet")),IF(LEFT(A341,2)="BR",IF(COUNTIFS(jr_num,A341,jr_etat,"Refusé")&gt;0,"Refusé",IF(COUNTIFS(jr_num,A341,jr_etat,"Avec réserves")&gt;0,"Avec réserves",IF(COUNTIFS(jr_num,A341,jr_rel,"&gt;0")&gt;0,"Reliquat en cours",IF(COUNTIFS(jr_num,A341,jr_gap,"&lt;0")+COUNTIFS(jr_num,A341,jr_gap,"&gt;0")&gt;0,"Écart","Conforme")))),IF(COUNTIFS(jr_num,A341,jr_gap,"&lt;0")&gt;0,"Partiel","Sorti")))))</f>
        <v/>
      </c>
      <c r="O341" t="str">
        <f>IFERROR(MATCH(336,jr_grank,0),"")</f>
        <v/>
      </c>
      <c r="R341" s="67" t="str">
        <f>IFERROR(INDEX(jr_num,MATCH("BL336",jr_nkey,0))&amp;"","")</f>
        <v/>
      </c>
      <c r="S341" s="67" t="str">
        <f>IFERROR(INDEX(jr_num,MATCH("BR336",jr_nkey,0))&amp;"","")</f>
        <v/>
      </c>
      <c r="T341" s="67" t="str">
        <f>IFERROR(INDEX(jr_num,MATCH("BS336",jr_nkey,0))&amp;"","")</f>
        <v/>
      </c>
    </row>
    <row r="342">
      <c r="A342" s="60" t="str">
        <f>IF($O342="","",INDEX(jr_num,$O342)&amp;"")</f>
        <v/>
      </c>
      <c r="B342" s="60" t="str">
        <f>IF($O342="","",IF(INDEX(jr_type,$O342)="BL","Livraison",IF(INDEX(jr_type,$O342)="BR","Réception","Sortie")))</f>
        <v/>
      </c>
      <c r="C342" s="65" t="str">
        <f>IF($O342="","",INDEX(jr_date,$O342))</f>
        <v/>
      </c>
      <c r="D342" s="60" t="str">
        <f>IF($O342="","",INDEX(jr_tiers,$O342)&amp;"")</f>
        <v/>
      </c>
      <c r="E342" s="57" t="str">
        <f>IF($O342="","",INDEX(jr_name,$O342)&amp;"")</f>
        <v/>
      </c>
      <c r="F342" s="57" t="str">
        <f>IF($O342="","",INDEX(jr_order,$O342)&amp;"")</f>
        <v/>
      </c>
      <c r="G342" s="57" t="str">
        <f>IF($O342="","",INDEX(jr_ext,$O342)&amp;"")</f>
        <v/>
      </c>
      <c r="H342" s="57" t="str">
        <f>IF($O342="","",INDEX(jr_carrier,$O342)&amp;"")</f>
        <v/>
      </c>
      <c r="I342" s="66" t="str">
        <f>IF(A342="","",COUNTIF(jr_num,A342))</f>
        <v/>
      </c>
      <c r="J342" s="66" t="str">
        <f>IF(A342="","",SUMIF(jr_num,A342,jr_colis))</f>
        <v/>
      </c>
      <c r="K342" s="63" t="str">
        <f>IF(A342="","",SUMIF(jr_num,A342,jr_kg))</f>
        <v/>
      </c>
      <c r="L342" s="64" t="str">
        <f>IF(A342="","",SUMIF(jr_num,A342,jr_val))</f>
        <v/>
      </c>
      <c r="M342" s="60" t="str">
        <f>IF(A342="","",IF(COUNTIFS(jr_num,A342,jr_check,"&lt;&gt;OK")&gt;0,"À vérifier",IF(LEFT(A342,2)="BL",IF(COUNTIFS(jr_num,A342,jr_rel,"&gt;0")&gt;0,"Reliquat en cours",IF(COUNTIFS(jr_num,A342,jr_gap,"&lt;0")&gt;0,"Reliquat livré","Complet")),IF(LEFT(A342,2)="BR",IF(COUNTIFS(jr_num,A342,jr_etat,"Refusé")&gt;0,"Refusé",IF(COUNTIFS(jr_num,A342,jr_etat,"Avec réserves")&gt;0,"Avec réserves",IF(COUNTIFS(jr_num,A342,jr_rel,"&gt;0")&gt;0,"Reliquat en cours",IF(COUNTIFS(jr_num,A342,jr_gap,"&lt;0")+COUNTIFS(jr_num,A342,jr_gap,"&gt;0")&gt;0,"Écart","Conforme")))),IF(COUNTIFS(jr_num,A342,jr_gap,"&lt;0")&gt;0,"Partiel","Sorti")))))</f>
        <v/>
      </c>
      <c r="O342" t="str">
        <f>IFERROR(MATCH(337,jr_grank,0),"")</f>
        <v/>
      </c>
      <c r="R342" s="67" t="str">
        <f>IFERROR(INDEX(jr_num,MATCH("BL337",jr_nkey,0))&amp;"","")</f>
        <v/>
      </c>
      <c r="S342" s="67" t="str">
        <f>IFERROR(INDEX(jr_num,MATCH("BR337",jr_nkey,0))&amp;"","")</f>
        <v/>
      </c>
      <c r="T342" s="67" t="str">
        <f>IFERROR(INDEX(jr_num,MATCH("BS337",jr_nkey,0))&amp;"","")</f>
        <v/>
      </c>
    </row>
    <row r="343">
      <c r="A343" s="60" t="str">
        <f>IF($O343="","",INDEX(jr_num,$O343)&amp;"")</f>
        <v/>
      </c>
      <c r="B343" s="60" t="str">
        <f>IF($O343="","",IF(INDEX(jr_type,$O343)="BL","Livraison",IF(INDEX(jr_type,$O343)="BR","Réception","Sortie")))</f>
        <v/>
      </c>
      <c r="C343" s="65" t="str">
        <f>IF($O343="","",INDEX(jr_date,$O343))</f>
        <v/>
      </c>
      <c r="D343" s="60" t="str">
        <f>IF($O343="","",INDEX(jr_tiers,$O343)&amp;"")</f>
        <v/>
      </c>
      <c r="E343" s="57" t="str">
        <f>IF($O343="","",INDEX(jr_name,$O343)&amp;"")</f>
        <v/>
      </c>
      <c r="F343" s="57" t="str">
        <f>IF($O343="","",INDEX(jr_order,$O343)&amp;"")</f>
        <v/>
      </c>
      <c r="G343" s="57" t="str">
        <f>IF($O343="","",INDEX(jr_ext,$O343)&amp;"")</f>
        <v/>
      </c>
      <c r="H343" s="57" t="str">
        <f>IF($O343="","",INDEX(jr_carrier,$O343)&amp;"")</f>
        <v/>
      </c>
      <c r="I343" s="66" t="str">
        <f>IF(A343="","",COUNTIF(jr_num,A343))</f>
        <v/>
      </c>
      <c r="J343" s="66" t="str">
        <f>IF(A343="","",SUMIF(jr_num,A343,jr_colis))</f>
        <v/>
      </c>
      <c r="K343" s="63" t="str">
        <f>IF(A343="","",SUMIF(jr_num,A343,jr_kg))</f>
        <v/>
      </c>
      <c r="L343" s="64" t="str">
        <f>IF(A343="","",SUMIF(jr_num,A343,jr_val))</f>
        <v/>
      </c>
      <c r="M343" s="60" t="str">
        <f>IF(A343="","",IF(COUNTIFS(jr_num,A343,jr_check,"&lt;&gt;OK")&gt;0,"À vérifier",IF(LEFT(A343,2)="BL",IF(COUNTIFS(jr_num,A343,jr_rel,"&gt;0")&gt;0,"Reliquat en cours",IF(COUNTIFS(jr_num,A343,jr_gap,"&lt;0")&gt;0,"Reliquat livré","Complet")),IF(LEFT(A343,2)="BR",IF(COUNTIFS(jr_num,A343,jr_etat,"Refusé")&gt;0,"Refusé",IF(COUNTIFS(jr_num,A343,jr_etat,"Avec réserves")&gt;0,"Avec réserves",IF(COUNTIFS(jr_num,A343,jr_rel,"&gt;0")&gt;0,"Reliquat en cours",IF(COUNTIFS(jr_num,A343,jr_gap,"&lt;0")+COUNTIFS(jr_num,A343,jr_gap,"&gt;0")&gt;0,"Écart","Conforme")))),IF(COUNTIFS(jr_num,A343,jr_gap,"&lt;0")&gt;0,"Partiel","Sorti")))))</f>
        <v/>
      </c>
      <c r="O343" t="str">
        <f>IFERROR(MATCH(338,jr_grank,0),"")</f>
        <v/>
      </c>
      <c r="R343" s="67" t="str">
        <f>IFERROR(INDEX(jr_num,MATCH("BL338",jr_nkey,0))&amp;"","")</f>
        <v/>
      </c>
      <c r="S343" s="67" t="str">
        <f>IFERROR(INDEX(jr_num,MATCH("BR338",jr_nkey,0))&amp;"","")</f>
        <v/>
      </c>
      <c r="T343" s="67" t="str">
        <f>IFERROR(INDEX(jr_num,MATCH("BS338",jr_nkey,0))&amp;"","")</f>
        <v/>
      </c>
    </row>
    <row r="344">
      <c r="A344" s="60" t="str">
        <f>IF($O344="","",INDEX(jr_num,$O344)&amp;"")</f>
        <v/>
      </c>
      <c r="B344" s="60" t="str">
        <f>IF($O344="","",IF(INDEX(jr_type,$O344)="BL","Livraison",IF(INDEX(jr_type,$O344)="BR","Réception","Sortie")))</f>
        <v/>
      </c>
      <c r="C344" s="65" t="str">
        <f>IF($O344="","",INDEX(jr_date,$O344))</f>
        <v/>
      </c>
      <c r="D344" s="60" t="str">
        <f>IF($O344="","",INDEX(jr_tiers,$O344)&amp;"")</f>
        <v/>
      </c>
      <c r="E344" s="57" t="str">
        <f>IF($O344="","",INDEX(jr_name,$O344)&amp;"")</f>
        <v/>
      </c>
      <c r="F344" s="57" t="str">
        <f>IF($O344="","",INDEX(jr_order,$O344)&amp;"")</f>
        <v/>
      </c>
      <c r="G344" s="57" t="str">
        <f>IF($O344="","",INDEX(jr_ext,$O344)&amp;"")</f>
        <v/>
      </c>
      <c r="H344" s="57" t="str">
        <f>IF($O344="","",INDEX(jr_carrier,$O344)&amp;"")</f>
        <v/>
      </c>
      <c r="I344" s="66" t="str">
        <f>IF(A344="","",COUNTIF(jr_num,A344))</f>
        <v/>
      </c>
      <c r="J344" s="66" t="str">
        <f>IF(A344="","",SUMIF(jr_num,A344,jr_colis))</f>
        <v/>
      </c>
      <c r="K344" s="63" t="str">
        <f>IF(A344="","",SUMIF(jr_num,A344,jr_kg))</f>
        <v/>
      </c>
      <c r="L344" s="64" t="str">
        <f>IF(A344="","",SUMIF(jr_num,A344,jr_val))</f>
        <v/>
      </c>
      <c r="M344" s="60" t="str">
        <f>IF(A344="","",IF(COUNTIFS(jr_num,A344,jr_check,"&lt;&gt;OK")&gt;0,"À vérifier",IF(LEFT(A344,2)="BL",IF(COUNTIFS(jr_num,A344,jr_rel,"&gt;0")&gt;0,"Reliquat en cours",IF(COUNTIFS(jr_num,A344,jr_gap,"&lt;0")&gt;0,"Reliquat livré","Complet")),IF(LEFT(A344,2)="BR",IF(COUNTIFS(jr_num,A344,jr_etat,"Refusé")&gt;0,"Refusé",IF(COUNTIFS(jr_num,A344,jr_etat,"Avec réserves")&gt;0,"Avec réserves",IF(COUNTIFS(jr_num,A344,jr_rel,"&gt;0")&gt;0,"Reliquat en cours",IF(COUNTIFS(jr_num,A344,jr_gap,"&lt;0")+COUNTIFS(jr_num,A344,jr_gap,"&gt;0")&gt;0,"Écart","Conforme")))),IF(COUNTIFS(jr_num,A344,jr_gap,"&lt;0")&gt;0,"Partiel","Sorti")))))</f>
        <v/>
      </c>
      <c r="O344" t="str">
        <f>IFERROR(MATCH(339,jr_grank,0),"")</f>
        <v/>
      </c>
      <c r="R344" s="67" t="str">
        <f>IFERROR(INDEX(jr_num,MATCH("BL339",jr_nkey,0))&amp;"","")</f>
        <v/>
      </c>
      <c r="S344" s="67" t="str">
        <f>IFERROR(INDEX(jr_num,MATCH("BR339",jr_nkey,0))&amp;"","")</f>
        <v/>
      </c>
      <c r="T344" s="67" t="str">
        <f>IFERROR(INDEX(jr_num,MATCH("BS339",jr_nkey,0))&amp;"","")</f>
        <v/>
      </c>
    </row>
    <row r="345">
      <c r="A345" s="60" t="str">
        <f>IF($O345="","",INDEX(jr_num,$O345)&amp;"")</f>
        <v/>
      </c>
      <c r="B345" s="60" t="str">
        <f>IF($O345="","",IF(INDEX(jr_type,$O345)="BL","Livraison",IF(INDEX(jr_type,$O345)="BR","Réception","Sortie")))</f>
        <v/>
      </c>
      <c r="C345" s="65" t="str">
        <f>IF($O345="","",INDEX(jr_date,$O345))</f>
        <v/>
      </c>
      <c r="D345" s="60" t="str">
        <f>IF($O345="","",INDEX(jr_tiers,$O345)&amp;"")</f>
        <v/>
      </c>
      <c r="E345" s="57" t="str">
        <f>IF($O345="","",INDEX(jr_name,$O345)&amp;"")</f>
        <v/>
      </c>
      <c r="F345" s="57" t="str">
        <f>IF($O345="","",INDEX(jr_order,$O345)&amp;"")</f>
        <v/>
      </c>
      <c r="G345" s="57" t="str">
        <f>IF($O345="","",INDEX(jr_ext,$O345)&amp;"")</f>
        <v/>
      </c>
      <c r="H345" s="57" t="str">
        <f>IF($O345="","",INDEX(jr_carrier,$O345)&amp;"")</f>
        <v/>
      </c>
      <c r="I345" s="66" t="str">
        <f>IF(A345="","",COUNTIF(jr_num,A345))</f>
        <v/>
      </c>
      <c r="J345" s="66" t="str">
        <f>IF(A345="","",SUMIF(jr_num,A345,jr_colis))</f>
        <v/>
      </c>
      <c r="K345" s="63" t="str">
        <f>IF(A345="","",SUMIF(jr_num,A345,jr_kg))</f>
        <v/>
      </c>
      <c r="L345" s="64" t="str">
        <f>IF(A345="","",SUMIF(jr_num,A345,jr_val))</f>
        <v/>
      </c>
      <c r="M345" s="60" t="str">
        <f>IF(A345="","",IF(COUNTIFS(jr_num,A345,jr_check,"&lt;&gt;OK")&gt;0,"À vérifier",IF(LEFT(A345,2)="BL",IF(COUNTIFS(jr_num,A345,jr_rel,"&gt;0")&gt;0,"Reliquat en cours",IF(COUNTIFS(jr_num,A345,jr_gap,"&lt;0")&gt;0,"Reliquat livré","Complet")),IF(LEFT(A345,2)="BR",IF(COUNTIFS(jr_num,A345,jr_etat,"Refusé")&gt;0,"Refusé",IF(COUNTIFS(jr_num,A345,jr_etat,"Avec réserves")&gt;0,"Avec réserves",IF(COUNTIFS(jr_num,A345,jr_rel,"&gt;0")&gt;0,"Reliquat en cours",IF(COUNTIFS(jr_num,A345,jr_gap,"&lt;0")+COUNTIFS(jr_num,A345,jr_gap,"&gt;0")&gt;0,"Écart","Conforme")))),IF(COUNTIFS(jr_num,A345,jr_gap,"&lt;0")&gt;0,"Partiel","Sorti")))))</f>
        <v/>
      </c>
      <c r="O345" t="str">
        <f>IFERROR(MATCH(340,jr_grank,0),"")</f>
        <v/>
      </c>
      <c r="R345" s="67" t="str">
        <f>IFERROR(INDEX(jr_num,MATCH("BL340",jr_nkey,0))&amp;"","")</f>
        <v/>
      </c>
      <c r="S345" s="67" t="str">
        <f>IFERROR(INDEX(jr_num,MATCH("BR340",jr_nkey,0))&amp;"","")</f>
        <v/>
      </c>
      <c r="T345" s="67" t="str">
        <f>IFERROR(INDEX(jr_num,MATCH("BS340",jr_nkey,0))&amp;"","")</f>
        <v/>
      </c>
    </row>
    <row r="346">
      <c r="A346" s="60" t="str">
        <f>IF($O346="","",INDEX(jr_num,$O346)&amp;"")</f>
        <v/>
      </c>
      <c r="B346" s="60" t="str">
        <f>IF($O346="","",IF(INDEX(jr_type,$O346)="BL","Livraison",IF(INDEX(jr_type,$O346)="BR","Réception","Sortie")))</f>
        <v/>
      </c>
      <c r="C346" s="65" t="str">
        <f>IF($O346="","",INDEX(jr_date,$O346))</f>
        <v/>
      </c>
      <c r="D346" s="60" t="str">
        <f>IF($O346="","",INDEX(jr_tiers,$O346)&amp;"")</f>
        <v/>
      </c>
      <c r="E346" s="57" t="str">
        <f>IF($O346="","",INDEX(jr_name,$O346)&amp;"")</f>
        <v/>
      </c>
      <c r="F346" s="57" t="str">
        <f>IF($O346="","",INDEX(jr_order,$O346)&amp;"")</f>
        <v/>
      </c>
      <c r="G346" s="57" t="str">
        <f>IF($O346="","",INDEX(jr_ext,$O346)&amp;"")</f>
        <v/>
      </c>
      <c r="H346" s="57" t="str">
        <f>IF($O346="","",INDEX(jr_carrier,$O346)&amp;"")</f>
        <v/>
      </c>
      <c r="I346" s="66" t="str">
        <f>IF(A346="","",COUNTIF(jr_num,A346))</f>
        <v/>
      </c>
      <c r="J346" s="66" t="str">
        <f>IF(A346="","",SUMIF(jr_num,A346,jr_colis))</f>
        <v/>
      </c>
      <c r="K346" s="63" t="str">
        <f>IF(A346="","",SUMIF(jr_num,A346,jr_kg))</f>
        <v/>
      </c>
      <c r="L346" s="64" t="str">
        <f>IF(A346="","",SUMIF(jr_num,A346,jr_val))</f>
        <v/>
      </c>
      <c r="M346" s="60" t="str">
        <f>IF(A346="","",IF(COUNTIFS(jr_num,A346,jr_check,"&lt;&gt;OK")&gt;0,"À vérifier",IF(LEFT(A346,2)="BL",IF(COUNTIFS(jr_num,A346,jr_rel,"&gt;0")&gt;0,"Reliquat en cours",IF(COUNTIFS(jr_num,A346,jr_gap,"&lt;0")&gt;0,"Reliquat livré","Complet")),IF(LEFT(A346,2)="BR",IF(COUNTIFS(jr_num,A346,jr_etat,"Refusé")&gt;0,"Refusé",IF(COUNTIFS(jr_num,A346,jr_etat,"Avec réserves")&gt;0,"Avec réserves",IF(COUNTIFS(jr_num,A346,jr_rel,"&gt;0")&gt;0,"Reliquat en cours",IF(COUNTIFS(jr_num,A346,jr_gap,"&lt;0")+COUNTIFS(jr_num,A346,jr_gap,"&gt;0")&gt;0,"Écart","Conforme")))),IF(COUNTIFS(jr_num,A346,jr_gap,"&lt;0")&gt;0,"Partiel","Sorti")))))</f>
        <v/>
      </c>
      <c r="O346" t="str">
        <f>IFERROR(MATCH(341,jr_grank,0),"")</f>
        <v/>
      </c>
      <c r="R346" s="67" t="str">
        <f>IFERROR(INDEX(jr_num,MATCH("BL341",jr_nkey,0))&amp;"","")</f>
        <v/>
      </c>
      <c r="S346" s="67" t="str">
        <f>IFERROR(INDEX(jr_num,MATCH("BR341",jr_nkey,0))&amp;"","")</f>
        <v/>
      </c>
      <c r="T346" s="67" t="str">
        <f>IFERROR(INDEX(jr_num,MATCH("BS341",jr_nkey,0))&amp;"","")</f>
        <v/>
      </c>
    </row>
    <row r="347">
      <c r="A347" s="60" t="str">
        <f>IF($O347="","",INDEX(jr_num,$O347)&amp;"")</f>
        <v/>
      </c>
      <c r="B347" s="60" t="str">
        <f>IF($O347="","",IF(INDEX(jr_type,$O347)="BL","Livraison",IF(INDEX(jr_type,$O347)="BR","Réception","Sortie")))</f>
        <v/>
      </c>
      <c r="C347" s="65" t="str">
        <f>IF($O347="","",INDEX(jr_date,$O347))</f>
        <v/>
      </c>
      <c r="D347" s="60" t="str">
        <f>IF($O347="","",INDEX(jr_tiers,$O347)&amp;"")</f>
        <v/>
      </c>
      <c r="E347" s="57" t="str">
        <f>IF($O347="","",INDEX(jr_name,$O347)&amp;"")</f>
        <v/>
      </c>
      <c r="F347" s="57" t="str">
        <f>IF($O347="","",INDEX(jr_order,$O347)&amp;"")</f>
        <v/>
      </c>
      <c r="G347" s="57" t="str">
        <f>IF($O347="","",INDEX(jr_ext,$O347)&amp;"")</f>
        <v/>
      </c>
      <c r="H347" s="57" t="str">
        <f>IF($O347="","",INDEX(jr_carrier,$O347)&amp;"")</f>
        <v/>
      </c>
      <c r="I347" s="66" t="str">
        <f>IF(A347="","",COUNTIF(jr_num,A347))</f>
        <v/>
      </c>
      <c r="J347" s="66" t="str">
        <f>IF(A347="","",SUMIF(jr_num,A347,jr_colis))</f>
        <v/>
      </c>
      <c r="K347" s="63" t="str">
        <f>IF(A347="","",SUMIF(jr_num,A347,jr_kg))</f>
        <v/>
      </c>
      <c r="L347" s="64" t="str">
        <f>IF(A347="","",SUMIF(jr_num,A347,jr_val))</f>
        <v/>
      </c>
      <c r="M347" s="60" t="str">
        <f>IF(A347="","",IF(COUNTIFS(jr_num,A347,jr_check,"&lt;&gt;OK")&gt;0,"À vérifier",IF(LEFT(A347,2)="BL",IF(COUNTIFS(jr_num,A347,jr_rel,"&gt;0")&gt;0,"Reliquat en cours",IF(COUNTIFS(jr_num,A347,jr_gap,"&lt;0")&gt;0,"Reliquat livré","Complet")),IF(LEFT(A347,2)="BR",IF(COUNTIFS(jr_num,A347,jr_etat,"Refusé")&gt;0,"Refusé",IF(COUNTIFS(jr_num,A347,jr_etat,"Avec réserves")&gt;0,"Avec réserves",IF(COUNTIFS(jr_num,A347,jr_rel,"&gt;0")&gt;0,"Reliquat en cours",IF(COUNTIFS(jr_num,A347,jr_gap,"&lt;0")+COUNTIFS(jr_num,A347,jr_gap,"&gt;0")&gt;0,"Écart","Conforme")))),IF(COUNTIFS(jr_num,A347,jr_gap,"&lt;0")&gt;0,"Partiel","Sorti")))))</f>
        <v/>
      </c>
      <c r="O347" t="str">
        <f>IFERROR(MATCH(342,jr_grank,0),"")</f>
        <v/>
      </c>
      <c r="R347" s="67" t="str">
        <f>IFERROR(INDEX(jr_num,MATCH("BL342",jr_nkey,0))&amp;"","")</f>
        <v/>
      </c>
      <c r="S347" s="67" t="str">
        <f>IFERROR(INDEX(jr_num,MATCH("BR342",jr_nkey,0))&amp;"","")</f>
        <v/>
      </c>
      <c r="T347" s="67" t="str">
        <f>IFERROR(INDEX(jr_num,MATCH("BS342",jr_nkey,0))&amp;"","")</f>
        <v/>
      </c>
    </row>
    <row r="348">
      <c r="A348" s="60" t="str">
        <f>IF($O348="","",INDEX(jr_num,$O348)&amp;"")</f>
        <v/>
      </c>
      <c r="B348" s="60" t="str">
        <f>IF($O348="","",IF(INDEX(jr_type,$O348)="BL","Livraison",IF(INDEX(jr_type,$O348)="BR","Réception","Sortie")))</f>
        <v/>
      </c>
      <c r="C348" s="65" t="str">
        <f>IF($O348="","",INDEX(jr_date,$O348))</f>
        <v/>
      </c>
      <c r="D348" s="60" t="str">
        <f>IF($O348="","",INDEX(jr_tiers,$O348)&amp;"")</f>
        <v/>
      </c>
      <c r="E348" s="57" t="str">
        <f>IF($O348="","",INDEX(jr_name,$O348)&amp;"")</f>
        <v/>
      </c>
      <c r="F348" s="57" t="str">
        <f>IF($O348="","",INDEX(jr_order,$O348)&amp;"")</f>
        <v/>
      </c>
      <c r="G348" s="57" t="str">
        <f>IF($O348="","",INDEX(jr_ext,$O348)&amp;"")</f>
        <v/>
      </c>
      <c r="H348" s="57" t="str">
        <f>IF($O348="","",INDEX(jr_carrier,$O348)&amp;"")</f>
        <v/>
      </c>
      <c r="I348" s="66" t="str">
        <f>IF(A348="","",COUNTIF(jr_num,A348))</f>
        <v/>
      </c>
      <c r="J348" s="66" t="str">
        <f>IF(A348="","",SUMIF(jr_num,A348,jr_colis))</f>
        <v/>
      </c>
      <c r="K348" s="63" t="str">
        <f>IF(A348="","",SUMIF(jr_num,A348,jr_kg))</f>
        <v/>
      </c>
      <c r="L348" s="64" t="str">
        <f>IF(A348="","",SUMIF(jr_num,A348,jr_val))</f>
        <v/>
      </c>
      <c r="M348" s="60" t="str">
        <f>IF(A348="","",IF(COUNTIFS(jr_num,A348,jr_check,"&lt;&gt;OK")&gt;0,"À vérifier",IF(LEFT(A348,2)="BL",IF(COUNTIFS(jr_num,A348,jr_rel,"&gt;0")&gt;0,"Reliquat en cours",IF(COUNTIFS(jr_num,A348,jr_gap,"&lt;0")&gt;0,"Reliquat livré","Complet")),IF(LEFT(A348,2)="BR",IF(COUNTIFS(jr_num,A348,jr_etat,"Refusé")&gt;0,"Refusé",IF(COUNTIFS(jr_num,A348,jr_etat,"Avec réserves")&gt;0,"Avec réserves",IF(COUNTIFS(jr_num,A348,jr_rel,"&gt;0")&gt;0,"Reliquat en cours",IF(COUNTIFS(jr_num,A348,jr_gap,"&lt;0")+COUNTIFS(jr_num,A348,jr_gap,"&gt;0")&gt;0,"Écart","Conforme")))),IF(COUNTIFS(jr_num,A348,jr_gap,"&lt;0")&gt;0,"Partiel","Sorti")))))</f>
        <v/>
      </c>
      <c r="O348" t="str">
        <f>IFERROR(MATCH(343,jr_grank,0),"")</f>
        <v/>
      </c>
      <c r="R348" s="67" t="str">
        <f>IFERROR(INDEX(jr_num,MATCH("BL343",jr_nkey,0))&amp;"","")</f>
        <v/>
      </c>
      <c r="S348" s="67" t="str">
        <f>IFERROR(INDEX(jr_num,MATCH("BR343",jr_nkey,0))&amp;"","")</f>
        <v/>
      </c>
      <c r="T348" s="67" t="str">
        <f>IFERROR(INDEX(jr_num,MATCH("BS343",jr_nkey,0))&amp;"","")</f>
        <v/>
      </c>
    </row>
    <row r="349">
      <c r="A349" s="60" t="str">
        <f>IF($O349="","",INDEX(jr_num,$O349)&amp;"")</f>
        <v/>
      </c>
      <c r="B349" s="60" t="str">
        <f>IF($O349="","",IF(INDEX(jr_type,$O349)="BL","Livraison",IF(INDEX(jr_type,$O349)="BR","Réception","Sortie")))</f>
        <v/>
      </c>
      <c r="C349" s="65" t="str">
        <f>IF($O349="","",INDEX(jr_date,$O349))</f>
        <v/>
      </c>
      <c r="D349" s="60" t="str">
        <f>IF($O349="","",INDEX(jr_tiers,$O349)&amp;"")</f>
        <v/>
      </c>
      <c r="E349" s="57" t="str">
        <f>IF($O349="","",INDEX(jr_name,$O349)&amp;"")</f>
        <v/>
      </c>
      <c r="F349" s="57" t="str">
        <f>IF($O349="","",INDEX(jr_order,$O349)&amp;"")</f>
        <v/>
      </c>
      <c r="G349" s="57" t="str">
        <f>IF($O349="","",INDEX(jr_ext,$O349)&amp;"")</f>
        <v/>
      </c>
      <c r="H349" s="57" t="str">
        <f>IF($O349="","",INDEX(jr_carrier,$O349)&amp;"")</f>
        <v/>
      </c>
      <c r="I349" s="66" t="str">
        <f>IF(A349="","",COUNTIF(jr_num,A349))</f>
        <v/>
      </c>
      <c r="J349" s="66" t="str">
        <f>IF(A349="","",SUMIF(jr_num,A349,jr_colis))</f>
        <v/>
      </c>
      <c r="K349" s="63" t="str">
        <f>IF(A349="","",SUMIF(jr_num,A349,jr_kg))</f>
        <v/>
      </c>
      <c r="L349" s="64" t="str">
        <f>IF(A349="","",SUMIF(jr_num,A349,jr_val))</f>
        <v/>
      </c>
      <c r="M349" s="60" t="str">
        <f>IF(A349="","",IF(COUNTIFS(jr_num,A349,jr_check,"&lt;&gt;OK")&gt;0,"À vérifier",IF(LEFT(A349,2)="BL",IF(COUNTIFS(jr_num,A349,jr_rel,"&gt;0")&gt;0,"Reliquat en cours",IF(COUNTIFS(jr_num,A349,jr_gap,"&lt;0")&gt;0,"Reliquat livré","Complet")),IF(LEFT(A349,2)="BR",IF(COUNTIFS(jr_num,A349,jr_etat,"Refusé")&gt;0,"Refusé",IF(COUNTIFS(jr_num,A349,jr_etat,"Avec réserves")&gt;0,"Avec réserves",IF(COUNTIFS(jr_num,A349,jr_rel,"&gt;0")&gt;0,"Reliquat en cours",IF(COUNTIFS(jr_num,A349,jr_gap,"&lt;0")+COUNTIFS(jr_num,A349,jr_gap,"&gt;0")&gt;0,"Écart","Conforme")))),IF(COUNTIFS(jr_num,A349,jr_gap,"&lt;0")&gt;0,"Partiel","Sorti")))))</f>
        <v/>
      </c>
      <c r="O349" t="str">
        <f>IFERROR(MATCH(344,jr_grank,0),"")</f>
        <v/>
      </c>
      <c r="R349" s="67" t="str">
        <f>IFERROR(INDEX(jr_num,MATCH("BL344",jr_nkey,0))&amp;"","")</f>
        <v/>
      </c>
      <c r="S349" s="67" t="str">
        <f>IFERROR(INDEX(jr_num,MATCH("BR344",jr_nkey,0))&amp;"","")</f>
        <v/>
      </c>
      <c r="T349" s="67" t="str">
        <f>IFERROR(INDEX(jr_num,MATCH("BS344",jr_nkey,0))&amp;"","")</f>
        <v/>
      </c>
    </row>
    <row r="350">
      <c r="A350" s="60" t="str">
        <f>IF($O350="","",INDEX(jr_num,$O350)&amp;"")</f>
        <v/>
      </c>
      <c r="B350" s="60" t="str">
        <f>IF($O350="","",IF(INDEX(jr_type,$O350)="BL","Livraison",IF(INDEX(jr_type,$O350)="BR","Réception","Sortie")))</f>
        <v/>
      </c>
      <c r="C350" s="65" t="str">
        <f>IF($O350="","",INDEX(jr_date,$O350))</f>
        <v/>
      </c>
      <c r="D350" s="60" t="str">
        <f>IF($O350="","",INDEX(jr_tiers,$O350)&amp;"")</f>
        <v/>
      </c>
      <c r="E350" s="57" t="str">
        <f>IF($O350="","",INDEX(jr_name,$O350)&amp;"")</f>
        <v/>
      </c>
      <c r="F350" s="57" t="str">
        <f>IF($O350="","",INDEX(jr_order,$O350)&amp;"")</f>
        <v/>
      </c>
      <c r="G350" s="57" t="str">
        <f>IF($O350="","",INDEX(jr_ext,$O350)&amp;"")</f>
        <v/>
      </c>
      <c r="H350" s="57" t="str">
        <f>IF($O350="","",INDEX(jr_carrier,$O350)&amp;"")</f>
        <v/>
      </c>
      <c r="I350" s="66" t="str">
        <f>IF(A350="","",COUNTIF(jr_num,A350))</f>
        <v/>
      </c>
      <c r="J350" s="66" t="str">
        <f>IF(A350="","",SUMIF(jr_num,A350,jr_colis))</f>
        <v/>
      </c>
      <c r="K350" s="63" t="str">
        <f>IF(A350="","",SUMIF(jr_num,A350,jr_kg))</f>
        <v/>
      </c>
      <c r="L350" s="64" t="str">
        <f>IF(A350="","",SUMIF(jr_num,A350,jr_val))</f>
        <v/>
      </c>
      <c r="M350" s="60" t="str">
        <f>IF(A350="","",IF(COUNTIFS(jr_num,A350,jr_check,"&lt;&gt;OK")&gt;0,"À vérifier",IF(LEFT(A350,2)="BL",IF(COUNTIFS(jr_num,A350,jr_rel,"&gt;0")&gt;0,"Reliquat en cours",IF(COUNTIFS(jr_num,A350,jr_gap,"&lt;0")&gt;0,"Reliquat livré","Complet")),IF(LEFT(A350,2)="BR",IF(COUNTIFS(jr_num,A350,jr_etat,"Refusé")&gt;0,"Refusé",IF(COUNTIFS(jr_num,A350,jr_etat,"Avec réserves")&gt;0,"Avec réserves",IF(COUNTIFS(jr_num,A350,jr_rel,"&gt;0")&gt;0,"Reliquat en cours",IF(COUNTIFS(jr_num,A350,jr_gap,"&lt;0")+COUNTIFS(jr_num,A350,jr_gap,"&gt;0")&gt;0,"Écart","Conforme")))),IF(COUNTIFS(jr_num,A350,jr_gap,"&lt;0")&gt;0,"Partiel","Sorti")))))</f>
        <v/>
      </c>
      <c r="O350" t="str">
        <f>IFERROR(MATCH(345,jr_grank,0),"")</f>
        <v/>
      </c>
      <c r="R350" s="67" t="str">
        <f>IFERROR(INDEX(jr_num,MATCH("BL345",jr_nkey,0))&amp;"","")</f>
        <v/>
      </c>
      <c r="S350" s="67" t="str">
        <f>IFERROR(INDEX(jr_num,MATCH("BR345",jr_nkey,0))&amp;"","")</f>
        <v/>
      </c>
      <c r="T350" s="67" t="str">
        <f>IFERROR(INDEX(jr_num,MATCH("BS345",jr_nkey,0))&amp;"","")</f>
        <v/>
      </c>
    </row>
    <row r="351">
      <c r="A351" s="60" t="str">
        <f>IF($O351="","",INDEX(jr_num,$O351)&amp;"")</f>
        <v/>
      </c>
      <c r="B351" s="60" t="str">
        <f>IF($O351="","",IF(INDEX(jr_type,$O351)="BL","Livraison",IF(INDEX(jr_type,$O351)="BR","Réception","Sortie")))</f>
        <v/>
      </c>
      <c r="C351" s="65" t="str">
        <f>IF($O351="","",INDEX(jr_date,$O351))</f>
        <v/>
      </c>
      <c r="D351" s="60" t="str">
        <f>IF($O351="","",INDEX(jr_tiers,$O351)&amp;"")</f>
        <v/>
      </c>
      <c r="E351" s="57" t="str">
        <f>IF($O351="","",INDEX(jr_name,$O351)&amp;"")</f>
        <v/>
      </c>
      <c r="F351" s="57" t="str">
        <f>IF($O351="","",INDEX(jr_order,$O351)&amp;"")</f>
        <v/>
      </c>
      <c r="G351" s="57" t="str">
        <f>IF($O351="","",INDEX(jr_ext,$O351)&amp;"")</f>
        <v/>
      </c>
      <c r="H351" s="57" t="str">
        <f>IF($O351="","",INDEX(jr_carrier,$O351)&amp;"")</f>
        <v/>
      </c>
      <c r="I351" s="66" t="str">
        <f>IF(A351="","",COUNTIF(jr_num,A351))</f>
        <v/>
      </c>
      <c r="J351" s="66" t="str">
        <f>IF(A351="","",SUMIF(jr_num,A351,jr_colis))</f>
        <v/>
      </c>
      <c r="K351" s="63" t="str">
        <f>IF(A351="","",SUMIF(jr_num,A351,jr_kg))</f>
        <v/>
      </c>
      <c r="L351" s="64" t="str">
        <f>IF(A351="","",SUMIF(jr_num,A351,jr_val))</f>
        <v/>
      </c>
      <c r="M351" s="60" t="str">
        <f>IF(A351="","",IF(COUNTIFS(jr_num,A351,jr_check,"&lt;&gt;OK")&gt;0,"À vérifier",IF(LEFT(A351,2)="BL",IF(COUNTIFS(jr_num,A351,jr_rel,"&gt;0")&gt;0,"Reliquat en cours",IF(COUNTIFS(jr_num,A351,jr_gap,"&lt;0")&gt;0,"Reliquat livré","Complet")),IF(LEFT(A351,2)="BR",IF(COUNTIFS(jr_num,A351,jr_etat,"Refusé")&gt;0,"Refusé",IF(COUNTIFS(jr_num,A351,jr_etat,"Avec réserves")&gt;0,"Avec réserves",IF(COUNTIFS(jr_num,A351,jr_rel,"&gt;0")&gt;0,"Reliquat en cours",IF(COUNTIFS(jr_num,A351,jr_gap,"&lt;0")+COUNTIFS(jr_num,A351,jr_gap,"&gt;0")&gt;0,"Écart","Conforme")))),IF(COUNTIFS(jr_num,A351,jr_gap,"&lt;0")&gt;0,"Partiel","Sorti")))))</f>
        <v/>
      </c>
      <c r="O351" t="str">
        <f>IFERROR(MATCH(346,jr_grank,0),"")</f>
        <v/>
      </c>
      <c r="R351" s="67" t="str">
        <f>IFERROR(INDEX(jr_num,MATCH("BL346",jr_nkey,0))&amp;"","")</f>
        <v/>
      </c>
      <c r="S351" s="67" t="str">
        <f>IFERROR(INDEX(jr_num,MATCH("BR346",jr_nkey,0))&amp;"","")</f>
        <v/>
      </c>
      <c r="T351" s="67" t="str">
        <f>IFERROR(INDEX(jr_num,MATCH("BS346",jr_nkey,0))&amp;"","")</f>
        <v/>
      </c>
    </row>
    <row r="352">
      <c r="A352" s="60" t="str">
        <f>IF($O352="","",INDEX(jr_num,$O352)&amp;"")</f>
        <v/>
      </c>
      <c r="B352" s="60" t="str">
        <f>IF($O352="","",IF(INDEX(jr_type,$O352)="BL","Livraison",IF(INDEX(jr_type,$O352)="BR","Réception","Sortie")))</f>
        <v/>
      </c>
      <c r="C352" s="65" t="str">
        <f>IF($O352="","",INDEX(jr_date,$O352))</f>
        <v/>
      </c>
      <c r="D352" s="60" t="str">
        <f>IF($O352="","",INDEX(jr_tiers,$O352)&amp;"")</f>
        <v/>
      </c>
      <c r="E352" s="57" t="str">
        <f>IF($O352="","",INDEX(jr_name,$O352)&amp;"")</f>
        <v/>
      </c>
      <c r="F352" s="57" t="str">
        <f>IF($O352="","",INDEX(jr_order,$O352)&amp;"")</f>
        <v/>
      </c>
      <c r="G352" s="57" t="str">
        <f>IF($O352="","",INDEX(jr_ext,$O352)&amp;"")</f>
        <v/>
      </c>
      <c r="H352" s="57" t="str">
        <f>IF($O352="","",INDEX(jr_carrier,$O352)&amp;"")</f>
        <v/>
      </c>
      <c r="I352" s="66" t="str">
        <f>IF(A352="","",COUNTIF(jr_num,A352))</f>
        <v/>
      </c>
      <c r="J352" s="66" t="str">
        <f>IF(A352="","",SUMIF(jr_num,A352,jr_colis))</f>
        <v/>
      </c>
      <c r="K352" s="63" t="str">
        <f>IF(A352="","",SUMIF(jr_num,A352,jr_kg))</f>
        <v/>
      </c>
      <c r="L352" s="64" t="str">
        <f>IF(A352="","",SUMIF(jr_num,A352,jr_val))</f>
        <v/>
      </c>
      <c r="M352" s="60" t="str">
        <f>IF(A352="","",IF(COUNTIFS(jr_num,A352,jr_check,"&lt;&gt;OK")&gt;0,"À vérifier",IF(LEFT(A352,2)="BL",IF(COUNTIFS(jr_num,A352,jr_rel,"&gt;0")&gt;0,"Reliquat en cours",IF(COUNTIFS(jr_num,A352,jr_gap,"&lt;0")&gt;0,"Reliquat livré","Complet")),IF(LEFT(A352,2)="BR",IF(COUNTIFS(jr_num,A352,jr_etat,"Refusé")&gt;0,"Refusé",IF(COUNTIFS(jr_num,A352,jr_etat,"Avec réserves")&gt;0,"Avec réserves",IF(COUNTIFS(jr_num,A352,jr_rel,"&gt;0")&gt;0,"Reliquat en cours",IF(COUNTIFS(jr_num,A352,jr_gap,"&lt;0")+COUNTIFS(jr_num,A352,jr_gap,"&gt;0")&gt;0,"Écart","Conforme")))),IF(COUNTIFS(jr_num,A352,jr_gap,"&lt;0")&gt;0,"Partiel","Sorti")))))</f>
        <v/>
      </c>
      <c r="O352" t="str">
        <f>IFERROR(MATCH(347,jr_grank,0),"")</f>
        <v/>
      </c>
      <c r="R352" s="67" t="str">
        <f>IFERROR(INDEX(jr_num,MATCH("BL347",jr_nkey,0))&amp;"","")</f>
        <v/>
      </c>
      <c r="S352" s="67" t="str">
        <f>IFERROR(INDEX(jr_num,MATCH("BR347",jr_nkey,0))&amp;"","")</f>
        <v/>
      </c>
      <c r="T352" s="67" t="str">
        <f>IFERROR(INDEX(jr_num,MATCH("BS347",jr_nkey,0))&amp;"","")</f>
        <v/>
      </c>
    </row>
    <row r="353">
      <c r="A353" s="60" t="str">
        <f>IF($O353="","",INDEX(jr_num,$O353)&amp;"")</f>
        <v/>
      </c>
      <c r="B353" s="60" t="str">
        <f>IF($O353="","",IF(INDEX(jr_type,$O353)="BL","Livraison",IF(INDEX(jr_type,$O353)="BR","Réception","Sortie")))</f>
        <v/>
      </c>
      <c r="C353" s="65" t="str">
        <f>IF($O353="","",INDEX(jr_date,$O353))</f>
        <v/>
      </c>
      <c r="D353" s="60" t="str">
        <f>IF($O353="","",INDEX(jr_tiers,$O353)&amp;"")</f>
        <v/>
      </c>
      <c r="E353" s="57" t="str">
        <f>IF($O353="","",INDEX(jr_name,$O353)&amp;"")</f>
        <v/>
      </c>
      <c r="F353" s="57" t="str">
        <f>IF($O353="","",INDEX(jr_order,$O353)&amp;"")</f>
        <v/>
      </c>
      <c r="G353" s="57" t="str">
        <f>IF($O353="","",INDEX(jr_ext,$O353)&amp;"")</f>
        <v/>
      </c>
      <c r="H353" s="57" t="str">
        <f>IF($O353="","",INDEX(jr_carrier,$O353)&amp;"")</f>
        <v/>
      </c>
      <c r="I353" s="66" t="str">
        <f>IF(A353="","",COUNTIF(jr_num,A353))</f>
        <v/>
      </c>
      <c r="J353" s="66" t="str">
        <f>IF(A353="","",SUMIF(jr_num,A353,jr_colis))</f>
        <v/>
      </c>
      <c r="K353" s="63" t="str">
        <f>IF(A353="","",SUMIF(jr_num,A353,jr_kg))</f>
        <v/>
      </c>
      <c r="L353" s="64" t="str">
        <f>IF(A353="","",SUMIF(jr_num,A353,jr_val))</f>
        <v/>
      </c>
      <c r="M353" s="60" t="str">
        <f>IF(A353="","",IF(COUNTIFS(jr_num,A353,jr_check,"&lt;&gt;OK")&gt;0,"À vérifier",IF(LEFT(A353,2)="BL",IF(COUNTIFS(jr_num,A353,jr_rel,"&gt;0")&gt;0,"Reliquat en cours",IF(COUNTIFS(jr_num,A353,jr_gap,"&lt;0")&gt;0,"Reliquat livré","Complet")),IF(LEFT(A353,2)="BR",IF(COUNTIFS(jr_num,A353,jr_etat,"Refusé")&gt;0,"Refusé",IF(COUNTIFS(jr_num,A353,jr_etat,"Avec réserves")&gt;0,"Avec réserves",IF(COUNTIFS(jr_num,A353,jr_rel,"&gt;0")&gt;0,"Reliquat en cours",IF(COUNTIFS(jr_num,A353,jr_gap,"&lt;0")+COUNTIFS(jr_num,A353,jr_gap,"&gt;0")&gt;0,"Écart","Conforme")))),IF(COUNTIFS(jr_num,A353,jr_gap,"&lt;0")&gt;0,"Partiel","Sorti")))))</f>
        <v/>
      </c>
      <c r="O353" t="str">
        <f>IFERROR(MATCH(348,jr_grank,0),"")</f>
        <v/>
      </c>
      <c r="R353" s="67" t="str">
        <f>IFERROR(INDEX(jr_num,MATCH("BL348",jr_nkey,0))&amp;"","")</f>
        <v/>
      </c>
      <c r="S353" s="67" t="str">
        <f>IFERROR(INDEX(jr_num,MATCH("BR348",jr_nkey,0))&amp;"","")</f>
        <v/>
      </c>
      <c r="T353" s="67" t="str">
        <f>IFERROR(INDEX(jr_num,MATCH("BS348",jr_nkey,0))&amp;"","")</f>
        <v/>
      </c>
    </row>
    <row r="354">
      <c r="A354" s="60" t="str">
        <f>IF($O354="","",INDEX(jr_num,$O354)&amp;"")</f>
        <v/>
      </c>
      <c r="B354" s="60" t="str">
        <f>IF($O354="","",IF(INDEX(jr_type,$O354)="BL","Livraison",IF(INDEX(jr_type,$O354)="BR","Réception","Sortie")))</f>
        <v/>
      </c>
      <c r="C354" s="65" t="str">
        <f>IF($O354="","",INDEX(jr_date,$O354))</f>
        <v/>
      </c>
      <c r="D354" s="60" t="str">
        <f>IF($O354="","",INDEX(jr_tiers,$O354)&amp;"")</f>
        <v/>
      </c>
      <c r="E354" s="57" t="str">
        <f>IF($O354="","",INDEX(jr_name,$O354)&amp;"")</f>
        <v/>
      </c>
      <c r="F354" s="57" t="str">
        <f>IF($O354="","",INDEX(jr_order,$O354)&amp;"")</f>
        <v/>
      </c>
      <c r="G354" s="57" t="str">
        <f>IF($O354="","",INDEX(jr_ext,$O354)&amp;"")</f>
        <v/>
      </c>
      <c r="H354" s="57" t="str">
        <f>IF($O354="","",INDEX(jr_carrier,$O354)&amp;"")</f>
        <v/>
      </c>
      <c r="I354" s="66" t="str">
        <f>IF(A354="","",COUNTIF(jr_num,A354))</f>
        <v/>
      </c>
      <c r="J354" s="66" t="str">
        <f>IF(A354="","",SUMIF(jr_num,A354,jr_colis))</f>
        <v/>
      </c>
      <c r="K354" s="63" t="str">
        <f>IF(A354="","",SUMIF(jr_num,A354,jr_kg))</f>
        <v/>
      </c>
      <c r="L354" s="64" t="str">
        <f>IF(A354="","",SUMIF(jr_num,A354,jr_val))</f>
        <v/>
      </c>
      <c r="M354" s="60" t="str">
        <f>IF(A354="","",IF(COUNTIFS(jr_num,A354,jr_check,"&lt;&gt;OK")&gt;0,"À vérifier",IF(LEFT(A354,2)="BL",IF(COUNTIFS(jr_num,A354,jr_rel,"&gt;0")&gt;0,"Reliquat en cours",IF(COUNTIFS(jr_num,A354,jr_gap,"&lt;0")&gt;0,"Reliquat livré","Complet")),IF(LEFT(A354,2)="BR",IF(COUNTIFS(jr_num,A354,jr_etat,"Refusé")&gt;0,"Refusé",IF(COUNTIFS(jr_num,A354,jr_etat,"Avec réserves")&gt;0,"Avec réserves",IF(COUNTIFS(jr_num,A354,jr_rel,"&gt;0")&gt;0,"Reliquat en cours",IF(COUNTIFS(jr_num,A354,jr_gap,"&lt;0")+COUNTIFS(jr_num,A354,jr_gap,"&gt;0")&gt;0,"Écart","Conforme")))),IF(COUNTIFS(jr_num,A354,jr_gap,"&lt;0")&gt;0,"Partiel","Sorti")))))</f>
        <v/>
      </c>
      <c r="O354" t="str">
        <f>IFERROR(MATCH(349,jr_grank,0),"")</f>
        <v/>
      </c>
      <c r="R354" s="67" t="str">
        <f>IFERROR(INDEX(jr_num,MATCH("BL349",jr_nkey,0))&amp;"","")</f>
        <v/>
      </c>
      <c r="S354" s="67" t="str">
        <f>IFERROR(INDEX(jr_num,MATCH("BR349",jr_nkey,0))&amp;"","")</f>
        <v/>
      </c>
      <c r="T354" s="67" t="str">
        <f>IFERROR(INDEX(jr_num,MATCH("BS349",jr_nkey,0))&amp;"","")</f>
        <v/>
      </c>
    </row>
    <row r="355">
      <c r="A355" s="60" t="str">
        <f>IF($O355="","",INDEX(jr_num,$O355)&amp;"")</f>
        <v/>
      </c>
      <c r="B355" s="60" t="str">
        <f>IF($O355="","",IF(INDEX(jr_type,$O355)="BL","Livraison",IF(INDEX(jr_type,$O355)="BR","Réception","Sortie")))</f>
        <v/>
      </c>
      <c r="C355" s="65" t="str">
        <f>IF($O355="","",INDEX(jr_date,$O355))</f>
        <v/>
      </c>
      <c r="D355" s="60" t="str">
        <f>IF($O355="","",INDEX(jr_tiers,$O355)&amp;"")</f>
        <v/>
      </c>
      <c r="E355" s="57" t="str">
        <f>IF($O355="","",INDEX(jr_name,$O355)&amp;"")</f>
        <v/>
      </c>
      <c r="F355" s="57" t="str">
        <f>IF($O355="","",INDEX(jr_order,$O355)&amp;"")</f>
        <v/>
      </c>
      <c r="G355" s="57" t="str">
        <f>IF($O355="","",INDEX(jr_ext,$O355)&amp;"")</f>
        <v/>
      </c>
      <c r="H355" s="57" t="str">
        <f>IF($O355="","",INDEX(jr_carrier,$O355)&amp;"")</f>
        <v/>
      </c>
      <c r="I355" s="66" t="str">
        <f>IF(A355="","",COUNTIF(jr_num,A355))</f>
        <v/>
      </c>
      <c r="J355" s="66" t="str">
        <f>IF(A355="","",SUMIF(jr_num,A355,jr_colis))</f>
        <v/>
      </c>
      <c r="K355" s="63" t="str">
        <f>IF(A355="","",SUMIF(jr_num,A355,jr_kg))</f>
        <v/>
      </c>
      <c r="L355" s="64" t="str">
        <f>IF(A355="","",SUMIF(jr_num,A355,jr_val))</f>
        <v/>
      </c>
      <c r="M355" s="60" t="str">
        <f>IF(A355="","",IF(COUNTIFS(jr_num,A355,jr_check,"&lt;&gt;OK")&gt;0,"À vérifier",IF(LEFT(A355,2)="BL",IF(COUNTIFS(jr_num,A355,jr_rel,"&gt;0")&gt;0,"Reliquat en cours",IF(COUNTIFS(jr_num,A355,jr_gap,"&lt;0")&gt;0,"Reliquat livré","Complet")),IF(LEFT(A355,2)="BR",IF(COUNTIFS(jr_num,A355,jr_etat,"Refusé")&gt;0,"Refusé",IF(COUNTIFS(jr_num,A355,jr_etat,"Avec réserves")&gt;0,"Avec réserves",IF(COUNTIFS(jr_num,A355,jr_rel,"&gt;0")&gt;0,"Reliquat en cours",IF(COUNTIFS(jr_num,A355,jr_gap,"&lt;0")+COUNTIFS(jr_num,A355,jr_gap,"&gt;0")&gt;0,"Écart","Conforme")))),IF(COUNTIFS(jr_num,A355,jr_gap,"&lt;0")&gt;0,"Partiel","Sorti")))))</f>
        <v/>
      </c>
      <c r="O355" t="str">
        <f>IFERROR(MATCH(350,jr_grank,0),"")</f>
        <v/>
      </c>
      <c r="R355" s="67" t="str">
        <f>IFERROR(INDEX(jr_num,MATCH("BL350",jr_nkey,0))&amp;"","")</f>
        <v/>
      </c>
      <c r="S355" s="67" t="str">
        <f>IFERROR(INDEX(jr_num,MATCH("BR350",jr_nkey,0))&amp;"","")</f>
        <v/>
      </c>
      <c r="T355" s="67" t="str">
        <f>IFERROR(INDEX(jr_num,MATCH("BS350",jr_nkey,0))&amp;"","")</f>
        <v/>
      </c>
    </row>
    <row r="356">
      <c r="A356" s="60" t="str">
        <f>IF($O356="","",INDEX(jr_num,$O356)&amp;"")</f>
        <v/>
      </c>
      <c r="B356" s="60" t="str">
        <f>IF($O356="","",IF(INDEX(jr_type,$O356)="BL","Livraison",IF(INDEX(jr_type,$O356)="BR","Réception","Sortie")))</f>
        <v/>
      </c>
      <c r="C356" s="65" t="str">
        <f>IF($O356="","",INDEX(jr_date,$O356))</f>
        <v/>
      </c>
      <c r="D356" s="60" t="str">
        <f>IF($O356="","",INDEX(jr_tiers,$O356)&amp;"")</f>
        <v/>
      </c>
      <c r="E356" s="57" t="str">
        <f>IF($O356="","",INDEX(jr_name,$O356)&amp;"")</f>
        <v/>
      </c>
      <c r="F356" s="57" t="str">
        <f>IF($O356="","",INDEX(jr_order,$O356)&amp;"")</f>
        <v/>
      </c>
      <c r="G356" s="57" t="str">
        <f>IF($O356="","",INDEX(jr_ext,$O356)&amp;"")</f>
        <v/>
      </c>
      <c r="H356" s="57" t="str">
        <f>IF($O356="","",INDEX(jr_carrier,$O356)&amp;"")</f>
        <v/>
      </c>
      <c r="I356" s="66" t="str">
        <f>IF(A356="","",COUNTIF(jr_num,A356))</f>
        <v/>
      </c>
      <c r="J356" s="66" t="str">
        <f>IF(A356="","",SUMIF(jr_num,A356,jr_colis))</f>
        <v/>
      </c>
      <c r="K356" s="63" t="str">
        <f>IF(A356="","",SUMIF(jr_num,A356,jr_kg))</f>
        <v/>
      </c>
      <c r="L356" s="64" t="str">
        <f>IF(A356="","",SUMIF(jr_num,A356,jr_val))</f>
        <v/>
      </c>
      <c r="M356" s="60" t="str">
        <f>IF(A356="","",IF(COUNTIFS(jr_num,A356,jr_check,"&lt;&gt;OK")&gt;0,"À vérifier",IF(LEFT(A356,2)="BL",IF(COUNTIFS(jr_num,A356,jr_rel,"&gt;0")&gt;0,"Reliquat en cours",IF(COUNTIFS(jr_num,A356,jr_gap,"&lt;0")&gt;0,"Reliquat livré","Complet")),IF(LEFT(A356,2)="BR",IF(COUNTIFS(jr_num,A356,jr_etat,"Refusé")&gt;0,"Refusé",IF(COUNTIFS(jr_num,A356,jr_etat,"Avec réserves")&gt;0,"Avec réserves",IF(COUNTIFS(jr_num,A356,jr_rel,"&gt;0")&gt;0,"Reliquat en cours",IF(COUNTIFS(jr_num,A356,jr_gap,"&lt;0")+COUNTIFS(jr_num,A356,jr_gap,"&gt;0")&gt;0,"Écart","Conforme")))),IF(COUNTIFS(jr_num,A356,jr_gap,"&lt;0")&gt;0,"Partiel","Sorti")))))</f>
        <v/>
      </c>
      <c r="O356" t="str">
        <f>IFERROR(MATCH(351,jr_grank,0),"")</f>
        <v/>
      </c>
      <c r="R356" s="67" t="str">
        <f>IFERROR(INDEX(jr_num,MATCH("BL351",jr_nkey,0))&amp;"","")</f>
        <v/>
      </c>
      <c r="S356" s="67" t="str">
        <f>IFERROR(INDEX(jr_num,MATCH("BR351",jr_nkey,0))&amp;"","")</f>
        <v/>
      </c>
      <c r="T356" s="67" t="str">
        <f>IFERROR(INDEX(jr_num,MATCH("BS351",jr_nkey,0))&amp;"","")</f>
        <v/>
      </c>
    </row>
    <row r="357">
      <c r="A357" s="60" t="str">
        <f>IF($O357="","",INDEX(jr_num,$O357)&amp;"")</f>
        <v/>
      </c>
      <c r="B357" s="60" t="str">
        <f>IF($O357="","",IF(INDEX(jr_type,$O357)="BL","Livraison",IF(INDEX(jr_type,$O357)="BR","Réception","Sortie")))</f>
        <v/>
      </c>
      <c r="C357" s="65" t="str">
        <f>IF($O357="","",INDEX(jr_date,$O357))</f>
        <v/>
      </c>
      <c r="D357" s="60" t="str">
        <f>IF($O357="","",INDEX(jr_tiers,$O357)&amp;"")</f>
        <v/>
      </c>
      <c r="E357" s="57" t="str">
        <f>IF($O357="","",INDEX(jr_name,$O357)&amp;"")</f>
        <v/>
      </c>
      <c r="F357" s="57" t="str">
        <f>IF($O357="","",INDEX(jr_order,$O357)&amp;"")</f>
        <v/>
      </c>
      <c r="G357" s="57" t="str">
        <f>IF($O357="","",INDEX(jr_ext,$O357)&amp;"")</f>
        <v/>
      </c>
      <c r="H357" s="57" t="str">
        <f>IF($O357="","",INDEX(jr_carrier,$O357)&amp;"")</f>
        <v/>
      </c>
      <c r="I357" s="66" t="str">
        <f>IF(A357="","",COUNTIF(jr_num,A357))</f>
        <v/>
      </c>
      <c r="J357" s="66" t="str">
        <f>IF(A357="","",SUMIF(jr_num,A357,jr_colis))</f>
        <v/>
      </c>
      <c r="K357" s="63" t="str">
        <f>IF(A357="","",SUMIF(jr_num,A357,jr_kg))</f>
        <v/>
      </c>
      <c r="L357" s="64" t="str">
        <f>IF(A357="","",SUMIF(jr_num,A357,jr_val))</f>
        <v/>
      </c>
      <c r="M357" s="60" t="str">
        <f>IF(A357="","",IF(COUNTIFS(jr_num,A357,jr_check,"&lt;&gt;OK")&gt;0,"À vérifier",IF(LEFT(A357,2)="BL",IF(COUNTIFS(jr_num,A357,jr_rel,"&gt;0")&gt;0,"Reliquat en cours",IF(COUNTIFS(jr_num,A357,jr_gap,"&lt;0")&gt;0,"Reliquat livré","Complet")),IF(LEFT(A357,2)="BR",IF(COUNTIFS(jr_num,A357,jr_etat,"Refusé")&gt;0,"Refusé",IF(COUNTIFS(jr_num,A357,jr_etat,"Avec réserves")&gt;0,"Avec réserves",IF(COUNTIFS(jr_num,A357,jr_rel,"&gt;0")&gt;0,"Reliquat en cours",IF(COUNTIFS(jr_num,A357,jr_gap,"&lt;0")+COUNTIFS(jr_num,A357,jr_gap,"&gt;0")&gt;0,"Écart","Conforme")))),IF(COUNTIFS(jr_num,A357,jr_gap,"&lt;0")&gt;0,"Partiel","Sorti")))))</f>
        <v/>
      </c>
      <c r="O357" t="str">
        <f>IFERROR(MATCH(352,jr_grank,0),"")</f>
        <v/>
      </c>
      <c r="R357" s="67" t="str">
        <f>IFERROR(INDEX(jr_num,MATCH("BL352",jr_nkey,0))&amp;"","")</f>
        <v/>
      </c>
      <c r="S357" s="67" t="str">
        <f>IFERROR(INDEX(jr_num,MATCH("BR352",jr_nkey,0))&amp;"","")</f>
        <v/>
      </c>
      <c r="T357" s="67" t="str">
        <f>IFERROR(INDEX(jr_num,MATCH("BS352",jr_nkey,0))&amp;"","")</f>
        <v/>
      </c>
    </row>
    <row r="358">
      <c r="A358" s="60" t="str">
        <f>IF($O358="","",INDEX(jr_num,$O358)&amp;"")</f>
        <v/>
      </c>
      <c r="B358" s="60" t="str">
        <f>IF($O358="","",IF(INDEX(jr_type,$O358)="BL","Livraison",IF(INDEX(jr_type,$O358)="BR","Réception","Sortie")))</f>
        <v/>
      </c>
      <c r="C358" s="65" t="str">
        <f>IF($O358="","",INDEX(jr_date,$O358))</f>
        <v/>
      </c>
      <c r="D358" s="60" t="str">
        <f>IF($O358="","",INDEX(jr_tiers,$O358)&amp;"")</f>
        <v/>
      </c>
      <c r="E358" s="57" t="str">
        <f>IF($O358="","",INDEX(jr_name,$O358)&amp;"")</f>
        <v/>
      </c>
      <c r="F358" s="57" t="str">
        <f>IF($O358="","",INDEX(jr_order,$O358)&amp;"")</f>
        <v/>
      </c>
      <c r="G358" s="57" t="str">
        <f>IF($O358="","",INDEX(jr_ext,$O358)&amp;"")</f>
        <v/>
      </c>
      <c r="H358" s="57" t="str">
        <f>IF($O358="","",INDEX(jr_carrier,$O358)&amp;"")</f>
        <v/>
      </c>
      <c r="I358" s="66" t="str">
        <f>IF(A358="","",COUNTIF(jr_num,A358))</f>
        <v/>
      </c>
      <c r="J358" s="66" t="str">
        <f>IF(A358="","",SUMIF(jr_num,A358,jr_colis))</f>
        <v/>
      </c>
      <c r="K358" s="63" t="str">
        <f>IF(A358="","",SUMIF(jr_num,A358,jr_kg))</f>
        <v/>
      </c>
      <c r="L358" s="64" t="str">
        <f>IF(A358="","",SUMIF(jr_num,A358,jr_val))</f>
        <v/>
      </c>
      <c r="M358" s="60" t="str">
        <f>IF(A358="","",IF(COUNTIFS(jr_num,A358,jr_check,"&lt;&gt;OK")&gt;0,"À vérifier",IF(LEFT(A358,2)="BL",IF(COUNTIFS(jr_num,A358,jr_rel,"&gt;0")&gt;0,"Reliquat en cours",IF(COUNTIFS(jr_num,A358,jr_gap,"&lt;0")&gt;0,"Reliquat livré","Complet")),IF(LEFT(A358,2)="BR",IF(COUNTIFS(jr_num,A358,jr_etat,"Refusé")&gt;0,"Refusé",IF(COUNTIFS(jr_num,A358,jr_etat,"Avec réserves")&gt;0,"Avec réserves",IF(COUNTIFS(jr_num,A358,jr_rel,"&gt;0")&gt;0,"Reliquat en cours",IF(COUNTIFS(jr_num,A358,jr_gap,"&lt;0")+COUNTIFS(jr_num,A358,jr_gap,"&gt;0")&gt;0,"Écart","Conforme")))),IF(COUNTIFS(jr_num,A358,jr_gap,"&lt;0")&gt;0,"Partiel","Sorti")))))</f>
        <v/>
      </c>
      <c r="O358" t="str">
        <f>IFERROR(MATCH(353,jr_grank,0),"")</f>
        <v/>
      </c>
      <c r="R358" s="67" t="str">
        <f>IFERROR(INDEX(jr_num,MATCH("BL353",jr_nkey,0))&amp;"","")</f>
        <v/>
      </c>
      <c r="S358" s="67" t="str">
        <f>IFERROR(INDEX(jr_num,MATCH("BR353",jr_nkey,0))&amp;"","")</f>
        <v/>
      </c>
      <c r="T358" s="67" t="str">
        <f>IFERROR(INDEX(jr_num,MATCH("BS353",jr_nkey,0))&amp;"","")</f>
        <v/>
      </c>
    </row>
    <row r="359">
      <c r="A359" s="60" t="str">
        <f>IF($O359="","",INDEX(jr_num,$O359)&amp;"")</f>
        <v/>
      </c>
      <c r="B359" s="60" t="str">
        <f>IF($O359="","",IF(INDEX(jr_type,$O359)="BL","Livraison",IF(INDEX(jr_type,$O359)="BR","Réception","Sortie")))</f>
        <v/>
      </c>
      <c r="C359" s="65" t="str">
        <f>IF($O359="","",INDEX(jr_date,$O359))</f>
        <v/>
      </c>
      <c r="D359" s="60" t="str">
        <f>IF($O359="","",INDEX(jr_tiers,$O359)&amp;"")</f>
        <v/>
      </c>
      <c r="E359" s="57" t="str">
        <f>IF($O359="","",INDEX(jr_name,$O359)&amp;"")</f>
        <v/>
      </c>
      <c r="F359" s="57" t="str">
        <f>IF($O359="","",INDEX(jr_order,$O359)&amp;"")</f>
        <v/>
      </c>
      <c r="G359" s="57" t="str">
        <f>IF($O359="","",INDEX(jr_ext,$O359)&amp;"")</f>
        <v/>
      </c>
      <c r="H359" s="57" t="str">
        <f>IF($O359="","",INDEX(jr_carrier,$O359)&amp;"")</f>
        <v/>
      </c>
      <c r="I359" s="66" t="str">
        <f>IF(A359="","",COUNTIF(jr_num,A359))</f>
        <v/>
      </c>
      <c r="J359" s="66" t="str">
        <f>IF(A359="","",SUMIF(jr_num,A359,jr_colis))</f>
        <v/>
      </c>
      <c r="K359" s="63" t="str">
        <f>IF(A359="","",SUMIF(jr_num,A359,jr_kg))</f>
        <v/>
      </c>
      <c r="L359" s="64" t="str">
        <f>IF(A359="","",SUMIF(jr_num,A359,jr_val))</f>
        <v/>
      </c>
      <c r="M359" s="60" t="str">
        <f>IF(A359="","",IF(COUNTIFS(jr_num,A359,jr_check,"&lt;&gt;OK")&gt;0,"À vérifier",IF(LEFT(A359,2)="BL",IF(COUNTIFS(jr_num,A359,jr_rel,"&gt;0")&gt;0,"Reliquat en cours",IF(COUNTIFS(jr_num,A359,jr_gap,"&lt;0")&gt;0,"Reliquat livré","Complet")),IF(LEFT(A359,2)="BR",IF(COUNTIFS(jr_num,A359,jr_etat,"Refusé")&gt;0,"Refusé",IF(COUNTIFS(jr_num,A359,jr_etat,"Avec réserves")&gt;0,"Avec réserves",IF(COUNTIFS(jr_num,A359,jr_rel,"&gt;0")&gt;0,"Reliquat en cours",IF(COUNTIFS(jr_num,A359,jr_gap,"&lt;0")+COUNTIFS(jr_num,A359,jr_gap,"&gt;0")&gt;0,"Écart","Conforme")))),IF(COUNTIFS(jr_num,A359,jr_gap,"&lt;0")&gt;0,"Partiel","Sorti")))))</f>
        <v/>
      </c>
      <c r="O359" t="str">
        <f>IFERROR(MATCH(354,jr_grank,0),"")</f>
        <v/>
      </c>
      <c r="R359" s="67" t="str">
        <f>IFERROR(INDEX(jr_num,MATCH("BL354",jr_nkey,0))&amp;"","")</f>
        <v/>
      </c>
      <c r="S359" s="67" t="str">
        <f>IFERROR(INDEX(jr_num,MATCH("BR354",jr_nkey,0))&amp;"","")</f>
        <v/>
      </c>
      <c r="T359" s="67" t="str">
        <f>IFERROR(INDEX(jr_num,MATCH("BS354",jr_nkey,0))&amp;"","")</f>
        <v/>
      </c>
    </row>
    <row r="360">
      <c r="A360" s="60" t="str">
        <f>IF($O360="","",INDEX(jr_num,$O360)&amp;"")</f>
        <v/>
      </c>
      <c r="B360" s="60" t="str">
        <f>IF($O360="","",IF(INDEX(jr_type,$O360)="BL","Livraison",IF(INDEX(jr_type,$O360)="BR","Réception","Sortie")))</f>
        <v/>
      </c>
      <c r="C360" s="65" t="str">
        <f>IF($O360="","",INDEX(jr_date,$O360))</f>
        <v/>
      </c>
      <c r="D360" s="60" t="str">
        <f>IF($O360="","",INDEX(jr_tiers,$O360)&amp;"")</f>
        <v/>
      </c>
      <c r="E360" s="57" t="str">
        <f>IF($O360="","",INDEX(jr_name,$O360)&amp;"")</f>
        <v/>
      </c>
      <c r="F360" s="57" t="str">
        <f>IF($O360="","",INDEX(jr_order,$O360)&amp;"")</f>
        <v/>
      </c>
      <c r="G360" s="57" t="str">
        <f>IF($O360="","",INDEX(jr_ext,$O360)&amp;"")</f>
        <v/>
      </c>
      <c r="H360" s="57" t="str">
        <f>IF($O360="","",INDEX(jr_carrier,$O360)&amp;"")</f>
        <v/>
      </c>
      <c r="I360" s="66" t="str">
        <f>IF(A360="","",COUNTIF(jr_num,A360))</f>
        <v/>
      </c>
      <c r="J360" s="66" t="str">
        <f>IF(A360="","",SUMIF(jr_num,A360,jr_colis))</f>
        <v/>
      </c>
      <c r="K360" s="63" t="str">
        <f>IF(A360="","",SUMIF(jr_num,A360,jr_kg))</f>
        <v/>
      </c>
      <c r="L360" s="64" t="str">
        <f>IF(A360="","",SUMIF(jr_num,A360,jr_val))</f>
        <v/>
      </c>
      <c r="M360" s="60" t="str">
        <f>IF(A360="","",IF(COUNTIFS(jr_num,A360,jr_check,"&lt;&gt;OK")&gt;0,"À vérifier",IF(LEFT(A360,2)="BL",IF(COUNTIFS(jr_num,A360,jr_rel,"&gt;0")&gt;0,"Reliquat en cours",IF(COUNTIFS(jr_num,A360,jr_gap,"&lt;0")&gt;0,"Reliquat livré","Complet")),IF(LEFT(A360,2)="BR",IF(COUNTIFS(jr_num,A360,jr_etat,"Refusé")&gt;0,"Refusé",IF(COUNTIFS(jr_num,A360,jr_etat,"Avec réserves")&gt;0,"Avec réserves",IF(COUNTIFS(jr_num,A360,jr_rel,"&gt;0")&gt;0,"Reliquat en cours",IF(COUNTIFS(jr_num,A360,jr_gap,"&lt;0")+COUNTIFS(jr_num,A360,jr_gap,"&gt;0")&gt;0,"Écart","Conforme")))),IF(COUNTIFS(jr_num,A360,jr_gap,"&lt;0")&gt;0,"Partiel","Sorti")))))</f>
        <v/>
      </c>
      <c r="O360" t="str">
        <f>IFERROR(MATCH(355,jr_grank,0),"")</f>
        <v/>
      </c>
      <c r="R360" s="67" t="str">
        <f>IFERROR(INDEX(jr_num,MATCH("BL355",jr_nkey,0))&amp;"","")</f>
        <v/>
      </c>
      <c r="S360" s="67" t="str">
        <f>IFERROR(INDEX(jr_num,MATCH("BR355",jr_nkey,0))&amp;"","")</f>
        <v/>
      </c>
      <c r="T360" s="67" t="str">
        <f>IFERROR(INDEX(jr_num,MATCH("BS355",jr_nkey,0))&amp;"","")</f>
        <v/>
      </c>
    </row>
    <row r="361">
      <c r="A361" s="60" t="str">
        <f>IF($O361="","",INDEX(jr_num,$O361)&amp;"")</f>
        <v/>
      </c>
      <c r="B361" s="60" t="str">
        <f>IF($O361="","",IF(INDEX(jr_type,$O361)="BL","Livraison",IF(INDEX(jr_type,$O361)="BR","Réception","Sortie")))</f>
        <v/>
      </c>
      <c r="C361" s="65" t="str">
        <f>IF($O361="","",INDEX(jr_date,$O361))</f>
        <v/>
      </c>
      <c r="D361" s="60" t="str">
        <f>IF($O361="","",INDEX(jr_tiers,$O361)&amp;"")</f>
        <v/>
      </c>
      <c r="E361" s="57" t="str">
        <f>IF($O361="","",INDEX(jr_name,$O361)&amp;"")</f>
        <v/>
      </c>
      <c r="F361" s="57" t="str">
        <f>IF($O361="","",INDEX(jr_order,$O361)&amp;"")</f>
        <v/>
      </c>
      <c r="G361" s="57" t="str">
        <f>IF($O361="","",INDEX(jr_ext,$O361)&amp;"")</f>
        <v/>
      </c>
      <c r="H361" s="57" t="str">
        <f>IF($O361="","",INDEX(jr_carrier,$O361)&amp;"")</f>
        <v/>
      </c>
      <c r="I361" s="66" t="str">
        <f>IF(A361="","",COUNTIF(jr_num,A361))</f>
        <v/>
      </c>
      <c r="J361" s="66" t="str">
        <f>IF(A361="","",SUMIF(jr_num,A361,jr_colis))</f>
        <v/>
      </c>
      <c r="K361" s="63" t="str">
        <f>IF(A361="","",SUMIF(jr_num,A361,jr_kg))</f>
        <v/>
      </c>
      <c r="L361" s="64" t="str">
        <f>IF(A361="","",SUMIF(jr_num,A361,jr_val))</f>
        <v/>
      </c>
      <c r="M361" s="60" t="str">
        <f>IF(A361="","",IF(COUNTIFS(jr_num,A361,jr_check,"&lt;&gt;OK")&gt;0,"À vérifier",IF(LEFT(A361,2)="BL",IF(COUNTIFS(jr_num,A361,jr_rel,"&gt;0")&gt;0,"Reliquat en cours",IF(COUNTIFS(jr_num,A361,jr_gap,"&lt;0")&gt;0,"Reliquat livré","Complet")),IF(LEFT(A361,2)="BR",IF(COUNTIFS(jr_num,A361,jr_etat,"Refusé")&gt;0,"Refusé",IF(COUNTIFS(jr_num,A361,jr_etat,"Avec réserves")&gt;0,"Avec réserves",IF(COUNTIFS(jr_num,A361,jr_rel,"&gt;0")&gt;0,"Reliquat en cours",IF(COUNTIFS(jr_num,A361,jr_gap,"&lt;0")+COUNTIFS(jr_num,A361,jr_gap,"&gt;0")&gt;0,"Écart","Conforme")))),IF(COUNTIFS(jr_num,A361,jr_gap,"&lt;0")&gt;0,"Partiel","Sorti")))))</f>
        <v/>
      </c>
      <c r="O361" t="str">
        <f>IFERROR(MATCH(356,jr_grank,0),"")</f>
        <v/>
      </c>
      <c r="R361" s="67" t="str">
        <f>IFERROR(INDEX(jr_num,MATCH("BL356",jr_nkey,0))&amp;"","")</f>
        <v/>
      </c>
      <c r="S361" s="67" t="str">
        <f>IFERROR(INDEX(jr_num,MATCH("BR356",jr_nkey,0))&amp;"","")</f>
        <v/>
      </c>
      <c r="T361" s="67" t="str">
        <f>IFERROR(INDEX(jr_num,MATCH("BS356",jr_nkey,0))&amp;"","")</f>
        <v/>
      </c>
    </row>
    <row r="362">
      <c r="A362" s="60" t="str">
        <f>IF($O362="","",INDEX(jr_num,$O362)&amp;"")</f>
        <v/>
      </c>
      <c r="B362" s="60" t="str">
        <f>IF($O362="","",IF(INDEX(jr_type,$O362)="BL","Livraison",IF(INDEX(jr_type,$O362)="BR","Réception","Sortie")))</f>
        <v/>
      </c>
      <c r="C362" s="65" t="str">
        <f>IF($O362="","",INDEX(jr_date,$O362))</f>
        <v/>
      </c>
      <c r="D362" s="60" t="str">
        <f>IF($O362="","",INDEX(jr_tiers,$O362)&amp;"")</f>
        <v/>
      </c>
      <c r="E362" s="57" t="str">
        <f>IF($O362="","",INDEX(jr_name,$O362)&amp;"")</f>
        <v/>
      </c>
      <c r="F362" s="57" t="str">
        <f>IF($O362="","",INDEX(jr_order,$O362)&amp;"")</f>
        <v/>
      </c>
      <c r="G362" s="57" t="str">
        <f>IF($O362="","",INDEX(jr_ext,$O362)&amp;"")</f>
        <v/>
      </c>
      <c r="H362" s="57" t="str">
        <f>IF($O362="","",INDEX(jr_carrier,$O362)&amp;"")</f>
        <v/>
      </c>
      <c r="I362" s="66" t="str">
        <f>IF(A362="","",COUNTIF(jr_num,A362))</f>
        <v/>
      </c>
      <c r="J362" s="66" t="str">
        <f>IF(A362="","",SUMIF(jr_num,A362,jr_colis))</f>
        <v/>
      </c>
      <c r="K362" s="63" t="str">
        <f>IF(A362="","",SUMIF(jr_num,A362,jr_kg))</f>
        <v/>
      </c>
      <c r="L362" s="64" t="str">
        <f>IF(A362="","",SUMIF(jr_num,A362,jr_val))</f>
        <v/>
      </c>
      <c r="M362" s="60" t="str">
        <f>IF(A362="","",IF(COUNTIFS(jr_num,A362,jr_check,"&lt;&gt;OK")&gt;0,"À vérifier",IF(LEFT(A362,2)="BL",IF(COUNTIFS(jr_num,A362,jr_rel,"&gt;0")&gt;0,"Reliquat en cours",IF(COUNTIFS(jr_num,A362,jr_gap,"&lt;0")&gt;0,"Reliquat livré","Complet")),IF(LEFT(A362,2)="BR",IF(COUNTIFS(jr_num,A362,jr_etat,"Refusé")&gt;0,"Refusé",IF(COUNTIFS(jr_num,A362,jr_etat,"Avec réserves")&gt;0,"Avec réserves",IF(COUNTIFS(jr_num,A362,jr_rel,"&gt;0")&gt;0,"Reliquat en cours",IF(COUNTIFS(jr_num,A362,jr_gap,"&lt;0")+COUNTIFS(jr_num,A362,jr_gap,"&gt;0")&gt;0,"Écart","Conforme")))),IF(COUNTIFS(jr_num,A362,jr_gap,"&lt;0")&gt;0,"Partiel","Sorti")))))</f>
        <v/>
      </c>
      <c r="O362" t="str">
        <f>IFERROR(MATCH(357,jr_grank,0),"")</f>
        <v/>
      </c>
      <c r="R362" s="67" t="str">
        <f>IFERROR(INDEX(jr_num,MATCH("BL357",jr_nkey,0))&amp;"","")</f>
        <v/>
      </c>
      <c r="S362" s="67" t="str">
        <f>IFERROR(INDEX(jr_num,MATCH("BR357",jr_nkey,0))&amp;"","")</f>
        <v/>
      </c>
      <c r="T362" s="67" t="str">
        <f>IFERROR(INDEX(jr_num,MATCH("BS357",jr_nkey,0))&amp;"","")</f>
        <v/>
      </c>
    </row>
    <row r="363">
      <c r="A363" s="60" t="str">
        <f>IF($O363="","",INDEX(jr_num,$O363)&amp;"")</f>
        <v/>
      </c>
      <c r="B363" s="60" t="str">
        <f>IF($O363="","",IF(INDEX(jr_type,$O363)="BL","Livraison",IF(INDEX(jr_type,$O363)="BR","Réception","Sortie")))</f>
        <v/>
      </c>
      <c r="C363" s="65" t="str">
        <f>IF($O363="","",INDEX(jr_date,$O363))</f>
        <v/>
      </c>
      <c r="D363" s="60" t="str">
        <f>IF($O363="","",INDEX(jr_tiers,$O363)&amp;"")</f>
        <v/>
      </c>
      <c r="E363" s="57" t="str">
        <f>IF($O363="","",INDEX(jr_name,$O363)&amp;"")</f>
        <v/>
      </c>
      <c r="F363" s="57" t="str">
        <f>IF($O363="","",INDEX(jr_order,$O363)&amp;"")</f>
        <v/>
      </c>
      <c r="G363" s="57" t="str">
        <f>IF($O363="","",INDEX(jr_ext,$O363)&amp;"")</f>
        <v/>
      </c>
      <c r="H363" s="57" t="str">
        <f>IF($O363="","",INDEX(jr_carrier,$O363)&amp;"")</f>
        <v/>
      </c>
      <c r="I363" s="66" t="str">
        <f>IF(A363="","",COUNTIF(jr_num,A363))</f>
        <v/>
      </c>
      <c r="J363" s="66" t="str">
        <f>IF(A363="","",SUMIF(jr_num,A363,jr_colis))</f>
        <v/>
      </c>
      <c r="K363" s="63" t="str">
        <f>IF(A363="","",SUMIF(jr_num,A363,jr_kg))</f>
        <v/>
      </c>
      <c r="L363" s="64" t="str">
        <f>IF(A363="","",SUMIF(jr_num,A363,jr_val))</f>
        <v/>
      </c>
      <c r="M363" s="60" t="str">
        <f>IF(A363="","",IF(COUNTIFS(jr_num,A363,jr_check,"&lt;&gt;OK")&gt;0,"À vérifier",IF(LEFT(A363,2)="BL",IF(COUNTIFS(jr_num,A363,jr_rel,"&gt;0")&gt;0,"Reliquat en cours",IF(COUNTIFS(jr_num,A363,jr_gap,"&lt;0")&gt;0,"Reliquat livré","Complet")),IF(LEFT(A363,2)="BR",IF(COUNTIFS(jr_num,A363,jr_etat,"Refusé")&gt;0,"Refusé",IF(COUNTIFS(jr_num,A363,jr_etat,"Avec réserves")&gt;0,"Avec réserves",IF(COUNTIFS(jr_num,A363,jr_rel,"&gt;0")&gt;0,"Reliquat en cours",IF(COUNTIFS(jr_num,A363,jr_gap,"&lt;0")+COUNTIFS(jr_num,A363,jr_gap,"&gt;0")&gt;0,"Écart","Conforme")))),IF(COUNTIFS(jr_num,A363,jr_gap,"&lt;0")&gt;0,"Partiel","Sorti")))))</f>
        <v/>
      </c>
      <c r="O363" t="str">
        <f>IFERROR(MATCH(358,jr_grank,0),"")</f>
        <v/>
      </c>
      <c r="R363" s="67" t="str">
        <f>IFERROR(INDEX(jr_num,MATCH("BL358",jr_nkey,0))&amp;"","")</f>
        <v/>
      </c>
      <c r="S363" s="67" t="str">
        <f>IFERROR(INDEX(jr_num,MATCH("BR358",jr_nkey,0))&amp;"","")</f>
        <v/>
      </c>
      <c r="T363" s="67" t="str">
        <f>IFERROR(INDEX(jr_num,MATCH("BS358",jr_nkey,0))&amp;"","")</f>
        <v/>
      </c>
    </row>
    <row r="364">
      <c r="A364" s="60" t="str">
        <f>IF($O364="","",INDEX(jr_num,$O364)&amp;"")</f>
        <v/>
      </c>
      <c r="B364" s="60" t="str">
        <f>IF($O364="","",IF(INDEX(jr_type,$O364)="BL","Livraison",IF(INDEX(jr_type,$O364)="BR","Réception","Sortie")))</f>
        <v/>
      </c>
      <c r="C364" s="65" t="str">
        <f>IF($O364="","",INDEX(jr_date,$O364))</f>
        <v/>
      </c>
      <c r="D364" s="60" t="str">
        <f>IF($O364="","",INDEX(jr_tiers,$O364)&amp;"")</f>
        <v/>
      </c>
      <c r="E364" s="57" t="str">
        <f>IF($O364="","",INDEX(jr_name,$O364)&amp;"")</f>
        <v/>
      </c>
      <c r="F364" s="57" t="str">
        <f>IF($O364="","",INDEX(jr_order,$O364)&amp;"")</f>
        <v/>
      </c>
      <c r="G364" s="57" t="str">
        <f>IF($O364="","",INDEX(jr_ext,$O364)&amp;"")</f>
        <v/>
      </c>
      <c r="H364" s="57" t="str">
        <f>IF($O364="","",INDEX(jr_carrier,$O364)&amp;"")</f>
        <v/>
      </c>
      <c r="I364" s="66" t="str">
        <f>IF(A364="","",COUNTIF(jr_num,A364))</f>
        <v/>
      </c>
      <c r="J364" s="66" t="str">
        <f>IF(A364="","",SUMIF(jr_num,A364,jr_colis))</f>
        <v/>
      </c>
      <c r="K364" s="63" t="str">
        <f>IF(A364="","",SUMIF(jr_num,A364,jr_kg))</f>
        <v/>
      </c>
      <c r="L364" s="64" t="str">
        <f>IF(A364="","",SUMIF(jr_num,A364,jr_val))</f>
        <v/>
      </c>
      <c r="M364" s="60" t="str">
        <f>IF(A364="","",IF(COUNTIFS(jr_num,A364,jr_check,"&lt;&gt;OK")&gt;0,"À vérifier",IF(LEFT(A364,2)="BL",IF(COUNTIFS(jr_num,A364,jr_rel,"&gt;0")&gt;0,"Reliquat en cours",IF(COUNTIFS(jr_num,A364,jr_gap,"&lt;0")&gt;0,"Reliquat livré","Complet")),IF(LEFT(A364,2)="BR",IF(COUNTIFS(jr_num,A364,jr_etat,"Refusé")&gt;0,"Refusé",IF(COUNTIFS(jr_num,A364,jr_etat,"Avec réserves")&gt;0,"Avec réserves",IF(COUNTIFS(jr_num,A364,jr_rel,"&gt;0")&gt;0,"Reliquat en cours",IF(COUNTIFS(jr_num,A364,jr_gap,"&lt;0")+COUNTIFS(jr_num,A364,jr_gap,"&gt;0")&gt;0,"Écart","Conforme")))),IF(COUNTIFS(jr_num,A364,jr_gap,"&lt;0")&gt;0,"Partiel","Sorti")))))</f>
        <v/>
      </c>
      <c r="O364" t="str">
        <f>IFERROR(MATCH(359,jr_grank,0),"")</f>
        <v/>
      </c>
      <c r="R364" s="67" t="str">
        <f>IFERROR(INDEX(jr_num,MATCH("BL359",jr_nkey,0))&amp;"","")</f>
        <v/>
      </c>
      <c r="S364" s="67" t="str">
        <f>IFERROR(INDEX(jr_num,MATCH("BR359",jr_nkey,0))&amp;"","")</f>
        <v/>
      </c>
      <c r="T364" s="67" t="str">
        <f>IFERROR(INDEX(jr_num,MATCH("BS359",jr_nkey,0))&amp;"","")</f>
        <v/>
      </c>
    </row>
    <row r="365">
      <c r="A365" s="60" t="str">
        <f>IF($O365="","",INDEX(jr_num,$O365)&amp;"")</f>
        <v/>
      </c>
      <c r="B365" s="60" t="str">
        <f>IF($O365="","",IF(INDEX(jr_type,$O365)="BL","Livraison",IF(INDEX(jr_type,$O365)="BR","Réception","Sortie")))</f>
        <v/>
      </c>
      <c r="C365" s="65" t="str">
        <f>IF($O365="","",INDEX(jr_date,$O365))</f>
        <v/>
      </c>
      <c r="D365" s="60" t="str">
        <f>IF($O365="","",INDEX(jr_tiers,$O365)&amp;"")</f>
        <v/>
      </c>
      <c r="E365" s="57" t="str">
        <f>IF($O365="","",INDEX(jr_name,$O365)&amp;"")</f>
        <v/>
      </c>
      <c r="F365" s="57" t="str">
        <f>IF($O365="","",INDEX(jr_order,$O365)&amp;"")</f>
        <v/>
      </c>
      <c r="G365" s="57" t="str">
        <f>IF($O365="","",INDEX(jr_ext,$O365)&amp;"")</f>
        <v/>
      </c>
      <c r="H365" s="57" t="str">
        <f>IF($O365="","",INDEX(jr_carrier,$O365)&amp;"")</f>
        <v/>
      </c>
      <c r="I365" s="66" t="str">
        <f>IF(A365="","",COUNTIF(jr_num,A365))</f>
        <v/>
      </c>
      <c r="J365" s="66" t="str">
        <f>IF(A365="","",SUMIF(jr_num,A365,jr_colis))</f>
        <v/>
      </c>
      <c r="K365" s="63" t="str">
        <f>IF(A365="","",SUMIF(jr_num,A365,jr_kg))</f>
        <v/>
      </c>
      <c r="L365" s="64" t="str">
        <f>IF(A365="","",SUMIF(jr_num,A365,jr_val))</f>
        <v/>
      </c>
      <c r="M365" s="60" t="str">
        <f>IF(A365="","",IF(COUNTIFS(jr_num,A365,jr_check,"&lt;&gt;OK")&gt;0,"À vérifier",IF(LEFT(A365,2)="BL",IF(COUNTIFS(jr_num,A365,jr_rel,"&gt;0")&gt;0,"Reliquat en cours",IF(COUNTIFS(jr_num,A365,jr_gap,"&lt;0")&gt;0,"Reliquat livré","Complet")),IF(LEFT(A365,2)="BR",IF(COUNTIFS(jr_num,A365,jr_etat,"Refusé")&gt;0,"Refusé",IF(COUNTIFS(jr_num,A365,jr_etat,"Avec réserves")&gt;0,"Avec réserves",IF(COUNTIFS(jr_num,A365,jr_rel,"&gt;0")&gt;0,"Reliquat en cours",IF(COUNTIFS(jr_num,A365,jr_gap,"&lt;0")+COUNTIFS(jr_num,A365,jr_gap,"&gt;0")&gt;0,"Écart","Conforme")))),IF(COUNTIFS(jr_num,A365,jr_gap,"&lt;0")&gt;0,"Partiel","Sorti")))))</f>
        <v/>
      </c>
      <c r="O365" t="str">
        <f>IFERROR(MATCH(360,jr_grank,0),"")</f>
        <v/>
      </c>
      <c r="R365" s="67" t="str">
        <f>IFERROR(INDEX(jr_num,MATCH("BL360",jr_nkey,0))&amp;"","")</f>
        <v/>
      </c>
      <c r="S365" s="67" t="str">
        <f>IFERROR(INDEX(jr_num,MATCH("BR360",jr_nkey,0))&amp;"","")</f>
        <v/>
      </c>
      <c r="T365" s="67" t="str">
        <f>IFERROR(INDEX(jr_num,MATCH("BS360",jr_nkey,0))&amp;"","")</f>
        <v/>
      </c>
    </row>
    <row r="366">
      <c r="A366" s="60" t="str">
        <f>IF($O366="","",INDEX(jr_num,$O366)&amp;"")</f>
        <v/>
      </c>
      <c r="B366" s="60" t="str">
        <f>IF($O366="","",IF(INDEX(jr_type,$O366)="BL","Livraison",IF(INDEX(jr_type,$O366)="BR","Réception","Sortie")))</f>
        <v/>
      </c>
      <c r="C366" s="65" t="str">
        <f>IF($O366="","",INDEX(jr_date,$O366))</f>
        <v/>
      </c>
      <c r="D366" s="60" t="str">
        <f>IF($O366="","",INDEX(jr_tiers,$O366)&amp;"")</f>
        <v/>
      </c>
      <c r="E366" s="57" t="str">
        <f>IF($O366="","",INDEX(jr_name,$O366)&amp;"")</f>
        <v/>
      </c>
      <c r="F366" s="57" t="str">
        <f>IF($O366="","",INDEX(jr_order,$O366)&amp;"")</f>
        <v/>
      </c>
      <c r="G366" s="57" t="str">
        <f>IF($O366="","",INDEX(jr_ext,$O366)&amp;"")</f>
        <v/>
      </c>
      <c r="H366" s="57" t="str">
        <f>IF($O366="","",INDEX(jr_carrier,$O366)&amp;"")</f>
        <v/>
      </c>
      <c r="I366" s="66" t="str">
        <f>IF(A366="","",COUNTIF(jr_num,A366))</f>
        <v/>
      </c>
      <c r="J366" s="66" t="str">
        <f>IF(A366="","",SUMIF(jr_num,A366,jr_colis))</f>
        <v/>
      </c>
      <c r="K366" s="63" t="str">
        <f>IF(A366="","",SUMIF(jr_num,A366,jr_kg))</f>
        <v/>
      </c>
      <c r="L366" s="64" t="str">
        <f>IF(A366="","",SUMIF(jr_num,A366,jr_val))</f>
        <v/>
      </c>
      <c r="M366" s="60" t="str">
        <f>IF(A366="","",IF(COUNTIFS(jr_num,A366,jr_check,"&lt;&gt;OK")&gt;0,"À vérifier",IF(LEFT(A366,2)="BL",IF(COUNTIFS(jr_num,A366,jr_rel,"&gt;0")&gt;0,"Reliquat en cours",IF(COUNTIFS(jr_num,A366,jr_gap,"&lt;0")&gt;0,"Reliquat livré","Complet")),IF(LEFT(A366,2)="BR",IF(COUNTIFS(jr_num,A366,jr_etat,"Refusé")&gt;0,"Refusé",IF(COUNTIFS(jr_num,A366,jr_etat,"Avec réserves")&gt;0,"Avec réserves",IF(COUNTIFS(jr_num,A366,jr_rel,"&gt;0")&gt;0,"Reliquat en cours",IF(COUNTIFS(jr_num,A366,jr_gap,"&lt;0")+COUNTIFS(jr_num,A366,jr_gap,"&gt;0")&gt;0,"Écart","Conforme")))),IF(COUNTIFS(jr_num,A366,jr_gap,"&lt;0")&gt;0,"Partiel","Sorti")))))</f>
        <v/>
      </c>
      <c r="O366" t="str">
        <f>IFERROR(MATCH(361,jr_grank,0),"")</f>
        <v/>
      </c>
      <c r="R366" s="67" t="str">
        <f>IFERROR(INDEX(jr_num,MATCH("BL361",jr_nkey,0))&amp;"","")</f>
        <v/>
      </c>
      <c r="S366" s="67" t="str">
        <f>IFERROR(INDEX(jr_num,MATCH("BR361",jr_nkey,0))&amp;"","")</f>
        <v/>
      </c>
      <c r="T366" s="67" t="str">
        <f>IFERROR(INDEX(jr_num,MATCH("BS361",jr_nkey,0))&amp;"","")</f>
        <v/>
      </c>
    </row>
    <row r="367">
      <c r="A367" s="60" t="str">
        <f>IF($O367="","",INDEX(jr_num,$O367)&amp;"")</f>
        <v/>
      </c>
      <c r="B367" s="60" t="str">
        <f>IF($O367="","",IF(INDEX(jr_type,$O367)="BL","Livraison",IF(INDEX(jr_type,$O367)="BR","Réception","Sortie")))</f>
        <v/>
      </c>
      <c r="C367" s="65" t="str">
        <f>IF($O367="","",INDEX(jr_date,$O367))</f>
        <v/>
      </c>
      <c r="D367" s="60" t="str">
        <f>IF($O367="","",INDEX(jr_tiers,$O367)&amp;"")</f>
        <v/>
      </c>
      <c r="E367" s="57" t="str">
        <f>IF($O367="","",INDEX(jr_name,$O367)&amp;"")</f>
        <v/>
      </c>
      <c r="F367" s="57" t="str">
        <f>IF($O367="","",INDEX(jr_order,$O367)&amp;"")</f>
        <v/>
      </c>
      <c r="G367" s="57" t="str">
        <f>IF($O367="","",INDEX(jr_ext,$O367)&amp;"")</f>
        <v/>
      </c>
      <c r="H367" s="57" t="str">
        <f>IF($O367="","",INDEX(jr_carrier,$O367)&amp;"")</f>
        <v/>
      </c>
      <c r="I367" s="66" t="str">
        <f>IF(A367="","",COUNTIF(jr_num,A367))</f>
        <v/>
      </c>
      <c r="J367" s="66" t="str">
        <f>IF(A367="","",SUMIF(jr_num,A367,jr_colis))</f>
        <v/>
      </c>
      <c r="K367" s="63" t="str">
        <f>IF(A367="","",SUMIF(jr_num,A367,jr_kg))</f>
        <v/>
      </c>
      <c r="L367" s="64" t="str">
        <f>IF(A367="","",SUMIF(jr_num,A367,jr_val))</f>
        <v/>
      </c>
      <c r="M367" s="60" t="str">
        <f>IF(A367="","",IF(COUNTIFS(jr_num,A367,jr_check,"&lt;&gt;OK")&gt;0,"À vérifier",IF(LEFT(A367,2)="BL",IF(COUNTIFS(jr_num,A367,jr_rel,"&gt;0")&gt;0,"Reliquat en cours",IF(COUNTIFS(jr_num,A367,jr_gap,"&lt;0")&gt;0,"Reliquat livré","Complet")),IF(LEFT(A367,2)="BR",IF(COUNTIFS(jr_num,A367,jr_etat,"Refusé")&gt;0,"Refusé",IF(COUNTIFS(jr_num,A367,jr_etat,"Avec réserves")&gt;0,"Avec réserves",IF(COUNTIFS(jr_num,A367,jr_rel,"&gt;0")&gt;0,"Reliquat en cours",IF(COUNTIFS(jr_num,A367,jr_gap,"&lt;0")+COUNTIFS(jr_num,A367,jr_gap,"&gt;0")&gt;0,"Écart","Conforme")))),IF(COUNTIFS(jr_num,A367,jr_gap,"&lt;0")&gt;0,"Partiel","Sorti")))))</f>
        <v/>
      </c>
      <c r="O367" t="str">
        <f>IFERROR(MATCH(362,jr_grank,0),"")</f>
        <v/>
      </c>
      <c r="R367" s="67" t="str">
        <f>IFERROR(INDEX(jr_num,MATCH("BL362",jr_nkey,0))&amp;"","")</f>
        <v/>
      </c>
      <c r="S367" s="67" t="str">
        <f>IFERROR(INDEX(jr_num,MATCH("BR362",jr_nkey,0))&amp;"","")</f>
        <v/>
      </c>
      <c r="T367" s="67" t="str">
        <f>IFERROR(INDEX(jr_num,MATCH("BS362",jr_nkey,0))&amp;"","")</f>
        <v/>
      </c>
    </row>
    <row r="368">
      <c r="A368" s="60" t="str">
        <f>IF($O368="","",INDEX(jr_num,$O368)&amp;"")</f>
        <v/>
      </c>
      <c r="B368" s="60" t="str">
        <f>IF($O368="","",IF(INDEX(jr_type,$O368)="BL","Livraison",IF(INDEX(jr_type,$O368)="BR","Réception","Sortie")))</f>
        <v/>
      </c>
      <c r="C368" s="65" t="str">
        <f>IF($O368="","",INDEX(jr_date,$O368))</f>
        <v/>
      </c>
      <c r="D368" s="60" t="str">
        <f>IF($O368="","",INDEX(jr_tiers,$O368)&amp;"")</f>
        <v/>
      </c>
      <c r="E368" s="57" t="str">
        <f>IF($O368="","",INDEX(jr_name,$O368)&amp;"")</f>
        <v/>
      </c>
      <c r="F368" s="57" t="str">
        <f>IF($O368="","",INDEX(jr_order,$O368)&amp;"")</f>
        <v/>
      </c>
      <c r="G368" s="57" t="str">
        <f>IF($O368="","",INDEX(jr_ext,$O368)&amp;"")</f>
        <v/>
      </c>
      <c r="H368" s="57" t="str">
        <f>IF($O368="","",INDEX(jr_carrier,$O368)&amp;"")</f>
        <v/>
      </c>
      <c r="I368" s="66" t="str">
        <f>IF(A368="","",COUNTIF(jr_num,A368))</f>
        <v/>
      </c>
      <c r="J368" s="66" t="str">
        <f>IF(A368="","",SUMIF(jr_num,A368,jr_colis))</f>
        <v/>
      </c>
      <c r="K368" s="63" t="str">
        <f>IF(A368="","",SUMIF(jr_num,A368,jr_kg))</f>
        <v/>
      </c>
      <c r="L368" s="64" t="str">
        <f>IF(A368="","",SUMIF(jr_num,A368,jr_val))</f>
        <v/>
      </c>
      <c r="M368" s="60" t="str">
        <f>IF(A368="","",IF(COUNTIFS(jr_num,A368,jr_check,"&lt;&gt;OK")&gt;0,"À vérifier",IF(LEFT(A368,2)="BL",IF(COUNTIFS(jr_num,A368,jr_rel,"&gt;0")&gt;0,"Reliquat en cours",IF(COUNTIFS(jr_num,A368,jr_gap,"&lt;0")&gt;0,"Reliquat livré","Complet")),IF(LEFT(A368,2)="BR",IF(COUNTIFS(jr_num,A368,jr_etat,"Refusé")&gt;0,"Refusé",IF(COUNTIFS(jr_num,A368,jr_etat,"Avec réserves")&gt;0,"Avec réserves",IF(COUNTIFS(jr_num,A368,jr_rel,"&gt;0")&gt;0,"Reliquat en cours",IF(COUNTIFS(jr_num,A368,jr_gap,"&lt;0")+COUNTIFS(jr_num,A368,jr_gap,"&gt;0")&gt;0,"Écart","Conforme")))),IF(COUNTIFS(jr_num,A368,jr_gap,"&lt;0")&gt;0,"Partiel","Sorti")))))</f>
        <v/>
      </c>
      <c r="O368" t="str">
        <f>IFERROR(MATCH(363,jr_grank,0),"")</f>
        <v/>
      </c>
      <c r="R368" s="67" t="str">
        <f>IFERROR(INDEX(jr_num,MATCH("BL363",jr_nkey,0))&amp;"","")</f>
        <v/>
      </c>
      <c r="S368" s="67" t="str">
        <f>IFERROR(INDEX(jr_num,MATCH("BR363",jr_nkey,0))&amp;"","")</f>
        <v/>
      </c>
      <c r="T368" s="67" t="str">
        <f>IFERROR(INDEX(jr_num,MATCH("BS363",jr_nkey,0))&amp;"","")</f>
        <v/>
      </c>
    </row>
    <row r="369">
      <c r="A369" s="60" t="str">
        <f>IF($O369="","",INDEX(jr_num,$O369)&amp;"")</f>
        <v/>
      </c>
      <c r="B369" s="60" t="str">
        <f>IF($O369="","",IF(INDEX(jr_type,$O369)="BL","Livraison",IF(INDEX(jr_type,$O369)="BR","Réception","Sortie")))</f>
        <v/>
      </c>
      <c r="C369" s="65" t="str">
        <f>IF($O369="","",INDEX(jr_date,$O369))</f>
        <v/>
      </c>
      <c r="D369" s="60" t="str">
        <f>IF($O369="","",INDEX(jr_tiers,$O369)&amp;"")</f>
        <v/>
      </c>
      <c r="E369" s="57" t="str">
        <f>IF($O369="","",INDEX(jr_name,$O369)&amp;"")</f>
        <v/>
      </c>
      <c r="F369" s="57" t="str">
        <f>IF($O369="","",INDEX(jr_order,$O369)&amp;"")</f>
        <v/>
      </c>
      <c r="G369" s="57" t="str">
        <f>IF($O369="","",INDEX(jr_ext,$O369)&amp;"")</f>
        <v/>
      </c>
      <c r="H369" s="57" t="str">
        <f>IF($O369="","",INDEX(jr_carrier,$O369)&amp;"")</f>
        <v/>
      </c>
      <c r="I369" s="66" t="str">
        <f>IF(A369="","",COUNTIF(jr_num,A369))</f>
        <v/>
      </c>
      <c r="J369" s="66" t="str">
        <f>IF(A369="","",SUMIF(jr_num,A369,jr_colis))</f>
        <v/>
      </c>
      <c r="K369" s="63" t="str">
        <f>IF(A369="","",SUMIF(jr_num,A369,jr_kg))</f>
        <v/>
      </c>
      <c r="L369" s="64" t="str">
        <f>IF(A369="","",SUMIF(jr_num,A369,jr_val))</f>
        <v/>
      </c>
      <c r="M369" s="60" t="str">
        <f>IF(A369="","",IF(COUNTIFS(jr_num,A369,jr_check,"&lt;&gt;OK")&gt;0,"À vérifier",IF(LEFT(A369,2)="BL",IF(COUNTIFS(jr_num,A369,jr_rel,"&gt;0")&gt;0,"Reliquat en cours",IF(COUNTIFS(jr_num,A369,jr_gap,"&lt;0")&gt;0,"Reliquat livré","Complet")),IF(LEFT(A369,2)="BR",IF(COUNTIFS(jr_num,A369,jr_etat,"Refusé")&gt;0,"Refusé",IF(COUNTIFS(jr_num,A369,jr_etat,"Avec réserves")&gt;0,"Avec réserves",IF(COUNTIFS(jr_num,A369,jr_rel,"&gt;0")&gt;0,"Reliquat en cours",IF(COUNTIFS(jr_num,A369,jr_gap,"&lt;0")+COUNTIFS(jr_num,A369,jr_gap,"&gt;0")&gt;0,"Écart","Conforme")))),IF(COUNTIFS(jr_num,A369,jr_gap,"&lt;0")&gt;0,"Partiel","Sorti")))))</f>
        <v/>
      </c>
      <c r="O369" t="str">
        <f>IFERROR(MATCH(364,jr_grank,0),"")</f>
        <v/>
      </c>
      <c r="R369" s="67" t="str">
        <f>IFERROR(INDEX(jr_num,MATCH("BL364",jr_nkey,0))&amp;"","")</f>
        <v/>
      </c>
      <c r="S369" s="67" t="str">
        <f>IFERROR(INDEX(jr_num,MATCH("BR364",jr_nkey,0))&amp;"","")</f>
        <v/>
      </c>
      <c r="T369" s="67" t="str">
        <f>IFERROR(INDEX(jr_num,MATCH("BS364",jr_nkey,0))&amp;"","")</f>
        <v/>
      </c>
    </row>
    <row r="370">
      <c r="A370" s="60" t="str">
        <f>IF($O370="","",INDEX(jr_num,$O370)&amp;"")</f>
        <v/>
      </c>
      <c r="B370" s="60" t="str">
        <f>IF($O370="","",IF(INDEX(jr_type,$O370)="BL","Livraison",IF(INDEX(jr_type,$O370)="BR","Réception","Sortie")))</f>
        <v/>
      </c>
      <c r="C370" s="65" t="str">
        <f>IF($O370="","",INDEX(jr_date,$O370))</f>
        <v/>
      </c>
      <c r="D370" s="60" t="str">
        <f>IF($O370="","",INDEX(jr_tiers,$O370)&amp;"")</f>
        <v/>
      </c>
      <c r="E370" s="57" t="str">
        <f>IF($O370="","",INDEX(jr_name,$O370)&amp;"")</f>
        <v/>
      </c>
      <c r="F370" s="57" t="str">
        <f>IF($O370="","",INDEX(jr_order,$O370)&amp;"")</f>
        <v/>
      </c>
      <c r="G370" s="57" t="str">
        <f>IF($O370="","",INDEX(jr_ext,$O370)&amp;"")</f>
        <v/>
      </c>
      <c r="H370" s="57" t="str">
        <f>IF($O370="","",INDEX(jr_carrier,$O370)&amp;"")</f>
        <v/>
      </c>
      <c r="I370" s="66" t="str">
        <f>IF(A370="","",COUNTIF(jr_num,A370))</f>
        <v/>
      </c>
      <c r="J370" s="66" t="str">
        <f>IF(A370="","",SUMIF(jr_num,A370,jr_colis))</f>
        <v/>
      </c>
      <c r="K370" s="63" t="str">
        <f>IF(A370="","",SUMIF(jr_num,A370,jr_kg))</f>
        <v/>
      </c>
      <c r="L370" s="64" t="str">
        <f>IF(A370="","",SUMIF(jr_num,A370,jr_val))</f>
        <v/>
      </c>
      <c r="M370" s="60" t="str">
        <f>IF(A370="","",IF(COUNTIFS(jr_num,A370,jr_check,"&lt;&gt;OK")&gt;0,"À vérifier",IF(LEFT(A370,2)="BL",IF(COUNTIFS(jr_num,A370,jr_rel,"&gt;0")&gt;0,"Reliquat en cours",IF(COUNTIFS(jr_num,A370,jr_gap,"&lt;0")&gt;0,"Reliquat livré","Complet")),IF(LEFT(A370,2)="BR",IF(COUNTIFS(jr_num,A370,jr_etat,"Refusé")&gt;0,"Refusé",IF(COUNTIFS(jr_num,A370,jr_etat,"Avec réserves")&gt;0,"Avec réserves",IF(COUNTIFS(jr_num,A370,jr_rel,"&gt;0")&gt;0,"Reliquat en cours",IF(COUNTIFS(jr_num,A370,jr_gap,"&lt;0")+COUNTIFS(jr_num,A370,jr_gap,"&gt;0")&gt;0,"Écart","Conforme")))),IF(COUNTIFS(jr_num,A370,jr_gap,"&lt;0")&gt;0,"Partiel","Sorti")))))</f>
        <v/>
      </c>
      <c r="O370" t="str">
        <f>IFERROR(MATCH(365,jr_grank,0),"")</f>
        <v/>
      </c>
      <c r="R370" s="67" t="str">
        <f>IFERROR(INDEX(jr_num,MATCH("BL365",jr_nkey,0))&amp;"","")</f>
        <v/>
      </c>
      <c r="S370" s="67" t="str">
        <f>IFERROR(INDEX(jr_num,MATCH("BR365",jr_nkey,0))&amp;"","")</f>
        <v/>
      </c>
      <c r="T370" s="67" t="str">
        <f>IFERROR(INDEX(jr_num,MATCH("BS365",jr_nkey,0))&amp;"","")</f>
        <v/>
      </c>
    </row>
    <row r="371">
      <c r="A371" s="60" t="str">
        <f>IF($O371="","",INDEX(jr_num,$O371)&amp;"")</f>
        <v/>
      </c>
      <c r="B371" s="60" t="str">
        <f>IF($O371="","",IF(INDEX(jr_type,$O371)="BL","Livraison",IF(INDEX(jr_type,$O371)="BR","Réception","Sortie")))</f>
        <v/>
      </c>
      <c r="C371" s="65" t="str">
        <f>IF($O371="","",INDEX(jr_date,$O371))</f>
        <v/>
      </c>
      <c r="D371" s="60" t="str">
        <f>IF($O371="","",INDEX(jr_tiers,$O371)&amp;"")</f>
        <v/>
      </c>
      <c r="E371" s="57" t="str">
        <f>IF($O371="","",INDEX(jr_name,$O371)&amp;"")</f>
        <v/>
      </c>
      <c r="F371" s="57" t="str">
        <f>IF($O371="","",INDEX(jr_order,$O371)&amp;"")</f>
        <v/>
      </c>
      <c r="G371" s="57" t="str">
        <f>IF($O371="","",INDEX(jr_ext,$O371)&amp;"")</f>
        <v/>
      </c>
      <c r="H371" s="57" t="str">
        <f>IF($O371="","",INDEX(jr_carrier,$O371)&amp;"")</f>
        <v/>
      </c>
      <c r="I371" s="66" t="str">
        <f>IF(A371="","",COUNTIF(jr_num,A371))</f>
        <v/>
      </c>
      <c r="J371" s="66" t="str">
        <f>IF(A371="","",SUMIF(jr_num,A371,jr_colis))</f>
        <v/>
      </c>
      <c r="K371" s="63" t="str">
        <f>IF(A371="","",SUMIF(jr_num,A371,jr_kg))</f>
        <v/>
      </c>
      <c r="L371" s="64" t="str">
        <f>IF(A371="","",SUMIF(jr_num,A371,jr_val))</f>
        <v/>
      </c>
      <c r="M371" s="60" t="str">
        <f>IF(A371="","",IF(COUNTIFS(jr_num,A371,jr_check,"&lt;&gt;OK")&gt;0,"À vérifier",IF(LEFT(A371,2)="BL",IF(COUNTIFS(jr_num,A371,jr_rel,"&gt;0")&gt;0,"Reliquat en cours",IF(COUNTIFS(jr_num,A371,jr_gap,"&lt;0")&gt;0,"Reliquat livré","Complet")),IF(LEFT(A371,2)="BR",IF(COUNTIFS(jr_num,A371,jr_etat,"Refusé")&gt;0,"Refusé",IF(COUNTIFS(jr_num,A371,jr_etat,"Avec réserves")&gt;0,"Avec réserves",IF(COUNTIFS(jr_num,A371,jr_rel,"&gt;0")&gt;0,"Reliquat en cours",IF(COUNTIFS(jr_num,A371,jr_gap,"&lt;0")+COUNTIFS(jr_num,A371,jr_gap,"&gt;0")&gt;0,"Écart","Conforme")))),IF(COUNTIFS(jr_num,A371,jr_gap,"&lt;0")&gt;0,"Partiel","Sorti")))))</f>
        <v/>
      </c>
      <c r="O371" t="str">
        <f>IFERROR(MATCH(366,jr_grank,0),"")</f>
        <v/>
      </c>
      <c r="R371" s="67" t="str">
        <f>IFERROR(INDEX(jr_num,MATCH("BL366",jr_nkey,0))&amp;"","")</f>
        <v/>
      </c>
      <c r="S371" s="67" t="str">
        <f>IFERROR(INDEX(jr_num,MATCH("BR366",jr_nkey,0))&amp;"","")</f>
        <v/>
      </c>
      <c r="T371" s="67" t="str">
        <f>IFERROR(INDEX(jr_num,MATCH("BS366",jr_nkey,0))&amp;"","")</f>
        <v/>
      </c>
    </row>
    <row r="372">
      <c r="A372" s="60" t="str">
        <f>IF($O372="","",INDEX(jr_num,$O372)&amp;"")</f>
        <v/>
      </c>
      <c r="B372" s="60" t="str">
        <f>IF($O372="","",IF(INDEX(jr_type,$O372)="BL","Livraison",IF(INDEX(jr_type,$O372)="BR","Réception","Sortie")))</f>
        <v/>
      </c>
      <c r="C372" s="65" t="str">
        <f>IF($O372="","",INDEX(jr_date,$O372))</f>
        <v/>
      </c>
      <c r="D372" s="60" t="str">
        <f>IF($O372="","",INDEX(jr_tiers,$O372)&amp;"")</f>
        <v/>
      </c>
      <c r="E372" s="57" t="str">
        <f>IF($O372="","",INDEX(jr_name,$O372)&amp;"")</f>
        <v/>
      </c>
      <c r="F372" s="57" t="str">
        <f>IF($O372="","",INDEX(jr_order,$O372)&amp;"")</f>
        <v/>
      </c>
      <c r="G372" s="57" t="str">
        <f>IF($O372="","",INDEX(jr_ext,$O372)&amp;"")</f>
        <v/>
      </c>
      <c r="H372" s="57" t="str">
        <f>IF($O372="","",INDEX(jr_carrier,$O372)&amp;"")</f>
        <v/>
      </c>
      <c r="I372" s="66" t="str">
        <f>IF(A372="","",COUNTIF(jr_num,A372))</f>
        <v/>
      </c>
      <c r="J372" s="66" t="str">
        <f>IF(A372="","",SUMIF(jr_num,A372,jr_colis))</f>
        <v/>
      </c>
      <c r="K372" s="63" t="str">
        <f>IF(A372="","",SUMIF(jr_num,A372,jr_kg))</f>
        <v/>
      </c>
      <c r="L372" s="64" t="str">
        <f>IF(A372="","",SUMIF(jr_num,A372,jr_val))</f>
        <v/>
      </c>
      <c r="M372" s="60" t="str">
        <f>IF(A372="","",IF(COUNTIFS(jr_num,A372,jr_check,"&lt;&gt;OK")&gt;0,"À vérifier",IF(LEFT(A372,2)="BL",IF(COUNTIFS(jr_num,A372,jr_rel,"&gt;0")&gt;0,"Reliquat en cours",IF(COUNTIFS(jr_num,A372,jr_gap,"&lt;0")&gt;0,"Reliquat livré","Complet")),IF(LEFT(A372,2)="BR",IF(COUNTIFS(jr_num,A372,jr_etat,"Refusé")&gt;0,"Refusé",IF(COUNTIFS(jr_num,A372,jr_etat,"Avec réserves")&gt;0,"Avec réserves",IF(COUNTIFS(jr_num,A372,jr_rel,"&gt;0")&gt;0,"Reliquat en cours",IF(COUNTIFS(jr_num,A372,jr_gap,"&lt;0")+COUNTIFS(jr_num,A372,jr_gap,"&gt;0")&gt;0,"Écart","Conforme")))),IF(COUNTIFS(jr_num,A372,jr_gap,"&lt;0")&gt;0,"Partiel","Sorti")))))</f>
        <v/>
      </c>
      <c r="O372" t="str">
        <f>IFERROR(MATCH(367,jr_grank,0),"")</f>
        <v/>
      </c>
      <c r="R372" s="67" t="str">
        <f>IFERROR(INDEX(jr_num,MATCH("BL367",jr_nkey,0))&amp;"","")</f>
        <v/>
      </c>
      <c r="S372" s="67" t="str">
        <f>IFERROR(INDEX(jr_num,MATCH("BR367",jr_nkey,0))&amp;"","")</f>
        <v/>
      </c>
      <c r="T372" s="67" t="str">
        <f>IFERROR(INDEX(jr_num,MATCH("BS367",jr_nkey,0))&amp;"","")</f>
        <v/>
      </c>
    </row>
    <row r="373">
      <c r="A373" s="60" t="str">
        <f>IF($O373="","",INDEX(jr_num,$O373)&amp;"")</f>
        <v/>
      </c>
      <c r="B373" s="60" t="str">
        <f>IF($O373="","",IF(INDEX(jr_type,$O373)="BL","Livraison",IF(INDEX(jr_type,$O373)="BR","Réception","Sortie")))</f>
        <v/>
      </c>
      <c r="C373" s="65" t="str">
        <f>IF($O373="","",INDEX(jr_date,$O373))</f>
        <v/>
      </c>
      <c r="D373" s="60" t="str">
        <f>IF($O373="","",INDEX(jr_tiers,$O373)&amp;"")</f>
        <v/>
      </c>
      <c r="E373" s="57" t="str">
        <f>IF($O373="","",INDEX(jr_name,$O373)&amp;"")</f>
        <v/>
      </c>
      <c r="F373" s="57" t="str">
        <f>IF($O373="","",INDEX(jr_order,$O373)&amp;"")</f>
        <v/>
      </c>
      <c r="G373" s="57" t="str">
        <f>IF($O373="","",INDEX(jr_ext,$O373)&amp;"")</f>
        <v/>
      </c>
      <c r="H373" s="57" t="str">
        <f>IF($O373="","",INDEX(jr_carrier,$O373)&amp;"")</f>
        <v/>
      </c>
      <c r="I373" s="66" t="str">
        <f>IF(A373="","",COUNTIF(jr_num,A373))</f>
        <v/>
      </c>
      <c r="J373" s="66" t="str">
        <f>IF(A373="","",SUMIF(jr_num,A373,jr_colis))</f>
        <v/>
      </c>
      <c r="K373" s="63" t="str">
        <f>IF(A373="","",SUMIF(jr_num,A373,jr_kg))</f>
        <v/>
      </c>
      <c r="L373" s="64" t="str">
        <f>IF(A373="","",SUMIF(jr_num,A373,jr_val))</f>
        <v/>
      </c>
      <c r="M373" s="60" t="str">
        <f>IF(A373="","",IF(COUNTIFS(jr_num,A373,jr_check,"&lt;&gt;OK")&gt;0,"À vérifier",IF(LEFT(A373,2)="BL",IF(COUNTIFS(jr_num,A373,jr_rel,"&gt;0")&gt;0,"Reliquat en cours",IF(COUNTIFS(jr_num,A373,jr_gap,"&lt;0")&gt;0,"Reliquat livré","Complet")),IF(LEFT(A373,2)="BR",IF(COUNTIFS(jr_num,A373,jr_etat,"Refusé")&gt;0,"Refusé",IF(COUNTIFS(jr_num,A373,jr_etat,"Avec réserves")&gt;0,"Avec réserves",IF(COUNTIFS(jr_num,A373,jr_rel,"&gt;0")&gt;0,"Reliquat en cours",IF(COUNTIFS(jr_num,A373,jr_gap,"&lt;0")+COUNTIFS(jr_num,A373,jr_gap,"&gt;0")&gt;0,"Écart","Conforme")))),IF(COUNTIFS(jr_num,A373,jr_gap,"&lt;0")&gt;0,"Partiel","Sorti")))))</f>
        <v/>
      </c>
      <c r="O373" t="str">
        <f>IFERROR(MATCH(368,jr_grank,0),"")</f>
        <v/>
      </c>
      <c r="R373" s="67" t="str">
        <f>IFERROR(INDEX(jr_num,MATCH("BL368",jr_nkey,0))&amp;"","")</f>
        <v/>
      </c>
      <c r="S373" s="67" t="str">
        <f>IFERROR(INDEX(jr_num,MATCH("BR368",jr_nkey,0))&amp;"","")</f>
        <v/>
      </c>
      <c r="T373" s="67" t="str">
        <f>IFERROR(INDEX(jr_num,MATCH("BS368",jr_nkey,0))&amp;"","")</f>
        <v/>
      </c>
    </row>
    <row r="374">
      <c r="A374" s="60" t="str">
        <f>IF($O374="","",INDEX(jr_num,$O374)&amp;"")</f>
        <v/>
      </c>
      <c r="B374" s="60" t="str">
        <f>IF($O374="","",IF(INDEX(jr_type,$O374)="BL","Livraison",IF(INDEX(jr_type,$O374)="BR","Réception","Sortie")))</f>
        <v/>
      </c>
      <c r="C374" s="65" t="str">
        <f>IF($O374="","",INDEX(jr_date,$O374))</f>
        <v/>
      </c>
      <c r="D374" s="60" t="str">
        <f>IF($O374="","",INDEX(jr_tiers,$O374)&amp;"")</f>
        <v/>
      </c>
      <c r="E374" s="57" t="str">
        <f>IF($O374="","",INDEX(jr_name,$O374)&amp;"")</f>
        <v/>
      </c>
      <c r="F374" s="57" t="str">
        <f>IF($O374="","",INDEX(jr_order,$O374)&amp;"")</f>
        <v/>
      </c>
      <c r="G374" s="57" t="str">
        <f>IF($O374="","",INDEX(jr_ext,$O374)&amp;"")</f>
        <v/>
      </c>
      <c r="H374" s="57" t="str">
        <f>IF($O374="","",INDEX(jr_carrier,$O374)&amp;"")</f>
        <v/>
      </c>
      <c r="I374" s="66" t="str">
        <f>IF(A374="","",COUNTIF(jr_num,A374))</f>
        <v/>
      </c>
      <c r="J374" s="66" t="str">
        <f>IF(A374="","",SUMIF(jr_num,A374,jr_colis))</f>
        <v/>
      </c>
      <c r="K374" s="63" t="str">
        <f>IF(A374="","",SUMIF(jr_num,A374,jr_kg))</f>
        <v/>
      </c>
      <c r="L374" s="64" t="str">
        <f>IF(A374="","",SUMIF(jr_num,A374,jr_val))</f>
        <v/>
      </c>
      <c r="M374" s="60" t="str">
        <f>IF(A374="","",IF(COUNTIFS(jr_num,A374,jr_check,"&lt;&gt;OK")&gt;0,"À vérifier",IF(LEFT(A374,2)="BL",IF(COUNTIFS(jr_num,A374,jr_rel,"&gt;0")&gt;0,"Reliquat en cours",IF(COUNTIFS(jr_num,A374,jr_gap,"&lt;0")&gt;0,"Reliquat livré","Complet")),IF(LEFT(A374,2)="BR",IF(COUNTIFS(jr_num,A374,jr_etat,"Refusé")&gt;0,"Refusé",IF(COUNTIFS(jr_num,A374,jr_etat,"Avec réserves")&gt;0,"Avec réserves",IF(COUNTIFS(jr_num,A374,jr_rel,"&gt;0")&gt;0,"Reliquat en cours",IF(COUNTIFS(jr_num,A374,jr_gap,"&lt;0")+COUNTIFS(jr_num,A374,jr_gap,"&gt;0")&gt;0,"Écart","Conforme")))),IF(COUNTIFS(jr_num,A374,jr_gap,"&lt;0")&gt;0,"Partiel","Sorti")))))</f>
        <v/>
      </c>
      <c r="O374" t="str">
        <f>IFERROR(MATCH(369,jr_grank,0),"")</f>
        <v/>
      </c>
      <c r="R374" s="67" t="str">
        <f>IFERROR(INDEX(jr_num,MATCH("BL369",jr_nkey,0))&amp;"","")</f>
        <v/>
      </c>
      <c r="S374" s="67" t="str">
        <f>IFERROR(INDEX(jr_num,MATCH("BR369",jr_nkey,0))&amp;"","")</f>
        <v/>
      </c>
      <c r="T374" s="67" t="str">
        <f>IFERROR(INDEX(jr_num,MATCH("BS369",jr_nkey,0))&amp;"","")</f>
        <v/>
      </c>
    </row>
    <row r="375">
      <c r="A375" s="60" t="str">
        <f>IF($O375="","",INDEX(jr_num,$O375)&amp;"")</f>
        <v/>
      </c>
      <c r="B375" s="60" t="str">
        <f>IF($O375="","",IF(INDEX(jr_type,$O375)="BL","Livraison",IF(INDEX(jr_type,$O375)="BR","Réception","Sortie")))</f>
        <v/>
      </c>
      <c r="C375" s="65" t="str">
        <f>IF($O375="","",INDEX(jr_date,$O375))</f>
        <v/>
      </c>
      <c r="D375" s="60" t="str">
        <f>IF($O375="","",INDEX(jr_tiers,$O375)&amp;"")</f>
        <v/>
      </c>
      <c r="E375" s="57" t="str">
        <f>IF($O375="","",INDEX(jr_name,$O375)&amp;"")</f>
        <v/>
      </c>
      <c r="F375" s="57" t="str">
        <f>IF($O375="","",INDEX(jr_order,$O375)&amp;"")</f>
        <v/>
      </c>
      <c r="G375" s="57" t="str">
        <f>IF($O375="","",INDEX(jr_ext,$O375)&amp;"")</f>
        <v/>
      </c>
      <c r="H375" s="57" t="str">
        <f>IF($O375="","",INDEX(jr_carrier,$O375)&amp;"")</f>
        <v/>
      </c>
      <c r="I375" s="66" t="str">
        <f>IF(A375="","",COUNTIF(jr_num,A375))</f>
        <v/>
      </c>
      <c r="J375" s="66" t="str">
        <f>IF(A375="","",SUMIF(jr_num,A375,jr_colis))</f>
        <v/>
      </c>
      <c r="K375" s="63" t="str">
        <f>IF(A375="","",SUMIF(jr_num,A375,jr_kg))</f>
        <v/>
      </c>
      <c r="L375" s="64" t="str">
        <f>IF(A375="","",SUMIF(jr_num,A375,jr_val))</f>
        <v/>
      </c>
      <c r="M375" s="60" t="str">
        <f>IF(A375="","",IF(COUNTIFS(jr_num,A375,jr_check,"&lt;&gt;OK")&gt;0,"À vérifier",IF(LEFT(A375,2)="BL",IF(COUNTIFS(jr_num,A375,jr_rel,"&gt;0")&gt;0,"Reliquat en cours",IF(COUNTIFS(jr_num,A375,jr_gap,"&lt;0")&gt;0,"Reliquat livré","Complet")),IF(LEFT(A375,2)="BR",IF(COUNTIFS(jr_num,A375,jr_etat,"Refusé")&gt;0,"Refusé",IF(COUNTIFS(jr_num,A375,jr_etat,"Avec réserves")&gt;0,"Avec réserves",IF(COUNTIFS(jr_num,A375,jr_rel,"&gt;0")&gt;0,"Reliquat en cours",IF(COUNTIFS(jr_num,A375,jr_gap,"&lt;0")+COUNTIFS(jr_num,A375,jr_gap,"&gt;0")&gt;0,"Écart","Conforme")))),IF(COUNTIFS(jr_num,A375,jr_gap,"&lt;0")&gt;0,"Partiel","Sorti")))))</f>
        <v/>
      </c>
      <c r="O375" t="str">
        <f>IFERROR(MATCH(370,jr_grank,0),"")</f>
        <v/>
      </c>
      <c r="R375" s="67" t="str">
        <f>IFERROR(INDEX(jr_num,MATCH("BL370",jr_nkey,0))&amp;"","")</f>
        <v/>
      </c>
      <c r="S375" s="67" t="str">
        <f>IFERROR(INDEX(jr_num,MATCH("BR370",jr_nkey,0))&amp;"","")</f>
        <v/>
      </c>
      <c r="T375" s="67" t="str">
        <f>IFERROR(INDEX(jr_num,MATCH("BS370",jr_nkey,0))&amp;"","")</f>
        <v/>
      </c>
    </row>
    <row r="376">
      <c r="A376" s="60" t="str">
        <f>IF($O376="","",INDEX(jr_num,$O376)&amp;"")</f>
        <v/>
      </c>
      <c r="B376" s="60" t="str">
        <f>IF($O376="","",IF(INDEX(jr_type,$O376)="BL","Livraison",IF(INDEX(jr_type,$O376)="BR","Réception","Sortie")))</f>
        <v/>
      </c>
      <c r="C376" s="65" t="str">
        <f>IF($O376="","",INDEX(jr_date,$O376))</f>
        <v/>
      </c>
      <c r="D376" s="60" t="str">
        <f>IF($O376="","",INDEX(jr_tiers,$O376)&amp;"")</f>
        <v/>
      </c>
      <c r="E376" s="57" t="str">
        <f>IF($O376="","",INDEX(jr_name,$O376)&amp;"")</f>
        <v/>
      </c>
      <c r="F376" s="57" t="str">
        <f>IF($O376="","",INDEX(jr_order,$O376)&amp;"")</f>
        <v/>
      </c>
      <c r="G376" s="57" t="str">
        <f>IF($O376="","",INDEX(jr_ext,$O376)&amp;"")</f>
        <v/>
      </c>
      <c r="H376" s="57" t="str">
        <f>IF($O376="","",INDEX(jr_carrier,$O376)&amp;"")</f>
        <v/>
      </c>
      <c r="I376" s="66" t="str">
        <f>IF(A376="","",COUNTIF(jr_num,A376))</f>
        <v/>
      </c>
      <c r="J376" s="66" t="str">
        <f>IF(A376="","",SUMIF(jr_num,A376,jr_colis))</f>
        <v/>
      </c>
      <c r="K376" s="63" t="str">
        <f>IF(A376="","",SUMIF(jr_num,A376,jr_kg))</f>
        <v/>
      </c>
      <c r="L376" s="64" t="str">
        <f>IF(A376="","",SUMIF(jr_num,A376,jr_val))</f>
        <v/>
      </c>
      <c r="M376" s="60" t="str">
        <f>IF(A376="","",IF(COUNTIFS(jr_num,A376,jr_check,"&lt;&gt;OK")&gt;0,"À vérifier",IF(LEFT(A376,2)="BL",IF(COUNTIFS(jr_num,A376,jr_rel,"&gt;0")&gt;0,"Reliquat en cours",IF(COUNTIFS(jr_num,A376,jr_gap,"&lt;0")&gt;0,"Reliquat livré","Complet")),IF(LEFT(A376,2)="BR",IF(COUNTIFS(jr_num,A376,jr_etat,"Refusé")&gt;0,"Refusé",IF(COUNTIFS(jr_num,A376,jr_etat,"Avec réserves")&gt;0,"Avec réserves",IF(COUNTIFS(jr_num,A376,jr_rel,"&gt;0")&gt;0,"Reliquat en cours",IF(COUNTIFS(jr_num,A376,jr_gap,"&lt;0")+COUNTIFS(jr_num,A376,jr_gap,"&gt;0")&gt;0,"Écart","Conforme")))),IF(COUNTIFS(jr_num,A376,jr_gap,"&lt;0")&gt;0,"Partiel","Sorti")))))</f>
        <v/>
      </c>
      <c r="O376" t="str">
        <f>IFERROR(MATCH(371,jr_grank,0),"")</f>
        <v/>
      </c>
      <c r="R376" s="67" t="str">
        <f>IFERROR(INDEX(jr_num,MATCH("BL371",jr_nkey,0))&amp;"","")</f>
        <v/>
      </c>
      <c r="S376" s="67" t="str">
        <f>IFERROR(INDEX(jr_num,MATCH("BR371",jr_nkey,0))&amp;"","")</f>
        <v/>
      </c>
      <c r="T376" s="67" t="str">
        <f>IFERROR(INDEX(jr_num,MATCH("BS371",jr_nkey,0))&amp;"","")</f>
        <v/>
      </c>
    </row>
    <row r="377">
      <c r="A377" s="60" t="str">
        <f>IF($O377="","",INDEX(jr_num,$O377)&amp;"")</f>
        <v/>
      </c>
      <c r="B377" s="60" t="str">
        <f>IF($O377="","",IF(INDEX(jr_type,$O377)="BL","Livraison",IF(INDEX(jr_type,$O377)="BR","Réception","Sortie")))</f>
        <v/>
      </c>
      <c r="C377" s="65" t="str">
        <f>IF($O377="","",INDEX(jr_date,$O377))</f>
        <v/>
      </c>
      <c r="D377" s="60" t="str">
        <f>IF($O377="","",INDEX(jr_tiers,$O377)&amp;"")</f>
        <v/>
      </c>
      <c r="E377" s="57" t="str">
        <f>IF($O377="","",INDEX(jr_name,$O377)&amp;"")</f>
        <v/>
      </c>
      <c r="F377" s="57" t="str">
        <f>IF($O377="","",INDEX(jr_order,$O377)&amp;"")</f>
        <v/>
      </c>
      <c r="G377" s="57" t="str">
        <f>IF($O377="","",INDEX(jr_ext,$O377)&amp;"")</f>
        <v/>
      </c>
      <c r="H377" s="57" t="str">
        <f>IF($O377="","",INDEX(jr_carrier,$O377)&amp;"")</f>
        <v/>
      </c>
      <c r="I377" s="66" t="str">
        <f>IF(A377="","",COUNTIF(jr_num,A377))</f>
        <v/>
      </c>
      <c r="J377" s="66" t="str">
        <f>IF(A377="","",SUMIF(jr_num,A377,jr_colis))</f>
        <v/>
      </c>
      <c r="K377" s="63" t="str">
        <f>IF(A377="","",SUMIF(jr_num,A377,jr_kg))</f>
        <v/>
      </c>
      <c r="L377" s="64" t="str">
        <f>IF(A377="","",SUMIF(jr_num,A377,jr_val))</f>
        <v/>
      </c>
      <c r="M377" s="60" t="str">
        <f>IF(A377="","",IF(COUNTIFS(jr_num,A377,jr_check,"&lt;&gt;OK")&gt;0,"À vérifier",IF(LEFT(A377,2)="BL",IF(COUNTIFS(jr_num,A377,jr_rel,"&gt;0")&gt;0,"Reliquat en cours",IF(COUNTIFS(jr_num,A377,jr_gap,"&lt;0")&gt;0,"Reliquat livré","Complet")),IF(LEFT(A377,2)="BR",IF(COUNTIFS(jr_num,A377,jr_etat,"Refusé")&gt;0,"Refusé",IF(COUNTIFS(jr_num,A377,jr_etat,"Avec réserves")&gt;0,"Avec réserves",IF(COUNTIFS(jr_num,A377,jr_rel,"&gt;0")&gt;0,"Reliquat en cours",IF(COUNTIFS(jr_num,A377,jr_gap,"&lt;0")+COUNTIFS(jr_num,A377,jr_gap,"&gt;0")&gt;0,"Écart","Conforme")))),IF(COUNTIFS(jr_num,A377,jr_gap,"&lt;0")&gt;0,"Partiel","Sorti")))))</f>
        <v/>
      </c>
      <c r="O377" t="str">
        <f>IFERROR(MATCH(372,jr_grank,0),"")</f>
        <v/>
      </c>
      <c r="R377" s="67" t="str">
        <f>IFERROR(INDEX(jr_num,MATCH("BL372",jr_nkey,0))&amp;"","")</f>
        <v/>
      </c>
      <c r="S377" s="67" t="str">
        <f>IFERROR(INDEX(jr_num,MATCH("BR372",jr_nkey,0))&amp;"","")</f>
        <v/>
      </c>
      <c r="T377" s="67" t="str">
        <f>IFERROR(INDEX(jr_num,MATCH("BS372",jr_nkey,0))&amp;"","")</f>
        <v/>
      </c>
    </row>
    <row r="378">
      <c r="A378" s="60" t="str">
        <f>IF($O378="","",INDEX(jr_num,$O378)&amp;"")</f>
        <v/>
      </c>
      <c r="B378" s="60" t="str">
        <f>IF($O378="","",IF(INDEX(jr_type,$O378)="BL","Livraison",IF(INDEX(jr_type,$O378)="BR","Réception","Sortie")))</f>
        <v/>
      </c>
      <c r="C378" s="65" t="str">
        <f>IF($O378="","",INDEX(jr_date,$O378))</f>
        <v/>
      </c>
      <c r="D378" s="60" t="str">
        <f>IF($O378="","",INDEX(jr_tiers,$O378)&amp;"")</f>
        <v/>
      </c>
      <c r="E378" s="57" t="str">
        <f>IF($O378="","",INDEX(jr_name,$O378)&amp;"")</f>
        <v/>
      </c>
      <c r="F378" s="57" t="str">
        <f>IF($O378="","",INDEX(jr_order,$O378)&amp;"")</f>
        <v/>
      </c>
      <c r="G378" s="57" t="str">
        <f>IF($O378="","",INDEX(jr_ext,$O378)&amp;"")</f>
        <v/>
      </c>
      <c r="H378" s="57" t="str">
        <f>IF($O378="","",INDEX(jr_carrier,$O378)&amp;"")</f>
        <v/>
      </c>
      <c r="I378" s="66" t="str">
        <f>IF(A378="","",COUNTIF(jr_num,A378))</f>
        <v/>
      </c>
      <c r="J378" s="66" t="str">
        <f>IF(A378="","",SUMIF(jr_num,A378,jr_colis))</f>
        <v/>
      </c>
      <c r="K378" s="63" t="str">
        <f>IF(A378="","",SUMIF(jr_num,A378,jr_kg))</f>
        <v/>
      </c>
      <c r="L378" s="64" t="str">
        <f>IF(A378="","",SUMIF(jr_num,A378,jr_val))</f>
        <v/>
      </c>
      <c r="M378" s="60" t="str">
        <f>IF(A378="","",IF(COUNTIFS(jr_num,A378,jr_check,"&lt;&gt;OK")&gt;0,"À vérifier",IF(LEFT(A378,2)="BL",IF(COUNTIFS(jr_num,A378,jr_rel,"&gt;0")&gt;0,"Reliquat en cours",IF(COUNTIFS(jr_num,A378,jr_gap,"&lt;0")&gt;0,"Reliquat livré","Complet")),IF(LEFT(A378,2)="BR",IF(COUNTIFS(jr_num,A378,jr_etat,"Refusé")&gt;0,"Refusé",IF(COUNTIFS(jr_num,A378,jr_etat,"Avec réserves")&gt;0,"Avec réserves",IF(COUNTIFS(jr_num,A378,jr_rel,"&gt;0")&gt;0,"Reliquat en cours",IF(COUNTIFS(jr_num,A378,jr_gap,"&lt;0")+COUNTIFS(jr_num,A378,jr_gap,"&gt;0")&gt;0,"Écart","Conforme")))),IF(COUNTIFS(jr_num,A378,jr_gap,"&lt;0")&gt;0,"Partiel","Sorti")))))</f>
        <v/>
      </c>
      <c r="O378" t="str">
        <f>IFERROR(MATCH(373,jr_grank,0),"")</f>
        <v/>
      </c>
      <c r="R378" s="67" t="str">
        <f>IFERROR(INDEX(jr_num,MATCH("BL373",jr_nkey,0))&amp;"","")</f>
        <v/>
      </c>
      <c r="S378" s="67" t="str">
        <f>IFERROR(INDEX(jr_num,MATCH("BR373",jr_nkey,0))&amp;"","")</f>
        <v/>
      </c>
      <c r="T378" s="67" t="str">
        <f>IFERROR(INDEX(jr_num,MATCH("BS373",jr_nkey,0))&amp;"","")</f>
        <v/>
      </c>
    </row>
    <row r="379">
      <c r="A379" s="60" t="str">
        <f>IF($O379="","",INDEX(jr_num,$O379)&amp;"")</f>
        <v/>
      </c>
      <c r="B379" s="60" t="str">
        <f>IF($O379="","",IF(INDEX(jr_type,$O379)="BL","Livraison",IF(INDEX(jr_type,$O379)="BR","Réception","Sortie")))</f>
        <v/>
      </c>
      <c r="C379" s="65" t="str">
        <f>IF($O379="","",INDEX(jr_date,$O379))</f>
        <v/>
      </c>
      <c r="D379" s="60" t="str">
        <f>IF($O379="","",INDEX(jr_tiers,$O379)&amp;"")</f>
        <v/>
      </c>
      <c r="E379" s="57" t="str">
        <f>IF($O379="","",INDEX(jr_name,$O379)&amp;"")</f>
        <v/>
      </c>
      <c r="F379" s="57" t="str">
        <f>IF($O379="","",INDEX(jr_order,$O379)&amp;"")</f>
        <v/>
      </c>
      <c r="G379" s="57" t="str">
        <f>IF($O379="","",INDEX(jr_ext,$O379)&amp;"")</f>
        <v/>
      </c>
      <c r="H379" s="57" t="str">
        <f>IF($O379="","",INDEX(jr_carrier,$O379)&amp;"")</f>
        <v/>
      </c>
      <c r="I379" s="66" t="str">
        <f>IF(A379="","",COUNTIF(jr_num,A379))</f>
        <v/>
      </c>
      <c r="J379" s="66" t="str">
        <f>IF(A379="","",SUMIF(jr_num,A379,jr_colis))</f>
        <v/>
      </c>
      <c r="K379" s="63" t="str">
        <f>IF(A379="","",SUMIF(jr_num,A379,jr_kg))</f>
        <v/>
      </c>
      <c r="L379" s="64" t="str">
        <f>IF(A379="","",SUMIF(jr_num,A379,jr_val))</f>
        <v/>
      </c>
      <c r="M379" s="60" t="str">
        <f>IF(A379="","",IF(COUNTIFS(jr_num,A379,jr_check,"&lt;&gt;OK")&gt;0,"À vérifier",IF(LEFT(A379,2)="BL",IF(COUNTIFS(jr_num,A379,jr_rel,"&gt;0")&gt;0,"Reliquat en cours",IF(COUNTIFS(jr_num,A379,jr_gap,"&lt;0")&gt;0,"Reliquat livré","Complet")),IF(LEFT(A379,2)="BR",IF(COUNTIFS(jr_num,A379,jr_etat,"Refusé")&gt;0,"Refusé",IF(COUNTIFS(jr_num,A379,jr_etat,"Avec réserves")&gt;0,"Avec réserves",IF(COUNTIFS(jr_num,A379,jr_rel,"&gt;0")&gt;0,"Reliquat en cours",IF(COUNTIFS(jr_num,A379,jr_gap,"&lt;0")+COUNTIFS(jr_num,A379,jr_gap,"&gt;0")&gt;0,"Écart","Conforme")))),IF(COUNTIFS(jr_num,A379,jr_gap,"&lt;0")&gt;0,"Partiel","Sorti")))))</f>
        <v/>
      </c>
      <c r="O379" t="str">
        <f>IFERROR(MATCH(374,jr_grank,0),"")</f>
        <v/>
      </c>
      <c r="R379" s="67" t="str">
        <f>IFERROR(INDEX(jr_num,MATCH("BL374",jr_nkey,0))&amp;"","")</f>
        <v/>
      </c>
      <c r="S379" s="67" t="str">
        <f>IFERROR(INDEX(jr_num,MATCH("BR374",jr_nkey,0))&amp;"","")</f>
        <v/>
      </c>
      <c r="T379" s="67" t="str">
        <f>IFERROR(INDEX(jr_num,MATCH("BS374",jr_nkey,0))&amp;"","")</f>
        <v/>
      </c>
    </row>
    <row r="380">
      <c r="A380" s="60" t="str">
        <f>IF($O380="","",INDEX(jr_num,$O380)&amp;"")</f>
        <v/>
      </c>
      <c r="B380" s="60" t="str">
        <f>IF($O380="","",IF(INDEX(jr_type,$O380)="BL","Livraison",IF(INDEX(jr_type,$O380)="BR","Réception","Sortie")))</f>
        <v/>
      </c>
      <c r="C380" s="65" t="str">
        <f>IF($O380="","",INDEX(jr_date,$O380))</f>
        <v/>
      </c>
      <c r="D380" s="60" t="str">
        <f>IF($O380="","",INDEX(jr_tiers,$O380)&amp;"")</f>
        <v/>
      </c>
      <c r="E380" s="57" t="str">
        <f>IF($O380="","",INDEX(jr_name,$O380)&amp;"")</f>
        <v/>
      </c>
      <c r="F380" s="57" t="str">
        <f>IF($O380="","",INDEX(jr_order,$O380)&amp;"")</f>
        <v/>
      </c>
      <c r="G380" s="57" t="str">
        <f>IF($O380="","",INDEX(jr_ext,$O380)&amp;"")</f>
        <v/>
      </c>
      <c r="H380" s="57" t="str">
        <f>IF($O380="","",INDEX(jr_carrier,$O380)&amp;"")</f>
        <v/>
      </c>
      <c r="I380" s="66" t="str">
        <f>IF(A380="","",COUNTIF(jr_num,A380))</f>
        <v/>
      </c>
      <c r="J380" s="66" t="str">
        <f>IF(A380="","",SUMIF(jr_num,A380,jr_colis))</f>
        <v/>
      </c>
      <c r="K380" s="63" t="str">
        <f>IF(A380="","",SUMIF(jr_num,A380,jr_kg))</f>
        <v/>
      </c>
      <c r="L380" s="64" t="str">
        <f>IF(A380="","",SUMIF(jr_num,A380,jr_val))</f>
        <v/>
      </c>
      <c r="M380" s="60" t="str">
        <f>IF(A380="","",IF(COUNTIFS(jr_num,A380,jr_check,"&lt;&gt;OK")&gt;0,"À vérifier",IF(LEFT(A380,2)="BL",IF(COUNTIFS(jr_num,A380,jr_rel,"&gt;0")&gt;0,"Reliquat en cours",IF(COUNTIFS(jr_num,A380,jr_gap,"&lt;0")&gt;0,"Reliquat livré","Complet")),IF(LEFT(A380,2)="BR",IF(COUNTIFS(jr_num,A380,jr_etat,"Refusé")&gt;0,"Refusé",IF(COUNTIFS(jr_num,A380,jr_etat,"Avec réserves")&gt;0,"Avec réserves",IF(COUNTIFS(jr_num,A380,jr_rel,"&gt;0")&gt;0,"Reliquat en cours",IF(COUNTIFS(jr_num,A380,jr_gap,"&lt;0")+COUNTIFS(jr_num,A380,jr_gap,"&gt;0")&gt;0,"Écart","Conforme")))),IF(COUNTIFS(jr_num,A380,jr_gap,"&lt;0")&gt;0,"Partiel","Sorti")))))</f>
        <v/>
      </c>
      <c r="O380" t="str">
        <f>IFERROR(MATCH(375,jr_grank,0),"")</f>
        <v/>
      </c>
      <c r="R380" s="67" t="str">
        <f>IFERROR(INDEX(jr_num,MATCH("BL375",jr_nkey,0))&amp;"","")</f>
        <v/>
      </c>
      <c r="S380" s="67" t="str">
        <f>IFERROR(INDEX(jr_num,MATCH("BR375",jr_nkey,0))&amp;"","")</f>
        <v/>
      </c>
      <c r="T380" s="67" t="str">
        <f>IFERROR(INDEX(jr_num,MATCH("BS375",jr_nkey,0))&amp;"","")</f>
        <v/>
      </c>
    </row>
    <row r="381">
      <c r="A381" s="60" t="str">
        <f>IF($O381="","",INDEX(jr_num,$O381)&amp;"")</f>
        <v/>
      </c>
      <c r="B381" s="60" t="str">
        <f>IF($O381="","",IF(INDEX(jr_type,$O381)="BL","Livraison",IF(INDEX(jr_type,$O381)="BR","Réception","Sortie")))</f>
        <v/>
      </c>
      <c r="C381" s="65" t="str">
        <f>IF($O381="","",INDEX(jr_date,$O381))</f>
        <v/>
      </c>
      <c r="D381" s="60" t="str">
        <f>IF($O381="","",INDEX(jr_tiers,$O381)&amp;"")</f>
        <v/>
      </c>
      <c r="E381" s="57" t="str">
        <f>IF($O381="","",INDEX(jr_name,$O381)&amp;"")</f>
        <v/>
      </c>
      <c r="F381" s="57" t="str">
        <f>IF($O381="","",INDEX(jr_order,$O381)&amp;"")</f>
        <v/>
      </c>
      <c r="G381" s="57" t="str">
        <f>IF($O381="","",INDEX(jr_ext,$O381)&amp;"")</f>
        <v/>
      </c>
      <c r="H381" s="57" t="str">
        <f>IF($O381="","",INDEX(jr_carrier,$O381)&amp;"")</f>
        <v/>
      </c>
      <c r="I381" s="66" t="str">
        <f>IF(A381="","",COUNTIF(jr_num,A381))</f>
        <v/>
      </c>
      <c r="J381" s="66" t="str">
        <f>IF(A381="","",SUMIF(jr_num,A381,jr_colis))</f>
        <v/>
      </c>
      <c r="K381" s="63" t="str">
        <f>IF(A381="","",SUMIF(jr_num,A381,jr_kg))</f>
        <v/>
      </c>
      <c r="L381" s="64" t="str">
        <f>IF(A381="","",SUMIF(jr_num,A381,jr_val))</f>
        <v/>
      </c>
      <c r="M381" s="60" t="str">
        <f>IF(A381="","",IF(COUNTIFS(jr_num,A381,jr_check,"&lt;&gt;OK")&gt;0,"À vérifier",IF(LEFT(A381,2)="BL",IF(COUNTIFS(jr_num,A381,jr_rel,"&gt;0")&gt;0,"Reliquat en cours",IF(COUNTIFS(jr_num,A381,jr_gap,"&lt;0")&gt;0,"Reliquat livré","Complet")),IF(LEFT(A381,2)="BR",IF(COUNTIFS(jr_num,A381,jr_etat,"Refusé")&gt;0,"Refusé",IF(COUNTIFS(jr_num,A381,jr_etat,"Avec réserves")&gt;0,"Avec réserves",IF(COUNTIFS(jr_num,A381,jr_rel,"&gt;0")&gt;0,"Reliquat en cours",IF(COUNTIFS(jr_num,A381,jr_gap,"&lt;0")+COUNTIFS(jr_num,A381,jr_gap,"&gt;0")&gt;0,"Écart","Conforme")))),IF(COUNTIFS(jr_num,A381,jr_gap,"&lt;0")&gt;0,"Partiel","Sorti")))))</f>
        <v/>
      </c>
      <c r="O381" t="str">
        <f>IFERROR(MATCH(376,jr_grank,0),"")</f>
        <v/>
      </c>
      <c r="R381" s="67" t="str">
        <f>IFERROR(INDEX(jr_num,MATCH("BL376",jr_nkey,0))&amp;"","")</f>
        <v/>
      </c>
      <c r="S381" s="67" t="str">
        <f>IFERROR(INDEX(jr_num,MATCH("BR376",jr_nkey,0))&amp;"","")</f>
        <v/>
      </c>
      <c r="T381" s="67" t="str">
        <f>IFERROR(INDEX(jr_num,MATCH("BS376",jr_nkey,0))&amp;"","")</f>
        <v/>
      </c>
    </row>
    <row r="382">
      <c r="A382" s="60" t="str">
        <f>IF($O382="","",INDEX(jr_num,$O382)&amp;"")</f>
        <v/>
      </c>
      <c r="B382" s="60" t="str">
        <f>IF($O382="","",IF(INDEX(jr_type,$O382)="BL","Livraison",IF(INDEX(jr_type,$O382)="BR","Réception","Sortie")))</f>
        <v/>
      </c>
      <c r="C382" s="65" t="str">
        <f>IF($O382="","",INDEX(jr_date,$O382))</f>
        <v/>
      </c>
      <c r="D382" s="60" t="str">
        <f>IF($O382="","",INDEX(jr_tiers,$O382)&amp;"")</f>
        <v/>
      </c>
      <c r="E382" s="57" t="str">
        <f>IF($O382="","",INDEX(jr_name,$O382)&amp;"")</f>
        <v/>
      </c>
      <c r="F382" s="57" t="str">
        <f>IF($O382="","",INDEX(jr_order,$O382)&amp;"")</f>
        <v/>
      </c>
      <c r="G382" s="57" t="str">
        <f>IF($O382="","",INDEX(jr_ext,$O382)&amp;"")</f>
        <v/>
      </c>
      <c r="H382" s="57" t="str">
        <f>IF($O382="","",INDEX(jr_carrier,$O382)&amp;"")</f>
        <v/>
      </c>
      <c r="I382" s="66" t="str">
        <f>IF(A382="","",COUNTIF(jr_num,A382))</f>
        <v/>
      </c>
      <c r="J382" s="66" t="str">
        <f>IF(A382="","",SUMIF(jr_num,A382,jr_colis))</f>
        <v/>
      </c>
      <c r="K382" s="63" t="str">
        <f>IF(A382="","",SUMIF(jr_num,A382,jr_kg))</f>
        <v/>
      </c>
      <c r="L382" s="64" t="str">
        <f>IF(A382="","",SUMIF(jr_num,A382,jr_val))</f>
        <v/>
      </c>
      <c r="M382" s="60" t="str">
        <f>IF(A382="","",IF(COUNTIFS(jr_num,A382,jr_check,"&lt;&gt;OK")&gt;0,"À vérifier",IF(LEFT(A382,2)="BL",IF(COUNTIFS(jr_num,A382,jr_rel,"&gt;0")&gt;0,"Reliquat en cours",IF(COUNTIFS(jr_num,A382,jr_gap,"&lt;0")&gt;0,"Reliquat livré","Complet")),IF(LEFT(A382,2)="BR",IF(COUNTIFS(jr_num,A382,jr_etat,"Refusé")&gt;0,"Refusé",IF(COUNTIFS(jr_num,A382,jr_etat,"Avec réserves")&gt;0,"Avec réserves",IF(COUNTIFS(jr_num,A382,jr_rel,"&gt;0")&gt;0,"Reliquat en cours",IF(COUNTIFS(jr_num,A382,jr_gap,"&lt;0")+COUNTIFS(jr_num,A382,jr_gap,"&gt;0")&gt;0,"Écart","Conforme")))),IF(COUNTIFS(jr_num,A382,jr_gap,"&lt;0")&gt;0,"Partiel","Sorti")))))</f>
        <v/>
      </c>
      <c r="O382" t="str">
        <f>IFERROR(MATCH(377,jr_grank,0),"")</f>
        <v/>
      </c>
      <c r="R382" s="67" t="str">
        <f>IFERROR(INDEX(jr_num,MATCH("BL377",jr_nkey,0))&amp;"","")</f>
        <v/>
      </c>
      <c r="S382" s="67" t="str">
        <f>IFERROR(INDEX(jr_num,MATCH("BR377",jr_nkey,0))&amp;"","")</f>
        <v/>
      </c>
      <c r="T382" s="67" t="str">
        <f>IFERROR(INDEX(jr_num,MATCH("BS377",jr_nkey,0))&amp;"","")</f>
        <v/>
      </c>
    </row>
    <row r="383">
      <c r="A383" s="60" t="str">
        <f>IF($O383="","",INDEX(jr_num,$O383)&amp;"")</f>
        <v/>
      </c>
      <c r="B383" s="60" t="str">
        <f>IF($O383="","",IF(INDEX(jr_type,$O383)="BL","Livraison",IF(INDEX(jr_type,$O383)="BR","Réception","Sortie")))</f>
        <v/>
      </c>
      <c r="C383" s="65" t="str">
        <f>IF($O383="","",INDEX(jr_date,$O383))</f>
        <v/>
      </c>
      <c r="D383" s="60" t="str">
        <f>IF($O383="","",INDEX(jr_tiers,$O383)&amp;"")</f>
        <v/>
      </c>
      <c r="E383" s="57" t="str">
        <f>IF($O383="","",INDEX(jr_name,$O383)&amp;"")</f>
        <v/>
      </c>
      <c r="F383" s="57" t="str">
        <f>IF($O383="","",INDEX(jr_order,$O383)&amp;"")</f>
        <v/>
      </c>
      <c r="G383" s="57" t="str">
        <f>IF($O383="","",INDEX(jr_ext,$O383)&amp;"")</f>
        <v/>
      </c>
      <c r="H383" s="57" t="str">
        <f>IF($O383="","",INDEX(jr_carrier,$O383)&amp;"")</f>
        <v/>
      </c>
      <c r="I383" s="66" t="str">
        <f>IF(A383="","",COUNTIF(jr_num,A383))</f>
        <v/>
      </c>
      <c r="J383" s="66" t="str">
        <f>IF(A383="","",SUMIF(jr_num,A383,jr_colis))</f>
        <v/>
      </c>
      <c r="K383" s="63" t="str">
        <f>IF(A383="","",SUMIF(jr_num,A383,jr_kg))</f>
        <v/>
      </c>
      <c r="L383" s="64" t="str">
        <f>IF(A383="","",SUMIF(jr_num,A383,jr_val))</f>
        <v/>
      </c>
      <c r="M383" s="60" t="str">
        <f>IF(A383="","",IF(COUNTIFS(jr_num,A383,jr_check,"&lt;&gt;OK")&gt;0,"À vérifier",IF(LEFT(A383,2)="BL",IF(COUNTIFS(jr_num,A383,jr_rel,"&gt;0")&gt;0,"Reliquat en cours",IF(COUNTIFS(jr_num,A383,jr_gap,"&lt;0")&gt;0,"Reliquat livré","Complet")),IF(LEFT(A383,2)="BR",IF(COUNTIFS(jr_num,A383,jr_etat,"Refusé")&gt;0,"Refusé",IF(COUNTIFS(jr_num,A383,jr_etat,"Avec réserves")&gt;0,"Avec réserves",IF(COUNTIFS(jr_num,A383,jr_rel,"&gt;0")&gt;0,"Reliquat en cours",IF(COUNTIFS(jr_num,A383,jr_gap,"&lt;0")+COUNTIFS(jr_num,A383,jr_gap,"&gt;0")&gt;0,"Écart","Conforme")))),IF(COUNTIFS(jr_num,A383,jr_gap,"&lt;0")&gt;0,"Partiel","Sorti")))))</f>
        <v/>
      </c>
      <c r="O383" t="str">
        <f>IFERROR(MATCH(378,jr_grank,0),"")</f>
        <v/>
      </c>
      <c r="R383" s="67" t="str">
        <f>IFERROR(INDEX(jr_num,MATCH("BL378",jr_nkey,0))&amp;"","")</f>
        <v/>
      </c>
      <c r="S383" s="67" t="str">
        <f>IFERROR(INDEX(jr_num,MATCH("BR378",jr_nkey,0))&amp;"","")</f>
        <v/>
      </c>
      <c r="T383" s="67" t="str">
        <f>IFERROR(INDEX(jr_num,MATCH("BS378",jr_nkey,0))&amp;"","")</f>
        <v/>
      </c>
    </row>
    <row r="384">
      <c r="A384" s="60" t="str">
        <f>IF($O384="","",INDEX(jr_num,$O384)&amp;"")</f>
        <v/>
      </c>
      <c r="B384" s="60" t="str">
        <f>IF($O384="","",IF(INDEX(jr_type,$O384)="BL","Livraison",IF(INDEX(jr_type,$O384)="BR","Réception","Sortie")))</f>
        <v/>
      </c>
      <c r="C384" s="65" t="str">
        <f>IF($O384="","",INDEX(jr_date,$O384))</f>
        <v/>
      </c>
      <c r="D384" s="60" t="str">
        <f>IF($O384="","",INDEX(jr_tiers,$O384)&amp;"")</f>
        <v/>
      </c>
      <c r="E384" s="57" t="str">
        <f>IF($O384="","",INDEX(jr_name,$O384)&amp;"")</f>
        <v/>
      </c>
      <c r="F384" s="57" t="str">
        <f>IF($O384="","",INDEX(jr_order,$O384)&amp;"")</f>
        <v/>
      </c>
      <c r="G384" s="57" t="str">
        <f>IF($O384="","",INDEX(jr_ext,$O384)&amp;"")</f>
        <v/>
      </c>
      <c r="H384" s="57" t="str">
        <f>IF($O384="","",INDEX(jr_carrier,$O384)&amp;"")</f>
        <v/>
      </c>
      <c r="I384" s="66" t="str">
        <f>IF(A384="","",COUNTIF(jr_num,A384))</f>
        <v/>
      </c>
      <c r="J384" s="66" t="str">
        <f>IF(A384="","",SUMIF(jr_num,A384,jr_colis))</f>
        <v/>
      </c>
      <c r="K384" s="63" t="str">
        <f>IF(A384="","",SUMIF(jr_num,A384,jr_kg))</f>
        <v/>
      </c>
      <c r="L384" s="64" t="str">
        <f>IF(A384="","",SUMIF(jr_num,A384,jr_val))</f>
        <v/>
      </c>
      <c r="M384" s="60" t="str">
        <f>IF(A384="","",IF(COUNTIFS(jr_num,A384,jr_check,"&lt;&gt;OK")&gt;0,"À vérifier",IF(LEFT(A384,2)="BL",IF(COUNTIFS(jr_num,A384,jr_rel,"&gt;0")&gt;0,"Reliquat en cours",IF(COUNTIFS(jr_num,A384,jr_gap,"&lt;0")&gt;0,"Reliquat livré","Complet")),IF(LEFT(A384,2)="BR",IF(COUNTIFS(jr_num,A384,jr_etat,"Refusé")&gt;0,"Refusé",IF(COUNTIFS(jr_num,A384,jr_etat,"Avec réserves")&gt;0,"Avec réserves",IF(COUNTIFS(jr_num,A384,jr_rel,"&gt;0")&gt;0,"Reliquat en cours",IF(COUNTIFS(jr_num,A384,jr_gap,"&lt;0")+COUNTIFS(jr_num,A384,jr_gap,"&gt;0")&gt;0,"Écart","Conforme")))),IF(COUNTIFS(jr_num,A384,jr_gap,"&lt;0")&gt;0,"Partiel","Sorti")))))</f>
        <v/>
      </c>
      <c r="O384" t="str">
        <f>IFERROR(MATCH(379,jr_grank,0),"")</f>
        <v/>
      </c>
      <c r="R384" s="67" t="str">
        <f>IFERROR(INDEX(jr_num,MATCH("BL379",jr_nkey,0))&amp;"","")</f>
        <v/>
      </c>
      <c r="S384" s="67" t="str">
        <f>IFERROR(INDEX(jr_num,MATCH("BR379",jr_nkey,0))&amp;"","")</f>
        <v/>
      </c>
      <c r="T384" s="67" t="str">
        <f>IFERROR(INDEX(jr_num,MATCH("BS379",jr_nkey,0))&amp;"","")</f>
        <v/>
      </c>
    </row>
    <row r="385">
      <c r="A385" s="60" t="str">
        <f>IF($O385="","",INDEX(jr_num,$O385)&amp;"")</f>
        <v/>
      </c>
      <c r="B385" s="60" t="str">
        <f>IF($O385="","",IF(INDEX(jr_type,$O385)="BL","Livraison",IF(INDEX(jr_type,$O385)="BR","Réception","Sortie")))</f>
        <v/>
      </c>
      <c r="C385" s="65" t="str">
        <f>IF($O385="","",INDEX(jr_date,$O385))</f>
        <v/>
      </c>
      <c r="D385" s="60" t="str">
        <f>IF($O385="","",INDEX(jr_tiers,$O385)&amp;"")</f>
        <v/>
      </c>
      <c r="E385" s="57" t="str">
        <f>IF($O385="","",INDEX(jr_name,$O385)&amp;"")</f>
        <v/>
      </c>
      <c r="F385" s="57" t="str">
        <f>IF($O385="","",INDEX(jr_order,$O385)&amp;"")</f>
        <v/>
      </c>
      <c r="G385" s="57" t="str">
        <f>IF($O385="","",INDEX(jr_ext,$O385)&amp;"")</f>
        <v/>
      </c>
      <c r="H385" s="57" t="str">
        <f>IF($O385="","",INDEX(jr_carrier,$O385)&amp;"")</f>
        <v/>
      </c>
      <c r="I385" s="66" t="str">
        <f>IF(A385="","",COUNTIF(jr_num,A385))</f>
        <v/>
      </c>
      <c r="J385" s="66" t="str">
        <f>IF(A385="","",SUMIF(jr_num,A385,jr_colis))</f>
        <v/>
      </c>
      <c r="K385" s="63" t="str">
        <f>IF(A385="","",SUMIF(jr_num,A385,jr_kg))</f>
        <v/>
      </c>
      <c r="L385" s="64" t="str">
        <f>IF(A385="","",SUMIF(jr_num,A385,jr_val))</f>
        <v/>
      </c>
      <c r="M385" s="60" t="str">
        <f>IF(A385="","",IF(COUNTIFS(jr_num,A385,jr_check,"&lt;&gt;OK")&gt;0,"À vérifier",IF(LEFT(A385,2)="BL",IF(COUNTIFS(jr_num,A385,jr_rel,"&gt;0")&gt;0,"Reliquat en cours",IF(COUNTIFS(jr_num,A385,jr_gap,"&lt;0")&gt;0,"Reliquat livré","Complet")),IF(LEFT(A385,2)="BR",IF(COUNTIFS(jr_num,A385,jr_etat,"Refusé")&gt;0,"Refusé",IF(COUNTIFS(jr_num,A385,jr_etat,"Avec réserves")&gt;0,"Avec réserves",IF(COUNTIFS(jr_num,A385,jr_rel,"&gt;0")&gt;0,"Reliquat en cours",IF(COUNTIFS(jr_num,A385,jr_gap,"&lt;0")+COUNTIFS(jr_num,A385,jr_gap,"&gt;0")&gt;0,"Écart","Conforme")))),IF(COUNTIFS(jr_num,A385,jr_gap,"&lt;0")&gt;0,"Partiel","Sorti")))))</f>
        <v/>
      </c>
      <c r="O385" t="str">
        <f>IFERROR(MATCH(380,jr_grank,0),"")</f>
        <v/>
      </c>
      <c r="R385" s="67" t="str">
        <f>IFERROR(INDEX(jr_num,MATCH("BL380",jr_nkey,0))&amp;"","")</f>
        <v/>
      </c>
      <c r="S385" s="67" t="str">
        <f>IFERROR(INDEX(jr_num,MATCH("BR380",jr_nkey,0))&amp;"","")</f>
        <v/>
      </c>
      <c r="T385" s="67" t="str">
        <f>IFERROR(INDEX(jr_num,MATCH("BS380",jr_nkey,0))&amp;"","")</f>
        <v/>
      </c>
    </row>
    <row r="386">
      <c r="A386" s="60" t="str">
        <f>IF($O386="","",INDEX(jr_num,$O386)&amp;"")</f>
        <v/>
      </c>
      <c r="B386" s="60" t="str">
        <f>IF($O386="","",IF(INDEX(jr_type,$O386)="BL","Livraison",IF(INDEX(jr_type,$O386)="BR","Réception","Sortie")))</f>
        <v/>
      </c>
      <c r="C386" s="65" t="str">
        <f>IF($O386="","",INDEX(jr_date,$O386))</f>
        <v/>
      </c>
      <c r="D386" s="60" t="str">
        <f>IF($O386="","",INDEX(jr_tiers,$O386)&amp;"")</f>
        <v/>
      </c>
      <c r="E386" s="57" t="str">
        <f>IF($O386="","",INDEX(jr_name,$O386)&amp;"")</f>
        <v/>
      </c>
      <c r="F386" s="57" t="str">
        <f>IF($O386="","",INDEX(jr_order,$O386)&amp;"")</f>
        <v/>
      </c>
      <c r="G386" s="57" t="str">
        <f>IF($O386="","",INDEX(jr_ext,$O386)&amp;"")</f>
        <v/>
      </c>
      <c r="H386" s="57" t="str">
        <f>IF($O386="","",INDEX(jr_carrier,$O386)&amp;"")</f>
        <v/>
      </c>
      <c r="I386" s="66" t="str">
        <f>IF(A386="","",COUNTIF(jr_num,A386))</f>
        <v/>
      </c>
      <c r="J386" s="66" t="str">
        <f>IF(A386="","",SUMIF(jr_num,A386,jr_colis))</f>
        <v/>
      </c>
      <c r="K386" s="63" t="str">
        <f>IF(A386="","",SUMIF(jr_num,A386,jr_kg))</f>
        <v/>
      </c>
      <c r="L386" s="64" t="str">
        <f>IF(A386="","",SUMIF(jr_num,A386,jr_val))</f>
        <v/>
      </c>
      <c r="M386" s="60" t="str">
        <f>IF(A386="","",IF(COUNTIFS(jr_num,A386,jr_check,"&lt;&gt;OK")&gt;0,"À vérifier",IF(LEFT(A386,2)="BL",IF(COUNTIFS(jr_num,A386,jr_rel,"&gt;0")&gt;0,"Reliquat en cours",IF(COUNTIFS(jr_num,A386,jr_gap,"&lt;0")&gt;0,"Reliquat livré","Complet")),IF(LEFT(A386,2)="BR",IF(COUNTIFS(jr_num,A386,jr_etat,"Refusé")&gt;0,"Refusé",IF(COUNTIFS(jr_num,A386,jr_etat,"Avec réserves")&gt;0,"Avec réserves",IF(COUNTIFS(jr_num,A386,jr_rel,"&gt;0")&gt;0,"Reliquat en cours",IF(COUNTIFS(jr_num,A386,jr_gap,"&lt;0")+COUNTIFS(jr_num,A386,jr_gap,"&gt;0")&gt;0,"Écart","Conforme")))),IF(COUNTIFS(jr_num,A386,jr_gap,"&lt;0")&gt;0,"Partiel","Sorti")))))</f>
        <v/>
      </c>
      <c r="O386" t="str">
        <f>IFERROR(MATCH(381,jr_grank,0),"")</f>
        <v/>
      </c>
      <c r="R386" s="67" t="str">
        <f>IFERROR(INDEX(jr_num,MATCH("BL381",jr_nkey,0))&amp;"","")</f>
        <v/>
      </c>
      <c r="S386" s="67" t="str">
        <f>IFERROR(INDEX(jr_num,MATCH("BR381",jr_nkey,0))&amp;"","")</f>
        <v/>
      </c>
      <c r="T386" s="67" t="str">
        <f>IFERROR(INDEX(jr_num,MATCH("BS381",jr_nkey,0))&amp;"","")</f>
        <v/>
      </c>
    </row>
    <row r="387">
      <c r="A387" s="60" t="str">
        <f>IF($O387="","",INDEX(jr_num,$O387)&amp;"")</f>
        <v/>
      </c>
      <c r="B387" s="60" t="str">
        <f>IF($O387="","",IF(INDEX(jr_type,$O387)="BL","Livraison",IF(INDEX(jr_type,$O387)="BR","Réception","Sortie")))</f>
        <v/>
      </c>
      <c r="C387" s="65" t="str">
        <f>IF($O387="","",INDEX(jr_date,$O387))</f>
        <v/>
      </c>
      <c r="D387" s="60" t="str">
        <f>IF($O387="","",INDEX(jr_tiers,$O387)&amp;"")</f>
        <v/>
      </c>
      <c r="E387" s="57" t="str">
        <f>IF($O387="","",INDEX(jr_name,$O387)&amp;"")</f>
        <v/>
      </c>
      <c r="F387" s="57" t="str">
        <f>IF($O387="","",INDEX(jr_order,$O387)&amp;"")</f>
        <v/>
      </c>
      <c r="G387" s="57" t="str">
        <f>IF($O387="","",INDEX(jr_ext,$O387)&amp;"")</f>
        <v/>
      </c>
      <c r="H387" s="57" t="str">
        <f>IF($O387="","",INDEX(jr_carrier,$O387)&amp;"")</f>
        <v/>
      </c>
      <c r="I387" s="66" t="str">
        <f>IF(A387="","",COUNTIF(jr_num,A387))</f>
        <v/>
      </c>
      <c r="J387" s="66" t="str">
        <f>IF(A387="","",SUMIF(jr_num,A387,jr_colis))</f>
        <v/>
      </c>
      <c r="K387" s="63" t="str">
        <f>IF(A387="","",SUMIF(jr_num,A387,jr_kg))</f>
        <v/>
      </c>
      <c r="L387" s="64" t="str">
        <f>IF(A387="","",SUMIF(jr_num,A387,jr_val))</f>
        <v/>
      </c>
      <c r="M387" s="60" t="str">
        <f>IF(A387="","",IF(COUNTIFS(jr_num,A387,jr_check,"&lt;&gt;OK")&gt;0,"À vérifier",IF(LEFT(A387,2)="BL",IF(COUNTIFS(jr_num,A387,jr_rel,"&gt;0")&gt;0,"Reliquat en cours",IF(COUNTIFS(jr_num,A387,jr_gap,"&lt;0")&gt;0,"Reliquat livré","Complet")),IF(LEFT(A387,2)="BR",IF(COUNTIFS(jr_num,A387,jr_etat,"Refusé")&gt;0,"Refusé",IF(COUNTIFS(jr_num,A387,jr_etat,"Avec réserves")&gt;0,"Avec réserves",IF(COUNTIFS(jr_num,A387,jr_rel,"&gt;0")&gt;0,"Reliquat en cours",IF(COUNTIFS(jr_num,A387,jr_gap,"&lt;0")+COUNTIFS(jr_num,A387,jr_gap,"&gt;0")&gt;0,"Écart","Conforme")))),IF(COUNTIFS(jr_num,A387,jr_gap,"&lt;0")&gt;0,"Partiel","Sorti")))))</f>
        <v/>
      </c>
      <c r="O387" t="str">
        <f>IFERROR(MATCH(382,jr_grank,0),"")</f>
        <v/>
      </c>
      <c r="R387" s="67" t="str">
        <f>IFERROR(INDEX(jr_num,MATCH("BL382",jr_nkey,0))&amp;"","")</f>
        <v/>
      </c>
      <c r="S387" s="67" t="str">
        <f>IFERROR(INDEX(jr_num,MATCH("BR382",jr_nkey,0))&amp;"","")</f>
        <v/>
      </c>
      <c r="T387" s="67" t="str">
        <f>IFERROR(INDEX(jr_num,MATCH("BS382",jr_nkey,0))&amp;"","")</f>
        <v/>
      </c>
    </row>
    <row r="388">
      <c r="A388" s="60" t="str">
        <f>IF($O388="","",INDEX(jr_num,$O388)&amp;"")</f>
        <v/>
      </c>
      <c r="B388" s="60" t="str">
        <f>IF($O388="","",IF(INDEX(jr_type,$O388)="BL","Livraison",IF(INDEX(jr_type,$O388)="BR","Réception","Sortie")))</f>
        <v/>
      </c>
      <c r="C388" s="65" t="str">
        <f>IF($O388="","",INDEX(jr_date,$O388))</f>
        <v/>
      </c>
      <c r="D388" s="60" t="str">
        <f>IF($O388="","",INDEX(jr_tiers,$O388)&amp;"")</f>
        <v/>
      </c>
      <c r="E388" s="57" t="str">
        <f>IF($O388="","",INDEX(jr_name,$O388)&amp;"")</f>
        <v/>
      </c>
      <c r="F388" s="57" t="str">
        <f>IF($O388="","",INDEX(jr_order,$O388)&amp;"")</f>
        <v/>
      </c>
      <c r="G388" s="57" t="str">
        <f>IF($O388="","",INDEX(jr_ext,$O388)&amp;"")</f>
        <v/>
      </c>
      <c r="H388" s="57" t="str">
        <f>IF($O388="","",INDEX(jr_carrier,$O388)&amp;"")</f>
        <v/>
      </c>
      <c r="I388" s="66" t="str">
        <f>IF(A388="","",COUNTIF(jr_num,A388))</f>
        <v/>
      </c>
      <c r="J388" s="66" t="str">
        <f>IF(A388="","",SUMIF(jr_num,A388,jr_colis))</f>
        <v/>
      </c>
      <c r="K388" s="63" t="str">
        <f>IF(A388="","",SUMIF(jr_num,A388,jr_kg))</f>
        <v/>
      </c>
      <c r="L388" s="64" t="str">
        <f>IF(A388="","",SUMIF(jr_num,A388,jr_val))</f>
        <v/>
      </c>
      <c r="M388" s="60" t="str">
        <f>IF(A388="","",IF(COUNTIFS(jr_num,A388,jr_check,"&lt;&gt;OK")&gt;0,"À vérifier",IF(LEFT(A388,2)="BL",IF(COUNTIFS(jr_num,A388,jr_rel,"&gt;0")&gt;0,"Reliquat en cours",IF(COUNTIFS(jr_num,A388,jr_gap,"&lt;0")&gt;0,"Reliquat livré","Complet")),IF(LEFT(A388,2)="BR",IF(COUNTIFS(jr_num,A388,jr_etat,"Refusé")&gt;0,"Refusé",IF(COUNTIFS(jr_num,A388,jr_etat,"Avec réserves")&gt;0,"Avec réserves",IF(COUNTIFS(jr_num,A388,jr_rel,"&gt;0")&gt;0,"Reliquat en cours",IF(COUNTIFS(jr_num,A388,jr_gap,"&lt;0")+COUNTIFS(jr_num,A388,jr_gap,"&gt;0")&gt;0,"Écart","Conforme")))),IF(COUNTIFS(jr_num,A388,jr_gap,"&lt;0")&gt;0,"Partiel","Sorti")))))</f>
        <v/>
      </c>
      <c r="O388" t="str">
        <f>IFERROR(MATCH(383,jr_grank,0),"")</f>
        <v/>
      </c>
      <c r="R388" s="67" t="str">
        <f>IFERROR(INDEX(jr_num,MATCH("BL383",jr_nkey,0))&amp;"","")</f>
        <v/>
      </c>
      <c r="S388" s="67" t="str">
        <f>IFERROR(INDEX(jr_num,MATCH("BR383",jr_nkey,0))&amp;"","")</f>
        <v/>
      </c>
      <c r="T388" s="67" t="str">
        <f>IFERROR(INDEX(jr_num,MATCH("BS383",jr_nkey,0))&amp;"","")</f>
        <v/>
      </c>
    </row>
    <row r="389">
      <c r="A389" s="60" t="str">
        <f>IF($O389="","",INDEX(jr_num,$O389)&amp;"")</f>
        <v/>
      </c>
      <c r="B389" s="60" t="str">
        <f>IF($O389="","",IF(INDEX(jr_type,$O389)="BL","Livraison",IF(INDEX(jr_type,$O389)="BR","Réception","Sortie")))</f>
        <v/>
      </c>
      <c r="C389" s="65" t="str">
        <f>IF($O389="","",INDEX(jr_date,$O389))</f>
        <v/>
      </c>
      <c r="D389" s="60" t="str">
        <f>IF($O389="","",INDEX(jr_tiers,$O389)&amp;"")</f>
        <v/>
      </c>
      <c r="E389" s="57" t="str">
        <f>IF($O389="","",INDEX(jr_name,$O389)&amp;"")</f>
        <v/>
      </c>
      <c r="F389" s="57" t="str">
        <f>IF($O389="","",INDEX(jr_order,$O389)&amp;"")</f>
        <v/>
      </c>
      <c r="G389" s="57" t="str">
        <f>IF($O389="","",INDEX(jr_ext,$O389)&amp;"")</f>
        <v/>
      </c>
      <c r="H389" s="57" t="str">
        <f>IF($O389="","",INDEX(jr_carrier,$O389)&amp;"")</f>
        <v/>
      </c>
      <c r="I389" s="66" t="str">
        <f>IF(A389="","",COUNTIF(jr_num,A389))</f>
        <v/>
      </c>
      <c r="J389" s="66" t="str">
        <f>IF(A389="","",SUMIF(jr_num,A389,jr_colis))</f>
        <v/>
      </c>
      <c r="K389" s="63" t="str">
        <f>IF(A389="","",SUMIF(jr_num,A389,jr_kg))</f>
        <v/>
      </c>
      <c r="L389" s="64" t="str">
        <f>IF(A389="","",SUMIF(jr_num,A389,jr_val))</f>
        <v/>
      </c>
      <c r="M389" s="60" t="str">
        <f>IF(A389="","",IF(COUNTIFS(jr_num,A389,jr_check,"&lt;&gt;OK")&gt;0,"À vérifier",IF(LEFT(A389,2)="BL",IF(COUNTIFS(jr_num,A389,jr_rel,"&gt;0")&gt;0,"Reliquat en cours",IF(COUNTIFS(jr_num,A389,jr_gap,"&lt;0")&gt;0,"Reliquat livré","Complet")),IF(LEFT(A389,2)="BR",IF(COUNTIFS(jr_num,A389,jr_etat,"Refusé")&gt;0,"Refusé",IF(COUNTIFS(jr_num,A389,jr_etat,"Avec réserves")&gt;0,"Avec réserves",IF(COUNTIFS(jr_num,A389,jr_rel,"&gt;0")&gt;0,"Reliquat en cours",IF(COUNTIFS(jr_num,A389,jr_gap,"&lt;0")+COUNTIFS(jr_num,A389,jr_gap,"&gt;0")&gt;0,"Écart","Conforme")))),IF(COUNTIFS(jr_num,A389,jr_gap,"&lt;0")&gt;0,"Partiel","Sorti")))))</f>
        <v/>
      </c>
      <c r="O389" t="str">
        <f>IFERROR(MATCH(384,jr_grank,0),"")</f>
        <v/>
      </c>
      <c r="R389" s="67" t="str">
        <f>IFERROR(INDEX(jr_num,MATCH("BL384",jr_nkey,0))&amp;"","")</f>
        <v/>
      </c>
      <c r="S389" s="67" t="str">
        <f>IFERROR(INDEX(jr_num,MATCH("BR384",jr_nkey,0))&amp;"","")</f>
        <v/>
      </c>
      <c r="T389" s="67" t="str">
        <f>IFERROR(INDEX(jr_num,MATCH("BS384",jr_nkey,0))&amp;"","")</f>
        <v/>
      </c>
    </row>
    <row r="390">
      <c r="A390" s="60" t="str">
        <f>IF($O390="","",INDEX(jr_num,$O390)&amp;"")</f>
        <v/>
      </c>
      <c r="B390" s="60" t="str">
        <f>IF($O390="","",IF(INDEX(jr_type,$O390)="BL","Livraison",IF(INDEX(jr_type,$O390)="BR","Réception","Sortie")))</f>
        <v/>
      </c>
      <c r="C390" s="65" t="str">
        <f>IF($O390="","",INDEX(jr_date,$O390))</f>
        <v/>
      </c>
      <c r="D390" s="60" t="str">
        <f>IF($O390="","",INDEX(jr_tiers,$O390)&amp;"")</f>
        <v/>
      </c>
      <c r="E390" s="57" t="str">
        <f>IF($O390="","",INDEX(jr_name,$O390)&amp;"")</f>
        <v/>
      </c>
      <c r="F390" s="57" t="str">
        <f>IF($O390="","",INDEX(jr_order,$O390)&amp;"")</f>
        <v/>
      </c>
      <c r="G390" s="57" t="str">
        <f>IF($O390="","",INDEX(jr_ext,$O390)&amp;"")</f>
        <v/>
      </c>
      <c r="H390" s="57" t="str">
        <f>IF($O390="","",INDEX(jr_carrier,$O390)&amp;"")</f>
        <v/>
      </c>
      <c r="I390" s="66" t="str">
        <f>IF(A390="","",COUNTIF(jr_num,A390))</f>
        <v/>
      </c>
      <c r="J390" s="66" t="str">
        <f>IF(A390="","",SUMIF(jr_num,A390,jr_colis))</f>
        <v/>
      </c>
      <c r="K390" s="63" t="str">
        <f>IF(A390="","",SUMIF(jr_num,A390,jr_kg))</f>
        <v/>
      </c>
      <c r="L390" s="64" t="str">
        <f>IF(A390="","",SUMIF(jr_num,A390,jr_val))</f>
        <v/>
      </c>
      <c r="M390" s="60" t="str">
        <f>IF(A390="","",IF(COUNTIFS(jr_num,A390,jr_check,"&lt;&gt;OK")&gt;0,"À vérifier",IF(LEFT(A390,2)="BL",IF(COUNTIFS(jr_num,A390,jr_rel,"&gt;0")&gt;0,"Reliquat en cours",IF(COUNTIFS(jr_num,A390,jr_gap,"&lt;0")&gt;0,"Reliquat livré","Complet")),IF(LEFT(A390,2)="BR",IF(COUNTIFS(jr_num,A390,jr_etat,"Refusé")&gt;0,"Refusé",IF(COUNTIFS(jr_num,A390,jr_etat,"Avec réserves")&gt;0,"Avec réserves",IF(COUNTIFS(jr_num,A390,jr_rel,"&gt;0")&gt;0,"Reliquat en cours",IF(COUNTIFS(jr_num,A390,jr_gap,"&lt;0")+COUNTIFS(jr_num,A390,jr_gap,"&gt;0")&gt;0,"Écart","Conforme")))),IF(COUNTIFS(jr_num,A390,jr_gap,"&lt;0")&gt;0,"Partiel","Sorti")))))</f>
        <v/>
      </c>
      <c r="O390" t="str">
        <f>IFERROR(MATCH(385,jr_grank,0),"")</f>
        <v/>
      </c>
      <c r="R390" s="67" t="str">
        <f>IFERROR(INDEX(jr_num,MATCH("BL385",jr_nkey,0))&amp;"","")</f>
        <v/>
      </c>
      <c r="S390" s="67" t="str">
        <f>IFERROR(INDEX(jr_num,MATCH("BR385",jr_nkey,0))&amp;"","")</f>
        <v/>
      </c>
      <c r="T390" s="67" t="str">
        <f>IFERROR(INDEX(jr_num,MATCH("BS385",jr_nkey,0))&amp;"","")</f>
        <v/>
      </c>
    </row>
    <row r="391">
      <c r="A391" s="60" t="str">
        <f>IF($O391="","",INDEX(jr_num,$O391)&amp;"")</f>
        <v/>
      </c>
      <c r="B391" s="60" t="str">
        <f>IF($O391="","",IF(INDEX(jr_type,$O391)="BL","Livraison",IF(INDEX(jr_type,$O391)="BR","Réception","Sortie")))</f>
        <v/>
      </c>
      <c r="C391" s="65" t="str">
        <f>IF($O391="","",INDEX(jr_date,$O391))</f>
        <v/>
      </c>
      <c r="D391" s="60" t="str">
        <f>IF($O391="","",INDEX(jr_tiers,$O391)&amp;"")</f>
        <v/>
      </c>
      <c r="E391" s="57" t="str">
        <f>IF($O391="","",INDEX(jr_name,$O391)&amp;"")</f>
        <v/>
      </c>
      <c r="F391" s="57" t="str">
        <f>IF($O391="","",INDEX(jr_order,$O391)&amp;"")</f>
        <v/>
      </c>
      <c r="G391" s="57" t="str">
        <f>IF($O391="","",INDEX(jr_ext,$O391)&amp;"")</f>
        <v/>
      </c>
      <c r="H391" s="57" t="str">
        <f>IF($O391="","",INDEX(jr_carrier,$O391)&amp;"")</f>
        <v/>
      </c>
      <c r="I391" s="66" t="str">
        <f>IF(A391="","",COUNTIF(jr_num,A391))</f>
        <v/>
      </c>
      <c r="J391" s="66" t="str">
        <f>IF(A391="","",SUMIF(jr_num,A391,jr_colis))</f>
        <v/>
      </c>
      <c r="K391" s="63" t="str">
        <f>IF(A391="","",SUMIF(jr_num,A391,jr_kg))</f>
        <v/>
      </c>
      <c r="L391" s="64" t="str">
        <f>IF(A391="","",SUMIF(jr_num,A391,jr_val))</f>
        <v/>
      </c>
      <c r="M391" s="60" t="str">
        <f>IF(A391="","",IF(COUNTIFS(jr_num,A391,jr_check,"&lt;&gt;OK")&gt;0,"À vérifier",IF(LEFT(A391,2)="BL",IF(COUNTIFS(jr_num,A391,jr_rel,"&gt;0")&gt;0,"Reliquat en cours",IF(COUNTIFS(jr_num,A391,jr_gap,"&lt;0")&gt;0,"Reliquat livré","Complet")),IF(LEFT(A391,2)="BR",IF(COUNTIFS(jr_num,A391,jr_etat,"Refusé")&gt;0,"Refusé",IF(COUNTIFS(jr_num,A391,jr_etat,"Avec réserves")&gt;0,"Avec réserves",IF(COUNTIFS(jr_num,A391,jr_rel,"&gt;0")&gt;0,"Reliquat en cours",IF(COUNTIFS(jr_num,A391,jr_gap,"&lt;0")+COUNTIFS(jr_num,A391,jr_gap,"&gt;0")&gt;0,"Écart","Conforme")))),IF(COUNTIFS(jr_num,A391,jr_gap,"&lt;0")&gt;0,"Partiel","Sorti")))))</f>
        <v/>
      </c>
      <c r="O391" t="str">
        <f>IFERROR(MATCH(386,jr_grank,0),"")</f>
        <v/>
      </c>
      <c r="R391" s="67" t="str">
        <f>IFERROR(INDEX(jr_num,MATCH("BL386",jr_nkey,0))&amp;"","")</f>
        <v/>
      </c>
      <c r="S391" s="67" t="str">
        <f>IFERROR(INDEX(jr_num,MATCH("BR386",jr_nkey,0))&amp;"","")</f>
        <v/>
      </c>
      <c r="T391" s="67" t="str">
        <f>IFERROR(INDEX(jr_num,MATCH("BS386",jr_nkey,0))&amp;"","")</f>
        <v/>
      </c>
    </row>
    <row r="392">
      <c r="A392" s="60" t="str">
        <f>IF($O392="","",INDEX(jr_num,$O392)&amp;"")</f>
        <v/>
      </c>
      <c r="B392" s="60" t="str">
        <f>IF($O392="","",IF(INDEX(jr_type,$O392)="BL","Livraison",IF(INDEX(jr_type,$O392)="BR","Réception","Sortie")))</f>
        <v/>
      </c>
      <c r="C392" s="65" t="str">
        <f>IF($O392="","",INDEX(jr_date,$O392))</f>
        <v/>
      </c>
      <c r="D392" s="60" t="str">
        <f>IF($O392="","",INDEX(jr_tiers,$O392)&amp;"")</f>
        <v/>
      </c>
      <c r="E392" s="57" t="str">
        <f>IF($O392="","",INDEX(jr_name,$O392)&amp;"")</f>
        <v/>
      </c>
      <c r="F392" s="57" t="str">
        <f>IF($O392="","",INDEX(jr_order,$O392)&amp;"")</f>
        <v/>
      </c>
      <c r="G392" s="57" t="str">
        <f>IF($O392="","",INDEX(jr_ext,$O392)&amp;"")</f>
        <v/>
      </c>
      <c r="H392" s="57" t="str">
        <f>IF($O392="","",INDEX(jr_carrier,$O392)&amp;"")</f>
        <v/>
      </c>
      <c r="I392" s="66" t="str">
        <f>IF(A392="","",COUNTIF(jr_num,A392))</f>
        <v/>
      </c>
      <c r="J392" s="66" t="str">
        <f>IF(A392="","",SUMIF(jr_num,A392,jr_colis))</f>
        <v/>
      </c>
      <c r="K392" s="63" t="str">
        <f>IF(A392="","",SUMIF(jr_num,A392,jr_kg))</f>
        <v/>
      </c>
      <c r="L392" s="64" t="str">
        <f>IF(A392="","",SUMIF(jr_num,A392,jr_val))</f>
        <v/>
      </c>
      <c r="M392" s="60" t="str">
        <f>IF(A392="","",IF(COUNTIFS(jr_num,A392,jr_check,"&lt;&gt;OK")&gt;0,"À vérifier",IF(LEFT(A392,2)="BL",IF(COUNTIFS(jr_num,A392,jr_rel,"&gt;0")&gt;0,"Reliquat en cours",IF(COUNTIFS(jr_num,A392,jr_gap,"&lt;0")&gt;0,"Reliquat livré","Complet")),IF(LEFT(A392,2)="BR",IF(COUNTIFS(jr_num,A392,jr_etat,"Refusé")&gt;0,"Refusé",IF(COUNTIFS(jr_num,A392,jr_etat,"Avec réserves")&gt;0,"Avec réserves",IF(COUNTIFS(jr_num,A392,jr_rel,"&gt;0")&gt;0,"Reliquat en cours",IF(COUNTIFS(jr_num,A392,jr_gap,"&lt;0")+COUNTIFS(jr_num,A392,jr_gap,"&gt;0")&gt;0,"Écart","Conforme")))),IF(COUNTIFS(jr_num,A392,jr_gap,"&lt;0")&gt;0,"Partiel","Sorti")))))</f>
        <v/>
      </c>
      <c r="O392" t="str">
        <f>IFERROR(MATCH(387,jr_grank,0),"")</f>
        <v/>
      </c>
      <c r="R392" s="67" t="str">
        <f>IFERROR(INDEX(jr_num,MATCH("BL387",jr_nkey,0))&amp;"","")</f>
        <v/>
      </c>
      <c r="S392" s="67" t="str">
        <f>IFERROR(INDEX(jr_num,MATCH("BR387",jr_nkey,0))&amp;"","")</f>
        <v/>
      </c>
      <c r="T392" s="67" t="str">
        <f>IFERROR(INDEX(jr_num,MATCH("BS387",jr_nkey,0))&amp;"","")</f>
        <v/>
      </c>
    </row>
    <row r="393">
      <c r="A393" s="60" t="str">
        <f>IF($O393="","",INDEX(jr_num,$O393)&amp;"")</f>
        <v/>
      </c>
      <c r="B393" s="60" t="str">
        <f>IF($O393="","",IF(INDEX(jr_type,$O393)="BL","Livraison",IF(INDEX(jr_type,$O393)="BR","Réception","Sortie")))</f>
        <v/>
      </c>
      <c r="C393" s="65" t="str">
        <f>IF($O393="","",INDEX(jr_date,$O393))</f>
        <v/>
      </c>
      <c r="D393" s="60" t="str">
        <f>IF($O393="","",INDEX(jr_tiers,$O393)&amp;"")</f>
        <v/>
      </c>
      <c r="E393" s="57" t="str">
        <f>IF($O393="","",INDEX(jr_name,$O393)&amp;"")</f>
        <v/>
      </c>
      <c r="F393" s="57" t="str">
        <f>IF($O393="","",INDEX(jr_order,$O393)&amp;"")</f>
        <v/>
      </c>
      <c r="G393" s="57" t="str">
        <f>IF($O393="","",INDEX(jr_ext,$O393)&amp;"")</f>
        <v/>
      </c>
      <c r="H393" s="57" t="str">
        <f>IF($O393="","",INDEX(jr_carrier,$O393)&amp;"")</f>
        <v/>
      </c>
      <c r="I393" s="66" t="str">
        <f>IF(A393="","",COUNTIF(jr_num,A393))</f>
        <v/>
      </c>
      <c r="J393" s="66" t="str">
        <f>IF(A393="","",SUMIF(jr_num,A393,jr_colis))</f>
        <v/>
      </c>
      <c r="K393" s="63" t="str">
        <f>IF(A393="","",SUMIF(jr_num,A393,jr_kg))</f>
        <v/>
      </c>
      <c r="L393" s="64" t="str">
        <f>IF(A393="","",SUMIF(jr_num,A393,jr_val))</f>
        <v/>
      </c>
      <c r="M393" s="60" t="str">
        <f>IF(A393="","",IF(COUNTIFS(jr_num,A393,jr_check,"&lt;&gt;OK")&gt;0,"À vérifier",IF(LEFT(A393,2)="BL",IF(COUNTIFS(jr_num,A393,jr_rel,"&gt;0")&gt;0,"Reliquat en cours",IF(COUNTIFS(jr_num,A393,jr_gap,"&lt;0")&gt;0,"Reliquat livré","Complet")),IF(LEFT(A393,2)="BR",IF(COUNTIFS(jr_num,A393,jr_etat,"Refusé")&gt;0,"Refusé",IF(COUNTIFS(jr_num,A393,jr_etat,"Avec réserves")&gt;0,"Avec réserves",IF(COUNTIFS(jr_num,A393,jr_rel,"&gt;0")&gt;0,"Reliquat en cours",IF(COUNTIFS(jr_num,A393,jr_gap,"&lt;0")+COUNTIFS(jr_num,A393,jr_gap,"&gt;0")&gt;0,"Écart","Conforme")))),IF(COUNTIFS(jr_num,A393,jr_gap,"&lt;0")&gt;0,"Partiel","Sorti")))))</f>
        <v/>
      </c>
      <c r="O393" t="str">
        <f>IFERROR(MATCH(388,jr_grank,0),"")</f>
        <v/>
      </c>
      <c r="R393" s="67" t="str">
        <f>IFERROR(INDEX(jr_num,MATCH("BL388",jr_nkey,0))&amp;"","")</f>
        <v/>
      </c>
      <c r="S393" s="67" t="str">
        <f>IFERROR(INDEX(jr_num,MATCH("BR388",jr_nkey,0))&amp;"","")</f>
        <v/>
      </c>
      <c r="T393" s="67" t="str">
        <f>IFERROR(INDEX(jr_num,MATCH("BS388",jr_nkey,0))&amp;"","")</f>
        <v/>
      </c>
    </row>
    <row r="394">
      <c r="A394" s="60" t="str">
        <f>IF($O394="","",INDEX(jr_num,$O394)&amp;"")</f>
        <v/>
      </c>
      <c r="B394" s="60" t="str">
        <f>IF($O394="","",IF(INDEX(jr_type,$O394)="BL","Livraison",IF(INDEX(jr_type,$O394)="BR","Réception","Sortie")))</f>
        <v/>
      </c>
      <c r="C394" s="65" t="str">
        <f>IF($O394="","",INDEX(jr_date,$O394))</f>
        <v/>
      </c>
      <c r="D394" s="60" t="str">
        <f>IF($O394="","",INDEX(jr_tiers,$O394)&amp;"")</f>
        <v/>
      </c>
      <c r="E394" s="57" t="str">
        <f>IF($O394="","",INDEX(jr_name,$O394)&amp;"")</f>
        <v/>
      </c>
      <c r="F394" s="57" t="str">
        <f>IF($O394="","",INDEX(jr_order,$O394)&amp;"")</f>
        <v/>
      </c>
      <c r="G394" s="57" t="str">
        <f>IF($O394="","",INDEX(jr_ext,$O394)&amp;"")</f>
        <v/>
      </c>
      <c r="H394" s="57" t="str">
        <f>IF($O394="","",INDEX(jr_carrier,$O394)&amp;"")</f>
        <v/>
      </c>
      <c r="I394" s="66" t="str">
        <f>IF(A394="","",COUNTIF(jr_num,A394))</f>
        <v/>
      </c>
      <c r="J394" s="66" t="str">
        <f>IF(A394="","",SUMIF(jr_num,A394,jr_colis))</f>
        <v/>
      </c>
      <c r="K394" s="63" t="str">
        <f>IF(A394="","",SUMIF(jr_num,A394,jr_kg))</f>
        <v/>
      </c>
      <c r="L394" s="64" t="str">
        <f>IF(A394="","",SUMIF(jr_num,A394,jr_val))</f>
        <v/>
      </c>
      <c r="M394" s="60" t="str">
        <f>IF(A394="","",IF(COUNTIFS(jr_num,A394,jr_check,"&lt;&gt;OK")&gt;0,"À vérifier",IF(LEFT(A394,2)="BL",IF(COUNTIFS(jr_num,A394,jr_rel,"&gt;0")&gt;0,"Reliquat en cours",IF(COUNTIFS(jr_num,A394,jr_gap,"&lt;0")&gt;0,"Reliquat livré","Complet")),IF(LEFT(A394,2)="BR",IF(COUNTIFS(jr_num,A394,jr_etat,"Refusé")&gt;0,"Refusé",IF(COUNTIFS(jr_num,A394,jr_etat,"Avec réserves")&gt;0,"Avec réserves",IF(COUNTIFS(jr_num,A394,jr_rel,"&gt;0")&gt;0,"Reliquat en cours",IF(COUNTIFS(jr_num,A394,jr_gap,"&lt;0")+COUNTIFS(jr_num,A394,jr_gap,"&gt;0")&gt;0,"Écart","Conforme")))),IF(COUNTIFS(jr_num,A394,jr_gap,"&lt;0")&gt;0,"Partiel","Sorti")))))</f>
        <v/>
      </c>
      <c r="O394" t="str">
        <f>IFERROR(MATCH(389,jr_grank,0),"")</f>
        <v/>
      </c>
      <c r="R394" s="67" t="str">
        <f>IFERROR(INDEX(jr_num,MATCH("BL389",jr_nkey,0))&amp;"","")</f>
        <v/>
      </c>
      <c r="S394" s="67" t="str">
        <f>IFERROR(INDEX(jr_num,MATCH("BR389",jr_nkey,0))&amp;"","")</f>
        <v/>
      </c>
      <c r="T394" s="67" t="str">
        <f>IFERROR(INDEX(jr_num,MATCH("BS389",jr_nkey,0))&amp;"","")</f>
        <v/>
      </c>
    </row>
    <row r="395">
      <c r="A395" s="60" t="str">
        <f>IF($O395="","",INDEX(jr_num,$O395)&amp;"")</f>
        <v/>
      </c>
      <c r="B395" s="60" t="str">
        <f>IF($O395="","",IF(INDEX(jr_type,$O395)="BL","Livraison",IF(INDEX(jr_type,$O395)="BR","Réception","Sortie")))</f>
        <v/>
      </c>
      <c r="C395" s="65" t="str">
        <f>IF($O395="","",INDEX(jr_date,$O395))</f>
        <v/>
      </c>
      <c r="D395" s="60" t="str">
        <f>IF($O395="","",INDEX(jr_tiers,$O395)&amp;"")</f>
        <v/>
      </c>
      <c r="E395" s="57" t="str">
        <f>IF($O395="","",INDEX(jr_name,$O395)&amp;"")</f>
        <v/>
      </c>
      <c r="F395" s="57" t="str">
        <f>IF($O395="","",INDEX(jr_order,$O395)&amp;"")</f>
        <v/>
      </c>
      <c r="G395" s="57" t="str">
        <f>IF($O395="","",INDEX(jr_ext,$O395)&amp;"")</f>
        <v/>
      </c>
      <c r="H395" s="57" t="str">
        <f>IF($O395="","",INDEX(jr_carrier,$O395)&amp;"")</f>
        <v/>
      </c>
      <c r="I395" s="66" t="str">
        <f>IF(A395="","",COUNTIF(jr_num,A395))</f>
        <v/>
      </c>
      <c r="J395" s="66" t="str">
        <f>IF(A395="","",SUMIF(jr_num,A395,jr_colis))</f>
        <v/>
      </c>
      <c r="K395" s="63" t="str">
        <f>IF(A395="","",SUMIF(jr_num,A395,jr_kg))</f>
        <v/>
      </c>
      <c r="L395" s="64" t="str">
        <f>IF(A395="","",SUMIF(jr_num,A395,jr_val))</f>
        <v/>
      </c>
      <c r="M395" s="60" t="str">
        <f>IF(A395="","",IF(COUNTIFS(jr_num,A395,jr_check,"&lt;&gt;OK")&gt;0,"À vérifier",IF(LEFT(A395,2)="BL",IF(COUNTIFS(jr_num,A395,jr_rel,"&gt;0")&gt;0,"Reliquat en cours",IF(COUNTIFS(jr_num,A395,jr_gap,"&lt;0")&gt;0,"Reliquat livré","Complet")),IF(LEFT(A395,2)="BR",IF(COUNTIFS(jr_num,A395,jr_etat,"Refusé")&gt;0,"Refusé",IF(COUNTIFS(jr_num,A395,jr_etat,"Avec réserves")&gt;0,"Avec réserves",IF(COUNTIFS(jr_num,A395,jr_rel,"&gt;0")&gt;0,"Reliquat en cours",IF(COUNTIFS(jr_num,A395,jr_gap,"&lt;0")+COUNTIFS(jr_num,A395,jr_gap,"&gt;0")&gt;0,"Écart","Conforme")))),IF(COUNTIFS(jr_num,A395,jr_gap,"&lt;0")&gt;0,"Partiel","Sorti")))))</f>
        <v/>
      </c>
      <c r="O395" t="str">
        <f>IFERROR(MATCH(390,jr_grank,0),"")</f>
        <v/>
      </c>
      <c r="R395" s="67" t="str">
        <f>IFERROR(INDEX(jr_num,MATCH("BL390",jr_nkey,0))&amp;"","")</f>
        <v/>
      </c>
      <c r="S395" s="67" t="str">
        <f>IFERROR(INDEX(jr_num,MATCH("BR390",jr_nkey,0))&amp;"","")</f>
        <v/>
      </c>
      <c r="T395" s="67" t="str">
        <f>IFERROR(INDEX(jr_num,MATCH("BS390",jr_nkey,0))&amp;"","")</f>
        <v/>
      </c>
    </row>
    <row r="396">
      <c r="A396" s="60" t="str">
        <f>IF($O396="","",INDEX(jr_num,$O396)&amp;"")</f>
        <v/>
      </c>
      <c r="B396" s="60" t="str">
        <f>IF($O396="","",IF(INDEX(jr_type,$O396)="BL","Livraison",IF(INDEX(jr_type,$O396)="BR","Réception","Sortie")))</f>
        <v/>
      </c>
      <c r="C396" s="65" t="str">
        <f>IF($O396="","",INDEX(jr_date,$O396))</f>
        <v/>
      </c>
      <c r="D396" s="60" t="str">
        <f>IF($O396="","",INDEX(jr_tiers,$O396)&amp;"")</f>
        <v/>
      </c>
      <c r="E396" s="57" t="str">
        <f>IF($O396="","",INDEX(jr_name,$O396)&amp;"")</f>
        <v/>
      </c>
      <c r="F396" s="57" t="str">
        <f>IF($O396="","",INDEX(jr_order,$O396)&amp;"")</f>
        <v/>
      </c>
      <c r="G396" s="57" t="str">
        <f>IF($O396="","",INDEX(jr_ext,$O396)&amp;"")</f>
        <v/>
      </c>
      <c r="H396" s="57" t="str">
        <f>IF($O396="","",INDEX(jr_carrier,$O396)&amp;"")</f>
        <v/>
      </c>
      <c r="I396" s="66" t="str">
        <f>IF(A396="","",COUNTIF(jr_num,A396))</f>
        <v/>
      </c>
      <c r="J396" s="66" t="str">
        <f>IF(A396="","",SUMIF(jr_num,A396,jr_colis))</f>
        <v/>
      </c>
      <c r="K396" s="63" t="str">
        <f>IF(A396="","",SUMIF(jr_num,A396,jr_kg))</f>
        <v/>
      </c>
      <c r="L396" s="64" t="str">
        <f>IF(A396="","",SUMIF(jr_num,A396,jr_val))</f>
        <v/>
      </c>
      <c r="M396" s="60" t="str">
        <f>IF(A396="","",IF(COUNTIFS(jr_num,A396,jr_check,"&lt;&gt;OK")&gt;0,"À vérifier",IF(LEFT(A396,2)="BL",IF(COUNTIFS(jr_num,A396,jr_rel,"&gt;0")&gt;0,"Reliquat en cours",IF(COUNTIFS(jr_num,A396,jr_gap,"&lt;0")&gt;0,"Reliquat livré","Complet")),IF(LEFT(A396,2)="BR",IF(COUNTIFS(jr_num,A396,jr_etat,"Refusé")&gt;0,"Refusé",IF(COUNTIFS(jr_num,A396,jr_etat,"Avec réserves")&gt;0,"Avec réserves",IF(COUNTIFS(jr_num,A396,jr_rel,"&gt;0")&gt;0,"Reliquat en cours",IF(COUNTIFS(jr_num,A396,jr_gap,"&lt;0")+COUNTIFS(jr_num,A396,jr_gap,"&gt;0")&gt;0,"Écart","Conforme")))),IF(COUNTIFS(jr_num,A396,jr_gap,"&lt;0")&gt;0,"Partiel","Sorti")))))</f>
        <v/>
      </c>
      <c r="O396" t="str">
        <f>IFERROR(MATCH(391,jr_grank,0),"")</f>
        <v/>
      </c>
      <c r="R396" s="67" t="str">
        <f>IFERROR(INDEX(jr_num,MATCH("BL391",jr_nkey,0))&amp;"","")</f>
        <v/>
      </c>
      <c r="S396" s="67" t="str">
        <f>IFERROR(INDEX(jr_num,MATCH("BR391",jr_nkey,0))&amp;"","")</f>
        <v/>
      </c>
      <c r="T396" s="67" t="str">
        <f>IFERROR(INDEX(jr_num,MATCH("BS391",jr_nkey,0))&amp;"","")</f>
        <v/>
      </c>
    </row>
    <row r="397">
      <c r="A397" s="60" t="str">
        <f>IF($O397="","",INDEX(jr_num,$O397)&amp;"")</f>
        <v/>
      </c>
      <c r="B397" s="60" t="str">
        <f>IF($O397="","",IF(INDEX(jr_type,$O397)="BL","Livraison",IF(INDEX(jr_type,$O397)="BR","Réception","Sortie")))</f>
        <v/>
      </c>
      <c r="C397" s="65" t="str">
        <f>IF($O397="","",INDEX(jr_date,$O397))</f>
        <v/>
      </c>
      <c r="D397" s="60" t="str">
        <f>IF($O397="","",INDEX(jr_tiers,$O397)&amp;"")</f>
        <v/>
      </c>
      <c r="E397" s="57" t="str">
        <f>IF($O397="","",INDEX(jr_name,$O397)&amp;"")</f>
        <v/>
      </c>
      <c r="F397" s="57" t="str">
        <f>IF($O397="","",INDEX(jr_order,$O397)&amp;"")</f>
        <v/>
      </c>
      <c r="G397" s="57" t="str">
        <f>IF($O397="","",INDEX(jr_ext,$O397)&amp;"")</f>
        <v/>
      </c>
      <c r="H397" s="57" t="str">
        <f>IF($O397="","",INDEX(jr_carrier,$O397)&amp;"")</f>
        <v/>
      </c>
      <c r="I397" s="66" t="str">
        <f>IF(A397="","",COUNTIF(jr_num,A397))</f>
        <v/>
      </c>
      <c r="J397" s="66" t="str">
        <f>IF(A397="","",SUMIF(jr_num,A397,jr_colis))</f>
        <v/>
      </c>
      <c r="K397" s="63" t="str">
        <f>IF(A397="","",SUMIF(jr_num,A397,jr_kg))</f>
        <v/>
      </c>
      <c r="L397" s="64" t="str">
        <f>IF(A397="","",SUMIF(jr_num,A397,jr_val))</f>
        <v/>
      </c>
      <c r="M397" s="60" t="str">
        <f>IF(A397="","",IF(COUNTIFS(jr_num,A397,jr_check,"&lt;&gt;OK")&gt;0,"À vérifier",IF(LEFT(A397,2)="BL",IF(COUNTIFS(jr_num,A397,jr_rel,"&gt;0")&gt;0,"Reliquat en cours",IF(COUNTIFS(jr_num,A397,jr_gap,"&lt;0")&gt;0,"Reliquat livré","Complet")),IF(LEFT(A397,2)="BR",IF(COUNTIFS(jr_num,A397,jr_etat,"Refusé")&gt;0,"Refusé",IF(COUNTIFS(jr_num,A397,jr_etat,"Avec réserves")&gt;0,"Avec réserves",IF(COUNTIFS(jr_num,A397,jr_rel,"&gt;0")&gt;0,"Reliquat en cours",IF(COUNTIFS(jr_num,A397,jr_gap,"&lt;0")+COUNTIFS(jr_num,A397,jr_gap,"&gt;0")&gt;0,"Écart","Conforme")))),IF(COUNTIFS(jr_num,A397,jr_gap,"&lt;0")&gt;0,"Partiel","Sorti")))))</f>
        <v/>
      </c>
      <c r="O397" t="str">
        <f>IFERROR(MATCH(392,jr_grank,0),"")</f>
        <v/>
      </c>
      <c r="R397" s="67" t="str">
        <f>IFERROR(INDEX(jr_num,MATCH("BL392",jr_nkey,0))&amp;"","")</f>
        <v/>
      </c>
      <c r="S397" s="67" t="str">
        <f>IFERROR(INDEX(jr_num,MATCH("BR392",jr_nkey,0))&amp;"","")</f>
        <v/>
      </c>
      <c r="T397" s="67" t="str">
        <f>IFERROR(INDEX(jr_num,MATCH("BS392",jr_nkey,0))&amp;"","")</f>
        <v/>
      </c>
    </row>
    <row r="398">
      <c r="A398" s="60" t="str">
        <f>IF($O398="","",INDEX(jr_num,$O398)&amp;"")</f>
        <v/>
      </c>
      <c r="B398" s="60" t="str">
        <f>IF($O398="","",IF(INDEX(jr_type,$O398)="BL","Livraison",IF(INDEX(jr_type,$O398)="BR","Réception","Sortie")))</f>
        <v/>
      </c>
      <c r="C398" s="65" t="str">
        <f>IF($O398="","",INDEX(jr_date,$O398))</f>
        <v/>
      </c>
      <c r="D398" s="60" t="str">
        <f>IF($O398="","",INDEX(jr_tiers,$O398)&amp;"")</f>
        <v/>
      </c>
      <c r="E398" s="57" t="str">
        <f>IF($O398="","",INDEX(jr_name,$O398)&amp;"")</f>
        <v/>
      </c>
      <c r="F398" s="57" t="str">
        <f>IF($O398="","",INDEX(jr_order,$O398)&amp;"")</f>
        <v/>
      </c>
      <c r="G398" s="57" t="str">
        <f>IF($O398="","",INDEX(jr_ext,$O398)&amp;"")</f>
        <v/>
      </c>
      <c r="H398" s="57" t="str">
        <f>IF($O398="","",INDEX(jr_carrier,$O398)&amp;"")</f>
        <v/>
      </c>
      <c r="I398" s="66" t="str">
        <f>IF(A398="","",COUNTIF(jr_num,A398))</f>
        <v/>
      </c>
      <c r="J398" s="66" t="str">
        <f>IF(A398="","",SUMIF(jr_num,A398,jr_colis))</f>
        <v/>
      </c>
      <c r="K398" s="63" t="str">
        <f>IF(A398="","",SUMIF(jr_num,A398,jr_kg))</f>
        <v/>
      </c>
      <c r="L398" s="64" t="str">
        <f>IF(A398="","",SUMIF(jr_num,A398,jr_val))</f>
        <v/>
      </c>
      <c r="M398" s="60" t="str">
        <f>IF(A398="","",IF(COUNTIFS(jr_num,A398,jr_check,"&lt;&gt;OK")&gt;0,"À vérifier",IF(LEFT(A398,2)="BL",IF(COUNTIFS(jr_num,A398,jr_rel,"&gt;0")&gt;0,"Reliquat en cours",IF(COUNTIFS(jr_num,A398,jr_gap,"&lt;0")&gt;0,"Reliquat livré","Complet")),IF(LEFT(A398,2)="BR",IF(COUNTIFS(jr_num,A398,jr_etat,"Refusé")&gt;0,"Refusé",IF(COUNTIFS(jr_num,A398,jr_etat,"Avec réserves")&gt;0,"Avec réserves",IF(COUNTIFS(jr_num,A398,jr_rel,"&gt;0")&gt;0,"Reliquat en cours",IF(COUNTIFS(jr_num,A398,jr_gap,"&lt;0")+COUNTIFS(jr_num,A398,jr_gap,"&gt;0")&gt;0,"Écart","Conforme")))),IF(COUNTIFS(jr_num,A398,jr_gap,"&lt;0")&gt;0,"Partiel","Sorti")))))</f>
        <v/>
      </c>
      <c r="O398" t="str">
        <f>IFERROR(MATCH(393,jr_grank,0),"")</f>
        <v/>
      </c>
      <c r="R398" s="67" t="str">
        <f>IFERROR(INDEX(jr_num,MATCH("BL393",jr_nkey,0))&amp;"","")</f>
        <v/>
      </c>
      <c r="S398" s="67" t="str">
        <f>IFERROR(INDEX(jr_num,MATCH("BR393",jr_nkey,0))&amp;"","")</f>
        <v/>
      </c>
      <c r="T398" s="67" t="str">
        <f>IFERROR(INDEX(jr_num,MATCH("BS393",jr_nkey,0))&amp;"","")</f>
        <v/>
      </c>
    </row>
    <row r="399">
      <c r="A399" s="60" t="str">
        <f>IF($O399="","",INDEX(jr_num,$O399)&amp;"")</f>
        <v/>
      </c>
      <c r="B399" s="60" t="str">
        <f>IF($O399="","",IF(INDEX(jr_type,$O399)="BL","Livraison",IF(INDEX(jr_type,$O399)="BR","Réception","Sortie")))</f>
        <v/>
      </c>
      <c r="C399" s="65" t="str">
        <f>IF($O399="","",INDEX(jr_date,$O399))</f>
        <v/>
      </c>
      <c r="D399" s="60" t="str">
        <f>IF($O399="","",INDEX(jr_tiers,$O399)&amp;"")</f>
        <v/>
      </c>
      <c r="E399" s="57" t="str">
        <f>IF($O399="","",INDEX(jr_name,$O399)&amp;"")</f>
        <v/>
      </c>
      <c r="F399" s="57" t="str">
        <f>IF($O399="","",INDEX(jr_order,$O399)&amp;"")</f>
        <v/>
      </c>
      <c r="G399" s="57" t="str">
        <f>IF($O399="","",INDEX(jr_ext,$O399)&amp;"")</f>
        <v/>
      </c>
      <c r="H399" s="57" t="str">
        <f>IF($O399="","",INDEX(jr_carrier,$O399)&amp;"")</f>
        <v/>
      </c>
      <c r="I399" s="66" t="str">
        <f>IF(A399="","",COUNTIF(jr_num,A399))</f>
        <v/>
      </c>
      <c r="J399" s="66" t="str">
        <f>IF(A399="","",SUMIF(jr_num,A399,jr_colis))</f>
        <v/>
      </c>
      <c r="K399" s="63" t="str">
        <f>IF(A399="","",SUMIF(jr_num,A399,jr_kg))</f>
        <v/>
      </c>
      <c r="L399" s="64" t="str">
        <f>IF(A399="","",SUMIF(jr_num,A399,jr_val))</f>
        <v/>
      </c>
      <c r="M399" s="60" t="str">
        <f>IF(A399="","",IF(COUNTIFS(jr_num,A399,jr_check,"&lt;&gt;OK")&gt;0,"À vérifier",IF(LEFT(A399,2)="BL",IF(COUNTIFS(jr_num,A399,jr_rel,"&gt;0")&gt;0,"Reliquat en cours",IF(COUNTIFS(jr_num,A399,jr_gap,"&lt;0")&gt;0,"Reliquat livré","Complet")),IF(LEFT(A399,2)="BR",IF(COUNTIFS(jr_num,A399,jr_etat,"Refusé")&gt;0,"Refusé",IF(COUNTIFS(jr_num,A399,jr_etat,"Avec réserves")&gt;0,"Avec réserves",IF(COUNTIFS(jr_num,A399,jr_rel,"&gt;0")&gt;0,"Reliquat en cours",IF(COUNTIFS(jr_num,A399,jr_gap,"&lt;0")+COUNTIFS(jr_num,A399,jr_gap,"&gt;0")&gt;0,"Écart","Conforme")))),IF(COUNTIFS(jr_num,A399,jr_gap,"&lt;0")&gt;0,"Partiel","Sorti")))))</f>
        <v/>
      </c>
      <c r="O399" t="str">
        <f>IFERROR(MATCH(394,jr_grank,0),"")</f>
        <v/>
      </c>
      <c r="R399" s="67" t="str">
        <f>IFERROR(INDEX(jr_num,MATCH("BL394",jr_nkey,0))&amp;"","")</f>
        <v/>
      </c>
      <c r="S399" s="67" t="str">
        <f>IFERROR(INDEX(jr_num,MATCH("BR394",jr_nkey,0))&amp;"","")</f>
        <v/>
      </c>
      <c r="T399" s="67" t="str">
        <f>IFERROR(INDEX(jr_num,MATCH("BS394",jr_nkey,0))&amp;"","")</f>
        <v/>
      </c>
    </row>
    <row r="400">
      <c r="A400" s="60" t="str">
        <f>IF($O400="","",INDEX(jr_num,$O400)&amp;"")</f>
        <v/>
      </c>
      <c r="B400" s="60" t="str">
        <f>IF($O400="","",IF(INDEX(jr_type,$O400)="BL","Livraison",IF(INDEX(jr_type,$O400)="BR","Réception","Sortie")))</f>
        <v/>
      </c>
      <c r="C400" s="65" t="str">
        <f>IF($O400="","",INDEX(jr_date,$O400))</f>
        <v/>
      </c>
      <c r="D400" s="60" t="str">
        <f>IF($O400="","",INDEX(jr_tiers,$O400)&amp;"")</f>
        <v/>
      </c>
      <c r="E400" s="57" t="str">
        <f>IF($O400="","",INDEX(jr_name,$O400)&amp;"")</f>
        <v/>
      </c>
      <c r="F400" s="57" t="str">
        <f>IF($O400="","",INDEX(jr_order,$O400)&amp;"")</f>
        <v/>
      </c>
      <c r="G400" s="57" t="str">
        <f>IF($O400="","",INDEX(jr_ext,$O400)&amp;"")</f>
        <v/>
      </c>
      <c r="H400" s="57" t="str">
        <f>IF($O400="","",INDEX(jr_carrier,$O400)&amp;"")</f>
        <v/>
      </c>
      <c r="I400" s="66" t="str">
        <f>IF(A400="","",COUNTIF(jr_num,A400))</f>
        <v/>
      </c>
      <c r="J400" s="66" t="str">
        <f>IF(A400="","",SUMIF(jr_num,A400,jr_colis))</f>
        <v/>
      </c>
      <c r="K400" s="63" t="str">
        <f>IF(A400="","",SUMIF(jr_num,A400,jr_kg))</f>
        <v/>
      </c>
      <c r="L400" s="64" t="str">
        <f>IF(A400="","",SUMIF(jr_num,A400,jr_val))</f>
        <v/>
      </c>
      <c r="M400" s="60" t="str">
        <f>IF(A400="","",IF(COUNTIFS(jr_num,A400,jr_check,"&lt;&gt;OK")&gt;0,"À vérifier",IF(LEFT(A400,2)="BL",IF(COUNTIFS(jr_num,A400,jr_rel,"&gt;0")&gt;0,"Reliquat en cours",IF(COUNTIFS(jr_num,A400,jr_gap,"&lt;0")&gt;0,"Reliquat livré","Complet")),IF(LEFT(A400,2)="BR",IF(COUNTIFS(jr_num,A400,jr_etat,"Refusé")&gt;0,"Refusé",IF(COUNTIFS(jr_num,A400,jr_etat,"Avec réserves")&gt;0,"Avec réserves",IF(COUNTIFS(jr_num,A400,jr_rel,"&gt;0")&gt;0,"Reliquat en cours",IF(COUNTIFS(jr_num,A400,jr_gap,"&lt;0")+COUNTIFS(jr_num,A400,jr_gap,"&gt;0")&gt;0,"Écart","Conforme")))),IF(COUNTIFS(jr_num,A400,jr_gap,"&lt;0")&gt;0,"Partiel","Sorti")))))</f>
        <v/>
      </c>
      <c r="O400" t="str">
        <f>IFERROR(MATCH(395,jr_grank,0),"")</f>
        <v/>
      </c>
      <c r="R400" s="67" t="str">
        <f>IFERROR(INDEX(jr_num,MATCH("BL395",jr_nkey,0))&amp;"","")</f>
        <v/>
      </c>
      <c r="S400" s="67" t="str">
        <f>IFERROR(INDEX(jr_num,MATCH("BR395",jr_nkey,0))&amp;"","")</f>
        <v/>
      </c>
      <c r="T400" s="67" t="str">
        <f>IFERROR(INDEX(jr_num,MATCH("BS395",jr_nkey,0))&amp;"","")</f>
        <v/>
      </c>
    </row>
    <row r="401">
      <c r="A401" s="60" t="str">
        <f>IF($O401="","",INDEX(jr_num,$O401)&amp;"")</f>
        <v/>
      </c>
      <c r="B401" s="60" t="str">
        <f>IF($O401="","",IF(INDEX(jr_type,$O401)="BL","Livraison",IF(INDEX(jr_type,$O401)="BR","Réception","Sortie")))</f>
        <v/>
      </c>
      <c r="C401" s="65" t="str">
        <f>IF($O401="","",INDEX(jr_date,$O401))</f>
        <v/>
      </c>
      <c r="D401" s="60" t="str">
        <f>IF($O401="","",INDEX(jr_tiers,$O401)&amp;"")</f>
        <v/>
      </c>
      <c r="E401" s="57" t="str">
        <f>IF($O401="","",INDEX(jr_name,$O401)&amp;"")</f>
        <v/>
      </c>
      <c r="F401" s="57" t="str">
        <f>IF($O401="","",INDEX(jr_order,$O401)&amp;"")</f>
        <v/>
      </c>
      <c r="G401" s="57" t="str">
        <f>IF($O401="","",INDEX(jr_ext,$O401)&amp;"")</f>
        <v/>
      </c>
      <c r="H401" s="57" t="str">
        <f>IF($O401="","",INDEX(jr_carrier,$O401)&amp;"")</f>
        <v/>
      </c>
      <c r="I401" s="66" t="str">
        <f>IF(A401="","",COUNTIF(jr_num,A401))</f>
        <v/>
      </c>
      <c r="J401" s="66" t="str">
        <f>IF(A401="","",SUMIF(jr_num,A401,jr_colis))</f>
        <v/>
      </c>
      <c r="K401" s="63" t="str">
        <f>IF(A401="","",SUMIF(jr_num,A401,jr_kg))</f>
        <v/>
      </c>
      <c r="L401" s="64" t="str">
        <f>IF(A401="","",SUMIF(jr_num,A401,jr_val))</f>
        <v/>
      </c>
      <c r="M401" s="60" t="str">
        <f>IF(A401="","",IF(COUNTIFS(jr_num,A401,jr_check,"&lt;&gt;OK")&gt;0,"À vérifier",IF(LEFT(A401,2)="BL",IF(COUNTIFS(jr_num,A401,jr_rel,"&gt;0")&gt;0,"Reliquat en cours",IF(COUNTIFS(jr_num,A401,jr_gap,"&lt;0")&gt;0,"Reliquat livré","Complet")),IF(LEFT(A401,2)="BR",IF(COUNTIFS(jr_num,A401,jr_etat,"Refusé")&gt;0,"Refusé",IF(COUNTIFS(jr_num,A401,jr_etat,"Avec réserves")&gt;0,"Avec réserves",IF(COUNTIFS(jr_num,A401,jr_rel,"&gt;0")&gt;0,"Reliquat en cours",IF(COUNTIFS(jr_num,A401,jr_gap,"&lt;0")+COUNTIFS(jr_num,A401,jr_gap,"&gt;0")&gt;0,"Écart","Conforme")))),IF(COUNTIFS(jr_num,A401,jr_gap,"&lt;0")&gt;0,"Partiel","Sorti")))))</f>
        <v/>
      </c>
      <c r="O401" t="str">
        <f>IFERROR(MATCH(396,jr_grank,0),"")</f>
        <v/>
      </c>
      <c r="R401" s="67" t="str">
        <f>IFERROR(INDEX(jr_num,MATCH("BL396",jr_nkey,0))&amp;"","")</f>
        <v/>
      </c>
      <c r="S401" s="67" t="str">
        <f>IFERROR(INDEX(jr_num,MATCH("BR396",jr_nkey,0))&amp;"","")</f>
        <v/>
      </c>
      <c r="T401" s="67" t="str">
        <f>IFERROR(INDEX(jr_num,MATCH("BS396",jr_nkey,0))&amp;"","")</f>
        <v/>
      </c>
    </row>
    <row r="402">
      <c r="A402" s="60" t="str">
        <f>IF($O402="","",INDEX(jr_num,$O402)&amp;"")</f>
        <v/>
      </c>
      <c r="B402" s="60" t="str">
        <f>IF($O402="","",IF(INDEX(jr_type,$O402)="BL","Livraison",IF(INDEX(jr_type,$O402)="BR","Réception","Sortie")))</f>
        <v/>
      </c>
      <c r="C402" s="65" t="str">
        <f>IF($O402="","",INDEX(jr_date,$O402))</f>
        <v/>
      </c>
      <c r="D402" s="60" t="str">
        <f>IF($O402="","",INDEX(jr_tiers,$O402)&amp;"")</f>
        <v/>
      </c>
      <c r="E402" s="57" t="str">
        <f>IF($O402="","",INDEX(jr_name,$O402)&amp;"")</f>
        <v/>
      </c>
      <c r="F402" s="57" t="str">
        <f>IF($O402="","",INDEX(jr_order,$O402)&amp;"")</f>
        <v/>
      </c>
      <c r="G402" s="57" t="str">
        <f>IF($O402="","",INDEX(jr_ext,$O402)&amp;"")</f>
        <v/>
      </c>
      <c r="H402" s="57" t="str">
        <f>IF($O402="","",INDEX(jr_carrier,$O402)&amp;"")</f>
        <v/>
      </c>
      <c r="I402" s="66" t="str">
        <f>IF(A402="","",COUNTIF(jr_num,A402))</f>
        <v/>
      </c>
      <c r="J402" s="66" t="str">
        <f>IF(A402="","",SUMIF(jr_num,A402,jr_colis))</f>
        <v/>
      </c>
      <c r="K402" s="63" t="str">
        <f>IF(A402="","",SUMIF(jr_num,A402,jr_kg))</f>
        <v/>
      </c>
      <c r="L402" s="64" t="str">
        <f>IF(A402="","",SUMIF(jr_num,A402,jr_val))</f>
        <v/>
      </c>
      <c r="M402" s="60" t="str">
        <f>IF(A402="","",IF(COUNTIFS(jr_num,A402,jr_check,"&lt;&gt;OK")&gt;0,"À vérifier",IF(LEFT(A402,2)="BL",IF(COUNTIFS(jr_num,A402,jr_rel,"&gt;0")&gt;0,"Reliquat en cours",IF(COUNTIFS(jr_num,A402,jr_gap,"&lt;0")&gt;0,"Reliquat livré","Complet")),IF(LEFT(A402,2)="BR",IF(COUNTIFS(jr_num,A402,jr_etat,"Refusé")&gt;0,"Refusé",IF(COUNTIFS(jr_num,A402,jr_etat,"Avec réserves")&gt;0,"Avec réserves",IF(COUNTIFS(jr_num,A402,jr_rel,"&gt;0")&gt;0,"Reliquat en cours",IF(COUNTIFS(jr_num,A402,jr_gap,"&lt;0")+COUNTIFS(jr_num,A402,jr_gap,"&gt;0")&gt;0,"Écart","Conforme")))),IF(COUNTIFS(jr_num,A402,jr_gap,"&lt;0")&gt;0,"Partiel","Sorti")))))</f>
        <v/>
      </c>
      <c r="O402" t="str">
        <f>IFERROR(MATCH(397,jr_grank,0),"")</f>
        <v/>
      </c>
      <c r="R402" s="67" t="str">
        <f>IFERROR(INDEX(jr_num,MATCH("BL397",jr_nkey,0))&amp;"","")</f>
        <v/>
      </c>
      <c r="S402" s="67" t="str">
        <f>IFERROR(INDEX(jr_num,MATCH("BR397",jr_nkey,0))&amp;"","")</f>
        <v/>
      </c>
      <c r="T402" s="67" t="str">
        <f>IFERROR(INDEX(jr_num,MATCH("BS397",jr_nkey,0))&amp;"","")</f>
        <v/>
      </c>
    </row>
    <row r="403">
      <c r="A403" s="60" t="str">
        <f>IF($O403="","",INDEX(jr_num,$O403)&amp;"")</f>
        <v/>
      </c>
      <c r="B403" s="60" t="str">
        <f>IF($O403="","",IF(INDEX(jr_type,$O403)="BL","Livraison",IF(INDEX(jr_type,$O403)="BR","Réception","Sortie")))</f>
        <v/>
      </c>
      <c r="C403" s="65" t="str">
        <f>IF($O403="","",INDEX(jr_date,$O403))</f>
        <v/>
      </c>
      <c r="D403" s="60" t="str">
        <f>IF($O403="","",INDEX(jr_tiers,$O403)&amp;"")</f>
        <v/>
      </c>
      <c r="E403" s="57" t="str">
        <f>IF($O403="","",INDEX(jr_name,$O403)&amp;"")</f>
        <v/>
      </c>
      <c r="F403" s="57" t="str">
        <f>IF($O403="","",INDEX(jr_order,$O403)&amp;"")</f>
        <v/>
      </c>
      <c r="G403" s="57" t="str">
        <f>IF($O403="","",INDEX(jr_ext,$O403)&amp;"")</f>
        <v/>
      </c>
      <c r="H403" s="57" t="str">
        <f>IF($O403="","",INDEX(jr_carrier,$O403)&amp;"")</f>
        <v/>
      </c>
      <c r="I403" s="66" t="str">
        <f>IF(A403="","",COUNTIF(jr_num,A403))</f>
        <v/>
      </c>
      <c r="J403" s="66" t="str">
        <f>IF(A403="","",SUMIF(jr_num,A403,jr_colis))</f>
        <v/>
      </c>
      <c r="K403" s="63" t="str">
        <f>IF(A403="","",SUMIF(jr_num,A403,jr_kg))</f>
        <v/>
      </c>
      <c r="L403" s="64" t="str">
        <f>IF(A403="","",SUMIF(jr_num,A403,jr_val))</f>
        <v/>
      </c>
      <c r="M403" s="60" t="str">
        <f>IF(A403="","",IF(COUNTIFS(jr_num,A403,jr_check,"&lt;&gt;OK")&gt;0,"À vérifier",IF(LEFT(A403,2)="BL",IF(COUNTIFS(jr_num,A403,jr_rel,"&gt;0")&gt;0,"Reliquat en cours",IF(COUNTIFS(jr_num,A403,jr_gap,"&lt;0")&gt;0,"Reliquat livré","Complet")),IF(LEFT(A403,2)="BR",IF(COUNTIFS(jr_num,A403,jr_etat,"Refusé")&gt;0,"Refusé",IF(COUNTIFS(jr_num,A403,jr_etat,"Avec réserves")&gt;0,"Avec réserves",IF(COUNTIFS(jr_num,A403,jr_rel,"&gt;0")&gt;0,"Reliquat en cours",IF(COUNTIFS(jr_num,A403,jr_gap,"&lt;0")+COUNTIFS(jr_num,A403,jr_gap,"&gt;0")&gt;0,"Écart","Conforme")))),IF(COUNTIFS(jr_num,A403,jr_gap,"&lt;0")&gt;0,"Partiel","Sorti")))))</f>
        <v/>
      </c>
      <c r="O403" t="str">
        <f>IFERROR(MATCH(398,jr_grank,0),"")</f>
        <v/>
      </c>
      <c r="R403" s="67" t="str">
        <f>IFERROR(INDEX(jr_num,MATCH("BL398",jr_nkey,0))&amp;"","")</f>
        <v/>
      </c>
      <c r="S403" s="67" t="str">
        <f>IFERROR(INDEX(jr_num,MATCH("BR398",jr_nkey,0))&amp;"","")</f>
        <v/>
      </c>
      <c r="T403" s="67" t="str">
        <f>IFERROR(INDEX(jr_num,MATCH("BS398",jr_nkey,0))&amp;"","")</f>
        <v/>
      </c>
    </row>
    <row r="404">
      <c r="A404" s="60" t="str">
        <f>IF($O404="","",INDEX(jr_num,$O404)&amp;"")</f>
        <v/>
      </c>
      <c r="B404" s="60" t="str">
        <f>IF($O404="","",IF(INDEX(jr_type,$O404)="BL","Livraison",IF(INDEX(jr_type,$O404)="BR","Réception","Sortie")))</f>
        <v/>
      </c>
      <c r="C404" s="65" t="str">
        <f>IF($O404="","",INDEX(jr_date,$O404))</f>
        <v/>
      </c>
      <c r="D404" s="60" t="str">
        <f>IF($O404="","",INDEX(jr_tiers,$O404)&amp;"")</f>
        <v/>
      </c>
      <c r="E404" s="57" t="str">
        <f>IF($O404="","",INDEX(jr_name,$O404)&amp;"")</f>
        <v/>
      </c>
      <c r="F404" s="57" t="str">
        <f>IF($O404="","",INDEX(jr_order,$O404)&amp;"")</f>
        <v/>
      </c>
      <c r="G404" s="57" t="str">
        <f>IF($O404="","",INDEX(jr_ext,$O404)&amp;"")</f>
        <v/>
      </c>
      <c r="H404" s="57" t="str">
        <f>IF($O404="","",INDEX(jr_carrier,$O404)&amp;"")</f>
        <v/>
      </c>
      <c r="I404" s="66" t="str">
        <f>IF(A404="","",COUNTIF(jr_num,A404))</f>
        <v/>
      </c>
      <c r="J404" s="66" t="str">
        <f>IF(A404="","",SUMIF(jr_num,A404,jr_colis))</f>
        <v/>
      </c>
      <c r="K404" s="63" t="str">
        <f>IF(A404="","",SUMIF(jr_num,A404,jr_kg))</f>
        <v/>
      </c>
      <c r="L404" s="64" t="str">
        <f>IF(A404="","",SUMIF(jr_num,A404,jr_val))</f>
        <v/>
      </c>
      <c r="M404" s="60" t="str">
        <f>IF(A404="","",IF(COUNTIFS(jr_num,A404,jr_check,"&lt;&gt;OK")&gt;0,"À vérifier",IF(LEFT(A404,2)="BL",IF(COUNTIFS(jr_num,A404,jr_rel,"&gt;0")&gt;0,"Reliquat en cours",IF(COUNTIFS(jr_num,A404,jr_gap,"&lt;0")&gt;0,"Reliquat livré","Complet")),IF(LEFT(A404,2)="BR",IF(COUNTIFS(jr_num,A404,jr_etat,"Refusé")&gt;0,"Refusé",IF(COUNTIFS(jr_num,A404,jr_etat,"Avec réserves")&gt;0,"Avec réserves",IF(COUNTIFS(jr_num,A404,jr_rel,"&gt;0")&gt;0,"Reliquat en cours",IF(COUNTIFS(jr_num,A404,jr_gap,"&lt;0")+COUNTIFS(jr_num,A404,jr_gap,"&gt;0")&gt;0,"Écart","Conforme")))),IF(COUNTIFS(jr_num,A404,jr_gap,"&lt;0")&gt;0,"Partiel","Sorti")))))</f>
        <v/>
      </c>
      <c r="O404" t="str">
        <f>IFERROR(MATCH(399,jr_grank,0),"")</f>
        <v/>
      </c>
      <c r="R404" s="67" t="str">
        <f>IFERROR(INDEX(jr_num,MATCH("BL399",jr_nkey,0))&amp;"","")</f>
        <v/>
      </c>
      <c r="S404" s="67" t="str">
        <f>IFERROR(INDEX(jr_num,MATCH("BR399",jr_nkey,0))&amp;"","")</f>
        <v/>
      </c>
      <c r="T404" s="67" t="str">
        <f>IFERROR(INDEX(jr_num,MATCH("BS399",jr_nkey,0))&amp;"","")</f>
        <v/>
      </c>
    </row>
    <row r="405">
      <c r="A405" s="60" t="str">
        <f>IF($O405="","",INDEX(jr_num,$O405)&amp;"")</f>
        <v/>
      </c>
      <c r="B405" s="60" t="str">
        <f>IF($O405="","",IF(INDEX(jr_type,$O405)="BL","Livraison",IF(INDEX(jr_type,$O405)="BR","Réception","Sortie")))</f>
        <v/>
      </c>
      <c r="C405" s="65" t="str">
        <f>IF($O405="","",INDEX(jr_date,$O405))</f>
        <v/>
      </c>
      <c r="D405" s="60" t="str">
        <f>IF($O405="","",INDEX(jr_tiers,$O405)&amp;"")</f>
        <v/>
      </c>
      <c r="E405" s="57" t="str">
        <f>IF($O405="","",INDEX(jr_name,$O405)&amp;"")</f>
        <v/>
      </c>
      <c r="F405" s="57" t="str">
        <f>IF($O405="","",INDEX(jr_order,$O405)&amp;"")</f>
        <v/>
      </c>
      <c r="G405" s="57" t="str">
        <f>IF($O405="","",INDEX(jr_ext,$O405)&amp;"")</f>
        <v/>
      </c>
      <c r="H405" s="57" t="str">
        <f>IF($O405="","",INDEX(jr_carrier,$O405)&amp;"")</f>
        <v/>
      </c>
      <c r="I405" s="66" t="str">
        <f>IF(A405="","",COUNTIF(jr_num,A405))</f>
        <v/>
      </c>
      <c r="J405" s="66" t="str">
        <f>IF(A405="","",SUMIF(jr_num,A405,jr_colis))</f>
        <v/>
      </c>
      <c r="K405" s="63" t="str">
        <f>IF(A405="","",SUMIF(jr_num,A405,jr_kg))</f>
        <v/>
      </c>
      <c r="L405" s="64" t="str">
        <f>IF(A405="","",SUMIF(jr_num,A405,jr_val))</f>
        <v/>
      </c>
      <c r="M405" s="60" t="str">
        <f>IF(A405="","",IF(COUNTIFS(jr_num,A405,jr_check,"&lt;&gt;OK")&gt;0,"À vérifier",IF(LEFT(A405,2)="BL",IF(COUNTIFS(jr_num,A405,jr_rel,"&gt;0")&gt;0,"Reliquat en cours",IF(COUNTIFS(jr_num,A405,jr_gap,"&lt;0")&gt;0,"Reliquat livré","Complet")),IF(LEFT(A405,2)="BR",IF(COUNTIFS(jr_num,A405,jr_etat,"Refusé")&gt;0,"Refusé",IF(COUNTIFS(jr_num,A405,jr_etat,"Avec réserves")&gt;0,"Avec réserves",IF(COUNTIFS(jr_num,A405,jr_rel,"&gt;0")&gt;0,"Reliquat en cours",IF(COUNTIFS(jr_num,A405,jr_gap,"&lt;0")+COUNTIFS(jr_num,A405,jr_gap,"&gt;0")&gt;0,"Écart","Conforme")))),IF(COUNTIFS(jr_num,A405,jr_gap,"&lt;0")&gt;0,"Partiel","Sorti")))))</f>
        <v/>
      </c>
      <c r="O405" t="str">
        <f>IFERROR(MATCH(400,jr_grank,0),"")</f>
        <v/>
      </c>
      <c r="R405" s="67" t="str">
        <f>IFERROR(INDEX(jr_num,MATCH("BL400",jr_nkey,0))&amp;"","")</f>
        <v/>
      </c>
      <c r="S405" s="67" t="str">
        <f>IFERROR(INDEX(jr_num,MATCH("BR400",jr_nkey,0))&amp;"","")</f>
        <v/>
      </c>
      <c r="T405" s="67" t="str">
        <f>IFERROR(INDEX(jr_num,MATCH("BS400",jr_nkey,0))&amp;"","")</f>
        <v/>
      </c>
    </row>
    <row r="406">
      <c r="A406" s="60" t="str">
        <f>IF($O406="","",INDEX(jr_num,$O406)&amp;"")</f>
        <v/>
      </c>
      <c r="B406" s="60" t="str">
        <f>IF($O406="","",IF(INDEX(jr_type,$O406)="BL","Livraison",IF(INDEX(jr_type,$O406)="BR","Réception","Sortie")))</f>
        <v/>
      </c>
      <c r="C406" s="65" t="str">
        <f>IF($O406="","",INDEX(jr_date,$O406))</f>
        <v/>
      </c>
      <c r="D406" s="60" t="str">
        <f>IF($O406="","",INDEX(jr_tiers,$O406)&amp;"")</f>
        <v/>
      </c>
      <c r="E406" s="57" t="str">
        <f>IF($O406="","",INDEX(jr_name,$O406)&amp;"")</f>
        <v/>
      </c>
      <c r="F406" s="57" t="str">
        <f>IF($O406="","",INDEX(jr_order,$O406)&amp;"")</f>
        <v/>
      </c>
      <c r="G406" s="57" t="str">
        <f>IF($O406="","",INDEX(jr_ext,$O406)&amp;"")</f>
        <v/>
      </c>
      <c r="H406" s="57" t="str">
        <f>IF($O406="","",INDEX(jr_carrier,$O406)&amp;"")</f>
        <v/>
      </c>
      <c r="I406" s="66" t="str">
        <f>IF(A406="","",COUNTIF(jr_num,A406))</f>
        <v/>
      </c>
      <c r="J406" s="66" t="str">
        <f>IF(A406="","",SUMIF(jr_num,A406,jr_colis))</f>
        <v/>
      </c>
      <c r="K406" s="63" t="str">
        <f>IF(A406="","",SUMIF(jr_num,A406,jr_kg))</f>
        <v/>
      </c>
      <c r="L406" s="64" t="str">
        <f>IF(A406="","",SUMIF(jr_num,A406,jr_val))</f>
        <v/>
      </c>
      <c r="M406" s="60" t="str">
        <f>IF(A406="","",IF(COUNTIFS(jr_num,A406,jr_check,"&lt;&gt;OK")&gt;0,"À vérifier",IF(LEFT(A406,2)="BL",IF(COUNTIFS(jr_num,A406,jr_rel,"&gt;0")&gt;0,"Reliquat en cours",IF(COUNTIFS(jr_num,A406,jr_gap,"&lt;0")&gt;0,"Reliquat livré","Complet")),IF(LEFT(A406,2)="BR",IF(COUNTIFS(jr_num,A406,jr_etat,"Refusé")&gt;0,"Refusé",IF(COUNTIFS(jr_num,A406,jr_etat,"Avec réserves")&gt;0,"Avec réserves",IF(COUNTIFS(jr_num,A406,jr_rel,"&gt;0")&gt;0,"Reliquat en cours",IF(COUNTIFS(jr_num,A406,jr_gap,"&lt;0")+COUNTIFS(jr_num,A406,jr_gap,"&gt;0")&gt;0,"Écart","Conforme")))),IF(COUNTIFS(jr_num,A406,jr_gap,"&lt;0")&gt;0,"Partiel","Sorti")))))</f>
        <v/>
      </c>
      <c r="O406" t="str">
        <f>IFERROR(MATCH(401,jr_grank,0),"")</f>
        <v/>
      </c>
      <c r="R406" s="67" t="str">
        <f>IFERROR(INDEX(jr_num,MATCH("BL401",jr_nkey,0))&amp;"","")</f>
        <v/>
      </c>
      <c r="S406" s="67" t="str">
        <f>IFERROR(INDEX(jr_num,MATCH("BR401",jr_nkey,0))&amp;"","")</f>
        <v/>
      </c>
      <c r="T406" s="67" t="str">
        <f>IFERROR(INDEX(jr_num,MATCH("BS401",jr_nkey,0))&amp;"","")</f>
        <v/>
      </c>
    </row>
    <row r="407">
      <c r="A407" s="60" t="str">
        <f>IF($O407="","",INDEX(jr_num,$O407)&amp;"")</f>
        <v/>
      </c>
      <c r="B407" s="60" t="str">
        <f>IF($O407="","",IF(INDEX(jr_type,$O407)="BL","Livraison",IF(INDEX(jr_type,$O407)="BR","Réception","Sortie")))</f>
        <v/>
      </c>
      <c r="C407" s="65" t="str">
        <f>IF($O407="","",INDEX(jr_date,$O407))</f>
        <v/>
      </c>
      <c r="D407" s="60" t="str">
        <f>IF($O407="","",INDEX(jr_tiers,$O407)&amp;"")</f>
        <v/>
      </c>
      <c r="E407" s="57" t="str">
        <f>IF($O407="","",INDEX(jr_name,$O407)&amp;"")</f>
        <v/>
      </c>
      <c r="F407" s="57" t="str">
        <f>IF($O407="","",INDEX(jr_order,$O407)&amp;"")</f>
        <v/>
      </c>
      <c r="G407" s="57" t="str">
        <f>IF($O407="","",INDEX(jr_ext,$O407)&amp;"")</f>
        <v/>
      </c>
      <c r="H407" s="57" t="str">
        <f>IF($O407="","",INDEX(jr_carrier,$O407)&amp;"")</f>
        <v/>
      </c>
      <c r="I407" s="66" t="str">
        <f>IF(A407="","",COUNTIF(jr_num,A407))</f>
        <v/>
      </c>
      <c r="J407" s="66" t="str">
        <f>IF(A407="","",SUMIF(jr_num,A407,jr_colis))</f>
        <v/>
      </c>
      <c r="K407" s="63" t="str">
        <f>IF(A407="","",SUMIF(jr_num,A407,jr_kg))</f>
        <v/>
      </c>
      <c r="L407" s="64" t="str">
        <f>IF(A407="","",SUMIF(jr_num,A407,jr_val))</f>
        <v/>
      </c>
      <c r="M407" s="60" t="str">
        <f>IF(A407="","",IF(COUNTIFS(jr_num,A407,jr_check,"&lt;&gt;OK")&gt;0,"À vérifier",IF(LEFT(A407,2)="BL",IF(COUNTIFS(jr_num,A407,jr_rel,"&gt;0")&gt;0,"Reliquat en cours",IF(COUNTIFS(jr_num,A407,jr_gap,"&lt;0")&gt;0,"Reliquat livré","Complet")),IF(LEFT(A407,2)="BR",IF(COUNTIFS(jr_num,A407,jr_etat,"Refusé")&gt;0,"Refusé",IF(COUNTIFS(jr_num,A407,jr_etat,"Avec réserves")&gt;0,"Avec réserves",IF(COUNTIFS(jr_num,A407,jr_rel,"&gt;0")&gt;0,"Reliquat en cours",IF(COUNTIFS(jr_num,A407,jr_gap,"&lt;0")+COUNTIFS(jr_num,A407,jr_gap,"&gt;0")&gt;0,"Écart","Conforme")))),IF(COUNTIFS(jr_num,A407,jr_gap,"&lt;0")&gt;0,"Partiel","Sorti")))))</f>
        <v/>
      </c>
      <c r="O407" t="str">
        <f>IFERROR(MATCH(402,jr_grank,0),"")</f>
        <v/>
      </c>
      <c r="R407" s="67" t="str">
        <f>IFERROR(INDEX(jr_num,MATCH("BL402",jr_nkey,0))&amp;"","")</f>
        <v/>
      </c>
      <c r="S407" s="67" t="str">
        <f>IFERROR(INDEX(jr_num,MATCH("BR402",jr_nkey,0))&amp;"","")</f>
        <v/>
      </c>
      <c r="T407" s="67" t="str">
        <f>IFERROR(INDEX(jr_num,MATCH("BS402",jr_nkey,0))&amp;"","")</f>
        <v/>
      </c>
    </row>
    <row r="408">
      <c r="A408" s="60" t="str">
        <f>IF($O408="","",INDEX(jr_num,$O408)&amp;"")</f>
        <v/>
      </c>
      <c r="B408" s="60" t="str">
        <f>IF($O408="","",IF(INDEX(jr_type,$O408)="BL","Livraison",IF(INDEX(jr_type,$O408)="BR","Réception","Sortie")))</f>
        <v/>
      </c>
      <c r="C408" s="65" t="str">
        <f>IF($O408="","",INDEX(jr_date,$O408))</f>
        <v/>
      </c>
      <c r="D408" s="60" t="str">
        <f>IF($O408="","",INDEX(jr_tiers,$O408)&amp;"")</f>
        <v/>
      </c>
      <c r="E408" s="57" t="str">
        <f>IF($O408="","",INDEX(jr_name,$O408)&amp;"")</f>
        <v/>
      </c>
      <c r="F408" s="57" t="str">
        <f>IF($O408="","",INDEX(jr_order,$O408)&amp;"")</f>
        <v/>
      </c>
      <c r="G408" s="57" t="str">
        <f>IF($O408="","",INDEX(jr_ext,$O408)&amp;"")</f>
        <v/>
      </c>
      <c r="H408" s="57" t="str">
        <f>IF($O408="","",INDEX(jr_carrier,$O408)&amp;"")</f>
        <v/>
      </c>
      <c r="I408" s="66" t="str">
        <f>IF(A408="","",COUNTIF(jr_num,A408))</f>
        <v/>
      </c>
      <c r="J408" s="66" t="str">
        <f>IF(A408="","",SUMIF(jr_num,A408,jr_colis))</f>
        <v/>
      </c>
      <c r="K408" s="63" t="str">
        <f>IF(A408="","",SUMIF(jr_num,A408,jr_kg))</f>
        <v/>
      </c>
      <c r="L408" s="64" t="str">
        <f>IF(A408="","",SUMIF(jr_num,A408,jr_val))</f>
        <v/>
      </c>
      <c r="M408" s="60" t="str">
        <f>IF(A408="","",IF(COUNTIFS(jr_num,A408,jr_check,"&lt;&gt;OK")&gt;0,"À vérifier",IF(LEFT(A408,2)="BL",IF(COUNTIFS(jr_num,A408,jr_rel,"&gt;0")&gt;0,"Reliquat en cours",IF(COUNTIFS(jr_num,A408,jr_gap,"&lt;0")&gt;0,"Reliquat livré","Complet")),IF(LEFT(A408,2)="BR",IF(COUNTIFS(jr_num,A408,jr_etat,"Refusé")&gt;0,"Refusé",IF(COUNTIFS(jr_num,A408,jr_etat,"Avec réserves")&gt;0,"Avec réserves",IF(COUNTIFS(jr_num,A408,jr_rel,"&gt;0")&gt;0,"Reliquat en cours",IF(COUNTIFS(jr_num,A408,jr_gap,"&lt;0")+COUNTIFS(jr_num,A408,jr_gap,"&gt;0")&gt;0,"Écart","Conforme")))),IF(COUNTIFS(jr_num,A408,jr_gap,"&lt;0")&gt;0,"Partiel","Sorti")))))</f>
        <v/>
      </c>
      <c r="O408" t="str">
        <f>IFERROR(MATCH(403,jr_grank,0),"")</f>
        <v/>
      </c>
      <c r="R408" s="67" t="str">
        <f>IFERROR(INDEX(jr_num,MATCH("BL403",jr_nkey,0))&amp;"","")</f>
        <v/>
      </c>
      <c r="S408" s="67" t="str">
        <f>IFERROR(INDEX(jr_num,MATCH("BR403",jr_nkey,0))&amp;"","")</f>
        <v/>
      </c>
      <c r="T408" s="67" t="str">
        <f>IFERROR(INDEX(jr_num,MATCH("BS403",jr_nkey,0))&amp;"","")</f>
        <v/>
      </c>
    </row>
    <row r="409">
      <c r="A409" s="60" t="str">
        <f>IF($O409="","",INDEX(jr_num,$O409)&amp;"")</f>
        <v/>
      </c>
      <c r="B409" s="60" t="str">
        <f>IF($O409="","",IF(INDEX(jr_type,$O409)="BL","Livraison",IF(INDEX(jr_type,$O409)="BR","Réception","Sortie")))</f>
        <v/>
      </c>
      <c r="C409" s="65" t="str">
        <f>IF($O409="","",INDEX(jr_date,$O409))</f>
        <v/>
      </c>
      <c r="D409" s="60" t="str">
        <f>IF($O409="","",INDEX(jr_tiers,$O409)&amp;"")</f>
        <v/>
      </c>
      <c r="E409" s="57" t="str">
        <f>IF($O409="","",INDEX(jr_name,$O409)&amp;"")</f>
        <v/>
      </c>
      <c r="F409" s="57" t="str">
        <f>IF($O409="","",INDEX(jr_order,$O409)&amp;"")</f>
        <v/>
      </c>
      <c r="G409" s="57" t="str">
        <f>IF($O409="","",INDEX(jr_ext,$O409)&amp;"")</f>
        <v/>
      </c>
      <c r="H409" s="57" t="str">
        <f>IF($O409="","",INDEX(jr_carrier,$O409)&amp;"")</f>
        <v/>
      </c>
      <c r="I409" s="66" t="str">
        <f>IF(A409="","",COUNTIF(jr_num,A409))</f>
        <v/>
      </c>
      <c r="J409" s="66" t="str">
        <f>IF(A409="","",SUMIF(jr_num,A409,jr_colis))</f>
        <v/>
      </c>
      <c r="K409" s="63" t="str">
        <f>IF(A409="","",SUMIF(jr_num,A409,jr_kg))</f>
        <v/>
      </c>
      <c r="L409" s="64" t="str">
        <f>IF(A409="","",SUMIF(jr_num,A409,jr_val))</f>
        <v/>
      </c>
      <c r="M409" s="60" t="str">
        <f>IF(A409="","",IF(COUNTIFS(jr_num,A409,jr_check,"&lt;&gt;OK")&gt;0,"À vérifier",IF(LEFT(A409,2)="BL",IF(COUNTIFS(jr_num,A409,jr_rel,"&gt;0")&gt;0,"Reliquat en cours",IF(COUNTIFS(jr_num,A409,jr_gap,"&lt;0")&gt;0,"Reliquat livré","Complet")),IF(LEFT(A409,2)="BR",IF(COUNTIFS(jr_num,A409,jr_etat,"Refusé")&gt;0,"Refusé",IF(COUNTIFS(jr_num,A409,jr_etat,"Avec réserves")&gt;0,"Avec réserves",IF(COUNTIFS(jr_num,A409,jr_rel,"&gt;0")&gt;0,"Reliquat en cours",IF(COUNTIFS(jr_num,A409,jr_gap,"&lt;0")+COUNTIFS(jr_num,A409,jr_gap,"&gt;0")&gt;0,"Écart","Conforme")))),IF(COUNTIFS(jr_num,A409,jr_gap,"&lt;0")&gt;0,"Partiel","Sorti")))))</f>
        <v/>
      </c>
      <c r="O409" t="str">
        <f>IFERROR(MATCH(404,jr_grank,0),"")</f>
        <v/>
      </c>
      <c r="R409" s="67" t="str">
        <f>IFERROR(INDEX(jr_num,MATCH("BL404",jr_nkey,0))&amp;"","")</f>
        <v/>
      </c>
      <c r="S409" s="67" t="str">
        <f>IFERROR(INDEX(jr_num,MATCH("BR404",jr_nkey,0))&amp;"","")</f>
        <v/>
      </c>
      <c r="T409" s="67" t="str">
        <f>IFERROR(INDEX(jr_num,MATCH("BS404",jr_nkey,0))&amp;"","")</f>
        <v/>
      </c>
    </row>
    <row r="410">
      <c r="A410" s="60" t="str">
        <f>IF($O410="","",INDEX(jr_num,$O410)&amp;"")</f>
        <v/>
      </c>
      <c r="B410" s="60" t="str">
        <f>IF($O410="","",IF(INDEX(jr_type,$O410)="BL","Livraison",IF(INDEX(jr_type,$O410)="BR","Réception","Sortie")))</f>
        <v/>
      </c>
      <c r="C410" s="65" t="str">
        <f>IF($O410="","",INDEX(jr_date,$O410))</f>
        <v/>
      </c>
      <c r="D410" s="60" t="str">
        <f>IF($O410="","",INDEX(jr_tiers,$O410)&amp;"")</f>
        <v/>
      </c>
      <c r="E410" s="57" t="str">
        <f>IF($O410="","",INDEX(jr_name,$O410)&amp;"")</f>
        <v/>
      </c>
      <c r="F410" s="57" t="str">
        <f>IF($O410="","",INDEX(jr_order,$O410)&amp;"")</f>
        <v/>
      </c>
      <c r="G410" s="57" t="str">
        <f>IF($O410="","",INDEX(jr_ext,$O410)&amp;"")</f>
        <v/>
      </c>
      <c r="H410" s="57" t="str">
        <f>IF($O410="","",INDEX(jr_carrier,$O410)&amp;"")</f>
        <v/>
      </c>
      <c r="I410" s="66" t="str">
        <f>IF(A410="","",COUNTIF(jr_num,A410))</f>
        <v/>
      </c>
      <c r="J410" s="66" t="str">
        <f>IF(A410="","",SUMIF(jr_num,A410,jr_colis))</f>
        <v/>
      </c>
      <c r="K410" s="63" t="str">
        <f>IF(A410="","",SUMIF(jr_num,A410,jr_kg))</f>
        <v/>
      </c>
      <c r="L410" s="64" t="str">
        <f>IF(A410="","",SUMIF(jr_num,A410,jr_val))</f>
        <v/>
      </c>
      <c r="M410" s="60" t="str">
        <f>IF(A410="","",IF(COUNTIFS(jr_num,A410,jr_check,"&lt;&gt;OK")&gt;0,"À vérifier",IF(LEFT(A410,2)="BL",IF(COUNTIFS(jr_num,A410,jr_rel,"&gt;0")&gt;0,"Reliquat en cours",IF(COUNTIFS(jr_num,A410,jr_gap,"&lt;0")&gt;0,"Reliquat livré","Complet")),IF(LEFT(A410,2)="BR",IF(COUNTIFS(jr_num,A410,jr_etat,"Refusé")&gt;0,"Refusé",IF(COUNTIFS(jr_num,A410,jr_etat,"Avec réserves")&gt;0,"Avec réserves",IF(COUNTIFS(jr_num,A410,jr_rel,"&gt;0")&gt;0,"Reliquat en cours",IF(COUNTIFS(jr_num,A410,jr_gap,"&lt;0")+COUNTIFS(jr_num,A410,jr_gap,"&gt;0")&gt;0,"Écart","Conforme")))),IF(COUNTIFS(jr_num,A410,jr_gap,"&lt;0")&gt;0,"Partiel","Sorti")))))</f>
        <v/>
      </c>
      <c r="O410" t="str">
        <f>IFERROR(MATCH(405,jr_grank,0),"")</f>
        <v/>
      </c>
      <c r="R410" s="67" t="str">
        <f>IFERROR(INDEX(jr_num,MATCH("BL405",jr_nkey,0))&amp;"","")</f>
        <v/>
      </c>
      <c r="S410" s="67" t="str">
        <f>IFERROR(INDEX(jr_num,MATCH("BR405",jr_nkey,0))&amp;"","")</f>
        <v/>
      </c>
      <c r="T410" s="67" t="str">
        <f>IFERROR(INDEX(jr_num,MATCH("BS405",jr_nkey,0))&amp;"","")</f>
        <v/>
      </c>
    </row>
    <row r="411">
      <c r="A411" s="60" t="str">
        <f>IF($O411="","",INDEX(jr_num,$O411)&amp;"")</f>
        <v/>
      </c>
      <c r="B411" s="60" t="str">
        <f>IF($O411="","",IF(INDEX(jr_type,$O411)="BL","Livraison",IF(INDEX(jr_type,$O411)="BR","Réception","Sortie")))</f>
        <v/>
      </c>
      <c r="C411" s="65" t="str">
        <f>IF($O411="","",INDEX(jr_date,$O411))</f>
        <v/>
      </c>
      <c r="D411" s="60" t="str">
        <f>IF($O411="","",INDEX(jr_tiers,$O411)&amp;"")</f>
        <v/>
      </c>
      <c r="E411" s="57" t="str">
        <f>IF($O411="","",INDEX(jr_name,$O411)&amp;"")</f>
        <v/>
      </c>
      <c r="F411" s="57" t="str">
        <f>IF($O411="","",INDEX(jr_order,$O411)&amp;"")</f>
        <v/>
      </c>
      <c r="G411" s="57" t="str">
        <f>IF($O411="","",INDEX(jr_ext,$O411)&amp;"")</f>
        <v/>
      </c>
      <c r="H411" s="57" t="str">
        <f>IF($O411="","",INDEX(jr_carrier,$O411)&amp;"")</f>
        <v/>
      </c>
      <c r="I411" s="66" t="str">
        <f>IF(A411="","",COUNTIF(jr_num,A411))</f>
        <v/>
      </c>
      <c r="J411" s="66" t="str">
        <f>IF(A411="","",SUMIF(jr_num,A411,jr_colis))</f>
        <v/>
      </c>
      <c r="K411" s="63" t="str">
        <f>IF(A411="","",SUMIF(jr_num,A411,jr_kg))</f>
        <v/>
      </c>
      <c r="L411" s="64" t="str">
        <f>IF(A411="","",SUMIF(jr_num,A411,jr_val))</f>
        <v/>
      </c>
      <c r="M411" s="60" t="str">
        <f>IF(A411="","",IF(COUNTIFS(jr_num,A411,jr_check,"&lt;&gt;OK")&gt;0,"À vérifier",IF(LEFT(A411,2)="BL",IF(COUNTIFS(jr_num,A411,jr_rel,"&gt;0")&gt;0,"Reliquat en cours",IF(COUNTIFS(jr_num,A411,jr_gap,"&lt;0")&gt;0,"Reliquat livré","Complet")),IF(LEFT(A411,2)="BR",IF(COUNTIFS(jr_num,A411,jr_etat,"Refusé")&gt;0,"Refusé",IF(COUNTIFS(jr_num,A411,jr_etat,"Avec réserves")&gt;0,"Avec réserves",IF(COUNTIFS(jr_num,A411,jr_rel,"&gt;0")&gt;0,"Reliquat en cours",IF(COUNTIFS(jr_num,A411,jr_gap,"&lt;0")+COUNTIFS(jr_num,A411,jr_gap,"&gt;0")&gt;0,"Écart","Conforme")))),IF(COUNTIFS(jr_num,A411,jr_gap,"&lt;0")&gt;0,"Partiel","Sorti")))))</f>
        <v/>
      </c>
      <c r="O411" t="str">
        <f>IFERROR(MATCH(406,jr_grank,0),"")</f>
        <v/>
      </c>
      <c r="R411" s="67" t="str">
        <f>IFERROR(INDEX(jr_num,MATCH("BL406",jr_nkey,0))&amp;"","")</f>
        <v/>
      </c>
      <c r="S411" s="67" t="str">
        <f>IFERROR(INDEX(jr_num,MATCH("BR406",jr_nkey,0))&amp;"","")</f>
        <v/>
      </c>
      <c r="T411" s="67" t="str">
        <f>IFERROR(INDEX(jr_num,MATCH("BS406",jr_nkey,0))&amp;"","")</f>
        <v/>
      </c>
    </row>
    <row r="412">
      <c r="A412" s="60" t="str">
        <f>IF($O412="","",INDEX(jr_num,$O412)&amp;"")</f>
        <v/>
      </c>
      <c r="B412" s="60" t="str">
        <f>IF($O412="","",IF(INDEX(jr_type,$O412)="BL","Livraison",IF(INDEX(jr_type,$O412)="BR","Réception","Sortie")))</f>
        <v/>
      </c>
      <c r="C412" s="65" t="str">
        <f>IF($O412="","",INDEX(jr_date,$O412))</f>
        <v/>
      </c>
      <c r="D412" s="60" t="str">
        <f>IF($O412="","",INDEX(jr_tiers,$O412)&amp;"")</f>
        <v/>
      </c>
      <c r="E412" s="57" t="str">
        <f>IF($O412="","",INDEX(jr_name,$O412)&amp;"")</f>
        <v/>
      </c>
      <c r="F412" s="57" t="str">
        <f>IF($O412="","",INDEX(jr_order,$O412)&amp;"")</f>
        <v/>
      </c>
      <c r="G412" s="57" t="str">
        <f>IF($O412="","",INDEX(jr_ext,$O412)&amp;"")</f>
        <v/>
      </c>
      <c r="H412" s="57" t="str">
        <f>IF($O412="","",INDEX(jr_carrier,$O412)&amp;"")</f>
        <v/>
      </c>
      <c r="I412" s="66" t="str">
        <f>IF(A412="","",COUNTIF(jr_num,A412))</f>
        <v/>
      </c>
      <c r="J412" s="66" t="str">
        <f>IF(A412="","",SUMIF(jr_num,A412,jr_colis))</f>
        <v/>
      </c>
      <c r="K412" s="63" t="str">
        <f>IF(A412="","",SUMIF(jr_num,A412,jr_kg))</f>
        <v/>
      </c>
      <c r="L412" s="64" t="str">
        <f>IF(A412="","",SUMIF(jr_num,A412,jr_val))</f>
        <v/>
      </c>
      <c r="M412" s="60" t="str">
        <f>IF(A412="","",IF(COUNTIFS(jr_num,A412,jr_check,"&lt;&gt;OK")&gt;0,"À vérifier",IF(LEFT(A412,2)="BL",IF(COUNTIFS(jr_num,A412,jr_rel,"&gt;0")&gt;0,"Reliquat en cours",IF(COUNTIFS(jr_num,A412,jr_gap,"&lt;0")&gt;0,"Reliquat livré","Complet")),IF(LEFT(A412,2)="BR",IF(COUNTIFS(jr_num,A412,jr_etat,"Refusé")&gt;0,"Refusé",IF(COUNTIFS(jr_num,A412,jr_etat,"Avec réserves")&gt;0,"Avec réserves",IF(COUNTIFS(jr_num,A412,jr_rel,"&gt;0")&gt;0,"Reliquat en cours",IF(COUNTIFS(jr_num,A412,jr_gap,"&lt;0")+COUNTIFS(jr_num,A412,jr_gap,"&gt;0")&gt;0,"Écart","Conforme")))),IF(COUNTIFS(jr_num,A412,jr_gap,"&lt;0")&gt;0,"Partiel","Sorti")))))</f>
        <v/>
      </c>
      <c r="O412" t="str">
        <f>IFERROR(MATCH(407,jr_grank,0),"")</f>
        <v/>
      </c>
      <c r="R412" s="67" t="str">
        <f>IFERROR(INDEX(jr_num,MATCH("BL407",jr_nkey,0))&amp;"","")</f>
        <v/>
      </c>
      <c r="S412" s="67" t="str">
        <f>IFERROR(INDEX(jr_num,MATCH("BR407",jr_nkey,0))&amp;"","")</f>
        <v/>
      </c>
      <c r="T412" s="67" t="str">
        <f>IFERROR(INDEX(jr_num,MATCH("BS407",jr_nkey,0))&amp;"","")</f>
        <v/>
      </c>
    </row>
    <row r="413">
      <c r="A413" s="60" t="str">
        <f>IF($O413="","",INDEX(jr_num,$O413)&amp;"")</f>
        <v/>
      </c>
      <c r="B413" s="60" t="str">
        <f>IF($O413="","",IF(INDEX(jr_type,$O413)="BL","Livraison",IF(INDEX(jr_type,$O413)="BR","Réception","Sortie")))</f>
        <v/>
      </c>
      <c r="C413" s="65" t="str">
        <f>IF($O413="","",INDEX(jr_date,$O413))</f>
        <v/>
      </c>
      <c r="D413" s="60" t="str">
        <f>IF($O413="","",INDEX(jr_tiers,$O413)&amp;"")</f>
        <v/>
      </c>
      <c r="E413" s="57" t="str">
        <f>IF($O413="","",INDEX(jr_name,$O413)&amp;"")</f>
        <v/>
      </c>
      <c r="F413" s="57" t="str">
        <f>IF($O413="","",INDEX(jr_order,$O413)&amp;"")</f>
        <v/>
      </c>
      <c r="G413" s="57" t="str">
        <f>IF($O413="","",INDEX(jr_ext,$O413)&amp;"")</f>
        <v/>
      </c>
      <c r="H413" s="57" t="str">
        <f>IF($O413="","",INDEX(jr_carrier,$O413)&amp;"")</f>
        <v/>
      </c>
      <c r="I413" s="66" t="str">
        <f>IF(A413="","",COUNTIF(jr_num,A413))</f>
        <v/>
      </c>
      <c r="J413" s="66" t="str">
        <f>IF(A413="","",SUMIF(jr_num,A413,jr_colis))</f>
        <v/>
      </c>
      <c r="K413" s="63" t="str">
        <f>IF(A413="","",SUMIF(jr_num,A413,jr_kg))</f>
        <v/>
      </c>
      <c r="L413" s="64" t="str">
        <f>IF(A413="","",SUMIF(jr_num,A413,jr_val))</f>
        <v/>
      </c>
      <c r="M413" s="60" t="str">
        <f>IF(A413="","",IF(COUNTIFS(jr_num,A413,jr_check,"&lt;&gt;OK")&gt;0,"À vérifier",IF(LEFT(A413,2)="BL",IF(COUNTIFS(jr_num,A413,jr_rel,"&gt;0")&gt;0,"Reliquat en cours",IF(COUNTIFS(jr_num,A413,jr_gap,"&lt;0")&gt;0,"Reliquat livré","Complet")),IF(LEFT(A413,2)="BR",IF(COUNTIFS(jr_num,A413,jr_etat,"Refusé")&gt;0,"Refusé",IF(COUNTIFS(jr_num,A413,jr_etat,"Avec réserves")&gt;0,"Avec réserves",IF(COUNTIFS(jr_num,A413,jr_rel,"&gt;0")&gt;0,"Reliquat en cours",IF(COUNTIFS(jr_num,A413,jr_gap,"&lt;0")+COUNTIFS(jr_num,A413,jr_gap,"&gt;0")&gt;0,"Écart","Conforme")))),IF(COUNTIFS(jr_num,A413,jr_gap,"&lt;0")&gt;0,"Partiel","Sorti")))))</f>
        <v/>
      </c>
      <c r="O413" t="str">
        <f>IFERROR(MATCH(408,jr_grank,0),"")</f>
        <v/>
      </c>
      <c r="R413" s="67" t="str">
        <f>IFERROR(INDEX(jr_num,MATCH("BL408",jr_nkey,0))&amp;"","")</f>
        <v/>
      </c>
      <c r="S413" s="67" t="str">
        <f>IFERROR(INDEX(jr_num,MATCH("BR408",jr_nkey,0))&amp;"","")</f>
        <v/>
      </c>
      <c r="T413" s="67" t="str">
        <f>IFERROR(INDEX(jr_num,MATCH("BS408",jr_nkey,0))&amp;"","")</f>
        <v/>
      </c>
    </row>
    <row r="414">
      <c r="A414" s="60" t="str">
        <f>IF($O414="","",INDEX(jr_num,$O414)&amp;"")</f>
        <v/>
      </c>
      <c r="B414" s="60" t="str">
        <f>IF($O414="","",IF(INDEX(jr_type,$O414)="BL","Livraison",IF(INDEX(jr_type,$O414)="BR","Réception","Sortie")))</f>
        <v/>
      </c>
      <c r="C414" s="65" t="str">
        <f>IF($O414="","",INDEX(jr_date,$O414))</f>
        <v/>
      </c>
      <c r="D414" s="60" t="str">
        <f>IF($O414="","",INDEX(jr_tiers,$O414)&amp;"")</f>
        <v/>
      </c>
      <c r="E414" s="57" t="str">
        <f>IF($O414="","",INDEX(jr_name,$O414)&amp;"")</f>
        <v/>
      </c>
      <c r="F414" s="57" t="str">
        <f>IF($O414="","",INDEX(jr_order,$O414)&amp;"")</f>
        <v/>
      </c>
      <c r="G414" s="57" t="str">
        <f>IF($O414="","",INDEX(jr_ext,$O414)&amp;"")</f>
        <v/>
      </c>
      <c r="H414" s="57" t="str">
        <f>IF($O414="","",INDEX(jr_carrier,$O414)&amp;"")</f>
        <v/>
      </c>
      <c r="I414" s="66" t="str">
        <f>IF(A414="","",COUNTIF(jr_num,A414))</f>
        <v/>
      </c>
      <c r="J414" s="66" t="str">
        <f>IF(A414="","",SUMIF(jr_num,A414,jr_colis))</f>
        <v/>
      </c>
      <c r="K414" s="63" t="str">
        <f>IF(A414="","",SUMIF(jr_num,A414,jr_kg))</f>
        <v/>
      </c>
      <c r="L414" s="64" t="str">
        <f>IF(A414="","",SUMIF(jr_num,A414,jr_val))</f>
        <v/>
      </c>
      <c r="M414" s="60" t="str">
        <f>IF(A414="","",IF(COUNTIFS(jr_num,A414,jr_check,"&lt;&gt;OK")&gt;0,"À vérifier",IF(LEFT(A414,2)="BL",IF(COUNTIFS(jr_num,A414,jr_rel,"&gt;0")&gt;0,"Reliquat en cours",IF(COUNTIFS(jr_num,A414,jr_gap,"&lt;0")&gt;0,"Reliquat livré","Complet")),IF(LEFT(A414,2)="BR",IF(COUNTIFS(jr_num,A414,jr_etat,"Refusé")&gt;0,"Refusé",IF(COUNTIFS(jr_num,A414,jr_etat,"Avec réserves")&gt;0,"Avec réserves",IF(COUNTIFS(jr_num,A414,jr_rel,"&gt;0")&gt;0,"Reliquat en cours",IF(COUNTIFS(jr_num,A414,jr_gap,"&lt;0")+COUNTIFS(jr_num,A414,jr_gap,"&gt;0")&gt;0,"Écart","Conforme")))),IF(COUNTIFS(jr_num,A414,jr_gap,"&lt;0")&gt;0,"Partiel","Sorti")))))</f>
        <v/>
      </c>
      <c r="O414" t="str">
        <f>IFERROR(MATCH(409,jr_grank,0),"")</f>
        <v/>
      </c>
      <c r="R414" s="67" t="str">
        <f>IFERROR(INDEX(jr_num,MATCH("BL409",jr_nkey,0))&amp;"","")</f>
        <v/>
      </c>
      <c r="S414" s="67" t="str">
        <f>IFERROR(INDEX(jr_num,MATCH("BR409",jr_nkey,0))&amp;"","")</f>
        <v/>
      </c>
      <c r="T414" s="67" t="str">
        <f>IFERROR(INDEX(jr_num,MATCH("BS409",jr_nkey,0))&amp;"","")</f>
        <v/>
      </c>
    </row>
    <row r="415">
      <c r="A415" s="60" t="str">
        <f>IF($O415="","",INDEX(jr_num,$O415)&amp;"")</f>
        <v/>
      </c>
      <c r="B415" s="60" t="str">
        <f>IF($O415="","",IF(INDEX(jr_type,$O415)="BL","Livraison",IF(INDEX(jr_type,$O415)="BR","Réception","Sortie")))</f>
        <v/>
      </c>
      <c r="C415" s="65" t="str">
        <f>IF($O415="","",INDEX(jr_date,$O415))</f>
        <v/>
      </c>
      <c r="D415" s="60" t="str">
        <f>IF($O415="","",INDEX(jr_tiers,$O415)&amp;"")</f>
        <v/>
      </c>
      <c r="E415" s="57" t="str">
        <f>IF($O415="","",INDEX(jr_name,$O415)&amp;"")</f>
        <v/>
      </c>
      <c r="F415" s="57" t="str">
        <f>IF($O415="","",INDEX(jr_order,$O415)&amp;"")</f>
        <v/>
      </c>
      <c r="G415" s="57" t="str">
        <f>IF($O415="","",INDEX(jr_ext,$O415)&amp;"")</f>
        <v/>
      </c>
      <c r="H415" s="57" t="str">
        <f>IF($O415="","",INDEX(jr_carrier,$O415)&amp;"")</f>
        <v/>
      </c>
      <c r="I415" s="66" t="str">
        <f>IF(A415="","",COUNTIF(jr_num,A415))</f>
        <v/>
      </c>
      <c r="J415" s="66" t="str">
        <f>IF(A415="","",SUMIF(jr_num,A415,jr_colis))</f>
        <v/>
      </c>
      <c r="K415" s="63" t="str">
        <f>IF(A415="","",SUMIF(jr_num,A415,jr_kg))</f>
        <v/>
      </c>
      <c r="L415" s="64" t="str">
        <f>IF(A415="","",SUMIF(jr_num,A415,jr_val))</f>
        <v/>
      </c>
      <c r="M415" s="60" t="str">
        <f>IF(A415="","",IF(COUNTIFS(jr_num,A415,jr_check,"&lt;&gt;OK")&gt;0,"À vérifier",IF(LEFT(A415,2)="BL",IF(COUNTIFS(jr_num,A415,jr_rel,"&gt;0")&gt;0,"Reliquat en cours",IF(COUNTIFS(jr_num,A415,jr_gap,"&lt;0")&gt;0,"Reliquat livré","Complet")),IF(LEFT(A415,2)="BR",IF(COUNTIFS(jr_num,A415,jr_etat,"Refusé")&gt;0,"Refusé",IF(COUNTIFS(jr_num,A415,jr_etat,"Avec réserves")&gt;0,"Avec réserves",IF(COUNTIFS(jr_num,A415,jr_rel,"&gt;0")&gt;0,"Reliquat en cours",IF(COUNTIFS(jr_num,A415,jr_gap,"&lt;0")+COUNTIFS(jr_num,A415,jr_gap,"&gt;0")&gt;0,"Écart","Conforme")))),IF(COUNTIFS(jr_num,A415,jr_gap,"&lt;0")&gt;0,"Partiel","Sorti")))))</f>
        <v/>
      </c>
      <c r="O415" t="str">
        <f>IFERROR(MATCH(410,jr_grank,0),"")</f>
        <v/>
      </c>
      <c r="R415" s="67" t="str">
        <f>IFERROR(INDEX(jr_num,MATCH("BL410",jr_nkey,0))&amp;"","")</f>
        <v/>
      </c>
      <c r="S415" s="67" t="str">
        <f>IFERROR(INDEX(jr_num,MATCH("BR410",jr_nkey,0))&amp;"","")</f>
        <v/>
      </c>
      <c r="T415" s="67" t="str">
        <f>IFERROR(INDEX(jr_num,MATCH("BS410",jr_nkey,0))&amp;"","")</f>
        <v/>
      </c>
    </row>
    <row r="416">
      <c r="A416" s="60" t="str">
        <f>IF($O416="","",INDEX(jr_num,$O416)&amp;"")</f>
        <v/>
      </c>
      <c r="B416" s="60" t="str">
        <f>IF($O416="","",IF(INDEX(jr_type,$O416)="BL","Livraison",IF(INDEX(jr_type,$O416)="BR","Réception","Sortie")))</f>
        <v/>
      </c>
      <c r="C416" s="65" t="str">
        <f>IF($O416="","",INDEX(jr_date,$O416))</f>
        <v/>
      </c>
      <c r="D416" s="60" t="str">
        <f>IF($O416="","",INDEX(jr_tiers,$O416)&amp;"")</f>
        <v/>
      </c>
      <c r="E416" s="57" t="str">
        <f>IF($O416="","",INDEX(jr_name,$O416)&amp;"")</f>
        <v/>
      </c>
      <c r="F416" s="57" t="str">
        <f>IF($O416="","",INDEX(jr_order,$O416)&amp;"")</f>
        <v/>
      </c>
      <c r="G416" s="57" t="str">
        <f>IF($O416="","",INDEX(jr_ext,$O416)&amp;"")</f>
        <v/>
      </c>
      <c r="H416" s="57" t="str">
        <f>IF($O416="","",INDEX(jr_carrier,$O416)&amp;"")</f>
        <v/>
      </c>
      <c r="I416" s="66" t="str">
        <f>IF(A416="","",COUNTIF(jr_num,A416))</f>
        <v/>
      </c>
      <c r="J416" s="66" t="str">
        <f>IF(A416="","",SUMIF(jr_num,A416,jr_colis))</f>
        <v/>
      </c>
      <c r="K416" s="63" t="str">
        <f>IF(A416="","",SUMIF(jr_num,A416,jr_kg))</f>
        <v/>
      </c>
      <c r="L416" s="64" t="str">
        <f>IF(A416="","",SUMIF(jr_num,A416,jr_val))</f>
        <v/>
      </c>
      <c r="M416" s="60" t="str">
        <f>IF(A416="","",IF(COUNTIFS(jr_num,A416,jr_check,"&lt;&gt;OK")&gt;0,"À vérifier",IF(LEFT(A416,2)="BL",IF(COUNTIFS(jr_num,A416,jr_rel,"&gt;0")&gt;0,"Reliquat en cours",IF(COUNTIFS(jr_num,A416,jr_gap,"&lt;0")&gt;0,"Reliquat livré","Complet")),IF(LEFT(A416,2)="BR",IF(COUNTIFS(jr_num,A416,jr_etat,"Refusé")&gt;0,"Refusé",IF(COUNTIFS(jr_num,A416,jr_etat,"Avec réserves")&gt;0,"Avec réserves",IF(COUNTIFS(jr_num,A416,jr_rel,"&gt;0")&gt;0,"Reliquat en cours",IF(COUNTIFS(jr_num,A416,jr_gap,"&lt;0")+COUNTIFS(jr_num,A416,jr_gap,"&gt;0")&gt;0,"Écart","Conforme")))),IF(COUNTIFS(jr_num,A416,jr_gap,"&lt;0")&gt;0,"Partiel","Sorti")))))</f>
        <v/>
      </c>
      <c r="O416" t="str">
        <f>IFERROR(MATCH(411,jr_grank,0),"")</f>
        <v/>
      </c>
      <c r="R416" s="67" t="str">
        <f>IFERROR(INDEX(jr_num,MATCH("BL411",jr_nkey,0))&amp;"","")</f>
        <v/>
      </c>
      <c r="S416" s="67" t="str">
        <f>IFERROR(INDEX(jr_num,MATCH("BR411",jr_nkey,0))&amp;"","")</f>
        <v/>
      </c>
      <c r="T416" s="67" t="str">
        <f>IFERROR(INDEX(jr_num,MATCH("BS411",jr_nkey,0))&amp;"","")</f>
        <v/>
      </c>
    </row>
    <row r="417">
      <c r="A417" s="60" t="str">
        <f>IF($O417="","",INDEX(jr_num,$O417)&amp;"")</f>
        <v/>
      </c>
      <c r="B417" s="60" t="str">
        <f>IF($O417="","",IF(INDEX(jr_type,$O417)="BL","Livraison",IF(INDEX(jr_type,$O417)="BR","Réception","Sortie")))</f>
        <v/>
      </c>
      <c r="C417" s="65" t="str">
        <f>IF($O417="","",INDEX(jr_date,$O417))</f>
        <v/>
      </c>
      <c r="D417" s="60" t="str">
        <f>IF($O417="","",INDEX(jr_tiers,$O417)&amp;"")</f>
        <v/>
      </c>
      <c r="E417" s="57" t="str">
        <f>IF($O417="","",INDEX(jr_name,$O417)&amp;"")</f>
        <v/>
      </c>
      <c r="F417" s="57" t="str">
        <f>IF($O417="","",INDEX(jr_order,$O417)&amp;"")</f>
        <v/>
      </c>
      <c r="G417" s="57" t="str">
        <f>IF($O417="","",INDEX(jr_ext,$O417)&amp;"")</f>
        <v/>
      </c>
      <c r="H417" s="57" t="str">
        <f>IF($O417="","",INDEX(jr_carrier,$O417)&amp;"")</f>
        <v/>
      </c>
      <c r="I417" s="66" t="str">
        <f>IF(A417="","",COUNTIF(jr_num,A417))</f>
        <v/>
      </c>
      <c r="J417" s="66" t="str">
        <f>IF(A417="","",SUMIF(jr_num,A417,jr_colis))</f>
        <v/>
      </c>
      <c r="K417" s="63" t="str">
        <f>IF(A417="","",SUMIF(jr_num,A417,jr_kg))</f>
        <v/>
      </c>
      <c r="L417" s="64" t="str">
        <f>IF(A417="","",SUMIF(jr_num,A417,jr_val))</f>
        <v/>
      </c>
      <c r="M417" s="60" t="str">
        <f>IF(A417="","",IF(COUNTIFS(jr_num,A417,jr_check,"&lt;&gt;OK")&gt;0,"À vérifier",IF(LEFT(A417,2)="BL",IF(COUNTIFS(jr_num,A417,jr_rel,"&gt;0")&gt;0,"Reliquat en cours",IF(COUNTIFS(jr_num,A417,jr_gap,"&lt;0")&gt;0,"Reliquat livré","Complet")),IF(LEFT(A417,2)="BR",IF(COUNTIFS(jr_num,A417,jr_etat,"Refusé")&gt;0,"Refusé",IF(COUNTIFS(jr_num,A417,jr_etat,"Avec réserves")&gt;0,"Avec réserves",IF(COUNTIFS(jr_num,A417,jr_rel,"&gt;0")&gt;0,"Reliquat en cours",IF(COUNTIFS(jr_num,A417,jr_gap,"&lt;0")+COUNTIFS(jr_num,A417,jr_gap,"&gt;0")&gt;0,"Écart","Conforme")))),IF(COUNTIFS(jr_num,A417,jr_gap,"&lt;0")&gt;0,"Partiel","Sorti")))))</f>
        <v/>
      </c>
      <c r="O417" t="str">
        <f>IFERROR(MATCH(412,jr_grank,0),"")</f>
        <v/>
      </c>
      <c r="R417" s="67" t="str">
        <f>IFERROR(INDEX(jr_num,MATCH("BL412",jr_nkey,0))&amp;"","")</f>
        <v/>
      </c>
      <c r="S417" s="67" t="str">
        <f>IFERROR(INDEX(jr_num,MATCH("BR412",jr_nkey,0))&amp;"","")</f>
        <v/>
      </c>
      <c r="T417" s="67" t="str">
        <f>IFERROR(INDEX(jr_num,MATCH("BS412",jr_nkey,0))&amp;"","")</f>
        <v/>
      </c>
    </row>
    <row r="418">
      <c r="A418" s="60" t="str">
        <f>IF($O418="","",INDEX(jr_num,$O418)&amp;"")</f>
        <v/>
      </c>
      <c r="B418" s="60" t="str">
        <f>IF($O418="","",IF(INDEX(jr_type,$O418)="BL","Livraison",IF(INDEX(jr_type,$O418)="BR","Réception","Sortie")))</f>
        <v/>
      </c>
      <c r="C418" s="65" t="str">
        <f>IF($O418="","",INDEX(jr_date,$O418))</f>
        <v/>
      </c>
      <c r="D418" s="60" t="str">
        <f>IF($O418="","",INDEX(jr_tiers,$O418)&amp;"")</f>
        <v/>
      </c>
      <c r="E418" s="57" t="str">
        <f>IF($O418="","",INDEX(jr_name,$O418)&amp;"")</f>
        <v/>
      </c>
      <c r="F418" s="57" t="str">
        <f>IF($O418="","",INDEX(jr_order,$O418)&amp;"")</f>
        <v/>
      </c>
      <c r="G418" s="57" t="str">
        <f>IF($O418="","",INDEX(jr_ext,$O418)&amp;"")</f>
        <v/>
      </c>
      <c r="H418" s="57" t="str">
        <f>IF($O418="","",INDEX(jr_carrier,$O418)&amp;"")</f>
        <v/>
      </c>
      <c r="I418" s="66" t="str">
        <f>IF(A418="","",COUNTIF(jr_num,A418))</f>
        <v/>
      </c>
      <c r="J418" s="66" t="str">
        <f>IF(A418="","",SUMIF(jr_num,A418,jr_colis))</f>
        <v/>
      </c>
      <c r="K418" s="63" t="str">
        <f>IF(A418="","",SUMIF(jr_num,A418,jr_kg))</f>
        <v/>
      </c>
      <c r="L418" s="64" t="str">
        <f>IF(A418="","",SUMIF(jr_num,A418,jr_val))</f>
        <v/>
      </c>
      <c r="M418" s="60" t="str">
        <f>IF(A418="","",IF(COUNTIFS(jr_num,A418,jr_check,"&lt;&gt;OK")&gt;0,"À vérifier",IF(LEFT(A418,2)="BL",IF(COUNTIFS(jr_num,A418,jr_rel,"&gt;0")&gt;0,"Reliquat en cours",IF(COUNTIFS(jr_num,A418,jr_gap,"&lt;0")&gt;0,"Reliquat livré","Complet")),IF(LEFT(A418,2)="BR",IF(COUNTIFS(jr_num,A418,jr_etat,"Refusé")&gt;0,"Refusé",IF(COUNTIFS(jr_num,A418,jr_etat,"Avec réserves")&gt;0,"Avec réserves",IF(COUNTIFS(jr_num,A418,jr_rel,"&gt;0")&gt;0,"Reliquat en cours",IF(COUNTIFS(jr_num,A418,jr_gap,"&lt;0")+COUNTIFS(jr_num,A418,jr_gap,"&gt;0")&gt;0,"Écart","Conforme")))),IF(COUNTIFS(jr_num,A418,jr_gap,"&lt;0")&gt;0,"Partiel","Sorti")))))</f>
        <v/>
      </c>
      <c r="O418" t="str">
        <f>IFERROR(MATCH(413,jr_grank,0),"")</f>
        <v/>
      </c>
      <c r="R418" s="67" t="str">
        <f>IFERROR(INDEX(jr_num,MATCH("BL413",jr_nkey,0))&amp;"","")</f>
        <v/>
      </c>
      <c r="S418" s="67" t="str">
        <f>IFERROR(INDEX(jr_num,MATCH("BR413",jr_nkey,0))&amp;"","")</f>
        <v/>
      </c>
      <c r="T418" s="67" t="str">
        <f>IFERROR(INDEX(jr_num,MATCH("BS413",jr_nkey,0))&amp;"","")</f>
        <v/>
      </c>
    </row>
    <row r="419">
      <c r="A419" s="60" t="str">
        <f>IF($O419="","",INDEX(jr_num,$O419)&amp;"")</f>
        <v/>
      </c>
      <c r="B419" s="60" t="str">
        <f>IF($O419="","",IF(INDEX(jr_type,$O419)="BL","Livraison",IF(INDEX(jr_type,$O419)="BR","Réception","Sortie")))</f>
        <v/>
      </c>
      <c r="C419" s="65" t="str">
        <f>IF($O419="","",INDEX(jr_date,$O419))</f>
        <v/>
      </c>
      <c r="D419" s="60" t="str">
        <f>IF($O419="","",INDEX(jr_tiers,$O419)&amp;"")</f>
        <v/>
      </c>
      <c r="E419" s="57" t="str">
        <f>IF($O419="","",INDEX(jr_name,$O419)&amp;"")</f>
        <v/>
      </c>
      <c r="F419" s="57" t="str">
        <f>IF($O419="","",INDEX(jr_order,$O419)&amp;"")</f>
        <v/>
      </c>
      <c r="G419" s="57" t="str">
        <f>IF($O419="","",INDEX(jr_ext,$O419)&amp;"")</f>
        <v/>
      </c>
      <c r="H419" s="57" t="str">
        <f>IF($O419="","",INDEX(jr_carrier,$O419)&amp;"")</f>
        <v/>
      </c>
      <c r="I419" s="66" t="str">
        <f>IF(A419="","",COUNTIF(jr_num,A419))</f>
        <v/>
      </c>
      <c r="J419" s="66" t="str">
        <f>IF(A419="","",SUMIF(jr_num,A419,jr_colis))</f>
        <v/>
      </c>
      <c r="K419" s="63" t="str">
        <f>IF(A419="","",SUMIF(jr_num,A419,jr_kg))</f>
        <v/>
      </c>
      <c r="L419" s="64" t="str">
        <f>IF(A419="","",SUMIF(jr_num,A419,jr_val))</f>
        <v/>
      </c>
      <c r="M419" s="60" t="str">
        <f>IF(A419="","",IF(COUNTIFS(jr_num,A419,jr_check,"&lt;&gt;OK")&gt;0,"À vérifier",IF(LEFT(A419,2)="BL",IF(COUNTIFS(jr_num,A419,jr_rel,"&gt;0")&gt;0,"Reliquat en cours",IF(COUNTIFS(jr_num,A419,jr_gap,"&lt;0")&gt;0,"Reliquat livré","Complet")),IF(LEFT(A419,2)="BR",IF(COUNTIFS(jr_num,A419,jr_etat,"Refusé")&gt;0,"Refusé",IF(COUNTIFS(jr_num,A419,jr_etat,"Avec réserves")&gt;0,"Avec réserves",IF(COUNTIFS(jr_num,A419,jr_rel,"&gt;0")&gt;0,"Reliquat en cours",IF(COUNTIFS(jr_num,A419,jr_gap,"&lt;0")+COUNTIFS(jr_num,A419,jr_gap,"&gt;0")&gt;0,"Écart","Conforme")))),IF(COUNTIFS(jr_num,A419,jr_gap,"&lt;0")&gt;0,"Partiel","Sorti")))))</f>
        <v/>
      </c>
      <c r="O419" t="str">
        <f>IFERROR(MATCH(414,jr_grank,0),"")</f>
        <v/>
      </c>
      <c r="R419" s="67" t="str">
        <f>IFERROR(INDEX(jr_num,MATCH("BL414",jr_nkey,0))&amp;"","")</f>
        <v/>
      </c>
      <c r="S419" s="67" t="str">
        <f>IFERROR(INDEX(jr_num,MATCH("BR414",jr_nkey,0))&amp;"","")</f>
        <v/>
      </c>
      <c r="T419" s="67" t="str">
        <f>IFERROR(INDEX(jr_num,MATCH("BS414",jr_nkey,0))&amp;"","")</f>
        <v/>
      </c>
    </row>
    <row r="420">
      <c r="A420" s="60" t="str">
        <f>IF($O420="","",INDEX(jr_num,$O420)&amp;"")</f>
        <v/>
      </c>
      <c r="B420" s="60" t="str">
        <f>IF($O420="","",IF(INDEX(jr_type,$O420)="BL","Livraison",IF(INDEX(jr_type,$O420)="BR","Réception","Sortie")))</f>
        <v/>
      </c>
      <c r="C420" s="65" t="str">
        <f>IF($O420="","",INDEX(jr_date,$O420))</f>
        <v/>
      </c>
      <c r="D420" s="60" t="str">
        <f>IF($O420="","",INDEX(jr_tiers,$O420)&amp;"")</f>
        <v/>
      </c>
      <c r="E420" s="57" t="str">
        <f>IF($O420="","",INDEX(jr_name,$O420)&amp;"")</f>
        <v/>
      </c>
      <c r="F420" s="57" t="str">
        <f>IF($O420="","",INDEX(jr_order,$O420)&amp;"")</f>
        <v/>
      </c>
      <c r="G420" s="57" t="str">
        <f>IF($O420="","",INDEX(jr_ext,$O420)&amp;"")</f>
        <v/>
      </c>
      <c r="H420" s="57" t="str">
        <f>IF($O420="","",INDEX(jr_carrier,$O420)&amp;"")</f>
        <v/>
      </c>
      <c r="I420" s="66" t="str">
        <f>IF(A420="","",COUNTIF(jr_num,A420))</f>
        <v/>
      </c>
      <c r="J420" s="66" t="str">
        <f>IF(A420="","",SUMIF(jr_num,A420,jr_colis))</f>
        <v/>
      </c>
      <c r="K420" s="63" t="str">
        <f>IF(A420="","",SUMIF(jr_num,A420,jr_kg))</f>
        <v/>
      </c>
      <c r="L420" s="64" t="str">
        <f>IF(A420="","",SUMIF(jr_num,A420,jr_val))</f>
        <v/>
      </c>
      <c r="M420" s="60" t="str">
        <f>IF(A420="","",IF(COUNTIFS(jr_num,A420,jr_check,"&lt;&gt;OK")&gt;0,"À vérifier",IF(LEFT(A420,2)="BL",IF(COUNTIFS(jr_num,A420,jr_rel,"&gt;0")&gt;0,"Reliquat en cours",IF(COUNTIFS(jr_num,A420,jr_gap,"&lt;0")&gt;0,"Reliquat livré","Complet")),IF(LEFT(A420,2)="BR",IF(COUNTIFS(jr_num,A420,jr_etat,"Refusé")&gt;0,"Refusé",IF(COUNTIFS(jr_num,A420,jr_etat,"Avec réserves")&gt;0,"Avec réserves",IF(COUNTIFS(jr_num,A420,jr_rel,"&gt;0")&gt;0,"Reliquat en cours",IF(COUNTIFS(jr_num,A420,jr_gap,"&lt;0")+COUNTIFS(jr_num,A420,jr_gap,"&gt;0")&gt;0,"Écart","Conforme")))),IF(COUNTIFS(jr_num,A420,jr_gap,"&lt;0")&gt;0,"Partiel","Sorti")))))</f>
        <v/>
      </c>
      <c r="O420" t="str">
        <f>IFERROR(MATCH(415,jr_grank,0),"")</f>
        <v/>
      </c>
      <c r="R420" s="67" t="str">
        <f>IFERROR(INDEX(jr_num,MATCH("BL415",jr_nkey,0))&amp;"","")</f>
        <v/>
      </c>
      <c r="S420" s="67" t="str">
        <f>IFERROR(INDEX(jr_num,MATCH("BR415",jr_nkey,0))&amp;"","")</f>
        <v/>
      </c>
      <c r="T420" s="67" t="str">
        <f>IFERROR(INDEX(jr_num,MATCH("BS415",jr_nkey,0))&amp;"","")</f>
        <v/>
      </c>
    </row>
    <row r="421">
      <c r="A421" s="60" t="str">
        <f>IF($O421="","",INDEX(jr_num,$O421)&amp;"")</f>
        <v/>
      </c>
      <c r="B421" s="60" t="str">
        <f>IF($O421="","",IF(INDEX(jr_type,$O421)="BL","Livraison",IF(INDEX(jr_type,$O421)="BR","Réception","Sortie")))</f>
        <v/>
      </c>
      <c r="C421" s="65" t="str">
        <f>IF($O421="","",INDEX(jr_date,$O421))</f>
        <v/>
      </c>
      <c r="D421" s="60" t="str">
        <f>IF($O421="","",INDEX(jr_tiers,$O421)&amp;"")</f>
        <v/>
      </c>
      <c r="E421" s="57" t="str">
        <f>IF($O421="","",INDEX(jr_name,$O421)&amp;"")</f>
        <v/>
      </c>
      <c r="F421" s="57" t="str">
        <f>IF($O421="","",INDEX(jr_order,$O421)&amp;"")</f>
        <v/>
      </c>
      <c r="G421" s="57" t="str">
        <f>IF($O421="","",INDEX(jr_ext,$O421)&amp;"")</f>
        <v/>
      </c>
      <c r="H421" s="57" t="str">
        <f>IF($O421="","",INDEX(jr_carrier,$O421)&amp;"")</f>
        <v/>
      </c>
      <c r="I421" s="66" t="str">
        <f>IF(A421="","",COUNTIF(jr_num,A421))</f>
        <v/>
      </c>
      <c r="J421" s="66" t="str">
        <f>IF(A421="","",SUMIF(jr_num,A421,jr_colis))</f>
        <v/>
      </c>
      <c r="K421" s="63" t="str">
        <f>IF(A421="","",SUMIF(jr_num,A421,jr_kg))</f>
        <v/>
      </c>
      <c r="L421" s="64" t="str">
        <f>IF(A421="","",SUMIF(jr_num,A421,jr_val))</f>
        <v/>
      </c>
      <c r="M421" s="60" t="str">
        <f>IF(A421="","",IF(COUNTIFS(jr_num,A421,jr_check,"&lt;&gt;OK")&gt;0,"À vérifier",IF(LEFT(A421,2)="BL",IF(COUNTIFS(jr_num,A421,jr_rel,"&gt;0")&gt;0,"Reliquat en cours",IF(COUNTIFS(jr_num,A421,jr_gap,"&lt;0")&gt;0,"Reliquat livré","Complet")),IF(LEFT(A421,2)="BR",IF(COUNTIFS(jr_num,A421,jr_etat,"Refusé")&gt;0,"Refusé",IF(COUNTIFS(jr_num,A421,jr_etat,"Avec réserves")&gt;0,"Avec réserves",IF(COUNTIFS(jr_num,A421,jr_rel,"&gt;0")&gt;0,"Reliquat en cours",IF(COUNTIFS(jr_num,A421,jr_gap,"&lt;0")+COUNTIFS(jr_num,A421,jr_gap,"&gt;0")&gt;0,"Écart","Conforme")))),IF(COUNTIFS(jr_num,A421,jr_gap,"&lt;0")&gt;0,"Partiel","Sorti")))))</f>
        <v/>
      </c>
      <c r="O421" t="str">
        <f>IFERROR(MATCH(416,jr_grank,0),"")</f>
        <v/>
      </c>
      <c r="R421" s="67" t="str">
        <f>IFERROR(INDEX(jr_num,MATCH("BL416",jr_nkey,0))&amp;"","")</f>
        <v/>
      </c>
      <c r="S421" s="67" t="str">
        <f>IFERROR(INDEX(jr_num,MATCH("BR416",jr_nkey,0))&amp;"","")</f>
        <v/>
      </c>
      <c r="T421" s="67" t="str">
        <f>IFERROR(INDEX(jr_num,MATCH("BS416",jr_nkey,0))&amp;"","")</f>
        <v/>
      </c>
    </row>
    <row r="422">
      <c r="A422" s="60" t="str">
        <f>IF($O422="","",INDEX(jr_num,$O422)&amp;"")</f>
        <v/>
      </c>
      <c r="B422" s="60" t="str">
        <f>IF($O422="","",IF(INDEX(jr_type,$O422)="BL","Livraison",IF(INDEX(jr_type,$O422)="BR","Réception","Sortie")))</f>
        <v/>
      </c>
      <c r="C422" s="65" t="str">
        <f>IF($O422="","",INDEX(jr_date,$O422))</f>
        <v/>
      </c>
      <c r="D422" s="60" t="str">
        <f>IF($O422="","",INDEX(jr_tiers,$O422)&amp;"")</f>
        <v/>
      </c>
      <c r="E422" s="57" t="str">
        <f>IF($O422="","",INDEX(jr_name,$O422)&amp;"")</f>
        <v/>
      </c>
      <c r="F422" s="57" t="str">
        <f>IF($O422="","",INDEX(jr_order,$O422)&amp;"")</f>
        <v/>
      </c>
      <c r="G422" s="57" t="str">
        <f>IF($O422="","",INDEX(jr_ext,$O422)&amp;"")</f>
        <v/>
      </c>
      <c r="H422" s="57" t="str">
        <f>IF($O422="","",INDEX(jr_carrier,$O422)&amp;"")</f>
        <v/>
      </c>
      <c r="I422" s="66" t="str">
        <f>IF(A422="","",COUNTIF(jr_num,A422))</f>
        <v/>
      </c>
      <c r="J422" s="66" t="str">
        <f>IF(A422="","",SUMIF(jr_num,A422,jr_colis))</f>
        <v/>
      </c>
      <c r="K422" s="63" t="str">
        <f>IF(A422="","",SUMIF(jr_num,A422,jr_kg))</f>
        <v/>
      </c>
      <c r="L422" s="64" t="str">
        <f>IF(A422="","",SUMIF(jr_num,A422,jr_val))</f>
        <v/>
      </c>
      <c r="M422" s="60" t="str">
        <f>IF(A422="","",IF(COUNTIFS(jr_num,A422,jr_check,"&lt;&gt;OK")&gt;0,"À vérifier",IF(LEFT(A422,2)="BL",IF(COUNTIFS(jr_num,A422,jr_rel,"&gt;0")&gt;0,"Reliquat en cours",IF(COUNTIFS(jr_num,A422,jr_gap,"&lt;0")&gt;0,"Reliquat livré","Complet")),IF(LEFT(A422,2)="BR",IF(COUNTIFS(jr_num,A422,jr_etat,"Refusé")&gt;0,"Refusé",IF(COUNTIFS(jr_num,A422,jr_etat,"Avec réserves")&gt;0,"Avec réserves",IF(COUNTIFS(jr_num,A422,jr_rel,"&gt;0")&gt;0,"Reliquat en cours",IF(COUNTIFS(jr_num,A422,jr_gap,"&lt;0")+COUNTIFS(jr_num,A422,jr_gap,"&gt;0")&gt;0,"Écart","Conforme")))),IF(COUNTIFS(jr_num,A422,jr_gap,"&lt;0")&gt;0,"Partiel","Sorti")))))</f>
        <v/>
      </c>
      <c r="O422" t="str">
        <f>IFERROR(MATCH(417,jr_grank,0),"")</f>
        <v/>
      </c>
      <c r="R422" s="67" t="str">
        <f>IFERROR(INDEX(jr_num,MATCH("BL417",jr_nkey,0))&amp;"","")</f>
        <v/>
      </c>
      <c r="S422" s="67" t="str">
        <f>IFERROR(INDEX(jr_num,MATCH("BR417",jr_nkey,0))&amp;"","")</f>
        <v/>
      </c>
      <c r="T422" s="67" t="str">
        <f>IFERROR(INDEX(jr_num,MATCH("BS417",jr_nkey,0))&amp;"","")</f>
        <v/>
      </c>
    </row>
    <row r="423">
      <c r="A423" s="60" t="str">
        <f>IF($O423="","",INDEX(jr_num,$O423)&amp;"")</f>
        <v/>
      </c>
      <c r="B423" s="60" t="str">
        <f>IF($O423="","",IF(INDEX(jr_type,$O423)="BL","Livraison",IF(INDEX(jr_type,$O423)="BR","Réception","Sortie")))</f>
        <v/>
      </c>
      <c r="C423" s="65" t="str">
        <f>IF($O423="","",INDEX(jr_date,$O423))</f>
        <v/>
      </c>
      <c r="D423" s="60" t="str">
        <f>IF($O423="","",INDEX(jr_tiers,$O423)&amp;"")</f>
        <v/>
      </c>
      <c r="E423" s="57" t="str">
        <f>IF($O423="","",INDEX(jr_name,$O423)&amp;"")</f>
        <v/>
      </c>
      <c r="F423" s="57" t="str">
        <f>IF($O423="","",INDEX(jr_order,$O423)&amp;"")</f>
        <v/>
      </c>
      <c r="G423" s="57" t="str">
        <f>IF($O423="","",INDEX(jr_ext,$O423)&amp;"")</f>
        <v/>
      </c>
      <c r="H423" s="57" t="str">
        <f>IF($O423="","",INDEX(jr_carrier,$O423)&amp;"")</f>
        <v/>
      </c>
      <c r="I423" s="66" t="str">
        <f>IF(A423="","",COUNTIF(jr_num,A423))</f>
        <v/>
      </c>
      <c r="J423" s="66" t="str">
        <f>IF(A423="","",SUMIF(jr_num,A423,jr_colis))</f>
        <v/>
      </c>
      <c r="K423" s="63" t="str">
        <f>IF(A423="","",SUMIF(jr_num,A423,jr_kg))</f>
        <v/>
      </c>
      <c r="L423" s="64" t="str">
        <f>IF(A423="","",SUMIF(jr_num,A423,jr_val))</f>
        <v/>
      </c>
      <c r="M423" s="60" t="str">
        <f>IF(A423="","",IF(COUNTIFS(jr_num,A423,jr_check,"&lt;&gt;OK")&gt;0,"À vérifier",IF(LEFT(A423,2)="BL",IF(COUNTIFS(jr_num,A423,jr_rel,"&gt;0")&gt;0,"Reliquat en cours",IF(COUNTIFS(jr_num,A423,jr_gap,"&lt;0")&gt;0,"Reliquat livré","Complet")),IF(LEFT(A423,2)="BR",IF(COUNTIFS(jr_num,A423,jr_etat,"Refusé")&gt;0,"Refusé",IF(COUNTIFS(jr_num,A423,jr_etat,"Avec réserves")&gt;0,"Avec réserves",IF(COUNTIFS(jr_num,A423,jr_rel,"&gt;0")&gt;0,"Reliquat en cours",IF(COUNTIFS(jr_num,A423,jr_gap,"&lt;0")+COUNTIFS(jr_num,A423,jr_gap,"&gt;0")&gt;0,"Écart","Conforme")))),IF(COUNTIFS(jr_num,A423,jr_gap,"&lt;0")&gt;0,"Partiel","Sorti")))))</f>
        <v/>
      </c>
      <c r="O423" t="str">
        <f>IFERROR(MATCH(418,jr_grank,0),"")</f>
        <v/>
      </c>
      <c r="R423" s="67" t="str">
        <f>IFERROR(INDEX(jr_num,MATCH("BL418",jr_nkey,0))&amp;"","")</f>
        <v/>
      </c>
      <c r="S423" s="67" t="str">
        <f>IFERROR(INDEX(jr_num,MATCH("BR418",jr_nkey,0))&amp;"","")</f>
        <v/>
      </c>
      <c r="T423" s="67" t="str">
        <f>IFERROR(INDEX(jr_num,MATCH("BS418",jr_nkey,0))&amp;"","")</f>
        <v/>
      </c>
    </row>
    <row r="424">
      <c r="A424" s="60" t="str">
        <f>IF($O424="","",INDEX(jr_num,$O424)&amp;"")</f>
        <v/>
      </c>
      <c r="B424" s="60" t="str">
        <f>IF($O424="","",IF(INDEX(jr_type,$O424)="BL","Livraison",IF(INDEX(jr_type,$O424)="BR","Réception","Sortie")))</f>
        <v/>
      </c>
      <c r="C424" s="65" t="str">
        <f>IF($O424="","",INDEX(jr_date,$O424))</f>
        <v/>
      </c>
      <c r="D424" s="60" t="str">
        <f>IF($O424="","",INDEX(jr_tiers,$O424)&amp;"")</f>
        <v/>
      </c>
      <c r="E424" s="57" t="str">
        <f>IF($O424="","",INDEX(jr_name,$O424)&amp;"")</f>
        <v/>
      </c>
      <c r="F424" s="57" t="str">
        <f>IF($O424="","",INDEX(jr_order,$O424)&amp;"")</f>
        <v/>
      </c>
      <c r="G424" s="57" t="str">
        <f>IF($O424="","",INDEX(jr_ext,$O424)&amp;"")</f>
        <v/>
      </c>
      <c r="H424" s="57" t="str">
        <f>IF($O424="","",INDEX(jr_carrier,$O424)&amp;"")</f>
        <v/>
      </c>
      <c r="I424" s="66" t="str">
        <f>IF(A424="","",COUNTIF(jr_num,A424))</f>
        <v/>
      </c>
      <c r="J424" s="66" t="str">
        <f>IF(A424="","",SUMIF(jr_num,A424,jr_colis))</f>
        <v/>
      </c>
      <c r="K424" s="63" t="str">
        <f>IF(A424="","",SUMIF(jr_num,A424,jr_kg))</f>
        <v/>
      </c>
      <c r="L424" s="64" t="str">
        <f>IF(A424="","",SUMIF(jr_num,A424,jr_val))</f>
        <v/>
      </c>
      <c r="M424" s="60" t="str">
        <f>IF(A424="","",IF(COUNTIFS(jr_num,A424,jr_check,"&lt;&gt;OK")&gt;0,"À vérifier",IF(LEFT(A424,2)="BL",IF(COUNTIFS(jr_num,A424,jr_rel,"&gt;0")&gt;0,"Reliquat en cours",IF(COUNTIFS(jr_num,A424,jr_gap,"&lt;0")&gt;0,"Reliquat livré","Complet")),IF(LEFT(A424,2)="BR",IF(COUNTIFS(jr_num,A424,jr_etat,"Refusé")&gt;0,"Refusé",IF(COUNTIFS(jr_num,A424,jr_etat,"Avec réserves")&gt;0,"Avec réserves",IF(COUNTIFS(jr_num,A424,jr_rel,"&gt;0")&gt;0,"Reliquat en cours",IF(COUNTIFS(jr_num,A424,jr_gap,"&lt;0")+COUNTIFS(jr_num,A424,jr_gap,"&gt;0")&gt;0,"Écart","Conforme")))),IF(COUNTIFS(jr_num,A424,jr_gap,"&lt;0")&gt;0,"Partiel","Sorti")))))</f>
        <v/>
      </c>
      <c r="O424" t="str">
        <f>IFERROR(MATCH(419,jr_grank,0),"")</f>
        <v/>
      </c>
      <c r="R424" s="67" t="str">
        <f>IFERROR(INDEX(jr_num,MATCH("BL419",jr_nkey,0))&amp;"","")</f>
        <v/>
      </c>
      <c r="S424" s="67" t="str">
        <f>IFERROR(INDEX(jr_num,MATCH("BR419",jr_nkey,0))&amp;"","")</f>
        <v/>
      </c>
      <c r="T424" s="67" t="str">
        <f>IFERROR(INDEX(jr_num,MATCH("BS419",jr_nkey,0))&amp;"","")</f>
        <v/>
      </c>
    </row>
    <row r="425">
      <c r="A425" s="60" t="str">
        <f>IF($O425="","",INDEX(jr_num,$O425)&amp;"")</f>
        <v/>
      </c>
      <c r="B425" s="60" t="str">
        <f>IF($O425="","",IF(INDEX(jr_type,$O425)="BL","Livraison",IF(INDEX(jr_type,$O425)="BR","Réception","Sortie")))</f>
        <v/>
      </c>
      <c r="C425" s="65" t="str">
        <f>IF($O425="","",INDEX(jr_date,$O425))</f>
        <v/>
      </c>
      <c r="D425" s="60" t="str">
        <f>IF($O425="","",INDEX(jr_tiers,$O425)&amp;"")</f>
        <v/>
      </c>
      <c r="E425" s="57" t="str">
        <f>IF($O425="","",INDEX(jr_name,$O425)&amp;"")</f>
        <v/>
      </c>
      <c r="F425" s="57" t="str">
        <f>IF($O425="","",INDEX(jr_order,$O425)&amp;"")</f>
        <v/>
      </c>
      <c r="G425" s="57" t="str">
        <f>IF($O425="","",INDEX(jr_ext,$O425)&amp;"")</f>
        <v/>
      </c>
      <c r="H425" s="57" t="str">
        <f>IF($O425="","",INDEX(jr_carrier,$O425)&amp;"")</f>
        <v/>
      </c>
      <c r="I425" s="66" t="str">
        <f>IF(A425="","",COUNTIF(jr_num,A425))</f>
        <v/>
      </c>
      <c r="J425" s="66" t="str">
        <f>IF(A425="","",SUMIF(jr_num,A425,jr_colis))</f>
        <v/>
      </c>
      <c r="K425" s="63" t="str">
        <f>IF(A425="","",SUMIF(jr_num,A425,jr_kg))</f>
        <v/>
      </c>
      <c r="L425" s="64" t="str">
        <f>IF(A425="","",SUMIF(jr_num,A425,jr_val))</f>
        <v/>
      </c>
      <c r="M425" s="60" t="str">
        <f>IF(A425="","",IF(COUNTIFS(jr_num,A425,jr_check,"&lt;&gt;OK")&gt;0,"À vérifier",IF(LEFT(A425,2)="BL",IF(COUNTIFS(jr_num,A425,jr_rel,"&gt;0")&gt;0,"Reliquat en cours",IF(COUNTIFS(jr_num,A425,jr_gap,"&lt;0")&gt;0,"Reliquat livré","Complet")),IF(LEFT(A425,2)="BR",IF(COUNTIFS(jr_num,A425,jr_etat,"Refusé")&gt;0,"Refusé",IF(COUNTIFS(jr_num,A425,jr_etat,"Avec réserves")&gt;0,"Avec réserves",IF(COUNTIFS(jr_num,A425,jr_rel,"&gt;0")&gt;0,"Reliquat en cours",IF(COUNTIFS(jr_num,A425,jr_gap,"&lt;0")+COUNTIFS(jr_num,A425,jr_gap,"&gt;0")&gt;0,"Écart","Conforme")))),IF(COUNTIFS(jr_num,A425,jr_gap,"&lt;0")&gt;0,"Partiel","Sorti")))))</f>
        <v/>
      </c>
      <c r="O425" t="str">
        <f>IFERROR(MATCH(420,jr_grank,0),"")</f>
        <v/>
      </c>
      <c r="R425" s="67" t="str">
        <f>IFERROR(INDEX(jr_num,MATCH("BL420",jr_nkey,0))&amp;"","")</f>
        <v/>
      </c>
      <c r="S425" s="67" t="str">
        <f>IFERROR(INDEX(jr_num,MATCH("BR420",jr_nkey,0))&amp;"","")</f>
        <v/>
      </c>
      <c r="T425" s="67" t="str">
        <f>IFERROR(INDEX(jr_num,MATCH("BS420",jr_nkey,0))&amp;"","")</f>
        <v/>
      </c>
    </row>
    <row r="426">
      <c r="A426" s="60" t="str">
        <f>IF($O426="","",INDEX(jr_num,$O426)&amp;"")</f>
        <v/>
      </c>
      <c r="B426" s="60" t="str">
        <f>IF($O426="","",IF(INDEX(jr_type,$O426)="BL","Livraison",IF(INDEX(jr_type,$O426)="BR","Réception","Sortie")))</f>
        <v/>
      </c>
      <c r="C426" s="65" t="str">
        <f>IF($O426="","",INDEX(jr_date,$O426))</f>
        <v/>
      </c>
      <c r="D426" s="60" t="str">
        <f>IF($O426="","",INDEX(jr_tiers,$O426)&amp;"")</f>
        <v/>
      </c>
      <c r="E426" s="57" t="str">
        <f>IF($O426="","",INDEX(jr_name,$O426)&amp;"")</f>
        <v/>
      </c>
      <c r="F426" s="57" t="str">
        <f>IF($O426="","",INDEX(jr_order,$O426)&amp;"")</f>
        <v/>
      </c>
      <c r="G426" s="57" t="str">
        <f>IF($O426="","",INDEX(jr_ext,$O426)&amp;"")</f>
        <v/>
      </c>
      <c r="H426" s="57" t="str">
        <f>IF($O426="","",INDEX(jr_carrier,$O426)&amp;"")</f>
        <v/>
      </c>
      <c r="I426" s="66" t="str">
        <f>IF(A426="","",COUNTIF(jr_num,A426))</f>
        <v/>
      </c>
      <c r="J426" s="66" t="str">
        <f>IF(A426="","",SUMIF(jr_num,A426,jr_colis))</f>
        <v/>
      </c>
      <c r="K426" s="63" t="str">
        <f>IF(A426="","",SUMIF(jr_num,A426,jr_kg))</f>
        <v/>
      </c>
      <c r="L426" s="64" t="str">
        <f>IF(A426="","",SUMIF(jr_num,A426,jr_val))</f>
        <v/>
      </c>
      <c r="M426" s="60" t="str">
        <f>IF(A426="","",IF(COUNTIFS(jr_num,A426,jr_check,"&lt;&gt;OK")&gt;0,"À vérifier",IF(LEFT(A426,2)="BL",IF(COUNTIFS(jr_num,A426,jr_rel,"&gt;0")&gt;0,"Reliquat en cours",IF(COUNTIFS(jr_num,A426,jr_gap,"&lt;0")&gt;0,"Reliquat livré","Complet")),IF(LEFT(A426,2)="BR",IF(COUNTIFS(jr_num,A426,jr_etat,"Refusé")&gt;0,"Refusé",IF(COUNTIFS(jr_num,A426,jr_etat,"Avec réserves")&gt;0,"Avec réserves",IF(COUNTIFS(jr_num,A426,jr_rel,"&gt;0")&gt;0,"Reliquat en cours",IF(COUNTIFS(jr_num,A426,jr_gap,"&lt;0")+COUNTIFS(jr_num,A426,jr_gap,"&gt;0")&gt;0,"Écart","Conforme")))),IF(COUNTIFS(jr_num,A426,jr_gap,"&lt;0")&gt;0,"Partiel","Sorti")))))</f>
        <v/>
      </c>
      <c r="O426" t="str">
        <f>IFERROR(MATCH(421,jr_grank,0),"")</f>
        <v/>
      </c>
      <c r="R426" s="67" t="str">
        <f>IFERROR(INDEX(jr_num,MATCH("BL421",jr_nkey,0))&amp;"","")</f>
        <v/>
      </c>
      <c r="S426" s="67" t="str">
        <f>IFERROR(INDEX(jr_num,MATCH("BR421",jr_nkey,0))&amp;"","")</f>
        <v/>
      </c>
      <c r="T426" s="67" t="str">
        <f>IFERROR(INDEX(jr_num,MATCH("BS421",jr_nkey,0))&amp;"","")</f>
        <v/>
      </c>
    </row>
    <row r="427">
      <c r="A427" s="60" t="str">
        <f>IF($O427="","",INDEX(jr_num,$O427)&amp;"")</f>
        <v/>
      </c>
      <c r="B427" s="60" t="str">
        <f>IF($O427="","",IF(INDEX(jr_type,$O427)="BL","Livraison",IF(INDEX(jr_type,$O427)="BR","Réception","Sortie")))</f>
        <v/>
      </c>
      <c r="C427" s="65" t="str">
        <f>IF($O427="","",INDEX(jr_date,$O427))</f>
        <v/>
      </c>
      <c r="D427" s="60" t="str">
        <f>IF($O427="","",INDEX(jr_tiers,$O427)&amp;"")</f>
        <v/>
      </c>
      <c r="E427" s="57" t="str">
        <f>IF($O427="","",INDEX(jr_name,$O427)&amp;"")</f>
        <v/>
      </c>
      <c r="F427" s="57" t="str">
        <f>IF($O427="","",INDEX(jr_order,$O427)&amp;"")</f>
        <v/>
      </c>
      <c r="G427" s="57" t="str">
        <f>IF($O427="","",INDEX(jr_ext,$O427)&amp;"")</f>
        <v/>
      </c>
      <c r="H427" s="57" t="str">
        <f>IF($O427="","",INDEX(jr_carrier,$O427)&amp;"")</f>
        <v/>
      </c>
      <c r="I427" s="66" t="str">
        <f>IF(A427="","",COUNTIF(jr_num,A427))</f>
        <v/>
      </c>
      <c r="J427" s="66" t="str">
        <f>IF(A427="","",SUMIF(jr_num,A427,jr_colis))</f>
        <v/>
      </c>
      <c r="K427" s="63" t="str">
        <f>IF(A427="","",SUMIF(jr_num,A427,jr_kg))</f>
        <v/>
      </c>
      <c r="L427" s="64" t="str">
        <f>IF(A427="","",SUMIF(jr_num,A427,jr_val))</f>
        <v/>
      </c>
      <c r="M427" s="60" t="str">
        <f>IF(A427="","",IF(COUNTIFS(jr_num,A427,jr_check,"&lt;&gt;OK")&gt;0,"À vérifier",IF(LEFT(A427,2)="BL",IF(COUNTIFS(jr_num,A427,jr_rel,"&gt;0")&gt;0,"Reliquat en cours",IF(COUNTIFS(jr_num,A427,jr_gap,"&lt;0")&gt;0,"Reliquat livré","Complet")),IF(LEFT(A427,2)="BR",IF(COUNTIFS(jr_num,A427,jr_etat,"Refusé")&gt;0,"Refusé",IF(COUNTIFS(jr_num,A427,jr_etat,"Avec réserves")&gt;0,"Avec réserves",IF(COUNTIFS(jr_num,A427,jr_rel,"&gt;0")&gt;0,"Reliquat en cours",IF(COUNTIFS(jr_num,A427,jr_gap,"&lt;0")+COUNTIFS(jr_num,A427,jr_gap,"&gt;0")&gt;0,"Écart","Conforme")))),IF(COUNTIFS(jr_num,A427,jr_gap,"&lt;0")&gt;0,"Partiel","Sorti")))))</f>
        <v/>
      </c>
      <c r="O427" t="str">
        <f>IFERROR(MATCH(422,jr_grank,0),"")</f>
        <v/>
      </c>
      <c r="R427" s="67" t="str">
        <f>IFERROR(INDEX(jr_num,MATCH("BL422",jr_nkey,0))&amp;"","")</f>
        <v/>
      </c>
      <c r="S427" s="67" t="str">
        <f>IFERROR(INDEX(jr_num,MATCH("BR422",jr_nkey,0))&amp;"","")</f>
        <v/>
      </c>
      <c r="T427" s="67" t="str">
        <f>IFERROR(INDEX(jr_num,MATCH("BS422",jr_nkey,0))&amp;"","")</f>
        <v/>
      </c>
    </row>
    <row r="428">
      <c r="A428" s="60" t="str">
        <f>IF($O428="","",INDEX(jr_num,$O428)&amp;"")</f>
        <v/>
      </c>
      <c r="B428" s="60" t="str">
        <f>IF($O428="","",IF(INDEX(jr_type,$O428)="BL","Livraison",IF(INDEX(jr_type,$O428)="BR","Réception","Sortie")))</f>
        <v/>
      </c>
      <c r="C428" s="65" t="str">
        <f>IF($O428="","",INDEX(jr_date,$O428))</f>
        <v/>
      </c>
      <c r="D428" s="60" t="str">
        <f>IF($O428="","",INDEX(jr_tiers,$O428)&amp;"")</f>
        <v/>
      </c>
      <c r="E428" s="57" t="str">
        <f>IF($O428="","",INDEX(jr_name,$O428)&amp;"")</f>
        <v/>
      </c>
      <c r="F428" s="57" t="str">
        <f>IF($O428="","",INDEX(jr_order,$O428)&amp;"")</f>
        <v/>
      </c>
      <c r="G428" s="57" t="str">
        <f>IF($O428="","",INDEX(jr_ext,$O428)&amp;"")</f>
        <v/>
      </c>
      <c r="H428" s="57" t="str">
        <f>IF($O428="","",INDEX(jr_carrier,$O428)&amp;"")</f>
        <v/>
      </c>
      <c r="I428" s="66" t="str">
        <f>IF(A428="","",COUNTIF(jr_num,A428))</f>
        <v/>
      </c>
      <c r="J428" s="66" t="str">
        <f>IF(A428="","",SUMIF(jr_num,A428,jr_colis))</f>
        <v/>
      </c>
      <c r="K428" s="63" t="str">
        <f>IF(A428="","",SUMIF(jr_num,A428,jr_kg))</f>
        <v/>
      </c>
      <c r="L428" s="64" t="str">
        <f>IF(A428="","",SUMIF(jr_num,A428,jr_val))</f>
        <v/>
      </c>
      <c r="M428" s="60" t="str">
        <f>IF(A428="","",IF(COUNTIFS(jr_num,A428,jr_check,"&lt;&gt;OK")&gt;0,"À vérifier",IF(LEFT(A428,2)="BL",IF(COUNTIFS(jr_num,A428,jr_rel,"&gt;0")&gt;0,"Reliquat en cours",IF(COUNTIFS(jr_num,A428,jr_gap,"&lt;0")&gt;0,"Reliquat livré","Complet")),IF(LEFT(A428,2)="BR",IF(COUNTIFS(jr_num,A428,jr_etat,"Refusé")&gt;0,"Refusé",IF(COUNTIFS(jr_num,A428,jr_etat,"Avec réserves")&gt;0,"Avec réserves",IF(COUNTIFS(jr_num,A428,jr_rel,"&gt;0")&gt;0,"Reliquat en cours",IF(COUNTIFS(jr_num,A428,jr_gap,"&lt;0")+COUNTIFS(jr_num,A428,jr_gap,"&gt;0")&gt;0,"Écart","Conforme")))),IF(COUNTIFS(jr_num,A428,jr_gap,"&lt;0")&gt;0,"Partiel","Sorti")))))</f>
        <v/>
      </c>
      <c r="O428" t="str">
        <f>IFERROR(MATCH(423,jr_grank,0),"")</f>
        <v/>
      </c>
      <c r="R428" s="67" t="str">
        <f>IFERROR(INDEX(jr_num,MATCH("BL423",jr_nkey,0))&amp;"","")</f>
        <v/>
      </c>
      <c r="S428" s="67" t="str">
        <f>IFERROR(INDEX(jr_num,MATCH("BR423",jr_nkey,0))&amp;"","")</f>
        <v/>
      </c>
      <c r="T428" s="67" t="str">
        <f>IFERROR(INDEX(jr_num,MATCH("BS423",jr_nkey,0))&amp;"","")</f>
        <v/>
      </c>
    </row>
    <row r="429">
      <c r="A429" s="60" t="str">
        <f>IF($O429="","",INDEX(jr_num,$O429)&amp;"")</f>
        <v/>
      </c>
      <c r="B429" s="60" t="str">
        <f>IF($O429="","",IF(INDEX(jr_type,$O429)="BL","Livraison",IF(INDEX(jr_type,$O429)="BR","Réception","Sortie")))</f>
        <v/>
      </c>
      <c r="C429" s="65" t="str">
        <f>IF($O429="","",INDEX(jr_date,$O429))</f>
        <v/>
      </c>
      <c r="D429" s="60" t="str">
        <f>IF($O429="","",INDEX(jr_tiers,$O429)&amp;"")</f>
        <v/>
      </c>
      <c r="E429" s="57" t="str">
        <f>IF($O429="","",INDEX(jr_name,$O429)&amp;"")</f>
        <v/>
      </c>
      <c r="F429" s="57" t="str">
        <f>IF($O429="","",INDEX(jr_order,$O429)&amp;"")</f>
        <v/>
      </c>
      <c r="G429" s="57" t="str">
        <f>IF($O429="","",INDEX(jr_ext,$O429)&amp;"")</f>
        <v/>
      </c>
      <c r="H429" s="57" t="str">
        <f>IF($O429="","",INDEX(jr_carrier,$O429)&amp;"")</f>
        <v/>
      </c>
      <c r="I429" s="66" t="str">
        <f>IF(A429="","",COUNTIF(jr_num,A429))</f>
        <v/>
      </c>
      <c r="J429" s="66" t="str">
        <f>IF(A429="","",SUMIF(jr_num,A429,jr_colis))</f>
        <v/>
      </c>
      <c r="K429" s="63" t="str">
        <f>IF(A429="","",SUMIF(jr_num,A429,jr_kg))</f>
        <v/>
      </c>
      <c r="L429" s="64" t="str">
        <f>IF(A429="","",SUMIF(jr_num,A429,jr_val))</f>
        <v/>
      </c>
      <c r="M429" s="60" t="str">
        <f>IF(A429="","",IF(COUNTIFS(jr_num,A429,jr_check,"&lt;&gt;OK")&gt;0,"À vérifier",IF(LEFT(A429,2)="BL",IF(COUNTIFS(jr_num,A429,jr_rel,"&gt;0")&gt;0,"Reliquat en cours",IF(COUNTIFS(jr_num,A429,jr_gap,"&lt;0")&gt;0,"Reliquat livré","Complet")),IF(LEFT(A429,2)="BR",IF(COUNTIFS(jr_num,A429,jr_etat,"Refusé")&gt;0,"Refusé",IF(COUNTIFS(jr_num,A429,jr_etat,"Avec réserves")&gt;0,"Avec réserves",IF(COUNTIFS(jr_num,A429,jr_rel,"&gt;0")&gt;0,"Reliquat en cours",IF(COUNTIFS(jr_num,A429,jr_gap,"&lt;0")+COUNTIFS(jr_num,A429,jr_gap,"&gt;0")&gt;0,"Écart","Conforme")))),IF(COUNTIFS(jr_num,A429,jr_gap,"&lt;0")&gt;0,"Partiel","Sorti")))))</f>
        <v/>
      </c>
      <c r="O429" t="str">
        <f>IFERROR(MATCH(424,jr_grank,0),"")</f>
        <v/>
      </c>
      <c r="R429" s="67" t="str">
        <f>IFERROR(INDEX(jr_num,MATCH("BL424",jr_nkey,0))&amp;"","")</f>
        <v/>
      </c>
      <c r="S429" s="67" t="str">
        <f>IFERROR(INDEX(jr_num,MATCH("BR424",jr_nkey,0))&amp;"","")</f>
        <v/>
      </c>
      <c r="T429" s="67" t="str">
        <f>IFERROR(INDEX(jr_num,MATCH("BS424",jr_nkey,0))&amp;"","")</f>
        <v/>
      </c>
    </row>
    <row r="430">
      <c r="A430" s="60" t="str">
        <f>IF($O430="","",INDEX(jr_num,$O430)&amp;"")</f>
        <v/>
      </c>
      <c r="B430" s="60" t="str">
        <f>IF($O430="","",IF(INDEX(jr_type,$O430)="BL","Livraison",IF(INDEX(jr_type,$O430)="BR","Réception","Sortie")))</f>
        <v/>
      </c>
      <c r="C430" s="65" t="str">
        <f>IF($O430="","",INDEX(jr_date,$O430))</f>
        <v/>
      </c>
      <c r="D430" s="60" t="str">
        <f>IF($O430="","",INDEX(jr_tiers,$O430)&amp;"")</f>
        <v/>
      </c>
      <c r="E430" s="57" t="str">
        <f>IF($O430="","",INDEX(jr_name,$O430)&amp;"")</f>
        <v/>
      </c>
      <c r="F430" s="57" t="str">
        <f>IF($O430="","",INDEX(jr_order,$O430)&amp;"")</f>
        <v/>
      </c>
      <c r="G430" s="57" t="str">
        <f>IF($O430="","",INDEX(jr_ext,$O430)&amp;"")</f>
        <v/>
      </c>
      <c r="H430" s="57" t="str">
        <f>IF($O430="","",INDEX(jr_carrier,$O430)&amp;"")</f>
        <v/>
      </c>
      <c r="I430" s="66" t="str">
        <f>IF(A430="","",COUNTIF(jr_num,A430))</f>
        <v/>
      </c>
      <c r="J430" s="66" t="str">
        <f>IF(A430="","",SUMIF(jr_num,A430,jr_colis))</f>
        <v/>
      </c>
      <c r="K430" s="63" t="str">
        <f>IF(A430="","",SUMIF(jr_num,A430,jr_kg))</f>
        <v/>
      </c>
      <c r="L430" s="64" t="str">
        <f>IF(A430="","",SUMIF(jr_num,A430,jr_val))</f>
        <v/>
      </c>
      <c r="M430" s="60" t="str">
        <f>IF(A430="","",IF(COUNTIFS(jr_num,A430,jr_check,"&lt;&gt;OK")&gt;0,"À vérifier",IF(LEFT(A430,2)="BL",IF(COUNTIFS(jr_num,A430,jr_rel,"&gt;0")&gt;0,"Reliquat en cours",IF(COUNTIFS(jr_num,A430,jr_gap,"&lt;0")&gt;0,"Reliquat livré","Complet")),IF(LEFT(A430,2)="BR",IF(COUNTIFS(jr_num,A430,jr_etat,"Refusé")&gt;0,"Refusé",IF(COUNTIFS(jr_num,A430,jr_etat,"Avec réserves")&gt;0,"Avec réserves",IF(COUNTIFS(jr_num,A430,jr_rel,"&gt;0")&gt;0,"Reliquat en cours",IF(COUNTIFS(jr_num,A430,jr_gap,"&lt;0")+COUNTIFS(jr_num,A430,jr_gap,"&gt;0")&gt;0,"Écart","Conforme")))),IF(COUNTIFS(jr_num,A430,jr_gap,"&lt;0")&gt;0,"Partiel","Sorti")))))</f>
        <v/>
      </c>
      <c r="O430" t="str">
        <f>IFERROR(MATCH(425,jr_grank,0),"")</f>
        <v/>
      </c>
      <c r="R430" s="67" t="str">
        <f>IFERROR(INDEX(jr_num,MATCH("BL425",jr_nkey,0))&amp;"","")</f>
        <v/>
      </c>
      <c r="S430" s="67" t="str">
        <f>IFERROR(INDEX(jr_num,MATCH("BR425",jr_nkey,0))&amp;"","")</f>
        <v/>
      </c>
      <c r="T430" s="67" t="str">
        <f>IFERROR(INDEX(jr_num,MATCH("BS425",jr_nkey,0))&amp;"","")</f>
        <v/>
      </c>
    </row>
    <row r="431">
      <c r="A431" s="60" t="str">
        <f>IF($O431="","",INDEX(jr_num,$O431)&amp;"")</f>
        <v/>
      </c>
      <c r="B431" s="60" t="str">
        <f>IF($O431="","",IF(INDEX(jr_type,$O431)="BL","Livraison",IF(INDEX(jr_type,$O431)="BR","Réception","Sortie")))</f>
        <v/>
      </c>
      <c r="C431" s="65" t="str">
        <f>IF($O431="","",INDEX(jr_date,$O431))</f>
        <v/>
      </c>
      <c r="D431" s="60" t="str">
        <f>IF($O431="","",INDEX(jr_tiers,$O431)&amp;"")</f>
        <v/>
      </c>
      <c r="E431" s="57" t="str">
        <f>IF($O431="","",INDEX(jr_name,$O431)&amp;"")</f>
        <v/>
      </c>
      <c r="F431" s="57" t="str">
        <f>IF($O431="","",INDEX(jr_order,$O431)&amp;"")</f>
        <v/>
      </c>
      <c r="G431" s="57" t="str">
        <f>IF($O431="","",INDEX(jr_ext,$O431)&amp;"")</f>
        <v/>
      </c>
      <c r="H431" s="57" t="str">
        <f>IF($O431="","",INDEX(jr_carrier,$O431)&amp;"")</f>
        <v/>
      </c>
      <c r="I431" s="66" t="str">
        <f>IF(A431="","",COUNTIF(jr_num,A431))</f>
        <v/>
      </c>
      <c r="J431" s="66" t="str">
        <f>IF(A431="","",SUMIF(jr_num,A431,jr_colis))</f>
        <v/>
      </c>
      <c r="K431" s="63" t="str">
        <f>IF(A431="","",SUMIF(jr_num,A431,jr_kg))</f>
        <v/>
      </c>
      <c r="L431" s="64" t="str">
        <f>IF(A431="","",SUMIF(jr_num,A431,jr_val))</f>
        <v/>
      </c>
      <c r="M431" s="60" t="str">
        <f>IF(A431="","",IF(COUNTIFS(jr_num,A431,jr_check,"&lt;&gt;OK")&gt;0,"À vérifier",IF(LEFT(A431,2)="BL",IF(COUNTIFS(jr_num,A431,jr_rel,"&gt;0")&gt;0,"Reliquat en cours",IF(COUNTIFS(jr_num,A431,jr_gap,"&lt;0")&gt;0,"Reliquat livré","Complet")),IF(LEFT(A431,2)="BR",IF(COUNTIFS(jr_num,A431,jr_etat,"Refusé")&gt;0,"Refusé",IF(COUNTIFS(jr_num,A431,jr_etat,"Avec réserves")&gt;0,"Avec réserves",IF(COUNTIFS(jr_num,A431,jr_rel,"&gt;0")&gt;0,"Reliquat en cours",IF(COUNTIFS(jr_num,A431,jr_gap,"&lt;0")+COUNTIFS(jr_num,A431,jr_gap,"&gt;0")&gt;0,"Écart","Conforme")))),IF(COUNTIFS(jr_num,A431,jr_gap,"&lt;0")&gt;0,"Partiel","Sorti")))))</f>
        <v/>
      </c>
      <c r="O431" t="str">
        <f>IFERROR(MATCH(426,jr_grank,0),"")</f>
        <v/>
      </c>
      <c r="R431" s="67" t="str">
        <f>IFERROR(INDEX(jr_num,MATCH("BL426",jr_nkey,0))&amp;"","")</f>
        <v/>
      </c>
      <c r="S431" s="67" t="str">
        <f>IFERROR(INDEX(jr_num,MATCH("BR426",jr_nkey,0))&amp;"","")</f>
        <v/>
      </c>
      <c r="T431" s="67" t="str">
        <f>IFERROR(INDEX(jr_num,MATCH("BS426",jr_nkey,0))&amp;"","")</f>
        <v/>
      </c>
    </row>
    <row r="432">
      <c r="A432" s="60" t="str">
        <f>IF($O432="","",INDEX(jr_num,$O432)&amp;"")</f>
        <v/>
      </c>
      <c r="B432" s="60" t="str">
        <f>IF($O432="","",IF(INDEX(jr_type,$O432)="BL","Livraison",IF(INDEX(jr_type,$O432)="BR","Réception","Sortie")))</f>
        <v/>
      </c>
      <c r="C432" s="65" t="str">
        <f>IF($O432="","",INDEX(jr_date,$O432))</f>
        <v/>
      </c>
      <c r="D432" s="60" t="str">
        <f>IF($O432="","",INDEX(jr_tiers,$O432)&amp;"")</f>
        <v/>
      </c>
      <c r="E432" s="57" t="str">
        <f>IF($O432="","",INDEX(jr_name,$O432)&amp;"")</f>
        <v/>
      </c>
      <c r="F432" s="57" t="str">
        <f>IF($O432="","",INDEX(jr_order,$O432)&amp;"")</f>
        <v/>
      </c>
      <c r="G432" s="57" t="str">
        <f>IF($O432="","",INDEX(jr_ext,$O432)&amp;"")</f>
        <v/>
      </c>
      <c r="H432" s="57" t="str">
        <f>IF($O432="","",INDEX(jr_carrier,$O432)&amp;"")</f>
        <v/>
      </c>
      <c r="I432" s="66" t="str">
        <f>IF(A432="","",COUNTIF(jr_num,A432))</f>
        <v/>
      </c>
      <c r="J432" s="66" t="str">
        <f>IF(A432="","",SUMIF(jr_num,A432,jr_colis))</f>
        <v/>
      </c>
      <c r="K432" s="63" t="str">
        <f>IF(A432="","",SUMIF(jr_num,A432,jr_kg))</f>
        <v/>
      </c>
      <c r="L432" s="64" t="str">
        <f>IF(A432="","",SUMIF(jr_num,A432,jr_val))</f>
        <v/>
      </c>
      <c r="M432" s="60" t="str">
        <f>IF(A432="","",IF(COUNTIFS(jr_num,A432,jr_check,"&lt;&gt;OK")&gt;0,"À vérifier",IF(LEFT(A432,2)="BL",IF(COUNTIFS(jr_num,A432,jr_rel,"&gt;0")&gt;0,"Reliquat en cours",IF(COUNTIFS(jr_num,A432,jr_gap,"&lt;0")&gt;0,"Reliquat livré","Complet")),IF(LEFT(A432,2)="BR",IF(COUNTIFS(jr_num,A432,jr_etat,"Refusé")&gt;0,"Refusé",IF(COUNTIFS(jr_num,A432,jr_etat,"Avec réserves")&gt;0,"Avec réserves",IF(COUNTIFS(jr_num,A432,jr_rel,"&gt;0")&gt;0,"Reliquat en cours",IF(COUNTIFS(jr_num,A432,jr_gap,"&lt;0")+COUNTIFS(jr_num,A432,jr_gap,"&gt;0")&gt;0,"Écart","Conforme")))),IF(COUNTIFS(jr_num,A432,jr_gap,"&lt;0")&gt;0,"Partiel","Sorti")))))</f>
        <v/>
      </c>
      <c r="O432" t="str">
        <f>IFERROR(MATCH(427,jr_grank,0),"")</f>
        <v/>
      </c>
      <c r="R432" s="67" t="str">
        <f>IFERROR(INDEX(jr_num,MATCH("BL427",jr_nkey,0))&amp;"","")</f>
        <v/>
      </c>
      <c r="S432" s="67" t="str">
        <f>IFERROR(INDEX(jr_num,MATCH("BR427",jr_nkey,0))&amp;"","")</f>
        <v/>
      </c>
      <c r="T432" s="67" t="str">
        <f>IFERROR(INDEX(jr_num,MATCH("BS427",jr_nkey,0))&amp;"","")</f>
        <v/>
      </c>
    </row>
    <row r="433">
      <c r="A433" s="60" t="str">
        <f>IF($O433="","",INDEX(jr_num,$O433)&amp;"")</f>
        <v/>
      </c>
      <c r="B433" s="60" t="str">
        <f>IF($O433="","",IF(INDEX(jr_type,$O433)="BL","Livraison",IF(INDEX(jr_type,$O433)="BR","Réception","Sortie")))</f>
        <v/>
      </c>
      <c r="C433" s="65" t="str">
        <f>IF($O433="","",INDEX(jr_date,$O433))</f>
        <v/>
      </c>
      <c r="D433" s="60" t="str">
        <f>IF($O433="","",INDEX(jr_tiers,$O433)&amp;"")</f>
        <v/>
      </c>
      <c r="E433" s="57" t="str">
        <f>IF($O433="","",INDEX(jr_name,$O433)&amp;"")</f>
        <v/>
      </c>
      <c r="F433" s="57" t="str">
        <f>IF($O433="","",INDEX(jr_order,$O433)&amp;"")</f>
        <v/>
      </c>
      <c r="G433" s="57" t="str">
        <f>IF($O433="","",INDEX(jr_ext,$O433)&amp;"")</f>
        <v/>
      </c>
      <c r="H433" s="57" t="str">
        <f>IF($O433="","",INDEX(jr_carrier,$O433)&amp;"")</f>
        <v/>
      </c>
      <c r="I433" s="66" t="str">
        <f>IF(A433="","",COUNTIF(jr_num,A433))</f>
        <v/>
      </c>
      <c r="J433" s="66" t="str">
        <f>IF(A433="","",SUMIF(jr_num,A433,jr_colis))</f>
        <v/>
      </c>
      <c r="K433" s="63" t="str">
        <f>IF(A433="","",SUMIF(jr_num,A433,jr_kg))</f>
        <v/>
      </c>
      <c r="L433" s="64" t="str">
        <f>IF(A433="","",SUMIF(jr_num,A433,jr_val))</f>
        <v/>
      </c>
      <c r="M433" s="60" t="str">
        <f>IF(A433="","",IF(COUNTIFS(jr_num,A433,jr_check,"&lt;&gt;OK")&gt;0,"À vérifier",IF(LEFT(A433,2)="BL",IF(COUNTIFS(jr_num,A433,jr_rel,"&gt;0")&gt;0,"Reliquat en cours",IF(COUNTIFS(jr_num,A433,jr_gap,"&lt;0")&gt;0,"Reliquat livré","Complet")),IF(LEFT(A433,2)="BR",IF(COUNTIFS(jr_num,A433,jr_etat,"Refusé")&gt;0,"Refusé",IF(COUNTIFS(jr_num,A433,jr_etat,"Avec réserves")&gt;0,"Avec réserves",IF(COUNTIFS(jr_num,A433,jr_rel,"&gt;0")&gt;0,"Reliquat en cours",IF(COUNTIFS(jr_num,A433,jr_gap,"&lt;0")+COUNTIFS(jr_num,A433,jr_gap,"&gt;0")&gt;0,"Écart","Conforme")))),IF(COUNTIFS(jr_num,A433,jr_gap,"&lt;0")&gt;0,"Partiel","Sorti")))))</f>
        <v/>
      </c>
      <c r="O433" t="str">
        <f>IFERROR(MATCH(428,jr_grank,0),"")</f>
        <v/>
      </c>
      <c r="R433" s="67" t="str">
        <f>IFERROR(INDEX(jr_num,MATCH("BL428",jr_nkey,0))&amp;"","")</f>
        <v/>
      </c>
      <c r="S433" s="67" t="str">
        <f>IFERROR(INDEX(jr_num,MATCH("BR428",jr_nkey,0))&amp;"","")</f>
        <v/>
      </c>
      <c r="T433" s="67" t="str">
        <f>IFERROR(INDEX(jr_num,MATCH("BS428",jr_nkey,0))&amp;"","")</f>
        <v/>
      </c>
    </row>
    <row r="434">
      <c r="A434" s="60" t="str">
        <f>IF($O434="","",INDEX(jr_num,$O434)&amp;"")</f>
        <v/>
      </c>
      <c r="B434" s="60" t="str">
        <f>IF($O434="","",IF(INDEX(jr_type,$O434)="BL","Livraison",IF(INDEX(jr_type,$O434)="BR","Réception","Sortie")))</f>
        <v/>
      </c>
      <c r="C434" s="65" t="str">
        <f>IF($O434="","",INDEX(jr_date,$O434))</f>
        <v/>
      </c>
      <c r="D434" s="60" t="str">
        <f>IF($O434="","",INDEX(jr_tiers,$O434)&amp;"")</f>
        <v/>
      </c>
      <c r="E434" s="57" t="str">
        <f>IF($O434="","",INDEX(jr_name,$O434)&amp;"")</f>
        <v/>
      </c>
      <c r="F434" s="57" t="str">
        <f>IF($O434="","",INDEX(jr_order,$O434)&amp;"")</f>
        <v/>
      </c>
      <c r="G434" s="57" t="str">
        <f>IF($O434="","",INDEX(jr_ext,$O434)&amp;"")</f>
        <v/>
      </c>
      <c r="H434" s="57" t="str">
        <f>IF($O434="","",INDEX(jr_carrier,$O434)&amp;"")</f>
        <v/>
      </c>
      <c r="I434" s="66" t="str">
        <f>IF(A434="","",COUNTIF(jr_num,A434))</f>
        <v/>
      </c>
      <c r="J434" s="66" t="str">
        <f>IF(A434="","",SUMIF(jr_num,A434,jr_colis))</f>
        <v/>
      </c>
      <c r="K434" s="63" t="str">
        <f>IF(A434="","",SUMIF(jr_num,A434,jr_kg))</f>
        <v/>
      </c>
      <c r="L434" s="64" t="str">
        <f>IF(A434="","",SUMIF(jr_num,A434,jr_val))</f>
        <v/>
      </c>
      <c r="M434" s="60" t="str">
        <f>IF(A434="","",IF(COUNTIFS(jr_num,A434,jr_check,"&lt;&gt;OK")&gt;0,"À vérifier",IF(LEFT(A434,2)="BL",IF(COUNTIFS(jr_num,A434,jr_rel,"&gt;0")&gt;0,"Reliquat en cours",IF(COUNTIFS(jr_num,A434,jr_gap,"&lt;0")&gt;0,"Reliquat livré","Complet")),IF(LEFT(A434,2)="BR",IF(COUNTIFS(jr_num,A434,jr_etat,"Refusé")&gt;0,"Refusé",IF(COUNTIFS(jr_num,A434,jr_etat,"Avec réserves")&gt;0,"Avec réserves",IF(COUNTIFS(jr_num,A434,jr_rel,"&gt;0")&gt;0,"Reliquat en cours",IF(COUNTIFS(jr_num,A434,jr_gap,"&lt;0")+COUNTIFS(jr_num,A434,jr_gap,"&gt;0")&gt;0,"Écart","Conforme")))),IF(COUNTIFS(jr_num,A434,jr_gap,"&lt;0")&gt;0,"Partiel","Sorti")))))</f>
        <v/>
      </c>
      <c r="O434" t="str">
        <f>IFERROR(MATCH(429,jr_grank,0),"")</f>
        <v/>
      </c>
      <c r="R434" s="67" t="str">
        <f>IFERROR(INDEX(jr_num,MATCH("BL429",jr_nkey,0))&amp;"","")</f>
        <v/>
      </c>
      <c r="S434" s="67" t="str">
        <f>IFERROR(INDEX(jr_num,MATCH("BR429",jr_nkey,0))&amp;"","")</f>
        <v/>
      </c>
      <c r="T434" s="67" t="str">
        <f>IFERROR(INDEX(jr_num,MATCH("BS429",jr_nkey,0))&amp;"","")</f>
        <v/>
      </c>
    </row>
    <row r="435">
      <c r="A435" s="60" t="str">
        <f>IF($O435="","",INDEX(jr_num,$O435)&amp;"")</f>
        <v/>
      </c>
      <c r="B435" s="60" t="str">
        <f>IF($O435="","",IF(INDEX(jr_type,$O435)="BL","Livraison",IF(INDEX(jr_type,$O435)="BR","Réception","Sortie")))</f>
        <v/>
      </c>
      <c r="C435" s="65" t="str">
        <f>IF($O435="","",INDEX(jr_date,$O435))</f>
        <v/>
      </c>
      <c r="D435" s="60" t="str">
        <f>IF($O435="","",INDEX(jr_tiers,$O435)&amp;"")</f>
        <v/>
      </c>
      <c r="E435" s="57" t="str">
        <f>IF($O435="","",INDEX(jr_name,$O435)&amp;"")</f>
        <v/>
      </c>
      <c r="F435" s="57" t="str">
        <f>IF($O435="","",INDEX(jr_order,$O435)&amp;"")</f>
        <v/>
      </c>
      <c r="G435" s="57" t="str">
        <f>IF($O435="","",INDEX(jr_ext,$O435)&amp;"")</f>
        <v/>
      </c>
      <c r="H435" s="57" t="str">
        <f>IF($O435="","",INDEX(jr_carrier,$O435)&amp;"")</f>
        <v/>
      </c>
      <c r="I435" s="66" t="str">
        <f>IF(A435="","",COUNTIF(jr_num,A435))</f>
        <v/>
      </c>
      <c r="J435" s="66" t="str">
        <f>IF(A435="","",SUMIF(jr_num,A435,jr_colis))</f>
        <v/>
      </c>
      <c r="K435" s="63" t="str">
        <f>IF(A435="","",SUMIF(jr_num,A435,jr_kg))</f>
        <v/>
      </c>
      <c r="L435" s="64" t="str">
        <f>IF(A435="","",SUMIF(jr_num,A435,jr_val))</f>
        <v/>
      </c>
      <c r="M435" s="60" t="str">
        <f>IF(A435="","",IF(COUNTIFS(jr_num,A435,jr_check,"&lt;&gt;OK")&gt;0,"À vérifier",IF(LEFT(A435,2)="BL",IF(COUNTIFS(jr_num,A435,jr_rel,"&gt;0")&gt;0,"Reliquat en cours",IF(COUNTIFS(jr_num,A435,jr_gap,"&lt;0")&gt;0,"Reliquat livré","Complet")),IF(LEFT(A435,2)="BR",IF(COUNTIFS(jr_num,A435,jr_etat,"Refusé")&gt;0,"Refusé",IF(COUNTIFS(jr_num,A435,jr_etat,"Avec réserves")&gt;0,"Avec réserves",IF(COUNTIFS(jr_num,A435,jr_rel,"&gt;0")&gt;0,"Reliquat en cours",IF(COUNTIFS(jr_num,A435,jr_gap,"&lt;0")+COUNTIFS(jr_num,A435,jr_gap,"&gt;0")&gt;0,"Écart","Conforme")))),IF(COUNTIFS(jr_num,A435,jr_gap,"&lt;0")&gt;0,"Partiel","Sorti")))))</f>
        <v/>
      </c>
      <c r="O435" t="str">
        <f>IFERROR(MATCH(430,jr_grank,0),"")</f>
        <v/>
      </c>
      <c r="R435" s="67" t="str">
        <f>IFERROR(INDEX(jr_num,MATCH("BL430",jr_nkey,0))&amp;"","")</f>
        <v/>
      </c>
      <c r="S435" s="67" t="str">
        <f>IFERROR(INDEX(jr_num,MATCH("BR430",jr_nkey,0))&amp;"","")</f>
        <v/>
      </c>
      <c r="T435" s="67" t="str">
        <f>IFERROR(INDEX(jr_num,MATCH("BS430",jr_nkey,0))&amp;"","")</f>
        <v/>
      </c>
    </row>
    <row r="436">
      <c r="A436" s="60" t="str">
        <f>IF($O436="","",INDEX(jr_num,$O436)&amp;"")</f>
        <v/>
      </c>
      <c r="B436" s="60" t="str">
        <f>IF($O436="","",IF(INDEX(jr_type,$O436)="BL","Livraison",IF(INDEX(jr_type,$O436)="BR","Réception","Sortie")))</f>
        <v/>
      </c>
      <c r="C436" s="65" t="str">
        <f>IF($O436="","",INDEX(jr_date,$O436))</f>
        <v/>
      </c>
      <c r="D436" s="60" t="str">
        <f>IF($O436="","",INDEX(jr_tiers,$O436)&amp;"")</f>
        <v/>
      </c>
      <c r="E436" s="57" t="str">
        <f>IF($O436="","",INDEX(jr_name,$O436)&amp;"")</f>
        <v/>
      </c>
      <c r="F436" s="57" t="str">
        <f>IF($O436="","",INDEX(jr_order,$O436)&amp;"")</f>
        <v/>
      </c>
      <c r="G436" s="57" t="str">
        <f>IF($O436="","",INDEX(jr_ext,$O436)&amp;"")</f>
        <v/>
      </c>
      <c r="H436" s="57" t="str">
        <f>IF($O436="","",INDEX(jr_carrier,$O436)&amp;"")</f>
        <v/>
      </c>
      <c r="I436" s="66" t="str">
        <f>IF(A436="","",COUNTIF(jr_num,A436))</f>
        <v/>
      </c>
      <c r="J436" s="66" t="str">
        <f>IF(A436="","",SUMIF(jr_num,A436,jr_colis))</f>
        <v/>
      </c>
      <c r="K436" s="63" t="str">
        <f>IF(A436="","",SUMIF(jr_num,A436,jr_kg))</f>
        <v/>
      </c>
      <c r="L436" s="64" t="str">
        <f>IF(A436="","",SUMIF(jr_num,A436,jr_val))</f>
        <v/>
      </c>
      <c r="M436" s="60" t="str">
        <f>IF(A436="","",IF(COUNTIFS(jr_num,A436,jr_check,"&lt;&gt;OK")&gt;0,"À vérifier",IF(LEFT(A436,2)="BL",IF(COUNTIFS(jr_num,A436,jr_rel,"&gt;0")&gt;0,"Reliquat en cours",IF(COUNTIFS(jr_num,A436,jr_gap,"&lt;0")&gt;0,"Reliquat livré","Complet")),IF(LEFT(A436,2)="BR",IF(COUNTIFS(jr_num,A436,jr_etat,"Refusé")&gt;0,"Refusé",IF(COUNTIFS(jr_num,A436,jr_etat,"Avec réserves")&gt;0,"Avec réserves",IF(COUNTIFS(jr_num,A436,jr_rel,"&gt;0")&gt;0,"Reliquat en cours",IF(COUNTIFS(jr_num,A436,jr_gap,"&lt;0")+COUNTIFS(jr_num,A436,jr_gap,"&gt;0")&gt;0,"Écart","Conforme")))),IF(COUNTIFS(jr_num,A436,jr_gap,"&lt;0")&gt;0,"Partiel","Sorti")))))</f>
        <v/>
      </c>
      <c r="O436" t="str">
        <f>IFERROR(MATCH(431,jr_grank,0),"")</f>
        <v/>
      </c>
      <c r="R436" s="67" t="str">
        <f>IFERROR(INDEX(jr_num,MATCH("BL431",jr_nkey,0))&amp;"","")</f>
        <v/>
      </c>
      <c r="S436" s="67" t="str">
        <f>IFERROR(INDEX(jr_num,MATCH("BR431",jr_nkey,0))&amp;"","")</f>
        <v/>
      </c>
      <c r="T436" s="67" t="str">
        <f>IFERROR(INDEX(jr_num,MATCH("BS431",jr_nkey,0))&amp;"","")</f>
        <v/>
      </c>
    </row>
    <row r="437">
      <c r="A437" s="60" t="str">
        <f>IF($O437="","",INDEX(jr_num,$O437)&amp;"")</f>
        <v/>
      </c>
      <c r="B437" s="60" t="str">
        <f>IF($O437="","",IF(INDEX(jr_type,$O437)="BL","Livraison",IF(INDEX(jr_type,$O437)="BR","Réception","Sortie")))</f>
        <v/>
      </c>
      <c r="C437" s="65" t="str">
        <f>IF($O437="","",INDEX(jr_date,$O437))</f>
        <v/>
      </c>
      <c r="D437" s="60" t="str">
        <f>IF($O437="","",INDEX(jr_tiers,$O437)&amp;"")</f>
        <v/>
      </c>
      <c r="E437" s="57" t="str">
        <f>IF($O437="","",INDEX(jr_name,$O437)&amp;"")</f>
        <v/>
      </c>
      <c r="F437" s="57" t="str">
        <f>IF($O437="","",INDEX(jr_order,$O437)&amp;"")</f>
        <v/>
      </c>
      <c r="G437" s="57" t="str">
        <f>IF($O437="","",INDEX(jr_ext,$O437)&amp;"")</f>
        <v/>
      </c>
      <c r="H437" s="57" t="str">
        <f>IF($O437="","",INDEX(jr_carrier,$O437)&amp;"")</f>
        <v/>
      </c>
      <c r="I437" s="66" t="str">
        <f>IF(A437="","",COUNTIF(jr_num,A437))</f>
        <v/>
      </c>
      <c r="J437" s="66" t="str">
        <f>IF(A437="","",SUMIF(jr_num,A437,jr_colis))</f>
        <v/>
      </c>
      <c r="K437" s="63" t="str">
        <f>IF(A437="","",SUMIF(jr_num,A437,jr_kg))</f>
        <v/>
      </c>
      <c r="L437" s="64" t="str">
        <f>IF(A437="","",SUMIF(jr_num,A437,jr_val))</f>
        <v/>
      </c>
      <c r="M437" s="60" t="str">
        <f>IF(A437="","",IF(COUNTIFS(jr_num,A437,jr_check,"&lt;&gt;OK")&gt;0,"À vérifier",IF(LEFT(A437,2)="BL",IF(COUNTIFS(jr_num,A437,jr_rel,"&gt;0")&gt;0,"Reliquat en cours",IF(COUNTIFS(jr_num,A437,jr_gap,"&lt;0")&gt;0,"Reliquat livré","Complet")),IF(LEFT(A437,2)="BR",IF(COUNTIFS(jr_num,A437,jr_etat,"Refusé")&gt;0,"Refusé",IF(COUNTIFS(jr_num,A437,jr_etat,"Avec réserves")&gt;0,"Avec réserves",IF(COUNTIFS(jr_num,A437,jr_rel,"&gt;0")&gt;0,"Reliquat en cours",IF(COUNTIFS(jr_num,A437,jr_gap,"&lt;0")+COUNTIFS(jr_num,A437,jr_gap,"&gt;0")&gt;0,"Écart","Conforme")))),IF(COUNTIFS(jr_num,A437,jr_gap,"&lt;0")&gt;0,"Partiel","Sorti")))))</f>
        <v/>
      </c>
      <c r="O437" t="str">
        <f>IFERROR(MATCH(432,jr_grank,0),"")</f>
        <v/>
      </c>
      <c r="R437" s="67" t="str">
        <f>IFERROR(INDEX(jr_num,MATCH("BL432",jr_nkey,0))&amp;"","")</f>
        <v/>
      </c>
      <c r="S437" s="67" t="str">
        <f>IFERROR(INDEX(jr_num,MATCH("BR432",jr_nkey,0))&amp;"","")</f>
        <v/>
      </c>
      <c r="T437" s="67" t="str">
        <f>IFERROR(INDEX(jr_num,MATCH("BS432",jr_nkey,0))&amp;"","")</f>
        <v/>
      </c>
    </row>
    <row r="438">
      <c r="A438" s="60" t="str">
        <f>IF($O438="","",INDEX(jr_num,$O438)&amp;"")</f>
        <v/>
      </c>
      <c r="B438" s="60" t="str">
        <f>IF($O438="","",IF(INDEX(jr_type,$O438)="BL","Livraison",IF(INDEX(jr_type,$O438)="BR","Réception","Sortie")))</f>
        <v/>
      </c>
      <c r="C438" s="65" t="str">
        <f>IF($O438="","",INDEX(jr_date,$O438))</f>
        <v/>
      </c>
      <c r="D438" s="60" t="str">
        <f>IF($O438="","",INDEX(jr_tiers,$O438)&amp;"")</f>
        <v/>
      </c>
      <c r="E438" s="57" t="str">
        <f>IF($O438="","",INDEX(jr_name,$O438)&amp;"")</f>
        <v/>
      </c>
      <c r="F438" s="57" t="str">
        <f>IF($O438="","",INDEX(jr_order,$O438)&amp;"")</f>
        <v/>
      </c>
      <c r="G438" s="57" t="str">
        <f>IF($O438="","",INDEX(jr_ext,$O438)&amp;"")</f>
        <v/>
      </c>
      <c r="H438" s="57" t="str">
        <f>IF($O438="","",INDEX(jr_carrier,$O438)&amp;"")</f>
        <v/>
      </c>
      <c r="I438" s="66" t="str">
        <f>IF(A438="","",COUNTIF(jr_num,A438))</f>
        <v/>
      </c>
      <c r="J438" s="66" t="str">
        <f>IF(A438="","",SUMIF(jr_num,A438,jr_colis))</f>
        <v/>
      </c>
      <c r="K438" s="63" t="str">
        <f>IF(A438="","",SUMIF(jr_num,A438,jr_kg))</f>
        <v/>
      </c>
      <c r="L438" s="64" t="str">
        <f>IF(A438="","",SUMIF(jr_num,A438,jr_val))</f>
        <v/>
      </c>
      <c r="M438" s="60" t="str">
        <f>IF(A438="","",IF(COUNTIFS(jr_num,A438,jr_check,"&lt;&gt;OK")&gt;0,"À vérifier",IF(LEFT(A438,2)="BL",IF(COUNTIFS(jr_num,A438,jr_rel,"&gt;0")&gt;0,"Reliquat en cours",IF(COUNTIFS(jr_num,A438,jr_gap,"&lt;0")&gt;0,"Reliquat livré","Complet")),IF(LEFT(A438,2)="BR",IF(COUNTIFS(jr_num,A438,jr_etat,"Refusé")&gt;0,"Refusé",IF(COUNTIFS(jr_num,A438,jr_etat,"Avec réserves")&gt;0,"Avec réserves",IF(COUNTIFS(jr_num,A438,jr_rel,"&gt;0")&gt;0,"Reliquat en cours",IF(COUNTIFS(jr_num,A438,jr_gap,"&lt;0")+COUNTIFS(jr_num,A438,jr_gap,"&gt;0")&gt;0,"Écart","Conforme")))),IF(COUNTIFS(jr_num,A438,jr_gap,"&lt;0")&gt;0,"Partiel","Sorti")))))</f>
        <v/>
      </c>
      <c r="O438" t="str">
        <f>IFERROR(MATCH(433,jr_grank,0),"")</f>
        <v/>
      </c>
      <c r="R438" s="67" t="str">
        <f>IFERROR(INDEX(jr_num,MATCH("BL433",jr_nkey,0))&amp;"","")</f>
        <v/>
      </c>
      <c r="S438" s="67" t="str">
        <f>IFERROR(INDEX(jr_num,MATCH("BR433",jr_nkey,0))&amp;"","")</f>
        <v/>
      </c>
      <c r="T438" s="67" t="str">
        <f>IFERROR(INDEX(jr_num,MATCH("BS433",jr_nkey,0))&amp;"","")</f>
        <v/>
      </c>
    </row>
    <row r="439">
      <c r="A439" s="60" t="str">
        <f>IF($O439="","",INDEX(jr_num,$O439)&amp;"")</f>
        <v/>
      </c>
      <c r="B439" s="60" t="str">
        <f>IF($O439="","",IF(INDEX(jr_type,$O439)="BL","Livraison",IF(INDEX(jr_type,$O439)="BR","Réception","Sortie")))</f>
        <v/>
      </c>
      <c r="C439" s="65" t="str">
        <f>IF($O439="","",INDEX(jr_date,$O439))</f>
        <v/>
      </c>
      <c r="D439" s="60" t="str">
        <f>IF($O439="","",INDEX(jr_tiers,$O439)&amp;"")</f>
        <v/>
      </c>
      <c r="E439" s="57" t="str">
        <f>IF($O439="","",INDEX(jr_name,$O439)&amp;"")</f>
        <v/>
      </c>
      <c r="F439" s="57" t="str">
        <f>IF($O439="","",INDEX(jr_order,$O439)&amp;"")</f>
        <v/>
      </c>
      <c r="G439" s="57" t="str">
        <f>IF($O439="","",INDEX(jr_ext,$O439)&amp;"")</f>
        <v/>
      </c>
      <c r="H439" s="57" t="str">
        <f>IF($O439="","",INDEX(jr_carrier,$O439)&amp;"")</f>
        <v/>
      </c>
      <c r="I439" s="66" t="str">
        <f>IF(A439="","",COUNTIF(jr_num,A439))</f>
        <v/>
      </c>
      <c r="J439" s="66" t="str">
        <f>IF(A439="","",SUMIF(jr_num,A439,jr_colis))</f>
        <v/>
      </c>
      <c r="K439" s="63" t="str">
        <f>IF(A439="","",SUMIF(jr_num,A439,jr_kg))</f>
        <v/>
      </c>
      <c r="L439" s="64" t="str">
        <f>IF(A439="","",SUMIF(jr_num,A439,jr_val))</f>
        <v/>
      </c>
      <c r="M439" s="60" t="str">
        <f>IF(A439="","",IF(COUNTIFS(jr_num,A439,jr_check,"&lt;&gt;OK")&gt;0,"À vérifier",IF(LEFT(A439,2)="BL",IF(COUNTIFS(jr_num,A439,jr_rel,"&gt;0")&gt;0,"Reliquat en cours",IF(COUNTIFS(jr_num,A439,jr_gap,"&lt;0")&gt;0,"Reliquat livré","Complet")),IF(LEFT(A439,2)="BR",IF(COUNTIFS(jr_num,A439,jr_etat,"Refusé")&gt;0,"Refusé",IF(COUNTIFS(jr_num,A439,jr_etat,"Avec réserves")&gt;0,"Avec réserves",IF(COUNTIFS(jr_num,A439,jr_rel,"&gt;0")&gt;0,"Reliquat en cours",IF(COUNTIFS(jr_num,A439,jr_gap,"&lt;0")+COUNTIFS(jr_num,A439,jr_gap,"&gt;0")&gt;0,"Écart","Conforme")))),IF(COUNTIFS(jr_num,A439,jr_gap,"&lt;0")&gt;0,"Partiel","Sorti")))))</f>
        <v/>
      </c>
      <c r="O439" t="str">
        <f>IFERROR(MATCH(434,jr_grank,0),"")</f>
        <v/>
      </c>
      <c r="R439" s="67" t="str">
        <f>IFERROR(INDEX(jr_num,MATCH("BL434",jr_nkey,0))&amp;"","")</f>
        <v/>
      </c>
      <c r="S439" s="67" t="str">
        <f>IFERROR(INDEX(jr_num,MATCH("BR434",jr_nkey,0))&amp;"","")</f>
        <v/>
      </c>
      <c r="T439" s="67" t="str">
        <f>IFERROR(INDEX(jr_num,MATCH("BS434",jr_nkey,0))&amp;"","")</f>
        <v/>
      </c>
    </row>
    <row r="440">
      <c r="A440" s="60" t="str">
        <f>IF($O440="","",INDEX(jr_num,$O440)&amp;"")</f>
        <v/>
      </c>
      <c r="B440" s="60" t="str">
        <f>IF($O440="","",IF(INDEX(jr_type,$O440)="BL","Livraison",IF(INDEX(jr_type,$O440)="BR","Réception","Sortie")))</f>
        <v/>
      </c>
      <c r="C440" s="65" t="str">
        <f>IF($O440="","",INDEX(jr_date,$O440))</f>
        <v/>
      </c>
      <c r="D440" s="60" t="str">
        <f>IF($O440="","",INDEX(jr_tiers,$O440)&amp;"")</f>
        <v/>
      </c>
      <c r="E440" s="57" t="str">
        <f>IF($O440="","",INDEX(jr_name,$O440)&amp;"")</f>
        <v/>
      </c>
      <c r="F440" s="57" t="str">
        <f>IF($O440="","",INDEX(jr_order,$O440)&amp;"")</f>
        <v/>
      </c>
      <c r="G440" s="57" t="str">
        <f>IF($O440="","",INDEX(jr_ext,$O440)&amp;"")</f>
        <v/>
      </c>
      <c r="H440" s="57" t="str">
        <f>IF($O440="","",INDEX(jr_carrier,$O440)&amp;"")</f>
        <v/>
      </c>
      <c r="I440" s="66" t="str">
        <f>IF(A440="","",COUNTIF(jr_num,A440))</f>
        <v/>
      </c>
      <c r="J440" s="66" t="str">
        <f>IF(A440="","",SUMIF(jr_num,A440,jr_colis))</f>
        <v/>
      </c>
      <c r="K440" s="63" t="str">
        <f>IF(A440="","",SUMIF(jr_num,A440,jr_kg))</f>
        <v/>
      </c>
      <c r="L440" s="64" t="str">
        <f>IF(A440="","",SUMIF(jr_num,A440,jr_val))</f>
        <v/>
      </c>
      <c r="M440" s="60" t="str">
        <f>IF(A440="","",IF(COUNTIFS(jr_num,A440,jr_check,"&lt;&gt;OK")&gt;0,"À vérifier",IF(LEFT(A440,2)="BL",IF(COUNTIFS(jr_num,A440,jr_rel,"&gt;0")&gt;0,"Reliquat en cours",IF(COUNTIFS(jr_num,A440,jr_gap,"&lt;0")&gt;0,"Reliquat livré","Complet")),IF(LEFT(A440,2)="BR",IF(COUNTIFS(jr_num,A440,jr_etat,"Refusé")&gt;0,"Refusé",IF(COUNTIFS(jr_num,A440,jr_etat,"Avec réserves")&gt;0,"Avec réserves",IF(COUNTIFS(jr_num,A440,jr_rel,"&gt;0")&gt;0,"Reliquat en cours",IF(COUNTIFS(jr_num,A440,jr_gap,"&lt;0")+COUNTIFS(jr_num,A440,jr_gap,"&gt;0")&gt;0,"Écart","Conforme")))),IF(COUNTIFS(jr_num,A440,jr_gap,"&lt;0")&gt;0,"Partiel","Sorti")))))</f>
        <v/>
      </c>
      <c r="O440" t="str">
        <f>IFERROR(MATCH(435,jr_grank,0),"")</f>
        <v/>
      </c>
      <c r="R440" s="67" t="str">
        <f>IFERROR(INDEX(jr_num,MATCH("BL435",jr_nkey,0))&amp;"","")</f>
        <v/>
      </c>
      <c r="S440" s="67" t="str">
        <f>IFERROR(INDEX(jr_num,MATCH("BR435",jr_nkey,0))&amp;"","")</f>
        <v/>
      </c>
      <c r="T440" s="67" t="str">
        <f>IFERROR(INDEX(jr_num,MATCH("BS435",jr_nkey,0))&amp;"","")</f>
        <v/>
      </c>
    </row>
    <row r="441">
      <c r="A441" s="60" t="str">
        <f>IF($O441="","",INDEX(jr_num,$O441)&amp;"")</f>
        <v/>
      </c>
      <c r="B441" s="60" t="str">
        <f>IF($O441="","",IF(INDEX(jr_type,$O441)="BL","Livraison",IF(INDEX(jr_type,$O441)="BR","Réception","Sortie")))</f>
        <v/>
      </c>
      <c r="C441" s="65" t="str">
        <f>IF($O441="","",INDEX(jr_date,$O441))</f>
        <v/>
      </c>
      <c r="D441" s="60" t="str">
        <f>IF($O441="","",INDEX(jr_tiers,$O441)&amp;"")</f>
        <v/>
      </c>
      <c r="E441" s="57" t="str">
        <f>IF($O441="","",INDEX(jr_name,$O441)&amp;"")</f>
        <v/>
      </c>
      <c r="F441" s="57" t="str">
        <f>IF($O441="","",INDEX(jr_order,$O441)&amp;"")</f>
        <v/>
      </c>
      <c r="G441" s="57" t="str">
        <f>IF($O441="","",INDEX(jr_ext,$O441)&amp;"")</f>
        <v/>
      </c>
      <c r="H441" s="57" t="str">
        <f>IF($O441="","",INDEX(jr_carrier,$O441)&amp;"")</f>
        <v/>
      </c>
      <c r="I441" s="66" t="str">
        <f>IF(A441="","",COUNTIF(jr_num,A441))</f>
        <v/>
      </c>
      <c r="J441" s="66" t="str">
        <f>IF(A441="","",SUMIF(jr_num,A441,jr_colis))</f>
        <v/>
      </c>
      <c r="K441" s="63" t="str">
        <f>IF(A441="","",SUMIF(jr_num,A441,jr_kg))</f>
        <v/>
      </c>
      <c r="L441" s="64" t="str">
        <f>IF(A441="","",SUMIF(jr_num,A441,jr_val))</f>
        <v/>
      </c>
      <c r="M441" s="60" t="str">
        <f>IF(A441="","",IF(COUNTIFS(jr_num,A441,jr_check,"&lt;&gt;OK")&gt;0,"À vérifier",IF(LEFT(A441,2)="BL",IF(COUNTIFS(jr_num,A441,jr_rel,"&gt;0")&gt;0,"Reliquat en cours",IF(COUNTIFS(jr_num,A441,jr_gap,"&lt;0")&gt;0,"Reliquat livré","Complet")),IF(LEFT(A441,2)="BR",IF(COUNTIFS(jr_num,A441,jr_etat,"Refusé")&gt;0,"Refusé",IF(COUNTIFS(jr_num,A441,jr_etat,"Avec réserves")&gt;0,"Avec réserves",IF(COUNTIFS(jr_num,A441,jr_rel,"&gt;0")&gt;0,"Reliquat en cours",IF(COUNTIFS(jr_num,A441,jr_gap,"&lt;0")+COUNTIFS(jr_num,A441,jr_gap,"&gt;0")&gt;0,"Écart","Conforme")))),IF(COUNTIFS(jr_num,A441,jr_gap,"&lt;0")&gt;0,"Partiel","Sorti")))))</f>
        <v/>
      </c>
      <c r="O441" t="str">
        <f>IFERROR(MATCH(436,jr_grank,0),"")</f>
        <v/>
      </c>
      <c r="R441" s="67" t="str">
        <f>IFERROR(INDEX(jr_num,MATCH("BL436",jr_nkey,0))&amp;"","")</f>
        <v/>
      </c>
      <c r="S441" s="67" t="str">
        <f>IFERROR(INDEX(jr_num,MATCH("BR436",jr_nkey,0))&amp;"","")</f>
        <v/>
      </c>
      <c r="T441" s="67" t="str">
        <f>IFERROR(INDEX(jr_num,MATCH("BS436",jr_nkey,0))&amp;"","")</f>
        <v/>
      </c>
    </row>
    <row r="442">
      <c r="A442" s="60" t="str">
        <f>IF($O442="","",INDEX(jr_num,$O442)&amp;"")</f>
        <v/>
      </c>
      <c r="B442" s="60" t="str">
        <f>IF($O442="","",IF(INDEX(jr_type,$O442)="BL","Livraison",IF(INDEX(jr_type,$O442)="BR","Réception","Sortie")))</f>
        <v/>
      </c>
      <c r="C442" s="65" t="str">
        <f>IF($O442="","",INDEX(jr_date,$O442))</f>
        <v/>
      </c>
      <c r="D442" s="60" t="str">
        <f>IF($O442="","",INDEX(jr_tiers,$O442)&amp;"")</f>
        <v/>
      </c>
      <c r="E442" s="57" t="str">
        <f>IF($O442="","",INDEX(jr_name,$O442)&amp;"")</f>
        <v/>
      </c>
      <c r="F442" s="57" t="str">
        <f>IF($O442="","",INDEX(jr_order,$O442)&amp;"")</f>
        <v/>
      </c>
      <c r="G442" s="57" t="str">
        <f>IF($O442="","",INDEX(jr_ext,$O442)&amp;"")</f>
        <v/>
      </c>
      <c r="H442" s="57" t="str">
        <f>IF($O442="","",INDEX(jr_carrier,$O442)&amp;"")</f>
        <v/>
      </c>
      <c r="I442" s="66" t="str">
        <f>IF(A442="","",COUNTIF(jr_num,A442))</f>
        <v/>
      </c>
      <c r="J442" s="66" t="str">
        <f>IF(A442="","",SUMIF(jr_num,A442,jr_colis))</f>
        <v/>
      </c>
      <c r="K442" s="63" t="str">
        <f>IF(A442="","",SUMIF(jr_num,A442,jr_kg))</f>
        <v/>
      </c>
      <c r="L442" s="64" t="str">
        <f>IF(A442="","",SUMIF(jr_num,A442,jr_val))</f>
        <v/>
      </c>
      <c r="M442" s="60" t="str">
        <f>IF(A442="","",IF(COUNTIFS(jr_num,A442,jr_check,"&lt;&gt;OK")&gt;0,"À vérifier",IF(LEFT(A442,2)="BL",IF(COUNTIFS(jr_num,A442,jr_rel,"&gt;0")&gt;0,"Reliquat en cours",IF(COUNTIFS(jr_num,A442,jr_gap,"&lt;0")&gt;0,"Reliquat livré","Complet")),IF(LEFT(A442,2)="BR",IF(COUNTIFS(jr_num,A442,jr_etat,"Refusé")&gt;0,"Refusé",IF(COUNTIFS(jr_num,A442,jr_etat,"Avec réserves")&gt;0,"Avec réserves",IF(COUNTIFS(jr_num,A442,jr_rel,"&gt;0")&gt;0,"Reliquat en cours",IF(COUNTIFS(jr_num,A442,jr_gap,"&lt;0")+COUNTIFS(jr_num,A442,jr_gap,"&gt;0")&gt;0,"Écart","Conforme")))),IF(COUNTIFS(jr_num,A442,jr_gap,"&lt;0")&gt;0,"Partiel","Sorti")))))</f>
        <v/>
      </c>
      <c r="O442" t="str">
        <f>IFERROR(MATCH(437,jr_grank,0),"")</f>
        <v/>
      </c>
      <c r="R442" s="67" t="str">
        <f>IFERROR(INDEX(jr_num,MATCH("BL437",jr_nkey,0))&amp;"","")</f>
        <v/>
      </c>
      <c r="S442" s="67" t="str">
        <f>IFERROR(INDEX(jr_num,MATCH("BR437",jr_nkey,0))&amp;"","")</f>
        <v/>
      </c>
      <c r="T442" s="67" t="str">
        <f>IFERROR(INDEX(jr_num,MATCH("BS437",jr_nkey,0))&amp;"","")</f>
        <v/>
      </c>
    </row>
    <row r="443">
      <c r="A443" s="60" t="str">
        <f>IF($O443="","",INDEX(jr_num,$O443)&amp;"")</f>
        <v/>
      </c>
      <c r="B443" s="60" t="str">
        <f>IF($O443="","",IF(INDEX(jr_type,$O443)="BL","Livraison",IF(INDEX(jr_type,$O443)="BR","Réception","Sortie")))</f>
        <v/>
      </c>
      <c r="C443" s="65" t="str">
        <f>IF($O443="","",INDEX(jr_date,$O443))</f>
        <v/>
      </c>
      <c r="D443" s="60" t="str">
        <f>IF($O443="","",INDEX(jr_tiers,$O443)&amp;"")</f>
        <v/>
      </c>
      <c r="E443" s="57" t="str">
        <f>IF($O443="","",INDEX(jr_name,$O443)&amp;"")</f>
        <v/>
      </c>
      <c r="F443" s="57" t="str">
        <f>IF($O443="","",INDEX(jr_order,$O443)&amp;"")</f>
        <v/>
      </c>
      <c r="G443" s="57" t="str">
        <f>IF($O443="","",INDEX(jr_ext,$O443)&amp;"")</f>
        <v/>
      </c>
      <c r="H443" s="57" t="str">
        <f>IF($O443="","",INDEX(jr_carrier,$O443)&amp;"")</f>
        <v/>
      </c>
      <c r="I443" s="66" t="str">
        <f>IF(A443="","",COUNTIF(jr_num,A443))</f>
        <v/>
      </c>
      <c r="J443" s="66" t="str">
        <f>IF(A443="","",SUMIF(jr_num,A443,jr_colis))</f>
        <v/>
      </c>
      <c r="K443" s="63" t="str">
        <f>IF(A443="","",SUMIF(jr_num,A443,jr_kg))</f>
        <v/>
      </c>
      <c r="L443" s="64" t="str">
        <f>IF(A443="","",SUMIF(jr_num,A443,jr_val))</f>
        <v/>
      </c>
      <c r="M443" s="60" t="str">
        <f>IF(A443="","",IF(COUNTIFS(jr_num,A443,jr_check,"&lt;&gt;OK")&gt;0,"À vérifier",IF(LEFT(A443,2)="BL",IF(COUNTIFS(jr_num,A443,jr_rel,"&gt;0")&gt;0,"Reliquat en cours",IF(COUNTIFS(jr_num,A443,jr_gap,"&lt;0")&gt;0,"Reliquat livré","Complet")),IF(LEFT(A443,2)="BR",IF(COUNTIFS(jr_num,A443,jr_etat,"Refusé")&gt;0,"Refusé",IF(COUNTIFS(jr_num,A443,jr_etat,"Avec réserves")&gt;0,"Avec réserves",IF(COUNTIFS(jr_num,A443,jr_rel,"&gt;0")&gt;0,"Reliquat en cours",IF(COUNTIFS(jr_num,A443,jr_gap,"&lt;0")+COUNTIFS(jr_num,A443,jr_gap,"&gt;0")&gt;0,"Écart","Conforme")))),IF(COUNTIFS(jr_num,A443,jr_gap,"&lt;0")&gt;0,"Partiel","Sorti")))))</f>
        <v/>
      </c>
      <c r="O443" t="str">
        <f>IFERROR(MATCH(438,jr_grank,0),"")</f>
        <v/>
      </c>
      <c r="R443" s="67" t="str">
        <f>IFERROR(INDEX(jr_num,MATCH("BL438",jr_nkey,0))&amp;"","")</f>
        <v/>
      </c>
      <c r="S443" s="67" t="str">
        <f>IFERROR(INDEX(jr_num,MATCH("BR438",jr_nkey,0))&amp;"","")</f>
        <v/>
      </c>
      <c r="T443" s="67" t="str">
        <f>IFERROR(INDEX(jr_num,MATCH("BS438",jr_nkey,0))&amp;"","")</f>
        <v/>
      </c>
    </row>
    <row r="444">
      <c r="A444" s="60" t="str">
        <f>IF($O444="","",INDEX(jr_num,$O444)&amp;"")</f>
        <v/>
      </c>
      <c r="B444" s="60" t="str">
        <f>IF($O444="","",IF(INDEX(jr_type,$O444)="BL","Livraison",IF(INDEX(jr_type,$O444)="BR","Réception","Sortie")))</f>
        <v/>
      </c>
      <c r="C444" s="65" t="str">
        <f>IF($O444="","",INDEX(jr_date,$O444))</f>
        <v/>
      </c>
      <c r="D444" s="60" t="str">
        <f>IF($O444="","",INDEX(jr_tiers,$O444)&amp;"")</f>
        <v/>
      </c>
      <c r="E444" s="57" t="str">
        <f>IF($O444="","",INDEX(jr_name,$O444)&amp;"")</f>
        <v/>
      </c>
      <c r="F444" s="57" t="str">
        <f>IF($O444="","",INDEX(jr_order,$O444)&amp;"")</f>
        <v/>
      </c>
      <c r="G444" s="57" t="str">
        <f>IF($O444="","",INDEX(jr_ext,$O444)&amp;"")</f>
        <v/>
      </c>
      <c r="H444" s="57" t="str">
        <f>IF($O444="","",INDEX(jr_carrier,$O444)&amp;"")</f>
        <v/>
      </c>
      <c r="I444" s="66" t="str">
        <f>IF(A444="","",COUNTIF(jr_num,A444))</f>
        <v/>
      </c>
      <c r="J444" s="66" t="str">
        <f>IF(A444="","",SUMIF(jr_num,A444,jr_colis))</f>
        <v/>
      </c>
      <c r="K444" s="63" t="str">
        <f>IF(A444="","",SUMIF(jr_num,A444,jr_kg))</f>
        <v/>
      </c>
      <c r="L444" s="64" t="str">
        <f>IF(A444="","",SUMIF(jr_num,A444,jr_val))</f>
        <v/>
      </c>
      <c r="M444" s="60" t="str">
        <f>IF(A444="","",IF(COUNTIFS(jr_num,A444,jr_check,"&lt;&gt;OK")&gt;0,"À vérifier",IF(LEFT(A444,2)="BL",IF(COUNTIFS(jr_num,A444,jr_rel,"&gt;0")&gt;0,"Reliquat en cours",IF(COUNTIFS(jr_num,A444,jr_gap,"&lt;0")&gt;0,"Reliquat livré","Complet")),IF(LEFT(A444,2)="BR",IF(COUNTIFS(jr_num,A444,jr_etat,"Refusé")&gt;0,"Refusé",IF(COUNTIFS(jr_num,A444,jr_etat,"Avec réserves")&gt;0,"Avec réserves",IF(COUNTIFS(jr_num,A444,jr_rel,"&gt;0")&gt;0,"Reliquat en cours",IF(COUNTIFS(jr_num,A444,jr_gap,"&lt;0")+COUNTIFS(jr_num,A444,jr_gap,"&gt;0")&gt;0,"Écart","Conforme")))),IF(COUNTIFS(jr_num,A444,jr_gap,"&lt;0")&gt;0,"Partiel","Sorti")))))</f>
        <v/>
      </c>
      <c r="O444" t="str">
        <f>IFERROR(MATCH(439,jr_grank,0),"")</f>
        <v/>
      </c>
      <c r="R444" s="67" t="str">
        <f>IFERROR(INDEX(jr_num,MATCH("BL439",jr_nkey,0))&amp;"","")</f>
        <v/>
      </c>
      <c r="S444" s="67" t="str">
        <f>IFERROR(INDEX(jr_num,MATCH("BR439",jr_nkey,0))&amp;"","")</f>
        <v/>
      </c>
      <c r="T444" s="67" t="str">
        <f>IFERROR(INDEX(jr_num,MATCH("BS439",jr_nkey,0))&amp;"","")</f>
        <v/>
      </c>
    </row>
    <row r="445">
      <c r="A445" s="60" t="str">
        <f>IF($O445="","",INDEX(jr_num,$O445)&amp;"")</f>
        <v/>
      </c>
      <c r="B445" s="60" t="str">
        <f>IF($O445="","",IF(INDEX(jr_type,$O445)="BL","Livraison",IF(INDEX(jr_type,$O445)="BR","Réception","Sortie")))</f>
        <v/>
      </c>
      <c r="C445" s="65" t="str">
        <f>IF($O445="","",INDEX(jr_date,$O445))</f>
        <v/>
      </c>
      <c r="D445" s="60" t="str">
        <f>IF($O445="","",INDEX(jr_tiers,$O445)&amp;"")</f>
        <v/>
      </c>
      <c r="E445" s="57" t="str">
        <f>IF($O445="","",INDEX(jr_name,$O445)&amp;"")</f>
        <v/>
      </c>
      <c r="F445" s="57" t="str">
        <f>IF($O445="","",INDEX(jr_order,$O445)&amp;"")</f>
        <v/>
      </c>
      <c r="G445" s="57" t="str">
        <f>IF($O445="","",INDEX(jr_ext,$O445)&amp;"")</f>
        <v/>
      </c>
      <c r="H445" s="57" t="str">
        <f>IF($O445="","",INDEX(jr_carrier,$O445)&amp;"")</f>
        <v/>
      </c>
      <c r="I445" s="66" t="str">
        <f>IF(A445="","",COUNTIF(jr_num,A445))</f>
        <v/>
      </c>
      <c r="J445" s="66" t="str">
        <f>IF(A445="","",SUMIF(jr_num,A445,jr_colis))</f>
        <v/>
      </c>
      <c r="K445" s="63" t="str">
        <f>IF(A445="","",SUMIF(jr_num,A445,jr_kg))</f>
        <v/>
      </c>
      <c r="L445" s="64" t="str">
        <f>IF(A445="","",SUMIF(jr_num,A445,jr_val))</f>
        <v/>
      </c>
      <c r="M445" s="60" t="str">
        <f>IF(A445="","",IF(COUNTIFS(jr_num,A445,jr_check,"&lt;&gt;OK")&gt;0,"À vérifier",IF(LEFT(A445,2)="BL",IF(COUNTIFS(jr_num,A445,jr_rel,"&gt;0")&gt;0,"Reliquat en cours",IF(COUNTIFS(jr_num,A445,jr_gap,"&lt;0")&gt;0,"Reliquat livré","Complet")),IF(LEFT(A445,2)="BR",IF(COUNTIFS(jr_num,A445,jr_etat,"Refusé")&gt;0,"Refusé",IF(COUNTIFS(jr_num,A445,jr_etat,"Avec réserves")&gt;0,"Avec réserves",IF(COUNTIFS(jr_num,A445,jr_rel,"&gt;0")&gt;0,"Reliquat en cours",IF(COUNTIFS(jr_num,A445,jr_gap,"&lt;0")+COUNTIFS(jr_num,A445,jr_gap,"&gt;0")&gt;0,"Écart","Conforme")))),IF(COUNTIFS(jr_num,A445,jr_gap,"&lt;0")&gt;0,"Partiel","Sorti")))))</f>
        <v/>
      </c>
      <c r="O445" t="str">
        <f>IFERROR(MATCH(440,jr_grank,0),"")</f>
        <v/>
      </c>
      <c r="R445" s="67" t="str">
        <f>IFERROR(INDEX(jr_num,MATCH("BL440",jr_nkey,0))&amp;"","")</f>
        <v/>
      </c>
      <c r="S445" s="67" t="str">
        <f>IFERROR(INDEX(jr_num,MATCH("BR440",jr_nkey,0))&amp;"","")</f>
        <v/>
      </c>
      <c r="T445" s="67" t="str">
        <f>IFERROR(INDEX(jr_num,MATCH("BS440",jr_nkey,0))&amp;"","")</f>
        <v/>
      </c>
    </row>
    <row r="446">
      <c r="A446" s="60" t="str">
        <f>IF($O446="","",INDEX(jr_num,$O446)&amp;"")</f>
        <v/>
      </c>
      <c r="B446" s="60" t="str">
        <f>IF($O446="","",IF(INDEX(jr_type,$O446)="BL","Livraison",IF(INDEX(jr_type,$O446)="BR","Réception","Sortie")))</f>
        <v/>
      </c>
      <c r="C446" s="65" t="str">
        <f>IF($O446="","",INDEX(jr_date,$O446))</f>
        <v/>
      </c>
      <c r="D446" s="60" t="str">
        <f>IF($O446="","",INDEX(jr_tiers,$O446)&amp;"")</f>
        <v/>
      </c>
      <c r="E446" s="57" t="str">
        <f>IF($O446="","",INDEX(jr_name,$O446)&amp;"")</f>
        <v/>
      </c>
      <c r="F446" s="57" t="str">
        <f>IF($O446="","",INDEX(jr_order,$O446)&amp;"")</f>
        <v/>
      </c>
      <c r="G446" s="57" t="str">
        <f>IF($O446="","",INDEX(jr_ext,$O446)&amp;"")</f>
        <v/>
      </c>
      <c r="H446" s="57" t="str">
        <f>IF($O446="","",INDEX(jr_carrier,$O446)&amp;"")</f>
        <v/>
      </c>
      <c r="I446" s="66" t="str">
        <f>IF(A446="","",COUNTIF(jr_num,A446))</f>
        <v/>
      </c>
      <c r="J446" s="66" t="str">
        <f>IF(A446="","",SUMIF(jr_num,A446,jr_colis))</f>
        <v/>
      </c>
      <c r="K446" s="63" t="str">
        <f>IF(A446="","",SUMIF(jr_num,A446,jr_kg))</f>
        <v/>
      </c>
      <c r="L446" s="64" t="str">
        <f>IF(A446="","",SUMIF(jr_num,A446,jr_val))</f>
        <v/>
      </c>
      <c r="M446" s="60" t="str">
        <f>IF(A446="","",IF(COUNTIFS(jr_num,A446,jr_check,"&lt;&gt;OK")&gt;0,"À vérifier",IF(LEFT(A446,2)="BL",IF(COUNTIFS(jr_num,A446,jr_rel,"&gt;0")&gt;0,"Reliquat en cours",IF(COUNTIFS(jr_num,A446,jr_gap,"&lt;0")&gt;0,"Reliquat livré","Complet")),IF(LEFT(A446,2)="BR",IF(COUNTIFS(jr_num,A446,jr_etat,"Refusé")&gt;0,"Refusé",IF(COUNTIFS(jr_num,A446,jr_etat,"Avec réserves")&gt;0,"Avec réserves",IF(COUNTIFS(jr_num,A446,jr_rel,"&gt;0")&gt;0,"Reliquat en cours",IF(COUNTIFS(jr_num,A446,jr_gap,"&lt;0")+COUNTIFS(jr_num,A446,jr_gap,"&gt;0")&gt;0,"Écart","Conforme")))),IF(COUNTIFS(jr_num,A446,jr_gap,"&lt;0")&gt;0,"Partiel","Sorti")))))</f>
        <v/>
      </c>
      <c r="O446" t="str">
        <f>IFERROR(MATCH(441,jr_grank,0),"")</f>
        <v/>
      </c>
      <c r="R446" s="67" t="str">
        <f>IFERROR(INDEX(jr_num,MATCH("BL441",jr_nkey,0))&amp;"","")</f>
        <v/>
      </c>
      <c r="S446" s="67" t="str">
        <f>IFERROR(INDEX(jr_num,MATCH("BR441",jr_nkey,0))&amp;"","")</f>
        <v/>
      </c>
      <c r="T446" s="67" t="str">
        <f>IFERROR(INDEX(jr_num,MATCH("BS441",jr_nkey,0))&amp;"","")</f>
        <v/>
      </c>
    </row>
    <row r="447">
      <c r="A447" s="60" t="str">
        <f>IF($O447="","",INDEX(jr_num,$O447)&amp;"")</f>
        <v/>
      </c>
      <c r="B447" s="60" t="str">
        <f>IF($O447="","",IF(INDEX(jr_type,$O447)="BL","Livraison",IF(INDEX(jr_type,$O447)="BR","Réception","Sortie")))</f>
        <v/>
      </c>
      <c r="C447" s="65" t="str">
        <f>IF($O447="","",INDEX(jr_date,$O447))</f>
        <v/>
      </c>
      <c r="D447" s="60" t="str">
        <f>IF($O447="","",INDEX(jr_tiers,$O447)&amp;"")</f>
        <v/>
      </c>
      <c r="E447" s="57" t="str">
        <f>IF($O447="","",INDEX(jr_name,$O447)&amp;"")</f>
        <v/>
      </c>
      <c r="F447" s="57" t="str">
        <f>IF($O447="","",INDEX(jr_order,$O447)&amp;"")</f>
        <v/>
      </c>
      <c r="G447" s="57" t="str">
        <f>IF($O447="","",INDEX(jr_ext,$O447)&amp;"")</f>
        <v/>
      </c>
      <c r="H447" s="57" t="str">
        <f>IF($O447="","",INDEX(jr_carrier,$O447)&amp;"")</f>
        <v/>
      </c>
      <c r="I447" s="66" t="str">
        <f>IF(A447="","",COUNTIF(jr_num,A447))</f>
        <v/>
      </c>
      <c r="J447" s="66" t="str">
        <f>IF(A447="","",SUMIF(jr_num,A447,jr_colis))</f>
        <v/>
      </c>
      <c r="K447" s="63" t="str">
        <f>IF(A447="","",SUMIF(jr_num,A447,jr_kg))</f>
        <v/>
      </c>
      <c r="L447" s="64" t="str">
        <f>IF(A447="","",SUMIF(jr_num,A447,jr_val))</f>
        <v/>
      </c>
      <c r="M447" s="60" t="str">
        <f>IF(A447="","",IF(COUNTIFS(jr_num,A447,jr_check,"&lt;&gt;OK")&gt;0,"À vérifier",IF(LEFT(A447,2)="BL",IF(COUNTIFS(jr_num,A447,jr_rel,"&gt;0")&gt;0,"Reliquat en cours",IF(COUNTIFS(jr_num,A447,jr_gap,"&lt;0")&gt;0,"Reliquat livré","Complet")),IF(LEFT(A447,2)="BR",IF(COUNTIFS(jr_num,A447,jr_etat,"Refusé")&gt;0,"Refusé",IF(COUNTIFS(jr_num,A447,jr_etat,"Avec réserves")&gt;0,"Avec réserves",IF(COUNTIFS(jr_num,A447,jr_rel,"&gt;0")&gt;0,"Reliquat en cours",IF(COUNTIFS(jr_num,A447,jr_gap,"&lt;0")+COUNTIFS(jr_num,A447,jr_gap,"&gt;0")&gt;0,"Écart","Conforme")))),IF(COUNTIFS(jr_num,A447,jr_gap,"&lt;0")&gt;0,"Partiel","Sorti")))))</f>
        <v/>
      </c>
      <c r="O447" t="str">
        <f>IFERROR(MATCH(442,jr_grank,0),"")</f>
        <v/>
      </c>
      <c r="R447" s="67" t="str">
        <f>IFERROR(INDEX(jr_num,MATCH("BL442",jr_nkey,0))&amp;"","")</f>
        <v/>
      </c>
      <c r="S447" s="67" t="str">
        <f>IFERROR(INDEX(jr_num,MATCH("BR442",jr_nkey,0))&amp;"","")</f>
        <v/>
      </c>
      <c r="T447" s="67" t="str">
        <f>IFERROR(INDEX(jr_num,MATCH("BS442",jr_nkey,0))&amp;"","")</f>
        <v/>
      </c>
    </row>
    <row r="448">
      <c r="A448" s="60" t="str">
        <f>IF($O448="","",INDEX(jr_num,$O448)&amp;"")</f>
        <v/>
      </c>
      <c r="B448" s="60" t="str">
        <f>IF($O448="","",IF(INDEX(jr_type,$O448)="BL","Livraison",IF(INDEX(jr_type,$O448)="BR","Réception","Sortie")))</f>
        <v/>
      </c>
      <c r="C448" s="65" t="str">
        <f>IF($O448="","",INDEX(jr_date,$O448))</f>
        <v/>
      </c>
      <c r="D448" s="60" t="str">
        <f>IF($O448="","",INDEX(jr_tiers,$O448)&amp;"")</f>
        <v/>
      </c>
      <c r="E448" s="57" t="str">
        <f>IF($O448="","",INDEX(jr_name,$O448)&amp;"")</f>
        <v/>
      </c>
      <c r="F448" s="57" t="str">
        <f>IF($O448="","",INDEX(jr_order,$O448)&amp;"")</f>
        <v/>
      </c>
      <c r="G448" s="57" t="str">
        <f>IF($O448="","",INDEX(jr_ext,$O448)&amp;"")</f>
        <v/>
      </c>
      <c r="H448" s="57" t="str">
        <f>IF($O448="","",INDEX(jr_carrier,$O448)&amp;"")</f>
        <v/>
      </c>
      <c r="I448" s="66" t="str">
        <f>IF(A448="","",COUNTIF(jr_num,A448))</f>
        <v/>
      </c>
      <c r="J448" s="66" t="str">
        <f>IF(A448="","",SUMIF(jr_num,A448,jr_colis))</f>
        <v/>
      </c>
      <c r="K448" s="63" t="str">
        <f>IF(A448="","",SUMIF(jr_num,A448,jr_kg))</f>
        <v/>
      </c>
      <c r="L448" s="64" t="str">
        <f>IF(A448="","",SUMIF(jr_num,A448,jr_val))</f>
        <v/>
      </c>
      <c r="M448" s="60" t="str">
        <f>IF(A448="","",IF(COUNTIFS(jr_num,A448,jr_check,"&lt;&gt;OK")&gt;0,"À vérifier",IF(LEFT(A448,2)="BL",IF(COUNTIFS(jr_num,A448,jr_rel,"&gt;0")&gt;0,"Reliquat en cours",IF(COUNTIFS(jr_num,A448,jr_gap,"&lt;0")&gt;0,"Reliquat livré","Complet")),IF(LEFT(A448,2)="BR",IF(COUNTIFS(jr_num,A448,jr_etat,"Refusé")&gt;0,"Refusé",IF(COUNTIFS(jr_num,A448,jr_etat,"Avec réserves")&gt;0,"Avec réserves",IF(COUNTIFS(jr_num,A448,jr_rel,"&gt;0")&gt;0,"Reliquat en cours",IF(COUNTIFS(jr_num,A448,jr_gap,"&lt;0")+COUNTIFS(jr_num,A448,jr_gap,"&gt;0")&gt;0,"Écart","Conforme")))),IF(COUNTIFS(jr_num,A448,jr_gap,"&lt;0")&gt;0,"Partiel","Sorti")))))</f>
        <v/>
      </c>
      <c r="O448" t="str">
        <f>IFERROR(MATCH(443,jr_grank,0),"")</f>
        <v/>
      </c>
      <c r="R448" s="67" t="str">
        <f>IFERROR(INDEX(jr_num,MATCH("BL443",jr_nkey,0))&amp;"","")</f>
        <v/>
      </c>
      <c r="S448" s="67" t="str">
        <f>IFERROR(INDEX(jr_num,MATCH("BR443",jr_nkey,0))&amp;"","")</f>
        <v/>
      </c>
      <c r="T448" s="67" t="str">
        <f>IFERROR(INDEX(jr_num,MATCH("BS443",jr_nkey,0))&amp;"","")</f>
        <v/>
      </c>
    </row>
    <row r="449">
      <c r="A449" s="60" t="str">
        <f>IF($O449="","",INDEX(jr_num,$O449)&amp;"")</f>
        <v/>
      </c>
      <c r="B449" s="60" t="str">
        <f>IF($O449="","",IF(INDEX(jr_type,$O449)="BL","Livraison",IF(INDEX(jr_type,$O449)="BR","Réception","Sortie")))</f>
        <v/>
      </c>
      <c r="C449" s="65" t="str">
        <f>IF($O449="","",INDEX(jr_date,$O449))</f>
        <v/>
      </c>
      <c r="D449" s="60" t="str">
        <f>IF($O449="","",INDEX(jr_tiers,$O449)&amp;"")</f>
        <v/>
      </c>
      <c r="E449" s="57" t="str">
        <f>IF($O449="","",INDEX(jr_name,$O449)&amp;"")</f>
        <v/>
      </c>
      <c r="F449" s="57" t="str">
        <f>IF($O449="","",INDEX(jr_order,$O449)&amp;"")</f>
        <v/>
      </c>
      <c r="G449" s="57" t="str">
        <f>IF($O449="","",INDEX(jr_ext,$O449)&amp;"")</f>
        <v/>
      </c>
      <c r="H449" s="57" t="str">
        <f>IF($O449="","",INDEX(jr_carrier,$O449)&amp;"")</f>
        <v/>
      </c>
      <c r="I449" s="66" t="str">
        <f>IF(A449="","",COUNTIF(jr_num,A449))</f>
        <v/>
      </c>
      <c r="J449" s="66" t="str">
        <f>IF(A449="","",SUMIF(jr_num,A449,jr_colis))</f>
        <v/>
      </c>
      <c r="K449" s="63" t="str">
        <f>IF(A449="","",SUMIF(jr_num,A449,jr_kg))</f>
        <v/>
      </c>
      <c r="L449" s="64" t="str">
        <f>IF(A449="","",SUMIF(jr_num,A449,jr_val))</f>
        <v/>
      </c>
      <c r="M449" s="60" t="str">
        <f>IF(A449="","",IF(COUNTIFS(jr_num,A449,jr_check,"&lt;&gt;OK")&gt;0,"À vérifier",IF(LEFT(A449,2)="BL",IF(COUNTIFS(jr_num,A449,jr_rel,"&gt;0")&gt;0,"Reliquat en cours",IF(COUNTIFS(jr_num,A449,jr_gap,"&lt;0")&gt;0,"Reliquat livré","Complet")),IF(LEFT(A449,2)="BR",IF(COUNTIFS(jr_num,A449,jr_etat,"Refusé")&gt;0,"Refusé",IF(COUNTIFS(jr_num,A449,jr_etat,"Avec réserves")&gt;0,"Avec réserves",IF(COUNTIFS(jr_num,A449,jr_rel,"&gt;0")&gt;0,"Reliquat en cours",IF(COUNTIFS(jr_num,A449,jr_gap,"&lt;0")+COUNTIFS(jr_num,A449,jr_gap,"&gt;0")&gt;0,"Écart","Conforme")))),IF(COUNTIFS(jr_num,A449,jr_gap,"&lt;0")&gt;0,"Partiel","Sorti")))))</f>
        <v/>
      </c>
      <c r="O449" t="str">
        <f>IFERROR(MATCH(444,jr_grank,0),"")</f>
        <v/>
      </c>
      <c r="R449" s="67" t="str">
        <f>IFERROR(INDEX(jr_num,MATCH("BL444",jr_nkey,0))&amp;"","")</f>
        <v/>
      </c>
      <c r="S449" s="67" t="str">
        <f>IFERROR(INDEX(jr_num,MATCH("BR444",jr_nkey,0))&amp;"","")</f>
        <v/>
      </c>
      <c r="T449" s="67" t="str">
        <f>IFERROR(INDEX(jr_num,MATCH("BS444",jr_nkey,0))&amp;"","")</f>
        <v/>
      </c>
    </row>
    <row r="450">
      <c r="A450" s="60" t="str">
        <f>IF($O450="","",INDEX(jr_num,$O450)&amp;"")</f>
        <v/>
      </c>
      <c r="B450" s="60" t="str">
        <f>IF($O450="","",IF(INDEX(jr_type,$O450)="BL","Livraison",IF(INDEX(jr_type,$O450)="BR","Réception","Sortie")))</f>
        <v/>
      </c>
      <c r="C450" s="65" t="str">
        <f>IF($O450="","",INDEX(jr_date,$O450))</f>
        <v/>
      </c>
      <c r="D450" s="60" t="str">
        <f>IF($O450="","",INDEX(jr_tiers,$O450)&amp;"")</f>
        <v/>
      </c>
      <c r="E450" s="57" t="str">
        <f>IF($O450="","",INDEX(jr_name,$O450)&amp;"")</f>
        <v/>
      </c>
      <c r="F450" s="57" t="str">
        <f>IF($O450="","",INDEX(jr_order,$O450)&amp;"")</f>
        <v/>
      </c>
      <c r="G450" s="57" t="str">
        <f>IF($O450="","",INDEX(jr_ext,$O450)&amp;"")</f>
        <v/>
      </c>
      <c r="H450" s="57" t="str">
        <f>IF($O450="","",INDEX(jr_carrier,$O450)&amp;"")</f>
        <v/>
      </c>
      <c r="I450" s="66" t="str">
        <f>IF(A450="","",COUNTIF(jr_num,A450))</f>
        <v/>
      </c>
      <c r="J450" s="66" t="str">
        <f>IF(A450="","",SUMIF(jr_num,A450,jr_colis))</f>
        <v/>
      </c>
      <c r="K450" s="63" t="str">
        <f>IF(A450="","",SUMIF(jr_num,A450,jr_kg))</f>
        <v/>
      </c>
      <c r="L450" s="64" t="str">
        <f>IF(A450="","",SUMIF(jr_num,A450,jr_val))</f>
        <v/>
      </c>
      <c r="M450" s="60" t="str">
        <f>IF(A450="","",IF(COUNTIFS(jr_num,A450,jr_check,"&lt;&gt;OK")&gt;0,"À vérifier",IF(LEFT(A450,2)="BL",IF(COUNTIFS(jr_num,A450,jr_rel,"&gt;0")&gt;0,"Reliquat en cours",IF(COUNTIFS(jr_num,A450,jr_gap,"&lt;0")&gt;0,"Reliquat livré","Complet")),IF(LEFT(A450,2)="BR",IF(COUNTIFS(jr_num,A450,jr_etat,"Refusé")&gt;0,"Refusé",IF(COUNTIFS(jr_num,A450,jr_etat,"Avec réserves")&gt;0,"Avec réserves",IF(COUNTIFS(jr_num,A450,jr_rel,"&gt;0")&gt;0,"Reliquat en cours",IF(COUNTIFS(jr_num,A450,jr_gap,"&lt;0")+COUNTIFS(jr_num,A450,jr_gap,"&gt;0")&gt;0,"Écart","Conforme")))),IF(COUNTIFS(jr_num,A450,jr_gap,"&lt;0")&gt;0,"Partiel","Sorti")))))</f>
        <v/>
      </c>
      <c r="O450" t="str">
        <f>IFERROR(MATCH(445,jr_grank,0),"")</f>
        <v/>
      </c>
      <c r="R450" s="67" t="str">
        <f>IFERROR(INDEX(jr_num,MATCH("BL445",jr_nkey,0))&amp;"","")</f>
        <v/>
      </c>
      <c r="S450" s="67" t="str">
        <f>IFERROR(INDEX(jr_num,MATCH("BR445",jr_nkey,0))&amp;"","")</f>
        <v/>
      </c>
      <c r="T450" s="67" t="str">
        <f>IFERROR(INDEX(jr_num,MATCH("BS445",jr_nkey,0))&amp;"","")</f>
        <v/>
      </c>
    </row>
    <row r="451">
      <c r="A451" s="60" t="str">
        <f>IF($O451="","",INDEX(jr_num,$O451)&amp;"")</f>
        <v/>
      </c>
      <c r="B451" s="60" t="str">
        <f>IF($O451="","",IF(INDEX(jr_type,$O451)="BL","Livraison",IF(INDEX(jr_type,$O451)="BR","Réception","Sortie")))</f>
        <v/>
      </c>
      <c r="C451" s="65" t="str">
        <f>IF($O451="","",INDEX(jr_date,$O451))</f>
        <v/>
      </c>
      <c r="D451" s="60" t="str">
        <f>IF($O451="","",INDEX(jr_tiers,$O451)&amp;"")</f>
        <v/>
      </c>
      <c r="E451" s="57" t="str">
        <f>IF($O451="","",INDEX(jr_name,$O451)&amp;"")</f>
        <v/>
      </c>
      <c r="F451" s="57" t="str">
        <f>IF($O451="","",INDEX(jr_order,$O451)&amp;"")</f>
        <v/>
      </c>
      <c r="G451" s="57" t="str">
        <f>IF($O451="","",INDEX(jr_ext,$O451)&amp;"")</f>
        <v/>
      </c>
      <c r="H451" s="57" t="str">
        <f>IF($O451="","",INDEX(jr_carrier,$O451)&amp;"")</f>
        <v/>
      </c>
      <c r="I451" s="66" t="str">
        <f>IF(A451="","",COUNTIF(jr_num,A451))</f>
        <v/>
      </c>
      <c r="J451" s="66" t="str">
        <f>IF(A451="","",SUMIF(jr_num,A451,jr_colis))</f>
        <v/>
      </c>
      <c r="K451" s="63" t="str">
        <f>IF(A451="","",SUMIF(jr_num,A451,jr_kg))</f>
        <v/>
      </c>
      <c r="L451" s="64" t="str">
        <f>IF(A451="","",SUMIF(jr_num,A451,jr_val))</f>
        <v/>
      </c>
      <c r="M451" s="60" t="str">
        <f>IF(A451="","",IF(COUNTIFS(jr_num,A451,jr_check,"&lt;&gt;OK")&gt;0,"À vérifier",IF(LEFT(A451,2)="BL",IF(COUNTIFS(jr_num,A451,jr_rel,"&gt;0")&gt;0,"Reliquat en cours",IF(COUNTIFS(jr_num,A451,jr_gap,"&lt;0")&gt;0,"Reliquat livré","Complet")),IF(LEFT(A451,2)="BR",IF(COUNTIFS(jr_num,A451,jr_etat,"Refusé")&gt;0,"Refusé",IF(COUNTIFS(jr_num,A451,jr_etat,"Avec réserves")&gt;0,"Avec réserves",IF(COUNTIFS(jr_num,A451,jr_rel,"&gt;0")&gt;0,"Reliquat en cours",IF(COUNTIFS(jr_num,A451,jr_gap,"&lt;0")+COUNTIFS(jr_num,A451,jr_gap,"&gt;0")&gt;0,"Écart","Conforme")))),IF(COUNTIFS(jr_num,A451,jr_gap,"&lt;0")&gt;0,"Partiel","Sorti")))))</f>
        <v/>
      </c>
      <c r="O451" t="str">
        <f>IFERROR(MATCH(446,jr_grank,0),"")</f>
        <v/>
      </c>
      <c r="R451" s="67" t="str">
        <f>IFERROR(INDEX(jr_num,MATCH("BL446",jr_nkey,0))&amp;"","")</f>
        <v/>
      </c>
      <c r="S451" s="67" t="str">
        <f>IFERROR(INDEX(jr_num,MATCH("BR446",jr_nkey,0))&amp;"","")</f>
        <v/>
      </c>
      <c r="T451" s="67" t="str">
        <f>IFERROR(INDEX(jr_num,MATCH("BS446",jr_nkey,0))&amp;"","")</f>
        <v/>
      </c>
    </row>
    <row r="452">
      <c r="A452" s="60" t="str">
        <f>IF($O452="","",INDEX(jr_num,$O452)&amp;"")</f>
        <v/>
      </c>
      <c r="B452" s="60" t="str">
        <f>IF($O452="","",IF(INDEX(jr_type,$O452)="BL","Livraison",IF(INDEX(jr_type,$O452)="BR","Réception","Sortie")))</f>
        <v/>
      </c>
      <c r="C452" s="65" t="str">
        <f>IF($O452="","",INDEX(jr_date,$O452))</f>
        <v/>
      </c>
      <c r="D452" s="60" t="str">
        <f>IF($O452="","",INDEX(jr_tiers,$O452)&amp;"")</f>
        <v/>
      </c>
      <c r="E452" s="57" t="str">
        <f>IF($O452="","",INDEX(jr_name,$O452)&amp;"")</f>
        <v/>
      </c>
      <c r="F452" s="57" t="str">
        <f>IF($O452="","",INDEX(jr_order,$O452)&amp;"")</f>
        <v/>
      </c>
      <c r="G452" s="57" t="str">
        <f>IF($O452="","",INDEX(jr_ext,$O452)&amp;"")</f>
        <v/>
      </c>
      <c r="H452" s="57" t="str">
        <f>IF($O452="","",INDEX(jr_carrier,$O452)&amp;"")</f>
        <v/>
      </c>
      <c r="I452" s="66" t="str">
        <f>IF(A452="","",COUNTIF(jr_num,A452))</f>
        <v/>
      </c>
      <c r="J452" s="66" t="str">
        <f>IF(A452="","",SUMIF(jr_num,A452,jr_colis))</f>
        <v/>
      </c>
      <c r="K452" s="63" t="str">
        <f>IF(A452="","",SUMIF(jr_num,A452,jr_kg))</f>
        <v/>
      </c>
      <c r="L452" s="64" t="str">
        <f>IF(A452="","",SUMIF(jr_num,A452,jr_val))</f>
        <v/>
      </c>
      <c r="M452" s="60" t="str">
        <f>IF(A452="","",IF(COUNTIFS(jr_num,A452,jr_check,"&lt;&gt;OK")&gt;0,"À vérifier",IF(LEFT(A452,2)="BL",IF(COUNTIFS(jr_num,A452,jr_rel,"&gt;0")&gt;0,"Reliquat en cours",IF(COUNTIFS(jr_num,A452,jr_gap,"&lt;0")&gt;0,"Reliquat livré","Complet")),IF(LEFT(A452,2)="BR",IF(COUNTIFS(jr_num,A452,jr_etat,"Refusé")&gt;0,"Refusé",IF(COUNTIFS(jr_num,A452,jr_etat,"Avec réserves")&gt;0,"Avec réserves",IF(COUNTIFS(jr_num,A452,jr_rel,"&gt;0")&gt;0,"Reliquat en cours",IF(COUNTIFS(jr_num,A452,jr_gap,"&lt;0")+COUNTIFS(jr_num,A452,jr_gap,"&gt;0")&gt;0,"Écart","Conforme")))),IF(COUNTIFS(jr_num,A452,jr_gap,"&lt;0")&gt;0,"Partiel","Sorti")))))</f>
        <v/>
      </c>
      <c r="O452" t="str">
        <f>IFERROR(MATCH(447,jr_grank,0),"")</f>
        <v/>
      </c>
      <c r="R452" s="67" t="str">
        <f>IFERROR(INDEX(jr_num,MATCH("BL447",jr_nkey,0))&amp;"","")</f>
        <v/>
      </c>
      <c r="S452" s="67" t="str">
        <f>IFERROR(INDEX(jr_num,MATCH("BR447",jr_nkey,0))&amp;"","")</f>
        <v/>
      </c>
      <c r="T452" s="67" t="str">
        <f>IFERROR(INDEX(jr_num,MATCH("BS447",jr_nkey,0))&amp;"","")</f>
        <v/>
      </c>
    </row>
    <row r="453">
      <c r="A453" s="60" t="str">
        <f>IF($O453="","",INDEX(jr_num,$O453)&amp;"")</f>
        <v/>
      </c>
      <c r="B453" s="60" t="str">
        <f>IF($O453="","",IF(INDEX(jr_type,$O453)="BL","Livraison",IF(INDEX(jr_type,$O453)="BR","Réception","Sortie")))</f>
        <v/>
      </c>
      <c r="C453" s="65" t="str">
        <f>IF($O453="","",INDEX(jr_date,$O453))</f>
        <v/>
      </c>
      <c r="D453" s="60" t="str">
        <f>IF($O453="","",INDEX(jr_tiers,$O453)&amp;"")</f>
        <v/>
      </c>
      <c r="E453" s="57" t="str">
        <f>IF($O453="","",INDEX(jr_name,$O453)&amp;"")</f>
        <v/>
      </c>
      <c r="F453" s="57" t="str">
        <f>IF($O453="","",INDEX(jr_order,$O453)&amp;"")</f>
        <v/>
      </c>
      <c r="G453" s="57" t="str">
        <f>IF($O453="","",INDEX(jr_ext,$O453)&amp;"")</f>
        <v/>
      </c>
      <c r="H453" s="57" t="str">
        <f>IF($O453="","",INDEX(jr_carrier,$O453)&amp;"")</f>
        <v/>
      </c>
      <c r="I453" s="66" t="str">
        <f>IF(A453="","",COUNTIF(jr_num,A453))</f>
        <v/>
      </c>
      <c r="J453" s="66" t="str">
        <f>IF(A453="","",SUMIF(jr_num,A453,jr_colis))</f>
        <v/>
      </c>
      <c r="K453" s="63" t="str">
        <f>IF(A453="","",SUMIF(jr_num,A453,jr_kg))</f>
        <v/>
      </c>
      <c r="L453" s="64" t="str">
        <f>IF(A453="","",SUMIF(jr_num,A453,jr_val))</f>
        <v/>
      </c>
      <c r="M453" s="60" t="str">
        <f>IF(A453="","",IF(COUNTIFS(jr_num,A453,jr_check,"&lt;&gt;OK")&gt;0,"À vérifier",IF(LEFT(A453,2)="BL",IF(COUNTIFS(jr_num,A453,jr_rel,"&gt;0")&gt;0,"Reliquat en cours",IF(COUNTIFS(jr_num,A453,jr_gap,"&lt;0")&gt;0,"Reliquat livré","Complet")),IF(LEFT(A453,2)="BR",IF(COUNTIFS(jr_num,A453,jr_etat,"Refusé")&gt;0,"Refusé",IF(COUNTIFS(jr_num,A453,jr_etat,"Avec réserves")&gt;0,"Avec réserves",IF(COUNTIFS(jr_num,A453,jr_rel,"&gt;0")&gt;0,"Reliquat en cours",IF(COUNTIFS(jr_num,A453,jr_gap,"&lt;0")+COUNTIFS(jr_num,A453,jr_gap,"&gt;0")&gt;0,"Écart","Conforme")))),IF(COUNTIFS(jr_num,A453,jr_gap,"&lt;0")&gt;0,"Partiel","Sorti")))))</f>
        <v/>
      </c>
      <c r="O453" t="str">
        <f>IFERROR(MATCH(448,jr_grank,0),"")</f>
        <v/>
      </c>
      <c r="R453" s="67" t="str">
        <f>IFERROR(INDEX(jr_num,MATCH("BL448",jr_nkey,0))&amp;"","")</f>
        <v/>
      </c>
      <c r="S453" s="67" t="str">
        <f>IFERROR(INDEX(jr_num,MATCH("BR448",jr_nkey,0))&amp;"","")</f>
        <v/>
      </c>
      <c r="T453" s="67" t="str">
        <f>IFERROR(INDEX(jr_num,MATCH("BS448",jr_nkey,0))&amp;"","")</f>
        <v/>
      </c>
    </row>
    <row r="454">
      <c r="A454" s="60" t="str">
        <f>IF($O454="","",INDEX(jr_num,$O454)&amp;"")</f>
        <v/>
      </c>
      <c r="B454" s="60" t="str">
        <f>IF($O454="","",IF(INDEX(jr_type,$O454)="BL","Livraison",IF(INDEX(jr_type,$O454)="BR","Réception","Sortie")))</f>
        <v/>
      </c>
      <c r="C454" s="65" t="str">
        <f>IF($O454="","",INDEX(jr_date,$O454))</f>
        <v/>
      </c>
      <c r="D454" s="60" t="str">
        <f>IF($O454="","",INDEX(jr_tiers,$O454)&amp;"")</f>
        <v/>
      </c>
      <c r="E454" s="57" t="str">
        <f>IF($O454="","",INDEX(jr_name,$O454)&amp;"")</f>
        <v/>
      </c>
      <c r="F454" s="57" t="str">
        <f>IF($O454="","",INDEX(jr_order,$O454)&amp;"")</f>
        <v/>
      </c>
      <c r="G454" s="57" t="str">
        <f>IF($O454="","",INDEX(jr_ext,$O454)&amp;"")</f>
        <v/>
      </c>
      <c r="H454" s="57" t="str">
        <f>IF($O454="","",INDEX(jr_carrier,$O454)&amp;"")</f>
        <v/>
      </c>
      <c r="I454" s="66" t="str">
        <f>IF(A454="","",COUNTIF(jr_num,A454))</f>
        <v/>
      </c>
      <c r="J454" s="66" t="str">
        <f>IF(A454="","",SUMIF(jr_num,A454,jr_colis))</f>
        <v/>
      </c>
      <c r="K454" s="63" t="str">
        <f>IF(A454="","",SUMIF(jr_num,A454,jr_kg))</f>
        <v/>
      </c>
      <c r="L454" s="64" t="str">
        <f>IF(A454="","",SUMIF(jr_num,A454,jr_val))</f>
        <v/>
      </c>
      <c r="M454" s="60" t="str">
        <f>IF(A454="","",IF(COUNTIFS(jr_num,A454,jr_check,"&lt;&gt;OK")&gt;0,"À vérifier",IF(LEFT(A454,2)="BL",IF(COUNTIFS(jr_num,A454,jr_rel,"&gt;0")&gt;0,"Reliquat en cours",IF(COUNTIFS(jr_num,A454,jr_gap,"&lt;0")&gt;0,"Reliquat livré","Complet")),IF(LEFT(A454,2)="BR",IF(COUNTIFS(jr_num,A454,jr_etat,"Refusé")&gt;0,"Refusé",IF(COUNTIFS(jr_num,A454,jr_etat,"Avec réserves")&gt;0,"Avec réserves",IF(COUNTIFS(jr_num,A454,jr_rel,"&gt;0")&gt;0,"Reliquat en cours",IF(COUNTIFS(jr_num,A454,jr_gap,"&lt;0")+COUNTIFS(jr_num,A454,jr_gap,"&gt;0")&gt;0,"Écart","Conforme")))),IF(COUNTIFS(jr_num,A454,jr_gap,"&lt;0")&gt;0,"Partiel","Sorti")))))</f>
        <v/>
      </c>
      <c r="O454" t="str">
        <f>IFERROR(MATCH(449,jr_grank,0),"")</f>
        <v/>
      </c>
      <c r="R454" s="67" t="str">
        <f>IFERROR(INDEX(jr_num,MATCH("BL449",jr_nkey,0))&amp;"","")</f>
        <v/>
      </c>
      <c r="S454" s="67" t="str">
        <f>IFERROR(INDEX(jr_num,MATCH("BR449",jr_nkey,0))&amp;"","")</f>
        <v/>
      </c>
      <c r="T454" s="67" t="str">
        <f>IFERROR(INDEX(jr_num,MATCH("BS449",jr_nkey,0))&amp;"","")</f>
        <v/>
      </c>
    </row>
    <row r="455">
      <c r="A455" s="60" t="str">
        <f>IF($O455="","",INDEX(jr_num,$O455)&amp;"")</f>
        <v/>
      </c>
      <c r="B455" s="60" t="str">
        <f>IF($O455="","",IF(INDEX(jr_type,$O455)="BL","Livraison",IF(INDEX(jr_type,$O455)="BR","Réception","Sortie")))</f>
        <v/>
      </c>
      <c r="C455" s="65" t="str">
        <f>IF($O455="","",INDEX(jr_date,$O455))</f>
        <v/>
      </c>
      <c r="D455" s="60" t="str">
        <f>IF($O455="","",INDEX(jr_tiers,$O455)&amp;"")</f>
        <v/>
      </c>
      <c r="E455" s="57" t="str">
        <f>IF($O455="","",INDEX(jr_name,$O455)&amp;"")</f>
        <v/>
      </c>
      <c r="F455" s="57" t="str">
        <f>IF($O455="","",INDEX(jr_order,$O455)&amp;"")</f>
        <v/>
      </c>
      <c r="G455" s="57" t="str">
        <f>IF($O455="","",INDEX(jr_ext,$O455)&amp;"")</f>
        <v/>
      </c>
      <c r="H455" s="57" t="str">
        <f>IF($O455="","",INDEX(jr_carrier,$O455)&amp;"")</f>
        <v/>
      </c>
      <c r="I455" s="66" t="str">
        <f>IF(A455="","",COUNTIF(jr_num,A455))</f>
        <v/>
      </c>
      <c r="J455" s="66" t="str">
        <f>IF(A455="","",SUMIF(jr_num,A455,jr_colis))</f>
        <v/>
      </c>
      <c r="K455" s="63" t="str">
        <f>IF(A455="","",SUMIF(jr_num,A455,jr_kg))</f>
        <v/>
      </c>
      <c r="L455" s="64" t="str">
        <f>IF(A455="","",SUMIF(jr_num,A455,jr_val))</f>
        <v/>
      </c>
      <c r="M455" s="60" t="str">
        <f>IF(A455="","",IF(COUNTIFS(jr_num,A455,jr_check,"&lt;&gt;OK")&gt;0,"À vérifier",IF(LEFT(A455,2)="BL",IF(COUNTIFS(jr_num,A455,jr_rel,"&gt;0")&gt;0,"Reliquat en cours",IF(COUNTIFS(jr_num,A455,jr_gap,"&lt;0")&gt;0,"Reliquat livré","Complet")),IF(LEFT(A455,2)="BR",IF(COUNTIFS(jr_num,A455,jr_etat,"Refusé")&gt;0,"Refusé",IF(COUNTIFS(jr_num,A455,jr_etat,"Avec réserves")&gt;0,"Avec réserves",IF(COUNTIFS(jr_num,A455,jr_rel,"&gt;0")&gt;0,"Reliquat en cours",IF(COUNTIFS(jr_num,A455,jr_gap,"&lt;0")+COUNTIFS(jr_num,A455,jr_gap,"&gt;0")&gt;0,"Écart","Conforme")))),IF(COUNTIFS(jr_num,A455,jr_gap,"&lt;0")&gt;0,"Partiel","Sorti")))))</f>
        <v/>
      </c>
      <c r="O455" t="str">
        <f>IFERROR(MATCH(450,jr_grank,0),"")</f>
        <v/>
      </c>
      <c r="R455" s="67" t="str">
        <f>IFERROR(INDEX(jr_num,MATCH("BL450",jr_nkey,0))&amp;"","")</f>
        <v/>
      </c>
      <c r="S455" s="67" t="str">
        <f>IFERROR(INDEX(jr_num,MATCH("BR450",jr_nkey,0))&amp;"","")</f>
        <v/>
      </c>
      <c r="T455" s="67" t="str">
        <f>IFERROR(INDEX(jr_num,MATCH("BS450",jr_nkey,0))&amp;"","")</f>
        <v/>
      </c>
    </row>
    <row r="456">
      <c r="A456" s="60" t="str">
        <f>IF($O456="","",INDEX(jr_num,$O456)&amp;"")</f>
        <v/>
      </c>
      <c r="B456" s="60" t="str">
        <f>IF($O456="","",IF(INDEX(jr_type,$O456)="BL","Livraison",IF(INDEX(jr_type,$O456)="BR","Réception","Sortie")))</f>
        <v/>
      </c>
      <c r="C456" s="65" t="str">
        <f>IF($O456="","",INDEX(jr_date,$O456))</f>
        <v/>
      </c>
      <c r="D456" s="60" t="str">
        <f>IF($O456="","",INDEX(jr_tiers,$O456)&amp;"")</f>
        <v/>
      </c>
      <c r="E456" s="57" t="str">
        <f>IF($O456="","",INDEX(jr_name,$O456)&amp;"")</f>
        <v/>
      </c>
      <c r="F456" s="57" t="str">
        <f>IF($O456="","",INDEX(jr_order,$O456)&amp;"")</f>
        <v/>
      </c>
      <c r="G456" s="57" t="str">
        <f>IF($O456="","",INDEX(jr_ext,$O456)&amp;"")</f>
        <v/>
      </c>
      <c r="H456" s="57" t="str">
        <f>IF($O456="","",INDEX(jr_carrier,$O456)&amp;"")</f>
        <v/>
      </c>
      <c r="I456" s="66" t="str">
        <f>IF(A456="","",COUNTIF(jr_num,A456))</f>
        <v/>
      </c>
      <c r="J456" s="66" t="str">
        <f>IF(A456="","",SUMIF(jr_num,A456,jr_colis))</f>
        <v/>
      </c>
      <c r="K456" s="63" t="str">
        <f>IF(A456="","",SUMIF(jr_num,A456,jr_kg))</f>
        <v/>
      </c>
      <c r="L456" s="64" t="str">
        <f>IF(A456="","",SUMIF(jr_num,A456,jr_val))</f>
        <v/>
      </c>
      <c r="M456" s="60" t="str">
        <f>IF(A456="","",IF(COUNTIFS(jr_num,A456,jr_check,"&lt;&gt;OK")&gt;0,"À vérifier",IF(LEFT(A456,2)="BL",IF(COUNTIFS(jr_num,A456,jr_rel,"&gt;0")&gt;0,"Reliquat en cours",IF(COUNTIFS(jr_num,A456,jr_gap,"&lt;0")&gt;0,"Reliquat livré","Complet")),IF(LEFT(A456,2)="BR",IF(COUNTIFS(jr_num,A456,jr_etat,"Refusé")&gt;0,"Refusé",IF(COUNTIFS(jr_num,A456,jr_etat,"Avec réserves")&gt;0,"Avec réserves",IF(COUNTIFS(jr_num,A456,jr_rel,"&gt;0")&gt;0,"Reliquat en cours",IF(COUNTIFS(jr_num,A456,jr_gap,"&lt;0")+COUNTIFS(jr_num,A456,jr_gap,"&gt;0")&gt;0,"Écart","Conforme")))),IF(COUNTIFS(jr_num,A456,jr_gap,"&lt;0")&gt;0,"Partiel","Sorti")))))</f>
        <v/>
      </c>
      <c r="O456" t="str">
        <f>IFERROR(MATCH(451,jr_grank,0),"")</f>
        <v/>
      </c>
      <c r="R456" s="67" t="str">
        <f>IFERROR(INDEX(jr_num,MATCH("BL451",jr_nkey,0))&amp;"","")</f>
        <v/>
      </c>
      <c r="S456" s="67" t="str">
        <f>IFERROR(INDEX(jr_num,MATCH("BR451",jr_nkey,0))&amp;"","")</f>
        <v/>
      </c>
      <c r="T456" s="67" t="str">
        <f>IFERROR(INDEX(jr_num,MATCH("BS451",jr_nkey,0))&amp;"","")</f>
        <v/>
      </c>
    </row>
    <row r="457">
      <c r="A457" s="60" t="str">
        <f>IF($O457="","",INDEX(jr_num,$O457)&amp;"")</f>
        <v/>
      </c>
      <c r="B457" s="60" t="str">
        <f>IF($O457="","",IF(INDEX(jr_type,$O457)="BL","Livraison",IF(INDEX(jr_type,$O457)="BR","Réception","Sortie")))</f>
        <v/>
      </c>
      <c r="C457" s="65" t="str">
        <f>IF($O457="","",INDEX(jr_date,$O457))</f>
        <v/>
      </c>
      <c r="D457" s="60" t="str">
        <f>IF($O457="","",INDEX(jr_tiers,$O457)&amp;"")</f>
        <v/>
      </c>
      <c r="E457" s="57" t="str">
        <f>IF($O457="","",INDEX(jr_name,$O457)&amp;"")</f>
        <v/>
      </c>
      <c r="F457" s="57" t="str">
        <f>IF($O457="","",INDEX(jr_order,$O457)&amp;"")</f>
        <v/>
      </c>
      <c r="G457" s="57" t="str">
        <f>IF($O457="","",INDEX(jr_ext,$O457)&amp;"")</f>
        <v/>
      </c>
      <c r="H457" s="57" t="str">
        <f>IF($O457="","",INDEX(jr_carrier,$O457)&amp;"")</f>
        <v/>
      </c>
      <c r="I457" s="66" t="str">
        <f>IF(A457="","",COUNTIF(jr_num,A457))</f>
        <v/>
      </c>
      <c r="J457" s="66" t="str">
        <f>IF(A457="","",SUMIF(jr_num,A457,jr_colis))</f>
        <v/>
      </c>
      <c r="K457" s="63" t="str">
        <f>IF(A457="","",SUMIF(jr_num,A457,jr_kg))</f>
        <v/>
      </c>
      <c r="L457" s="64" t="str">
        <f>IF(A457="","",SUMIF(jr_num,A457,jr_val))</f>
        <v/>
      </c>
      <c r="M457" s="60" t="str">
        <f>IF(A457="","",IF(COUNTIFS(jr_num,A457,jr_check,"&lt;&gt;OK")&gt;0,"À vérifier",IF(LEFT(A457,2)="BL",IF(COUNTIFS(jr_num,A457,jr_rel,"&gt;0")&gt;0,"Reliquat en cours",IF(COUNTIFS(jr_num,A457,jr_gap,"&lt;0")&gt;0,"Reliquat livré","Complet")),IF(LEFT(A457,2)="BR",IF(COUNTIFS(jr_num,A457,jr_etat,"Refusé")&gt;0,"Refusé",IF(COUNTIFS(jr_num,A457,jr_etat,"Avec réserves")&gt;0,"Avec réserves",IF(COUNTIFS(jr_num,A457,jr_rel,"&gt;0")&gt;0,"Reliquat en cours",IF(COUNTIFS(jr_num,A457,jr_gap,"&lt;0")+COUNTIFS(jr_num,A457,jr_gap,"&gt;0")&gt;0,"Écart","Conforme")))),IF(COUNTIFS(jr_num,A457,jr_gap,"&lt;0")&gt;0,"Partiel","Sorti")))))</f>
        <v/>
      </c>
      <c r="O457" t="str">
        <f>IFERROR(MATCH(452,jr_grank,0),"")</f>
        <v/>
      </c>
      <c r="R457" s="67" t="str">
        <f>IFERROR(INDEX(jr_num,MATCH("BL452",jr_nkey,0))&amp;"","")</f>
        <v/>
      </c>
      <c r="S457" s="67" t="str">
        <f>IFERROR(INDEX(jr_num,MATCH("BR452",jr_nkey,0))&amp;"","")</f>
        <v/>
      </c>
      <c r="T457" s="67" t="str">
        <f>IFERROR(INDEX(jr_num,MATCH("BS452",jr_nkey,0))&amp;"","")</f>
        <v/>
      </c>
    </row>
    <row r="458">
      <c r="A458" s="60" t="str">
        <f>IF($O458="","",INDEX(jr_num,$O458)&amp;"")</f>
        <v/>
      </c>
      <c r="B458" s="60" t="str">
        <f>IF($O458="","",IF(INDEX(jr_type,$O458)="BL","Livraison",IF(INDEX(jr_type,$O458)="BR","Réception","Sortie")))</f>
        <v/>
      </c>
      <c r="C458" s="65" t="str">
        <f>IF($O458="","",INDEX(jr_date,$O458))</f>
        <v/>
      </c>
      <c r="D458" s="60" t="str">
        <f>IF($O458="","",INDEX(jr_tiers,$O458)&amp;"")</f>
        <v/>
      </c>
      <c r="E458" s="57" t="str">
        <f>IF($O458="","",INDEX(jr_name,$O458)&amp;"")</f>
        <v/>
      </c>
      <c r="F458" s="57" t="str">
        <f>IF($O458="","",INDEX(jr_order,$O458)&amp;"")</f>
        <v/>
      </c>
      <c r="G458" s="57" t="str">
        <f>IF($O458="","",INDEX(jr_ext,$O458)&amp;"")</f>
        <v/>
      </c>
      <c r="H458" s="57" t="str">
        <f>IF($O458="","",INDEX(jr_carrier,$O458)&amp;"")</f>
        <v/>
      </c>
      <c r="I458" s="66" t="str">
        <f>IF(A458="","",COUNTIF(jr_num,A458))</f>
        <v/>
      </c>
      <c r="J458" s="66" t="str">
        <f>IF(A458="","",SUMIF(jr_num,A458,jr_colis))</f>
        <v/>
      </c>
      <c r="K458" s="63" t="str">
        <f>IF(A458="","",SUMIF(jr_num,A458,jr_kg))</f>
        <v/>
      </c>
      <c r="L458" s="64" t="str">
        <f>IF(A458="","",SUMIF(jr_num,A458,jr_val))</f>
        <v/>
      </c>
      <c r="M458" s="60" t="str">
        <f>IF(A458="","",IF(COUNTIFS(jr_num,A458,jr_check,"&lt;&gt;OK")&gt;0,"À vérifier",IF(LEFT(A458,2)="BL",IF(COUNTIFS(jr_num,A458,jr_rel,"&gt;0")&gt;0,"Reliquat en cours",IF(COUNTIFS(jr_num,A458,jr_gap,"&lt;0")&gt;0,"Reliquat livré","Complet")),IF(LEFT(A458,2)="BR",IF(COUNTIFS(jr_num,A458,jr_etat,"Refusé")&gt;0,"Refusé",IF(COUNTIFS(jr_num,A458,jr_etat,"Avec réserves")&gt;0,"Avec réserves",IF(COUNTIFS(jr_num,A458,jr_rel,"&gt;0")&gt;0,"Reliquat en cours",IF(COUNTIFS(jr_num,A458,jr_gap,"&lt;0")+COUNTIFS(jr_num,A458,jr_gap,"&gt;0")&gt;0,"Écart","Conforme")))),IF(COUNTIFS(jr_num,A458,jr_gap,"&lt;0")&gt;0,"Partiel","Sorti")))))</f>
        <v/>
      </c>
      <c r="O458" t="str">
        <f>IFERROR(MATCH(453,jr_grank,0),"")</f>
        <v/>
      </c>
      <c r="R458" s="67" t="str">
        <f>IFERROR(INDEX(jr_num,MATCH("BL453",jr_nkey,0))&amp;"","")</f>
        <v/>
      </c>
      <c r="S458" s="67" t="str">
        <f>IFERROR(INDEX(jr_num,MATCH("BR453",jr_nkey,0))&amp;"","")</f>
        <v/>
      </c>
      <c r="T458" s="67" t="str">
        <f>IFERROR(INDEX(jr_num,MATCH("BS453",jr_nkey,0))&amp;"","")</f>
        <v/>
      </c>
    </row>
    <row r="459">
      <c r="A459" s="60" t="str">
        <f>IF($O459="","",INDEX(jr_num,$O459)&amp;"")</f>
        <v/>
      </c>
      <c r="B459" s="60" t="str">
        <f>IF($O459="","",IF(INDEX(jr_type,$O459)="BL","Livraison",IF(INDEX(jr_type,$O459)="BR","Réception","Sortie")))</f>
        <v/>
      </c>
      <c r="C459" s="65" t="str">
        <f>IF($O459="","",INDEX(jr_date,$O459))</f>
        <v/>
      </c>
      <c r="D459" s="60" t="str">
        <f>IF($O459="","",INDEX(jr_tiers,$O459)&amp;"")</f>
        <v/>
      </c>
      <c r="E459" s="57" t="str">
        <f>IF($O459="","",INDEX(jr_name,$O459)&amp;"")</f>
        <v/>
      </c>
      <c r="F459" s="57" t="str">
        <f>IF($O459="","",INDEX(jr_order,$O459)&amp;"")</f>
        <v/>
      </c>
      <c r="G459" s="57" t="str">
        <f>IF($O459="","",INDEX(jr_ext,$O459)&amp;"")</f>
        <v/>
      </c>
      <c r="H459" s="57" t="str">
        <f>IF($O459="","",INDEX(jr_carrier,$O459)&amp;"")</f>
        <v/>
      </c>
      <c r="I459" s="66" t="str">
        <f>IF(A459="","",COUNTIF(jr_num,A459))</f>
        <v/>
      </c>
      <c r="J459" s="66" t="str">
        <f>IF(A459="","",SUMIF(jr_num,A459,jr_colis))</f>
        <v/>
      </c>
      <c r="K459" s="63" t="str">
        <f>IF(A459="","",SUMIF(jr_num,A459,jr_kg))</f>
        <v/>
      </c>
      <c r="L459" s="64" t="str">
        <f>IF(A459="","",SUMIF(jr_num,A459,jr_val))</f>
        <v/>
      </c>
      <c r="M459" s="60" t="str">
        <f>IF(A459="","",IF(COUNTIFS(jr_num,A459,jr_check,"&lt;&gt;OK")&gt;0,"À vérifier",IF(LEFT(A459,2)="BL",IF(COUNTIFS(jr_num,A459,jr_rel,"&gt;0")&gt;0,"Reliquat en cours",IF(COUNTIFS(jr_num,A459,jr_gap,"&lt;0")&gt;0,"Reliquat livré","Complet")),IF(LEFT(A459,2)="BR",IF(COUNTIFS(jr_num,A459,jr_etat,"Refusé")&gt;0,"Refusé",IF(COUNTIFS(jr_num,A459,jr_etat,"Avec réserves")&gt;0,"Avec réserves",IF(COUNTIFS(jr_num,A459,jr_rel,"&gt;0")&gt;0,"Reliquat en cours",IF(COUNTIFS(jr_num,A459,jr_gap,"&lt;0")+COUNTIFS(jr_num,A459,jr_gap,"&gt;0")&gt;0,"Écart","Conforme")))),IF(COUNTIFS(jr_num,A459,jr_gap,"&lt;0")&gt;0,"Partiel","Sorti")))))</f>
        <v/>
      </c>
      <c r="O459" t="str">
        <f>IFERROR(MATCH(454,jr_grank,0),"")</f>
        <v/>
      </c>
      <c r="R459" s="67" t="str">
        <f>IFERROR(INDEX(jr_num,MATCH("BL454",jr_nkey,0))&amp;"","")</f>
        <v/>
      </c>
      <c r="S459" s="67" t="str">
        <f>IFERROR(INDEX(jr_num,MATCH("BR454",jr_nkey,0))&amp;"","")</f>
        <v/>
      </c>
      <c r="T459" s="67" t="str">
        <f>IFERROR(INDEX(jr_num,MATCH("BS454",jr_nkey,0))&amp;"","")</f>
        <v/>
      </c>
    </row>
    <row r="460">
      <c r="A460" s="60" t="str">
        <f>IF($O460="","",INDEX(jr_num,$O460)&amp;"")</f>
        <v/>
      </c>
      <c r="B460" s="60" t="str">
        <f>IF($O460="","",IF(INDEX(jr_type,$O460)="BL","Livraison",IF(INDEX(jr_type,$O460)="BR","Réception","Sortie")))</f>
        <v/>
      </c>
      <c r="C460" s="65" t="str">
        <f>IF($O460="","",INDEX(jr_date,$O460))</f>
        <v/>
      </c>
      <c r="D460" s="60" t="str">
        <f>IF($O460="","",INDEX(jr_tiers,$O460)&amp;"")</f>
        <v/>
      </c>
      <c r="E460" s="57" t="str">
        <f>IF($O460="","",INDEX(jr_name,$O460)&amp;"")</f>
        <v/>
      </c>
      <c r="F460" s="57" t="str">
        <f>IF($O460="","",INDEX(jr_order,$O460)&amp;"")</f>
        <v/>
      </c>
      <c r="G460" s="57" t="str">
        <f>IF($O460="","",INDEX(jr_ext,$O460)&amp;"")</f>
        <v/>
      </c>
      <c r="H460" s="57" t="str">
        <f>IF($O460="","",INDEX(jr_carrier,$O460)&amp;"")</f>
        <v/>
      </c>
      <c r="I460" s="66" t="str">
        <f>IF(A460="","",COUNTIF(jr_num,A460))</f>
        <v/>
      </c>
      <c r="J460" s="66" t="str">
        <f>IF(A460="","",SUMIF(jr_num,A460,jr_colis))</f>
        <v/>
      </c>
      <c r="K460" s="63" t="str">
        <f>IF(A460="","",SUMIF(jr_num,A460,jr_kg))</f>
        <v/>
      </c>
      <c r="L460" s="64" t="str">
        <f>IF(A460="","",SUMIF(jr_num,A460,jr_val))</f>
        <v/>
      </c>
      <c r="M460" s="60" t="str">
        <f>IF(A460="","",IF(COUNTIFS(jr_num,A460,jr_check,"&lt;&gt;OK")&gt;0,"À vérifier",IF(LEFT(A460,2)="BL",IF(COUNTIFS(jr_num,A460,jr_rel,"&gt;0")&gt;0,"Reliquat en cours",IF(COUNTIFS(jr_num,A460,jr_gap,"&lt;0")&gt;0,"Reliquat livré","Complet")),IF(LEFT(A460,2)="BR",IF(COUNTIFS(jr_num,A460,jr_etat,"Refusé")&gt;0,"Refusé",IF(COUNTIFS(jr_num,A460,jr_etat,"Avec réserves")&gt;0,"Avec réserves",IF(COUNTIFS(jr_num,A460,jr_rel,"&gt;0")&gt;0,"Reliquat en cours",IF(COUNTIFS(jr_num,A460,jr_gap,"&lt;0")+COUNTIFS(jr_num,A460,jr_gap,"&gt;0")&gt;0,"Écart","Conforme")))),IF(COUNTIFS(jr_num,A460,jr_gap,"&lt;0")&gt;0,"Partiel","Sorti")))))</f>
        <v/>
      </c>
      <c r="O460" t="str">
        <f>IFERROR(MATCH(455,jr_grank,0),"")</f>
        <v/>
      </c>
      <c r="R460" s="67" t="str">
        <f>IFERROR(INDEX(jr_num,MATCH("BL455",jr_nkey,0))&amp;"","")</f>
        <v/>
      </c>
      <c r="S460" s="67" t="str">
        <f>IFERROR(INDEX(jr_num,MATCH("BR455",jr_nkey,0))&amp;"","")</f>
        <v/>
      </c>
      <c r="T460" s="67" t="str">
        <f>IFERROR(INDEX(jr_num,MATCH("BS455",jr_nkey,0))&amp;"","")</f>
        <v/>
      </c>
    </row>
    <row r="461">
      <c r="A461" s="60" t="str">
        <f>IF($O461="","",INDEX(jr_num,$O461)&amp;"")</f>
        <v/>
      </c>
      <c r="B461" s="60" t="str">
        <f>IF($O461="","",IF(INDEX(jr_type,$O461)="BL","Livraison",IF(INDEX(jr_type,$O461)="BR","Réception","Sortie")))</f>
        <v/>
      </c>
      <c r="C461" s="65" t="str">
        <f>IF($O461="","",INDEX(jr_date,$O461))</f>
        <v/>
      </c>
      <c r="D461" s="60" t="str">
        <f>IF($O461="","",INDEX(jr_tiers,$O461)&amp;"")</f>
        <v/>
      </c>
      <c r="E461" s="57" t="str">
        <f>IF($O461="","",INDEX(jr_name,$O461)&amp;"")</f>
        <v/>
      </c>
      <c r="F461" s="57" t="str">
        <f>IF($O461="","",INDEX(jr_order,$O461)&amp;"")</f>
        <v/>
      </c>
      <c r="G461" s="57" t="str">
        <f>IF($O461="","",INDEX(jr_ext,$O461)&amp;"")</f>
        <v/>
      </c>
      <c r="H461" s="57" t="str">
        <f>IF($O461="","",INDEX(jr_carrier,$O461)&amp;"")</f>
        <v/>
      </c>
      <c r="I461" s="66" t="str">
        <f>IF(A461="","",COUNTIF(jr_num,A461))</f>
        <v/>
      </c>
      <c r="J461" s="66" t="str">
        <f>IF(A461="","",SUMIF(jr_num,A461,jr_colis))</f>
        <v/>
      </c>
      <c r="K461" s="63" t="str">
        <f>IF(A461="","",SUMIF(jr_num,A461,jr_kg))</f>
        <v/>
      </c>
      <c r="L461" s="64" t="str">
        <f>IF(A461="","",SUMIF(jr_num,A461,jr_val))</f>
        <v/>
      </c>
      <c r="M461" s="60" t="str">
        <f>IF(A461="","",IF(COUNTIFS(jr_num,A461,jr_check,"&lt;&gt;OK")&gt;0,"À vérifier",IF(LEFT(A461,2)="BL",IF(COUNTIFS(jr_num,A461,jr_rel,"&gt;0")&gt;0,"Reliquat en cours",IF(COUNTIFS(jr_num,A461,jr_gap,"&lt;0")&gt;0,"Reliquat livré","Complet")),IF(LEFT(A461,2)="BR",IF(COUNTIFS(jr_num,A461,jr_etat,"Refusé")&gt;0,"Refusé",IF(COUNTIFS(jr_num,A461,jr_etat,"Avec réserves")&gt;0,"Avec réserves",IF(COUNTIFS(jr_num,A461,jr_rel,"&gt;0")&gt;0,"Reliquat en cours",IF(COUNTIFS(jr_num,A461,jr_gap,"&lt;0")+COUNTIFS(jr_num,A461,jr_gap,"&gt;0")&gt;0,"Écart","Conforme")))),IF(COUNTIFS(jr_num,A461,jr_gap,"&lt;0")&gt;0,"Partiel","Sorti")))))</f>
        <v/>
      </c>
      <c r="O461" t="str">
        <f>IFERROR(MATCH(456,jr_grank,0),"")</f>
        <v/>
      </c>
      <c r="R461" s="67" t="str">
        <f>IFERROR(INDEX(jr_num,MATCH("BL456",jr_nkey,0))&amp;"","")</f>
        <v/>
      </c>
      <c r="S461" s="67" t="str">
        <f>IFERROR(INDEX(jr_num,MATCH("BR456",jr_nkey,0))&amp;"","")</f>
        <v/>
      </c>
      <c r="T461" s="67" t="str">
        <f>IFERROR(INDEX(jr_num,MATCH("BS456",jr_nkey,0))&amp;"","")</f>
        <v/>
      </c>
    </row>
    <row r="462">
      <c r="A462" s="60" t="str">
        <f>IF($O462="","",INDEX(jr_num,$O462)&amp;"")</f>
        <v/>
      </c>
      <c r="B462" s="60" t="str">
        <f>IF($O462="","",IF(INDEX(jr_type,$O462)="BL","Livraison",IF(INDEX(jr_type,$O462)="BR","Réception","Sortie")))</f>
        <v/>
      </c>
      <c r="C462" s="65" t="str">
        <f>IF($O462="","",INDEX(jr_date,$O462))</f>
        <v/>
      </c>
      <c r="D462" s="60" t="str">
        <f>IF($O462="","",INDEX(jr_tiers,$O462)&amp;"")</f>
        <v/>
      </c>
      <c r="E462" s="57" t="str">
        <f>IF($O462="","",INDEX(jr_name,$O462)&amp;"")</f>
        <v/>
      </c>
      <c r="F462" s="57" t="str">
        <f>IF($O462="","",INDEX(jr_order,$O462)&amp;"")</f>
        <v/>
      </c>
      <c r="G462" s="57" t="str">
        <f>IF($O462="","",INDEX(jr_ext,$O462)&amp;"")</f>
        <v/>
      </c>
      <c r="H462" s="57" t="str">
        <f>IF($O462="","",INDEX(jr_carrier,$O462)&amp;"")</f>
        <v/>
      </c>
      <c r="I462" s="66" t="str">
        <f>IF(A462="","",COUNTIF(jr_num,A462))</f>
        <v/>
      </c>
      <c r="J462" s="66" t="str">
        <f>IF(A462="","",SUMIF(jr_num,A462,jr_colis))</f>
        <v/>
      </c>
      <c r="K462" s="63" t="str">
        <f>IF(A462="","",SUMIF(jr_num,A462,jr_kg))</f>
        <v/>
      </c>
      <c r="L462" s="64" t="str">
        <f>IF(A462="","",SUMIF(jr_num,A462,jr_val))</f>
        <v/>
      </c>
      <c r="M462" s="60" t="str">
        <f>IF(A462="","",IF(COUNTIFS(jr_num,A462,jr_check,"&lt;&gt;OK")&gt;0,"À vérifier",IF(LEFT(A462,2)="BL",IF(COUNTIFS(jr_num,A462,jr_rel,"&gt;0")&gt;0,"Reliquat en cours",IF(COUNTIFS(jr_num,A462,jr_gap,"&lt;0")&gt;0,"Reliquat livré","Complet")),IF(LEFT(A462,2)="BR",IF(COUNTIFS(jr_num,A462,jr_etat,"Refusé")&gt;0,"Refusé",IF(COUNTIFS(jr_num,A462,jr_etat,"Avec réserves")&gt;0,"Avec réserves",IF(COUNTIFS(jr_num,A462,jr_rel,"&gt;0")&gt;0,"Reliquat en cours",IF(COUNTIFS(jr_num,A462,jr_gap,"&lt;0")+COUNTIFS(jr_num,A462,jr_gap,"&gt;0")&gt;0,"Écart","Conforme")))),IF(COUNTIFS(jr_num,A462,jr_gap,"&lt;0")&gt;0,"Partiel","Sorti")))))</f>
        <v/>
      </c>
      <c r="O462" t="str">
        <f>IFERROR(MATCH(457,jr_grank,0),"")</f>
        <v/>
      </c>
      <c r="R462" s="67" t="str">
        <f>IFERROR(INDEX(jr_num,MATCH("BL457",jr_nkey,0))&amp;"","")</f>
        <v/>
      </c>
      <c r="S462" s="67" t="str">
        <f>IFERROR(INDEX(jr_num,MATCH("BR457",jr_nkey,0))&amp;"","")</f>
        <v/>
      </c>
      <c r="T462" s="67" t="str">
        <f>IFERROR(INDEX(jr_num,MATCH("BS457",jr_nkey,0))&amp;"","")</f>
        <v/>
      </c>
    </row>
    <row r="463">
      <c r="A463" s="60" t="str">
        <f>IF($O463="","",INDEX(jr_num,$O463)&amp;"")</f>
        <v/>
      </c>
      <c r="B463" s="60" t="str">
        <f>IF($O463="","",IF(INDEX(jr_type,$O463)="BL","Livraison",IF(INDEX(jr_type,$O463)="BR","Réception","Sortie")))</f>
        <v/>
      </c>
      <c r="C463" s="65" t="str">
        <f>IF($O463="","",INDEX(jr_date,$O463))</f>
        <v/>
      </c>
      <c r="D463" s="60" t="str">
        <f>IF($O463="","",INDEX(jr_tiers,$O463)&amp;"")</f>
        <v/>
      </c>
      <c r="E463" s="57" t="str">
        <f>IF($O463="","",INDEX(jr_name,$O463)&amp;"")</f>
        <v/>
      </c>
      <c r="F463" s="57" t="str">
        <f>IF($O463="","",INDEX(jr_order,$O463)&amp;"")</f>
        <v/>
      </c>
      <c r="G463" s="57" t="str">
        <f>IF($O463="","",INDEX(jr_ext,$O463)&amp;"")</f>
        <v/>
      </c>
      <c r="H463" s="57" t="str">
        <f>IF($O463="","",INDEX(jr_carrier,$O463)&amp;"")</f>
        <v/>
      </c>
      <c r="I463" s="66" t="str">
        <f>IF(A463="","",COUNTIF(jr_num,A463))</f>
        <v/>
      </c>
      <c r="J463" s="66" t="str">
        <f>IF(A463="","",SUMIF(jr_num,A463,jr_colis))</f>
        <v/>
      </c>
      <c r="K463" s="63" t="str">
        <f>IF(A463="","",SUMIF(jr_num,A463,jr_kg))</f>
        <v/>
      </c>
      <c r="L463" s="64" t="str">
        <f>IF(A463="","",SUMIF(jr_num,A463,jr_val))</f>
        <v/>
      </c>
      <c r="M463" s="60" t="str">
        <f>IF(A463="","",IF(COUNTIFS(jr_num,A463,jr_check,"&lt;&gt;OK")&gt;0,"À vérifier",IF(LEFT(A463,2)="BL",IF(COUNTIFS(jr_num,A463,jr_rel,"&gt;0")&gt;0,"Reliquat en cours",IF(COUNTIFS(jr_num,A463,jr_gap,"&lt;0")&gt;0,"Reliquat livré","Complet")),IF(LEFT(A463,2)="BR",IF(COUNTIFS(jr_num,A463,jr_etat,"Refusé")&gt;0,"Refusé",IF(COUNTIFS(jr_num,A463,jr_etat,"Avec réserves")&gt;0,"Avec réserves",IF(COUNTIFS(jr_num,A463,jr_rel,"&gt;0")&gt;0,"Reliquat en cours",IF(COUNTIFS(jr_num,A463,jr_gap,"&lt;0")+COUNTIFS(jr_num,A463,jr_gap,"&gt;0")&gt;0,"Écart","Conforme")))),IF(COUNTIFS(jr_num,A463,jr_gap,"&lt;0")&gt;0,"Partiel","Sorti")))))</f>
        <v/>
      </c>
      <c r="O463" t="str">
        <f>IFERROR(MATCH(458,jr_grank,0),"")</f>
        <v/>
      </c>
      <c r="R463" s="67" t="str">
        <f>IFERROR(INDEX(jr_num,MATCH("BL458",jr_nkey,0))&amp;"","")</f>
        <v/>
      </c>
      <c r="S463" s="67" t="str">
        <f>IFERROR(INDEX(jr_num,MATCH("BR458",jr_nkey,0))&amp;"","")</f>
        <v/>
      </c>
      <c r="T463" s="67" t="str">
        <f>IFERROR(INDEX(jr_num,MATCH("BS458",jr_nkey,0))&amp;"","")</f>
        <v/>
      </c>
    </row>
    <row r="464">
      <c r="A464" s="60" t="str">
        <f>IF($O464="","",INDEX(jr_num,$O464)&amp;"")</f>
        <v/>
      </c>
      <c r="B464" s="60" t="str">
        <f>IF($O464="","",IF(INDEX(jr_type,$O464)="BL","Livraison",IF(INDEX(jr_type,$O464)="BR","Réception","Sortie")))</f>
        <v/>
      </c>
      <c r="C464" s="65" t="str">
        <f>IF($O464="","",INDEX(jr_date,$O464))</f>
        <v/>
      </c>
      <c r="D464" s="60" t="str">
        <f>IF($O464="","",INDEX(jr_tiers,$O464)&amp;"")</f>
        <v/>
      </c>
      <c r="E464" s="57" t="str">
        <f>IF($O464="","",INDEX(jr_name,$O464)&amp;"")</f>
        <v/>
      </c>
      <c r="F464" s="57" t="str">
        <f>IF($O464="","",INDEX(jr_order,$O464)&amp;"")</f>
        <v/>
      </c>
      <c r="G464" s="57" t="str">
        <f>IF($O464="","",INDEX(jr_ext,$O464)&amp;"")</f>
        <v/>
      </c>
      <c r="H464" s="57" t="str">
        <f>IF($O464="","",INDEX(jr_carrier,$O464)&amp;"")</f>
        <v/>
      </c>
      <c r="I464" s="66" t="str">
        <f>IF(A464="","",COUNTIF(jr_num,A464))</f>
        <v/>
      </c>
      <c r="J464" s="66" t="str">
        <f>IF(A464="","",SUMIF(jr_num,A464,jr_colis))</f>
        <v/>
      </c>
      <c r="K464" s="63" t="str">
        <f>IF(A464="","",SUMIF(jr_num,A464,jr_kg))</f>
        <v/>
      </c>
      <c r="L464" s="64" t="str">
        <f>IF(A464="","",SUMIF(jr_num,A464,jr_val))</f>
        <v/>
      </c>
      <c r="M464" s="60" t="str">
        <f>IF(A464="","",IF(COUNTIFS(jr_num,A464,jr_check,"&lt;&gt;OK")&gt;0,"À vérifier",IF(LEFT(A464,2)="BL",IF(COUNTIFS(jr_num,A464,jr_rel,"&gt;0")&gt;0,"Reliquat en cours",IF(COUNTIFS(jr_num,A464,jr_gap,"&lt;0")&gt;0,"Reliquat livré","Complet")),IF(LEFT(A464,2)="BR",IF(COUNTIFS(jr_num,A464,jr_etat,"Refusé")&gt;0,"Refusé",IF(COUNTIFS(jr_num,A464,jr_etat,"Avec réserves")&gt;0,"Avec réserves",IF(COUNTIFS(jr_num,A464,jr_rel,"&gt;0")&gt;0,"Reliquat en cours",IF(COUNTIFS(jr_num,A464,jr_gap,"&lt;0")+COUNTIFS(jr_num,A464,jr_gap,"&gt;0")&gt;0,"Écart","Conforme")))),IF(COUNTIFS(jr_num,A464,jr_gap,"&lt;0")&gt;0,"Partiel","Sorti")))))</f>
        <v/>
      </c>
      <c r="O464" t="str">
        <f>IFERROR(MATCH(459,jr_grank,0),"")</f>
        <v/>
      </c>
      <c r="R464" s="67" t="str">
        <f>IFERROR(INDEX(jr_num,MATCH("BL459",jr_nkey,0))&amp;"","")</f>
        <v/>
      </c>
      <c r="S464" s="67" t="str">
        <f>IFERROR(INDEX(jr_num,MATCH("BR459",jr_nkey,0))&amp;"","")</f>
        <v/>
      </c>
      <c r="T464" s="67" t="str">
        <f>IFERROR(INDEX(jr_num,MATCH("BS459",jr_nkey,0))&amp;"","")</f>
        <v/>
      </c>
    </row>
    <row r="465">
      <c r="A465" s="60" t="str">
        <f>IF($O465="","",INDEX(jr_num,$O465)&amp;"")</f>
        <v/>
      </c>
      <c r="B465" s="60" t="str">
        <f>IF($O465="","",IF(INDEX(jr_type,$O465)="BL","Livraison",IF(INDEX(jr_type,$O465)="BR","Réception","Sortie")))</f>
        <v/>
      </c>
      <c r="C465" s="65" t="str">
        <f>IF($O465="","",INDEX(jr_date,$O465))</f>
        <v/>
      </c>
      <c r="D465" s="60" t="str">
        <f>IF($O465="","",INDEX(jr_tiers,$O465)&amp;"")</f>
        <v/>
      </c>
      <c r="E465" s="57" t="str">
        <f>IF($O465="","",INDEX(jr_name,$O465)&amp;"")</f>
        <v/>
      </c>
      <c r="F465" s="57" t="str">
        <f>IF($O465="","",INDEX(jr_order,$O465)&amp;"")</f>
        <v/>
      </c>
      <c r="G465" s="57" t="str">
        <f>IF($O465="","",INDEX(jr_ext,$O465)&amp;"")</f>
        <v/>
      </c>
      <c r="H465" s="57" t="str">
        <f>IF($O465="","",INDEX(jr_carrier,$O465)&amp;"")</f>
        <v/>
      </c>
      <c r="I465" s="66" t="str">
        <f>IF(A465="","",COUNTIF(jr_num,A465))</f>
        <v/>
      </c>
      <c r="J465" s="66" t="str">
        <f>IF(A465="","",SUMIF(jr_num,A465,jr_colis))</f>
        <v/>
      </c>
      <c r="K465" s="63" t="str">
        <f>IF(A465="","",SUMIF(jr_num,A465,jr_kg))</f>
        <v/>
      </c>
      <c r="L465" s="64" t="str">
        <f>IF(A465="","",SUMIF(jr_num,A465,jr_val))</f>
        <v/>
      </c>
      <c r="M465" s="60" t="str">
        <f>IF(A465="","",IF(COUNTIFS(jr_num,A465,jr_check,"&lt;&gt;OK")&gt;0,"À vérifier",IF(LEFT(A465,2)="BL",IF(COUNTIFS(jr_num,A465,jr_rel,"&gt;0")&gt;0,"Reliquat en cours",IF(COUNTIFS(jr_num,A465,jr_gap,"&lt;0")&gt;0,"Reliquat livré","Complet")),IF(LEFT(A465,2)="BR",IF(COUNTIFS(jr_num,A465,jr_etat,"Refusé")&gt;0,"Refusé",IF(COUNTIFS(jr_num,A465,jr_etat,"Avec réserves")&gt;0,"Avec réserves",IF(COUNTIFS(jr_num,A465,jr_rel,"&gt;0")&gt;0,"Reliquat en cours",IF(COUNTIFS(jr_num,A465,jr_gap,"&lt;0")+COUNTIFS(jr_num,A465,jr_gap,"&gt;0")&gt;0,"Écart","Conforme")))),IF(COUNTIFS(jr_num,A465,jr_gap,"&lt;0")&gt;0,"Partiel","Sorti")))))</f>
        <v/>
      </c>
      <c r="O465" t="str">
        <f>IFERROR(MATCH(460,jr_grank,0),"")</f>
        <v/>
      </c>
      <c r="R465" s="67" t="str">
        <f>IFERROR(INDEX(jr_num,MATCH("BL460",jr_nkey,0))&amp;"","")</f>
        <v/>
      </c>
      <c r="S465" s="67" t="str">
        <f>IFERROR(INDEX(jr_num,MATCH("BR460",jr_nkey,0))&amp;"","")</f>
        <v/>
      </c>
      <c r="T465" s="67" t="str">
        <f>IFERROR(INDEX(jr_num,MATCH("BS460",jr_nkey,0))&amp;"","")</f>
        <v/>
      </c>
    </row>
    <row r="466">
      <c r="A466" s="60" t="str">
        <f>IF($O466="","",INDEX(jr_num,$O466)&amp;"")</f>
        <v/>
      </c>
      <c r="B466" s="60" t="str">
        <f>IF($O466="","",IF(INDEX(jr_type,$O466)="BL","Livraison",IF(INDEX(jr_type,$O466)="BR","Réception","Sortie")))</f>
        <v/>
      </c>
      <c r="C466" s="65" t="str">
        <f>IF($O466="","",INDEX(jr_date,$O466))</f>
        <v/>
      </c>
      <c r="D466" s="60" t="str">
        <f>IF($O466="","",INDEX(jr_tiers,$O466)&amp;"")</f>
        <v/>
      </c>
      <c r="E466" s="57" t="str">
        <f>IF($O466="","",INDEX(jr_name,$O466)&amp;"")</f>
        <v/>
      </c>
      <c r="F466" s="57" t="str">
        <f>IF($O466="","",INDEX(jr_order,$O466)&amp;"")</f>
        <v/>
      </c>
      <c r="G466" s="57" t="str">
        <f>IF($O466="","",INDEX(jr_ext,$O466)&amp;"")</f>
        <v/>
      </c>
      <c r="H466" s="57" t="str">
        <f>IF($O466="","",INDEX(jr_carrier,$O466)&amp;"")</f>
        <v/>
      </c>
      <c r="I466" s="66" t="str">
        <f>IF(A466="","",COUNTIF(jr_num,A466))</f>
        <v/>
      </c>
      <c r="J466" s="66" t="str">
        <f>IF(A466="","",SUMIF(jr_num,A466,jr_colis))</f>
        <v/>
      </c>
      <c r="K466" s="63" t="str">
        <f>IF(A466="","",SUMIF(jr_num,A466,jr_kg))</f>
        <v/>
      </c>
      <c r="L466" s="64" t="str">
        <f>IF(A466="","",SUMIF(jr_num,A466,jr_val))</f>
        <v/>
      </c>
      <c r="M466" s="60" t="str">
        <f>IF(A466="","",IF(COUNTIFS(jr_num,A466,jr_check,"&lt;&gt;OK")&gt;0,"À vérifier",IF(LEFT(A466,2)="BL",IF(COUNTIFS(jr_num,A466,jr_rel,"&gt;0")&gt;0,"Reliquat en cours",IF(COUNTIFS(jr_num,A466,jr_gap,"&lt;0")&gt;0,"Reliquat livré","Complet")),IF(LEFT(A466,2)="BR",IF(COUNTIFS(jr_num,A466,jr_etat,"Refusé")&gt;0,"Refusé",IF(COUNTIFS(jr_num,A466,jr_etat,"Avec réserves")&gt;0,"Avec réserves",IF(COUNTIFS(jr_num,A466,jr_rel,"&gt;0")&gt;0,"Reliquat en cours",IF(COUNTIFS(jr_num,A466,jr_gap,"&lt;0")+COUNTIFS(jr_num,A466,jr_gap,"&gt;0")&gt;0,"Écart","Conforme")))),IF(COUNTIFS(jr_num,A466,jr_gap,"&lt;0")&gt;0,"Partiel","Sorti")))))</f>
        <v/>
      </c>
      <c r="O466" t="str">
        <f>IFERROR(MATCH(461,jr_grank,0),"")</f>
        <v/>
      </c>
      <c r="R466" s="67" t="str">
        <f>IFERROR(INDEX(jr_num,MATCH("BL461",jr_nkey,0))&amp;"","")</f>
        <v/>
      </c>
      <c r="S466" s="67" t="str">
        <f>IFERROR(INDEX(jr_num,MATCH("BR461",jr_nkey,0))&amp;"","")</f>
        <v/>
      </c>
      <c r="T466" s="67" t="str">
        <f>IFERROR(INDEX(jr_num,MATCH("BS461",jr_nkey,0))&amp;"","")</f>
        <v/>
      </c>
    </row>
    <row r="467">
      <c r="A467" s="60" t="str">
        <f>IF($O467="","",INDEX(jr_num,$O467)&amp;"")</f>
        <v/>
      </c>
      <c r="B467" s="60" t="str">
        <f>IF($O467="","",IF(INDEX(jr_type,$O467)="BL","Livraison",IF(INDEX(jr_type,$O467)="BR","Réception","Sortie")))</f>
        <v/>
      </c>
      <c r="C467" s="65" t="str">
        <f>IF($O467="","",INDEX(jr_date,$O467))</f>
        <v/>
      </c>
      <c r="D467" s="60" t="str">
        <f>IF($O467="","",INDEX(jr_tiers,$O467)&amp;"")</f>
        <v/>
      </c>
      <c r="E467" s="57" t="str">
        <f>IF($O467="","",INDEX(jr_name,$O467)&amp;"")</f>
        <v/>
      </c>
      <c r="F467" s="57" t="str">
        <f>IF($O467="","",INDEX(jr_order,$O467)&amp;"")</f>
        <v/>
      </c>
      <c r="G467" s="57" t="str">
        <f>IF($O467="","",INDEX(jr_ext,$O467)&amp;"")</f>
        <v/>
      </c>
      <c r="H467" s="57" t="str">
        <f>IF($O467="","",INDEX(jr_carrier,$O467)&amp;"")</f>
        <v/>
      </c>
      <c r="I467" s="66" t="str">
        <f>IF(A467="","",COUNTIF(jr_num,A467))</f>
        <v/>
      </c>
      <c r="J467" s="66" t="str">
        <f>IF(A467="","",SUMIF(jr_num,A467,jr_colis))</f>
        <v/>
      </c>
      <c r="K467" s="63" t="str">
        <f>IF(A467="","",SUMIF(jr_num,A467,jr_kg))</f>
        <v/>
      </c>
      <c r="L467" s="64" t="str">
        <f>IF(A467="","",SUMIF(jr_num,A467,jr_val))</f>
        <v/>
      </c>
      <c r="M467" s="60" t="str">
        <f>IF(A467="","",IF(COUNTIFS(jr_num,A467,jr_check,"&lt;&gt;OK")&gt;0,"À vérifier",IF(LEFT(A467,2)="BL",IF(COUNTIFS(jr_num,A467,jr_rel,"&gt;0")&gt;0,"Reliquat en cours",IF(COUNTIFS(jr_num,A467,jr_gap,"&lt;0")&gt;0,"Reliquat livré","Complet")),IF(LEFT(A467,2)="BR",IF(COUNTIFS(jr_num,A467,jr_etat,"Refusé")&gt;0,"Refusé",IF(COUNTIFS(jr_num,A467,jr_etat,"Avec réserves")&gt;0,"Avec réserves",IF(COUNTIFS(jr_num,A467,jr_rel,"&gt;0")&gt;0,"Reliquat en cours",IF(COUNTIFS(jr_num,A467,jr_gap,"&lt;0")+COUNTIFS(jr_num,A467,jr_gap,"&gt;0")&gt;0,"Écart","Conforme")))),IF(COUNTIFS(jr_num,A467,jr_gap,"&lt;0")&gt;0,"Partiel","Sorti")))))</f>
        <v/>
      </c>
      <c r="O467" t="str">
        <f>IFERROR(MATCH(462,jr_grank,0),"")</f>
        <v/>
      </c>
      <c r="R467" s="67" t="str">
        <f>IFERROR(INDEX(jr_num,MATCH("BL462",jr_nkey,0))&amp;"","")</f>
        <v/>
      </c>
      <c r="S467" s="67" t="str">
        <f>IFERROR(INDEX(jr_num,MATCH("BR462",jr_nkey,0))&amp;"","")</f>
        <v/>
      </c>
      <c r="T467" s="67" t="str">
        <f>IFERROR(INDEX(jr_num,MATCH("BS462",jr_nkey,0))&amp;"","")</f>
        <v/>
      </c>
    </row>
    <row r="468">
      <c r="A468" s="60" t="str">
        <f>IF($O468="","",INDEX(jr_num,$O468)&amp;"")</f>
        <v/>
      </c>
      <c r="B468" s="60" t="str">
        <f>IF($O468="","",IF(INDEX(jr_type,$O468)="BL","Livraison",IF(INDEX(jr_type,$O468)="BR","Réception","Sortie")))</f>
        <v/>
      </c>
      <c r="C468" s="65" t="str">
        <f>IF($O468="","",INDEX(jr_date,$O468))</f>
        <v/>
      </c>
      <c r="D468" s="60" t="str">
        <f>IF($O468="","",INDEX(jr_tiers,$O468)&amp;"")</f>
        <v/>
      </c>
      <c r="E468" s="57" t="str">
        <f>IF($O468="","",INDEX(jr_name,$O468)&amp;"")</f>
        <v/>
      </c>
      <c r="F468" s="57" t="str">
        <f>IF($O468="","",INDEX(jr_order,$O468)&amp;"")</f>
        <v/>
      </c>
      <c r="G468" s="57" t="str">
        <f>IF($O468="","",INDEX(jr_ext,$O468)&amp;"")</f>
        <v/>
      </c>
      <c r="H468" s="57" t="str">
        <f>IF($O468="","",INDEX(jr_carrier,$O468)&amp;"")</f>
        <v/>
      </c>
      <c r="I468" s="66" t="str">
        <f>IF(A468="","",COUNTIF(jr_num,A468))</f>
        <v/>
      </c>
      <c r="J468" s="66" t="str">
        <f>IF(A468="","",SUMIF(jr_num,A468,jr_colis))</f>
        <v/>
      </c>
      <c r="K468" s="63" t="str">
        <f>IF(A468="","",SUMIF(jr_num,A468,jr_kg))</f>
        <v/>
      </c>
      <c r="L468" s="64" t="str">
        <f>IF(A468="","",SUMIF(jr_num,A468,jr_val))</f>
        <v/>
      </c>
      <c r="M468" s="60" t="str">
        <f>IF(A468="","",IF(COUNTIFS(jr_num,A468,jr_check,"&lt;&gt;OK")&gt;0,"À vérifier",IF(LEFT(A468,2)="BL",IF(COUNTIFS(jr_num,A468,jr_rel,"&gt;0")&gt;0,"Reliquat en cours",IF(COUNTIFS(jr_num,A468,jr_gap,"&lt;0")&gt;0,"Reliquat livré","Complet")),IF(LEFT(A468,2)="BR",IF(COUNTIFS(jr_num,A468,jr_etat,"Refusé")&gt;0,"Refusé",IF(COUNTIFS(jr_num,A468,jr_etat,"Avec réserves")&gt;0,"Avec réserves",IF(COUNTIFS(jr_num,A468,jr_rel,"&gt;0")&gt;0,"Reliquat en cours",IF(COUNTIFS(jr_num,A468,jr_gap,"&lt;0")+COUNTIFS(jr_num,A468,jr_gap,"&gt;0")&gt;0,"Écart","Conforme")))),IF(COUNTIFS(jr_num,A468,jr_gap,"&lt;0")&gt;0,"Partiel","Sorti")))))</f>
        <v/>
      </c>
      <c r="O468" t="str">
        <f>IFERROR(MATCH(463,jr_grank,0),"")</f>
        <v/>
      </c>
      <c r="R468" s="67" t="str">
        <f>IFERROR(INDEX(jr_num,MATCH("BL463",jr_nkey,0))&amp;"","")</f>
        <v/>
      </c>
      <c r="S468" s="67" t="str">
        <f>IFERROR(INDEX(jr_num,MATCH("BR463",jr_nkey,0))&amp;"","")</f>
        <v/>
      </c>
      <c r="T468" s="67" t="str">
        <f>IFERROR(INDEX(jr_num,MATCH("BS463",jr_nkey,0))&amp;"","")</f>
        <v/>
      </c>
    </row>
    <row r="469">
      <c r="A469" s="60" t="str">
        <f>IF($O469="","",INDEX(jr_num,$O469)&amp;"")</f>
        <v/>
      </c>
      <c r="B469" s="60" t="str">
        <f>IF($O469="","",IF(INDEX(jr_type,$O469)="BL","Livraison",IF(INDEX(jr_type,$O469)="BR","Réception","Sortie")))</f>
        <v/>
      </c>
      <c r="C469" s="65" t="str">
        <f>IF($O469="","",INDEX(jr_date,$O469))</f>
        <v/>
      </c>
      <c r="D469" s="60" t="str">
        <f>IF($O469="","",INDEX(jr_tiers,$O469)&amp;"")</f>
        <v/>
      </c>
      <c r="E469" s="57" t="str">
        <f>IF($O469="","",INDEX(jr_name,$O469)&amp;"")</f>
        <v/>
      </c>
      <c r="F469" s="57" t="str">
        <f>IF($O469="","",INDEX(jr_order,$O469)&amp;"")</f>
        <v/>
      </c>
      <c r="G469" s="57" t="str">
        <f>IF($O469="","",INDEX(jr_ext,$O469)&amp;"")</f>
        <v/>
      </c>
      <c r="H469" s="57" t="str">
        <f>IF($O469="","",INDEX(jr_carrier,$O469)&amp;"")</f>
        <v/>
      </c>
      <c r="I469" s="66" t="str">
        <f>IF(A469="","",COUNTIF(jr_num,A469))</f>
        <v/>
      </c>
      <c r="J469" s="66" t="str">
        <f>IF(A469="","",SUMIF(jr_num,A469,jr_colis))</f>
        <v/>
      </c>
      <c r="K469" s="63" t="str">
        <f>IF(A469="","",SUMIF(jr_num,A469,jr_kg))</f>
        <v/>
      </c>
      <c r="L469" s="64" t="str">
        <f>IF(A469="","",SUMIF(jr_num,A469,jr_val))</f>
        <v/>
      </c>
      <c r="M469" s="60" t="str">
        <f>IF(A469="","",IF(COUNTIFS(jr_num,A469,jr_check,"&lt;&gt;OK")&gt;0,"À vérifier",IF(LEFT(A469,2)="BL",IF(COUNTIFS(jr_num,A469,jr_rel,"&gt;0")&gt;0,"Reliquat en cours",IF(COUNTIFS(jr_num,A469,jr_gap,"&lt;0")&gt;0,"Reliquat livré","Complet")),IF(LEFT(A469,2)="BR",IF(COUNTIFS(jr_num,A469,jr_etat,"Refusé")&gt;0,"Refusé",IF(COUNTIFS(jr_num,A469,jr_etat,"Avec réserves")&gt;0,"Avec réserves",IF(COUNTIFS(jr_num,A469,jr_rel,"&gt;0")&gt;0,"Reliquat en cours",IF(COUNTIFS(jr_num,A469,jr_gap,"&lt;0")+COUNTIFS(jr_num,A469,jr_gap,"&gt;0")&gt;0,"Écart","Conforme")))),IF(COUNTIFS(jr_num,A469,jr_gap,"&lt;0")&gt;0,"Partiel","Sorti")))))</f>
        <v/>
      </c>
      <c r="O469" t="str">
        <f>IFERROR(MATCH(464,jr_grank,0),"")</f>
        <v/>
      </c>
      <c r="R469" s="67" t="str">
        <f>IFERROR(INDEX(jr_num,MATCH("BL464",jr_nkey,0))&amp;"","")</f>
        <v/>
      </c>
      <c r="S469" s="67" t="str">
        <f>IFERROR(INDEX(jr_num,MATCH("BR464",jr_nkey,0))&amp;"","")</f>
        <v/>
      </c>
      <c r="T469" s="67" t="str">
        <f>IFERROR(INDEX(jr_num,MATCH("BS464",jr_nkey,0))&amp;"","")</f>
        <v/>
      </c>
    </row>
    <row r="470">
      <c r="A470" s="60" t="str">
        <f>IF($O470="","",INDEX(jr_num,$O470)&amp;"")</f>
        <v/>
      </c>
      <c r="B470" s="60" t="str">
        <f>IF($O470="","",IF(INDEX(jr_type,$O470)="BL","Livraison",IF(INDEX(jr_type,$O470)="BR","Réception","Sortie")))</f>
        <v/>
      </c>
      <c r="C470" s="65" t="str">
        <f>IF($O470="","",INDEX(jr_date,$O470))</f>
        <v/>
      </c>
      <c r="D470" s="60" t="str">
        <f>IF($O470="","",INDEX(jr_tiers,$O470)&amp;"")</f>
        <v/>
      </c>
      <c r="E470" s="57" t="str">
        <f>IF($O470="","",INDEX(jr_name,$O470)&amp;"")</f>
        <v/>
      </c>
      <c r="F470" s="57" t="str">
        <f>IF($O470="","",INDEX(jr_order,$O470)&amp;"")</f>
        <v/>
      </c>
      <c r="G470" s="57" t="str">
        <f>IF($O470="","",INDEX(jr_ext,$O470)&amp;"")</f>
        <v/>
      </c>
      <c r="H470" s="57" t="str">
        <f>IF($O470="","",INDEX(jr_carrier,$O470)&amp;"")</f>
        <v/>
      </c>
      <c r="I470" s="66" t="str">
        <f>IF(A470="","",COUNTIF(jr_num,A470))</f>
        <v/>
      </c>
      <c r="J470" s="66" t="str">
        <f>IF(A470="","",SUMIF(jr_num,A470,jr_colis))</f>
        <v/>
      </c>
      <c r="K470" s="63" t="str">
        <f>IF(A470="","",SUMIF(jr_num,A470,jr_kg))</f>
        <v/>
      </c>
      <c r="L470" s="64" t="str">
        <f>IF(A470="","",SUMIF(jr_num,A470,jr_val))</f>
        <v/>
      </c>
      <c r="M470" s="60" t="str">
        <f>IF(A470="","",IF(COUNTIFS(jr_num,A470,jr_check,"&lt;&gt;OK")&gt;0,"À vérifier",IF(LEFT(A470,2)="BL",IF(COUNTIFS(jr_num,A470,jr_rel,"&gt;0")&gt;0,"Reliquat en cours",IF(COUNTIFS(jr_num,A470,jr_gap,"&lt;0")&gt;0,"Reliquat livré","Complet")),IF(LEFT(A470,2)="BR",IF(COUNTIFS(jr_num,A470,jr_etat,"Refusé")&gt;0,"Refusé",IF(COUNTIFS(jr_num,A470,jr_etat,"Avec réserves")&gt;0,"Avec réserves",IF(COUNTIFS(jr_num,A470,jr_rel,"&gt;0")&gt;0,"Reliquat en cours",IF(COUNTIFS(jr_num,A470,jr_gap,"&lt;0")+COUNTIFS(jr_num,A470,jr_gap,"&gt;0")&gt;0,"Écart","Conforme")))),IF(COUNTIFS(jr_num,A470,jr_gap,"&lt;0")&gt;0,"Partiel","Sorti")))))</f>
        <v/>
      </c>
      <c r="O470" t="str">
        <f>IFERROR(MATCH(465,jr_grank,0),"")</f>
        <v/>
      </c>
      <c r="R470" s="67" t="str">
        <f>IFERROR(INDEX(jr_num,MATCH("BL465",jr_nkey,0))&amp;"","")</f>
        <v/>
      </c>
      <c r="S470" s="67" t="str">
        <f>IFERROR(INDEX(jr_num,MATCH("BR465",jr_nkey,0))&amp;"","")</f>
        <v/>
      </c>
      <c r="T470" s="67" t="str">
        <f>IFERROR(INDEX(jr_num,MATCH("BS465",jr_nkey,0))&amp;"","")</f>
        <v/>
      </c>
    </row>
    <row r="471">
      <c r="A471" s="60" t="str">
        <f>IF($O471="","",INDEX(jr_num,$O471)&amp;"")</f>
        <v/>
      </c>
      <c r="B471" s="60" t="str">
        <f>IF($O471="","",IF(INDEX(jr_type,$O471)="BL","Livraison",IF(INDEX(jr_type,$O471)="BR","Réception","Sortie")))</f>
        <v/>
      </c>
      <c r="C471" s="65" t="str">
        <f>IF($O471="","",INDEX(jr_date,$O471))</f>
        <v/>
      </c>
      <c r="D471" s="60" t="str">
        <f>IF($O471="","",INDEX(jr_tiers,$O471)&amp;"")</f>
        <v/>
      </c>
      <c r="E471" s="57" t="str">
        <f>IF($O471="","",INDEX(jr_name,$O471)&amp;"")</f>
        <v/>
      </c>
      <c r="F471" s="57" t="str">
        <f>IF($O471="","",INDEX(jr_order,$O471)&amp;"")</f>
        <v/>
      </c>
      <c r="G471" s="57" t="str">
        <f>IF($O471="","",INDEX(jr_ext,$O471)&amp;"")</f>
        <v/>
      </c>
      <c r="H471" s="57" t="str">
        <f>IF($O471="","",INDEX(jr_carrier,$O471)&amp;"")</f>
        <v/>
      </c>
      <c r="I471" s="66" t="str">
        <f>IF(A471="","",COUNTIF(jr_num,A471))</f>
        <v/>
      </c>
      <c r="J471" s="66" t="str">
        <f>IF(A471="","",SUMIF(jr_num,A471,jr_colis))</f>
        <v/>
      </c>
      <c r="K471" s="63" t="str">
        <f>IF(A471="","",SUMIF(jr_num,A471,jr_kg))</f>
        <v/>
      </c>
      <c r="L471" s="64" t="str">
        <f>IF(A471="","",SUMIF(jr_num,A471,jr_val))</f>
        <v/>
      </c>
      <c r="M471" s="60" t="str">
        <f>IF(A471="","",IF(COUNTIFS(jr_num,A471,jr_check,"&lt;&gt;OK")&gt;0,"À vérifier",IF(LEFT(A471,2)="BL",IF(COUNTIFS(jr_num,A471,jr_rel,"&gt;0")&gt;0,"Reliquat en cours",IF(COUNTIFS(jr_num,A471,jr_gap,"&lt;0")&gt;0,"Reliquat livré","Complet")),IF(LEFT(A471,2)="BR",IF(COUNTIFS(jr_num,A471,jr_etat,"Refusé")&gt;0,"Refusé",IF(COUNTIFS(jr_num,A471,jr_etat,"Avec réserves")&gt;0,"Avec réserves",IF(COUNTIFS(jr_num,A471,jr_rel,"&gt;0")&gt;0,"Reliquat en cours",IF(COUNTIFS(jr_num,A471,jr_gap,"&lt;0")+COUNTIFS(jr_num,A471,jr_gap,"&gt;0")&gt;0,"Écart","Conforme")))),IF(COUNTIFS(jr_num,A471,jr_gap,"&lt;0")&gt;0,"Partiel","Sorti")))))</f>
        <v/>
      </c>
      <c r="O471" t="str">
        <f>IFERROR(MATCH(466,jr_grank,0),"")</f>
        <v/>
      </c>
      <c r="R471" s="67" t="str">
        <f>IFERROR(INDEX(jr_num,MATCH("BL466",jr_nkey,0))&amp;"","")</f>
        <v/>
      </c>
      <c r="S471" s="67" t="str">
        <f>IFERROR(INDEX(jr_num,MATCH("BR466",jr_nkey,0))&amp;"","")</f>
        <v/>
      </c>
      <c r="T471" s="67" t="str">
        <f>IFERROR(INDEX(jr_num,MATCH("BS466",jr_nkey,0))&amp;"","")</f>
        <v/>
      </c>
    </row>
    <row r="472">
      <c r="A472" s="60" t="str">
        <f>IF($O472="","",INDEX(jr_num,$O472)&amp;"")</f>
        <v/>
      </c>
      <c r="B472" s="60" t="str">
        <f>IF($O472="","",IF(INDEX(jr_type,$O472)="BL","Livraison",IF(INDEX(jr_type,$O472)="BR","Réception","Sortie")))</f>
        <v/>
      </c>
      <c r="C472" s="65" t="str">
        <f>IF($O472="","",INDEX(jr_date,$O472))</f>
        <v/>
      </c>
      <c r="D472" s="60" t="str">
        <f>IF($O472="","",INDEX(jr_tiers,$O472)&amp;"")</f>
        <v/>
      </c>
      <c r="E472" s="57" t="str">
        <f>IF($O472="","",INDEX(jr_name,$O472)&amp;"")</f>
        <v/>
      </c>
      <c r="F472" s="57" t="str">
        <f>IF($O472="","",INDEX(jr_order,$O472)&amp;"")</f>
        <v/>
      </c>
      <c r="G472" s="57" t="str">
        <f>IF($O472="","",INDEX(jr_ext,$O472)&amp;"")</f>
        <v/>
      </c>
      <c r="H472" s="57" t="str">
        <f>IF($O472="","",INDEX(jr_carrier,$O472)&amp;"")</f>
        <v/>
      </c>
      <c r="I472" s="66" t="str">
        <f>IF(A472="","",COUNTIF(jr_num,A472))</f>
        <v/>
      </c>
      <c r="J472" s="66" t="str">
        <f>IF(A472="","",SUMIF(jr_num,A472,jr_colis))</f>
        <v/>
      </c>
      <c r="K472" s="63" t="str">
        <f>IF(A472="","",SUMIF(jr_num,A472,jr_kg))</f>
        <v/>
      </c>
      <c r="L472" s="64" t="str">
        <f>IF(A472="","",SUMIF(jr_num,A472,jr_val))</f>
        <v/>
      </c>
      <c r="M472" s="60" t="str">
        <f>IF(A472="","",IF(COUNTIFS(jr_num,A472,jr_check,"&lt;&gt;OK")&gt;0,"À vérifier",IF(LEFT(A472,2)="BL",IF(COUNTIFS(jr_num,A472,jr_rel,"&gt;0")&gt;0,"Reliquat en cours",IF(COUNTIFS(jr_num,A472,jr_gap,"&lt;0")&gt;0,"Reliquat livré","Complet")),IF(LEFT(A472,2)="BR",IF(COUNTIFS(jr_num,A472,jr_etat,"Refusé")&gt;0,"Refusé",IF(COUNTIFS(jr_num,A472,jr_etat,"Avec réserves")&gt;0,"Avec réserves",IF(COUNTIFS(jr_num,A472,jr_rel,"&gt;0")&gt;0,"Reliquat en cours",IF(COUNTIFS(jr_num,A472,jr_gap,"&lt;0")+COUNTIFS(jr_num,A472,jr_gap,"&gt;0")&gt;0,"Écart","Conforme")))),IF(COUNTIFS(jr_num,A472,jr_gap,"&lt;0")&gt;0,"Partiel","Sorti")))))</f>
        <v/>
      </c>
      <c r="O472" t="str">
        <f>IFERROR(MATCH(467,jr_grank,0),"")</f>
        <v/>
      </c>
      <c r="R472" s="67" t="str">
        <f>IFERROR(INDEX(jr_num,MATCH("BL467",jr_nkey,0))&amp;"","")</f>
        <v/>
      </c>
      <c r="S472" s="67" t="str">
        <f>IFERROR(INDEX(jr_num,MATCH("BR467",jr_nkey,0))&amp;"","")</f>
        <v/>
      </c>
      <c r="T472" s="67" t="str">
        <f>IFERROR(INDEX(jr_num,MATCH("BS467",jr_nkey,0))&amp;"","")</f>
        <v/>
      </c>
    </row>
    <row r="473">
      <c r="A473" s="60" t="str">
        <f>IF($O473="","",INDEX(jr_num,$O473)&amp;"")</f>
        <v/>
      </c>
      <c r="B473" s="60" t="str">
        <f>IF($O473="","",IF(INDEX(jr_type,$O473)="BL","Livraison",IF(INDEX(jr_type,$O473)="BR","Réception","Sortie")))</f>
        <v/>
      </c>
      <c r="C473" s="65" t="str">
        <f>IF($O473="","",INDEX(jr_date,$O473))</f>
        <v/>
      </c>
      <c r="D473" s="60" t="str">
        <f>IF($O473="","",INDEX(jr_tiers,$O473)&amp;"")</f>
        <v/>
      </c>
      <c r="E473" s="57" t="str">
        <f>IF($O473="","",INDEX(jr_name,$O473)&amp;"")</f>
        <v/>
      </c>
      <c r="F473" s="57" t="str">
        <f>IF($O473="","",INDEX(jr_order,$O473)&amp;"")</f>
        <v/>
      </c>
      <c r="G473" s="57" t="str">
        <f>IF($O473="","",INDEX(jr_ext,$O473)&amp;"")</f>
        <v/>
      </c>
      <c r="H473" s="57" t="str">
        <f>IF($O473="","",INDEX(jr_carrier,$O473)&amp;"")</f>
        <v/>
      </c>
      <c r="I473" s="66" t="str">
        <f>IF(A473="","",COUNTIF(jr_num,A473))</f>
        <v/>
      </c>
      <c r="J473" s="66" t="str">
        <f>IF(A473="","",SUMIF(jr_num,A473,jr_colis))</f>
        <v/>
      </c>
      <c r="K473" s="63" t="str">
        <f>IF(A473="","",SUMIF(jr_num,A473,jr_kg))</f>
        <v/>
      </c>
      <c r="L473" s="64" t="str">
        <f>IF(A473="","",SUMIF(jr_num,A473,jr_val))</f>
        <v/>
      </c>
      <c r="M473" s="60" t="str">
        <f>IF(A473="","",IF(COUNTIFS(jr_num,A473,jr_check,"&lt;&gt;OK")&gt;0,"À vérifier",IF(LEFT(A473,2)="BL",IF(COUNTIFS(jr_num,A473,jr_rel,"&gt;0")&gt;0,"Reliquat en cours",IF(COUNTIFS(jr_num,A473,jr_gap,"&lt;0")&gt;0,"Reliquat livré","Complet")),IF(LEFT(A473,2)="BR",IF(COUNTIFS(jr_num,A473,jr_etat,"Refusé")&gt;0,"Refusé",IF(COUNTIFS(jr_num,A473,jr_etat,"Avec réserves")&gt;0,"Avec réserves",IF(COUNTIFS(jr_num,A473,jr_rel,"&gt;0")&gt;0,"Reliquat en cours",IF(COUNTIFS(jr_num,A473,jr_gap,"&lt;0")+COUNTIFS(jr_num,A473,jr_gap,"&gt;0")&gt;0,"Écart","Conforme")))),IF(COUNTIFS(jr_num,A473,jr_gap,"&lt;0")&gt;0,"Partiel","Sorti")))))</f>
        <v/>
      </c>
      <c r="O473" t="str">
        <f>IFERROR(MATCH(468,jr_grank,0),"")</f>
        <v/>
      </c>
      <c r="R473" s="67" t="str">
        <f>IFERROR(INDEX(jr_num,MATCH("BL468",jr_nkey,0))&amp;"","")</f>
        <v/>
      </c>
      <c r="S473" s="67" t="str">
        <f>IFERROR(INDEX(jr_num,MATCH("BR468",jr_nkey,0))&amp;"","")</f>
        <v/>
      </c>
      <c r="T473" s="67" t="str">
        <f>IFERROR(INDEX(jr_num,MATCH("BS468",jr_nkey,0))&amp;"","")</f>
        <v/>
      </c>
    </row>
    <row r="474">
      <c r="A474" s="60" t="str">
        <f>IF($O474="","",INDEX(jr_num,$O474)&amp;"")</f>
        <v/>
      </c>
      <c r="B474" s="60" t="str">
        <f>IF($O474="","",IF(INDEX(jr_type,$O474)="BL","Livraison",IF(INDEX(jr_type,$O474)="BR","Réception","Sortie")))</f>
        <v/>
      </c>
      <c r="C474" s="65" t="str">
        <f>IF($O474="","",INDEX(jr_date,$O474))</f>
        <v/>
      </c>
      <c r="D474" s="60" t="str">
        <f>IF($O474="","",INDEX(jr_tiers,$O474)&amp;"")</f>
        <v/>
      </c>
      <c r="E474" s="57" t="str">
        <f>IF($O474="","",INDEX(jr_name,$O474)&amp;"")</f>
        <v/>
      </c>
      <c r="F474" s="57" t="str">
        <f>IF($O474="","",INDEX(jr_order,$O474)&amp;"")</f>
        <v/>
      </c>
      <c r="G474" s="57" t="str">
        <f>IF($O474="","",INDEX(jr_ext,$O474)&amp;"")</f>
        <v/>
      </c>
      <c r="H474" s="57" t="str">
        <f>IF($O474="","",INDEX(jr_carrier,$O474)&amp;"")</f>
        <v/>
      </c>
      <c r="I474" s="66" t="str">
        <f>IF(A474="","",COUNTIF(jr_num,A474))</f>
        <v/>
      </c>
      <c r="J474" s="66" t="str">
        <f>IF(A474="","",SUMIF(jr_num,A474,jr_colis))</f>
        <v/>
      </c>
      <c r="K474" s="63" t="str">
        <f>IF(A474="","",SUMIF(jr_num,A474,jr_kg))</f>
        <v/>
      </c>
      <c r="L474" s="64" t="str">
        <f>IF(A474="","",SUMIF(jr_num,A474,jr_val))</f>
        <v/>
      </c>
      <c r="M474" s="60" t="str">
        <f>IF(A474="","",IF(COUNTIFS(jr_num,A474,jr_check,"&lt;&gt;OK")&gt;0,"À vérifier",IF(LEFT(A474,2)="BL",IF(COUNTIFS(jr_num,A474,jr_rel,"&gt;0")&gt;0,"Reliquat en cours",IF(COUNTIFS(jr_num,A474,jr_gap,"&lt;0")&gt;0,"Reliquat livré","Complet")),IF(LEFT(A474,2)="BR",IF(COUNTIFS(jr_num,A474,jr_etat,"Refusé")&gt;0,"Refusé",IF(COUNTIFS(jr_num,A474,jr_etat,"Avec réserves")&gt;0,"Avec réserves",IF(COUNTIFS(jr_num,A474,jr_rel,"&gt;0")&gt;0,"Reliquat en cours",IF(COUNTIFS(jr_num,A474,jr_gap,"&lt;0")+COUNTIFS(jr_num,A474,jr_gap,"&gt;0")&gt;0,"Écart","Conforme")))),IF(COUNTIFS(jr_num,A474,jr_gap,"&lt;0")&gt;0,"Partiel","Sorti")))))</f>
        <v/>
      </c>
      <c r="O474" t="str">
        <f>IFERROR(MATCH(469,jr_grank,0),"")</f>
        <v/>
      </c>
      <c r="R474" s="67" t="str">
        <f>IFERROR(INDEX(jr_num,MATCH("BL469",jr_nkey,0))&amp;"","")</f>
        <v/>
      </c>
      <c r="S474" s="67" t="str">
        <f>IFERROR(INDEX(jr_num,MATCH("BR469",jr_nkey,0))&amp;"","")</f>
        <v/>
      </c>
      <c r="T474" s="67" t="str">
        <f>IFERROR(INDEX(jr_num,MATCH("BS469",jr_nkey,0))&amp;"","")</f>
        <v/>
      </c>
    </row>
    <row r="475">
      <c r="A475" s="60" t="str">
        <f>IF($O475="","",INDEX(jr_num,$O475)&amp;"")</f>
        <v/>
      </c>
      <c r="B475" s="60" t="str">
        <f>IF($O475="","",IF(INDEX(jr_type,$O475)="BL","Livraison",IF(INDEX(jr_type,$O475)="BR","Réception","Sortie")))</f>
        <v/>
      </c>
      <c r="C475" s="65" t="str">
        <f>IF($O475="","",INDEX(jr_date,$O475))</f>
        <v/>
      </c>
      <c r="D475" s="60" t="str">
        <f>IF($O475="","",INDEX(jr_tiers,$O475)&amp;"")</f>
        <v/>
      </c>
      <c r="E475" s="57" t="str">
        <f>IF($O475="","",INDEX(jr_name,$O475)&amp;"")</f>
        <v/>
      </c>
      <c r="F475" s="57" t="str">
        <f>IF($O475="","",INDEX(jr_order,$O475)&amp;"")</f>
        <v/>
      </c>
      <c r="G475" s="57" t="str">
        <f>IF($O475="","",INDEX(jr_ext,$O475)&amp;"")</f>
        <v/>
      </c>
      <c r="H475" s="57" t="str">
        <f>IF($O475="","",INDEX(jr_carrier,$O475)&amp;"")</f>
        <v/>
      </c>
      <c r="I475" s="66" t="str">
        <f>IF(A475="","",COUNTIF(jr_num,A475))</f>
        <v/>
      </c>
      <c r="J475" s="66" t="str">
        <f>IF(A475="","",SUMIF(jr_num,A475,jr_colis))</f>
        <v/>
      </c>
      <c r="K475" s="63" t="str">
        <f>IF(A475="","",SUMIF(jr_num,A475,jr_kg))</f>
        <v/>
      </c>
      <c r="L475" s="64" t="str">
        <f>IF(A475="","",SUMIF(jr_num,A475,jr_val))</f>
        <v/>
      </c>
      <c r="M475" s="60" t="str">
        <f>IF(A475="","",IF(COUNTIFS(jr_num,A475,jr_check,"&lt;&gt;OK")&gt;0,"À vérifier",IF(LEFT(A475,2)="BL",IF(COUNTIFS(jr_num,A475,jr_rel,"&gt;0")&gt;0,"Reliquat en cours",IF(COUNTIFS(jr_num,A475,jr_gap,"&lt;0")&gt;0,"Reliquat livré","Complet")),IF(LEFT(A475,2)="BR",IF(COUNTIFS(jr_num,A475,jr_etat,"Refusé")&gt;0,"Refusé",IF(COUNTIFS(jr_num,A475,jr_etat,"Avec réserves")&gt;0,"Avec réserves",IF(COUNTIFS(jr_num,A475,jr_rel,"&gt;0")&gt;0,"Reliquat en cours",IF(COUNTIFS(jr_num,A475,jr_gap,"&lt;0")+COUNTIFS(jr_num,A475,jr_gap,"&gt;0")&gt;0,"Écart","Conforme")))),IF(COUNTIFS(jr_num,A475,jr_gap,"&lt;0")&gt;0,"Partiel","Sorti")))))</f>
        <v/>
      </c>
      <c r="O475" t="str">
        <f>IFERROR(MATCH(470,jr_grank,0),"")</f>
        <v/>
      </c>
      <c r="R475" s="67" t="str">
        <f>IFERROR(INDEX(jr_num,MATCH("BL470",jr_nkey,0))&amp;"","")</f>
        <v/>
      </c>
      <c r="S475" s="67" t="str">
        <f>IFERROR(INDEX(jr_num,MATCH("BR470",jr_nkey,0))&amp;"","")</f>
        <v/>
      </c>
      <c r="T475" s="67" t="str">
        <f>IFERROR(INDEX(jr_num,MATCH("BS470",jr_nkey,0))&amp;"","")</f>
        <v/>
      </c>
    </row>
    <row r="476">
      <c r="A476" s="60" t="str">
        <f>IF($O476="","",INDEX(jr_num,$O476)&amp;"")</f>
        <v/>
      </c>
      <c r="B476" s="60" t="str">
        <f>IF($O476="","",IF(INDEX(jr_type,$O476)="BL","Livraison",IF(INDEX(jr_type,$O476)="BR","Réception","Sortie")))</f>
        <v/>
      </c>
      <c r="C476" s="65" t="str">
        <f>IF($O476="","",INDEX(jr_date,$O476))</f>
        <v/>
      </c>
      <c r="D476" s="60" t="str">
        <f>IF($O476="","",INDEX(jr_tiers,$O476)&amp;"")</f>
        <v/>
      </c>
      <c r="E476" s="57" t="str">
        <f>IF($O476="","",INDEX(jr_name,$O476)&amp;"")</f>
        <v/>
      </c>
      <c r="F476" s="57" t="str">
        <f>IF($O476="","",INDEX(jr_order,$O476)&amp;"")</f>
        <v/>
      </c>
      <c r="G476" s="57" t="str">
        <f>IF($O476="","",INDEX(jr_ext,$O476)&amp;"")</f>
        <v/>
      </c>
      <c r="H476" s="57" t="str">
        <f>IF($O476="","",INDEX(jr_carrier,$O476)&amp;"")</f>
        <v/>
      </c>
      <c r="I476" s="66" t="str">
        <f>IF(A476="","",COUNTIF(jr_num,A476))</f>
        <v/>
      </c>
      <c r="J476" s="66" t="str">
        <f>IF(A476="","",SUMIF(jr_num,A476,jr_colis))</f>
        <v/>
      </c>
      <c r="K476" s="63" t="str">
        <f>IF(A476="","",SUMIF(jr_num,A476,jr_kg))</f>
        <v/>
      </c>
      <c r="L476" s="64" t="str">
        <f>IF(A476="","",SUMIF(jr_num,A476,jr_val))</f>
        <v/>
      </c>
      <c r="M476" s="60" t="str">
        <f>IF(A476="","",IF(COUNTIFS(jr_num,A476,jr_check,"&lt;&gt;OK")&gt;0,"À vérifier",IF(LEFT(A476,2)="BL",IF(COUNTIFS(jr_num,A476,jr_rel,"&gt;0")&gt;0,"Reliquat en cours",IF(COUNTIFS(jr_num,A476,jr_gap,"&lt;0")&gt;0,"Reliquat livré","Complet")),IF(LEFT(A476,2)="BR",IF(COUNTIFS(jr_num,A476,jr_etat,"Refusé")&gt;0,"Refusé",IF(COUNTIFS(jr_num,A476,jr_etat,"Avec réserves")&gt;0,"Avec réserves",IF(COUNTIFS(jr_num,A476,jr_rel,"&gt;0")&gt;0,"Reliquat en cours",IF(COUNTIFS(jr_num,A476,jr_gap,"&lt;0")+COUNTIFS(jr_num,A476,jr_gap,"&gt;0")&gt;0,"Écart","Conforme")))),IF(COUNTIFS(jr_num,A476,jr_gap,"&lt;0")&gt;0,"Partiel","Sorti")))))</f>
        <v/>
      </c>
      <c r="O476" t="str">
        <f>IFERROR(MATCH(471,jr_grank,0),"")</f>
        <v/>
      </c>
      <c r="R476" s="67" t="str">
        <f>IFERROR(INDEX(jr_num,MATCH("BL471",jr_nkey,0))&amp;"","")</f>
        <v/>
      </c>
      <c r="S476" s="67" t="str">
        <f>IFERROR(INDEX(jr_num,MATCH("BR471",jr_nkey,0))&amp;"","")</f>
        <v/>
      </c>
      <c r="T476" s="67" t="str">
        <f>IFERROR(INDEX(jr_num,MATCH("BS471",jr_nkey,0))&amp;"","")</f>
        <v/>
      </c>
    </row>
    <row r="477">
      <c r="A477" s="60" t="str">
        <f>IF($O477="","",INDEX(jr_num,$O477)&amp;"")</f>
        <v/>
      </c>
      <c r="B477" s="60" t="str">
        <f>IF($O477="","",IF(INDEX(jr_type,$O477)="BL","Livraison",IF(INDEX(jr_type,$O477)="BR","Réception","Sortie")))</f>
        <v/>
      </c>
      <c r="C477" s="65" t="str">
        <f>IF($O477="","",INDEX(jr_date,$O477))</f>
        <v/>
      </c>
      <c r="D477" s="60" t="str">
        <f>IF($O477="","",INDEX(jr_tiers,$O477)&amp;"")</f>
        <v/>
      </c>
      <c r="E477" s="57" t="str">
        <f>IF($O477="","",INDEX(jr_name,$O477)&amp;"")</f>
        <v/>
      </c>
      <c r="F477" s="57" t="str">
        <f>IF($O477="","",INDEX(jr_order,$O477)&amp;"")</f>
        <v/>
      </c>
      <c r="G477" s="57" t="str">
        <f>IF($O477="","",INDEX(jr_ext,$O477)&amp;"")</f>
        <v/>
      </c>
      <c r="H477" s="57" t="str">
        <f>IF($O477="","",INDEX(jr_carrier,$O477)&amp;"")</f>
        <v/>
      </c>
      <c r="I477" s="66" t="str">
        <f>IF(A477="","",COUNTIF(jr_num,A477))</f>
        <v/>
      </c>
      <c r="J477" s="66" t="str">
        <f>IF(A477="","",SUMIF(jr_num,A477,jr_colis))</f>
        <v/>
      </c>
      <c r="K477" s="63" t="str">
        <f>IF(A477="","",SUMIF(jr_num,A477,jr_kg))</f>
        <v/>
      </c>
      <c r="L477" s="64" t="str">
        <f>IF(A477="","",SUMIF(jr_num,A477,jr_val))</f>
        <v/>
      </c>
      <c r="M477" s="60" t="str">
        <f>IF(A477="","",IF(COUNTIFS(jr_num,A477,jr_check,"&lt;&gt;OK")&gt;0,"À vérifier",IF(LEFT(A477,2)="BL",IF(COUNTIFS(jr_num,A477,jr_rel,"&gt;0")&gt;0,"Reliquat en cours",IF(COUNTIFS(jr_num,A477,jr_gap,"&lt;0")&gt;0,"Reliquat livré","Complet")),IF(LEFT(A477,2)="BR",IF(COUNTIFS(jr_num,A477,jr_etat,"Refusé")&gt;0,"Refusé",IF(COUNTIFS(jr_num,A477,jr_etat,"Avec réserves")&gt;0,"Avec réserves",IF(COUNTIFS(jr_num,A477,jr_rel,"&gt;0")&gt;0,"Reliquat en cours",IF(COUNTIFS(jr_num,A477,jr_gap,"&lt;0")+COUNTIFS(jr_num,A477,jr_gap,"&gt;0")&gt;0,"Écart","Conforme")))),IF(COUNTIFS(jr_num,A477,jr_gap,"&lt;0")&gt;0,"Partiel","Sorti")))))</f>
        <v/>
      </c>
      <c r="O477" t="str">
        <f>IFERROR(MATCH(472,jr_grank,0),"")</f>
        <v/>
      </c>
      <c r="R477" s="67" t="str">
        <f>IFERROR(INDEX(jr_num,MATCH("BL472",jr_nkey,0))&amp;"","")</f>
        <v/>
      </c>
      <c r="S477" s="67" t="str">
        <f>IFERROR(INDEX(jr_num,MATCH("BR472",jr_nkey,0))&amp;"","")</f>
        <v/>
      </c>
      <c r="T477" s="67" t="str">
        <f>IFERROR(INDEX(jr_num,MATCH("BS472",jr_nkey,0))&amp;"","")</f>
        <v/>
      </c>
    </row>
    <row r="478">
      <c r="A478" s="60" t="str">
        <f>IF($O478="","",INDEX(jr_num,$O478)&amp;"")</f>
        <v/>
      </c>
      <c r="B478" s="60" t="str">
        <f>IF($O478="","",IF(INDEX(jr_type,$O478)="BL","Livraison",IF(INDEX(jr_type,$O478)="BR","Réception","Sortie")))</f>
        <v/>
      </c>
      <c r="C478" s="65" t="str">
        <f>IF($O478="","",INDEX(jr_date,$O478))</f>
        <v/>
      </c>
      <c r="D478" s="60" t="str">
        <f>IF($O478="","",INDEX(jr_tiers,$O478)&amp;"")</f>
        <v/>
      </c>
      <c r="E478" s="57" t="str">
        <f>IF($O478="","",INDEX(jr_name,$O478)&amp;"")</f>
        <v/>
      </c>
      <c r="F478" s="57" t="str">
        <f>IF($O478="","",INDEX(jr_order,$O478)&amp;"")</f>
        <v/>
      </c>
      <c r="G478" s="57" t="str">
        <f>IF($O478="","",INDEX(jr_ext,$O478)&amp;"")</f>
        <v/>
      </c>
      <c r="H478" s="57" t="str">
        <f>IF($O478="","",INDEX(jr_carrier,$O478)&amp;"")</f>
        <v/>
      </c>
      <c r="I478" s="66" t="str">
        <f>IF(A478="","",COUNTIF(jr_num,A478))</f>
        <v/>
      </c>
      <c r="J478" s="66" t="str">
        <f>IF(A478="","",SUMIF(jr_num,A478,jr_colis))</f>
        <v/>
      </c>
      <c r="K478" s="63" t="str">
        <f>IF(A478="","",SUMIF(jr_num,A478,jr_kg))</f>
        <v/>
      </c>
      <c r="L478" s="64" t="str">
        <f>IF(A478="","",SUMIF(jr_num,A478,jr_val))</f>
        <v/>
      </c>
      <c r="M478" s="60" t="str">
        <f>IF(A478="","",IF(COUNTIFS(jr_num,A478,jr_check,"&lt;&gt;OK")&gt;0,"À vérifier",IF(LEFT(A478,2)="BL",IF(COUNTIFS(jr_num,A478,jr_rel,"&gt;0")&gt;0,"Reliquat en cours",IF(COUNTIFS(jr_num,A478,jr_gap,"&lt;0")&gt;0,"Reliquat livré","Complet")),IF(LEFT(A478,2)="BR",IF(COUNTIFS(jr_num,A478,jr_etat,"Refusé")&gt;0,"Refusé",IF(COUNTIFS(jr_num,A478,jr_etat,"Avec réserves")&gt;0,"Avec réserves",IF(COUNTIFS(jr_num,A478,jr_rel,"&gt;0")&gt;0,"Reliquat en cours",IF(COUNTIFS(jr_num,A478,jr_gap,"&lt;0")+COUNTIFS(jr_num,A478,jr_gap,"&gt;0")&gt;0,"Écart","Conforme")))),IF(COUNTIFS(jr_num,A478,jr_gap,"&lt;0")&gt;0,"Partiel","Sorti")))))</f>
        <v/>
      </c>
      <c r="O478" t="str">
        <f>IFERROR(MATCH(473,jr_grank,0),"")</f>
        <v/>
      </c>
      <c r="R478" s="67" t="str">
        <f>IFERROR(INDEX(jr_num,MATCH("BL473",jr_nkey,0))&amp;"","")</f>
        <v/>
      </c>
      <c r="S478" s="67" t="str">
        <f>IFERROR(INDEX(jr_num,MATCH("BR473",jr_nkey,0))&amp;"","")</f>
        <v/>
      </c>
      <c r="T478" s="67" t="str">
        <f>IFERROR(INDEX(jr_num,MATCH("BS473",jr_nkey,0))&amp;"","")</f>
        <v/>
      </c>
    </row>
    <row r="479">
      <c r="A479" s="60" t="str">
        <f>IF($O479="","",INDEX(jr_num,$O479)&amp;"")</f>
        <v/>
      </c>
      <c r="B479" s="60" t="str">
        <f>IF($O479="","",IF(INDEX(jr_type,$O479)="BL","Livraison",IF(INDEX(jr_type,$O479)="BR","Réception","Sortie")))</f>
        <v/>
      </c>
      <c r="C479" s="65" t="str">
        <f>IF($O479="","",INDEX(jr_date,$O479))</f>
        <v/>
      </c>
      <c r="D479" s="60" t="str">
        <f>IF($O479="","",INDEX(jr_tiers,$O479)&amp;"")</f>
        <v/>
      </c>
      <c r="E479" s="57" t="str">
        <f>IF($O479="","",INDEX(jr_name,$O479)&amp;"")</f>
        <v/>
      </c>
      <c r="F479" s="57" t="str">
        <f>IF($O479="","",INDEX(jr_order,$O479)&amp;"")</f>
        <v/>
      </c>
      <c r="G479" s="57" t="str">
        <f>IF($O479="","",INDEX(jr_ext,$O479)&amp;"")</f>
        <v/>
      </c>
      <c r="H479" s="57" t="str">
        <f>IF($O479="","",INDEX(jr_carrier,$O479)&amp;"")</f>
        <v/>
      </c>
      <c r="I479" s="66" t="str">
        <f>IF(A479="","",COUNTIF(jr_num,A479))</f>
        <v/>
      </c>
      <c r="J479" s="66" t="str">
        <f>IF(A479="","",SUMIF(jr_num,A479,jr_colis))</f>
        <v/>
      </c>
      <c r="K479" s="63" t="str">
        <f>IF(A479="","",SUMIF(jr_num,A479,jr_kg))</f>
        <v/>
      </c>
      <c r="L479" s="64" t="str">
        <f>IF(A479="","",SUMIF(jr_num,A479,jr_val))</f>
        <v/>
      </c>
      <c r="M479" s="60" t="str">
        <f>IF(A479="","",IF(COUNTIFS(jr_num,A479,jr_check,"&lt;&gt;OK")&gt;0,"À vérifier",IF(LEFT(A479,2)="BL",IF(COUNTIFS(jr_num,A479,jr_rel,"&gt;0")&gt;0,"Reliquat en cours",IF(COUNTIFS(jr_num,A479,jr_gap,"&lt;0")&gt;0,"Reliquat livré","Complet")),IF(LEFT(A479,2)="BR",IF(COUNTIFS(jr_num,A479,jr_etat,"Refusé")&gt;0,"Refusé",IF(COUNTIFS(jr_num,A479,jr_etat,"Avec réserves")&gt;0,"Avec réserves",IF(COUNTIFS(jr_num,A479,jr_rel,"&gt;0")&gt;0,"Reliquat en cours",IF(COUNTIFS(jr_num,A479,jr_gap,"&lt;0")+COUNTIFS(jr_num,A479,jr_gap,"&gt;0")&gt;0,"Écart","Conforme")))),IF(COUNTIFS(jr_num,A479,jr_gap,"&lt;0")&gt;0,"Partiel","Sorti")))))</f>
        <v/>
      </c>
      <c r="O479" t="str">
        <f>IFERROR(MATCH(474,jr_grank,0),"")</f>
        <v/>
      </c>
      <c r="R479" s="67" t="str">
        <f>IFERROR(INDEX(jr_num,MATCH("BL474",jr_nkey,0))&amp;"","")</f>
        <v/>
      </c>
      <c r="S479" s="67" t="str">
        <f>IFERROR(INDEX(jr_num,MATCH("BR474",jr_nkey,0))&amp;"","")</f>
        <v/>
      </c>
      <c r="T479" s="67" t="str">
        <f>IFERROR(INDEX(jr_num,MATCH("BS474",jr_nkey,0))&amp;"","")</f>
        <v/>
      </c>
    </row>
    <row r="480">
      <c r="A480" s="60" t="str">
        <f>IF($O480="","",INDEX(jr_num,$O480)&amp;"")</f>
        <v/>
      </c>
      <c r="B480" s="60" t="str">
        <f>IF($O480="","",IF(INDEX(jr_type,$O480)="BL","Livraison",IF(INDEX(jr_type,$O480)="BR","Réception","Sortie")))</f>
        <v/>
      </c>
      <c r="C480" s="65" t="str">
        <f>IF($O480="","",INDEX(jr_date,$O480))</f>
        <v/>
      </c>
      <c r="D480" s="60" t="str">
        <f>IF($O480="","",INDEX(jr_tiers,$O480)&amp;"")</f>
        <v/>
      </c>
      <c r="E480" s="57" t="str">
        <f>IF($O480="","",INDEX(jr_name,$O480)&amp;"")</f>
        <v/>
      </c>
      <c r="F480" s="57" t="str">
        <f>IF($O480="","",INDEX(jr_order,$O480)&amp;"")</f>
        <v/>
      </c>
      <c r="G480" s="57" t="str">
        <f>IF($O480="","",INDEX(jr_ext,$O480)&amp;"")</f>
        <v/>
      </c>
      <c r="H480" s="57" t="str">
        <f>IF($O480="","",INDEX(jr_carrier,$O480)&amp;"")</f>
        <v/>
      </c>
      <c r="I480" s="66" t="str">
        <f>IF(A480="","",COUNTIF(jr_num,A480))</f>
        <v/>
      </c>
      <c r="J480" s="66" t="str">
        <f>IF(A480="","",SUMIF(jr_num,A480,jr_colis))</f>
        <v/>
      </c>
      <c r="K480" s="63" t="str">
        <f>IF(A480="","",SUMIF(jr_num,A480,jr_kg))</f>
        <v/>
      </c>
      <c r="L480" s="64" t="str">
        <f>IF(A480="","",SUMIF(jr_num,A480,jr_val))</f>
        <v/>
      </c>
      <c r="M480" s="60" t="str">
        <f>IF(A480="","",IF(COUNTIFS(jr_num,A480,jr_check,"&lt;&gt;OK")&gt;0,"À vérifier",IF(LEFT(A480,2)="BL",IF(COUNTIFS(jr_num,A480,jr_rel,"&gt;0")&gt;0,"Reliquat en cours",IF(COUNTIFS(jr_num,A480,jr_gap,"&lt;0")&gt;0,"Reliquat livré","Complet")),IF(LEFT(A480,2)="BR",IF(COUNTIFS(jr_num,A480,jr_etat,"Refusé")&gt;0,"Refusé",IF(COUNTIFS(jr_num,A480,jr_etat,"Avec réserves")&gt;0,"Avec réserves",IF(COUNTIFS(jr_num,A480,jr_rel,"&gt;0")&gt;0,"Reliquat en cours",IF(COUNTIFS(jr_num,A480,jr_gap,"&lt;0")+COUNTIFS(jr_num,A480,jr_gap,"&gt;0")&gt;0,"Écart","Conforme")))),IF(COUNTIFS(jr_num,A480,jr_gap,"&lt;0")&gt;0,"Partiel","Sorti")))))</f>
        <v/>
      </c>
      <c r="O480" t="str">
        <f>IFERROR(MATCH(475,jr_grank,0),"")</f>
        <v/>
      </c>
      <c r="R480" s="67" t="str">
        <f>IFERROR(INDEX(jr_num,MATCH("BL475",jr_nkey,0))&amp;"","")</f>
        <v/>
      </c>
      <c r="S480" s="67" t="str">
        <f>IFERROR(INDEX(jr_num,MATCH("BR475",jr_nkey,0))&amp;"","")</f>
        <v/>
      </c>
      <c r="T480" s="67" t="str">
        <f>IFERROR(INDEX(jr_num,MATCH("BS475",jr_nkey,0))&amp;"","")</f>
        <v/>
      </c>
    </row>
    <row r="481">
      <c r="A481" s="60" t="str">
        <f>IF($O481="","",INDEX(jr_num,$O481)&amp;"")</f>
        <v/>
      </c>
      <c r="B481" s="60" t="str">
        <f>IF($O481="","",IF(INDEX(jr_type,$O481)="BL","Livraison",IF(INDEX(jr_type,$O481)="BR","Réception","Sortie")))</f>
        <v/>
      </c>
      <c r="C481" s="65" t="str">
        <f>IF($O481="","",INDEX(jr_date,$O481))</f>
        <v/>
      </c>
      <c r="D481" s="60" t="str">
        <f>IF($O481="","",INDEX(jr_tiers,$O481)&amp;"")</f>
        <v/>
      </c>
      <c r="E481" s="57" t="str">
        <f>IF($O481="","",INDEX(jr_name,$O481)&amp;"")</f>
        <v/>
      </c>
      <c r="F481" s="57" t="str">
        <f>IF($O481="","",INDEX(jr_order,$O481)&amp;"")</f>
        <v/>
      </c>
      <c r="G481" s="57" t="str">
        <f>IF($O481="","",INDEX(jr_ext,$O481)&amp;"")</f>
        <v/>
      </c>
      <c r="H481" s="57" t="str">
        <f>IF($O481="","",INDEX(jr_carrier,$O481)&amp;"")</f>
        <v/>
      </c>
      <c r="I481" s="66" t="str">
        <f>IF(A481="","",COUNTIF(jr_num,A481))</f>
        <v/>
      </c>
      <c r="J481" s="66" t="str">
        <f>IF(A481="","",SUMIF(jr_num,A481,jr_colis))</f>
        <v/>
      </c>
      <c r="K481" s="63" t="str">
        <f>IF(A481="","",SUMIF(jr_num,A481,jr_kg))</f>
        <v/>
      </c>
      <c r="L481" s="64" t="str">
        <f>IF(A481="","",SUMIF(jr_num,A481,jr_val))</f>
        <v/>
      </c>
      <c r="M481" s="60" t="str">
        <f>IF(A481="","",IF(COUNTIFS(jr_num,A481,jr_check,"&lt;&gt;OK")&gt;0,"À vérifier",IF(LEFT(A481,2)="BL",IF(COUNTIFS(jr_num,A481,jr_rel,"&gt;0")&gt;0,"Reliquat en cours",IF(COUNTIFS(jr_num,A481,jr_gap,"&lt;0")&gt;0,"Reliquat livré","Complet")),IF(LEFT(A481,2)="BR",IF(COUNTIFS(jr_num,A481,jr_etat,"Refusé")&gt;0,"Refusé",IF(COUNTIFS(jr_num,A481,jr_etat,"Avec réserves")&gt;0,"Avec réserves",IF(COUNTIFS(jr_num,A481,jr_rel,"&gt;0")&gt;0,"Reliquat en cours",IF(COUNTIFS(jr_num,A481,jr_gap,"&lt;0")+COUNTIFS(jr_num,A481,jr_gap,"&gt;0")&gt;0,"Écart","Conforme")))),IF(COUNTIFS(jr_num,A481,jr_gap,"&lt;0")&gt;0,"Partiel","Sorti")))))</f>
        <v/>
      </c>
      <c r="O481" t="str">
        <f>IFERROR(MATCH(476,jr_grank,0),"")</f>
        <v/>
      </c>
      <c r="R481" s="67" t="str">
        <f>IFERROR(INDEX(jr_num,MATCH("BL476",jr_nkey,0))&amp;"","")</f>
        <v/>
      </c>
      <c r="S481" s="67" t="str">
        <f>IFERROR(INDEX(jr_num,MATCH("BR476",jr_nkey,0))&amp;"","")</f>
        <v/>
      </c>
      <c r="T481" s="67" t="str">
        <f>IFERROR(INDEX(jr_num,MATCH("BS476",jr_nkey,0))&amp;"","")</f>
        <v/>
      </c>
    </row>
    <row r="482">
      <c r="A482" s="60" t="str">
        <f>IF($O482="","",INDEX(jr_num,$O482)&amp;"")</f>
        <v/>
      </c>
      <c r="B482" s="60" t="str">
        <f>IF($O482="","",IF(INDEX(jr_type,$O482)="BL","Livraison",IF(INDEX(jr_type,$O482)="BR","Réception","Sortie")))</f>
        <v/>
      </c>
      <c r="C482" s="65" t="str">
        <f>IF($O482="","",INDEX(jr_date,$O482))</f>
        <v/>
      </c>
      <c r="D482" s="60" t="str">
        <f>IF($O482="","",INDEX(jr_tiers,$O482)&amp;"")</f>
        <v/>
      </c>
      <c r="E482" s="57" t="str">
        <f>IF($O482="","",INDEX(jr_name,$O482)&amp;"")</f>
        <v/>
      </c>
      <c r="F482" s="57" t="str">
        <f>IF($O482="","",INDEX(jr_order,$O482)&amp;"")</f>
        <v/>
      </c>
      <c r="G482" s="57" t="str">
        <f>IF($O482="","",INDEX(jr_ext,$O482)&amp;"")</f>
        <v/>
      </c>
      <c r="H482" s="57" t="str">
        <f>IF($O482="","",INDEX(jr_carrier,$O482)&amp;"")</f>
        <v/>
      </c>
      <c r="I482" s="66" t="str">
        <f>IF(A482="","",COUNTIF(jr_num,A482))</f>
        <v/>
      </c>
      <c r="J482" s="66" t="str">
        <f>IF(A482="","",SUMIF(jr_num,A482,jr_colis))</f>
        <v/>
      </c>
      <c r="K482" s="63" t="str">
        <f>IF(A482="","",SUMIF(jr_num,A482,jr_kg))</f>
        <v/>
      </c>
      <c r="L482" s="64" t="str">
        <f>IF(A482="","",SUMIF(jr_num,A482,jr_val))</f>
        <v/>
      </c>
      <c r="M482" s="60" t="str">
        <f>IF(A482="","",IF(COUNTIFS(jr_num,A482,jr_check,"&lt;&gt;OK")&gt;0,"À vérifier",IF(LEFT(A482,2)="BL",IF(COUNTIFS(jr_num,A482,jr_rel,"&gt;0")&gt;0,"Reliquat en cours",IF(COUNTIFS(jr_num,A482,jr_gap,"&lt;0")&gt;0,"Reliquat livré","Complet")),IF(LEFT(A482,2)="BR",IF(COUNTIFS(jr_num,A482,jr_etat,"Refusé")&gt;0,"Refusé",IF(COUNTIFS(jr_num,A482,jr_etat,"Avec réserves")&gt;0,"Avec réserves",IF(COUNTIFS(jr_num,A482,jr_rel,"&gt;0")&gt;0,"Reliquat en cours",IF(COUNTIFS(jr_num,A482,jr_gap,"&lt;0")+COUNTIFS(jr_num,A482,jr_gap,"&gt;0")&gt;0,"Écart","Conforme")))),IF(COUNTIFS(jr_num,A482,jr_gap,"&lt;0")&gt;0,"Partiel","Sorti")))))</f>
        <v/>
      </c>
      <c r="O482" t="str">
        <f>IFERROR(MATCH(477,jr_grank,0),"")</f>
        <v/>
      </c>
      <c r="R482" s="67" t="str">
        <f>IFERROR(INDEX(jr_num,MATCH("BL477",jr_nkey,0))&amp;"","")</f>
        <v/>
      </c>
      <c r="S482" s="67" t="str">
        <f>IFERROR(INDEX(jr_num,MATCH("BR477",jr_nkey,0))&amp;"","")</f>
        <v/>
      </c>
      <c r="T482" s="67" t="str">
        <f>IFERROR(INDEX(jr_num,MATCH("BS477",jr_nkey,0))&amp;"","")</f>
        <v/>
      </c>
    </row>
    <row r="483">
      <c r="A483" s="60" t="str">
        <f>IF($O483="","",INDEX(jr_num,$O483)&amp;"")</f>
        <v/>
      </c>
      <c r="B483" s="60" t="str">
        <f>IF($O483="","",IF(INDEX(jr_type,$O483)="BL","Livraison",IF(INDEX(jr_type,$O483)="BR","Réception","Sortie")))</f>
        <v/>
      </c>
      <c r="C483" s="65" t="str">
        <f>IF($O483="","",INDEX(jr_date,$O483))</f>
        <v/>
      </c>
      <c r="D483" s="60" t="str">
        <f>IF($O483="","",INDEX(jr_tiers,$O483)&amp;"")</f>
        <v/>
      </c>
      <c r="E483" s="57" t="str">
        <f>IF($O483="","",INDEX(jr_name,$O483)&amp;"")</f>
        <v/>
      </c>
      <c r="F483" s="57" t="str">
        <f>IF($O483="","",INDEX(jr_order,$O483)&amp;"")</f>
        <v/>
      </c>
      <c r="G483" s="57" t="str">
        <f>IF($O483="","",INDEX(jr_ext,$O483)&amp;"")</f>
        <v/>
      </c>
      <c r="H483" s="57" t="str">
        <f>IF($O483="","",INDEX(jr_carrier,$O483)&amp;"")</f>
        <v/>
      </c>
      <c r="I483" s="66" t="str">
        <f>IF(A483="","",COUNTIF(jr_num,A483))</f>
        <v/>
      </c>
      <c r="J483" s="66" t="str">
        <f>IF(A483="","",SUMIF(jr_num,A483,jr_colis))</f>
        <v/>
      </c>
      <c r="K483" s="63" t="str">
        <f>IF(A483="","",SUMIF(jr_num,A483,jr_kg))</f>
        <v/>
      </c>
      <c r="L483" s="64" t="str">
        <f>IF(A483="","",SUMIF(jr_num,A483,jr_val))</f>
        <v/>
      </c>
      <c r="M483" s="60" t="str">
        <f>IF(A483="","",IF(COUNTIFS(jr_num,A483,jr_check,"&lt;&gt;OK")&gt;0,"À vérifier",IF(LEFT(A483,2)="BL",IF(COUNTIFS(jr_num,A483,jr_rel,"&gt;0")&gt;0,"Reliquat en cours",IF(COUNTIFS(jr_num,A483,jr_gap,"&lt;0")&gt;0,"Reliquat livré","Complet")),IF(LEFT(A483,2)="BR",IF(COUNTIFS(jr_num,A483,jr_etat,"Refusé")&gt;0,"Refusé",IF(COUNTIFS(jr_num,A483,jr_etat,"Avec réserves")&gt;0,"Avec réserves",IF(COUNTIFS(jr_num,A483,jr_rel,"&gt;0")&gt;0,"Reliquat en cours",IF(COUNTIFS(jr_num,A483,jr_gap,"&lt;0")+COUNTIFS(jr_num,A483,jr_gap,"&gt;0")&gt;0,"Écart","Conforme")))),IF(COUNTIFS(jr_num,A483,jr_gap,"&lt;0")&gt;0,"Partiel","Sorti")))))</f>
        <v/>
      </c>
      <c r="O483" t="str">
        <f>IFERROR(MATCH(478,jr_grank,0),"")</f>
        <v/>
      </c>
      <c r="R483" s="67" t="str">
        <f>IFERROR(INDEX(jr_num,MATCH("BL478",jr_nkey,0))&amp;"","")</f>
        <v/>
      </c>
      <c r="S483" s="67" t="str">
        <f>IFERROR(INDEX(jr_num,MATCH("BR478",jr_nkey,0))&amp;"","")</f>
        <v/>
      </c>
      <c r="T483" s="67" t="str">
        <f>IFERROR(INDEX(jr_num,MATCH("BS478",jr_nkey,0))&amp;"","")</f>
        <v/>
      </c>
    </row>
    <row r="484">
      <c r="A484" s="60" t="str">
        <f>IF($O484="","",INDEX(jr_num,$O484)&amp;"")</f>
        <v/>
      </c>
      <c r="B484" s="60" t="str">
        <f>IF($O484="","",IF(INDEX(jr_type,$O484)="BL","Livraison",IF(INDEX(jr_type,$O484)="BR","Réception","Sortie")))</f>
        <v/>
      </c>
      <c r="C484" s="65" t="str">
        <f>IF($O484="","",INDEX(jr_date,$O484))</f>
        <v/>
      </c>
      <c r="D484" s="60" t="str">
        <f>IF($O484="","",INDEX(jr_tiers,$O484)&amp;"")</f>
        <v/>
      </c>
      <c r="E484" s="57" t="str">
        <f>IF($O484="","",INDEX(jr_name,$O484)&amp;"")</f>
        <v/>
      </c>
      <c r="F484" s="57" t="str">
        <f>IF($O484="","",INDEX(jr_order,$O484)&amp;"")</f>
        <v/>
      </c>
      <c r="G484" s="57" t="str">
        <f>IF($O484="","",INDEX(jr_ext,$O484)&amp;"")</f>
        <v/>
      </c>
      <c r="H484" s="57" t="str">
        <f>IF($O484="","",INDEX(jr_carrier,$O484)&amp;"")</f>
        <v/>
      </c>
      <c r="I484" s="66" t="str">
        <f>IF(A484="","",COUNTIF(jr_num,A484))</f>
        <v/>
      </c>
      <c r="J484" s="66" t="str">
        <f>IF(A484="","",SUMIF(jr_num,A484,jr_colis))</f>
        <v/>
      </c>
      <c r="K484" s="63" t="str">
        <f>IF(A484="","",SUMIF(jr_num,A484,jr_kg))</f>
        <v/>
      </c>
      <c r="L484" s="64" t="str">
        <f>IF(A484="","",SUMIF(jr_num,A484,jr_val))</f>
        <v/>
      </c>
      <c r="M484" s="60" t="str">
        <f>IF(A484="","",IF(COUNTIFS(jr_num,A484,jr_check,"&lt;&gt;OK")&gt;0,"À vérifier",IF(LEFT(A484,2)="BL",IF(COUNTIFS(jr_num,A484,jr_rel,"&gt;0")&gt;0,"Reliquat en cours",IF(COUNTIFS(jr_num,A484,jr_gap,"&lt;0")&gt;0,"Reliquat livré","Complet")),IF(LEFT(A484,2)="BR",IF(COUNTIFS(jr_num,A484,jr_etat,"Refusé")&gt;0,"Refusé",IF(COUNTIFS(jr_num,A484,jr_etat,"Avec réserves")&gt;0,"Avec réserves",IF(COUNTIFS(jr_num,A484,jr_rel,"&gt;0")&gt;0,"Reliquat en cours",IF(COUNTIFS(jr_num,A484,jr_gap,"&lt;0")+COUNTIFS(jr_num,A484,jr_gap,"&gt;0")&gt;0,"Écart","Conforme")))),IF(COUNTIFS(jr_num,A484,jr_gap,"&lt;0")&gt;0,"Partiel","Sorti")))))</f>
        <v/>
      </c>
      <c r="O484" t="str">
        <f>IFERROR(MATCH(479,jr_grank,0),"")</f>
        <v/>
      </c>
      <c r="R484" s="67" t="str">
        <f>IFERROR(INDEX(jr_num,MATCH("BL479",jr_nkey,0))&amp;"","")</f>
        <v/>
      </c>
      <c r="S484" s="67" t="str">
        <f>IFERROR(INDEX(jr_num,MATCH("BR479",jr_nkey,0))&amp;"","")</f>
        <v/>
      </c>
      <c r="T484" s="67" t="str">
        <f>IFERROR(INDEX(jr_num,MATCH("BS479",jr_nkey,0))&amp;"","")</f>
        <v/>
      </c>
    </row>
    <row r="485">
      <c r="A485" s="60" t="str">
        <f>IF($O485="","",INDEX(jr_num,$O485)&amp;"")</f>
        <v/>
      </c>
      <c r="B485" s="60" t="str">
        <f>IF($O485="","",IF(INDEX(jr_type,$O485)="BL","Livraison",IF(INDEX(jr_type,$O485)="BR","Réception","Sortie")))</f>
        <v/>
      </c>
      <c r="C485" s="65" t="str">
        <f>IF($O485="","",INDEX(jr_date,$O485))</f>
        <v/>
      </c>
      <c r="D485" s="60" t="str">
        <f>IF($O485="","",INDEX(jr_tiers,$O485)&amp;"")</f>
        <v/>
      </c>
      <c r="E485" s="57" t="str">
        <f>IF($O485="","",INDEX(jr_name,$O485)&amp;"")</f>
        <v/>
      </c>
      <c r="F485" s="57" t="str">
        <f>IF($O485="","",INDEX(jr_order,$O485)&amp;"")</f>
        <v/>
      </c>
      <c r="G485" s="57" t="str">
        <f>IF($O485="","",INDEX(jr_ext,$O485)&amp;"")</f>
        <v/>
      </c>
      <c r="H485" s="57" t="str">
        <f>IF($O485="","",INDEX(jr_carrier,$O485)&amp;"")</f>
        <v/>
      </c>
      <c r="I485" s="66" t="str">
        <f>IF(A485="","",COUNTIF(jr_num,A485))</f>
        <v/>
      </c>
      <c r="J485" s="66" t="str">
        <f>IF(A485="","",SUMIF(jr_num,A485,jr_colis))</f>
        <v/>
      </c>
      <c r="K485" s="63" t="str">
        <f>IF(A485="","",SUMIF(jr_num,A485,jr_kg))</f>
        <v/>
      </c>
      <c r="L485" s="64" t="str">
        <f>IF(A485="","",SUMIF(jr_num,A485,jr_val))</f>
        <v/>
      </c>
      <c r="M485" s="60" t="str">
        <f>IF(A485="","",IF(COUNTIFS(jr_num,A485,jr_check,"&lt;&gt;OK")&gt;0,"À vérifier",IF(LEFT(A485,2)="BL",IF(COUNTIFS(jr_num,A485,jr_rel,"&gt;0")&gt;0,"Reliquat en cours",IF(COUNTIFS(jr_num,A485,jr_gap,"&lt;0")&gt;0,"Reliquat livré","Complet")),IF(LEFT(A485,2)="BR",IF(COUNTIFS(jr_num,A485,jr_etat,"Refusé")&gt;0,"Refusé",IF(COUNTIFS(jr_num,A485,jr_etat,"Avec réserves")&gt;0,"Avec réserves",IF(COUNTIFS(jr_num,A485,jr_rel,"&gt;0")&gt;0,"Reliquat en cours",IF(COUNTIFS(jr_num,A485,jr_gap,"&lt;0")+COUNTIFS(jr_num,A485,jr_gap,"&gt;0")&gt;0,"Écart","Conforme")))),IF(COUNTIFS(jr_num,A485,jr_gap,"&lt;0")&gt;0,"Partiel","Sorti")))))</f>
        <v/>
      </c>
      <c r="O485" t="str">
        <f>IFERROR(MATCH(480,jr_grank,0),"")</f>
        <v/>
      </c>
      <c r="R485" s="67" t="str">
        <f>IFERROR(INDEX(jr_num,MATCH("BL480",jr_nkey,0))&amp;"","")</f>
        <v/>
      </c>
      <c r="S485" s="67" t="str">
        <f>IFERROR(INDEX(jr_num,MATCH("BR480",jr_nkey,0))&amp;"","")</f>
        <v/>
      </c>
      <c r="T485" s="67" t="str">
        <f>IFERROR(INDEX(jr_num,MATCH("BS480",jr_nkey,0))&amp;"","")</f>
        <v/>
      </c>
    </row>
    <row r="486">
      <c r="A486" s="60" t="str">
        <f>IF($O486="","",INDEX(jr_num,$O486)&amp;"")</f>
        <v/>
      </c>
      <c r="B486" s="60" t="str">
        <f>IF($O486="","",IF(INDEX(jr_type,$O486)="BL","Livraison",IF(INDEX(jr_type,$O486)="BR","Réception","Sortie")))</f>
        <v/>
      </c>
      <c r="C486" s="65" t="str">
        <f>IF($O486="","",INDEX(jr_date,$O486))</f>
        <v/>
      </c>
      <c r="D486" s="60" t="str">
        <f>IF($O486="","",INDEX(jr_tiers,$O486)&amp;"")</f>
        <v/>
      </c>
      <c r="E486" s="57" t="str">
        <f>IF($O486="","",INDEX(jr_name,$O486)&amp;"")</f>
        <v/>
      </c>
      <c r="F486" s="57" t="str">
        <f>IF($O486="","",INDEX(jr_order,$O486)&amp;"")</f>
        <v/>
      </c>
      <c r="G486" s="57" t="str">
        <f>IF($O486="","",INDEX(jr_ext,$O486)&amp;"")</f>
        <v/>
      </c>
      <c r="H486" s="57" t="str">
        <f>IF($O486="","",INDEX(jr_carrier,$O486)&amp;"")</f>
        <v/>
      </c>
      <c r="I486" s="66" t="str">
        <f>IF(A486="","",COUNTIF(jr_num,A486))</f>
        <v/>
      </c>
      <c r="J486" s="66" t="str">
        <f>IF(A486="","",SUMIF(jr_num,A486,jr_colis))</f>
        <v/>
      </c>
      <c r="K486" s="63" t="str">
        <f>IF(A486="","",SUMIF(jr_num,A486,jr_kg))</f>
        <v/>
      </c>
      <c r="L486" s="64" t="str">
        <f>IF(A486="","",SUMIF(jr_num,A486,jr_val))</f>
        <v/>
      </c>
      <c r="M486" s="60" t="str">
        <f>IF(A486="","",IF(COUNTIFS(jr_num,A486,jr_check,"&lt;&gt;OK")&gt;0,"À vérifier",IF(LEFT(A486,2)="BL",IF(COUNTIFS(jr_num,A486,jr_rel,"&gt;0")&gt;0,"Reliquat en cours",IF(COUNTIFS(jr_num,A486,jr_gap,"&lt;0")&gt;0,"Reliquat livré","Complet")),IF(LEFT(A486,2)="BR",IF(COUNTIFS(jr_num,A486,jr_etat,"Refusé")&gt;0,"Refusé",IF(COUNTIFS(jr_num,A486,jr_etat,"Avec réserves")&gt;0,"Avec réserves",IF(COUNTIFS(jr_num,A486,jr_rel,"&gt;0")&gt;0,"Reliquat en cours",IF(COUNTIFS(jr_num,A486,jr_gap,"&lt;0")+COUNTIFS(jr_num,A486,jr_gap,"&gt;0")&gt;0,"Écart","Conforme")))),IF(COUNTIFS(jr_num,A486,jr_gap,"&lt;0")&gt;0,"Partiel","Sorti")))))</f>
        <v/>
      </c>
      <c r="O486" t="str">
        <f>IFERROR(MATCH(481,jr_grank,0),"")</f>
        <v/>
      </c>
      <c r="R486" s="67" t="str">
        <f>IFERROR(INDEX(jr_num,MATCH("BL481",jr_nkey,0))&amp;"","")</f>
        <v/>
      </c>
      <c r="S486" s="67" t="str">
        <f>IFERROR(INDEX(jr_num,MATCH("BR481",jr_nkey,0))&amp;"","")</f>
        <v/>
      </c>
      <c r="T486" s="67" t="str">
        <f>IFERROR(INDEX(jr_num,MATCH("BS481",jr_nkey,0))&amp;"","")</f>
        <v/>
      </c>
    </row>
    <row r="487">
      <c r="A487" s="60" t="str">
        <f>IF($O487="","",INDEX(jr_num,$O487)&amp;"")</f>
        <v/>
      </c>
      <c r="B487" s="60" t="str">
        <f>IF($O487="","",IF(INDEX(jr_type,$O487)="BL","Livraison",IF(INDEX(jr_type,$O487)="BR","Réception","Sortie")))</f>
        <v/>
      </c>
      <c r="C487" s="65" t="str">
        <f>IF($O487="","",INDEX(jr_date,$O487))</f>
        <v/>
      </c>
      <c r="D487" s="60" t="str">
        <f>IF($O487="","",INDEX(jr_tiers,$O487)&amp;"")</f>
        <v/>
      </c>
      <c r="E487" s="57" t="str">
        <f>IF($O487="","",INDEX(jr_name,$O487)&amp;"")</f>
        <v/>
      </c>
      <c r="F487" s="57" t="str">
        <f>IF($O487="","",INDEX(jr_order,$O487)&amp;"")</f>
        <v/>
      </c>
      <c r="G487" s="57" t="str">
        <f>IF($O487="","",INDEX(jr_ext,$O487)&amp;"")</f>
        <v/>
      </c>
      <c r="H487" s="57" t="str">
        <f>IF($O487="","",INDEX(jr_carrier,$O487)&amp;"")</f>
        <v/>
      </c>
      <c r="I487" s="66" t="str">
        <f>IF(A487="","",COUNTIF(jr_num,A487))</f>
        <v/>
      </c>
      <c r="J487" s="66" t="str">
        <f>IF(A487="","",SUMIF(jr_num,A487,jr_colis))</f>
        <v/>
      </c>
      <c r="K487" s="63" t="str">
        <f>IF(A487="","",SUMIF(jr_num,A487,jr_kg))</f>
        <v/>
      </c>
      <c r="L487" s="64" t="str">
        <f>IF(A487="","",SUMIF(jr_num,A487,jr_val))</f>
        <v/>
      </c>
      <c r="M487" s="60" t="str">
        <f>IF(A487="","",IF(COUNTIFS(jr_num,A487,jr_check,"&lt;&gt;OK")&gt;0,"À vérifier",IF(LEFT(A487,2)="BL",IF(COUNTIFS(jr_num,A487,jr_rel,"&gt;0")&gt;0,"Reliquat en cours",IF(COUNTIFS(jr_num,A487,jr_gap,"&lt;0")&gt;0,"Reliquat livré","Complet")),IF(LEFT(A487,2)="BR",IF(COUNTIFS(jr_num,A487,jr_etat,"Refusé")&gt;0,"Refusé",IF(COUNTIFS(jr_num,A487,jr_etat,"Avec réserves")&gt;0,"Avec réserves",IF(COUNTIFS(jr_num,A487,jr_rel,"&gt;0")&gt;0,"Reliquat en cours",IF(COUNTIFS(jr_num,A487,jr_gap,"&lt;0")+COUNTIFS(jr_num,A487,jr_gap,"&gt;0")&gt;0,"Écart","Conforme")))),IF(COUNTIFS(jr_num,A487,jr_gap,"&lt;0")&gt;0,"Partiel","Sorti")))))</f>
        <v/>
      </c>
      <c r="O487" t="str">
        <f>IFERROR(MATCH(482,jr_grank,0),"")</f>
        <v/>
      </c>
      <c r="R487" s="67" t="str">
        <f>IFERROR(INDEX(jr_num,MATCH("BL482",jr_nkey,0))&amp;"","")</f>
        <v/>
      </c>
      <c r="S487" s="67" t="str">
        <f>IFERROR(INDEX(jr_num,MATCH("BR482",jr_nkey,0))&amp;"","")</f>
        <v/>
      </c>
      <c r="T487" s="67" t="str">
        <f>IFERROR(INDEX(jr_num,MATCH("BS482",jr_nkey,0))&amp;"","")</f>
        <v/>
      </c>
    </row>
    <row r="488">
      <c r="A488" s="60" t="str">
        <f>IF($O488="","",INDEX(jr_num,$O488)&amp;"")</f>
        <v/>
      </c>
      <c r="B488" s="60" t="str">
        <f>IF($O488="","",IF(INDEX(jr_type,$O488)="BL","Livraison",IF(INDEX(jr_type,$O488)="BR","Réception","Sortie")))</f>
        <v/>
      </c>
      <c r="C488" s="65" t="str">
        <f>IF($O488="","",INDEX(jr_date,$O488))</f>
        <v/>
      </c>
      <c r="D488" s="60" t="str">
        <f>IF($O488="","",INDEX(jr_tiers,$O488)&amp;"")</f>
        <v/>
      </c>
      <c r="E488" s="57" t="str">
        <f>IF($O488="","",INDEX(jr_name,$O488)&amp;"")</f>
        <v/>
      </c>
      <c r="F488" s="57" t="str">
        <f>IF($O488="","",INDEX(jr_order,$O488)&amp;"")</f>
        <v/>
      </c>
      <c r="G488" s="57" t="str">
        <f>IF($O488="","",INDEX(jr_ext,$O488)&amp;"")</f>
        <v/>
      </c>
      <c r="H488" s="57" t="str">
        <f>IF($O488="","",INDEX(jr_carrier,$O488)&amp;"")</f>
        <v/>
      </c>
      <c r="I488" s="66" t="str">
        <f>IF(A488="","",COUNTIF(jr_num,A488))</f>
        <v/>
      </c>
      <c r="J488" s="66" t="str">
        <f>IF(A488="","",SUMIF(jr_num,A488,jr_colis))</f>
        <v/>
      </c>
      <c r="K488" s="63" t="str">
        <f>IF(A488="","",SUMIF(jr_num,A488,jr_kg))</f>
        <v/>
      </c>
      <c r="L488" s="64" t="str">
        <f>IF(A488="","",SUMIF(jr_num,A488,jr_val))</f>
        <v/>
      </c>
      <c r="M488" s="60" t="str">
        <f>IF(A488="","",IF(COUNTIFS(jr_num,A488,jr_check,"&lt;&gt;OK")&gt;0,"À vérifier",IF(LEFT(A488,2)="BL",IF(COUNTIFS(jr_num,A488,jr_rel,"&gt;0")&gt;0,"Reliquat en cours",IF(COUNTIFS(jr_num,A488,jr_gap,"&lt;0")&gt;0,"Reliquat livré","Complet")),IF(LEFT(A488,2)="BR",IF(COUNTIFS(jr_num,A488,jr_etat,"Refusé")&gt;0,"Refusé",IF(COUNTIFS(jr_num,A488,jr_etat,"Avec réserves")&gt;0,"Avec réserves",IF(COUNTIFS(jr_num,A488,jr_rel,"&gt;0")&gt;0,"Reliquat en cours",IF(COUNTIFS(jr_num,A488,jr_gap,"&lt;0")+COUNTIFS(jr_num,A488,jr_gap,"&gt;0")&gt;0,"Écart","Conforme")))),IF(COUNTIFS(jr_num,A488,jr_gap,"&lt;0")&gt;0,"Partiel","Sorti")))))</f>
        <v/>
      </c>
      <c r="O488" t="str">
        <f>IFERROR(MATCH(483,jr_grank,0),"")</f>
        <v/>
      </c>
      <c r="R488" s="67" t="str">
        <f>IFERROR(INDEX(jr_num,MATCH("BL483",jr_nkey,0))&amp;"","")</f>
        <v/>
      </c>
      <c r="S488" s="67" t="str">
        <f>IFERROR(INDEX(jr_num,MATCH("BR483",jr_nkey,0))&amp;"","")</f>
        <v/>
      </c>
      <c r="T488" s="67" t="str">
        <f>IFERROR(INDEX(jr_num,MATCH("BS483",jr_nkey,0))&amp;"","")</f>
        <v/>
      </c>
    </row>
    <row r="489">
      <c r="A489" s="60" t="str">
        <f>IF($O489="","",INDEX(jr_num,$O489)&amp;"")</f>
        <v/>
      </c>
      <c r="B489" s="60" t="str">
        <f>IF($O489="","",IF(INDEX(jr_type,$O489)="BL","Livraison",IF(INDEX(jr_type,$O489)="BR","Réception","Sortie")))</f>
        <v/>
      </c>
      <c r="C489" s="65" t="str">
        <f>IF($O489="","",INDEX(jr_date,$O489))</f>
        <v/>
      </c>
      <c r="D489" s="60" t="str">
        <f>IF($O489="","",INDEX(jr_tiers,$O489)&amp;"")</f>
        <v/>
      </c>
      <c r="E489" s="57" t="str">
        <f>IF($O489="","",INDEX(jr_name,$O489)&amp;"")</f>
        <v/>
      </c>
      <c r="F489" s="57" t="str">
        <f>IF($O489="","",INDEX(jr_order,$O489)&amp;"")</f>
        <v/>
      </c>
      <c r="G489" s="57" t="str">
        <f>IF($O489="","",INDEX(jr_ext,$O489)&amp;"")</f>
        <v/>
      </c>
      <c r="H489" s="57" t="str">
        <f>IF($O489="","",INDEX(jr_carrier,$O489)&amp;"")</f>
        <v/>
      </c>
      <c r="I489" s="66" t="str">
        <f>IF(A489="","",COUNTIF(jr_num,A489))</f>
        <v/>
      </c>
      <c r="J489" s="66" t="str">
        <f>IF(A489="","",SUMIF(jr_num,A489,jr_colis))</f>
        <v/>
      </c>
      <c r="K489" s="63" t="str">
        <f>IF(A489="","",SUMIF(jr_num,A489,jr_kg))</f>
        <v/>
      </c>
      <c r="L489" s="64" t="str">
        <f>IF(A489="","",SUMIF(jr_num,A489,jr_val))</f>
        <v/>
      </c>
      <c r="M489" s="60" t="str">
        <f>IF(A489="","",IF(COUNTIFS(jr_num,A489,jr_check,"&lt;&gt;OK")&gt;0,"À vérifier",IF(LEFT(A489,2)="BL",IF(COUNTIFS(jr_num,A489,jr_rel,"&gt;0")&gt;0,"Reliquat en cours",IF(COUNTIFS(jr_num,A489,jr_gap,"&lt;0")&gt;0,"Reliquat livré","Complet")),IF(LEFT(A489,2)="BR",IF(COUNTIFS(jr_num,A489,jr_etat,"Refusé")&gt;0,"Refusé",IF(COUNTIFS(jr_num,A489,jr_etat,"Avec réserves")&gt;0,"Avec réserves",IF(COUNTIFS(jr_num,A489,jr_rel,"&gt;0")&gt;0,"Reliquat en cours",IF(COUNTIFS(jr_num,A489,jr_gap,"&lt;0")+COUNTIFS(jr_num,A489,jr_gap,"&gt;0")&gt;0,"Écart","Conforme")))),IF(COUNTIFS(jr_num,A489,jr_gap,"&lt;0")&gt;0,"Partiel","Sorti")))))</f>
        <v/>
      </c>
      <c r="O489" t="str">
        <f>IFERROR(MATCH(484,jr_grank,0),"")</f>
        <v/>
      </c>
      <c r="R489" s="67" t="str">
        <f>IFERROR(INDEX(jr_num,MATCH("BL484",jr_nkey,0))&amp;"","")</f>
        <v/>
      </c>
      <c r="S489" s="67" t="str">
        <f>IFERROR(INDEX(jr_num,MATCH("BR484",jr_nkey,0))&amp;"","")</f>
        <v/>
      </c>
      <c r="T489" s="67" t="str">
        <f>IFERROR(INDEX(jr_num,MATCH("BS484",jr_nkey,0))&amp;"","")</f>
        <v/>
      </c>
    </row>
    <row r="490">
      <c r="A490" s="60" t="str">
        <f>IF($O490="","",INDEX(jr_num,$O490)&amp;"")</f>
        <v/>
      </c>
      <c r="B490" s="60" t="str">
        <f>IF($O490="","",IF(INDEX(jr_type,$O490)="BL","Livraison",IF(INDEX(jr_type,$O490)="BR","Réception","Sortie")))</f>
        <v/>
      </c>
      <c r="C490" s="65" t="str">
        <f>IF($O490="","",INDEX(jr_date,$O490))</f>
        <v/>
      </c>
      <c r="D490" s="60" t="str">
        <f>IF($O490="","",INDEX(jr_tiers,$O490)&amp;"")</f>
        <v/>
      </c>
      <c r="E490" s="57" t="str">
        <f>IF($O490="","",INDEX(jr_name,$O490)&amp;"")</f>
        <v/>
      </c>
      <c r="F490" s="57" t="str">
        <f>IF($O490="","",INDEX(jr_order,$O490)&amp;"")</f>
        <v/>
      </c>
      <c r="G490" s="57" t="str">
        <f>IF($O490="","",INDEX(jr_ext,$O490)&amp;"")</f>
        <v/>
      </c>
      <c r="H490" s="57" t="str">
        <f>IF($O490="","",INDEX(jr_carrier,$O490)&amp;"")</f>
        <v/>
      </c>
      <c r="I490" s="66" t="str">
        <f>IF(A490="","",COUNTIF(jr_num,A490))</f>
        <v/>
      </c>
      <c r="J490" s="66" t="str">
        <f>IF(A490="","",SUMIF(jr_num,A490,jr_colis))</f>
        <v/>
      </c>
      <c r="K490" s="63" t="str">
        <f>IF(A490="","",SUMIF(jr_num,A490,jr_kg))</f>
        <v/>
      </c>
      <c r="L490" s="64" t="str">
        <f>IF(A490="","",SUMIF(jr_num,A490,jr_val))</f>
        <v/>
      </c>
      <c r="M490" s="60" t="str">
        <f>IF(A490="","",IF(COUNTIFS(jr_num,A490,jr_check,"&lt;&gt;OK")&gt;0,"À vérifier",IF(LEFT(A490,2)="BL",IF(COUNTIFS(jr_num,A490,jr_rel,"&gt;0")&gt;0,"Reliquat en cours",IF(COUNTIFS(jr_num,A490,jr_gap,"&lt;0")&gt;0,"Reliquat livré","Complet")),IF(LEFT(A490,2)="BR",IF(COUNTIFS(jr_num,A490,jr_etat,"Refusé")&gt;0,"Refusé",IF(COUNTIFS(jr_num,A490,jr_etat,"Avec réserves")&gt;0,"Avec réserves",IF(COUNTIFS(jr_num,A490,jr_rel,"&gt;0")&gt;0,"Reliquat en cours",IF(COUNTIFS(jr_num,A490,jr_gap,"&lt;0")+COUNTIFS(jr_num,A490,jr_gap,"&gt;0")&gt;0,"Écart","Conforme")))),IF(COUNTIFS(jr_num,A490,jr_gap,"&lt;0")&gt;0,"Partiel","Sorti")))))</f>
        <v/>
      </c>
      <c r="O490" t="str">
        <f>IFERROR(MATCH(485,jr_grank,0),"")</f>
        <v/>
      </c>
      <c r="R490" s="67" t="str">
        <f>IFERROR(INDEX(jr_num,MATCH("BL485",jr_nkey,0))&amp;"","")</f>
        <v/>
      </c>
      <c r="S490" s="67" t="str">
        <f>IFERROR(INDEX(jr_num,MATCH("BR485",jr_nkey,0))&amp;"","")</f>
        <v/>
      </c>
      <c r="T490" s="67" t="str">
        <f>IFERROR(INDEX(jr_num,MATCH("BS485",jr_nkey,0))&amp;"","")</f>
        <v/>
      </c>
    </row>
    <row r="491">
      <c r="A491" s="60" t="str">
        <f>IF($O491="","",INDEX(jr_num,$O491)&amp;"")</f>
        <v/>
      </c>
      <c r="B491" s="60" t="str">
        <f>IF($O491="","",IF(INDEX(jr_type,$O491)="BL","Livraison",IF(INDEX(jr_type,$O491)="BR","Réception","Sortie")))</f>
        <v/>
      </c>
      <c r="C491" s="65" t="str">
        <f>IF($O491="","",INDEX(jr_date,$O491))</f>
        <v/>
      </c>
      <c r="D491" s="60" t="str">
        <f>IF($O491="","",INDEX(jr_tiers,$O491)&amp;"")</f>
        <v/>
      </c>
      <c r="E491" s="57" t="str">
        <f>IF($O491="","",INDEX(jr_name,$O491)&amp;"")</f>
        <v/>
      </c>
      <c r="F491" s="57" t="str">
        <f>IF($O491="","",INDEX(jr_order,$O491)&amp;"")</f>
        <v/>
      </c>
      <c r="G491" s="57" t="str">
        <f>IF($O491="","",INDEX(jr_ext,$O491)&amp;"")</f>
        <v/>
      </c>
      <c r="H491" s="57" t="str">
        <f>IF($O491="","",INDEX(jr_carrier,$O491)&amp;"")</f>
        <v/>
      </c>
      <c r="I491" s="66" t="str">
        <f>IF(A491="","",COUNTIF(jr_num,A491))</f>
        <v/>
      </c>
      <c r="J491" s="66" t="str">
        <f>IF(A491="","",SUMIF(jr_num,A491,jr_colis))</f>
        <v/>
      </c>
      <c r="K491" s="63" t="str">
        <f>IF(A491="","",SUMIF(jr_num,A491,jr_kg))</f>
        <v/>
      </c>
      <c r="L491" s="64" t="str">
        <f>IF(A491="","",SUMIF(jr_num,A491,jr_val))</f>
        <v/>
      </c>
      <c r="M491" s="60" t="str">
        <f>IF(A491="","",IF(COUNTIFS(jr_num,A491,jr_check,"&lt;&gt;OK")&gt;0,"À vérifier",IF(LEFT(A491,2)="BL",IF(COUNTIFS(jr_num,A491,jr_rel,"&gt;0")&gt;0,"Reliquat en cours",IF(COUNTIFS(jr_num,A491,jr_gap,"&lt;0")&gt;0,"Reliquat livré","Complet")),IF(LEFT(A491,2)="BR",IF(COUNTIFS(jr_num,A491,jr_etat,"Refusé")&gt;0,"Refusé",IF(COUNTIFS(jr_num,A491,jr_etat,"Avec réserves")&gt;0,"Avec réserves",IF(COUNTIFS(jr_num,A491,jr_rel,"&gt;0")&gt;0,"Reliquat en cours",IF(COUNTIFS(jr_num,A491,jr_gap,"&lt;0")+COUNTIFS(jr_num,A491,jr_gap,"&gt;0")&gt;0,"Écart","Conforme")))),IF(COUNTIFS(jr_num,A491,jr_gap,"&lt;0")&gt;0,"Partiel","Sorti")))))</f>
        <v/>
      </c>
      <c r="O491" t="str">
        <f>IFERROR(MATCH(486,jr_grank,0),"")</f>
        <v/>
      </c>
      <c r="R491" s="67" t="str">
        <f>IFERROR(INDEX(jr_num,MATCH("BL486",jr_nkey,0))&amp;"","")</f>
        <v/>
      </c>
      <c r="S491" s="67" t="str">
        <f>IFERROR(INDEX(jr_num,MATCH("BR486",jr_nkey,0))&amp;"","")</f>
        <v/>
      </c>
      <c r="T491" s="67" t="str">
        <f>IFERROR(INDEX(jr_num,MATCH("BS486",jr_nkey,0))&amp;"","")</f>
        <v/>
      </c>
    </row>
    <row r="492">
      <c r="A492" s="60" t="str">
        <f>IF($O492="","",INDEX(jr_num,$O492)&amp;"")</f>
        <v/>
      </c>
      <c r="B492" s="60" t="str">
        <f>IF($O492="","",IF(INDEX(jr_type,$O492)="BL","Livraison",IF(INDEX(jr_type,$O492)="BR","Réception","Sortie")))</f>
        <v/>
      </c>
      <c r="C492" s="65" t="str">
        <f>IF($O492="","",INDEX(jr_date,$O492))</f>
        <v/>
      </c>
      <c r="D492" s="60" t="str">
        <f>IF($O492="","",INDEX(jr_tiers,$O492)&amp;"")</f>
        <v/>
      </c>
      <c r="E492" s="57" t="str">
        <f>IF($O492="","",INDEX(jr_name,$O492)&amp;"")</f>
        <v/>
      </c>
      <c r="F492" s="57" t="str">
        <f>IF($O492="","",INDEX(jr_order,$O492)&amp;"")</f>
        <v/>
      </c>
      <c r="G492" s="57" t="str">
        <f>IF($O492="","",INDEX(jr_ext,$O492)&amp;"")</f>
        <v/>
      </c>
      <c r="H492" s="57" t="str">
        <f>IF($O492="","",INDEX(jr_carrier,$O492)&amp;"")</f>
        <v/>
      </c>
      <c r="I492" s="66" t="str">
        <f>IF(A492="","",COUNTIF(jr_num,A492))</f>
        <v/>
      </c>
      <c r="J492" s="66" t="str">
        <f>IF(A492="","",SUMIF(jr_num,A492,jr_colis))</f>
        <v/>
      </c>
      <c r="K492" s="63" t="str">
        <f>IF(A492="","",SUMIF(jr_num,A492,jr_kg))</f>
        <v/>
      </c>
      <c r="L492" s="64" t="str">
        <f>IF(A492="","",SUMIF(jr_num,A492,jr_val))</f>
        <v/>
      </c>
      <c r="M492" s="60" t="str">
        <f>IF(A492="","",IF(COUNTIFS(jr_num,A492,jr_check,"&lt;&gt;OK")&gt;0,"À vérifier",IF(LEFT(A492,2)="BL",IF(COUNTIFS(jr_num,A492,jr_rel,"&gt;0")&gt;0,"Reliquat en cours",IF(COUNTIFS(jr_num,A492,jr_gap,"&lt;0")&gt;0,"Reliquat livré","Complet")),IF(LEFT(A492,2)="BR",IF(COUNTIFS(jr_num,A492,jr_etat,"Refusé")&gt;0,"Refusé",IF(COUNTIFS(jr_num,A492,jr_etat,"Avec réserves")&gt;0,"Avec réserves",IF(COUNTIFS(jr_num,A492,jr_rel,"&gt;0")&gt;0,"Reliquat en cours",IF(COUNTIFS(jr_num,A492,jr_gap,"&lt;0")+COUNTIFS(jr_num,A492,jr_gap,"&gt;0")&gt;0,"Écart","Conforme")))),IF(COUNTIFS(jr_num,A492,jr_gap,"&lt;0")&gt;0,"Partiel","Sorti")))))</f>
        <v/>
      </c>
      <c r="O492" t="str">
        <f>IFERROR(MATCH(487,jr_grank,0),"")</f>
        <v/>
      </c>
      <c r="R492" s="67" t="str">
        <f>IFERROR(INDEX(jr_num,MATCH("BL487",jr_nkey,0))&amp;"","")</f>
        <v/>
      </c>
      <c r="S492" s="67" t="str">
        <f>IFERROR(INDEX(jr_num,MATCH("BR487",jr_nkey,0))&amp;"","")</f>
        <v/>
      </c>
      <c r="T492" s="67" t="str">
        <f>IFERROR(INDEX(jr_num,MATCH("BS487",jr_nkey,0))&amp;"","")</f>
        <v/>
      </c>
    </row>
    <row r="493">
      <c r="A493" s="60" t="str">
        <f>IF($O493="","",INDEX(jr_num,$O493)&amp;"")</f>
        <v/>
      </c>
      <c r="B493" s="60" t="str">
        <f>IF($O493="","",IF(INDEX(jr_type,$O493)="BL","Livraison",IF(INDEX(jr_type,$O493)="BR","Réception","Sortie")))</f>
        <v/>
      </c>
      <c r="C493" s="65" t="str">
        <f>IF($O493="","",INDEX(jr_date,$O493))</f>
        <v/>
      </c>
      <c r="D493" s="60" t="str">
        <f>IF($O493="","",INDEX(jr_tiers,$O493)&amp;"")</f>
        <v/>
      </c>
      <c r="E493" s="57" t="str">
        <f>IF($O493="","",INDEX(jr_name,$O493)&amp;"")</f>
        <v/>
      </c>
      <c r="F493" s="57" t="str">
        <f>IF($O493="","",INDEX(jr_order,$O493)&amp;"")</f>
        <v/>
      </c>
      <c r="G493" s="57" t="str">
        <f>IF($O493="","",INDEX(jr_ext,$O493)&amp;"")</f>
        <v/>
      </c>
      <c r="H493" s="57" t="str">
        <f>IF($O493="","",INDEX(jr_carrier,$O493)&amp;"")</f>
        <v/>
      </c>
      <c r="I493" s="66" t="str">
        <f>IF(A493="","",COUNTIF(jr_num,A493))</f>
        <v/>
      </c>
      <c r="J493" s="66" t="str">
        <f>IF(A493="","",SUMIF(jr_num,A493,jr_colis))</f>
        <v/>
      </c>
      <c r="K493" s="63" t="str">
        <f>IF(A493="","",SUMIF(jr_num,A493,jr_kg))</f>
        <v/>
      </c>
      <c r="L493" s="64" t="str">
        <f>IF(A493="","",SUMIF(jr_num,A493,jr_val))</f>
        <v/>
      </c>
      <c r="M493" s="60" t="str">
        <f>IF(A493="","",IF(COUNTIFS(jr_num,A493,jr_check,"&lt;&gt;OK")&gt;0,"À vérifier",IF(LEFT(A493,2)="BL",IF(COUNTIFS(jr_num,A493,jr_rel,"&gt;0")&gt;0,"Reliquat en cours",IF(COUNTIFS(jr_num,A493,jr_gap,"&lt;0")&gt;0,"Reliquat livré","Complet")),IF(LEFT(A493,2)="BR",IF(COUNTIFS(jr_num,A493,jr_etat,"Refusé")&gt;0,"Refusé",IF(COUNTIFS(jr_num,A493,jr_etat,"Avec réserves")&gt;0,"Avec réserves",IF(COUNTIFS(jr_num,A493,jr_rel,"&gt;0")&gt;0,"Reliquat en cours",IF(COUNTIFS(jr_num,A493,jr_gap,"&lt;0")+COUNTIFS(jr_num,A493,jr_gap,"&gt;0")&gt;0,"Écart","Conforme")))),IF(COUNTIFS(jr_num,A493,jr_gap,"&lt;0")&gt;0,"Partiel","Sorti")))))</f>
        <v/>
      </c>
      <c r="O493" t="str">
        <f>IFERROR(MATCH(488,jr_grank,0),"")</f>
        <v/>
      </c>
      <c r="R493" s="67" t="str">
        <f>IFERROR(INDEX(jr_num,MATCH("BL488",jr_nkey,0))&amp;"","")</f>
        <v/>
      </c>
      <c r="S493" s="67" t="str">
        <f>IFERROR(INDEX(jr_num,MATCH("BR488",jr_nkey,0))&amp;"","")</f>
        <v/>
      </c>
      <c r="T493" s="67" t="str">
        <f>IFERROR(INDEX(jr_num,MATCH("BS488",jr_nkey,0))&amp;"","")</f>
        <v/>
      </c>
    </row>
    <row r="494">
      <c r="A494" s="60" t="str">
        <f>IF($O494="","",INDEX(jr_num,$O494)&amp;"")</f>
        <v/>
      </c>
      <c r="B494" s="60" t="str">
        <f>IF($O494="","",IF(INDEX(jr_type,$O494)="BL","Livraison",IF(INDEX(jr_type,$O494)="BR","Réception","Sortie")))</f>
        <v/>
      </c>
      <c r="C494" s="65" t="str">
        <f>IF($O494="","",INDEX(jr_date,$O494))</f>
        <v/>
      </c>
      <c r="D494" s="60" t="str">
        <f>IF($O494="","",INDEX(jr_tiers,$O494)&amp;"")</f>
        <v/>
      </c>
      <c r="E494" s="57" t="str">
        <f>IF($O494="","",INDEX(jr_name,$O494)&amp;"")</f>
        <v/>
      </c>
      <c r="F494" s="57" t="str">
        <f>IF($O494="","",INDEX(jr_order,$O494)&amp;"")</f>
        <v/>
      </c>
      <c r="G494" s="57" t="str">
        <f>IF($O494="","",INDEX(jr_ext,$O494)&amp;"")</f>
        <v/>
      </c>
      <c r="H494" s="57" t="str">
        <f>IF($O494="","",INDEX(jr_carrier,$O494)&amp;"")</f>
        <v/>
      </c>
      <c r="I494" s="66" t="str">
        <f>IF(A494="","",COUNTIF(jr_num,A494))</f>
        <v/>
      </c>
      <c r="J494" s="66" t="str">
        <f>IF(A494="","",SUMIF(jr_num,A494,jr_colis))</f>
        <v/>
      </c>
      <c r="K494" s="63" t="str">
        <f>IF(A494="","",SUMIF(jr_num,A494,jr_kg))</f>
        <v/>
      </c>
      <c r="L494" s="64" t="str">
        <f>IF(A494="","",SUMIF(jr_num,A494,jr_val))</f>
        <v/>
      </c>
      <c r="M494" s="60" t="str">
        <f>IF(A494="","",IF(COUNTIFS(jr_num,A494,jr_check,"&lt;&gt;OK")&gt;0,"À vérifier",IF(LEFT(A494,2)="BL",IF(COUNTIFS(jr_num,A494,jr_rel,"&gt;0")&gt;0,"Reliquat en cours",IF(COUNTIFS(jr_num,A494,jr_gap,"&lt;0")&gt;0,"Reliquat livré","Complet")),IF(LEFT(A494,2)="BR",IF(COUNTIFS(jr_num,A494,jr_etat,"Refusé")&gt;0,"Refusé",IF(COUNTIFS(jr_num,A494,jr_etat,"Avec réserves")&gt;0,"Avec réserves",IF(COUNTIFS(jr_num,A494,jr_rel,"&gt;0")&gt;0,"Reliquat en cours",IF(COUNTIFS(jr_num,A494,jr_gap,"&lt;0")+COUNTIFS(jr_num,A494,jr_gap,"&gt;0")&gt;0,"Écart","Conforme")))),IF(COUNTIFS(jr_num,A494,jr_gap,"&lt;0")&gt;0,"Partiel","Sorti")))))</f>
        <v/>
      </c>
      <c r="O494" t="str">
        <f>IFERROR(MATCH(489,jr_grank,0),"")</f>
        <v/>
      </c>
      <c r="R494" s="67" t="str">
        <f>IFERROR(INDEX(jr_num,MATCH("BL489",jr_nkey,0))&amp;"","")</f>
        <v/>
      </c>
      <c r="S494" s="67" t="str">
        <f>IFERROR(INDEX(jr_num,MATCH("BR489",jr_nkey,0))&amp;"","")</f>
        <v/>
      </c>
      <c r="T494" s="67" t="str">
        <f>IFERROR(INDEX(jr_num,MATCH("BS489",jr_nkey,0))&amp;"","")</f>
        <v/>
      </c>
    </row>
    <row r="495">
      <c r="A495" s="60" t="str">
        <f>IF($O495="","",INDEX(jr_num,$O495)&amp;"")</f>
        <v/>
      </c>
      <c r="B495" s="60" t="str">
        <f>IF($O495="","",IF(INDEX(jr_type,$O495)="BL","Livraison",IF(INDEX(jr_type,$O495)="BR","Réception","Sortie")))</f>
        <v/>
      </c>
      <c r="C495" s="65" t="str">
        <f>IF($O495="","",INDEX(jr_date,$O495))</f>
        <v/>
      </c>
      <c r="D495" s="60" t="str">
        <f>IF($O495="","",INDEX(jr_tiers,$O495)&amp;"")</f>
        <v/>
      </c>
      <c r="E495" s="57" t="str">
        <f>IF($O495="","",INDEX(jr_name,$O495)&amp;"")</f>
        <v/>
      </c>
      <c r="F495" s="57" t="str">
        <f>IF($O495="","",INDEX(jr_order,$O495)&amp;"")</f>
        <v/>
      </c>
      <c r="G495" s="57" t="str">
        <f>IF($O495="","",INDEX(jr_ext,$O495)&amp;"")</f>
        <v/>
      </c>
      <c r="H495" s="57" t="str">
        <f>IF($O495="","",INDEX(jr_carrier,$O495)&amp;"")</f>
        <v/>
      </c>
      <c r="I495" s="66" t="str">
        <f>IF(A495="","",COUNTIF(jr_num,A495))</f>
        <v/>
      </c>
      <c r="J495" s="66" t="str">
        <f>IF(A495="","",SUMIF(jr_num,A495,jr_colis))</f>
        <v/>
      </c>
      <c r="K495" s="63" t="str">
        <f>IF(A495="","",SUMIF(jr_num,A495,jr_kg))</f>
        <v/>
      </c>
      <c r="L495" s="64" t="str">
        <f>IF(A495="","",SUMIF(jr_num,A495,jr_val))</f>
        <v/>
      </c>
      <c r="M495" s="60" t="str">
        <f>IF(A495="","",IF(COUNTIFS(jr_num,A495,jr_check,"&lt;&gt;OK")&gt;0,"À vérifier",IF(LEFT(A495,2)="BL",IF(COUNTIFS(jr_num,A495,jr_rel,"&gt;0")&gt;0,"Reliquat en cours",IF(COUNTIFS(jr_num,A495,jr_gap,"&lt;0")&gt;0,"Reliquat livré","Complet")),IF(LEFT(A495,2)="BR",IF(COUNTIFS(jr_num,A495,jr_etat,"Refusé")&gt;0,"Refusé",IF(COUNTIFS(jr_num,A495,jr_etat,"Avec réserves")&gt;0,"Avec réserves",IF(COUNTIFS(jr_num,A495,jr_rel,"&gt;0")&gt;0,"Reliquat en cours",IF(COUNTIFS(jr_num,A495,jr_gap,"&lt;0")+COUNTIFS(jr_num,A495,jr_gap,"&gt;0")&gt;0,"Écart","Conforme")))),IF(COUNTIFS(jr_num,A495,jr_gap,"&lt;0")&gt;0,"Partiel","Sorti")))))</f>
        <v/>
      </c>
      <c r="O495" t="str">
        <f>IFERROR(MATCH(490,jr_grank,0),"")</f>
        <v/>
      </c>
      <c r="R495" s="67" t="str">
        <f>IFERROR(INDEX(jr_num,MATCH("BL490",jr_nkey,0))&amp;"","")</f>
        <v/>
      </c>
      <c r="S495" s="67" t="str">
        <f>IFERROR(INDEX(jr_num,MATCH("BR490",jr_nkey,0))&amp;"","")</f>
        <v/>
      </c>
      <c r="T495" s="67" t="str">
        <f>IFERROR(INDEX(jr_num,MATCH("BS490",jr_nkey,0))&amp;"","")</f>
        <v/>
      </c>
    </row>
    <row r="496">
      <c r="A496" s="60" t="str">
        <f>IF($O496="","",INDEX(jr_num,$O496)&amp;"")</f>
        <v/>
      </c>
      <c r="B496" s="60" t="str">
        <f>IF($O496="","",IF(INDEX(jr_type,$O496)="BL","Livraison",IF(INDEX(jr_type,$O496)="BR","Réception","Sortie")))</f>
        <v/>
      </c>
      <c r="C496" s="65" t="str">
        <f>IF($O496="","",INDEX(jr_date,$O496))</f>
        <v/>
      </c>
      <c r="D496" s="60" t="str">
        <f>IF($O496="","",INDEX(jr_tiers,$O496)&amp;"")</f>
        <v/>
      </c>
      <c r="E496" s="57" t="str">
        <f>IF($O496="","",INDEX(jr_name,$O496)&amp;"")</f>
        <v/>
      </c>
      <c r="F496" s="57" t="str">
        <f>IF($O496="","",INDEX(jr_order,$O496)&amp;"")</f>
        <v/>
      </c>
      <c r="G496" s="57" t="str">
        <f>IF($O496="","",INDEX(jr_ext,$O496)&amp;"")</f>
        <v/>
      </c>
      <c r="H496" s="57" t="str">
        <f>IF($O496="","",INDEX(jr_carrier,$O496)&amp;"")</f>
        <v/>
      </c>
      <c r="I496" s="66" t="str">
        <f>IF(A496="","",COUNTIF(jr_num,A496))</f>
        <v/>
      </c>
      <c r="J496" s="66" t="str">
        <f>IF(A496="","",SUMIF(jr_num,A496,jr_colis))</f>
        <v/>
      </c>
      <c r="K496" s="63" t="str">
        <f>IF(A496="","",SUMIF(jr_num,A496,jr_kg))</f>
        <v/>
      </c>
      <c r="L496" s="64" t="str">
        <f>IF(A496="","",SUMIF(jr_num,A496,jr_val))</f>
        <v/>
      </c>
      <c r="M496" s="60" t="str">
        <f>IF(A496="","",IF(COUNTIFS(jr_num,A496,jr_check,"&lt;&gt;OK")&gt;0,"À vérifier",IF(LEFT(A496,2)="BL",IF(COUNTIFS(jr_num,A496,jr_rel,"&gt;0")&gt;0,"Reliquat en cours",IF(COUNTIFS(jr_num,A496,jr_gap,"&lt;0")&gt;0,"Reliquat livré","Complet")),IF(LEFT(A496,2)="BR",IF(COUNTIFS(jr_num,A496,jr_etat,"Refusé")&gt;0,"Refusé",IF(COUNTIFS(jr_num,A496,jr_etat,"Avec réserves")&gt;0,"Avec réserves",IF(COUNTIFS(jr_num,A496,jr_rel,"&gt;0")&gt;0,"Reliquat en cours",IF(COUNTIFS(jr_num,A496,jr_gap,"&lt;0")+COUNTIFS(jr_num,A496,jr_gap,"&gt;0")&gt;0,"Écart","Conforme")))),IF(COUNTIFS(jr_num,A496,jr_gap,"&lt;0")&gt;0,"Partiel","Sorti")))))</f>
        <v/>
      </c>
      <c r="O496" t="str">
        <f>IFERROR(MATCH(491,jr_grank,0),"")</f>
        <v/>
      </c>
      <c r="R496" s="67" t="str">
        <f>IFERROR(INDEX(jr_num,MATCH("BL491",jr_nkey,0))&amp;"","")</f>
        <v/>
      </c>
      <c r="S496" s="67" t="str">
        <f>IFERROR(INDEX(jr_num,MATCH("BR491",jr_nkey,0))&amp;"","")</f>
        <v/>
      </c>
      <c r="T496" s="67" t="str">
        <f>IFERROR(INDEX(jr_num,MATCH("BS491",jr_nkey,0))&amp;"","")</f>
        <v/>
      </c>
    </row>
    <row r="497">
      <c r="A497" s="60" t="str">
        <f>IF($O497="","",INDEX(jr_num,$O497)&amp;"")</f>
        <v/>
      </c>
      <c r="B497" s="60" t="str">
        <f>IF($O497="","",IF(INDEX(jr_type,$O497)="BL","Livraison",IF(INDEX(jr_type,$O497)="BR","Réception","Sortie")))</f>
        <v/>
      </c>
      <c r="C497" s="65" t="str">
        <f>IF($O497="","",INDEX(jr_date,$O497))</f>
        <v/>
      </c>
      <c r="D497" s="60" t="str">
        <f>IF($O497="","",INDEX(jr_tiers,$O497)&amp;"")</f>
        <v/>
      </c>
      <c r="E497" s="57" t="str">
        <f>IF($O497="","",INDEX(jr_name,$O497)&amp;"")</f>
        <v/>
      </c>
      <c r="F497" s="57" t="str">
        <f>IF($O497="","",INDEX(jr_order,$O497)&amp;"")</f>
        <v/>
      </c>
      <c r="G497" s="57" t="str">
        <f>IF($O497="","",INDEX(jr_ext,$O497)&amp;"")</f>
        <v/>
      </c>
      <c r="H497" s="57" t="str">
        <f>IF($O497="","",INDEX(jr_carrier,$O497)&amp;"")</f>
        <v/>
      </c>
      <c r="I497" s="66" t="str">
        <f>IF(A497="","",COUNTIF(jr_num,A497))</f>
        <v/>
      </c>
      <c r="J497" s="66" t="str">
        <f>IF(A497="","",SUMIF(jr_num,A497,jr_colis))</f>
        <v/>
      </c>
      <c r="K497" s="63" t="str">
        <f>IF(A497="","",SUMIF(jr_num,A497,jr_kg))</f>
        <v/>
      </c>
      <c r="L497" s="64" t="str">
        <f>IF(A497="","",SUMIF(jr_num,A497,jr_val))</f>
        <v/>
      </c>
      <c r="M497" s="60" t="str">
        <f>IF(A497="","",IF(COUNTIFS(jr_num,A497,jr_check,"&lt;&gt;OK")&gt;0,"À vérifier",IF(LEFT(A497,2)="BL",IF(COUNTIFS(jr_num,A497,jr_rel,"&gt;0")&gt;0,"Reliquat en cours",IF(COUNTIFS(jr_num,A497,jr_gap,"&lt;0")&gt;0,"Reliquat livré","Complet")),IF(LEFT(A497,2)="BR",IF(COUNTIFS(jr_num,A497,jr_etat,"Refusé")&gt;0,"Refusé",IF(COUNTIFS(jr_num,A497,jr_etat,"Avec réserves")&gt;0,"Avec réserves",IF(COUNTIFS(jr_num,A497,jr_rel,"&gt;0")&gt;0,"Reliquat en cours",IF(COUNTIFS(jr_num,A497,jr_gap,"&lt;0")+COUNTIFS(jr_num,A497,jr_gap,"&gt;0")&gt;0,"Écart","Conforme")))),IF(COUNTIFS(jr_num,A497,jr_gap,"&lt;0")&gt;0,"Partiel","Sorti")))))</f>
        <v/>
      </c>
      <c r="O497" t="str">
        <f>IFERROR(MATCH(492,jr_grank,0),"")</f>
        <v/>
      </c>
      <c r="R497" s="67" t="str">
        <f>IFERROR(INDEX(jr_num,MATCH("BL492",jr_nkey,0))&amp;"","")</f>
        <v/>
      </c>
      <c r="S497" s="67" t="str">
        <f>IFERROR(INDEX(jr_num,MATCH("BR492",jr_nkey,0))&amp;"","")</f>
        <v/>
      </c>
      <c r="T497" s="67" t="str">
        <f>IFERROR(INDEX(jr_num,MATCH("BS492",jr_nkey,0))&amp;"","")</f>
        <v/>
      </c>
    </row>
    <row r="498">
      <c r="A498" s="60" t="str">
        <f>IF($O498="","",INDEX(jr_num,$O498)&amp;"")</f>
        <v/>
      </c>
      <c r="B498" s="60" t="str">
        <f>IF($O498="","",IF(INDEX(jr_type,$O498)="BL","Livraison",IF(INDEX(jr_type,$O498)="BR","Réception","Sortie")))</f>
        <v/>
      </c>
      <c r="C498" s="65" t="str">
        <f>IF($O498="","",INDEX(jr_date,$O498))</f>
        <v/>
      </c>
      <c r="D498" s="60" t="str">
        <f>IF($O498="","",INDEX(jr_tiers,$O498)&amp;"")</f>
        <v/>
      </c>
      <c r="E498" s="57" t="str">
        <f>IF($O498="","",INDEX(jr_name,$O498)&amp;"")</f>
        <v/>
      </c>
      <c r="F498" s="57" t="str">
        <f>IF($O498="","",INDEX(jr_order,$O498)&amp;"")</f>
        <v/>
      </c>
      <c r="G498" s="57" t="str">
        <f>IF($O498="","",INDEX(jr_ext,$O498)&amp;"")</f>
        <v/>
      </c>
      <c r="H498" s="57" t="str">
        <f>IF($O498="","",INDEX(jr_carrier,$O498)&amp;"")</f>
        <v/>
      </c>
      <c r="I498" s="66" t="str">
        <f>IF(A498="","",COUNTIF(jr_num,A498))</f>
        <v/>
      </c>
      <c r="J498" s="66" t="str">
        <f>IF(A498="","",SUMIF(jr_num,A498,jr_colis))</f>
        <v/>
      </c>
      <c r="K498" s="63" t="str">
        <f>IF(A498="","",SUMIF(jr_num,A498,jr_kg))</f>
        <v/>
      </c>
      <c r="L498" s="64" t="str">
        <f>IF(A498="","",SUMIF(jr_num,A498,jr_val))</f>
        <v/>
      </c>
      <c r="M498" s="60" t="str">
        <f>IF(A498="","",IF(COUNTIFS(jr_num,A498,jr_check,"&lt;&gt;OK")&gt;0,"À vérifier",IF(LEFT(A498,2)="BL",IF(COUNTIFS(jr_num,A498,jr_rel,"&gt;0")&gt;0,"Reliquat en cours",IF(COUNTIFS(jr_num,A498,jr_gap,"&lt;0")&gt;0,"Reliquat livré","Complet")),IF(LEFT(A498,2)="BR",IF(COUNTIFS(jr_num,A498,jr_etat,"Refusé")&gt;0,"Refusé",IF(COUNTIFS(jr_num,A498,jr_etat,"Avec réserves")&gt;0,"Avec réserves",IF(COUNTIFS(jr_num,A498,jr_rel,"&gt;0")&gt;0,"Reliquat en cours",IF(COUNTIFS(jr_num,A498,jr_gap,"&lt;0")+COUNTIFS(jr_num,A498,jr_gap,"&gt;0")&gt;0,"Écart","Conforme")))),IF(COUNTIFS(jr_num,A498,jr_gap,"&lt;0")&gt;0,"Partiel","Sorti")))))</f>
        <v/>
      </c>
      <c r="O498" t="str">
        <f>IFERROR(MATCH(493,jr_grank,0),"")</f>
        <v/>
      </c>
      <c r="R498" s="67" t="str">
        <f>IFERROR(INDEX(jr_num,MATCH("BL493",jr_nkey,0))&amp;"","")</f>
        <v/>
      </c>
      <c r="S498" s="67" t="str">
        <f>IFERROR(INDEX(jr_num,MATCH("BR493",jr_nkey,0))&amp;"","")</f>
        <v/>
      </c>
      <c r="T498" s="67" t="str">
        <f>IFERROR(INDEX(jr_num,MATCH("BS493",jr_nkey,0))&amp;"","")</f>
        <v/>
      </c>
    </row>
    <row r="499">
      <c r="A499" s="60" t="str">
        <f>IF($O499="","",INDEX(jr_num,$O499)&amp;"")</f>
        <v/>
      </c>
      <c r="B499" s="60" t="str">
        <f>IF($O499="","",IF(INDEX(jr_type,$O499)="BL","Livraison",IF(INDEX(jr_type,$O499)="BR","Réception","Sortie")))</f>
        <v/>
      </c>
      <c r="C499" s="65" t="str">
        <f>IF($O499="","",INDEX(jr_date,$O499))</f>
        <v/>
      </c>
      <c r="D499" s="60" t="str">
        <f>IF($O499="","",INDEX(jr_tiers,$O499)&amp;"")</f>
        <v/>
      </c>
      <c r="E499" s="57" t="str">
        <f>IF($O499="","",INDEX(jr_name,$O499)&amp;"")</f>
        <v/>
      </c>
      <c r="F499" s="57" t="str">
        <f>IF($O499="","",INDEX(jr_order,$O499)&amp;"")</f>
        <v/>
      </c>
      <c r="G499" s="57" t="str">
        <f>IF($O499="","",INDEX(jr_ext,$O499)&amp;"")</f>
        <v/>
      </c>
      <c r="H499" s="57" t="str">
        <f>IF($O499="","",INDEX(jr_carrier,$O499)&amp;"")</f>
        <v/>
      </c>
      <c r="I499" s="66" t="str">
        <f>IF(A499="","",COUNTIF(jr_num,A499))</f>
        <v/>
      </c>
      <c r="J499" s="66" t="str">
        <f>IF(A499="","",SUMIF(jr_num,A499,jr_colis))</f>
        <v/>
      </c>
      <c r="K499" s="63" t="str">
        <f>IF(A499="","",SUMIF(jr_num,A499,jr_kg))</f>
        <v/>
      </c>
      <c r="L499" s="64" t="str">
        <f>IF(A499="","",SUMIF(jr_num,A499,jr_val))</f>
        <v/>
      </c>
      <c r="M499" s="60" t="str">
        <f>IF(A499="","",IF(COUNTIFS(jr_num,A499,jr_check,"&lt;&gt;OK")&gt;0,"À vérifier",IF(LEFT(A499,2)="BL",IF(COUNTIFS(jr_num,A499,jr_rel,"&gt;0")&gt;0,"Reliquat en cours",IF(COUNTIFS(jr_num,A499,jr_gap,"&lt;0")&gt;0,"Reliquat livré","Complet")),IF(LEFT(A499,2)="BR",IF(COUNTIFS(jr_num,A499,jr_etat,"Refusé")&gt;0,"Refusé",IF(COUNTIFS(jr_num,A499,jr_etat,"Avec réserves")&gt;0,"Avec réserves",IF(COUNTIFS(jr_num,A499,jr_rel,"&gt;0")&gt;0,"Reliquat en cours",IF(COUNTIFS(jr_num,A499,jr_gap,"&lt;0")+COUNTIFS(jr_num,A499,jr_gap,"&gt;0")&gt;0,"Écart","Conforme")))),IF(COUNTIFS(jr_num,A499,jr_gap,"&lt;0")&gt;0,"Partiel","Sorti")))))</f>
        <v/>
      </c>
      <c r="O499" t="str">
        <f>IFERROR(MATCH(494,jr_grank,0),"")</f>
        <v/>
      </c>
      <c r="R499" s="67" t="str">
        <f>IFERROR(INDEX(jr_num,MATCH("BL494",jr_nkey,0))&amp;"","")</f>
        <v/>
      </c>
      <c r="S499" s="67" t="str">
        <f>IFERROR(INDEX(jr_num,MATCH("BR494",jr_nkey,0))&amp;"","")</f>
        <v/>
      </c>
      <c r="T499" s="67" t="str">
        <f>IFERROR(INDEX(jr_num,MATCH("BS494",jr_nkey,0))&amp;"","")</f>
        <v/>
      </c>
    </row>
    <row r="500">
      <c r="A500" s="60" t="str">
        <f>IF($O500="","",INDEX(jr_num,$O500)&amp;"")</f>
        <v/>
      </c>
      <c r="B500" s="60" t="str">
        <f>IF($O500="","",IF(INDEX(jr_type,$O500)="BL","Livraison",IF(INDEX(jr_type,$O500)="BR","Réception","Sortie")))</f>
        <v/>
      </c>
      <c r="C500" s="65" t="str">
        <f>IF($O500="","",INDEX(jr_date,$O500))</f>
        <v/>
      </c>
      <c r="D500" s="60" t="str">
        <f>IF($O500="","",INDEX(jr_tiers,$O500)&amp;"")</f>
        <v/>
      </c>
      <c r="E500" s="57" t="str">
        <f>IF($O500="","",INDEX(jr_name,$O500)&amp;"")</f>
        <v/>
      </c>
      <c r="F500" s="57" t="str">
        <f>IF($O500="","",INDEX(jr_order,$O500)&amp;"")</f>
        <v/>
      </c>
      <c r="G500" s="57" t="str">
        <f>IF($O500="","",INDEX(jr_ext,$O500)&amp;"")</f>
        <v/>
      </c>
      <c r="H500" s="57" t="str">
        <f>IF($O500="","",INDEX(jr_carrier,$O500)&amp;"")</f>
        <v/>
      </c>
      <c r="I500" s="66" t="str">
        <f>IF(A500="","",COUNTIF(jr_num,A500))</f>
        <v/>
      </c>
      <c r="J500" s="66" t="str">
        <f>IF(A500="","",SUMIF(jr_num,A500,jr_colis))</f>
        <v/>
      </c>
      <c r="K500" s="63" t="str">
        <f>IF(A500="","",SUMIF(jr_num,A500,jr_kg))</f>
        <v/>
      </c>
      <c r="L500" s="64" t="str">
        <f>IF(A500="","",SUMIF(jr_num,A500,jr_val))</f>
        <v/>
      </c>
      <c r="M500" s="60" t="str">
        <f>IF(A500="","",IF(COUNTIFS(jr_num,A500,jr_check,"&lt;&gt;OK")&gt;0,"À vérifier",IF(LEFT(A500,2)="BL",IF(COUNTIFS(jr_num,A500,jr_rel,"&gt;0")&gt;0,"Reliquat en cours",IF(COUNTIFS(jr_num,A500,jr_gap,"&lt;0")&gt;0,"Reliquat livré","Complet")),IF(LEFT(A500,2)="BR",IF(COUNTIFS(jr_num,A500,jr_etat,"Refusé")&gt;0,"Refusé",IF(COUNTIFS(jr_num,A500,jr_etat,"Avec réserves")&gt;0,"Avec réserves",IF(COUNTIFS(jr_num,A500,jr_rel,"&gt;0")&gt;0,"Reliquat en cours",IF(COUNTIFS(jr_num,A500,jr_gap,"&lt;0")+COUNTIFS(jr_num,A500,jr_gap,"&gt;0")&gt;0,"Écart","Conforme")))),IF(COUNTIFS(jr_num,A500,jr_gap,"&lt;0")&gt;0,"Partiel","Sorti")))))</f>
        <v/>
      </c>
      <c r="O500" t="str">
        <f>IFERROR(MATCH(495,jr_grank,0),"")</f>
        <v/>
      </c>
      <c r="R500" s="67" t="str">
        <f>IFERROR(INDEX(jr_num,MATCH("BL495",jr_nkey,0))&amp;"","")</f>
        <v/>
      </c>
      <c r="S500" s="67" t="str">
        <f>IFERROR(INDEX(jr_num,MATCH("BR495",jr_nkey,0))&amp;"","")</f>
        <v/>
      </c>
      <c r="T500" s="67" t="str">
        <f>IFERROR(INDEX(jr_num,MATCH("BS495",jr_nkey,0))&amp;"","")</f>
        <v/>
      </c>
    </row>
    <row r="501">
      <c r="A501" s="60" t="str">
        <f>IF($O501="","",INDEX(jr_num,$O501)&amp;"")</f>
        <v/>
      </c>
      <c r="B501" s="60" t="str">
        <f>IF($O501="","",IF(INDEX(jr_type,$O501)="BL","Livraison",IF(INDEX(jr_type,$O501)="BR","Réception","Sortie")))</f>
        <v/>
      </c>
      <c r="C501" s="65" t="str">
        <f>IF($O501="","",INDEX(jr_date,$O501))</f>
        <v/>
      </c>
      <c r="D501" s="60" t="str">
        <f>IF($O501="","",INDEX(jr_tiers,$O501)&amp;"")</f>
        <v/>
      </c>
      <c r="E501" s="57" t="str">
        <f>IF($O501="","",INDEX(jr_name,$O501)&amp;"")</f>
        <v/>
      </c>
      <c r="F501" s="57" t="str">
        <f>IF($O501="","",INDEX(jr_order,$O501)&amp;"")</f>
        <v/>
      </c>
      <c r="G501" s="57" t="str">
        <f>IF($O501="","",INDEX(jr_ext,$O501)&amp;"")</f>
        <v/>
      </c>
      <c r="H501" s="57" t="str">
        <f>IF($O501="","",INDEX(jr_carrier,$O501)&amp;"")</f>
        <v/>
      </c>
      <c r="I501" s="66" t="str">
        <f>IF(A501="","",COUNTIF(jr_num,A501))</f>
        <v/>
      </c>
      <c r="J501" s="66" t="str">
        <f>IF(A501="","",SUMIF(jr_num,A501,jr_colis))</f>
        <v/>
      </c>
      <c r="K501" s="63" t="str">
        <f>IF(A501="","",SUMIF(jr_num,A501,jr_kg))</f>
        <v/>
      </c>
      <c r="L501" s="64" t="str">
        <f>IF(A501="","",SUMIF(jr_num,A501,jr_val))</f>
        <v/>
      </c>
      <c r="M501" s="60" t="str">
        <f>IF(A501="","",IF(COUNTIFS(jr_num,A501,jr_check,"&lt;&gt;OK")&gt;0,"À vérifier",IF(LEFT(A501,2)="BL",IF(COUNTIFS(jr_num,A501,jr_rel,"&gt;0")&gt;0,"Reliquat en cours",IF(COUNTIFS(jr_num,A501,jr_gap,"&lt;0")&gt;0,"Reliquat livré","Complet")),IF(LEFT(A501,2)="BR",IF(COUNTIFS(jr_num,A501,jr_etat,"Refusé")&gt;0,"Refusé",IF(COUNTIFS(jr_num,A501,jr_etat,"Avec réserves")&gt;0,"Avec réserves",IF(COUNTIFS(jr_num,A501,jr_rel,"&gt;0")&gt;0,"Reliquat en cours",IF(COUNTIFS(jr_num,A501,jr_gap,"&lt;0")+COUNTIFS(jr_num,A501,jr_gap,"&gt;0")&gt;0,"Écart","Conforme")))),IF(COUNTIFS(jr_num,A501,jr_gap,"&lt;0")&gt;0,"Partiel","Sorti")))))</f>
        <v/>
      </c>
      <c r="O501" t="str">
        <f>IFERROR(MATCH(496,jr_grank,0),"")</f>
        <v/>
      </c>
      <c r="R501" s="67" t="str">
        <f>IFERROR(INDEX(jr_num,MATCH("BL496",jr_nkey,0))&amp;"","")</f>
        <v/>
      </c>
      <c r="S501" s="67" t="str">
        <f>IFERROR(INDEX(jr_num,MATCH("BR496",jr_nkey,0))&amp;"","")</f>
        <v/>
      </c>
      <c r="T501" s="67" t="str">
        <f>IFERROR(INDEX(jr_num,MATCH("BS496",jr_nkey,0))&amp;"","")</f>
        <v/>
      </c>
    </row>
    <row r="502">
      <c r="A502" s="60" t="str">
        <f>IF($O502="","",INDEX(jr_num,$O502)&amp;"")</f>
        <v/>
      </c>
      <c r="B502" s="60" t="str">
        <f>IF($O502="","",IF(INDEX(jr_type,$O502)="BL","Livraison",IF(INDEX(jr_type,$O502)="BR","Réception","Sortie")))</f>
        <v/>
      </c>
      <c r="C502" s="65" t="str">
        <f>IF($O502="","",INDEX(jr_date,$O502))</f>
        <v/>
      </c>
      <c r="D502" s="60" t="str">
        <f>IF($O502="","",INDEX(jr_tiers,$O502)&amp;"")</f>
        <v/>
      </c>
      <c r="E502" s="57" t="str">
        <f>IF($O502="","",INDEX(jr_name,$O502)&amp;"")</f>
        <v/>
      </c>
      <c r="F502" s="57" t="str">
        <f>IF($O502="","",INDEX(jr_order,$O502)&amp;"")</f>
        <v/>
      </c>
      <c r="G502" s="57" t="str">
        <f>IF($O502="","",INDEX(jr_ext,$O502)&amp;"")</f>
        <v/>
      </c>
      <c r="H502" s="57" t="str">
        <f>IF($O502="","",INDEX(jr_carrier,$O502)&amp;"")</f>
        <v/>
      </c>
      <c r="I502" s="66" t="str">
        <f>IF(A502="","",COUNTIF(jr_num,A502))</f>
        <v/>
      </c>
      <c r="J502" s="66" t="str">
        <f>IF(A502="","",SUMIF(jr_num,A502,jr_colis))</f>
        <v/>
      </c>
      <c r="K502" s="63" t="str">
        <f>IF(A502="","",SUMIF(jr_num,A502,jr_kg))</f>
        <v/>
      </c>
      <c r="L502" s="64" t="str">
        <f>IF(A502="","",SUMIF(jr_num,A502,jr_val))</f>
        <v/>
      </c>
      <c r="M502" s="60" t="str">
        <f>IF(A502="","",IF(COUNTIFS(jr_num,A502,jr_check,"&lt;&gt;OK")&gt;0,"À vérifier",IF(LEFT(A502,2)="BL",IF(COUNTIFS(jr_num,A502,jr_rel,"&gt;0")&gt;0,"Reliquat en cours",IF(COUNTIFS(jr_num,A502,jr_gap,"&lt;0")&gt;0,"Reliquat livré","Complet")),IF(LEFT(A502,2)="BR",IF(COUNTIFS(jr_num,A502,jr_etat,"Refusé")&gt;0,"Refusé",IF(COUNTIFS(jr_num,A502,jr_etat,"Avec réserves")&gt;0,"Avec réserves",IF(COUNTIFS(jr_num,A502,jr_rel,"&gt;0")&gt;0,"Reliquat en cours",IF(COUNTIFS(jr_num,A502,jr_gap,"&lt;0")+COUNTIFS(jr_num,A502,jr_gap,"&gt;0")&gt;0,"Écart","Conforme")))),IF(COUNTIFS(jr_num,A502,jr_gap,"&lt;0")&gt;0,"Partiel","Sorti")))))</f>
        <v/>
      </c>
      <c r="O502" t="str">
        <f>IFERROR(MATCH(497,jr_grank,0),"")</f>
        <v/>
      </c>
      <c r="R502" s="67" t="str">
        <f>IFERROR(INDEX(jr_num,MATCH("BL497",jr_nkey,0))&amp;"","")</f>
        <v/>
      </c>
      <c r="S502" s="67" t="str">
        <f>IFERROR(INDEX(jr_num,MATCH("BR497",jr_nkey,0))&amp;"","")</f>
        <v/>
      </c>
      <c r="T502" s="67" t="str">
        <f>IFERROR(INDEX(jr_num,MATCH("BS497",jr_nkey,0))&amp;"","")</f>
        <v/>
      </c>
    </row>
    <row r="503">
      <c r="A503" s="60" t="str">
        <f>IF($O503="","",INDEX(jr_num,$O503)&amp;"")</f>
        <v/>
      </c>
      <c r="B503" s="60" t="str">
        <f>IF($O503="","",IF(INDEX(jr_type,$O503)="BL","Livraison",IF(INDEX(jr_type,$O503)="BR","Réception","Sortie")))</f>
        <v/>
      </c>
      <c r="C503" s="65" t="str">
        <f>IF($O503="","",INDEX(jr_date,$O503))</f>
        <v/>
      </c>
      <c r="D503" s="60" t="str">
        <f>IF($O503="","",INDEX(jr_tiers,$O503)&amp;"")</f>
        <v/>
      </c>
      <c r="E503" s="57" t="str">
        <f>IF($O503="","",INDEX(jr_name,$O503)&amp;"")</f>
        <v/>
      </c>
      <c r="F503" s="57" t="str">
        <f>IF($O503="","",INDEX(jr_order,$O503)&amp;"")</f>
        <v/>
      </c>
      <c r="G503" s="57" t="str">
        <f>IF($O503="","",INDEX(jr_ext,$O503)&amp;"")</f>
        <v/>
      </c>
      <c r="H503" s="57" t="str">
        <f>IF($O503="","",INDEX(jr_carrier,$O503)&amp;"")</f>
        <v/>
      </c>
      <c r="I503" s="66" t="str">
        <f>IF(A503="","",COUNTIF(jr_num,A503))</f>
        <v/>
      </c>
      <c r="J503" s="66" t="str">
        <f>IF(A503="","",SUMIF(jr_num,A503,jr_colis))</f>
        <v/>
      </c>
      <c r="K503" s="63" t="str">
        <f>IF(A503="","",SUMIF(jr_num,A503,jr_kg))</f>
        <v/>
      </c>
      <c r="L503" s="64" t="str">
        <f>IF(A503="","",SUMIF(jr_num,A503,jr_val))</f>
        <v/>
      </c>
      <c r="M503" s="60" t="str">
        <f>IF(A503="","",IF(COUNTIFS(jr_num,A503,jr_check,"&lt;&gt;OK")&gt;0,"À vérifier",IF(LEFT(A503,2)="BL",IF(COUNTIFS(jr_num,A503,jr_rel,"&gt;0")&gt;0,"Reliquat en cours",IF(COUNTIFS(jr_num,A503,jr_gap,"&lt;0")&gt;0,"Reliquat livré","Complet")),IF(LEFT(A503,2)="BR",IF(COUNTIFS(jr_num,A503,jr_etat,"Refusé")&gt;0,"Refusé",IF(COUNTIFS(jr_num,A503,jr_etat,"Avec réserves")&gt;0,"Avec réserves",IF(COUNTIFS(jr_num,A503,jr_rel,"&gt;0")&gt;0,"Reliquat en cours",IF(COUNTIFS(jr_num,A503,jr_gap,"&lt;0")+COUNTIFS(jr_num,A503,jr_gap,"&gt;0")&gt;0,"Écart","Conforme")))),IF(COUNTIFS(jr_num,A503,jr_gap,"&lt;0")&gt;0,"Partiel","Sorti")))))</f>
        <v/>
      </c>
      <c r="O503" t="str">
        <f>IFERROR(MATCH(498,jr_grank,0),"")</f>
        <v/>
      </c>
      <c r="R503" s="67" t="str">
        <f>IFERROR(INDEX(jr_num,MATCH("BL498",jr_nkey,0))&amp;"","")</f>
        <v/>
      </c>
      <c r="S503" s="67" t="str">
        <f>IFERROR(INDEX(jr_num,MATCH("BR498",jr_nkey,0))&amp;"","")</f>
        <v/>
      </c>
      <c r="T503" s="67" t="str">
        <f>IFERROR(INDEX(jr_num,MATCH("BS498",jr_nkey,0))&amp;"","")</f>
        <v/>
      </c>
    </row>
    <row r="504">
      <c r="A504" s="60" t="str">
        <f>IF($O504="","",INDEX(jr_num,$O504)&amp;"")</f>
        <v/>
      </c>
      <c r="B504" s="60" t="str">
        <f>IF($O504="","",IF(INDEX(jr_type,$O504)="BL","Livraison",IF(INDEX(jr_type,$O504)="BR","Réception","Sortie")))</f>
        <v/>
      </c>
      <c r="C504" s="65" t="str">
        <f>IF($O504="","",INDEX(jr_date,$O504))</f>
        <v/>
      </c>
      <c r="D504" s="60" t="str">
        <f>IF($O504="","",INDEX(jr_tiers,$O504)&amp;"")</f>
        <v/>
      </c>
      <c r="E504" s="57" t="str">
        <f>IF($O504="","",INDEX(jr_name,$O504)&amp;"")</f>
        <v/>
      </c>
      <c r="F504" s="57" t="str">
        <f>IF($O504="","",INDEX(jr_order,$O504)&amp;"")</f>
        <v/>
      </c>
      <c r="G504" s="57" t="str">
        <f>IF($O504="","",INDEX(jr_ext,$O504)&amp;"")</f>
        <v/>
      </c>
      <c r="H504" s="57" t="str">
        <f>IF($O504="","",INDEX(jr_carrier,$O504)&amp;"")</f>
        <v/>
      </c>
      <c r="I504" s="66" t="str">
        <f>IF(A504="","",COUNTIF(jr_num,A504))</f>
        <v/>
      </c>
      <c r="J504" s="66" t="str">
        <f>IF(A504="","",SUMIF(jr_num,A504,jr_colis))</f>
        <v/>
      </c>
      <c r="K504" s="63" t="str">
        <f>IF(A504="","",SUMIF(jr_num,A504,jr_kg))</f>
        <v/>
      </c>
      <c r="L504" s="64" t="str">
        <f>IF(A504="","",SUMIF(jr_num,A504,jr_val))</f>
        <v/>
      </c>
      <c r="M504" s="60" t="str">
        <f>IF(A504="","",IF(COUNTIFS(jr_num,A504,jr_check,"&lt;&gt;OK")&gt;0,"À vérifier",IF(LEFT(A504,2)="BL",IF(COUNTIFS(jr_num,A504,jr_rel,"&gt;0")&gt;0,"Reliquat en cours",IF(COUNTIFS(jr_num,A504,jr_gap,"&lt;0")&gt;0,"Reliquat livré","Complet")),IF(LEFT(A504,2)="BR",IF(COUNTIFS(jr_num,A504,jr_etat,"Refusé")&gt;0,"Refusé",IF(COUNTIFS(jr_num,A504,jr_etat,"Avec réserves")&gt;0,"Avec réserves",IF(COUNTIFS(jr_num,A504,jr_rel,"&gt;0")&gt;0,"Reliquat en cours",IF(COUNTIFS(jr_num,A504,jr_gap,"&lt;0")+COUNTIFS(jr_num,A504,jr_gap,"&gt;0")&gt;0,"Écart","Conforme")))),IF(COUNTIFS(jr_num,A504,jr_gap,"&lt;0")&gt;0,"Partiel","Sorti")))))</f>
        <v/>
      </c>
      <c r="O504" t="str">
        <f>IFERROR(MATCH(499,jr_grank,0),"")</f>
        <v/>
      </c>
      <c r="R504" s="67" t="str">
        <f>IFERROR(INDEX(jr_num,MATCH("BL499",jr_nkey,0))&amp;"","")</f>
        <v/>
      </c>
      <c r="S504" s="67" t="str">
        <f>IFERROR(INDEX(jr_num,MATCH("BR499",jr_nkey,0))&amp;"","")</f>
        <v/>
      </c>
      <c r="T504" s="67" t="str">
        <f>IFERROR(INDEX(jr_num,MATCH("BS499",jr_nkey,0))&amp;"","")</f>
        <v/>
      </c>
    </row>
    <row r="505">
      <c r="A505" s="60" t="str">
        <f>IF($O505="","",INDEX(jr_num,$O505)&amp;"")</f>
        <v/>
      </c>
      <c r="B505" s="60" t="str">
        <f>IF($O505="","",IF(INDEX(jr_type,$O505)="BL","Livraison",IF(INDEX(jr_type,$O505)="BR","Réception","Sortie")))</f>
        <v/>
      </c>
      <c r="C505" s="65" t="str">
        <f>IF($O505="","",INDEX(jr_date,$O505))</f>
        <v/>
      </c>
      <c r="D505" s="60" t="str">
        <f>IF($O505="","",INDEX(jr_tiers,$O505)&amp;"")</f>
        <v/>
      </c>
      <c r="E505" s="57" t="str">
        <f>IF($O505="","",INDEX(jr_name,$O505)&amp;"")</f>
        <v/>
      </c>
      <c r="F505" s="57" t="str">
        <f>IF($O505="","",INDEX(jr_order,$O505)&amp;"")</f>
        <v/>
      </c>
      <c r="G505" s="57" t="str">
        <f>IF($O505="","",INDEX(jr_ext,$O505)&amp;"")</f>
        <v/>
      </c>
      <c r="H505" s="57" t="str">
        <f>IF($O505="","",INDEX(jr_carrier,$O505)&amp;"")</f>
        <v/>
      </c>
      <c r="I505" s="66" t="str">
        <f>IF(A505="","",COUNTIF(jr_num,A505))</f>
        <v/>
      </c>
      <c r="J505" s="66" t="str">
        <f>IF(A505="","",SUMIF(jr_num,A505,jr_colis))</f>
        <v/>
      </c>
      <c r="K505" s="63" t="str">
        <f>IF(A505="","",SUMIF(jr_num,A505,jr_kg))</f>
        <v/>
      </c>
      <c r="L505" s="64" t="str">
        <f>IF(A505="","",SUMIF(jr_num,A505,jr_val))</f>
        <v/>
      </c>
      <c r="M505" s="60" t="str">
        <f>IF(A505="","",IF(COUNTIFS(jr_num,A505,jr_check,"&lt;&gt;OK")&gt;0,"À vérifier",IF(LEFT(A505,2)="BL",IF(COUNTIFS(jr_num,A505,jr_rel,"&gt;0")&gt;0,"Reliquat en cours",IF(COUNTIFS(jr_num,A505,jr_gap,"&lt;0")&gt;0,"Reliquat livré","Complet")),IF(LEFT(A505,2)="BR",IF(COUNTIFS(jr_num,A505,jr_etat,"Refusé")&gt;0,"Refusé",IF(COUNTIFS(jr_num,A505,jr_etat,"Avec réserves")&gt;0,"Avec réserves",IF(COUNTIFS(jr_num,A505,jr_rel,"&gt;0")&gt;0,"Reliquat en cours",IF(COUNTIFS(jr_num,A505,jr_gap,"&lt;0")+COUNTIFS(jr_num,A505,jr_gap,"&gt;0")&gt;0,"Écart","Conforme")))),IF(COUNTIFS(jr_num,A505,jr_gap,"&lt;0")&gt;0,"Partiel","Sorti")))))</f>
        <v/>
      </c>
      <c r="O505" t="str">
        <f>IFERROR(MATCH(500,jr_grank,0),"")</f>
        <v/>
      </c>
      <c r="R505" s="67" t="str">
        <f>IFERROR(INDEX(jr_num,MATCH("BL500",jr_nkey,0))&amp;"","")</f>
        <v/>
      </c>
      <c r="S505" s="67" t="str">
        <f>IFERROR(INDEX(jr_num,MATCH("BR500",jr_nkey,0))&amp;"","")</f>
        <v/>
      </c>
      <c r="T505" s="67" t="str">
        <f>IFERROR(INDEX(jr_num,MATCH("BS500",jr_nkey,0))&amp;"","")</f>
        <v/>
      </c>
    </row>
    <row r="506">
      <c r="A506" s="60" t="str">
        <f>IF($O506="","",INDEX(jr_num,$O506)&amp;"")</f>
        <v/>
      </c>
      <c r="B506" s="60" t="str">
        <f>IF($O506="","",IF(INDEX(jr_type,$O506)="BL","Livraison",IF(INDEX(jr_type,$O506)="BR","Réception","Sortie")))</f>
        <v/>
      </c>
      <c r="C506" s="65" t="str">
        <f>IF($O506="","",INDEX(jr_date,$O506))</f>
        <v/>
      </c>
      <c r="D506" s="60" t="str">
        <f>IF($O506="","",INDEX(jr_tiers,$O506)&amp;"")</f>
        <v/>
      </c>
      <c r="E506" s="57" t="str">
        <f>IF($O506="","",INDEX(jr_name,$O506)&amp;"")</f>
        <v/>
      </c>
      <c r="F506" s="57" t="str">
        <f>IF($O506="","",INDEX(jr_order,$O506)&amp;"")</f>
        <v/>
      </c>
      <c r="G506" s="57" t="str">
        <f>IF($O506="","",INDEX(jr_ext,$O506)&amp;"")</f>
        <v/>
      </c>
      <c r="H506" s="57" t="str">
        <f>IF($O506="","",INDEX(jr_carrier,$O506)&amp;"")</f>
        <v/>
      </c>
      <c r="I506" s="66" t="str">
        <f>IF(A506="","",COUNTIF(jr_num,A506))</f>
        <v/>
      </c>
      <c r="J506" s="66" t="str">
        <f>IF(A506="","",SUMIF(jr_num,A506,jr_colis))</f>
        <v/>
      </c>
      <c r="K506" s="63" t="str">
        <f>IF(A506="","",SUMIF(jr_num,A506,jr_kg))</f>
        <v/>
      </c>
      <c r="L506" s="64" t="str">
        <f>IF(A506="","",SUMIF(jr_num,A506,jr_val))</f>
        <v/>
      </c>
      <c r="M506" s="60" t="str">
        <f>IF(A506="","",IF(COUNTIFS(jr_num,A506,jr_check,"&lt;&gt;OK")&gt;0,"À vérifier",IF(LEFT(A506,2)="BL",IF(COUNTIFS(jr_num,A506,jr_rel,"&gt;0")&gt;0,"Reliquat en cours",IF(COUNTIFS(jr_num,A506,jr_gap,"&lt;0")&gt;0,"Reliquat livré","Complet")),IF(LEFT(A506,2)="BR",IF(COUNTIFS(jr_num,A506,jr_etat,"Refusé")&gt;0,"Refusé",IF(COUNTIFS(jr_num,A506,jr_etat,"Avec réserves")&gt;0,"Avec réserves",IF(COUNTIFS(jr_num,A506,jr_rel,"&gt;0")&gt;0,"Reliquat en cours",IF(COUNTIFS(jr_num,A506,jr_gap,"&lt;0")+COUNTIFS(jr_num,A506,jr_gap,"&gt;0")&gt;0,"Écart","Conforme")))),IF(COUNTIFS(jr_num,A506,jr_gap,"&lt;0")&gt;0,"Partiel","Sorti")))))</f>
        <v/>
      </c>
      <c r="O506" t="str">
        <f>IFERROR(MATCH(501,jr_grank,0),"")</f>
        <v/>
      </c>
      <c r="R506" s="67" t="str">
        <f>IFERROR(INDEX(jr_num,MATCH("BL501",jr_nkey,0))&amp;"","")</f>
        <v/>
      </c>
      <c r="S506" s="67" t="str">
        <f>IFERROR(INDEX(jr_num,MATCH("BR501",jr_nkey,0))&amp;"","")</f>
        <v/>
      </c>
      <c r="T506" s="67" t="str">
        <f>IFERROR(INDEX(jr_num,MATCH("BS501",jr_nkey,0))&amp;"","")</f>
        <v/>
      </c>
    </row>
    <row r="507">
      <c r="A507" s="60" t="str">
        <f>IF($O507="","",INDEX(jr_num,$O507)&amp;"")</f>
        <v/>
      </c>
      <c r="B507" s="60" t="str">
        <f>IF($O507="","",IF(INDEX(jr_type,$O507)="BL","Livraison",IF(INDEX(jr_type,$O507)="BR","Réception","Sortie")))</f>
        <v/>
      </c>
      <c r="C507" s="65" t="str">
        <f>IF($O507="","",INDEX(jr_date,$O507))</f>
        <v/>
      </c>
      <c r="D507" s="60" t="str">
        <f>IF($O507="","",INDEX(jr_tiers,$O507)&amp;"")</f>
        <v/>
      </c>
      <c r="E507" s="57" t="str">
        <f>IF($O507="","",INDEX(jr_name,$O507)&amp;"")</f>
        <v/>
      </c>
      <c r="F507" s="57" t="str">
        <f>IF($O507="","",INDEX(jr_order,$O507)&amp;"")</f>
        <v/>
      </c>
      <c r="G507" s="57" t="str">
        <f>IF($O507="","",INDEX(jr_ext,$O507)&amp;"")</f>
        <v/>
      </c>
      <c r="H507" s="57" t="str">
        <f>IF($O507="","",INDEX(jr_carrier,$O507)&amp;"")</f>
        <v/>
      </c>
      <c r="I507" s="66" t="str">
        <f>IF(A507="","",COUNTIF(jr_num,A507))</f>
        <v/>
      </c>
      <c r="J507" s="66" t="str">
        <f>IF(A507="","",SUMIF(jr_num,A507,jr_colis))</f>
        <v/>
      </c>
      <c r="K507" s="63" t="str">
        <f>IF(A507="","",SUMIF(jr_num,A507,jr_kg))</f>
        <v/>
      </c>
      <c r="L507" s="64" t="str">
        <f>IF(A507="","",SUMIF(jr_num,A507,jr_val))</f>
        <v/>
      </c>
      <c r="M507" s="60" t="str">
        <f>IF(A507="","",IF(COUNTIFS(jr_num,A507,jr_check,"&lt;&gt;OK")&gt;0,"À vérifier",IF(LEFT(A507,2)="BL",IF(COUNTIFS(jr_num,A507,jr_rel,"&gt;0")&gt;0,"Reliquat en cours",IF(COUNTIFS(jr_num,A507,jr_gap,"&lt;0")&gt;0,"Reliquat livré","Complet")),IF(LEFT(A507,2)="BR",IF(COUNTIFS(jr_num,A507,jr_etat,"Refusé")&gt;0,"Refusé",IF(COUNTIFS(jr_num,A507,jr_etat,"Avec réserves")&gt;0,"Avec réserves",IF(COUNTIFS(jr_num,A507,jr_rel,"&gt;0")&gt;0,"Reliquat en cours",IF(COUNTIFS(jr_num,A507,jr_gap,"&lt;0")+COUNTIFS(jr_num,A507,jr_gap,"&gt;0")&gt;0,"Écart","Conforme")))),IF(COUNTIFS(jr_num,A507,jr_gap,"&lt;0")&gt;0,"Partiel","Sorti")))))</f>
        <v/>
      </c>
      <c r="O507" t="str">
        <f>IFERROR(MATCH(502,jr_grank,0),"")</f>
        <v/>
      </c>
      <c r="R507" s="67" t="str">
        <f>IFERROR(INDEX(jr_num,MATCH("BL502",jr_nkey,0))&amp;"","")</f>
        <v/>
      </c>
      <c r="S507" s="67" t="str">
        <f>IFERROR(INDEX(jr_num,MATCH("BR502",jr_nkey,0))&amp;"","")</f>
        <v/>
      </c>
      <c r="T507" s="67" t="str">
        <f>IFERROR(INDEX(jr_num,MATCH("BS502",jr_nkey,0))&amp;"","")</f>
        <v/>
      </c>
    </row>
    <row r="508">
      <c r="A508" s="60" t="str">
        <f>IF($O508="","",INDEX(jr_num,$O508)&amp;"")</f>
        <v/>
      </c>
      <c r="B508" s="60" t="str">
        <f>IF($O508="","",IF(INDEX(jr_type,$O508)="BL","Livraison",IF(INDEX(jr_type,$O508)="BR","Réception","Sortie")))</f>
        <v/>
      </c>
      <c r="C508" s="65" t="str">
        <f>IF($O508="","",INDEX(jr_date,$O508))</f>
        <v/>
      </c>
      <c r="D508" s="60" t="str">
        <f>IF($O508="","",INDEX(jr_tiers,$O508)&amp;"")</f>
        <v/>
      </c>
      <c r="E508" s="57" t="str">
        <f>IF($O508="","",INDEX(jr_name,$O508)&amp;"")</f>
        <v/>
      </c>
      <c r="F508" s="57" t="str">
        <f>IF($O508="","",INDEX(jr_order,$O508)&amp;"")</f>
        <v/>
      </c>
      <c r="G508" s="57" t="str">
        <f>IF($O508="","",INDEX(jr_ext,$O508)&amp;"")</f>
        <v/>
      </c>
      <c r="H508" s="57" t="str">
        <f>IF($O508="","",INDEX(jr_carrier,$O508)&amp;"")</f>
        <v/>
      </c>
      <c r="I508" s="66" t="str">
        <f>IF(A508="","",COUNTIF(jr_num,A508))</f>
        <v/>
      </c>
      <c r="J508" s="66" t="str">
        <f>IF(A508="","",SUMIF(jr_num,A508,jr_colis))</f>
        <v/>
      </c>
      <c r="K508" s="63" t="str">
        <f>IF(A508="","",SUMIF(jr_num,A508,jr_kg))</f>
        <v/>
      </c>
      <c r="L508" s="64" t="str">
        <f>IF(A508="","",SUMIF(jr_num,A508,jr_val))</f>
        <v/>
      </c>
      <c r="M508" s="60" t="str">
        <f>IF(A508="","",IF(COUNTIFS(jr_num,A508,jr_check,"&lt;&gt;OK")&gt;0,"À vérifier",IF(LEFT(A508,2)="BL",IF(COUNTIFS(jr_num,A508,jr_rel,"&gt;0")&gt;0,"Reliquat en cours",IF(COUNTIFS(jr_num,A508,jr_gap,"&lt;0")&gt;0,"Reliquat livré","Complet")),IF(LEFT(A508,2)="BR",IF(COUNTIFS(jr_num,A508,jr_etat,"Refusé")&gt;0,"Refusé",IF(COUNTIFS(jr_num,A508,jr_etat,"Avec réserves")&gt;0,"Avec réserves",IF(COUNTIFS(jr_num,A508,jr_rel,"&gt;0")&gt;0,"Reliquat en cours",IF(COUNTIFS(jr_num,A508,jr_gap,"&lt;0")+COUNTIFS(jr_num,A508,jr_gap,"&gt;0")&gt;0,"Écart","Conforme")))),IF(COUNTIFS(jr_num,A508,jr_gap,"&lt;0")&gt;0,"Partiel","Sorti")))))</f>
        <v/>
      </c>
      <c r="O508" t="str">
        <f>IFERROR(MATCH(503,jr_grank,0),"")</f>
        <v/>
      </c>
      <c r="R508" s="67" t="str">
        <f>IFERROR(INDEX(jr_num,MATCH("BL503",jr_nkey,0))&amp;"","")</f>
        <v/>
      </c>
      <c r="S508" s="67" t="str">
        <f>IFERROR(INDEX(jr_num,MATCH("BR503",jr_nkey,0))&amp;"","")</f>
        <v/>
      </c>
      <c r="T508" s="67" t="str">
        <f>IFERROR(INDEX(jr_num,MATCH("BS503",jr_nkey,0))&amp;"","")</f>
        <v/>
      </c>
    </row>
    <row r="509">
      <c r="A509" s="60" t="str">
        <f>IF($O509="","",INDEX(jr_num,$O509)&amp;"")</f>
        <v/>
      </c>
      <c r="B509" s="60" t="str">
        <f>IF($O509="","",IF(INDEX(jr_type,$O509)="BL","Livraison",IF(INDEX(jr_type,$O509)="BR","Réception","Sortie")))</f>
        <v/>
      </c>
      <c r="C509" s="65" t="str">
        <f>IF($O509="","",INDEX(jr_date,$O509))</f>
        <v/>
      </c>
      <c r="D509" s="60" t="str">
        <f>IF($O509="","",INDEX(jr_tiers,$O509)&amp;"")</f>
        <v/>
      </c>
      <c r="E509" s="57" t="str">
        <f>IF($O509="","",INDEX(jr_name,$O509)&amp;"")</f>
        <v/>
      </c>
      <c r="F509" s="57" t="str">
        <f>IF($O509="","",INDEX(jr_order,$O509)&amp;"")</f>
        <v/>
      </c>
      <c r="G509" s="57" t="str">
        <f>IF($O509="","",INDEX(jr_ext,$O509)&amp;"")</f>
        <v/>
      </c>
      <c r="H509" s="57" t="str">
        <f>IF($O509="","",INDEX(jr_carrier,$O509)&amp;"")</f>
        <v/>
      </c>
      <c r="I509" s="66" t="str">
        <f>IF(A509="","",COUNTIF(jr_num,A509))</f>
        <v/>
      </c>
      <c r="J509" s="66" t="str">
        <f>IF(A509="","",SUMIF(jr_num,A509,jr_colis))</f>
        <v/>
      </c>
      <c r="K509" s="63" t="str">
        <f>IF(A509="","",SUMIF(jr_num,A509,jr_kg))</f>
        <v/>
      </c>
      <c r="L509" s="64" t="str">
        <f>IF(A509="","",SUMIF(jr_num,A509,jr_val))</f>
        <v/>
      </c>
      <c r="M509" s="60" t="str">
        <f>IF(A509="","",IF(COUNTIFS(jr_num,A509,jr_check,"&lt;&gt;OK")&gt;0,"À vérifier",IF(LEFT(A509,2)="BL",IF(COUNTIFS(jr_num,A509,jr_rel,"&gt;0")&gt;0,"Reliquat en cours",IF(COUNTIFS(jr_num,A509,jr_gap,"&lt;0")&gt;0,"Reliquat livré","Complet")),IF(LEFT(A509,2)="BR",IF(COUNTIFS(jr_num,A509,jr_etat,"Refusé")&gt;0,"Refusé",IF(COUNTIFS(jr_num,A509,jr_etat,"Avec réserves")&gt;0,"Avec réserves",IF(COUNTIFS(jr_num,A509,jr_rel,"&gt;0")&gt;0,"Reliquat en cours",IF(COUNTIFS(jr_num,A509,jr_gap,"&lt;0")+COUNTIFS(jr_num,A509,jr_gap,"&gt;0")&gt;0,"Écart","Conforme")))),IF(COUNTIFS(jr_num,A509,jr_gap,"&lt;0")&gt;0,"Partiel","Sorti")))))</f>
        <v/>
      </c>
      <c r="O509" t="str">
        <f>IFERROR(MATCH(504,jr_grank,0),"")</f>
        <v/>
      </c>
      <c r="R509" s="67" t="str">
        <f>IFERROR(INDEX(jr_num,MATCH("BL504",jr_nkey,0))&amp;"","")</f>
        <v/>
      </c>
      <c r="S509" s="67" t="str">
        <f>IFERROR(INDEX(jr_num,MATCH("BR504",jr_nkey,0))&amp;"","")</f>
        <v/>
      </c>
      <c r="T509" s="67" t="str">
        <f>IFERROR(INDEX(jr_num,MATCH("BS504",jr_nkey,0))&amp;"","")</f>
        <v/>
      </c>
    </row>
    <row r="510">
      <c r="A510" s="60" t="str">
        <f>IF($O510="","",INDEX(jr_num,$O510)&amp;"")</f>
        <v/>
      </c>
      <c r="B510" s="60" t="str">
        <f>IF($O510="","",IF(INDEX(jr_type,$O510)="BL","Livraison",IF(INDEX(jr_type,$O510)="BR","Réception","Sortie")))</f>
        <v/>
      </c>
      <c r="C510" s="65" t="str">
        <f>IF($O510="","",INDEX(jr_date,$O510))</f>
        <v/>
      </c>
      <c r="D510" s="60" t="str">
        <f>IF($O510="","",INDEX(jr_tiers,$O510)&amp;"")</f>
        <v/>
      </c>
      <c r="E510" s="57" t="str">
        <f>IF($O510="","",INDEX(jr_name,$O510)&amp;"")</f>
        <v/>
      </c>
      <c r="F510" s="57" t="str">
        <f>IF($O510="","",INDEX(jr_order,$O510)&amp;"")</f>
        <v/>
      </c>
      <c r="G510" s="57" t="str">
        <f>IF($O510="","",INDEX(jr_ext,$O510)&amp;"")</f>
        <v/>
      </c>
      <c r="H510" s="57" t="str">
        <f>IF($O510="","",INDEX(jr_carrier,$O510)&amp;"")</f>
        <v/>
      </c>
      <c r="I510" s="66" t="str">
        <f>IF(A510="","",COUNTIF(jr_num,A510))</f>
        <v/>
      </c>
      <c r="J510" s="66" t="str">
        <f>IF(A510="","",SUMIF(jr_num,A510,jr_colis))</f>
        <v/>
      </c>
      <c r="K510" s="63" t="str">
        <f>IF(A510="","",SUMIF(jr_num,A510,jr_kg))</f>
        <v/>
      </c>
      <c r="L510" s="64" t="str">
        <f>IF(A510="","",SUMIF(jr_num,A510,jr_val))</f>
        <v/>
      </c>
      <c r="M510" s="60" t="str">
        <f>IF(A510="","",IF(COUNTIFS(jr_num,A510,jr_check,"&lt;&gt;OK")&gt;0,"À vérifier",IF(LEFT(A510,2)="BL",IF(COUNTIFS(jr_num,A510,jr_rel,"&gt;0")&gt;0,"Reliquat en cours",IF(COUNTIFS(jr_num,A510,jr_gap,"&lt;0")&gt;0,"Reliquat livré","Complet")),IF(LEFT(A510,2)="BR",IF(COUNTIFS(jr_num,A510,jr_etat,"Refusé")&gt;0,"Refusé",IF(COUNTIFS(jr_num,A510,jr_etat,"Avec réserves")&gt;0,"Avec réserves",IF(COUNTIFS(jr_num,A510,jr_rel,"&gt;0")&gt;0,"Reliquat en cours",IF(COUNTIFS(jr_num,A510,jr_gap,"&lt;0")+COUNTIFS(jr_num,A510,jr_gap,"&gt;0")&gt;0,"Écart","Conforme")))),IF(COUNTIFS(jr_num,A510,jr_gap,"&lt;0")&gt;0,"Partiel","Sorti")))))</f>
        <v/>
      </c>
      <c r="O510" t="str">
        <f>IFERROR(MATCH(505,jr_grank,0),"")</f>
        <v/>
      </c>
      <c r="R510" s="67" t="str">
        <f>IFERROR(INDEX(jr_num,MATCH("BL505",jr_nkey,0))&amp;"","")</f>
        <v/>
      </c>
      <c r="S510" s="67" t="str">
        <f>IFERROR(INDEX(jr_num,MATCH("BR505",jr_nkey,0))&amp;"","")</f>
        <v/>
      </c>
      <c r="T510" s="67" t="str">
        <f>IFERROR(INDEX(jr_num,MATCH("BS505",jr_nkey,0))&amp;"","")</f>
        <v/>
      </c>
    </row>
    <row r="511">
      <c r="A511" s="60" t="str">
        <f>IF($O511="","",INDEX(jr_num,$O511)&amp;"")</f>
        <v/>
      </c>
      <c r="B511" s="60" t="str">
        <f>IF($O511="","",IF(INDEX(jr_type,$O511)="BL","Livraison",IF(INDEX(jr_type,$O511)="BR","Réception","Sortie")))</f>
        <v/>
      </c>
      <c r="C511" s="65" t="str">
        <f>IF($O511="","",INDEX(jr_date,$O511))</f>
        <v/>
      </c>
      <c r="D511" s="60" t="str">
        <f>IF($O511="","",INDEX(jr_tiers,$O511)&amp;"")</f>
        <v/>
      </c>
      <c r="E511" s="57" t="str">
        <f>IF($O511="","",INDEX(jr_name,$O511)&amp;"")</f>
        <v/>
      </c>
      <c r="F511" s="57" t="str">
        <f>IF($O511="","",INDEX(jr_order,$O511)&amp;"")</f>
        <v/>
      </c>
      <c r="G511" s="57" t="str">
        <f>IF($O511="","",INDEX(jr_ext,$O511)&amp;"")</f>
        <v/>
      </c>
      <c r="H511" s="57" t="str">
        <f>IF($O511="","",INDEX(jr_carrier,$O511)&amp;"")</f>
        <v/>
      </c>
      <c r="I511" s="66" t="str">
        <f>IF(A511="","",COUNTIF(jr_num,A511))</f>
        <v/>
      </c>
      <c r="J511" s="66" t="str">
        <f>IF(A511="","",SUMIF(jr_num,A511,jr_colis))</f>
        <v/>
      </c>
      <c r="K511" s="63" t="str">
        <f>IF(A511="","",SUMIF(jr_num,A511,jr_kg))</f>
        <v/>
      </c>
      <c r="L511" s="64" t="str">
        <f>IF(A511="","",SUMIF(jr_num,A511,jr_val))</f>
        <v/>
      </c>
      <c r="M511" s="60" t="str">
        <f>IF(A511="","",IF(COUNTIFS(jr_num,A511,jr_check,"&lt;&gt;OK")&gt;0,"À vérifier",IF(LEFT(A511,2)="BL",IF(COUNTIFS(jr_num,A511,jr_rel,"&gt;0")&gt;0,"Reliquat en cours",IF(COUNTIFS(jr_num,A511,jr_gap,"&lt;0")&gt;0,"Reliquat livré","Complet")),IF(LEFT(A511,2)="BR",IF(COUNTIFS(jr_num,A511,jr_etat,"Refusé")&gt;0,"Refusé",IF(COUNTIFS(jr_num,A511,jr_etat,"Avec réserves")&gt;0,"Avec réserves",IF(COUNTIFS(jr_num,A511,jr_rel,"&gt;0")&gt;0,"Reliquat en cours",IF(COUNTIFS(jr_num,A511,jr_gap,"&lt;0")+COUNTIFS(jr_num,A511,jr_gap,"&gt;0")&gt;0,"Écart","Conforme")))),IF(COUNTIFS(jr_num,A511,jr_gap,"&lt;0")&gt;0,"Partiel","Sorti")))))</f>
        <v/>
      </c>
      <c r="O511" t="str">
        <f>IFERROR(MATCH(506,jr_grank,0),"")</f>
        <v/>
      </c>
      <c r="R511" s="67" t="str">
        <f>IFERROR(INDEX(jr_num,MATCH("BL506",jr_nkey,0))&amp;"","")</f>
        <v/>
      </c>
      <c r="S511" s="67" t="str">
        <f>IFERROR(INDEX(jr_num,MATCH("BR506",jr_nkey,0))&amp;"","")</f>
        <v/>
      </c>
      <c r="T511" s="67" t="str">
        <f>IFERROR(INDEX(jr_num,MATCH("BS506",jr_nkey,0))&amp;"","")</f>
        <v/>
      </c>
    </row>
    <row r="512">
      <c r="A512" s="60" t="str">
        <f>IF($O512="","",INDEX(jr_num,$O512)&amp;"")</f>
        <v/>
      </c>
      <c r="B512" s="60" t="str">
        <f>IF($O512="","",IF(INDEX(jr_type,$O512)="BL","Livraison",IF(INDEX(jr_type,$O512)="BR","Réception","Sortie")))</f>
        <v/>
      </c>
      <c r="C512" s="65" t="str">
        <f>IF($O512="","",INDEX(jr_date,$O512))</f>
        <v/>
      </c>
      <c r="D512" s="60" t="str">
        <f>IF($O512="","",INDEX(jr_tiers,$O512)&amp;"")</f>
        <v/>
      </c>
      <c r="E512" s="57" t="str">
        <f>IF($O512="","",INDEX(jr_name,$O512)&amp;"")</f>
        <v/>
      </c>
      <c r="F512" s="57" t="str">
        <f>IF($O512="","",INDEX(jr_order,$O512)&amp;"")</f>
        <v/>
      </c>
      <c r="G512" s="57" t="str">
        <f>IF($O512="","",INDEX(jr_ext,$O512)&amp;"")</f>
        <v/>
      </c>
      <c r="H512" s="57" t="str">
        <f>IF($O512="","",INDEX(jr_carrier,$O512)&amp;"")</f>
        <v/>
      </c>
      <c r="I512" s="66" t="str">
        <f>IF(A512="","",COUNTIF(jr_num,A512))</f>
        <v/>
      </c>
      <c r="J512" s="66" t="str">
        <f>IF(A512="","",SUMIF(jr_num,A512,jr_colis))</f>
        <v/>
      </c>
      <c r="K512" s="63" t="str">
        <f>IF(A512="","",SUMIF(jr_num,A512,jr_kg))</f>
        <v/>
      </c>
      <c r="L512" s="64" t="str">
        <f>IF(A512="","",SUMIF(jr_num,A512,jr_val))</f>
        <v/>
      </c>
      <c r="M512" s="60" t="str">
        <f>IF(A512="","",IF(COUNTIFS(jr_num,A512,jr_check,"&lt;&gt;OK")&gt;0,"À vérifier",IF(LEFT(A512,2)="BL",IF(COUNTIFS(jr_num,A512,jr_rel,"&gt;0")&gt;0,"Reliquat en cours",IF(COUNTIFS(jr_num,A512,jr_gap,"&lt;0")&gt;0,"Reliquat livré","Complet")),IF(LEFT(A512,2)="BR",IF(COUNTIFS(jr_num,A512,jr_etat,"Refusé")&gt;0,"Refusé",IF(COUNTIFS(jr_num,A512,jr_etat,"Avec réserves")&gt;0,"Avec réserves",IF(COUNTIFS(jr_num,A512,jr_rel,"&gt;0")&gt;0,"Reliquat en cours",IF(COUNTIFS(jr_num,A512,jr_gap,"&lt;0")+COUNTIFS(jr_num,A512,jr_gap,"&gt;0")&gt;0,"Écart","Conforme")))),IF(COUNTIFS(jr_num,A512,jr_gap,"&lt;0")&gt;0,"Partiel","Sorti")))))</f>
        <v/>
      </c>
      <c r="O512" t="str">
        <f>IFERROR(MATCH(507,jr_grank,0),"")</f>
        <v/>
      </c>
      <c r="R512" s="67" t="str">
        <f>IFERROR(INDEX(jr_num,MATCH("BL507",jr_nkey,0))&amp;"","")</f>
        <v/>
      </c>
      <c r="S512" s="67" t="str">
        <f>IFERROR(INDEX(jr_num,MATCH("BR507",jr_nkey,0))&amp;"","")</f>
        <v/>
      </c>
      <c r="T512" s="67" t="str">
        <f>IFERROR(INDEX(jr_num,MATCH("BS507",jr_nkey,0))&amp;"","")</f>
        <v/>
      </c>
    </row>
    <row r="513">
      <c r="A513" s="60" t="str">
        <f>IF($O513="","",INDEX(jr_num,$O513)&amp;"")</f>
        <v/>
      </c>
      <c r="B513" s="60" t="str">
        <f>IF($O513="","",IF(INDEX(jr_type,$O513)="BL","Livraison",IF(INDEX(jr_type,$O513)="BR","Réception","Sortie")))</f>
        <v/>
      </c>
      <c r="C513" s="65" t="str">
        <f>IF($O513="","",INDEX(jr_date,$O513))</f>
        <v/>
      </c>
      <c r="D513" s="60" t="str">
        <f>IF($O513="","",INDEX(jr_tiers,$O513)&amp;"")</f>
        <v/>
      </c>
      <c r="E513" s="57" t="str">
        <f>IF($O513="","",INDEX(jr_name,$O513)&amp;"")</f>
        <v/>
      </c>
      <c r="F513" s="57" t="str">
        <f>IF($O513="","",INDEX(jr_order,$O513)&amp;"")</f>
        <v/>
      </c>
      <c r="G513" s="57" t="str">
        <f>IF($O513="","",INDEX(jr_ext,$O513)&amp;"")</f>
        <v/>
      </c>
      <c r="H513" s="57" t="str">
        <f>IF($O513="","",INDEX(jr_carrier,$O513)&amp;"")</f>
        <v/>
      </c>
      <c r="I513" s="66" t="str">
        <f>IF(A513="","",COUNTIF(jr_num,A513))</f>
        <v/>
      </c>
      <c r="J513" s="66" t="str">
        <f>IF(A513="","",SUMIF(jr_num,A513,jr_colis))</f>
        <v/>
      </c>
      <c r="K513" s="63" t="str">
        <f>IF(A513="","",SUMIF(jr_num,A513,jr_kg))</f>
        <v/>
      </c>
      <c r="L513" s="64" t="str">
        <f>IF(A513="","",SUMIF(jr_num,A513,jr_val))</f>
        <v/>
      </c>
      <c r="M513" s="60" t="str">
        <f>IF(A513="","",IF(COUNTIFS(jr_num,A513,jr_check,"&lt;&gt;OK")&gt;0,"À vérifier",IF(LEFT(A513,2)="BL",IF(COUNTIFS(jr_num,A513,jr_rel,"&gt;0")&gt;0,"Reliquat en cours",IF(COUNTIFS(jr_num,A513,jr_gap,"&lt;0")&gt;0,"Reliquat livré","Complet")),IF(LEFT(A513,2)="BR",IF(COUNTIFS(jr_num,A513,jr_etat,"Refusé")&gt;0,"Refusé",IF(COUNTIFS(jr_num,A513,jr_etat,"Avec réserves")&gt;0,"Avec réserves",IF(COUNTIFS(jr_num,A513,jr_rel,"&gt;0")&gt;0,"Reliquat en cours",IF(COUNTIFS(jr_num,A513,jr_gap,"&lt;0")+COUNTIFS(jr_num,A513,jr_gap,"&gt;0")&gt;0,"Écart","Conforme")))),IF(COUNTIFS(jr_num,A513,jr_gap,"&lt;0")&gt;0,"Partiel","Sorti")))))</f>
        <v/>
      </c>
      <c r="O513" t="str">
        <f>IFERROR(MATCH(508,jr_grank,0),"")</f>
        <v/>
      </c>
      <c r="R513" s="67" t="str">
        <f>IFERROR(INDEX(jr_num,MATCH("BL508",jr_nkey,0))&amp;"","")</f>
        <v/>
      </c>
      <c r="S513" s="67" t="str">
        <f>IFERROR(INDEX(jr_num,MATCH("BR508",jr_nkey,0))&amp;"","")</f>
        <v/>
      </c>
      <c r="T513" s="67" t="str">
        <f>IFERROR(INDEX(jr_num,MATCH("BS508",jr_nkey,0))&amp;"","")</f>
        <v/>
      </c>
    </row>
    <row r="514">
      <c r="A514" s="60" t="str">
        <f>IF($O514="","",INDEX(jr_num,$O514)&amp;"")</f>
        <v/>
      </c>
      <c r="B514" s="60" t="str">
        <f>IF($O514="","",IF(INDEX(jr_type,$O514)="BL","Livraison",IF(INDEX(jr_type,$O514)="BR","Réception","Sortie")))</f>
        <v/>
      </c>
      <c r="C514" s="65" t="str">
        <f>IF($O514="","",INDEX(jr_date,$O514))</f>
        <v/>
      </c>
      <c r="D514" s="60" t="str">
        <f>IF($O514="","",INDEX(jr_tiers,$O514)&amp;"")</f>
        <v/>
      </c>
      <c r="E514" s="57" t="str">
        <f>IF($O514="","",INDEX(jr_name,$O514)&amp;"")</f>
        <v/>
      </c>
      <c r="F514" s="57" t="str">
        <f>IF($O514="","",INDEX(jr_order,$O514)&amp;"")</f>
        <v/>
      </c>
      <c r="G514" s="57" t="str">
        <f>IF($O514="","",INDEX(jr_ext,$O514)&amp;"")</f>
        <v/>
      </c>
      <c r="H514" s="57" t="str">
        <f>IF($O514="","",INDEX(jr_carrier,$O514)&amp;"")</f>
        <v/>
      </c>
      <c r="I514" s="66" t="str">
        <f>IF(A514="","",COUNTIF(jr_num,A514))</f>
        <v/>
      </c>
      <c r="J514" s="66" t="str">
        <f>IF(A514="","",SUMIF(jr_num,A514,jr_colis))</f>
        <v/>
      </c>
      <c r="K514" s="63" t="str">
        <f>IF(A514="","",SUMIF(jr_num,A514,jr_kg))</f>
        <v/>
      </c>
      <c r="L514" s="64" t="str">
        <f>IF(A514="","",SUMIF(jr_num,A514,jr_val))</f>
        <v/>
      </c>
      <c r="M514" s="60" t="str">
        <f>IF(A514="","",IF(COUNTIFS(jr_num,A514,jr_check,"&lt;&gt;OK")&gt;0,"À vérifier",IF(LEFT(A514,2)="BL",IF(COUNTIFS(jr_num,A514,jr_rel,"&gt;0")&gt;0,"Reliquat en cours",IF(COUNTIFS(jr_num,A514,jr_gap,"&lt;0")&gt;0,"Reliquat livré","Complet")),IF(LEFT(A514,2)="BR",IF(COUNTIFS(jr_num,A514,jr_etat,"Refusé")&gt;0,"Refusé",IF(COUNTIFS(jr_num,A514,jr_etat,"Avec réserves")&gt;0,"Avec réserves",IF(COUNTIFS(jr_num,A514,jr_rel,"&gt;0")&gt;0,"Reliquat en cours",IF(COUNTIFS(jr_num,A514,jr_gap,"&lt;0")+COUNTIFS(jr_num,A514,jr_gap,"&gt;0")&gt;0,"Écart","Conforme")))),IF(COUNTIFS(jr_num,A514,jr_gap,"&lt;0")&gt;0,"Partiel","Sorti")))))</f>
        <v/>
      </c>
      <c r="O514" t="str">
        <f>IFERROR(MATCH(509,jr_grank,0),"")</f>
        <v/>
      </c>
      <c r="R514" s="67" t="str">
        <f>IFERROR(INDEX(jr_num,MATCH("BL509",jr_nkey,0))&amp;"","")</f>
        <v/>
      </c>
      <c r="S514" s="67" t="str">
        <f>IFERROR(INDEX(jr_num,MATCH("BR509",jr_nkey,0))&amp;"","")</f>
        <v/>
      </c>
      <c r="T514" s="67" t="str">
        <f>IFERROR(INDEX(jr_num,MATCH("BS509",jr_nkey,0))&amp;"","")</f>
        <v/>
      </c>
    </row>
    <row r="515">
      <c r="A515" s="60" t="str">
        <f>IF($O515="","",INDEX(jr_num,$O515)&amp;"")</f>
        <v/>
      </c>
      <c r="B515" s="60" t="str">
        <f>IF($O515="","",IF(INDEX(jr_type,$O515)="BL","Livraison",IF(INDEX(jr_type,$O515)="BR","Réception","Sortie")))</f>
        <v/>
      </c>
      <c r="C515" s="65" t="str">
        <f>IF($O515="","",INDEX(jr_date,$O515))</f>
        <v/>
      </c>
      <c r="D515" s="60" t="str">
        <f>IF($O515="","",INDEX(jr_tiers,$O515)&amp;"")</f>
        <v/>
      </c>
      <c r="E515" s="57" t="str">
        <f>IF($O515="","",INDEX(jr_name,$O515)&amp;"")</f>
        <v/>
      </c>
      <c r="F515" s="57" t="str">
        <f>IF($O515="","",INDEX(jr_order,$O515)&amp;"")</f>
        <v/>
      </c>
      <c r="G515" s="57" t="str">
        <f>IF($O515="","",INDEX(jr_ext,$O515)&amp;"")</f>
        <v/>
      </c>
      <c r="H515" s="57" t="str">
        <f>IF($O515="","",INDEX(jr_carrier,$O515)&amp;"")</f>
        <v/>
      </c>
      <c r="I515" s="66" t="str">
        <f>IF(A515="","",COUNTIF(jr_num,A515))</f>
        <v/>
      </c>
      <c r="J515" s="66" t="str">
        <f>IF(A515="","",SUMIF(jr_num,A515,jr_colis))</f>
        <v/>
      </c>
      <c r="K515" s="63" t="str">
        <f>IF(A515="","",SUMIF(jr_num,A515,jr_kg))</f>
        <v/>
      </c>
      <c r="L515" s="64" t="str">
        <f>IF(A515="","",SUMIF(jr_num,A515,jr_val))</f>
        <v/>
      </c>
      <c r="M515" s="60" t="str">
        <f>IF(A515="","",IF(COUNTIFS(jr_num,A515,jr_check,"&lt;&gt;OK")&gt;0,"À vérifier",IF(LEFT(A515,2)="BL",IF(COUNTIFS(jr_num,A515,jr_rel,"&gt;0")&gt;0,"Reliquat en cours",IF(COUNTIFS(jr_num,A515,jr_gap,"&lt;0")&gt;0,"Reliquat livré","Complet")),IF(LEFT(A515,2)="BR",IF(COUNTIFS(jr_num,A515,jr_etat,"Refusé")&gt;0,"Refusé",IF(COUNTIFS(jr_num,A515,jr_etat,"Avec réserves")&gt;0,"Avec réserves",IF(COUNTIFS(jr_num,A515,jr_rel,"&gt;0")&gt;0,"Reliquat en cours",IF(COUNTIFS(jr_num,A515,jr_gap,"&lt;0")+COUNTIFS(jr_num,A515,jr_gap,"&gt;0")&gt;0,"Écart","Conforme")))),IF(COUNTIFS(jr_num,A515,jr_gap,"&lt;0")&gt;0,"Partiel","Sorti")))))</f>
        <v/>
      </c>
      <c r="O515" t="str">
        <f>IFERROR(MATCH(510,jr_grank,0),"")</f>
        <v/>
      </c>
      <c r="R515" s="67" t="str">
        <f>IFERROR(INDEX(jr_num,MATCH("BL510",jr_nkey,0))&amp;"","")</f>
        <v/>
      </c>
      <c r="S515" s="67" t="str">
        <f>IFERROR(INDEX(jr_num,MATCH("BR510",jr_nkey,0))&amp;"","")</f>
        <v/>
      </c>
      <c r="T515" s="67" t="str">
        <f>IFERROR(INDEX(jr_num,MATCH("BS510",jr_nkey,0))&amp;"","")</f>
        <v/>
      </c>
    </row>
    <row r="516">
      <c r="A516" s="60" t="str">
        <f>IF($O516="","",INDEX(jr_num,$O516)&amp;"")</f>
        <v/>
      </c>
      <c r="B516" s="60" t="str">
        <f>IF($O516="","",IF(INDEX(jr_type,$O516)="BL","Livraison",IF(INDEX(jr_type,$O516)="BR","Réception","Sortie")))</f>
        <v/>
      </c>
      <c r="C516" s="65" t="str">
        <f>IF($O516="","",INDEX(jr_date,$O516))</f>
        <v/>
      </c>
      <c r="D516" s="60" t="str">
        <f>IF($O516="","",INDEX(jr_tiers,$O516)&amp;"")</f>
        <v/>
      </c>
      <c r="E516" s="57" t="str">
        <f>IF($O516="","",INDEX(jr_name,$O516)&amp;"")</f>
        <v/>
      </c>
      <c r="F516" s="57" t="str">
        <f>IF($O516="","",INDEX(jr_order,$O516)&amp;"")</f>
        <v/>
      </c>
      <c r="G516" s="57" t="str">
        <f>IF($O516="","",INDEX(jr_ext,$O516)&amp;"")</f>
        <v/>
      </c>
      <c r="H516" s="57" t="str">
        <f>IF($O516="","",INDEX(jr_carrier,$O516)&amp;"")</f>
        <v/>
      </c>
      <c r="I516" s="66" t="str">
        <f>IF(A516="","",COUNTIF(jr_num,A516))</f>
        <v/>
      </c>
      <c r="J516" s="66" t="str">
        <f>IF(A516="","",SUMIF(jr_num,A516,jr_colis))</f>
        <v/>
      </c>
      <c r="K516" s="63" t="str">
        <f>IF(A516="","",SUMIF(jr_num,A516,jr_kg))</f>
        <v/>
      </c>
      <c r="L516" s="64" t="str">
        <f>IF(A516="","",SUMIF(jr_num,A516,jr_val))</f>
        <v/>
      </c>
      <c r="M516" s="60" t="str">
        <f>IF(A516="","",IF(COUNTIFS(jr_num,A516,jr_check,"&lt;&gt;OK")&gt;0,"À vérifier",IF(LEFT(A516,2)="BL",IF(COUNTIFS(jr_num,A516,jr_rel,"&gt;0")&gt;0,"Reliquat en cours",IF(COUNTIFS(jr_num,A516,jr_gap,"&lt;0")&gt;0,"Reliquat livré","Complet")),IF(LEFT(A516,2)="BR",IF(COUNTIFS(jr_num,A516,jr_etat,"Refusé")&gt;0,"Refusé",IF(COUNTIFS(jr_num,A516,jr_etat,"Avec réserves")&gt;0,"Avec réserves",IF(COUNTIFS(jr_num,A516,jr_rel,"&gt;0")&gt;0,"Reliquat en cours",IF(COUNTIFS(jr_num,A516,jr_gap,"&lt;0")+COUNTIFS(jr_num,A516,jr_gap,"&gt;0")&gt;0,"Écart","Conforme")))),IF(COUNTIFS(jr_num,A516,jr_gap,"&lt;0")&gt;0,"Partiel","Sorti")))))</f>
        <v/>
      </c>
      <c r="O516" t="str">
        <f>IFERROR(MATCH(511,jr_grank,0),"")</f>
        <v/>
      </c>
      <c r="R516" s="67" t="str">
        <f>IFERROR(INDEX(jr_num,MATCH("BL511",jr_nkey,0))&amp;"","")</f>
        <v/>
      </c>
      <c r="S516" s="67" t="str">
        <f>IFERROR(INDEX(jr_num,MATCH("BR511",jr_nkey,0))&amp;"","")</f>
        <v/>
      </c>
      <c r="T516" s="67" t="str">
        <f>IFERROR(INDEX(jr_num,MATCH("BS511",jr_nkey,0))&amp;"","")</f>
        <v/>
      </c>
    </row>
    <row r="517">
      <c r="A517" s="60" t="str">
        <f>IF($O517="","",INDEX(jr_num,$O517)&amp;"")</f>
        <v/>
      </c>
      <c r="B517" s="60" t="str">
        <f>IF($O517="","",IF(INDEX(jr_type,$O517)="BL","Livraison",IF(INDEX(jr_type,$O517)="BR","Réception","Sortie")))</f>
        <v/>
      </c>
      <c r="C517" s="65" t="str">
        <f>IF($O517="","",INDEX(jr_date,$O517))</f>
        <v/>
      </c>
      <c r="D517" s="60" t="str">
        <f>IF($O517="","",INDEX(jr_tiers,$O517)&amp;"")</f>
        <v/>
      </c>
      <c r="E517" s="57" t="str">
        <f>IF($O517="","",INDEX(jr_name,$O517)&amp;"")</f>
        <v/>
      </c>
      <c r="F517" s="57" t="str">
        <f>IF($O517="","",INDEX(jr_order,$O517)&amp;"")</f>
        <v/>
      </c>
      <c r="G517" s="57" t="str">
        <f>IF($O517="","",INDEX(jr_ext,$O517)&amp;"")</f>
        <v/>
      </c>
      <c r="H517" s="57" t="str">
        <f>IF($O517="","",INDEX(jr_carrier,$O517)&amp;"")</f>
        <v/>
      </c>
      <c r="I517" s="66" t="str">
        <f>IF(A517="","",COUNTIF(jr_num,A517))</f>
        <v/>
      </c>
      <c r="J517" s="66" t="str">
        <f>IF(A517="","",SUMIF(jr_num,A517,jr_colis))</f>
        <v/>
      </c>
      <c r="K517" s="63" t="str">
        <f>IF(A517="","",SUMIF(jr_num,A517,jr_kg))</f>
        <v/>
      </c>
      <c r="L517" s="64" t="str">
        <f>IF(A517="","",SUMIF(jr_num,A517,jr_val))</f>
        <v/>
      </c>
      <c r="M517" s="60" t="str">
        <f>IF(A517="","",IF(COUNTIFS(jr_num,A517,jr_check,"&lt;&gt;OK")&gt;0,"À vérifier",IF(LEFT(A517,2)="BL",IF(COUNTIFS(jr_num,A517,jr_rel,"&gt;0")&gt;0,"Reliquat en cours",IF(COUNTIFS(jr_num,A517,jr_gap,"&lt;0")&gt;0,"Reliquat livré","Complet")),IF(LEFT(A517,2)="BR",IF(COUNTIFS(jr_num,A517,jr_etat,"Refusé")&gt;0,"Refusé",IF(COUNTIFS(jr_num,A517,jr_etat,"Avec réserves")&gt;0,"Avec réserves",IF(COUNTIFS(jr_num,A517,jr_rel,"&gt;0")&gt;0,"Reliquat en cours",IF(COUNTIFS(jr_num,A517,jr_gap,"&lt;0")+COUNTIFS(jr_num,A517,jr_gap,"&gt;0")&gt;0,"Écart","Conforme")))),IF(COUNTIFS(jr_num,A517,jr_gap,"&lt;0")&gt;0,"Partiel","Sorti")))))</f>
        <v/>
      </c>
      <c r="O517" t="str">
        <f>IFERROR(MATCH(512,jr_grank,0),"")</f>
        <v/>
      </c>
      <c r="R517" s="67" t="str">
        <f>IFERROR(INDEX(jr_num,MATCH("BL512",jr_nkey,0))&amp;"","")</f>
        <v/>
      </c>
      <c r="S517" s="67" t="str">
        <f>IFERROR(INDEX(jr_num,MATCH("BR512",jr_nkey,0))&amp;"","")</f>
        <v/>
      </c>
      <c r="T517" s="67" t="str">
        <f>IFERROR(INDEX(jr_num,MATCH("BS512",jr_nkey,0))&amp;"","")</f>
        <v/>
      </c>
    </row>
    <row r="518">
      <c r="A518" s="60" t="str">
        <f>IF($O518="","",INDEX(jr_num,$O518)&amp;"")</f>
        <v/>
      </c>
      <c r="B518" s="60" t="str">
        <f>IF($O518="","",IF(INDEX(jr_type,$O518)="BL","Livraison",IF(INDEX(jr_type,$O518)="BR","Réception","Sortie")))</f>
        <v/>
      </c>
      <c r="C518" s="65" t="str">
        <f>IF($O518="","",INDEX(jr_date,$O518))</f>
        <v/>
      </c>
      <c r="D518" s="60" t="str">
        <f>IF($O518="","",INDEX(jr_tiers,$O518)&amp;"")</f>
        <v/>
      </c>
      <c r="E518" s="57" t="str">
        <f>IF($O518="","",INDEX(jr_name,$O518)&amp;"")</f>
        <v/>
      </c>
      <c r="F518" s="57" t="str">
        <f>IF($O518="","",INDEX(jr_order,$O518)&amp;"")</f>
        <v/>
      </c>
      <c r="G518" s="57" t="str">
        <f>IF($O518="","",INDEX(jr_ext,$O518)&amp;"")</f>
        <v/>
      </c>
      <c r="H518" s="57" t="str">
        <f>IF($O518="","",INDEX(jr_carrier,$O518)&amp;"")</f>
        <v/>
      </c>
      <c r="I518" s="66" t="str">
        <f>IF(A518="","",COUNTIF(jr_num,A518))</f>
        <v/>
      </c>
      <c r="J518" s="66" t="str">
        <f>IF(A518="","",SUMIF(jr_num,A518,jr_colis))</f>
        <v/>
      </c>
      <c r="K518" s="63" t="str">
        <f>IF(A518="","",SUMIF(jr_num,A518,jr_kg))</f>
        <v/>
      </c>
      <c r="L518" s="64" t="str">
        <f>IF(A518="","",SUMIF(jr_num,A518,jr_val))</f>
        <v/>
      </c>
      <c r="M518" s="60" t="str">
        <f>IF(A518="","",IF(COUNTIFS(jr_num,A518,jr_check,"&lt;&gt;OK")&gt;0,"À vérifier",IF(LEFT(A518,2)="BL",IF(COUNTIFS(jr_num,A518,jr_rel,"&gt;0")&gt;0,"Reliquat en cours",IF(COUNTIFS(jr_num,A518,jr_gap,"&lt;0")&gt;0,"Reliquat livré","Complet")),IF(LEFT(A518,2)="BR",IF(COUNTIFS(jr_num,A518,jr_etat,"Refusé")&gt;0,"Refusé",IF(COUNTIFS(jr_num,A518,jr_etat,"Avec réserves")&gt;0,"Avec réserves",IF(COUNTIFS(jr_num,A518,jr_rel,"&gt;0")&gt;0,"Reliquat en cours",IF(COUNTIFS(jr_num,A518,jr_gap,"&lt;0")+COUNTIFS(jr_num,A518,jr_gap,"&gt;0")&gt;0,"Écart","Conforme")))),IF(COUNTIFS(jr_num,A518,jr_gap,"&lt;0")&gt;0,"Partiel","Sorti")))))</f>
        <v/>
      </c>
      <c r="O518" t="str">
        <f>IFERROR(MATCH(513,jr_grank,0),"")</f>
        <v/>
      </c>
      <c r="R518" s="67" t="str">
        <f>IFERROR(INDEX(jr_num,MATCH("BL513",jr_nkey,0))&amp;"","")</f>
        <v/>
      </c>
      <c r="S518" s="67" t="str">
        <f>IFERROR(INDEX(jr_num,MATCH("BR513",jr_nkey,0))&amp;"","")</f>
        <v/>
      </c>
      <c r="T518" s="67" t="str">
        <f>IFERROR(INDEX(jr_num,MATCH("BS513",jr_nkey,0))&amp;"","")</f>
        <v/>
      </c>
    </row>
    <row r="519">
      <c r="A519" s="60" t="str">
        <f>IF($O519="","",INDEX(jr_num,$O519)&amp;"")</f>
        <v/>
      </c>
      <c r="B519" s="60" t="str">
        <f>IF($O519="","",IF(INDEX(jr_type,$O519)="BL","Livraison",IF(INDEX(jr_type,$O519)="BR","Réception","Sortie")))</f>
        <v/>
      </c>
      <c r="C519" s="65" t="str">
        <f>IF($O519="","",INDEX(jr_date,$O519))</f>
        <v/>
      </c>
      <c r="D519" s="60" t="str">
        <f>IF($O519="","",INDEX(jr_tiers,$O519)&amp;"")</f>
        <v/>
      </c>
      <c r="E519" s="57" t="str">
        <f>IF($O519="","",INDEX(jr_name,$O519)&amp;"")</f>
        <v/>
      </c>
      <c r="F519" s="57" t="str">
        <f>IF($O519="","",INDEX(jr_order,$O519)&amp;"")</f>
        <v/>
      </c>
      <c r="G519" s="57" t="str">
        <f>IF($O519="","",INDEX(jr_ext,$O519)&amp;"")</f>
        <v/>
      </c>
      <c r="H519" s="57" t="str">
        <f>IF($O519="","",INDEX(jr_carrier,$O519)&amp;"")</f>
        <v/>
      </c>
      <c r="I519" s="66" t="str">
        <f>IF(A519="","",COUNTIF(jr_num,A519))</f>
        <v/>
      </c>
      <c r="J519" s="66" t="str">
        <f>IF(A519="","",SUMIF(jr_num,A519,jr_colis))</f>
        <v/>
      </c>
      <c r="K519" s="63" t="str">
        <f>IF(A519="","",SUMIF(jr_num,A519,jr_kg))</f>
        <v/>
      </c>
      <c r="L519" s="64" t="str">
        <f>IF(A519="","",SUMIF(jr_num,A519,jr_val))</f>
        <v/>
      </c>
      <c r="M519" s="60" t="str">
        <f>IF(A519="","",IF(COUNTIFS(jr_num,A519,jr_check,"&lt;&gt;OK")&gt;0,"À vérifier",IF(LEFT(A519,2)="BL",IF(COUNTIFS(jr_num,A519,jr_rel,"&gt;0")&gt;0,"Reliquat en cours",IF(COUNTIFS(jr_num,A519,jr_gap,"&lt;0")&gt;0,"Reliquat livré","Complet")),IF(LEFT(A519,2)="BR",IF(COUNTIFS(jr_num,A519,jr_etat,"Refusé")&gt;0,"Refusé",IF(COUNTIFS(jr_num,A519,jr_etat,"Avec réserves")&gt;0,"Avec réserves",IF(COUNTIFS(jr_num,A519,jr_rel,"&gt;0")&gt;0,"Reliquat en cours",IF(COUNTIFS(jr_num,A519,jr_gap,"&lt;0")+COUNTIFS(jr_num,A519,jr_gap,"&gt;0")&gt;0,"Écart","Conforme")))),IF(COUNTIFS(jr_num,A519,jr_gap,"&lt;0")&gt;0,"Partiel","Sorti")))))</f>
        <v/>
      </c>
      <c r="O519" t="str">
        <f>IFERROR(MATCH(514,jr_grank,0),"")</f>
        <v/>
      </c>
      <c r="R519" s="67" t="str">
        <f>IFERROR(INDEX(jr_num,MATCH("BL514",jr_nkey,0))&amp;"","")</f>
        <v/>
      </c>
      <c r="S519" s="67" t="str">
        <f>IFERROR(INDEX(jr_num,MATCH("BR514",jr_nkey,0))&amp;"","")</f>
        <v/>
      </c>
      <c r="T519" s="67" t="str">
        <f>IFERROR(INDEX(jr_num,MATCH("BS514",jr_nkey,0))&amp;"","")</f>
        <v/>
      </c>
    </row>
    <row r="520">
      <c r="A520" s="60" t="str">
        <f>IF($O520="","",INDEX(jr_num,$O520)&amp;"")</f>
        <v/>
      </c>
      <c r="B520" s="60" t="str">
        <f>IF($O520="","",IF(INDEX(jr_type,$O520)="BL","Livraison",IF(INDEX(jr_type,$O520)="BR","Réception","Sortie")))</f>
        <v/>
      </c>
      <c r="C520" s="65" t="str">
        <f>IF($O520="","",INDEX(jr_date,$O520))</f>
        <v/>
      </c>
      <c r="D520" s="60" t="str">
        <f>IF($O520="","",INDEX(jr_tiers,$O520)&amp;"")</f>
        <v/>
      </c>
      <c r="E520" s="57" t="str">
        <f>IF($O520="","",INDEX(jr_name,$O520)&amp;"")</f>
        <v/>
      </c>
      <c r="F520" s="57" t="str">
        <f>IF($O520="","",INDEX(jr_order,$O520)&amp;"")</f>
        <v/>
      </c>
      <c r="G520" s="57" t="str">
        <f>IF($O520="","",INDEX(jr_ext,$O520)&amp;"")</f>
        <v/>
      </c>
      <c r="H520" s="57" t="str">
        <f>IF($O520="","",INDEX(jr_carrier,$O520)&amp;"")</f>
        <v/>
      </c>
      <c r="I520" s="66" t="str">
        <f>IF(A520="","",COUNTIF(jr_num,A520))</f>
        <v/>
      </c>
      <c r="J520" s="66" t="str">
        <f>IF(A520="","",SUMIF(jr_num,A520,jr_colis))</f>
        <v/>
      </c>
      <c r="K520" s="63" t="str">
        <f>IF(A520="","",SUMIF(jr_num,A520,jr_kg))</f>
        <v/>
      </c>
      <c r="L520" s="64" t="str">
        <f>IF(A520="","",SUMIF(jr_num,A520,jr_val))</f>
        <v/>
      </c>
      <c r="M520" s="60" t="str">
        <f>IF(A520="","",IF(COUNTIFS(jr_num,A520,jr_check,"&lt;&gt;OK")&gt;0,"À vérifier",IF(LEFT(A520,2)="BL",IF(COUNTIFS(jr_num,A520,jr_rel,"&gt;0")&gt;0,"Reliquat en cours",IF(COUNTIFS(jr_num,A520,jr_gap,"&lt;0")&gt;0,"Reliquat livré","Complet")),IF(LEFT(A520,2)="BR",IF(COUNTIFS(jr_num,A520,jr_etat,"Refusé")&gt;0,"Refusé",IF(COUNTIFS(jr_num,A520,jr_etat,"Avec réserves")&gt;0,"Avec réserves",IF(COUNTIFS(jr_num,A520,jr_rel,"&gt;0")&gt;0,"Reliquat en cours",IF(COUNTIFS(jr_num,A520,jr_gap,"&lt;0")+COUNTIFS(jr_num,A520,jr_gap,"&gt;0")&gt;0,"Écart","Conforme")))),IF(COUNTIFS(jr_num,A520,jr_gap,"&lt;0")&gt;0,"Partiel","Sorti")))))</f>
        <v/>
      </c>
      <c r="O520" t="str">
        <f>IFERROR(MATCH(515,jr_grank,0),"")</f>
        <v/>
      </c>
      <c r="R520" s="67" t="str">
        <f>IFERROR(INDEX(jr_num,MATCH("BL515",jr_nkey,0))&amp;"","")</f>
        <v/>
      </c>
      <c r="S520" s="67" t="str">
        <f>IFERROR(INDEX(jr_num,MATCH("BR515",jr_nkey,0))&amp;"","")</f>
        <v/>
      </c>
      <c r="T520" s="67" t="str">
        <f>IFERROR(INDEX(jr_num,MATCH("BS515",jr_nkey,0))&amp;"","")</f>
        <v/>
      </c>
    </row>
    <row r="521">
      <c r="A521" s="60" t="str">
        <f>IF($O521="","",INDEX(jr_num,$O521)&amp;"")</f>
        <v/>
      </c>
      <c r="B521" s="60" t="str">
        <f>IF($O521="","",IF(INDEX(jr_type,$O521)="BL","Livraison",IF(INDEX(jr_type,$O521)="BR","Réception","Sortie")))</f>
        <v/>
      </c>
      <c r="C521" s="65" t="str">
        <f>IF($O521="","",INDEX(jr_date,$O521))</f>
        <v/>
      </c>
      <c r="D521" s="60" t="str">
        <f>IF($O521="","",INDEX(jr_tiers,$O521)&amp;"")</f>
        <v/>
      </c>
      <c r="E521" s="57" t="str">
        <f>IF($O521="","",INDEX(jr_name,$O521)&amp;"")</f>
        <v/>
      </c>
      <c r="F521" s="57" t="str">
        <f>IF($O521="","",INDEX(jr_order,$O521)&amp;"")</f>
        <v/>
      </c>
      <c r="G521" s="57" t="str">
        <f>IF($O521="","",INDEX(jr_ext,$O521)&amp;"")</f>
        <v/>
      </c>
      <c r="H521" s="57" t="str">
        <f>IF($O521="","",INDEX(jr_carrier,$O521)&amp;"")</f>
        <v/>
      </c>
      <c r="I521" s="66" t="str">
        <f>IF(A521="","",COUNTIF(jr_num,A521))</f>
        <v/>
      </c>
      <c r="J521" s="66" t="str">
        <f>IF(A521="","",SUMIF(jr_num,A521,jr_colis))</f>
        <v/>
      </c>
      <c r="K521" s="63" t="str">
        <f>IF(A521="","",SUMIF(jr_num,A521,jr_kg))</f>
        <v/>
      </c>
      <c r="L521" s="64" t="str">
        <f>IF(A521="","",SUMIF(jr_num,A521,jr_val))</f>
        <v/>
      </c>
      <c r="M521" s="60" t="str">
        <f>IF(A521="","",IF(COUNTIFS(jr_num,A521,jr_check,"&lt;&gt;OK")&gt;0,"À vérifier",IF(LEFT(A521,2)="BL",IF(COUNTIFS(jr_num,A521,jr_rel,"&gt;0")&gt;0,"Reliquat en cours",IF(COUNTIFS(jr_num,A521,jr_gap,"&lt;0")&gt;0,"Reliquat livré","Complet")),IF(LEFT(A521,2)="BR",IF(COUNTIFS(jr_num,A521,jr_etat,"Refusé")&gt;0,"Refusé",IF(COUNTIFS(jr_num,A521,jr_etat,"Avec réserves")&gt;0,"Avec réserves",IF(COUNTIFS(jr_num,A521,jr_rel,"&gt;0")&gt;0,"Reliquat en cours",IF(COUNTIFS(jr_num,A521,jr_gap,"&lt;0")+COUNTIFS(jr_num,A521,jr_gap,"&gt;0")&gt;0,"Écart","Conforme")))),IF(COUNTIFS(jr_num,A521,jr_gap,"&lt;0")&gt;0,"Partiel","Sorti")))))</f>
        <v/>
      </c>
      <c r="O521" t="str">
        <f>IFERROR(MATCH(516,jr_grank,0),"")</f>
        <v/>
      </c>
      <c r="R521" s="67" t="str">
        <f>IFERROR(INDEX(jr_num,MATCH("BL516",jr_nkey,0))&amp;"","")</f>
        <v/>
      </c>
      <c r="S521" s="67" t="str">
        <f>IFERROR(INDEX(jr_num,MATCH("BR516",jr_nkey,0))&amp;"","")</f>
        <v/>
      </c>
      <c r="T521" s="67" t="str">
        <f>IFERROR(INDEX(jr_num,MATCH("BS516",jr_nkey,0))&amp;"","")</f>
        <v/>
      </c>
    </row>
    <row r="522">
      <c r="A522" s="60" t="str">
        <f>IF($O522="","",INDEX(jr_num,$O522)&amp;"")</f>
        <v/>
      </c>
      <c r="B522" s="60" t="str">
        <f>IF($O522="","",IF(INDEX(jr_type,$O522)="BL","Livraison",IF(INDEX(jr_type,$O522)="BR","Réception","Sortie")))</f>
        <v/>
      </c>
      <c r="C522" s="65" t="str">
        <f>IF($O522="","",INDEX(jr_date,$O522))</f>
        <v/>
      </c>
      <c r="D522" s="60" t="str">
        <f>IF($O522="","",INDEX(jr_tiers,$O522)&amp;"")</f>
        <v/>
      </c>
      <c r="E522" s="57" t="str">
        <f>IF($O522="","",INDEX(jr_name,$O522)&amp;"")</f>
        <v/>
      </c>
      <c r="F522" s="57" t="str">
        <f>IF($O522="","",INDEX(jr_order,$O522)&amp;"")</f>
        <v/>
      </c>
      <c r="G522" s="57" t="str">
        <f>IF($O522="","",INDEX(jr_ext,$O522)&amp;"")</f>
        <v/>
      </c>
      <c r="H522" s="57" t="str">
        <f>IF($O522="","",INDEX(jr_carrier,$O522)&amp;"")</f>
        <v/>
      </c>
      <c r="I522" s="66" t="str">
        <f>IF(A522="","",COUNTIF(jr_num,A522))</f>
        <v/>
      </c>
      <c r="J522" s="66" t="str">
        <f>IF(A522="","",SUMIF(jr_num,A522,jr_colis))</f>
        <v/>
      </c>
      <c r="K522" s="63" t="str">
        <f>IF(A522="","",SUMIF(jr_num,A522,jr_kg))</f>
        <v/>
      </c>
      <c r="L522" s="64" t="str">
        <f>IF(A522="","",SUMIF(jr_num,A522,jr_val))</f>
        <v/>
      </c>
      <c r="M522" s="60" t="str">
        <f>IF(A522="","",IF(COUNTIFS(jr_num,A522,jr_check,"&lt;&gt;OK")&gt;0,"À vérifier",IF(LEFT(A522,2)="BL",IF(COUNTIFS(jr_num,A522,jr_rel,"&gt;0")&gt;0,"Reliquat en cours",IF(COUNTIFS(jr_num,A522,jr_gap,"&lt;0")&gt;0,"Reliquat livré","Complet")),IF(LEFT(A522,2)="BR",IF(COUNTIFS(jr_num,A522,jr_etat,"Refusé")&gt;0,"Refusé",IF(COUNTIFS(jr_num,A522,jr_etat,"Avec réserves")&gt;0,"Avec réserves",IF(COUNTIFS(jr_num,A522,jr_rel,"&gt;0")&gt;0,"Reliquat en cours",IF(COUNTIFS(jr_num,A522,jr_gap,"&lt;0")+COUNTIFS(jr_num,A522,jr_gap,"&gt;0")&gt;0,"Écart","Conforme")))),IF(COUNTIFS(jr_num,A522,jr_gap,"&lt;0")&gt;0,"Partiel","Sorti")))))</f>
        <v/>
      </c>
      <c r="O522" t="str">
        <f>IFERROR(MATCH(517,jr_grank,0),"")</f>
        <v/>
      </c>
      <c r="R522" s="67" t="str">
        <f>IFERROR(INDEX(jr_num,MATCH("BL517",jr_nkey,0))&amp;"","")</f>
        <v/>
      </c>
      <c r="S522" s="67" t="str">
        <f>IFERROR(INDEX(jr_num,MATCH("BR517",jr_nkey,0))&amp;"","")</f>
        <v/>
      </c>
      <c r="T522" s="67" t="str">
        <f>IFERROR(INDEX(jr_num,MATCH("BS517",jr_nkey,0))&amp;"","")</f>
        <v/>
      </c>
    </row>
    <row r="523">
      <c r="A523" s="60" t="str">
        <f>IF($O523="","",INDEX(jr_num,$O523)&amp;"")</f>
        <v/>
      </c>
      <c r="B523" s="60" t="str">
        <f>IF($O523="","",IF(INDEX(jr_type,$O523)="BL","Livraison",IF(INDEX(jr_type,$O523)="BR","Réception","Sortie")))</f>
        <v/>
      </c>
      <c r="C523" s="65" t="str">
        <f>IF($O523="","",INDEX(jr_date,$O523))</f>
        <v/>
      </c>
      <c r="D523" s="60" t="str">
        <f>IF($O523="","",INDEX(jr_tiers,$O523)&amp;"")</f>
        <v/>
      </c>
      <c r="E523" s="57" t="str">
        <f>IF($O523="","",INDEX(jr_name,$O523)&amp;"")</f>
        <v/>
      </c>
      <c r="F523" s="57" t="str">
        <f>IF($O523="","",INDEX(jr_order,$O523)&amp;"")</f>
        <v/>
      </c>
      <c r="G523" s="57" t="str">
        <f>IF($O523="","",INDEX(jr_ext,$O523)&amp;"")</f>
        <v/>
      </c>
      <c r="H523" s="57" t="str">
        <f>IF($O523="","",INDEX(jr_carrier,$O523)&amp;"")</f>
        <v/>
      </c>
      <c r="I523" s="66" t="str">
        <f>IF(A523="","",COUNTIF(jr_num,A523))</f>
        <v/>
      </c>
      <c r="J523" s="66" t="str">
        <f>IF(A523="","",SUMIF(jr_num,A523,jr_colis))</f>
        <v/>
      </c>
      <c r="K523" s="63" t="str">
        <f>IF(A523="","",SUMIF(jr_num,A523,jr_kg))</f>
        <v/>
      </c>
      <c r="L523" s="64" t="str">
        <f>IF(A523="","",SUMIF(jr_num,A523,jr_val))</f>
        <v/>
      </c>
      <c r="M523" s="60" t="str">
        <f>IF(A523="","",IF(COUNTIFS(jr_num,A523,jr_check,"&lt;&gt;OK")&gt;0,"À vérifier",IF(LEFT(A523,2)="BL",IF(COUNTIFS(jr_num,A523,jr_rel,"&gt;0")&gt;0,"Reliquat en cours",IF(COUNTIFS(jr_num,A523,jr_gap,"&lt;0")&gt;0,"Reliquat livré","Complet")),IF(LEFT(A523,2)="BR",IF(COUNTIFS(jr_num,A523,jr_etat,"Refusé")&gt;0,"Refusé",IF(COUNTIFS(jr_num,A523,jr_etat,"Avec réserves")&gt;0,"Avec réserves",IF(COUNTIFS(jr_num,A523,jr_rel,"&gt;0")&gt;0,"Reliquat en cours",IF(COUNTIFS(jr_num,A523,jr_gap,"&lt;0")+COUNTIFS(jr_num,A523,jr_gap,"&gt;0")&gt;0,"Écart","Conforme")))),IF(COUNTIFS(jr_num,A523,jr_gap,"&lt;0")&gt;0,"Partiel","Sorti")))))</f>
        <v/>
      </c>
      <c r="O523" t="str">
        <f>IFERROR(MATCH(518,jr_grank,0),"")</f>
        <v/>
      </c>
      <c r="R523" s="67" t="str">
        <f>IFERROR(INDEX(jr_num,MATCH("BL518",jr_nkey,0))&amp;"","")</f>
        <v/>
      </c>
      <c r="S523" s="67" t="str">
        <f>IFERROR(INDEX(jr_num,MATCH("BR518",jr_nkey,0))&amp;"","")</f>
        <v/>
      </c>
      <c r="T523" s="67" t="str">
        <f>IFERROR(INDEX(jr_num,MATCH("BS518",jr_nkey,0))&amp;"","")</f>
        <v/>
      </c>
    </row>
    <row r="524">
      <c r="A524" s="60" t="str">
        <f>IF($O524="","",INDEX(jr_num,$O524)&amp;"")</f>
        <v/>
      </c>
      <c r="B524" s="60" t="str">
        <f>IF($O524="","",IF(INDEX(jr_type,$O524)="BL","Livraison",IF(INDEX(jr_type,$O524)="BR","Réception","Sortie")))</f>
        <v/>
      </c>
      <c r="C524" s="65" t="str">
        <f>IF($O524="","",INDEX(jr_date,$O524))</f>
        <v/>
      </c>
      <c r="D524" s="60" t="str">
        <f>IF($O524="","",INDEX(jr_tiers,$O524)&amp;"")</f>
        <v/>
      </c>
      <c r="E524" s="57" t="str">
        <f>IF($O524="","",INDEX(jr_name,$O524)&amp;"")</f>
        <v/>
      </c>
      <c r="F524" s="57" t="str">
        <f>IF($O524="","",INDEX(jr_order,$O524)&amp;"")</f>
        <v/>
      </c>
      <c r="G524" s="57" t="str">
        <f>IF($O524="","",INDEX(jr_ext,$O524)&amp;"")</f>
        <v/>
      </c>
      <c r="H524" s="57" t="str">
        <f>IF($O524="","",INDEX(jr_carrier,$O524)&amp;"")</f>
        <v/>
      </c>
      <c r="I524" s="66" t="str">
        <f>IF(A524="","",COUNTIF(jr_num,A524))</f>
        <v/>
      </c>
      <c r="J524" s="66" t="str">
        <f>IF(A524="","",SUMIF(jr_num,A524,jr_colis))</f>
        <v/>
      </c>
      <c r="K524" s="63" t="str">
        <f>IF(A524="","",SUMIF(jr_num,A524,jr_kg))</f>
        <v/>
      </c>
      <c r="L524" s="64" t="str">
        <f>IF(A524="","",SUMIF(jr_num,A524,jr_val))</f>
        <v/>
      </c>
      <c r="M524" s="60" t="str">
        <f>IF(A524="","",IF(COUNTIFS(jr_num,A524,jr_check,"&lt;&gt;OK")&gt;0,"À vérifier",IF(LEFT(A524,2)="BL",IF(COUNTIFS(jr_num,A524,jr_rel,"&gt;0")&gt;0,"Reliquat en cours",IF(COUNTIFS(jr_num,A524,jr_gap,"&lt;0")&gt;0,"Reliquat livré","Complet")),IF(LEFT(A524,2)="BR",IF(COUNTIFS(jr_num,A524,jr_etat,"Refusé")&gt;0,"Refusé",IF(COUNTIFS(jr_num,A524,jr_etat,"Avec réserves")&gt;0,"Avec réserves",IF(COUNTIFS(jr_num,A524,jr_rel,"&gt;0")&gt;0,"Reliquat en cours",IF(COUNTIFS(jr_num,A524,jr_gap,"&lt;0")+COUNTIFS(jr_num,A524,jr_gap,"&gt;0")&gt;0,"Écart","Conforme")))),IF(COUNTIFS(jr_num,A524,jr_gap,"&lt;0")&gt;0,"Partiel","Sorti")))))</f>
        <v/>
      </c>
      <c r="O524" t="str">
        <f>IFERROR(MATCH(519,jr_grank,0),"")</f>
        <v/>
      </c>
      <c r="R524" s="67" t="str">
        <f>IFERROR(INDEX(jr_num,MATCH("BL519",jr_nkey,0))&amp;"","")</f>
        <v/>
      </c>
      <c r="S524" s="67" t="str">
        <f>IFERROR(INDEX(jr_num,MATCH("BR519",jr_nkey,0))&amp;"","")</f>
        <v/>
      </c>
      <c r="T524" s="67" t="str">
        <f>IFERROR(INDEX(jr_num,MATCH("BS519",jr_nkey,0))&amp;"","")</f>
        <v/>
      </c>
    </row>
    <row r="525">
      <c r="A525" s="60" t="str">
        <f>IF($O525="","",INDEX(jr_num,$O525)&amp;"")</f>
        <v/>
      </c>
      <c r="B525" s="60" t="str">
        <f>IF($O525="","",IF(INDEX(jr_type,$O525)="BL","Livraison",IF(INDEX(jr_type,$O525)="BR","Réception","Sortie")))</f>
        <v/>
      </c>
      <c r="C525" s="65" t="str">
        <f>IF($O525="","",INDEX(jr_date,$O525))</f>
        <v/>
      </c>
      <c r="D525" s="60" t="str">
        <f>IF($O525="","",INDEX(jr_tiers,$O525)&amp;"")</f>
        <v/>
      </c>
      <c r="E525" s="57" t="str">
        <f>IF($O525="","",INDEX(jr_name,$O525)&amp;"")</f>
        <v/>
      </c>
      <c r="F525" s="57" t="str">
        <f>IF($O525="","",INDEX(jr_order,$O525)&amp;"")</f>
        <v/>
      </c>
      <c r="G525" s="57" t="str">
        <f>IF($O525="","",INDEX(jr_ext,$O525)&amp;"")</f>
        <v/>
      </c>
      <c r="H525" s="57" t="str">
        <f>IF($O525="","",INDEX(jr_carrier,$O525)&amp;"")</f>
        <v/>
      </c>
      <c r="I525" s="66" t="str">
        <f>IF(A525="","",COUNTIF(jr_num,A525))</f>
        <v/>
      </c>
      <c r="J525" s="66" t="str">
        <f>IF(A525="","",SUMIF(jr_num,A525,jr_colis))</f>
        <v/>
      </c>
      <c r="K525" s="63" t="str">
        <f>IF(A525="","",SUMIF(jr_num,A525,jr_kg))</f>
        <v/>
      </c>
      <c r="L525" s="64" t="str">
        <f>IF(A525="","",SUMIF(jr_num,A525,jr_val))</f>
        <v/>
      </c>
      <c r="M525" s="60" t="str">
        <f>IF(A525="","",IF(COUNTIFS(jr_num,A525,jr_check,"&lt;&gt;OK")&gt;0,"À vérifier",IF(LEFT(A525,2)="BL",IF(COUNTIFS(jr_num,A525,jr_rel,"&gt;0")&gt;0,"Reliquat en cours",IF(COUNTIFS(jr_num,A525,jr_gap,"&lt;0")&gt;0,"Reliquat livré","Complet")),IF(LEFT(A525,2)="BR",IF(COUNTIFS(jr_num,A525,jr_etat,"Refusé")&gt;0,"Refusé",IF(COUNTIFS(jr_num,A525,jr_etat,"Avec réserves")&gt;0,"Avec réserves",IF(COUNTIFS(jr_num,A525,jr_rel,"&gt;0")&gt;0,"Reliquat en cours",IF(COUNTIFS(jr_num,A525,jr_gap,"&lt;0")+COUNTIFS(jr_num,A525,jr_gap,"&gt;0")&gt;0,"Écart","Conforme")))),IF(COUNTIFS(jr_num,A525,jr_gap,"&lt;0")&gt;0,"Partiel","Sorti")))))</f>
        <v/>
      </c>
      <c r="O525" t="str">
        <f>IFERROR(MATCH(520,jr_grank,0),"")</f>
        <v/>
      </c>
      <c r="R525" s="67" t="str">
        <f>IFERROR(INDEX(jr_num,MATCH("BL520",jr_nkey,0))&amp;"","")</f>
        <v/>
      </c>
      <c r="S525" s="67" t="str">
        <f>IFERROR(INDEX(jr_num,MATCH("BR520",jr_nkey,0))&amp;"","")</f>
        <v/>
      </c>
      <c r="T525" s="67" t="str">
        <f>IFERROR(INDEX(jr_num,MATCH("BS520",jr_nkey,0))&amp;"","")</f>
        <v/>
      </c>
    </row>
    <row r="526">
      <c r="A526" s="60" t="str">
        <f>IF($O526="","",INDEX(jr_num,$O526)&amp;"")</f>
        <v/>
      </c>
      <c r="B526" s="60" t="str">
        <f>IF($O526="","",IF(INDEX(jr_type,$O526)="BL","Livraison",IF(INDEX(jr_type,$O526)="BR","Réception","Sortie")))</f>
        <v/>
      </c>
      <c r="C526" s="65" t="str">
        <f>IF($O526="","",INDEX(jr_date,$O526))</f>
        <v/>
      </c>
      <c r="D526" s="60" t="str">
        <f>IF($O526="","",INDEX(jr_tiers,$O526)&amp;"")</f>
        <v/>
      </c>
      <c r="E526" s="57" t="str">
        <f>IF($O526="","",INDEX(jr_name,$O526)&amp;"")</f>
        <v/>
      </c>
      <c r="F526" s="57" t="str">
        <f>IF($O526="","",INDEX(jr_order,$O526)&amp;"")</f>
        <v/>
      </c>
      <c r="G526" s="57" t="str">
        <f>IF($O526="","",INDEX(jr_ext,$O526)&amp;"")</f>
        <v/>
      </c>
      <c r="H526" s="57" t="str">
        <f>IF($O526="","",INDEX(jr_carrier,$O526)&amp;"")</f>
        <v/>
      </c>
      <c r="I526" s="66" t="str">
        <f>IF(A526="","",COUNTIF(jr_num,A526))</f>
        <v/>
      </c>
      <c r="J526" s="66" t="str">
        <f>IF(A526="","",SUMIF(jr_num,A526,jr_colis))</f>
        <v/>
      </c>
      <c r="K526" s="63" t="str">
        <f>IF(A526="","",SUMIF(jr_num,A526,jr_kg))</f>
        <v/>
      </c>
      <c r="L526" s="64" t="str">
        <f>IF(A526="","",SUMIF(jr_num,A526,jr_val))</f>
        <v/>
      </c>
      <c r="M526" s="60" t="str">
        <f>IF(A526="","",IF(COUNTIFS(jr_num,A526,jr_check,"&lt;&gt;OK")&gt;0,"À vérifier",IF(LEFT(A526,2)="BL",IF(COUNTIFS(jr_num,A526,jr_rel,"&gt;0")&gt;0,"Reliquat en cours",IF(COUNTIFS(jr_num,A526,jr_gap,"&lt;0")&gt;0,"Reliquat livré","Complet")),IF(LEFT(A526,2)="BR",IF(COUNTIFS(jr_num,A526,jr_etat,"Refusé")&gt;0,"Refusé",IF(COUNTIFS(jr_num,A526,jr_etat,"Avec réserves")&gt;0,"Avec réserves",IF(COUNTIFS(jr_num,A526,jr_rel,"&gt;0")&gt;0,"Reliquat en cours",IF(COUNTIFS(jr_num,A526,jr_gap,"&lt;0")+COUNTIFS(jr_num,A526,jr_gap,"&gt;0")&gt;0,"Écart","Conforme")))),IF(COUNTIFS(jr_num,A526,jr_gap,"&lt;0")&gt;0,"Partiel","Sorti")))))</f>
        <v/>
      </c>
      <c r="O526" t="str">
        <f>IFERROR(MATCH(521,jr_grank,0),"")</f>
        <v/>
      </c>
      <c r="R526" s="67" t="str">
        <f>IFERROR(INDEX(jr_num,MATCH("BL521",jr_nkey,0))&amp;"","")</f>
        <v/>
      </c>
      <c r="S526" s="67" t="str">
        <f>IFERROR(INDEX(jr_num,MATCH("BR521",jr_nkey,0))&amp;"","")</f>
        <v/>
      </c>
      <c r="T526" s="67" t="str">
        <f>IFERROR(INDEX(jr_num,MATCH("BS521",jr_nkey,0))&amp;"","")</f>
        <v/>
      </c>
    </row>
    <row r="527">
      <c r="A527" s="60" t="str">
        <f>IF($O527="","",INDEX(jr_num,$O527)&amp;"")</f>
        <v/>
      </c>
      <c r="B527" s="60" t="str">
        <f>IF($O527="","",IF(INDEX(jr_type,$O527)="BL","Livraison",IF(INDEX(jr_type,$O527)="BR","Réception","Sortie")))</f>
        <v/>
      </c>
      <c r="C527" s="65" t="str">
        <f>IF($O527="","",INDEX(jr_date,$O527))</f>
        <v/>
      </c>
      <c r="D527" s="60" t="str">
        <f>IF($O527="","",INDEX(jr_tiers,$O527)&amp;"")</f>
        <v/>
      </c>
      <c r="E527" s="57" t="str">
        <f>IF($O527="","",INDEX(jr_name,$O527)&amp;"")</f>
        <v/>
      </c>
      <c r="F527" s="57" t="str">
        <f>IF($O527="","",INDEX(jr_order,$O527)&amp;"")</f>
        <v/>
      </c>
      <c r="G527" s="57" t="str">
        <f>IF($O527="","",INDEX(jr_ext,$O527)&amp;"")</f>
        <v/>
      </c>
      <c r="H527" s="57" t="str">
        <f>IF($O527="","",INDEX(jr_carrier,$O527)&amp;"")</f>
        <v/>
      </c>
      <c r="I527" s="66" t="str">
        <f>IF(A527="","",COUNTIF(jr_num,A527))</f>
        <v/>
      </c>
      <c r="J527" s="66" t="str">
        <f>IF(A527="","",SUMIF(jr_num,A527,jr_colis))</f>
        <v/>
      </c>
      <c r="K527" s="63" t="str">
        <f>IF(A527="","",SUMIF(jr_num,A527,jr_kg))</f>
        <v/>
      </c>
      <c r="L527" s="64" t="str">
        <f>IF(A527="","",SUMIF(jr_num,A527,jr_val))</f>
        <v/>
      </c>
      <c r="M527" s="60" t="str">
        <f>IF(A527="","",IF(COUNTIFS(jr_num,A527,jr_check,"&lt;&gt;OK")&gt;0,"À vérifier",IF(LEFT(A527,2)="BL",IF(COUNTIFS(jr_num,A527,jr_rel,"&gt;0")&gt;0,"Reliquat en cours",IF(COUNTIFS(jr_num,A527,jr_gap,"&lt;0")&gt;0,"Reliquat livré","Complet")),IF(LEFT(A527,2)="BR",IF(COUNTIFS(jr_num,A527,jr_etat,"Refusé")&gt;0,"Refusé",IF(COUNTIFS(jr_num,A527,jr_etat,"Avec réserves")&gt;0,"Avec réserves",IF(COUNTIFS(jr_num,A527,jr_rel,"&gt;0")&gt;0,"Reliquat en cours",IF(COUNTIFS(jr_num,A527,jr_gap,"&lt;0")+COUNTIFS(jr_num,A527,jr_gap,"&gt;0")&gt;0,"Écart","Conforme")))),IF(COUNTIFS(jr_num,A527,jr_gap,"&lt;0")&gt;0,"Partiel","Sorti")))))</f>
        <v/>
      </c>
      <c r="O527" t="str">
        <f>IFERROR(MATCH(522,jr_grank,0),"")</f>
        <v/>
      </c>
      <c r="R527" s="67" t="str">
        <f>IFERROR(INDEX(jr_num,MATCH("BL522",jr_nkey,0))&amp;"","")</f>
        <v/>
      </c>
      <c r="S527" s="67" t="str">
        <f>IFERROR(INDEX(jr_num,MATCH("BR522",jr_nkey,0))&amp;"","")</f>
        <v/>
      </c>
      <c r="T527" s="67" t="str">
        <f>IFERROR(INDEX(jr_num,MATCH("BS522",jr_nkey,0))&amp;"","")</f>
        <v/>
      </c>
    </row>
    <row r="528">
      <c r="A528" s="60" t="str">
        <f>IF($O528="","",INDEX(jr_num,$O528)&amp;"")</f>
        <v/>
      </c>
      <c r="B528" s="60" t="str">
        <f>IF($O528="","",IF(INDEX(jr_type,$O528)="BL","Livraison",IF(INDEX(jr_type,$O528)="BR","Réception","Sortie")))</f>
        <v/>
      </c>
      <c r="C528" s="65" t="str">
        <f>IF($O528="","",INDEX(jr_date,$O528))</f>
        <v/>
      </c>
      <c r="D528" s="60" t="str">
        <f>IF($O528="","",INDEX(jr_tiers,$O528)&amp;"")</f>
        <v/>
      </c>
      <c r="E528" s="57" t="str">
        <f>IF($O528="","",INDEX(jr_name,$O528)&amp;"")</f>
        <v/>
      </c>
      <c r="F528" s="57" t="str">
        <f>IF($O528="","",INDEX(jr_order,$O528)&amp;"")</f>
        <v/>
      </c>
      <c r="G528" s="57" t="str">
        <f>IF($O528="","",INDEX(jr_ext,$O528)&amp;"")</f>
        <v/>
      </c>
      <c r="H528" s="57" t="str">
        <f>IF($O528="","",INDEX(jr_carrier,$O528)&amp;"")</f>
        <v/>
      </c>
      <c r="I528" s="66" t="str">
        <f>IF(A528="","",COUNTIF(jr_num,A528))</f>
        <v/>
      </c>
      <c r="J528" s="66" t="str">
        <f>IF(A528="","",SUMIF(jr_num,A528,jr_colis))</f>
        <v/>
      </c>
      <c r="K528" s="63" t="str">
        <f>IF(A528="","",SUMIF(jr_num,A528,jr_kg))</f>
        <v/>
      </c>
      <c r="L528" s="64" t="str">
        <f>IF(A528="","",SUMIF(jr_num,A528,jr_val))</f>
        <v/>
      </c>
      <c r="M528" s="60" t="str">
        <f>IF(A528="","",IF(COUNTIFS(jr_num,A528,jr_check,"&lt;&gt;OK")&gt;0,"À vérifier",IF(LEFT(A528,2)="BL",IF(COUNTIFS(jr_num,A528,jr_rel,"&gt;0")&gt;0,"Reliquat en cours",IF(COUNTIFS(jr_num,A528,jr_gap,"&lt;0")&gt;0,"Reliquat livré","Complet")),IF(LEFT(A528,2)="BR",IF(COUNTIFS(jr_num,A528,jr_etat,"Refusé")&gt;0,"Refusé",IF(COUNTIFS(jr_num,A528,jr_etat,"Avec réserves")&gt;0,"Avec réserves",IF(COUNTIFS(jr_num,A528,jr_rel,"&gt;0")&gt;0,"Reliquat en cours",IF(COUNTIFS(jr_num,A528,jr_gap,"&lt;0")+COUNTIFS(jr_num,A528,jr_gap,"&gt;0")&gt;0,"Écart","Conforme")))),IF(COUNTIFS(jr_num,A528,jr_gap,"&lt;0")&gt;0,"Partiel","Sorti")))))</f>
        <v/>
      </c>
      <c r="O528" t="str">
        <f>IFERROR(MATCH(523,jr_grank,0),"")</f>
        <v/>
      </c>
      <c r="R528" s="67" t="str">
        <f>IFERROR(INDEX(jr_num,MATCH("BL523",jr_nkey,0))&amp;"","")</f>
        <v/>
      </c>
      <c r="S528" s="67" t="str">
        <f>IFERROR(INDEX(jr_num,MATCH("BR523",jr_nkey,0))&amp;"","")</f>
        <v/>
      </c>
      <c r="T528" s="67" t="str">
        <f>IFERROR(INDEX(jr_num,MATCH("BS523",jr_nkey,0))&amp;"","")</f>
        <v/>
      </c>
    </row>
    <row r="529">
      <c r="A529" s="60" t="str">
        <f>IF($O529="","",INDEX(jr_num,$O529)&amp;"")</f>
        <v/>
      </c>
      <c r="B529" s="60" t="str">
        <f>IF($O529="","",IF(INDEX(jr_type,$O529)="BL","Livraison",IF(INDEX(jr_type,$O529)="BR","Réception","Sortie")))</f>
        <v/>
      </c>
      <c r="C529" s="65" t="str">
        <f>IF($O529="","",INDEX(jr_date,$O529))</f>
        <v/>
      </c>
      <c r="D529" s="60" t="str">
        <f>IF($O529="","",INDEX(jr_tiers,$O529)&amp;"")</f>
        <v/>
      </c>
      <c r="E529" s="57" t="str">
        <f>IF($O529="","",INDEX(jr_name,$O529)&amp;"")</f>
        <v/>
      </c>
      <c r="F529" s="57" t="str">
        <f>IF($O529="","",INDEX(jr_order,$O529)&amp;"")</f>
        <v/>
      </c>
      <c r="G529" s="57" t="str">
        <f>IF($O529="","",INDEX(jr_ext,$O529)&amp;"")</f>
        <v/>
      </c>
      <c r="H529" s="57" t="str">
        <f>IF($O529="","",INDEX(jr_carrier,$O529)&amp;"")</f>
        <v/>
      </c>
      <c r="I529" s="66" t="str">
        <f>IF(A529="","",COUNTIF(jr_num,A529))</f>
        <v/>
      </c>
      <c r="J529" s="66" t="str">
        <f>IF(A529="","",SUMIF(jr_num,A529,jr_colis))</f>
        <v/>
      </c>
      <c r="K529" s="63" t="str">
        <f>IF(A529="","",SUMIF(jr_num,A529,jr_kg))</f>
        <v/>
      </c>
      <c r="L529" s="64" t="str">
        <f>IF(A529="","",SUMIF(jr_num,A529,jr_val))</f>
        <v/>
      </c>
      <c r="M529" s="60" t="str">
        <f>IF(A529="","",IF(COUNTIFS(jr_num,A529,jr_check,"&lt;&gt;OK")&gt;0,"À vérifier",IF(LEFT(A529,2)="BL",IF(COUNTIFS(jr_num,A529,jr_rel,"&gt;0")&gt;0,"Reliquat en cours",IF(COUNTIFS(jr_num,A529,jr_gap,"&lt;0")&gt;0,"Reliquat livré","Complet")),IF(LEFT(A529,2)="BR",IF(COUNTIFS(jr_num,A529,jr_etat,"Refusé")&gt;0,"Refusé",IF(COUNTIFS(jr_num,A529,jr_etat,"Avec réserves")&gt;0,"Avec réserves",IF(COUNTIFS(jr_num,A529,jr_rel,"&gt;0")&gt;0,"Reliquat en cours",IF(COUNTIFS(jr_num,A529,jr_gap,"&lt;0")+COUNTIFS(jr_num,A529,jr_gap,"&gt;0")&gt;0,"Écart","Conforme")))),IF(COUNTIFS(jr_num,A529,jr_gap,"&lt;0")&gt;0,"Partiel","Sorti")))))</f>
        <v/>
      </c>
      <c r="O529" t="str">
        <f>IFERROR(MATCH(524,jr_grank,0),"")</f>
        <v/>
      </c>
      <c r="R529" s="67" t="str">
        <f>IFERROR(INDEX(jr_num,MATCH("BL524",jr_nkey,0))&amp;"","")</f>
        <v/>
      </c>
      <c r="S529" s="67" t="str">
        <f>IFERROR(INDEX(jr_num,MATCH("BR524",jr_nkey,0))&amp;"","")</f>
        <v/>
      </c>
      <c r="T529" s="67" t="str">
        <f>IFERROR(INDEX(jr_num,MATCH("BS524",jr_nkey,0))&amp;"","")</f>
        <v/>
      </c>
    </row>
    <row r="530">
      <c r="A530" s="60" t="str">
        <f>IF($O530="","",INDEX(jr_num,$O530)&amp;"")</f>
        <v/>
      </c>
      <c r="B530" s="60" t="str">
        <f>IF($O530="","",IF(INDEX(jr_type,$O530)="BL","Livraison",IF(INDEX(jr_type,$O530)="BR","Réception","Sortie")))</f>
        <v/>
      </c>
      <c r="C530" s="65" t="str">
        <f>IF($O530="","",INDEX(jr_date,$O530))</f>
        <v/>
      </c>
      <c r="D530" s="60" t="str">
        <f>IF($O530="","",INDEX(jr_tiers,$O530)&amp;"")</f>
        <v/>
      </c>
      <c r="E530" s="57" t="str">
        <f>IF($O530="","",INDEX(jr_name,$O530)&amp;"")</f>
        <v/>
      </c>
      <c r="F530" s="57" t="str">
        <f>IF($O530="","",INDEX(jr_order,$O530)&amp;"")</f>
        <v/>
      </c>
      <c r="G530" s="57" t="str">
        <f>IF($O530="","",INDEX(jr_ext,$O530)&amp;"")</f>
        <v/>
      </c>
      <c r="H530" s="57" t="str">
        <f>IF($O530="","",INDEX(jr_carrier,$O530)&amp;"")</f>
        <v/>
      </c>
      <c r="I530" s="66" t="str">
        <f>IF(A530="","",COUNTIF(jr_num,A530))</f>
        <v/>
      </c>
      <c r="J530" s="66" t="str">
        <f>IF(A530="","",SUMIF(jr_num,A530,jr_colis))</f>
        <v/>
      </c>
      <c r="K530" s="63" t="str">
        <f>IF(A530="","",SUMIF(jr_num,A530,jr_kg))</f>
        <v/>
      </c>
      <c r="L530" s="64" t="str">
        <f>IF(A530="","",SUMIF(jr_num,A530,jr_val))</f>
        <v/>
      </c>
      <c r="M530" s="60" t="str">
        <f>IF(A530="","",IF(COUNTIFS(jr_num,A530,jr_check,"&lt;&gt;OK")&gt;0,"À vérifier",IF(LEFT(A530,2)="BL",IF(COUNTIFS(jr_num,A530,jr_rel,"&gt;0")&gt;0,"Reliquat en cours",IF(COUNTIFS(jr_num,A530,jr_gap,"&lt;0")&gt;0,"Reliquat livré","Complet")),IF(LEFT(A530,2)="BR",IF(COUNTIFS(jr_num,A530,jr_etat,"Refusé")&gt;0,"Refusé",IF(COUNTIFS(jr_num,A530,jr_etat,"Avec réserves")&gt;0,"Avec réserves",IF(COUNTIFS(jr_num,A530,jr_rel,"&gt;0")&gt;0,"Reliquat en cours",IF(COUNTIFS(jr_num,A530,jr_gap,"&lt;0")+COUNTIFS(jr_num,A530,jr_gap,"&gt;0")&gt;0,"Écart","Conforme")))),IF(COUNTIFS(jr_num,A530,jr_gap,"&lt;0")&gt;0,"Partiel","Sorti")))))</f>
        <v/>
      </c>
      <c r="O530" t="str">
        <f>IFERROR(MATCH(525,jr_grank,0),"")</f>
        <v/>
      </c>
      <c r="R530" s="67" t="str">
        <f>IFERROR(INDEX(jr_num,MATCH("BL525",jr_nkey,0))&amp;"","")</f>
        <v/>
      </c>
      <c r="S530" s="67" t="str">
        <f>IFERROR(INDEX(jr_num,MATCH("BR525",jr_nkey,0))&amp;"","")</f>
        <v/>
      </c>
      <c r="T530" s="67" t="str">
        <f>IFERROR(INDEX(jr_num,MATCH("BS525",jr_nkey,0))&amp;"","")</f>
        <v/>
      </c>
    </row>
    <row r="531">
      <c r="A531" s="60" t="str">
        <f>IF($O531="","",INDEX(jr_num,$O531)&amp;"")</f>
        <v/>
      </c>
      <c r="B531" s="60" t="str">
        <f>IF($O531="","",IF(INDEX(jr_type,$O531)="BL","Livraison",IF(INDEX(jr_type,$O531)="BR","Réception","Sortie")))</f>
        <v/>
      </c>
      <c r="C531" s="65" t="str">
        <f>IF($O531="","",INDEX(jr_date,$O531))</f>
        <v/>
      </c>
      <c r="D531" s="60" t="str">
        <f>IF($O531="","",INDEX(jr_tiers,$O531)&amp;"")</f>
        <v/>
      </c>
      <c r="E531" s="57" t="str">
        <f>IF($O531="","",INDEX(jr_name,$O531)&amp;"")</f>
        <v/>
      </c>
      <c r="F531" s="57" t="str">
        <f>IF($O531="","",INDEX(jr_order,$O531)&amp;"")</f>
        <v/>
      </c>
      <c r="G531" s="57" t="str">
        <f>IF($O531="","",INDEX(jr_ext,$O531)&amp;"")</f>
        <v/>
      </c>
      <c r="H531" s="57" t="str">
        <f>IF($O531="","",INDEX(jr_carrier,$O531)&amp;"")</f>
        <v/>
      </c>
      <c r="I531" s="66" t="str">
        <f>IF(A531="","",COUNTIF(jr_num,A531))</f>
        <v/>
      </c>
      <c r="J531" s="66" t="str">
        <f>IF(A531="","",SUMIF(jr_num,A531,jr_colis))</f>
        <v/>
      </c>
      <c r="K531" s="63" t="str">
        <f>IF(A531="","",SUMIF(jr_num,A531,jr_kg))</f>
        <v/>
      </c>
      <c r="L531" s="64" t="str">
        <f>IF(A531="","",SUMIF(jr_num,A531,jr_val))</f>
        <v/>
      </c>
      <c r="M531" s="60" t="str">
        <f>IF(A531="","",IF(COUNTIFS(jr_num,A531,jr_check,"&lt;&gt;OK")&gt;0,"À vérifier",IF(LEFT(A531,2)="BL",IF(COUNTIFS(jr_num,A531,jr_rel,"&gt;0")&gt;0,"Reliquat en cours",IF(COUNTIFS(jr_num,A531,jr_gap,"&lt;0")&gt;0,"Reliquat livré","Complet")),IF(LEFT(A531,2)="BR",IF(COUNTIFS(jr_num,A531,jr_etat,"Refusé")&gt;0,"Refusé",IF(COUNTIFS(jr_num,A531,jr_etat,"Avec réserves")&gt;0,"Avec réserves",IF(COUNTIFS(jr_num,A531,jr_rel,"&gt;0")&gt;0,"Reliquat en cours",IF(COUNTIFS(jr_num,A531,jr_gap,"&lt;0")+COUNTIFS(jr_num,A531,jr_gap,"&gt;0")&gt;0,"Écart","Conforme")))),IF(COUNTIFS(jr_num,A531,jr_gap,"&lt;0")&gt;0,"Partiel","Sorti")))))</f>
        <v/>
      </c>
      <c r="O531" t="str">
        <f>IFERROR(MATCH(526,jr_grank,0),"")</f>
        <v/>
      </c>
      <c r="R531" s="67" t="str">
        <f>IFERROR(INDEX(jr_num,MATCH("BL526",jr_nkey,0))&amp;"","")</f>
        <v/>
      </c>
      <c r="S531" s="67" t="str">
        <f>IFERROR(INDEX(jr_num,MATCH("BR526",jr_nkey,0))&amp;"","")</f>
        <v/>
      </c>
      <c r="T531" s="67" t="str">
        <f>IFERROR(INDEX(jr_num,MATCH("BS526",jr_nkey,0))&amp;"","")</f>
        <v/>
      </c>
    </row>
    <row r="532">
      <c r="A532" s="60" t="str">
        <f>IF($O532="","",INDEX(jr_num,$O532)&amp;"")</f>
        <v/>
      </c>
      <c r="B532" s="60" t="str">
        <f>IF($O532="","",IF(INDEX(jr_type,$O532)="BL","Livraison",IF(INDEX(jr_type,$O532)="BR","Réception","Sortie")))</f>
        <v/>
      </c>
      <c r="C532" s="65" t="str">
        <f>IF($O532="","",INDEX(jr_date,$O532))</f>
        <v/>
      </c>
      <c r="D532" s="60" t="str">
        <f>IF($O532="","",INDEX(jr_tiers,$O532)&amp;"")</f>
        <v/>
      </c>
      <c r="E532" s="57" t="str">
        <f>IF($O532="","",INDEX(jr_name,$O532)&amp;"")</f>
        <v/>
      </c>
      <c r="F532" s="57" t="str">
        <f>IF($O532="","",INDEX(jr_order,$O532)&amp;"")</f>
        <v/>
      </c>
      <c r="G532" s="57" t="str">
        <f>IF($O532="","",INDEX(jr_ext,$O532)&amp;"")</f>
        <v/>
      </c>
      <c r="H532" s="57" t="str">
        <f>IF($O532="","",INDEX(jr_carrier,$O532)&amp;"")</f>
        <v/>
      </c>
      <c r="I532" s="66" t="str">
        <f>IF(A532="","",COUNTIF(jr_num,A532))</f>
        <v/>
      </c>
      <c r="J532" s="66" t="str">
        <f>IF(A532="","",SUMIF(jr_num,A532,jr_colis))</f>
        <v/>
      </c>
      <c r="K532" s="63" t="str">
        <f>IF(A532="","",SUMIF(jr_num,A532,jr_kg))</f>
        <v/>
      </c>
      <c r="L532" s="64" t="str">
        <f>IF(A532="","",SUMIF(jr_num,A532,jr_val))</f>
        <v/>
      </c>
      <c r="M532" s="60" t="str">
        <f>IF(A532="","",IF(COUNTIFS(jr_num,A532,jr_check,"&lt;&gt;OK")&gt;0,"À vérifier",IF(LEFT(A532,2)="BL",IF(COUNTIFS(jr_num,A532,jr_rel,"&gt;0")&gt;0,"Reliquat en cours",IF(COUNTIFS(jr_num,A532,jr_gap,"&lt;0")&gt;0,"Reliquat livré","Complet")),IF(LEFT(A532,2)="BR",IF(COUNTIFS(jr_num,A532,jr_etat,"Refusé")&gt;0,"Refusé",IF(COUNTIFS(jr_num,A532,jr_etat,"Avec réserves")&gt;0,"Avec réserves",IF(COUNTIFS(jr_num,A532,jr_rel,"&gt;0")&gt;0,"Reliquat en cours",IF(COUNTIFS(jr_num,A532,jr_gap,"&lt;0")+COUNTIFS(jr_num,A532,jr_gap,"&gt;0")&gt;0,"Écart","Conforme")))),IF(COUNTIFS(jr_num,A532,jr_gap,"&lt;0")&gt;0,"Partiel","Sorti")))))</f>
        <v/>
      </c>
      <c r="O532" t="str">
        <f>IFERROR(MATCH(527,jr_grank,0),"")</f>
        <v/>
      </c>
      <c r="R532" s="67" t="str">
        <f>IFERROR(INDEX(jr_num,MATCH("BL527",jr_nkey,0))&amp;"","")</f>
        <v/>
      </c>
      <c r="S532" s="67" t="str">
        <f>IFERROR(INDEX(jr_num,MATCH("BR527",jr_nkey,0))&amp;"","")</f>
        <v/>
      </c>
      <c r="T532" s="67" t="str">
        <f>IFERROR(INDEX(jr_num,MATCH("BS527",jr_nkey,0))&amp;"","")</f>
        <v/>
      </c>
    </row>
    <row r="533">
      <c r="A533" s="60" t="str">
        <f>IF($O533="","",INDEX(jr_num,$O533)&amp;"")</f>
        <v/>
      </c>
      <c r="B533" s="60" t="str">
        <f>IF($O533="","",IF(INDEX(jr_type,$O533)="BL","Livraison",IF(INDEX(jr_type,$O533)="BR","Réception","Sortie")))</f>
        <v/>
      </c>
      <c r="C533" s="65" t="str">
        <f>IF($O533="","",INDEX(jr_date,$O533))</f>
        <v/>
      </c>
      <c r="D533" s="60" t="str">
        <f>IF($O533="","",INDEX(jr_tiers,$O533)&amp;"")</f>
        <v/>
      </c>
      <c r="E533" s="57" t="str">
        <f>IF($O533="","",INDEX(jr_name,$O533)&amp;"")</f>
        <v/>
      </c>
      <c r="F533" s="57" t="str">
        <f>IF($O533="","",INDEX(jr_order,$O533)&amp;"")</f>
        <v/>
      </c>
      <c r="G533" s="57" t="str">
        <f>IF($O533="","",INDEX(jr_ext,$O533)&amp;"")</f>
        <v/>
      </c>
      <c r="H533" s="57" t="str">
        <f>IF($O533="","",INDEX(jr_carrier,$O533)&amp;"")</f>
        <v/>
      </c>
      <c r="I533" s="66" t="str">
        <f>IF(A533="","",COUNTIF(jr_num,A533))</f>
        <v/>
      </c>
      <c r="J533" s="66" t="str">
        <f>IF(A533="","",SUMIF(jr_num,A533,jr_colis))</f>
        <v/>
      </c>
      <c r="K533" s="63" t="str">
        <f>IF(A533="","",SUMIF(jr_num,A533,jr_kg))</f>
        <v/>
      </c>
      <c r="L533" s="64" t="str">
        <f>IF(A533="","",SUMIF(jr_num,A533,jr_val))</f>
        <v/>
      </c>
      <c r="M533" s="60" t="str">
        <f>IF(A533="","",IF(COUNTIFS(jr_num,A533,jr_check,"&lt;&gt;OK")&gt;0,"À vérifier",IF(LEFT(A533,2)="BL",IF(COUNTIFS(jr_num,A533,jr_rel,"&gt;0")&gt;0,"Reliquat en cours",IF(COUNTIFS(jr_num,A533,jr_gap,"&lt;0")&gt;0,"Reliquat livré","Complet")),IF(LEFT(A533,2)="BR",IF(COUNTIFS(jr_num,A533,jr_etat,"Refusé")&gt;0,"Refusé",IF(COUNTIFS(jr_num,A533,jr_etat,"Avec réserves")&gt;0,"Avec réserves",IF(COUNTIFS(jr_num,A533,jr_rel,"&gt;0")&gt;0,"Reliquat en cours",IF(COUNTIFS(jr_num,A533,jr_gap,"&lt;0")+COUNTIFS(jr_num,A533,jr_gap,"&gt;0")&gt;0,"Écart","Conforme")))),IF(COUNTIFS(jr_num,A533,jr_gap,"&lt;0")&gt;0,"Partiel","Sorti")))))</f>
        <v/>
      </c>
      <c r="O533" t="str">
        <f>IFERROR(MATCH(528,jr_grank,0),"")</f>
        <v/>
      </c>
      <c r="R533" s="67" t="str">
        <f>IFERROR(INDEX(jr_num,MATCH("BL528",jr_nkey,0))&amp;"","")</f>
        <v/>
      </c>
      <c r="S533" s="67" t="str">
        <f>IFERROR(INDEX(jr_num,MATCH("BR528",jr_nkey,0))&amp;"","")</f>
        <v/>
      </c>
      <c r="T533" s="67" t="str">
        <f>IFERROR(INDEX(jr_num,MATCH("BS528",jr_nkey,0))&amp;"","")</f>
        <v/>
      </c>
    </row>
    <row r="534">
      <c r="A534" s="60" t="str">
        <f>IF($O534="","",INDEX(jr_num,$O534)&amp;"")</f>
        <v/>
      </c>
      <c r="B534" s="60" t="str">
        <f>IF($O534="","",IF(INDEX(jr_type,$O534)="BL","Livraison",IF(INDEX(jr_type,$O534)="BR","Réception","Sortie")))</f>
        <v/>
      </c>
      <c r="C534" s="65" t="str">
        <f>IF($O534="","",INDEX(jr_date,$O534))</f>
        <v/>
      </c>
      <c r="D534" s="60" t="str">
        <f>IF($O534="","",INDEX(jr_tiers,$O534)&amp;"")</f>
        <v/>
      </c>
      <c r="E534" s="57" t="str">
        <f>IF($O534="","",INDEX(jr_name,$O534)&amp;"")</f>
        <v/>
      </c>
      <c r="F534" s="57" t="str">
        <f>IF($O534="","",INDEX(jr_order,$O534)&amp;"")</f>
        <v/>
      </c>
      <c r="G534" s="57" t="str">
        <f>IF($O534="","",INDEX(jr_ext,$O534)&amp;"")</f>
        <v/>
      </c>
      <c r="H534" s="57" t="str">
        <f>IF($O534="","",INDEX(jr_carrier,$O534)&amp;"")</f>
        <v/>
      </c>
      <c r="I534" s="66" t="str">
        <f>IF(A534="","",COUNTIF(jr_num,A534))</f>
        <v/>
      </c>
      <c r="J534" s="66" t="str">
        <f>IF(A534="","",SUMIF(jr_num,A534,jr_colis))</f>
        <v/>
      </c>
      <c r="K534" s="63" t="str">
        <f>IF(A534="","",SUMIF(jr_num,A534,jr_kg))</f>
        <v/>
      </c>
      <c r="L534" s="64" t="str">
        <f>IF(A534="","",SUMIF(jr_num,A534,jr_val))</f>
        <v/>
      </c>
      <c r="M534" s="60" t="str">
        <f>IF(A534="","",IF(COUNTIFS(jr_num,A534,jr_check,"&lt;&gt;OK")&gt;0,"À vérifier",IF(LEFT(A534,2)="BL",IF(COUNTIFS(jr_num,A534,jr_rel,"&gt;0")&gt;0,"Reliquat en cours",IF(COUNTIFS(jr_num,A534,jr_gap,"&lt;0")&gt;0,"Reliquat livré","Complet")),IF(LEFT(A534,2)="BR",IF(COUNTIFS(jr_num,A534,jr_etat,"Refusé")&gt;0,"Refusé",IF(COUNTIFS(jr_num,A534,jr_etat,"Avec réserves")&gt;0,"Avec réserves",IF(COUNTIFS(jr_num,A534,jr_rel,"&gt;0")&gt;0,"Reliquat en cours",IF(COUNTIFS(jr_num,A534,jr_gap,"&lt;0")+COUNTIFS(jr_num,A534,jr_gap,"&gt;0")&gt;0,"Écart","Conforme")))),IF(COUNTIFS(jr_num,A534,jr_gap,"&lt;0")&gt;0,"Partiel","Sorti")))))</f>
        <v/>
      </c>
      <c r="O534" t="str">
        <f>IFERROR(MATCH(529,jr_grank,0),"")</f>
        <v/>
      </c>
      <c r="R534" s="67" t="str">
        <f>IFERROR(INDEX(jr_num,MATCH("BL529",jr_nkey,0))&amp;"","")</f>
        <v/>
      </c>
      <c r="S534" s="67" t="str">
        <f>IFERROR(INDEX(jr_num,MATCH("BR529",jr_nkey,0))&amp;"","")</f>
        <v/>
      </c>
      <c r="T534" s="67" t="str">
        <f>IFERROR(INDEX(jr_num,MATCH("BS529",jr_nkey,0))&amp;"","")</f>
        <v/>
      </c>
    </row>
    <row r="535">
      <c r="A535" s="60" t="str">
        <f>IF($O535="","",INDEX(jr_num,$O535)&amp;"")</f>
        <v/>
      </c>
      <c r="B535" s="60" t="str">
        <f>IF($O535="","",IF(INDEX(jr_type,$O535)="BL","Livraison",IF(INDEX(jr_type,$O535)="BR","Réception","Sortie")))</f>
        <v/>
      </c>
      <c r="C535" s="65" t="str">
        <f>IF($O535="","",INDEX(jr_date,$O535))</f>
        <v/>
      </c>
      <c r="D535" s="60" t="str">
        <f>IF($O535="","",INDEX(jr_tiers,$O535)&amp;"")</f>
        <v/>
      </c>
      <c r="E535" s="57" t="str">
        <f>IF($O535="","",INDEX(jr_name,$O535)&amp;"")</f>
        <v/>
      </c>
      <c r="F535" s="57" t="str">
        <f>IF($O535="","",INDEX(jr_order,$O535)&amp;"")</f>
        <v/>
      </c>
      <c r="G535" s="57" t="str">
        <f>IF($O535="","",INDEX(jr_ext,$O535)&amp;"")</f>
        <v/>
      </c>
      <c r="H535" s="57" t="str">
        <f>IF($O535="","",INDEX(jr_carrier,$O535)&amp;"")</f>
        <v/>
      </c>
      <c r="I535" s="66" t="str">
        <f>IF(A535="","",COUNTIF(jr_num,A535))</f>
        <v/>
      </c>
      <c r="J535" s="66" t="str">
        <f>IF(A535="","",SUMIF(jr_num,A535,jr_colis))</f>
        <v/>
      </c>
      <c r="K535" s="63" t="str">
        <f>IF(A535="","",SUMIF(jr_num,A535,jr_kg))</f>
        <v/>
      </c>
      <c r="L535" s="64" t="str">
        <f>IF(A535="","",SUMIF(jr_num,A535,jr_val))</f>
        <v/>
      </c>
      <c r="M535" s="60" t="str">
        <f>IF(A535="","",IF(COUNTIFS(jr_num,A535,jr_check,"&lt;&gt;OK")&gt;0,"À vérifier",IF(LEFT(A535,2)="BL",IF(COUNTIFS(jr_num,A535,jr_rel,"&gt;0")&gt;0,"Reliquat en cours",IF(COUNTIFS(jr_num,A535,jr_gap,"&lt;0")&gt;0,"Reliquat livré","Complet")),IF(LEFT(A535,2)="BR",IF(COUNTIFS(jr_num,A535,jr_etat,"Refusé")&gt;0,"Refusé",IF(COUNTIFS(jr_num,A535,jr_etat,"Avec réserves")&gt;0,"Avec réserves",IF(COUNTIFS(jr_num,A535,jr_rel,"&gt;0")&gt;0,"Reliquat en cours",IF(COUNTIFS(jr_num,A535,jr_gap,"&lt;0")+COUNTIFS(jr_num,A535,jr_gap,"&gt;0")&gt;0,"Écart","Conforme")))),IF(COUNTIFS(jr_num,A535,jr_gap,"&lt;0")&gt;0,"Partiel","Sorti")))))</f>
        <v/>
      </c>
      <c r="O535" t="str">
        <f>IFERROR(MATCH(530,jr_grank,0),"")</f>
        <v/>
      </c>
      <c r="R535" s="67" t="str">
        <f>IFERROR(INDEX(jr_num,MATCH("BL530",jr_nkey,0))&amp;"","")</f>
        <v/>
      </c>
      <c r="S535" s="67" t="str">
        <f>IFERROR(INDEX(jr_num,MATCH("BR530",jr_nkey,0))&amp;"","")</f>
        <v/>
      </c>
      <c r="T535" s="67" t="str">
        <f>IFERROR(INDEX(jr_num,MATCH("BS530",jr_nkey,0))&amp;"","")</f>
        <v/>
      </c>
    </row>
    <row r="536">
      <c r="A536" s="60" t="str">
        <f>IF($O536="","",INDEX(jr_num,$O536)&amp;"")</f>
        <v/>
      </c>
      <c r="B536" s="60" t="str">
        <f>IF($O536="","",IF(INDEX(jr_type,$O536)="BL","Livraison",IF(INDEX(jr_type,$O536)="BR","Réception","Sortie")))</f>
        <v/>
      </c>
      <c r="C536" s="65" t="str">
        <f>IF($O536="","",INDEX(jr_date,$O536))</f>
        <v/>
      </c>
      <c r="D536" s="60" t="str">
        <f>IF($O536="","",INDEX(jr_tiers,$O536)&amp;"")</f>
        <v/>
      </c>
      <c r="E536" s="57" t="str">
        <f>IF($O536="","",INDEX(jr_name,$O536)&amp;"")</f>
        <v/>
      </c>
      <c r="F536" s="57" t="str">
        <f>IF($O536="","",INDEX(jr_order,$O536)&amp;"")</f>
        <v/>
      </c>
      <c r="G536" s="57" t="str">
        <f>IF($O536="","",INDEX(jr_ext,$O536)&amp;"")</f>
        <v/>
      </c>
      <c r="H536" s="57" t="str">
        <f>IF($O536="","",INDEX(jr_carrier,$O536)&amp;"")</f>
        <v/>
      </c>
      <c r="I536" s="66" t="str">
        <f>IF(A536="","",COUNTIF(jr_num,A536))</f>
        <v/>
      </c>
      <c r="J536" s="66" t="str">
        <f>IF(A536="","",SUMIF(jr_num,A536,jr_colis))</f>
        <v/>
      </c>
      <c r="K536" s="63" t="str">
        <f>IF(A536="","",SUMIF(jr_num,A536,jr_kg))</f>
        <v/>
      </c>
      <c r="L536" s="64" t="str">
        <f>IF(A536="","",SUMIF(jr_num,A536,jr_val))</f>
        <v/>
      </c>
      <c r="M536" s="60" t="str">
        <f>IF(A536="","",IF(COUNTIFS(jr_num,A536,jr_check,"&lt;&gt;OK")&gt;0,"À vérifier",IF(LEFT(A536,2)="BL",IF(COUNTIFS(jr_num,A536,jr_rel,"&gt;0")&gt;0,"Reliquat en cours",IF(COUNTIFS(jr_num,A536,jr_gap,"&lt;0")&gt;0,"Reliquat livré","Complet")),IF(LEFT(A536,2)="BR",IF(COUNTIFS(jr_num,A536,jr_etat,"Refusé")&gt;0,"Refusé",IF(COUNTIFS(jr_num,A536,jr_etat,"Avec réserves")&gt;0,"Avec réserves",IF(COUNTIFS(jr_num,A536,jr_rel,"&gt;0")&gt;0,"Reliquat en cours",IF(COUNTIFS(jr_num,A536,jr_gap,"&lt;0")+COUNTIFS(jr_num,A536,jr_gap,"&gt;0")&gt;0,"Écart","Conforme")))),IF(COUNTIFS(jr_num,A536,jr_gap,"&lt;0")&gt;0,"Partiel","Sorti")))))</f>
        <v/>
      </c>
      <c r="O536" t="str">
        <f>IFERROR(MATCH(531,jr_grank,0),"")</f>
        <v/>
      </c>
      <c r="R536" s="67" t="str">
        <f>IFERROR(INDEX(jr_num,MATCH("BL531",jr_nkey,0))&amp;"","")</f>
        <v/>
      </c>
      <c r="S536" s="67" t="str">
        <f>IFERROR(INDEX(jr_num,MATCH("BR531",jr_nkey,0))&amp;"","")</f>
        <v/>
      </c>
      <c r="T536" s="67" t="str">
        <f>IFERROR(INDEX(jr_num,MATCH("BS531",jr_nkey,0))&amp;"","")</f>
        <v/>
      </c>
    </row>
    <row r="537">
      <c r="A537" s="60" t="str">
        <f>IF($O537="","",INDEX(jr_num,$O537)&amp;"")</f>
        <v/>
      </c>
      <c r="B537" s="60" t="str">
        <f>IF($O537="","",IF(INDEX(jr_type,$O537)="BL","Livraison",IF(INDEX(jr_type,$O537)="BR","Réception","Sortie")))</f>
        <v/>
      </c>
      <c r="C537" s="65" t="str">
        <f>IF($O537="","",INDEX(jr_date,$O537))</f>
        <v/>
      </c>
      <c r="D537" s="60" t="str">
        <f>IF($O537="","",INDEX(jr_tiers,$O537)&amp;"")</f>
        <v/>
      </c>
      <c r="E537" s="57" t="str">
        <f>IF($O537="","",INDEX(jr_name,$O537)&amp;"")</f>
        <v/>
      </c>
      <c r="F537" s="57" t="str">
        <f>IF($O537="","",INDEX(jr_order,$O537)&amp;"")</f>
        <v/>
      </c>
      <c r="G537" s="57" t="str">
        <f>IF($O537="","",INDEX(jr_ext,$O537)&amp;"")</f>
        <v/>
      </c>
      <c r="H537" s="57" t="str">
        <f>IF($O537="","",INDEX(jr_carrier,$O537)&amp;"")</f>
        <v/>
      </c>
      <c r="I537" s="66" t="str">
        <f>IF(A537="","",COUNTIF(jr_num,A537))</f>
        <v/>
      </c>
      <c r="J537" s="66" t="str">
        <f>IF(A537="","",SUMIF(jr_num,A537,jr_colis))</f>
        <v/>
      </c>
      <c r="K537" s="63" t="str">
        <f>IF(A537="","",SUMIF(jr_num,A537,jr_kg))</f>
        <v/>
      </c>
      <c r="L537" s="64" t="str">
        <f>IF(A537="","",SUMIF(jr_num,A537,jr_val))</f>
        <v/>
      </c>
      <c r="M537" s="60" t="str">
        <f>IF(A537="","",IF(COUNTIFS(jr_num,A537,jr_check,"&lt;&gt;OK")&gt;0,"À vérifier",IF(LEFT(A537,2)="BL",IF(COUNTIFS(jr_num,A537,jr_rel,"&gt;0")&gt;0,"Reliquat en cours",IF(COUNTIFS(jr_num,A537,jr_gap,"&lt;0")&gt;0,"Reliquat livré","Complet")),IF(LEFT(A537,2)="BR",IF(COUNTIFS(jr_num,A537,jr_etat,"Refusé")&gt;0,"Refusé",IF(COUNTIFS(jr_num,A537,jr_etat,"Avec réserves")&gt;0,"Avec réserves",IF(COUNTIFS(jr_num,A537,jr_rel,"&gt;0")&gt;0,"Reliquat en cours",IF(COUNTIFS(jr_num,A537,jr_gap,"&lt;0")+COUNTIFS(jr_num,A537,jr_gap,"&gt;0")&gt;0,"Écart","Conforme")))),IF(COUNTIFS(jr_num,A537,jr_gap,"&lt;0")&gt;0,"Partiel","Sorti")))))</f>
        <v/>
      </c>
      <c r="O537" t="str">
        <f>IFERROR(MATCH(532,jr_grank,0),"")</f>
        <v/>
      </c>
      <c r="R537" s="67" t="str">
        <f>IFERROR(INDEX(jr_num,MATCH("BL532",jr_nkey,0))&amp;"","")</f>
        <v/>
      </c>
      <c r="S537" s="67" t="str">
        <f>IFERROR(INDEX(jr_num,MATCH("BR532",jr_nkey,0))&amp;"","")</f>
        <v/>
      </c>
      <c r="T537" s="67" t="str">
        <f>IFERROR(INDEX(jr_num,MATCH("BS532",jr_nkey,0))&amp;"","")</f>
        <v/>
      </c>
    </row>
    <row r="538">
      <c r="A538" s="60" t="str">
        <f>IF($O538="","",INDEX(jr_num,$O538)&amp;"")</f>
        <v/>
      </c>
      <c r="B538" s="60" t="str">
        <f>IF($O538="","",IF(INDEX(jr_type,$O538)="BL","Livraison",IF(INDEX(jr_type,$O538)="BR","Réception","Sortie")))</f>
        <v/>
      </c>
      <c r="C538" s="65" t="str">
        <f>IF($O538="","",INDEX(jr_date,$O538))</f>
        <v/>
      </c>
      <c r="D538" s="60" t="str">
        <f>IF($O538="","",INDEX(jr_tiers,$O538)&amp;"")</f>
        <v/>
      </c>
      <c r="E538" s="57" t="str">
        <f>IF($O538="","",INDEX(jr_name,$O538)&amp;"")</f>
        <v/>
      </c>
      <c r="F538" s="57" t="str">
        <f>IF($O538="","",INDEX(jr_order,$O538)&amp;"")</f>
        <v/>
      </c>
      <c r="G538" s="57" t="str">
        <f>IF($O538="","",INDEX(jr_ext,$O538)&amp;"")</f>
        <v/>
      </c>
      <c r="H538" s="57" t="str">
        <f>IF($O538="","",INDEX(jr_carrier,$O538)&amp;"")</f>
        <v/>
      </c>
      <c r="I538" s="66" t="str">
        <f>IF(A538="","",COUNTIF(jr_num,A538))</f>
        <v/>
      </c>
      <c r="J538" s="66" t="str">
        <f>IF(A538="","",SUMIF(jr_num,A538,jr_colis))</f>
        <v/>
      </c>
      <c r="K538" s="63" t="str">
        <f>IF(A538="","",SUMIF(jr_num,A538,jr_kg))</f>
        <v/>
      </c>
      <c r="L538" s="64" t="str">
        <f>IF(A538="","",SUMIF(jr_num,A538,jr_val))</f>
        <v/>
      </c>
      <c r="M538" s="60" t="str">
        <f>IF(A538="","",IF(COUNTIFS(jr_num,A538,jr_check,"&lt;&gt;OK")&gt;0,"À vérifier",IF(LEFT(A538,2)="BL",IF(COUNTIFS(jr_num,A538,jr_rel,"&gt;0")&gt;0,"Reliquat en cours",IF(COUNTIFS(jr_num,A538,jr_gap,"&lt;0")&gt;0,"Reliquat livré","Complet")),IF(LEFT(A538,2)="BR",IF(COUNTIFS(jr_num,A538,jr_etat,"Refusé")&gt;0,"Refusé",IF(COUNTIFS(jr_num,A538,jr_etat,"Avec réserves")&gt;0,"Avec réserves",IF(COUNTIFS(jr_num,A538,jr_rel,"&gt;0")&gt;0,"Reliquat en cours",IF(COUNTIFS(jr_num,A538,jr_gap,"&lt;0")+COUNTIFS(jr_num,A538,jr_gap,"&gt;0")&gt;0,"Écart","Conforme")))),IF(COUNTIFS(jr_num,A538,jr_gap,"&lt;0")&gt;0,"Partiel","Sorti")))))</f>
        <v/>
      </c>
      <c r="O538" t="str">
        <f>IFERROR(MATCH(533,jr_grank,0),"")</f>
        <v/>
      </c>
      <c r="R538" s="67" t="str">
        <f>IFERROR(INDEX(jr_num,MATCH("BL533",jr_nkey,0))&amp;"","")</f>
        <v/>
      </c>
      <c r="S538" s="67" t="str">
        <f>IFERROR(INDEX(jr_num,MATCH("BR533",jr_nkey,0))&amp;"","")</f>
        <v/>
      </c>
      <c r="T538" s="67" t="str">
        <f>IFERROR(INDEX(jr_num,MATCH("BS533",jr_nkey,0))&amp;"","")</f>
        <v/>
      </c>
    </row>
    <row r="539">
      <c r="A539" s="60" t="str">
        <f>IF($O539="","",INDEX(jr_num,$O539)&amp;"")</f>
        <v/>
      </c>
      <c r="B539" s="60" t="str">
        <f>IF($O539="","",IF(INDEX(jr_type,$O539)="BL","Livraison",IF(INDEX(jr_type,$O539)="BR","Réception","Sortie")))</f>
        <v/>
      </c>
      <c r="C539" s="65" t="str">
        <f>IF($O539="","",INDEX(jr_date,$O539))</f>
        <v/>
      </c>
      <c r="D539" s="60" t="str">
        <f>IF($O539="","",INDEX(jr_tiers,$O539)&amp;"")</f>
        <v/>
      </c>
      <c r="E539" s="57" t="str">
        <f>IF($O539="","",INDEX(jr_name,$O539)&amp;"")</f>
        <v/>
      </c>
      <c r="F539" s="57" t="str">
        <f>IF($O539="","",INDEX(jr_order,$O539)&amp;"")</f>
        <v/>
      </c>
      <c r="G539" s="57" t="str">
        <f>IF($O539="","",INDEX(jr_ext,$O539)&amp;"")</f>
        <v/>
      </c>
      <c r="H539" s="57" t="str">
        <f>IF($O539="","",INDEX(jr_carrier,$O539)&amp;"")</f>
        <v/>
      </c>
      <c r="I539" s="66" t="str">
        <f>IF(A539="","",COUNTIF(jr_num,A539))</f>
        <v/>
      </c>
      <c r="J539" s="66" t="str">
        <f>IF(A539="","",SUMIF(jr_num,A539,jr_colis))</f>
        <v/>
      </c>
      <c r="K539" s="63" t="str">
        <f>IF(A539="","",SUMIF(jr_num,A539,jr_kg))</f>
        <v/>
      </c>
      <c r="L539" s="64" t="str">
        <f>IF(A539="","",SUMIF(jr_num,A539,jr_val))</f>
        <v/>
      </c>
      <c r="M539" s="60" t="str">
        <f>IF(A539="","",IF(COUNTIFS(jr_num,A539,jr_check,"&lt;&gt;OK")&gt;0,"À vérifier",IF(LEFT(A539,2)="BL",IF(COUNTIFS(jr_num,A539,jr_rel,"&gt;0")&gt;0,"Reliquat en cours",IF(COUNTIFS(jr_num,A539,jr_gap,"&lt;0")&gt;0,"Reliquat livré","Complet")),IF(LEFT(A539,2)="BR",IF(COUNTIFS(jr_num,A539,jr_etat,"Refusé")&gt;0,"Refusé",IF(COUNTIFS(jr_num,A539,jr_etat,"Avec réserves")&gt;0,"Avec réserves",IF(COUNTIFS(jr_num,A539,jr_rel,"&gt;0")&gt;0,"Reliquat en cours",IF(COUNTIFS(jr_num,A539,jr_gap,"&lt;0")+COUNTIFS(jr_num,A539,jr_gap,"&gt;0")&gt;0,"Écart","Conforme")))),IF(COUNTIFS(jr_num,A539,jr_gap,"&lt;0")&gt;0,"Partiel","Sorti")))))</f>
        <v/>
      </c>
      <c r="O539" t="str">
        <f>IFERROR(MATCH(534,jr_grank,0),"")</f>
        <v/>
      </c>
      <c r="R539" s="67" t="str">
        <f>IFERROR(INDEX(jr_num,MATCH("BL534",jr_nkey,0))&amp;"","")</f>
        <v/>
      </c>
      <c r="S539" s="67" t="str">
        <f>IFERROR(INDEX(jr_num,MATCH("BR534",jr_nkey,0))&amp;"","")</f>
        <v/>
      </c>
      <c r="T539" s="67" t="str">
        <f>IFERROR(INDEX(jr_num,MATCH("BS534",jr_nkey,0))&amp;"","")</f>
        <v/>
      </c>
    </row>
    <row r="540">
      <c r="A540" s="60" t="str">
        <f>IF($O540="","",INDEX(jr_num,$O540)&amp;"")</f>
        <v/>
      </c>
      <c r="B540" s="60" t="str">
        <f>IF($O540="","",IF(INDEX(jr_type,$O540)="BL","Livraison",IF(INDEX(jr_type,$O540)="BR","Réception","Sortie")))</f>
        <v/>
      </c>
      <c r="C540" s="65" t="str">
        <f>IF($O540="","",INDEX(jr_date,$O540))</f>
        <v/>
      </c>
      <c r="D540" s="60" t="str">
        <f>IF($O540="","",INDEX(jr_tiers,$O540)&amp;"")</f>
        <v/>
      </c>
      <c r="E540" s="57" t="str">
        <f>IF($O540="","",INDEX(jr_name,$O540)&amp;"")</f>
        <v/>
      </c>
      <c r="F540" s="57" t="str">
        <f>IF($O540="","",INDEX(jr_order,$O540)&amp;"")</f>
        <v/>
      </c>
      <c r="G540" s="57" t="str">
        <f>IF($O540="","",INDEX(jr_ext,$O540)&amp;"")</f>
        <v/>
      </c>
      <c r="H540" s="57" t="str">
        <f>IF($O540="","",INDEX(jr_carrier,$O540)&amp;"")</f>
        <v/>
      </c>
      <c r="I540" s="66" t="str">
        <f>IF(A540="","",COUNTIF(jr_num,A540))</f>
        <v/>
      </c>
      <c r="J540" s="66" t="str">
        <f>IF(A540="","",SUMIF(jr_num,A540,jr_colis))</f>
        <v/>
      </c>
      <c r="K540" s="63" t="str">
        <f>IF(A540="","",SUMIF(jr_num,A540,jr_kg))</f>
        <v/>
      </c>
      <c r="L540" s="64" t="str">
        <f>IF(A540="","",SUMIF(jr_num,A540,jr_val))</f>
        <v/>
      </c>
      <c r="M540" s="60" t="str">
        <f>IF(A540="","",IF(COUNTIFS(jr_num,A540,jr_check,"&lt;&gt;OK")&gt;0,"À vérifier",IF(LEFT(A540,2)="BL",IF(COUNTIFS(jr_num,A540,jr_rel,"&gt;0")&gt;0,"Reliquat en cours",IF(COUNTIFS(jr_num,A540,jr_gap,"&lt;0")&gt;0,"Reliquat livré","Complet")),IF(LEFT(A540,2)="BR",IF(COUNTIFS(jr_num,A540,jr_etat,"Refusé")&gt;0,"Refusé",IF(COUNTIFS(jr_num,A540,jr_etat,"Avec réserves")&gt;0,"Avec réserves",IF(COUNTIFS(jr_num,A540,jr_rel,"&gt;0")&gt;0,"Reliquat en cours",IF(COUNTIFS(jr_num,A540,jr_gap,"&lt;0")+COUNTIFS(jr_num,A540,jr_gap,"&gt;0")&gt;0,"Écart","Conforme")))),IF(COUNTIFS(jr_num,A540,jr_gap,"&lt;0")&gt;0,"Partiel","Sorti")))))</f>
        <v/>
      </c>
      <c r="O540" t="str">
        <f>IFERROR(MATCH(535,jr_grank,0),"")</f>
        <v/>
      </c>
      <c r="R540" s="67" t="str">
        <f>IFERROR(INDEX(jr_num,MATCH("BL535",jr_nkey,0))&amp;"","")</f>
        <v/>
      </c>
      <c r="S540" s="67" t="str">
        <f>IFERROR(INDEX(jr_num,MATCH("BR535",jr_nkey,0))&amp;"","")</f>
        <v/>
      </c>
      <c r="T540" s="67" t="str">
        <f>IFERROR(INDEX(jr_num,MATCH("BS535",jr_nkey,0))&amp;"","")</f>
        <v/>
      </c>
    </row>
    <row r="541">
      <c r="A541" s="60" t="str">
        <f>IF($O541="","",INDEX(jr_num,$O541)&amp;"")</f>
        <v/>
      </c>
      <c r="B541" s="60" t="str">
        <f>IF($O541="","",IF(INDEX(jr_type,$O541)="BL","Livraison",IF(INDEX(jr_type,$O541)="BR","Réception","Sortie")))</f>
        <v/>
      </c>
      <c r="C541" s="65" t="str">
        <f>IF($O541="","",INDEX(jr_date,$O541))</f>
        <v/>
      </c>
      <c r="D541" s="60" t="str">
        <f>IF($O541="","",INDEX(jr_tiers,$O541)&amp;"")</f>
        <v/>
      </c>
      <c r="E541" s="57" t="str">
        <f>IF($O541="","",INDEX(jr_name,$O541)&amp;"")</f>
        <v/>
      </c>
      <c r="F541" s="57" t="str">
        <f>IF($O541="","",INDEX(jr_order,$O541)&amp;"")</f>
        <v/>
      </c>
      <c r="G541" s="57" t="str">
        <f>IF($O541="","",INDEX(jr_ext,$O541)&amp;"")</f>
        <v/>
      </c>
      <c r="H541" s="57" t="str">
        <f>IF($O541="","",INDEX(jr_carrier,$O541)&amp;"")</f>
        <v/>
      </c>
      <c r="I541" s="66" t="str">
        <f>IF(A541="","",COUNTIF(jr_num,A541))</f>
        <v/>
      </c>
      <c r="J541" s="66" t="str">
        <f>IF(A541="","",SUMIF(jr_num,A541,jr_colis))</f>
        <v/>
      </c>
      <c r="K541" s="63" t="str">
        <f>IF(A541="","",SUMIF(jr_num,A541,jr_kg))</f>
        <v/>
      </c>
      <c r="L541" s="64" t="str">
        <f>IF(A541="","",SUMIF(jr_num,A541,jr_val))</f>
        <v/>
      </c>
      <c r="M541" s="60" t="str">
        <f>IF(A541="","",IF(COUNTIFS(jr_num,A541,jr_check,"&lt;&gt;OK")&gt;0,"À vérifier",IF(LEFT(A541,2)="BL",IF(COUNTIFS(jr_num,A541,jr_rel,"&gt;0")&gt;0,"Reliquat en cours",IF(COUNTIFS(jr_num,A541,jr_gap,"&lt;0")&gt;0,"Reliquat livré","Complet")),IF(LEFT(A541,2)="BR",IF(COUNTIFS(jr_num,A541,jr_etat,"Refusé")&gt;0,"Refusé",IF(COUNTIFS(jr_num,A541,jr_etat,"Avec réserves")&gt;0,"Avec réserves",IF(COUNTIFS(jr_num,A541,jr_rel,"&gt;0")&gt;0,"Reliquat en cours",IF(COUNTIFS(jr_num,A541,jr_gap,"&lt;0")+COUNTIFS(jr_num,A541,jr_gap,"&gt;0")&gt;0,"Écart","Conforme")))),IF(COUNTIFS(jr_num,A541,jr_gap,"&lt;0")&gt;0,"Partiel","Sorti")))))</f>
        <v/>
      </c>
      <c r="O541" t="str">
        <f>IFERROR(MATCH(536,jr_grank,0),"")</f>
        <v/>
      </c>
      <c r="R541" s="67" t="str">
        <f>IFERROR(INDEX(jr_num,MATCH("BL536",jr_nkey,0))&amp;"","")</f>
        <v/>
      </c>
      <c r="S541" s="67" t="str">
        <f>IFERROR(INDEX(jr_num,MATCH("BR536",jr_nkey,0))&amp;"","")</f>
        <v/>
      </c>
      <c r="T541" s="67" t="str">
        <f>IFERROR(INDEX(jr_num,MATCH("BS536",jr_nkey,0))&amp;"","")</f>
        <v/>
      </c>
    </row>
    <row r="542">
      <c r="A542" s="60" t="str">
        <f>IF($O542="","",INDEX(jr_num,$O542)&amp;"")</f>
        <v/>
      </c>
      <c r="B542" s="60" t="str">
        <f>IF($O542="","",IF(INDEX(jr_type,$O542)="BL","Livraison",IF(INDEX(jr_type,$O542)="BR","Réception","Sortie")))</f>
        <v/>
      </c>
      <c r="C542" s="65" t="str">
        <f>IF($O542="","",INDEX(jr_date,$O542))</f>
        <v/>
      </c>
      <c r="D542" s="60" t="str">
        <f>IF($O542="","",INDEX(jr_tiers,$O542)&amp;"")</f>
        <v/>
      </c>
      <c r="E542" s="57" t="str">
        <f>IF($O542="","",INDEX(jr_name,$O542)&amp;"")</f>
        <v/>
      </c>
      <c r="F542" s="57" t="str">
        <f>IF($O542="","",INDEX(jr_order,$O542)&amp;"")</f>
        <v/>
      </c>
      <c r="G542" s="57" t="str">
        <f>IF($O542="","",INDEX(jr_ext,$O542)&amp;"")</f>
        <v/>
      </c>
      <c r="H542" s="57" t="str">
        <f>IF($O542="","",INDEX(jr_carrier,$O542)&amp;"")</f>
        <v/>
      </c>
      <c r="I542" s="66" t="str">
        <f>IF(A542="","",COUNTIF(jr_num,A542))</f>
        <v/>
      </c>
      <c r="J542" s="66" t="str">
        <f>IF(A542="","",SUMIF(jr_num,A542,jr_colis))</f>
        <v/>
      </c>
      <c r="K542" s="63" t="str">
        <f>IF(A542="","",SUMIF(jr_num,A542,jr_kg))</f>
        <v/>
      </c>
      <c r="L542" s="64" t="str">
        <f>IF(A542="","",SUMIF(jr_num,A542,jr_val))</f>
        <v/>
      </c>
      <c r="M542" s="60" t="str">
        <f>IF(A542="","",IF(COUNTIFS(jr_num,A542,jr_check,"&lt;&gt;OK")&gt;0,"À vérifier",IF(LEFT(A542,2)="BL",IF(COUNTIFS(jr_num,A542,jr_rel,"&gt;0")&gt;0,"Reliquat en cours",IF(COUNTIFS(jr_num,A542,jr_gap,"&lt;0")&gt;0,"Reliquat livré","Complet")),IF(LEFT(A542,2)="BR",IF(COUNTIFS(jr_num,A542,jr_etat,"Refusé")&gt;0,"Refusé",IF(COUNTIFS(jr_num,A542,jr_etat,"Avec réserves")&gt;0,"Avec réserves",IF(COUNTIFS(jr_num,A542,jr_rel,"&gt;0")&gt;0,"Reliquat en cours",IF(COUNTIFS(jr_num,A542,jr_gap,"&lt;0")+COUNTIFS(jr_num,A542,jr_gap,"&gt;0")&gt;0,"Écart","Conforme")))),IF(COUNTIFS(jr_num,A542,jr_gap,"&lt;0")&gt;0,"Partiel","Sorti")))))</f>
        <v/>
      </c>
      <c r="O542" t="str">
        <f>IFERROR(MATCH(537,jr_grank,0),"")</f>
        <v/>
      </c>
      <c r="R542" s="67" t="str">
        <f>IFERROR(INDEX(jr_num,MATCH("BL537",jr_nkey,0))&amp;"","")</f>
        <v/>
      </c>
      <c r="S542" s="67" t="str">
        <f>IFERROR(INDEX(jr_num,MATCH("BR537",jr_nkey,0))&amp;"","")</f>
        <v/>
      </c>
      <c r="T542" s="67" t="str">
        <f>IFERROR(INDEX(jr_num,MATCH("BS537",jr_nkey,0))&amp;"","")</f>
        <v/>
      </c>
    </row>
    <row r="543">
      <c r="A543" s="60" t="str">
        <f>IF($O543="","",INDEX(jr_num,$O543)&amp;"")</f>
        <v/>
      </c>
      <c r="B543" s="60" t="str">
        <f>IF($O543="","",IF(INDEX(jr_type,$O543)="BL","Livraison",IF(INDEX(jr_type,$O543)="BR","Réception","Sortie")))</f>
        <v/>
      </c>
      <c r="C543" s="65" t="str">
        <f>IF($O543="","",INDEX(jr_date,$O543))</f>
        <v/>
      </c>
      <c r="D543" s="60" t="str">
        <f>IF($O543="","",INDEX(jr_tiers,$O543)&amp;"")</f>
        <v/>
      </c>
      <c r="E543" s="57" t="str">
        <f>IF($O543="","",INDEX(jr_name,$O543)&amp;"")</f>
        <v/>
      </c>
      <c r="F543" s="57" t="str">
        <f>IF($O543="","",INDEX(jr_order,$O543)&amp;"")</f>
        <v/>
      </c>
      <c r="G543" s="57" t="str">
        <f>IF($O543="","",INDEX(jr_ext,$O543)&amp;"")</f>
        <v/>
      </c>
      <c r="H543" s="57" t="str">
        <f>IF($O543="","",INDEX(jr_carrier,$O543)&amp;"")</f>
        <v/>
      </c>
      <c r="I543" s="66" t="str">
        <f>IF(A543="","",COUNTIF(jr_num,A543))</f>
        <v/>
      </c>
      <c r="J543" s="66" t="str">
        <f>IF(A543="","",SUMIF(jr_num,A543,jr_colis))</f>
        <v/>
      </c>
      <c r="K543" s="63" t="str">
        <f>IF(A543="","",SUMIF(jr_num,A543,jr_kg))</f>
        <v/>
      </c>
      <c r="L543" s="64" t="str">
        <f>IF(A543="","",SUMIF(jr_num,A543,jr_val))</f>
        <v/>
      </c>
      <c r="M543" s="60" t="str">
        <f>IF(A543="","",IF(COUNTIFS(jr_num,A543,jr_check,"&lt;&gt;OK")&gt;0,"À vérifier",IF(LEFT(A543,2)="BL",IF(COUNTIFS(jr_num,A543,jr_rel,"&gt;0")&gt;0,"Reliquat en cours",IF(COUNTIFS(jr_num,A543,jr_gap,"&lt;0")&gt;0,"Reliquat livré","Complet")),IF(LEFT(A543,2)="BR",IF(COUNTIFS(jr_num,A543,jr_etat,"Refusé")&gt;0,"Refusé",IF(COUNTIFS(jr_num,A543,jr_etat,"Avec réserves")&gt;0,"Avec réserves",IF(COUNTIFS(jr_num,A543,jr_rel,"&gt;0")&gt;0,"Reliquat en cours",IF(COUNTIFS(jr_num,A543,jr_gap,"&lt;0")+COUNTIFS(jr_num,A543,jr_gap,"&gt;0")&gt;0,"Écart","Conforme")))),IF(COUNTIFS(jr_num,A543,jr_gap,"&lt;0")&gt;0,"Partiel","Sorti")))))</f>
        <v/>
      </c>
      <c r="O543" t="str">
        <f>IFERROR(MATCH(538,jr_grank,0),"")</f>
        <v/>
      </c>
      <c r="R543" s="67" t="str">
        <f>IFERROR(INDEX(jr_num,MATCH("BL538",jr_nkey,0))&amp;"","")</f>
        <v/>
      </c>
      <c r="S543" s="67" t="str">
        <f>IFERROR(INDEX(jr_num,MATCH("BR538",jr_nkey,0))&amp;"","")</f>
        <v/>
      </c>
      <c r="T543" s="67" t="str">
        <f>IFERROR(INDEX(jr_num,MATCH("BS538",jr_nkey,0))&amp;"","")</f>
        <v/>
      </c>
    </row>
    <row r="544">
      <c r="A544" s="60" t="str">
        <f>IF($O544="","",INDEX(jr_num,$O544)&amp;"")</f>
        <v/>
      </c>
      <c r="B544" s="60" t="str">
        <f>IF($O544="","",IF(INDEX(jr_type,$O544)="BL","Livraison",IF(INDEX(jr_type,$O544)="BR","Réception","Sortie")))</f>
        <v/>
      </c>
      <c r="C544" s="65" t="str">
        <f>IF($O544="","",INDEX(jr_date,$O544))</f>
        <v/>
      </c>
      <c r="D544" s="60" t="str">
        <f>IF($O544="","",INDEX(jr_tiers,$O544)&amp;"")</f>
        <v/>
      </c>
      <c r="E544" s="57" t="str">
        <f>IF($O544="","",INDEX(jr_name,$O544)&amp;"")</f>
        <v/>
      </c>
      <c r="F544" s="57" t="str">
        <f>IF($O544="","",INDEX(jr_order,$O544)&amp;"")</f>
        <v/>
      </c>
      <c r="G544" s="57" t="str">
        <f>IF($O544="","",INDEX(jr_ext,$O544)&amp;"")</f>
        <v/>
      </c>
      <c r="H544" s="57" t="str">
        <f>IF($O544="","",INDEX(jr_carrier,$O544)&amp;"")</f>
        <v/>
      </c>
      <c r="I544" s="66" t="str">
        <f>IF(A544="","",COUNTIF(jr_num,A544))</f>
        <v/>
      </c>
      <c r="J544" s="66" t="str">
        <f>IF(A544="","",SUMIF(jr_num,A544,jr_colis))</f>
        <v/>
      </c>
      <c r="K544" s="63" t="str">
        <f>IF(A544="","",SUMIF(jr_num,A544,jr_kg))</f>
        <v/>
      </c>
      <c r="L544" s="64" t="str">
        <f>IF(A544="","",SUMIF(jr_num,A544,jr_val))</f>
        <v/>
      </c>
      <c r="M544" s="60" t="str">
        <f>IF(A544="","",IF(COUNTIFS(jr_num,A544,jr_check,"&lt;&gt;OK")&gt;0,"À vérifier",IF(LEFT(A544,2)="BL",IF(COUNTIFS(jr_num,A544,jr_rel,"&gt;0")&gt;0,"Reliquat en cours",IF(COUNTIFS(jr_num,A544,jr_gap,"&lt;0")&gt;0,"Reliquat livré","Complet")),IF(LEFT(A544,2)="BR",IF(COUNTIFS(jr_num,A544,jr_etat,"Refusé")&gt;0,"Refusé",IF(COUNTIFS(jr_num,A544,jr_etat,"Avec réserves")&gt;0,"Avec réserves",IF(COUNTIFS(jr_num,A544,jr_rel,"&gt;0")&gt;0,"Reliquat en cours",IF(COUNTIFS(jr_num,A544,jr_gap,"&lt;0")+COUNTIFS(jr_num,A544,jr_gap,"&gt;0")&gt;0,"Écart","Conforme")))),IF(COUNTIFS(jr_num,A544,jr_gap,"&lt;0")&gt;0,"Partiel","Sorti")))))</f>
        <v/>
      </c>
      <c r="O544" t="str">
        <f>IFERROR(MATCH(539,jr_grank,0),"")</f>
        <v/>
      </c>
      <c r="R544" s="67" t="str">
        <f>IFERROR(INDEX(jr_num,MATCH("BL539",jr_nkey,0))&amp;"","")</f>
        <v/>
      </c>
      <c r="S544" s="67" t="str">
        <f>IFERROR(INDEX(jr_num,MATCH("BR539",jr_nkey,0))&amp;"","")</f>
        <v/>
      </c>
      <c r="T544" s="67" t="str">
        <f>IFERROR(INDEX(jr_num,MATCH("BS539",jr_nkey,0))&amp;"","")</f>
        <v/>
      </c>
    </row>
    <row r="545">
      <c r="A545" s="60" t="str">
        <f>IF($O545="","",INDEX(jr_num,$O545)&amp;"")</f>
        <v/>
      </c>
      <c r="B545" s="60" t="str">
        <f>IF($O545="","",IF(INDEX(jr_type,$O545)="BL","Livraison",IF(INDEX(jr_type,$O545)="BR","Réception","Sortie")))</f>
        <v/>
      </c>
      <c r="C545" s="65" t="str">
        <f>IF($O545="","",INDEX(jr_date,$O545))</f>
        <v/>
      </c>
      <c r="D545" s="60" t="str">
        <f>IF($O545="","",INDEX(jr_tiers,$O545)&amp;"")</f>
        <v/>
      </c>
      <c r="E545" s="57" t="str">
        <f>IF($O545="","",INDEX(jr_name,$O545)&amp;"")</f>
        <v/>
      </c>
      <c r="F545" s="57" t="str">
        <f>IF($O545="","",INDEX(jr_order,$O545)&amp;"")</f>
        <v/>
      </c>
      <c r="G545" s="57" t="str">
        <f>IF($O545="","",INDEX(jr_ext,$O545)&amp;"")</f>
        <v/>
      </c>
      <c r="H545" s="57" t="str">
        <f>IF($O545="","",INDEX(jr_carrier,$O545)&amp;"")</f>
        <v/>
      </c>
      <c r="I545" s="66" t="str">
        <f>IF(A545="","",COUNTIF(jr_num,A545))</f>
        <v/>
      </c>
      <c r="J545" s="66" t="str">
        <f>IF(A545="","",SUMIF(jr_num,A545,jr_colis))</f>
        <v/>
      </c>
      <c r="K545" s="63" t="str">
        <f>IF(A545="","",SUMIF(jr_num,A545,jr_kg))</f>
        <v/>
      </c>
      <c r="L545" s="64" t="str">
        <f>IF(A545="","",SUMIF(jr_num,A545,jr_val))</f>
        <v/>
      </c>
      <c r="M545" s="60" t="str">
        <f>IF(A545="","",IF(COUNTIFS(jr_num,A545,jr_check,"&lt;&gt;OK")&gt;0,"À vérifier",IF(LEFT(A545,2)="BL",IF(COUNTIFS(jr_num,A545,jr_rel,"&gt;0")&gt;0,"Reliquat en cours",IF(COUNTIFS(jr_num,A545,jr_gap,"&lt;0")&gt;0,"Reliquat livré","Complet")),IF(LEFT(A545,2)="BR",IF(COUNTIFS(jr_num,A545,jr_etat,"Refusé")&gt;0,"Refusé",IF(COUNTIFS(jr_num,A545,jr_etat,"Avec réserves")&gt;0,"Avec réserves",IF(COUNTIFS(jr_num,A545,jr_rel,"&gt;0")&gt;0,"Reliquat en cours",IF(COUNTIFS(jr_num,A545,jr_gap,"&lt;0")+COUNTIFS(jr_num,A545,jr_gap,"&gt;0")&gt;0,"Écart","Conforme")))),IF(COUNTIFS(jr_num,A545,jr_gap,"&lt;0")&gt;0,"Partiel","Sorti")))))</f>
        <v/>
      </c>
      <c r="O545" t="str">
        <f>IFERROR(MATCH(540,jr_grank,0),"")</f>
        <v/>
      </c>
      <c r="R545" s="67" t="str">
        <f>IFERROR(INDEX(jr_num,MATCH("BL540",jr_nkey,0))&amp;"","")</f>
        <v/>
      </c>
      <c r="S545" s="67" t="str">
        <f>IFERROR(INDEX(jr_num,MATCH("BR540",jr_nkey,0))&amp;"","")</f>
        <v/>
      </c>
      <c r="T545" s="67" t="str">
        <f>IFERROR(INDEX(jr_num,MATCH("BS540",jr_nkey,0))&amp;"","")</f>
        <v/>
      </c>
    </row>
    <row r="546">
      <c r="A546" s="60" t="str">
        <f>IF($O546="","",INDEX(jr_num,$O546)&amp;"")</f>
        <v/>
      </c>
      <c r="B546" s="60" t="str">
        <f>IF($O546="","",IF(INDEX(jr_type,$O546)="BL","Livraison",IF(INDEX(jr_type,$O546)="BR","Réception","Sortie")))</f>
        <v/>
      </c>
      <c r="C546" s="65" t="str">
        <f>IF($O546="","",INDEX(jr_date,$O546))</f>
        <v/>
      </c>
      <c r="D546" s="60" t="str">
        <f>IF($O546="","",INDEX(jr_tiers,$O546)&amp;"")</f>
        <v/>
      </c>
      <c r="E546" s="57" t="str">
        <f>IF($O546="","",INDEX(jr_name,$O546)&amp;"")</f>
        <v/>
      </c>
      <c r="F546" s="57" t="str">
        <f>IF($O546="","",INDEX(jr_order,$O546)&amp;"")</f>
        <v/>
      </c>
      <c r="G546" s="57" t="str">
        <f>IF($O546="","",INDEX(jr_ext,$O546)&amp;"")</f>
        <v/>
      </c>
      <c r="H546" s="57" t="str">
        <f>IF($O546="","",INDEX(jr_carrier,$O546)&amp;"")</f>
        <v/>
      </c>
      <c r="I546" s="66" t="str">
        <f>IF(A546="","",COUNTIF(jr_num,A546))</f>
        <v/>
      </c>
      <c r="J546" s="66" t="str">
        <f>IF(A546="","",SUMIF(jr_num,A546,jr_colis))</f>
        <v/>
      </c>
      <c r="K546" s="63" t="str">
        <f>IF(A546="","",SUMIF(jr_num,A546,jr_kg))</f>
        <v/>
      </c>
      <c r="L546" s="64" t="str">
        <f>IF(A546="","",SUMIF(jr_num,A546,jr_val))</f>
        <v/>
      </c>
      <c r="M546" s="60" t="str">
        <f>IF(A546="","",IF(COUNTIFS(jr_num,A546,jr_check,"&lt;&gt;OK")&gt;0,"À vérifier",IF(LEFT(A546,2)="BL",IF(COUNTIFS(jr_num,A546,jr_rel,"&gt;0")&gt;0,"Reliquat en cours",IF(COUNTIFS(jr_num,A546,jr_gap,"&lt;0")&gt;0,"Reliquat livré","Complet")),IF(LEFT(A546,2)="BR",IF(COUNTIFS(jr_num,A546,jr_etat,"Refusé")&gt;0,"Refusé",IF(COUNTIFS(jr_num,A546,jr_etat,"Avec réserves")&gt;0,"Avec réserves",IF(COUNTIFS(jr_num,A546,jr_rel,"&gt;0")&gt;0,"Reliquat en cours",IF(COUNTIFS(jr_num,A546,jr_gap,"&lt;0")+COUNTIFS(jr_num,A546,jr_gap,"&gt;0")&gt;0,"Écart","Conforme")))),IF(COUNTIFS(jr_num,A546,jr_gap,"&lt;0")&gt;0,"Partiel","Sorti")))))</f>
        <v/>
      </c>
      <c r="O546" t="str">
        <f>IFERROR(MATCH(541,jr_grank,0),"")</f>
        <v/>
      </c>
      <c r="R546" s="67" t="str">
        <f>IFERROR(INDEX(jr_num,MATCH("BL541",jr_nkey,0))&amp;"","")</f>
        <v/>
      </c>
      <c r="S546" s="67" t="str">
        <f>IFERROR(INDEX(jr_num,MATCH("BR541",jr_nkey,0))&amp;"","")</f>
        <v/>
      </c>
      <c r="T546" s="67" t="str">
        <f>IFERROR(INDEX(jr_num,MATCH("BS541",jr_nkey,0))&amp;"","")</f>
        <v/>
      </c>
    </row>
    <row r="547">
      <c r="A547" s="60" t="str">
        <f>IF($O547="","",INDEX(jr_num,$O547)&amp;"")</f>
        <v/>
      </c>
      <c r="B547" s="60" t="str">
        <f>IF($O547="","",IF(INDEX(jr_type,$O547)="BL","Livraison",IF(INDEX(jr_type,$O547)="BR","Réception","Sortie")))</f>
        <v/>
      </c>
      <c r="C547" s="65" t="str">
        <f>IF($O547="","",INDEX(jr_date,$O547))</f>
        <v/>
      </c>
      <c r="D547" s="60" t="str">
        <f>IF($O547="","",INDEX(jr_tiers,$O547)&amp;"")</f>
        <v/>
      </c>
      <c r="E547" s="57" t="str">
        <f>IF($O547="","",INDEX(jr_name,$O547)&amp;"")</f>
        <v/>
      </c>
      <c r="F547" s="57" t="str">
        <f>IF($O547="","",INDEX(jr_order,$O547)&amp;"")</f>
        <v/>
      </c>
      <c r="G547" s="57" t="str">
        <f>IF($O547="","",INDEX(jr_ext,$O547)&amp;"")</f>
        <v/>
      </c>
      <c r="H547" s="57" t="str">
        <f>IF($O547="","",INDEX(jr_carrier,$O547)&amp;"")</f>
        <v/>
      </c>
      <c r="I547" s="66" t="str">
        <f>IF(A547="","",COUNTIF(jr_num,A547))</f>
        <v/>
      </c>
      <c r="J547" s="66" t="str">
        <f>IF(A547="","",SUMIF(jr_num,A547,jr_colis))</f>
        <v/>
      </c>
      <c r="K547" s="63" t="str">
        <f>IF(A547="","",SUMIF(jr_num,A547,jr_kg))</f>
        <v/>
      </c>
      <c r="L547" s="64" t="str">
        <f>IF(A547="","",SUMIF(jr_num,A547,jr_val))</f>
        <v/>
      </c>
      <c r="M547" s="60" t="str">
        <f>IF(A547="","",IF(COUNTIFS(jr_num,A547,jr_check,"&lt;&gt;OK")&gt;0,"À vérifier",IF(LEFT(A547,2)="BL",IF(COUNTIFS(jr_num,A547,jr_rel,"&gt;0")&gt;0,"Reliquat en cours",IF(COUNTIFS(jr_num,A547,jr_gap,"&lt;0")&gt;0,"Reliquat livré","Complet")),IF(LEFT(A547,2)="BR",IF(COUNTIFS(jr_num,A547,jr_etat,"Refusé")&gt;0,"Refusé",IF(COUNTIFS(jr_num,A547,jr_etat,"Avec réserves")&gt;0,"Avec réserves",IF(COUNTIFS(jr_num,A547,jr_rel,"&gt;0")&gt;0,"Reliquat en cours",IF(COUNTIFS(jr_num,A547,jr_gap,"&lt;0")+COUNTIFS(jr_num,A547,jr_gap,"&gt;0")&gt;0,"Écart","Conforme")))),IF(COUNTIFS(jr_num,A547,jr_gap,"&lt;0")&gt;0,"Partiel","Sorti")))))</f>
        <v/>
      </c>
      <c r="O547" t="str">
        <f>IFERROR(MATCH(542,jr_grank,0),"")</f>
        <v/>
      </c>
      <c r="R547" s="67" t="str">
        <f>IFERROR(INDEX(jr_num,MATCH("BL542",jr_nkey,0))&amp;"","")</f>
        <v/>
      </c>
      <c r="S547" s="67" t="str">
        <f>IFERROR(INDEX(jr_num,MATCH("BR542",jr_nkey,0))&amp;"","")</f>
        <v/>
      </c>
      <c r="T547" s="67" t="str">
        <f>IFERROR(INDEX(jr_num,MATCH("BS542",jr_nkey,0))&amp;"","")</f>
        <v/>
      </c>
    </row>
    <row r="548">
      <c r="A548" s="60" t="str">
        <f>IF($O548="","",INDEX(jr_num,$O548)&amp;"")</f>
        <v/>
      </c>
      <c r="B548" s="60" t="str">
        <f>IF($O548="","",IF(INDEX(jr_type,$O548)="BL","Livraison",IF(INDEX(jr_type,$O548)="BR","Réception","Sortie")))</f>
        <v/>
      </c>
      <c r="C548" s="65" t="str">
        <f>IF($O548="","",INDEX(jr_date,$O548))</f>
        <v/>
      </c>
      <c r="D548" s="60" t="str">
        <f>IF($O548="","",INDEX(jr_tiers,$O548)&amp;"")</f>
        <v/>
      </c>
      <c r="E548" s="57" t="str">
        <f>IF($O548="","",INDEX(jr_name,$O548)&amp;"")</f>
        <v/>
      </c>
      <c r="F548" s="57" t="str">
        <f>IF($O548="","",INDEX(jr_order,$O548)&amp;"")</f>
        <v/>
      </c>
      <c r="G548" s="57" t="str">
        <f>IF($O548="","",INDEX(jr_ext,$O548)&amp;"")</f>
        <v/>
      </c>
      <c r="H548" s="57" t="str">
        <f>IF($O548="","",INDEX(jr_carrier,$O548)&amp;"")</f>
        <v/>
      </c>
      <c r="I548" s="66" t="str">
        <f>IF(A548="","",COUNTIF(jr_num,A548))</f>
        <v/>
      </c>
      <c r="J548" s="66" t="str">
        <f>IF(A548="","",SUMIF(jr_num,A548,jr_colis))</f>
        <v/>
      </c>
      <c r="K548" s="63" t="str">
        <f>IF(A548="","",SUMIF(jr_num,A548,jr_kg))</f>
        <v/>
      </c>
      <c r="L548" s="64" t="str">
        <f>IF(A548="","",SUMIF(jr_num,A548,jr_val))</f>
        <v/>
      </c>
      <c r="M548" s="60" t="str">
        <f>IF(A548="","",IF(COUNTIFS(jr_num,A548,jr_check,"&lt;&gt;OK")&gt;0,"À vérifier",IF(LEFT(A548,2)="BL",IF(COUNTIFS(jr_num,A548,jr_rel,"&gt;0")&gt;0,"Reliquat en cours",IF(COUNTIFS(jr_num,A548,jr_gap,"&lt;0")&gt;0,"Reliquat livré","Complet")),IF(LEFT(A548,2)="BR",IF(COUNTIFS(jr_num,A548,jr_etat,"Refusé")&gt;0,"Refusé",IF(COUNTIFS(jr_num,A548,jr_etat,"Avec réserves")&gt;0,"Avec réserves",IF(COUNTIFS(jr_num,A548,jr_rel,"&gt;0")&gt;0,"Reliquat en cours",IF(COUNTIFS(jr_num,A548,jr_gap,"&lt;0")+COUNTIFS(jr_num,A548,jr_gap,"&gt;0")&gt;0,"Écart","Conforme")))),IF(COUNTIFS(jr_num,A548,jr_gap,"&lt;0")&gt;0,"Partiel","Sorti")))))</f>
        <v/>
      </c>
      <c r="O548" t="str">
        <f>IFERROR(MATCH(543,jr_grank,0),"")</f>
        <v/>
      </c>
      <c r="R548" s="67" t="str">
        <f>IFERROR(INDEX(jr_num,MATCH("BL543",jr_nkey,0))&amp;"","")</f>
        <v/>
      </c>
      <c r="S548" s="67" t="str">
        <f>IFERROR(INDEX(jr_num,MATCH("BR543",jr_nkey,0))&amp;"","")</f>
        <v/>
      </c>
      <c r="T548" s="67" t="str">
        <f>IFERROR(INDEX(jr_num,MATCH("BS543",jr_nkey,0))&amp;"","")</f>
        <v/>
      </c>
    </row>
    <row r="549">
      <c r="A549" s="60" t="str">
        <f>IF($O549="","",INDEX(jr_num,$O549)&amp;"")</f>
        <v/>
      </c>
      <c r="B549" s="60" t="str">
        <f>IF($O549="","",IF(INDEX(jr_type,$O549)="BL","Livraison",IF(INDEX(jr_type,$O549)="BR","Réception","Sortie")))</f>
        <v/>
      </c>
      <c r="C549" s="65" t="str">
        <f>IF($O549="","",INDEX(jr_date,$O549))</f>
        <v/>
      </c>
      <c r="D549" s="60" t="str">
        <f>IF($O549="","",INDEX(jr_tiers,$O549)&amp;"")</f>
        <v/>
      </c>
      <c r="E549" s="57" t="str">
        <f>IF($O549="","",INDEX(jr_name,$O549)&amp;"")</f>
        <v/>
      </c>
      <c r="F549" s="57" t="str">
        <f>IF($O549="","",INDEX(jr_order,$O549)&amp;"")</f>
        <v/>
      </c>
      <c r="G549" s="57" t="str">
        <f>IF($O549="","",INDEX(jr_ext,$O549)&amp;"")</f>
        <v/>
      </c>
      <c r="H549" s="57" t="str">
        <f>IF($O549="","",INDEX(jr_carrier,$O549)&amp;"")</f>
        <v/>
      </c>
      <c r="I549" s="66" t="str">
        <f>IF(A549="","",COUNTIF(jr_num,A549))</f>
        <v/>
      </c>
      <c r="J549" s="66" t="str">
        <f>IF(A549="","",SUMIF(jr_num,A549,jr_colis))</f>
        <v/>
      </c>
      <c r="K549" s="63" t="str">
        <f>IF(A549="","",SUMIF(jr_num,A549,jr_kg))</f>
        <v/>
      </c>
      <c r="L549" s="64" t="str">
        <f>IF(A549="","",SUMIF(jr_num,A549,jr_val))</f>
        <v/>
      </c>
      <c r="M549" s="60" t="str">
        <f>IF(A549="","",IF(COUNTIFS(jr_num,A549,jr_check,"&lt;&gt;OK")&gt;0,"À vérifier",IF(LEFT(A549,2)="BL",IF(COUNTIFS(jr_num,A549,jr_rel,"&gt;0")&gt;0,"Reliquat en cours",IF(COUNTIFS(jr_num,A549,jr_gap,"&lt;0")&gt;0,"Reliquat livré","Complet")),IF(LEFT(A549,2)="BR",IF(COUNTIFS(jr_num,A549,jr_etat,"Refusé")&gt;0,"Refusé",IF(COUNTIFS(jr_num,A549,jr_etat,"Avec réserves")&gt;0,"Avec réserves",IF(COUNTIFS(jr_num,A549,jr_rel,"&gt;0")&gt;0,"Reliquat en cours",IF(COUNTIFS(jr_num,A549,jr_gap,"&lt;0")+COUNTIFS(jr_num,A549,jr_gap,"&gt;0")&gt;0,"Écart","Conforme")))),IF(COUNTIFS(jr_num,A549,jr_gap,"&lt;0")&gt;0,"Partiel","Sorti")))))</f>
        <v/>
      </c>
      <c r="O549" t="str">
        <f>IFERROR(MATCH(544,jr_grank,0),"")</f>
        <v/>
      </c>
      <c r="R549" s="67" t="str">
        <f>IFERROR(INDEX(jr_num,MATCH("BL544",jr_nkey,0))&amp;"","")</f>
        <v/>
      </c>
      <c r="S549" s="67" t="str">
        <f>IFERROR(INDEX(jr_num,MATCH("BR544",jr_nkey,0))&amp;"","")</f>
        <v/>
      </c>
      <c r="T549" s="67" t="str">
        <f>IFERROR(INDEX(jr_num,MATCH("BS544",jr_nkey,0))&amp;"","")</f>
        <v/>
      </c>
    </row>
    <row r="550">
      <c r="A550" s="60" t="str">
        <f>IF($O550="","",INDEX(jr_num,$O550)&amp;"")</f>
        <v/>
      </c>
      <c r="B550" s="60" t="str">
        <f>IF($O550="","",IF(INDEX(jr_type,$O550)="BL","Livraison",IF(INDEX(jr_type,$O550)="BR","Réception","Sortie")))</f>
        <v/>
      </c>
      <c r="C550" s="65" t="str">
        <f>IF($O550="","",INDEX(jr_date,$O550))</f>
        <v/>
      </c>
      <c r="D550" s="60" t="str">
        <f>IF($O550="","",INDEX(jr_tiers,$O550)&amp;"")</f>
        <v/>
      </c>
      <c r="E550" s="57" t="str">
        <f>IF($O550="","",INDEX(jr_name,$O550)&amp;"")</f>
        <v/>
      </c>
      <c r="F550" s="57" t="str">
        <f>IF($O550="","",INDEX(jr_order,$O550)&amp;"")</f>
        <v/>
      </c>
      <c r="G550" s="57" t="str">
        <f>IF($O550="","",INDEX(jr_ext,$O550)&amp;"")</f>
        <v/>
      </c>
      <c r="H550" s="57" t="str">
        <f>IF($O550="","",INDEX(jr_carrier,$O550)&amp;"")</f>
        <v/>
      </c>
      <c r="I550" s="66" t="str">
        <f>IF(A550="","",COUNTIF(jr_num,A550))</f>
        <v/>
      </c>
      <c r="J550" s="66" t="str">
        <f>IF(A550="","",SUMIF(jr_num,A550,jr_colis))</f>
        <v/>
      </c>
      <c r="K550" s="63" t="str">
        <f>IF(A550="","",SUMIF(jr_num,A550,jr_kg))</f>
        <v/>
      </c>
      <c r="L550" s="64" t="str">
        <f>IF(A550="","",SUMIF(jr_num,A550,jr_val))</f>
        <v/>
      </c>
      <c r="M550" s="60" t="str">
        <f>IF(A550="","",IF(COUNTIFS(jr_num,A550,jr_check,"&lt;&gt;OK")&gt;0,"À vérifier",IF(LEFT(A550,2)="BL",IF(COUNTIFS(jr_num,A550,jr_rel,"&gt;0")&gt;0,"Reliquat en cours",IF(COUNTIFS(jr_num,A550,jr_gap,"&lt;0")&gt;0,"Reliquat livré","Complet")),IF(LEFT(A550,2)="BR",IF(COUNTIFS(jr_num,A550,jr_etat,"Refusé")&gt;0,"Refusé",IF(COUNTIFS(jr_num,A550,jr_etat,"Avec réserves")&gt;0,"Avec réserves",IF(COUNTIFS(jr_num,A550,jr_rel,"&gt;0")&gt;0,"Reliquat en cours",IF(COUNTIFS(jr_num,A550,jr_gap,"&lt;0")+COUNTIFS(jr_num,A550,jr_gap,"&gt;0")&gt;0,"Écart","Conforme")))),IF(COUNTIFS(jr_num,A550,jr_gap,"&lt;0")&gt;0,"Partiel","Sorti")))))</f>
        <v/>
      </c>
      <c r="O550" t="str">
        <f>IFERROR(MATCH(545,jr_grank,0),"")</f>
        <v/>
      </c>
      <c r="R550" s="67" t="str">
        <f>IFERROR(INDEX(jr_num,MATCH("BL545",jr_nkey,0))&amp;"","")</f>
        <v/>
      </c>
      <c r="S550" s="67" t="str">
        <f>IFERROR(INDEX(jr_num,MATCH("BR545",jr_nkey,0))&amp;"","")</f>
        <v/>
      </c>
      <c r="T550" s="67" t="str">
        <f>IFERROR(INDEX(jr_num,MATCH("BS545",jr_nkey,0))&amp;"","")</f>
        <v/>
      </c>
    </row>
    <row r="551">
      <c r="A551" s="60" t="str">
        <f>IF($O551="","",INDEX(jr_num,$O551)&amp;"")</f>
        <v/>
      </c>
      <c r="B551" s="60" t="str">
        <f>IF($O551="","",IF(INDEX(jr_type,$O551)="BL","Livraison",IF(INDEX(jr_type,$O551)="BR","Réception","Sortie")))</f>
        <v/>
      </c>
      <c r="C551" s="65" t="str">
        <f>IF($O551="","",INDEX(jr_date,$O551))</f>
        <v/>
      </c>
      <c r="D551" s="60" t="str">
        <f>IF($O551="","",INDEX(jr_tiers,$O551)&amp;"")</f>
        <v/>
      </c>
      <c r="E551" s="57" t="str">
        <f>IF($O551="","",INDEX(jr_name,$O551)&amp;"")</f>
        <v/>
      </c>
      <c r="F551" s="57" t="str">
        <f>IF($O551="","",INDEX(jr_order,$O551)&amp;"")</f>
        <v/>
      </c>
      <c r="G551" s="57" t="str">
        <f>IF($O551="","",INDEX(jr_ext,$O551)&amp;"")</f>
        <v/>
      </c>
      <c r="H551" s="57" t="str">
        <f>IF($O551="","",INDEX(jr_carrier,$O551)&amp;"")</f>
        <v/>
      </c>
      <c r="I551" s="66" t="str">
        <f>IF(A551="","",COUNTIF(jr_num,A551))</f>
        <v/>
      </c>
      <c r="J551" s="66" t="str">
        <f>IF(A551="","",SUMIF(jr_num,A551,jr_colis))</f>
        <v/>
      </c>
      <c r="K551" s="63" t="str">
        <f>IF(A551="","",SUMIF(jr_num,A551,jr_kg))</f>
        <v/>
      </c>
      <c r="L551" s="64" t="str">
        <f>IF(A551="","",SUMIF(jr_num,A551,jr_val))</f>
        <v/>
      </c>
      <c r="M551" s="60" t="str">
        <f>IF(A551="","",IF(COUNTIFS(jr_num,A551,jr_check,"&lt;&gt;OK")&gt;0,"À vérifier",IF(LEFT(A551,2)="BL",IF(COUNTIFS(jr_num,A551,jr_rel,"&gt;0")&gt;0,"Reliquat en cours",IF(COUNTIFS(jr_num,A551,jr_gap,"&lt;0")&gt;0,"Reliquat livré","Complet")),IF(LEFT(A551,2)="BR",IF(COUNTIFS(jr_num,A551,jr_etat,"Refusé")&gt;0,"Refusé",IF(COUNTIFS(jr_num,A551,jr_etat,"Avec réserves")&gt;0,"Avec réserves",IF(COUNTIFS(jr_num,A551,jr_rel,"&gt;0")&gt;0,"Reliquat en cours",IF(COUNTIFS(jr_num,A551,jr_gap,"&lt;0")+COUNTIFS(jr_num,A551,jr_gap,"&gt;0")&gt;0,"Écart","Conforme")))),IF(COUNTIFS(jr_num,A551,jr_gap,"&lt;0")&gt;0,"Partiel","Sorti")))))</f>
        <v/>
      </c>
      <c r="O551" t="str">
        <f>IFERROR(MATCH(546,jr_grank,0),"")</f>
        <v/>
      </c>
      <c r="R551" s="67" t="str">
        <f>IFERROR(INDEX(jr_num,MATCH("BL546",jr_nkey,0))&amp;"","")</f>
        <v/>
      </c>
      <c r="S551" s="67" t="str">
        <f>IFERROR(INDEX(jr_num,MATCH("BR546",jr_nkey,0))&amp;"","")</f>
        <v/>
      </c>
      <c r="T551" s="67" t="str">
        <f>IFERROR(INDEX(jr_num,MATCH("BS546",jr_nkey,0))&amp;"","")</f>
        <v/>
      </c>
    </row>
    <row r="552">
      <c r="A552" s="60" t="str">
        <f>IF($O552="","",INDEX(jr_num,$O552)&amp;"")</f>
        <v/>
      </c>
      <c r="B552" s="60" t="str">
        <f>IF($O552="","",IF(INDEX(jr_type,$O552)="BL","Livraison",IF(INDEX(jr_type,$O552)="BR","Réception","Sortie")))</f>
        <v/>
      </c>
      <c r="C552" s="65" t="str">
        <f>IF($O552="","",INDEX(jr_date,$O552))</f>
        <v/>
      </c>
      <c r="D552" s="60" t="str">
        <f>IF($O552="","",INDEX(jr_tiers,$O552)&amp;"")</f>
        <v/>
      </c>
      <c r="E552" s="57" t="str">
        <f>IF($O552="","",INDEX(jr_name,$O552)&amp;"")</f>
        <v/>
      </c>
      <c r="F552" s="57" t="str">
        <f>IF($O552="","",INDEX(jr_order,$O552)&amp;"")</f>
        <v/>
      </c>
      <c r="G552" s="57" t="str">
        <f>IF($O552="","",INDEX(jr_ext,$O552)&amp;"")</f>
        <v/>
      </c>
      <c r="H552" s="57" t="str">
        <f>IF($O552="","",INDEX(jr_carrier,$O552)&amp;"")</f>
        <v/>
      </c>
      <c r="I552" s="66" t="str">
        <f>IF(A552="","",COUNTIF(jr_num,A552))</f>
        <v/>
      </c>
      <c r="J552" s="66" t="str">
        <f>IF(A552="","",SUMIF(jr_num,A552,jr_colis))</f>
        <v/>
      </c>
      <c r="K552" s="63" t="str">
        <f>IF(A552="","",SUMIF(jr_num,A552,jr_kg))</f>
        <v/>
      </c>
      <c r="L552" s="64" t="str">
        <f>IF(A552="","",SUMIF(jr_num,A552,jr_val))</f>
        <v/>
      </c>
      <c r="M552" s="60" t="str">
        <f>IF(A552="","",IF(COUNTIFS(jr_num,A552,jr_check,"&lt;&gt;OK")&gt;0,"À vérifier",IF(LEFT(A552,2)="BL",IF(COUNTIFS(jr_num,A552,jr_rel,"&gt;0")&gt;0,"Reliquat en cours",IF(COUNTIFS(jr_num,A552,jr_gap,"&lt;0")&gt;0,"Reliquat livré","Complet")),IF(LEFT(A552,2)="BR",IF(COUNTIFS(jr_num,A552,jr_etat,"Refusé")&gt;0,"Refusé",IF(COUNTIFS(jr_num,A552,jr_etat,"Avec réserves")&gt;0,"Avec réserves",IF(COUNTIFS(jr_num,A552,jr_rel,"&gt;0")&gt;0,"Reliquat en cours",IF(COUNTIFS(jr_num,A552,jr_gap,"&lt;0")+COUNTIFS(jr_num,A552,jr_gap,"&gt;0")&gt;0,"Écart","Conforme")))),IF(COUNTIFS(jr_num,A552,jr_gap,"&lt;0")&gt;0,"Partiel","Sorti")))))</f>
        <v/>
      </c>
      <c r="O552" t="str">
        <f>IFERROR(MATCH(547,jr_grank,0),"")</f>
        <v/>
      </c>
      <c r="R552" s="67" t="str">
        <f>IFERROR(INDEX(jr_num,MATCH("BL547",jr_nkey,0))&amp;"","")</f>
        <v/>
      </c>
      <c r="S552" s="67" t="str">
        <f>IFERROR(INDEX(jr_num,MATCH("BR547",jr_nkey,0))&amp;"","")</f>
        <v/>
      </c>
      <c r="T552" s="67" t="str">
        <f>IFERROR(INDEX(jr_num,MATCH("BS547",jr_nkey,0))&amp;"","")</f>
        <v/>
      </c>
    </row>
    <row r="553">
      <c r="A553" s="60" t="str">
        <f>IF($O553="","",INDEX(jr_num,$O553)&amp;"")</f>
        <v/>
      </c>
      <c r="B553" s="60" t="str">
        <f>IF($O553="","",IF(INDEX(jr_type,$O553)="BL","Livraison",IF(INDEX(jr_type,$O553)="BR","Réception","Sortie")))</f>
        <v/>
      </c>
      <c r="C553" s="65" t="str">
        <f>IF($O553="","",INDEX(jr_date,$O553))</f>
        <v/>
      </c>
      <c r="D553" s="60" t="str">
        <f>IF($O553="","",INDEX(jr_tiers,$O553)&amp;"")</f>
        <v/>
      </c>
      <c r="E553" s="57" t="str">
        <f>IF($O553="","",INDEX(jr_name,$O553)&amp;"")</f>
        <v/>
      </c>
      <c r="F553" s="57" t="str">
        <f>IF($O553="","",INDEX(jr_order,$O553)&amp;"")</f>
        <v/>
      </c>
      <c r="G553" s="57" t="str">
        <f>IF($O553="","",INDEX(jr_ext,$O553)&amp;"")</f>
        <v/>
      </c>
      <c r="H553" s="57" t="str">
        <f>IF($O553="","",INDEX(jr_carrier,$O553)&amp;"")</f>
        <v/>
      </c>
      <c r="I553" s="66" t="str">
        <f>IF(A553="","",COUNTIF(jr_num,A553))</f>
        <v/>
      </c>
      <c r="J553" s="66" t="str">
        <f>IF(A553="","",SUMIF(jr_num,A553,jr_colis))</f>
        <v/>
      </c>
      <c r="K553" s="63" t="str">
        <f>IF(A553="","",SUMIF(jr_num,A553,jr_kg))</f>
        <v/>
      </c>
      <c r="L553" s="64" t="str">
        <f>IF(A553="","",SUMIF(jr_num,A553,jr_val))</f>
        <v/>
      </c>
      <c r="M553" s="60" t="str">
        <f>IF(A553="","",IF(COUNTIFS(jr_num,A553,jr_check,"&lt;&gt;OK")&gt;0,"À vérifier",IF(LEFT(A553,2)="BL",IF(COUNTIFS(jr_num,A553,jr_rel,"&gt;0")&gt;0,"Reliquat en cours",IF(COUNTIFS(jr_num,A553,jr_gap,"&lt;0")&gt;0,"Reliquat livré","Complet")),IF(LEFT(A553,2)="BR",IF(COUNTIFS(jr_num,A553,jr_etat,"Refusé")&gt;0,"Refusé",IF(COUNTIFS(jr_num,A553,jr_etat,"Avec réserves")&gt;0,"Avec réserves",IF(COUNTIFS(jr_num,A553,jr_rel,"&gt;0")&gt;0,"Reliquat en cours",IF(COUNTIFS(jr_num,A553,jr_gap,"&lt;0")+COUNTIFS(jr_num,A553,jr_gap,"&gt;0")&gt;0,"Écart","Conforme")))),IF(COUNTIFS(jr_num,A553,jr_gap,"&lt;0")&gt;0,"Partiel","Sorti")))))</f>
        <v/>
      </c>
      <c r="O553" t="str">
        <f>IFERROR(MATCH(548,jr_grank,0),"")</f>
        <v/>
      </c>
      <c r="R553" s="67" t="str">
        <f>IFERROR(INDEX(jr_num,MATCH("BL548",jr_nkey,0))&amp;"","")</f>
        <v/>
      </c>
      <c r="S553" s="67" t="str">
        <f>IFERROR(INDEX(jr_num,MATCH("BR548",jr_nkey,0))&amp;"","")</f>
        <v/>
      </c>
      <c r="T553" s="67" t="str">
        <f>IFERROR(INDEX(jr_num,MATCH("BS548",jr_nkey,0))&amp;"","")</f>
        <v/>
      </c>
    </row>
    <row r="554">
      <c r="A554" s="60" t="str">
        <f>IF($O554="","",INDEX(jr_num,$O554)&amp;"")</f>
        <v/>
      </c>
      <c r="B554" s="60" t="str">
        <f>IF($O554="","",IF(INDEX(jr_type,$O554)="BL","Livraison",IF(INDEX(jr_type,$O554)="BR","Réception","Sortie")))</f>
        <v/>
      </c>
      <c r="C554" s="65" t="str">
        <f>IF($O554="","",INDEX(jr_date,$O554))</f>
        <v/>
      </c>
      <c r="D554" s="60" t="str">
        <f>IF($O554="","",INDEX(jr_tiers,$O554)&amp;"")</f>
        <v/>
      </c>
      <c r="E554" s="57" t="str">
        <f>IF($O554="","",INDEX(jr_name,$O554)&amp;"")</f>
        <v/>
      </c>
      <c r="F554" s="57" t="str">
        <f>IF($O554="","",INDEX(jr_order,$O554)&amp;"")</f>
        <v/>
      </c>
      <c r="G554" s="57" t="str">
        <f>IF($O554="","",INDEX(jr_ext,$O554)&amp;"")</f>
        <v/>
      </c>
      <c r="H554" s="57" t="str">
        <f>IF($O554="","",INDEX(jr_carrier,$O554)&amp;"")</f>
        <v/>
      </c>
      <c r="I554" s="66" t="str">
        <f>IF(A554="","",COUNTIF(jr_num,A554))</f>
        <v/>
      </c>
      <c r="J554" s="66" t="str">
        <f>IF(A554="","",SUMIF(jr_num,A554,jr_colis))</f>
        <v/>
      </c>
      <c r="K554" s="63" t="str">
        <f>IF(A554="","",SUMIF(jr_num,A554,jr_kg))</f>
        <v/>
      </c>
      <c r="L554" s="64" t="str">
        <f>IF(A554="","",SUMIF(jr_num,A554,jr_val))</f>
        <v/>
      </c>
      <c r="M554" s="60" t="str">
        <f>IF(A554="","",IF(COUNTIFS(jr_num,A554,jr_check,"&lt;&gt;OK")&gt;0,"À vérifier",IF(LEFT(A554,2)="BL",IF(COUNTIFS(jr_num,A554,jr_rel,"&gt;0")&gt;0,"Reliquat en cours",IF(COUNTIFS(jr_num,A554,jr_gap,"&lt;0")&gt;0,"Reliquat livré","Complet")),IF(LEFT(A554,2)="BR",IF(COUNTIFS(jr_num,A554,jr_etat,"Refusé")&gt;0,"Refusé",IF(COUNTIFS(jr_num,A554,jr_etat,"Avec réserves")&gt;0,"Avec réserves",IF(COUNTIFS(jr_num,A554,jr_rel,"&gt;0")&gt;0,"Reliquat en cours",IF(COUNTIFS(jr_num,A554,jr_gap,"&lt;0")+COUNTIFS(jr_num,A554,jr_gap,"&gt;0")&gt;0,"Écart","Conforme")))),IF(COUNTIFS(jr_num,A554,jr_gap,"&lt;0")&gt;0,"Partiel","Sorti")))))</f>
        <v/>
      </c>
      <c r="O554" t="str">
        <f>IFERROR(MATCH(549,jr_grank,0),"")</f>
        <v/>
      </c>
      <c r="R554" s="67" t="str">
        <f>IFERROR(INDEX(jr_num,MATCH("BL549",jr_nkey,0))&amp;"","")</f>
        <v/>
      </c>
      <c r="S554" s="67" t="str">
        <f>IFERROR(INDEX(jr_num,MATCH("BR549",jr_nkey,0))&amp;"","")</f>
        <v/>
      </c>
      <c r="T554" s="67" t="str">
        <f>IFERROR(INDEX(jr_num,MATCH("BS549",jr_nkey,0))&amp;"","")</f>
        <v/>
      </c>
    </row>
    <row r="555">
      <c r="A555" s="60" t="str">
        <f>IF($O555="","",INDEX(jr_num,$O555)&amp;"")</f>
        <v/>
      </c>
      <c r="B555" s="60" t="str">
        <f>IF($O555="","",IF(INDEX(jr_type,$O555)="BL","Livraison",IF(INDEX(jr_type,$O555)="BR","Réception","Sortie")))</f>
        <v/>
      </c>
      <c r="C555" s="65" t="str">
        <f>IF($O555="","",INDEX(jr_date,$O555))</f>
        <v/>
      </c>
      <c r="D555" s="60" t="str">
        <f>IF($O555="","",INDEX(jr_tiers,$O555)&amp;"")</f>
        <v/>
      </c>
      <c r="E555" s="57" t="str">
        <f>IF($O555="","",INDEX(jr_name,$O555)&amp;"")</f>
        <v/>
      </c>
      <c r="F555" s="57" t="str">
        <f>IF($O555="","",INDEX(jr_order,$O555)&amp;"")</f>
        <v/>
      </c>
      <c r="G555" s="57" t="str">
        <f>IF($O555="","",INDEX(jr_ext,$O555)&amp;"")</f>
        <v/>
      </c>
      <c r="H555" s="57" t="str">
        <f>IF($O555="","",INDEX(jr_carrier,$O555)&amp;"")</f>
        <v/>
      </c>
      <c r="I555" s="66" t="str">
        <f>IF(A555="","",COUNTIF(jr_num,A555))</f>
        <v/>
      </c>
      <c r="J555" s="66" t="str">
        <f>IF(A555="","",SUMIF(jr_num,A555,jr_colis))</f>
        <v/>
      </c>
      <c r="K555" s="63" t="str">
        <f>IF(A555="","",SUMIF(jr_num,A555,jr_kg))</f>
        <v/>
      </c>
      <c r="L555" s="64" t="str">
        <f>IF(A555="","",SUMIF(jr_num,A555,jr_val))</f>
        <v/>
      </c>
      <c r="M555" s="60" t="str">
        <f>IF(A555="","",IF(COUNTIFS(jr_num,A555,jr_check,"&lt;&gt;OK")&gt;0,"À vérifier",IF(LEFT(A555,2)="BL",IF(COUNTIFS(jr_num,A555,jr_rel,"&gt;0")&gt;0,"Reliquat en cours",IF(COUNTIFS(jr_num,A555,jr_gap,"&lt;0")&gt;0,"Reliquat livré","Complet")),IF(LEFT(A555,2)="BR",IF(COUNTIFS(jr_num,A555,jr_etat,"Refusé")&gt;0,"Refusé",IF(COUNTIFS(jr_num,A555,jr_etat,"Avec réserves")&gt;0,"Avec réserves",IF(COUNTIFS(jr_num,A555,jr_rel,"&gt;0")&gt;0,"Reliquat en cours",IF(COUNTIFS(jr_num,A555,jr_gap,"&lt;0")+COUNTIFS(jr_num,A555,jr_gap,"&gt;0")&gt;0,"Écart","Conforme")))),IF(COUNTIFS(jr_num,A555,jr_gap,"&lt;0")&gt;0,"Partiel","Sorti")))))</f>
        <v/>
      </c>
      <c r="O555" t="str">
        <f>IFERROR(MATCH(550,jr_grank,0),"")</f>
        <v/>
      </c>
      <c r="R555" s="67" t="str">
        <f>IFERROR(INDEX(jr_num,MATCH("BL550",jr_nkey,0))&amp;"","")</f>
        <v/>
      </c>
      <c r="S555" s="67" t="str">
        <f>IFERROR(INDEX(jr_num,MATCH("BR550",jr_nkey,0))&amp;"","")</f>
        <v/>
      </c>
      <c r="T555" s="67" t="str">
        <f>IFERROR(INDEX(jr_num,MATCH("BS550",jr_nkey,0))&amp;"","")</f>
        <v/>
      </c>
    </row>
    <row r="556">
      <c r="A556" s="60" t="str">
        <f>IF($O556="","",INDEX(jr_num,$O556)&amp;"")</f>
        <v/>
      </c>
      <c r="B556" s="60" t="str">
        <f>IF($O556="","",IF(INDEX(jr_type,$O556)="BL","Livraison",IF(INDEX(jr_type,$O556)="BR","Réception","Sortie")))</f>
        <v/>
      </c>
      <c r="C556" s="65" t="str">
        <f>IF($O556="","",INDEX(jr_date,$O556))</f>
        <v/>
      </c>
      <c r="D556" s="60" t="str">
        <f>IF($O556="","",INDEX(jr_tiers,$O556)&amp;"")</f>
        <v/>
      </c>
      <c r="E556" s="57" t="str">
        <f>IF($O556="","",INDEX(jr_name,$O556)&amp;"")</f>
        <v/>
      </c>
      <c r="F556" s="57" t="str">
        <f>IF($O556="","",INDEX(jr_order,$O556)&amp;"")</f>
        <v/>
      </c>
      <c r="G556" s="57" t="str">
        <f>IF($O556="","",INDEX(jr_ext,$O556)&amp;"")</f>
        <v/>
      </c>
      <c r="H556" s="57" t="str">
        <f>IF($O556="","",INDEX(jr_carrier,$O556)&amp;"")</f>
        <v/>
      </c>
      <c r="I556" s="66" t="str">
        <f>IF(A556="","",COUNTIF(jr_num,A556))</f>
        <v/>
      </c>
      <c r="J556" s="66" t="str">
        <f>IF(A556="","",SUMIF(jr_num,A556,jr_colis))</f>
        <v/>
      </c>
      <c r="K556" s="63" t="str">
        <f>IF(A556="","",SUMIF(jr_num,A556,jr_kg))</f>
        <v/>
      </c>
      <c r="L556" s="64" t="str">
        <f>IF(A556="","",SUMIF(jr_num,A556,jr_val))</f>
        <v/>
      </c>
      <c r="M556" s="60" t="str">
        <f>IF(A556="","",IF(COUNTIFS(jr_num,A556,jr_check,"&lt;&gt;OK")&gt;0,"À vérifier",IF(LEFT(A556,2)="BL",IF(COUNTIFS(jr_num,A556,jr_rel,"&gt;0")&gt;0,"Reliquat en cours",IF(COUNTIFS(jr_num,A556,jr_gap,"&lt;0")&gt;0,"Reliquat livré","Complet")),IF(LEFT(A556,2)="BR",IF(COUNTIFS(jr_num,A556,jr_etat,"Refusé")&gt;0,"Refusé",IF(COUNTIFS(jr_num,A556,jr_etat,"Avec réserves")&gt;0,"Avec réserves",IF(COUNTIFS(jr_num,A556,jr_rel,"&gt;0")&gt;0,"Reliquat en cours",IF(COUNTIFS(jr_num,A556,jr_gap,"&lt;0")+COUNTIFS(jr_num,A556,jr_gap,"&gt;0")&gt;0,"Écart","Conforme")))),IF(COUNTIFS(jr_num,A556,jr_gap,"&lt;0")&gt;0,"Partiel","Sorti")))))</f>
        <v/>
      </c>
      <c r="O556" t="str">
        <f>IFERROR(MATCH(551,jr_grank,0),"")</f>
        <v/>
      </c>
      <c r="R556" s="67" t="str">
        <f>IFERROR(INDEX(jr_num,MATCH("BL551",jr_nkey,0))&amp;"","")</f>
        <v/>
      </c>
      <c r="S556" s="67" t="str">
        <f>IFERROR(INDEX(jr_num,MATCH("BR551",jr_nkey,0))&amp;"","")</f>
        <v/>
      </c>
      <c r="T556" s="67" t="str">
        <f>IFERROR(INDEX(jr_num,MATCH("BS551",jr_nkey,0))&amp;"","")</f>
        <v/>
      </c>
    </row>
    <row r="557">
      <c r="A557" s="60" t="str">
        <f>IF($O557="","",INDEX(jr_num,$O557)&amp;"")</f>
        <v/>
      </c>
      <c r="B557" s="60" t="str">
        <f>IF($O557="","",IF(INDEX(jr_type,$O557)="BL","Livraison",IF(INDEX(jr_type,$O557)="BR","Réception","Sortie")))</f>
        <v/>
      </c>
      <c r="C557" s="65" t="str">
        <f>IF($O557="","",INDEX(jr_date,$O557))</f>
        <v/>
      </c>
      <c r="D557" s="60" t="str">
        <f>IF($O557="","",INDEX(jr_tiers,$O557)&amp;"")</f>
        <v/>
      </c>
      <c r="E557" s="57" t="str">
        <f>IF($O557="","",INDEX(jr_name,$O557)&amp;"")</f>
        <v/>
      </c>
      <c r="F557" s="57" t="str">
        <f>IF($O557="","",INDEX(jr_order,$O557)&amp;"")</f>
        <v/>
      </c>
      <c r="G557" s="57" t="str">
        <f>IF($O557="","",INDEX(jr_ext,$O557)&amp;"")</f>
        <v/>
      </c>
      <c r="H557" s="57" t="str">
        <f>IF($O557="","",INDEX(jr_carrier,$O557)&amp;"")</f>
        <v/>
      </c>
      <c r="I557" s="66" t="str">
        <f>IF(A557="","",COUNTIF(jr_num,A557))</f>
        <v/>
      </c>
      <c r="J557" s="66" t="str">
        <f>IF(A557="","",SUMIF(jr_num,A557,jr_colis))</f>
        <v/>
      </c>
      <c r="K557" s="63" t="str">
        <f>IF(A557="","",SUMIF(jr_num,A557,jr_kg))</f>
        <v/>
      </c>
      <c r="L557" s="64" t="str">
        <f>IF(A557="","",SUMIF(jr_num,A557,jr_val))</f>
        <v/>
      </c>
      <c r="M557" s="60" t="str">
        <f>IF(A557="","",IF(COUNTIFS(jr_num,A557,jr_check,"&lt;&gt;OK")&gt;0,"À vérifier",IF(LEFT(A557,2)="BL",IF(COUNTIFS(jr_num,A557,jr_rel,"&gt;0")&gt;0,"Reliquat en cours",IF(COUNTIFS(jr_num,A557,jr_gap,"&lt;0")&gt;0,"Reliquat livré","Complet")),IF(LEFT(A557,2)="BR",IF(COUNTIFS(jr_num,A557,jr_etat,"Refusé")&gt;0,"Refusé",IF(COUNTIFS(jr_num,A557,jr_etat,"Avec réserves")&gt;0,"Avec réserves",IF(COUNTIFS(jr_num,A557,jr_rel,"&gt;0")&gt;0,"Reliquat en cours",IF(COUNTIFS(jr_num,A557,jr_gap,"&lt;0")+COUNTIFS(jr_num,A557,jr_gap,"&gt;0")&gt;0,"Écart","Conforme")))),IF(COUNTIFS(jr_num,A557,jr_gap,"&lt;0")&gt;0,"Partiel","Sorti")))))</f>
        <v/>
      </c>
      <c r="O557" t="str">
        <f>IFERROR(MATCH(552,jr_grank,0),"")</f>
        <v/>
      </c>
      <c r="R557" s="67" t="str">
        <f>IFERROR(INDEX(jr_num,MATCH("BL552",jr_nkey,0))&amp;"","")</f>
        <v/>
      </c>
      <c r="S557" s="67" t="str">
        <f>IFERROR(INDEX(jr_num,MATCH("BR552",jr_nkey,0))&amp;"","")</f>
        <v/>
      </c>
      <c r="T557" s="67" t="str">
        <f>IFERROR(INDEX(jr_num,MATCH("BS552",jr_nkey,0))&amp;"","")</f>
        <v/>
      </c>
    </row>
    <row r="558">
      <c r="A558" s="60" t="str">
        <f>IF($O558="","",INDEX(jr_num,$O558)&amp;"")</f>
        <v/>
      </c>
      <c r="B558" s="60" t="str">
        <f>IF($O558="","",IF(INDEX(jr_type,$O558)="BL","Livraison",IF(INDEX(jr_type,$O558)="BR","Réception","Sortie")))</f>
        <v/>
      </c>
      <c r="C558" s="65" t="str">
        <f>IF($O558="","",INDEX(jr_date,$O558))</f>
        <v/>
      </c>
      <c r="D558" s="60" t="str">
        <f>IF($O558="","",INDEX(jr_tiers,$O558)&amp;"")</f>
        <v/>
      </c>
      <c r="E558" s="57" t="str">
        <f>IF($O558="","",INDEX(jr_name,$O558)&amp;"")</f>
        <v/>
      </c>
      <c r="F558" s="57" t="str">
        <f>IF($O558="","",INDEX(jr_order,$O558)&amp;"")</f>
        <v/>
      </c>
      <c r="G558" s="57" t="str">
        <f>IF($O558="","",INDEX(jr_ext,$O558)&amp;"")</f>
        <v/>
      </c>
      <c r="H558" s="57" t="str">
        <f>IF($O558="","",INDEX(jr_carrier,$O558)&amp;"")</f>
        <v/>
      </c>
      <c r="I558" s="66" t="str">
        <f>IF(A558="","",COUNTIF(jr_num,A558))</f>
        <v/>
      </c>
      <c r="J558" s="66" t="str">
        <f>IF(A558="","",SUMIF(jr_num,A558,jr_colis))</f>
        <v/>
      </c>
      <c r="K558" s="63" t="str">
        <f>IF(A558="","",SUMIF(jr_num,A558,jr_kg))</f>
        <v/>
      </c>
      <c r="L558" s="64" t="str">
        <f>IF(A558="","",SUMIF(jr_num,A558,jr_val))</f>
        <v/>
      </c>
      <c r="M558" s="60" t="str">
        <f>IF(A558="","",IF(COUNTIFS(jr_num,A558,jr_check,"&lt;&gt;OK")&gt;0,"À vérifier",IF(LEFT(A558,2)="BL",IF(COUNTIFS(jr_num,A558,jr_rel,"&gt;0")&gt;0,"Reliquat en cours",IF(COUNTIFS(jr_num,A558,jr_gap,"&lt;0")&gt;0,"Reliquat livré","Complet")),IF(LEFT(A558,2)="BR",IF(COUNTIFS(jr_num,A558,jr_etat,"Refusé")&gt;0,"Refusé",IF(COUNTIFS(jr_num,A558,jr_etat,"Avec réserves")&gt;0,"Avec réserves",IF(COUNTIFS(jr_num,A558,jr_rel,"&gt;0")&gt;0,"Reliquat en cours",IF(COUNTIFS(jr_num,A558,jr_gap,"&lt;0")+COUNTIFS(jr_num,A558,jr_gap,"&gt;0")&gt;0,"Écart","Conforme")))),IF(COUNTIFS(jr_num,A558,jr_gap,"&lt;0")&gt;0,"Partiel","Sorti")))))</f>
        <v/>
      </c>
      <c r="O558" t="str">
        <f>IFERROR(MATCH(553,jr_grank,0),"")</f>
        <v/>
      </c>
      <c r="R558" s="67" t="str">
        <f>IFERROR(INDEX(jr_num,MATCH("BL553",jr_nkey,0))&amp;"","")</f>
        <v/>
      </c>
      <c r="S558" s="67" t="str">
        <f>IFERROR(INDEX(jr_num,MATCH("BR553",jr_nkey,0))&amp;"","")</f>
        <v/>
      </c>
      <c r="T558" s="67" t="str">
        <f>IFERROR(INDEX(jr_num,MATCH("BS553",jr_nkey,0))&amp;"","")</f>
        <v/>
      </c>
    </row>
    <row r="559">
      <c r="A559" s="60" t="str">
        <f>IF($O559="","",INDEX(jr_num,$O559)&amp;"")</f>
        <v/>
      </c>
      <c r="B559" s="60" t="str">
        <f>IF($O559="","",IF(INDEX(jr_type,$O559)="BL","Livraison",IF(INDEX(jr_type,$O559)="BR","Réception","Sortie")))</f>
        <v/>
      </c>
      <c r="C559" s="65" t="str">
        <f>IF($O559="","",INDEX(jr_date,$O559))</f>
        <v/>
      </c>
      <c r="D559" s="60" t="str">
        <f>IF($O559="","",INDEX(jr_tiers,$O559)&amp;"")</f>
        <v/>
      </c>
      <c r="E559" s="57" t="str">
        <f>IF($O559="","",INDEX(jr_name,$O559)&amp;"")</f>
        <v/>
      </c>
      <c r="F559" s="57" t="str">
        <f>IF($O559="","",INDEX(jr_order,$O559)&amp;"")</f>
        <v/>
      </c>
      <c r="G559" s="57" t="str">
        <f>IF($O559="","",INDEX(jr_ext,$O559)&amp;"")</f>
        <v/>
      </c>
      <c r="H559" s="57" t="str">
        <f>IF($O559="","",INDEX(jr_carrier,$O559)&amp;"")</f>
        <v/>
      </c>
      <c r="I559" s="66" t="str">
        <f>IF(A559="","",COUNTIF(jr_num,A559))</f>
        <v/>
      </c>
      <c r="J559" s="66" t="str">
        <f>IF(A559="","",SUMIF(jr_num,A559,jr_colis))</f>
        <v/>
      </c>
      <c r="K559" s="63" t="str">
        <f>IF(A559="","",SUMIF(jr_num,A559,jr_kg))</f>
        <v/>
      </c>
      <c r="L559" s="64" t="str">
        <f>IF(A559="","",SUMIF(jr_num,A559,jr_val))</f>
        <v/>
      </c>
      <c r="M559" s="60" t="str">
        <f>IF(A559="","",IF(COUNTIFS(jr_num,A559,jr_check,"&lt;&gt;OK")&gt;0,"À vérifier",IF(LEFT(A559,2)="BL",IF(COUNTIFS(jr_num,A559,jr_rel,"&gt;0")&gt;0,"Reliquat en cours",IF(COUNTIFS(jr_num,A559,jr_gap,"&lt;0")&gt;0,"Reliquat livré","Complet")),IF(LEFT(A559,2)="BR",IF(COUNTIFS(jr_num,A559,jr_etat,"Refusé")&gt;0,"Refusé",IF(COUNTIFS(jr_num,A559,jr_etat,"Avec réserves")&gt;0,"Avec réserves",IF(COUNTIFS(jr_num,A559,jr_rel,"&gt;0")&gt;0,"Reliquat en cours",IF(COUNTIFS(jr_num,A559,jr_gap,"&lt;0")+COUNTIFS(jr_num,A559,jr_gap,"&gt;0")&gt;0,"Écart","Conforme")))),IF(COUNTIFS(jr_num,A559,jr_gap,"&lt;0")&gt;0,"Partiel","Sorti")))))</f>
        <v/>
      </c>
      <c r="O559" t="str">
        <f>IFERROR(MATCH(554,jr_grank,0),"")</f>
        <v/>
      </c>
      <c r="R559" s="67" t="str">
        <f>IFERROR(INDEX(jr_num,MATCH("BL554",jr_nkey,0))&amp;"","")</f>
        <v/>
      </c>
      <c r="S559" s="67" t="str">
        <f>IFERROR(INDEX(jr_num,MATCH("BR554",jr_nkey,0))&amp;"","")</f>
        <v/>
      </c>
      <c r="T559" s="67" t="str">
        <f>IFERROR(INDEX(jr_num,MATCH("BS554",jr_nkey,0))&amp;"","")</f>
        <v/>
      </c>
    </row>
    <row r="560">
      <c r="A560" s="60" t="str">
        <f>IF($O560="","",INDEX(jr_num,$O560)&amp;"")</f>
        <v/>
      </c>
      <c r="B560" s="60" t="str">
        <f>IF($O560="","",IF(INDEX(jr_type,$O560)="BL","Livraison",IF(INDEX(jr_type,$O560)="BR","Réception","Sortie")))</f>
        <v/>
      </c>
      <c r="C560" s="65" t="str">
        <f>IF($O560="","",INDEX(jr_date,$O560))</f>
        <v/>
      </c>
      <c r="D560" s="60" t="str">
        <f>IF($O560="","",INDEX(jr_tiers,$O560)&amp;"")</f>
        <v/>
      </c>
      <c r="E560" s="57" t="str">
        <f>IF($O560="","",INDEX(jr_name,$O560)&amp;"")</f>
        <v/>
      </c>
      <c r="F560" s="57" t="str">
        <f>IF($O560="","",INDEX(jr_order,$O560)&amp;"")</f>
        <v/>
      </c>
      <c r="G560" s="57" t="str">
        <f>IF($O560="","",INDEX(jr_ext,$O560)&amp;"")</f>
        <v/>
      </c>
      <c r="H560" s="57" t="str">
        <f>IF($O560="","",INDEX(jr_carrier,$O560)&amp;"")</f>
        <v/>
      </c>
      <c r="I560" s="66" t="str">
        <f>IF(A560="","",COUNTIF(jr_num,A560))</f>
        <v/>
      </c>
      <c r="J560" s="66" t="str">
        <f>IF(A560="","",SUMIF(jr_num,A560,jr_colis))</f>
        <v/>
      </c>
      <c r="K560" s="63" t="str">
        <f>IF(A560="","",SUMIF(jr_num,A560,jr_kg))</f>
        <v/>
      </c>
      <c r="L560" s="64" t="str">
        <f>IF(A560="","",SUMIF(jr_num,A560,jr_val))</f>
        <v/>
      </c>
      <c r="M560" s="60" t="str">
        <f>IF(A560="","",IF(COUNTIFS(jr_num,A560,jr_check,"&lt;&gt;OK")&gt;0,"À vérifier",IF(LEFT(A560,2)="BL",IF(COUNTIFS(jr_num,A560,jr_rel,"&gt;0")&gt;0,"Reliquat en cours",IF(COUNTIFS(jr_num,A560,jr_gap,"&lt;0")&gt;0,"Reliquat livré","Complet")),IF(LEFT(A560,2)="BR",IF(COUNTIFS(jr_num,A560,jr_etat,"Refusé")&gt;0,"Refusé",IF(COUNTIFS(jr_num,A560,jr_etat,"Avec réserves")&gt;0,"Avec réserves",IF(COUNTIFS(jr_num,A560,jr_rel,"&gt;0")&gt;0,"Reliquat en cours",IF(COUNTIFS(jr_num,A560,jr_gap,"&lt;0")+COUNTIFS(jr_num,A560,jr_gap,"&gt;0")&gt;0,"Écart","Conforme")))),IF(COUNTIFS(jr_num,A560,jr_gap,"&lt;0")&gt;0,"Partiel","Sorti")))))</f>
        <v/>
      </c>
      <c r="O560" t="str">
        <f>IFERROR(MATCH(555,jr_grank,0),"")</f>
        <v/>
      </c>
      <c r="R560" s="67" t="str">
        <f>IFERROR(INDEX(jr_num,MATCH("BL555",jr_nkey,0))&amp;"","")</f>
        <v/>
      </c>
      <c r="S560" s="67" t="str">
        <f>IFERROR(INDEX(jr_num,MATCH("BR555",jr_nkey,0))&amp;"","")</f>
        <v/>
      </c>
      <c r="T560" s="67" t="str">
        <f>IFERROR(INDEX(jr_num,MATCH("BS555",jr_nkey,0))&amp;"","")</f>
        <v/>
      </c>
    </row>
    <row r="561">
      <c r="A561" s="60" t="str">
        <f>IF($O561="","",INDEX(jr_num,$O561)&amp;"")</f>
        <v/>
      </c>
      <c r="B561" s="60" t="str">
        <f>IF($O561="","",IF(INDEX(jr_type,$O561)="BL","Livraison",IF(INDEX(jr_type,$O561)="BR","Réception","Sortie")))</f>
        <v/>
      </c>
      <c r="C561" s="65" t="str">
        <f>IF($O561="","",INDEX(jr_date,$O561))</f>
        <v/>
      </c>
      <c r="D561" s="60" t="str">
        <f>IF($O561="","",INDEX(jr_tiers,$O561)&amp;"")</f>
        <v/>
      </c>
      <c r="E561" s="57" t="str">
        <f>IF($O561="","",INDEX(jr_name,$O561)&amp;"")</f>
        <v/>
      </c>
      <c r="F561" s="57" t="str">
        <f>IF($O561="","",INDEX(jr_order,$O561)&amp;"")</f>
        <v/>
      </c>
      <c r="G561" s="57" t="str">
        <f>IF($O561="","",INDEX(jr_ext,$O561)&amp;"")</f>
        <v/>
      </c>
      <c r="H561" s="57" t="str">
        <f>IF($O561="","",INDEX(jr_carrier,$O561)&amp;"")</f>
        <v/>
      </c>
      <c r="I561" s="66" t="str">
        <f>IF(A561="","",COUNTIF(jr_num,A561))</f>
        <v/>
      </c>
      <c r="J561" s="66" t="str">
        <f>IF(A561="","",SUMIF(jr_num,A561,jr_colis))</f>
        <v/>
      </c>
      <c r="K561" s="63" t="str">
        <f>IF(A561="","",SUMIF(jr_num,A561,jr_kg))</f>
        <v/>
      </c>
      <c r="L561" s="64" t="str">
        <f>IF(A561="","",SUMIF(jr_num,A561,jr_val))</f>
        <v/>
      </c>
      <c r="M561" s="60" t="str">
        <f>IF(A561="","",IF(COUNTIFS(jr_num,A561,jr_check,"&lt;&gt;OK")&gt;0,"À vérifier",IF(LEFT(A561,2)="BL",IF(COUNTIFS(jr_num,A561,jr_rel,"&gt;0")&gt;0,"Reliquat en cours",IF(COUNTIFS(jr_num,A561,jr_gap,"&lt;0")&gt;0,"Reliquat livré","Complet")),IF(LEFT(A561,2)="BR",IF(COUNTIFS(jr_num,A561,jr_etat,"Refusé")&gt;0,"Refusé",IF(COUNTIFS(jr_num,A561,jr_etat,"Avec réserves")&gt;0,"Avec réserves",IF(COUNTIFS(jr_num,A561,jr_rel,"&gt;0")&gt;0,"Reliquat en cours",IF(COUNTIFS(jr_num,A561,jr_gap,"&lt;0")+COUNTIFS(jr_num,A561,jr_gap,"&gt;0")&gt;0,"Écart","Conforme")))),IF(COUNTIFS(jr_num,A561,jr_gap,"&lt;0")&gt;0,"Partiel","Sorti")))))</f>
        <v/>
      </c>
      <c r="O561" t="str">
        <f>IFERROR(MATCH(556,jr_grank,0),"")</f>
        <v/>
      </c>
      <c r="R561" s="67" t="str">
        <f>IFERROR(INDEX(jr_num,MATCH("BL556",jr_nkey,0))&amp;"","")</f>
        <v/>
      </c>
      <c r="S561" s="67" t="str">
        <f>IFERROR(INDEX(jr_num,MATCH("BR556",jr_nkey,0))&amp;"","")</f>
        <v/>
      </c>
      <c r="T561" s="67" t="str">
        <f>IFERROR(INDEX(jr_num,MATCH("BS556",jr_nkey,0))&amp;"","")</f>
        <v/>
      </c>
    </row>
    <row r="562">
      <c r="A562" s="60" t="str">
        <f>IF($O562="","",INDEX(jr_num,$O562)&amp;"")</f>
        <v/>
      </c>
      <c r="B562" s="60" t="str">
        <f>IF($O562="","",IF(INDEX(jr_type,$O562)="BL","Livraison",IF(INDEX(jr_type,$O562)="BR","Réception","Sortie")))</f>
        <v/>
      </c>
      <c r="C562" s="65" t="str">
        <f>IF($O562="","",INDEX(jr_date,$O562))</f>
        <v/>
      </c>
      <c r="D562" s="60" t="str">
        <f>IF($O562="","",INDEX(jr_tiers,$O562)&amp;"")</f>
        <v/>
      </c>
      <c r="E562" s="57" t="str">
        <f>IF($O562="","",INDEX(jr_name,$O562)&amp;"")</f>
        <v/>
      </c>
      <c r="F562" s="57" t="str">
        <f>IF($O562="","",INDEX(jr_order,$O562)&amp;"")</f>
        <v/>
      </c>
      <c r="G562" s="57" t="str">
        <f>IF($O562="","",INDEX(jr_ext,$O562)&amp;"")</f>
        <v/>
      </c>
      <c r="H562" s="57" t="str">
        <f>IF($O562="","",INDEX(jr_carrier,$O562)&amp;"")</f>
        <v/>
      </c>
      <c r="I562" s="66" t="str">
        <f>IF(A562="","",COUNTIF(jr_num,A562))</f>
        <v/>
      </c>
      <c r="J562" s="66" t="str">
        <f>IF(A562="","",SUMIF(jr_num,A562,jr_colis))</f>
        <v/>
      </c>
      <c r="K562" s="63" t="str">
        <f>IF(A562="","",SUMIF(jr_num,A562,jr_kg))</f>
        <v/>
      </c>
      <c r="L562" s="64" t="str">
        <f>IF(A562="","",SUMIF(jr_num,A562,jr_val))</f>
        <v/>
      </c>
      <c r="M562" s="60" t="str">
        <f>IF(A562="","",IF(COUNTIFS(jr_num,A562,jr_check,"&lt;&gt;OK")&gt;0,"À vérifier",IF(LEFT(A562,2)="BL",IF(COUNTIFS(jr_num,A562,jr_rel,"&gt;0")&gt;0,"Reliquat en cours",IF(COUNTIFS(jr_num,A562,jr_gap,"&lt;0")&gt;0,"Reliquat livré","Complet")),IF(LEFT(A562,2)="BR",IF(COUNTIFS(jr_num,A562,jr_etat,"Refusé")&gt;0,"Refusé",IF(COUNTIFS(jr_num,A562,jr_etat,"Avec réserves")&gt;0,"Avec réserves",IF(COUNTIFS(jr_num,A562,jr_rel,"&gt;0")&gt;0,"Reliquat en cours",IF(COUNTIFS(jr_num,A562,jr_gap,"&lt;0")+COUNTIFS(jr_num,A562,jr_gap,"&gt;0")&gt;0,"Écart","Conforme")))),IF(COUNTIFS(jr_num,A562,jr_gap,"&lt;0")&gt;0,"Partiel","Sorti")))))</f>
        <v/>
      </c>
      <c r="O562" t="str">
        <f>IFERROR(MATCH(557,jr_grank,0),"")</f>
        <v/>
      </c>
      <c r="R562" s="67" t="str">
        <f>IFERROR(INDEX(jr_num,MATCH("BL557",jr_nkey,0))&amp;"","")</f>
        <v/>
      </c>
      <c r="S562" s="67" t="str">
        <f>IFERROR(INDEX(jr_num,MATCH("BR557",jr_nkey,0))&amp;"","")</f>
        <v/>
      </c>
      <c r="T562" s="67" t="str">
        <f>IFERROR(INDEX(jr_num,MATCH("BS557",jr_nkey,0))&amp;"","")</f>
        <v/>
      </c>
    </row>
    <row r="563">
      <c r="A563" s="60" t="str">
        <f>IF($O563="","",INDEX(jr_num,$O563)&amp;"")</f>
        <v/>
      </c>
      <c r="B563" s="60" t="str">
        <f>IF($O563="","",IF(INDEX(jr_type,$O563)="BL","Livraison",IF(INDEX(jr_type,$O563)="BR","Réception","Sortie")))</f>
        <v/>
      </c>
      <c r="C563" s="65" t="str">
        <f>IF($O563="","",INDEX(jr_date,$O563))</f>
        <v/>
      </c>
      <c r="D563" s="60" t="str">
        <f>IF($O563="","",INDEX(jr_tiers,$O563)&amp;"")</f>
        <v/>
      </c>
      <c r="E563" s="57" t="str">
        <f>IF($O563="","",INDEX(jr_name,$O563)&amp;"")</f>
        <v/>
      </c>
      <c r="F563" s="57" t="str">
        <f>IF($O563="","",INDEX(jr_order,$O563)&amp;"")</f>
        <v/>
      </c>
      <c r="G563" s="57" t="str">
        <f>IF($O563="","",INDEX(jr_ext,$O563)&amp;"")</f>
        <v/>
      </c>
      <c r="H563" s="57" t="str">
        <f>IF($O563="","",INDEX(jr_carrier,$O563)&amp;"")</f>
        <v/>
      </c>
      <c r="I563" s="66" t="str">
        <f>IF(A563="","",COUNTIF(jr_num,A563))</f>
        <v/>
      </c>
      <c r="J563" s="66" t="str">
        <f>IF(A563="","",SUMIF(jr_num,A563,jr_colis))</f>
        <v/>
      </c>
      <c r="K563" s="63" t="str">
        <f>IF(A563="","",SUMIF(jr_num,A563,jr_kg))</f>
        <v/>
      </c>
      <c r="L563" s="64" t="str">
        <f>IF(A563="","",SUMIF(jr_num,A563,jr_val))</f>
        <v/>
      </c>
      <c r="M563" s="60" t="str">
        <f>IF(A563="","",IF(COUNTIFS(jr_num,A563,jr_check,"&lt;&gt;OK")&gt;0,"À vérifier",IF(LEFT(A563,2)="BL",IF(COUNTIFS(jr_num,A563,jr_rel,"&gt;0")&gt;0,"Reliquat en cours",IF(COUNTIFS(jr_num,A563,jr_gap,"&lt;0")&gt;0,"Reliquat livré","Complet")),IF(LEFT(A563,2)="BR",IF(COUNTIFS(jr_num,A563,jr_etat,"Refusé")&gt;0,"Refusé",IF(COUNTIFS(jr_num,A563,jr_etat,"Avec réserves")&gt;0,"Avec réserves",IF(COUNTIFS(jr_num,A563,jr_rel,"&gt;0")&gt;0,"Reliquat en cours",IF(COUNTIFS(jr_num,A563,jr_gap,"&lt;0")+COUNTIFS(jr_num,A563,jr_gap,"&gt;0")&gt;0,"Écart","Conforme")))),IF(COUNTIFS(jr_num,A563,jr_gap,"&lt;0")&gt;0,"Partiel","Sorti")))))</f>
        <v/>
      </c>
      <c r="O563" t="str">
        <f>IFERROR(MATCH(558,jr_grank,0),"")</f>
        <v/>
      </c>
      <c r="R563" s="67" t="str">
        <f>IFERROR(INDEX(jr_num,MATCH("BL558",jr_nkey,0))&amp;"","")</f>
        <v/>
      </c>
      <c r="S563" s="67" t="str">
        <f>IFERROR(INDEX(jr_num,MATCH("BR558",jr_nkey,0))&amp;"","")</f>
        <v/>
      </c>
      <c r="T563" s="67" t="str">
        <f>IFERROR(INDEX(jr_num,MATCH("BS558",jr_nkey,0))&amp;"","")</f>
        <v/>
      </c>
    </row>
    <row r="564">
      <c r="A564" s="60" t="str">
        <f>IF($O564="","",INDEX(jr_num,$O564)&amp;"")</f>
        <v/>
      </c>
      <c r="B564" s="60" t="str">
        <f>IF($O564="","",IF(INDEX(jr_type,$O564)="BL","Livraison",IF(INDEX(jr_type,$O564)="BR","Réception","Sortie")))</f>
        <v/>
      </c>
      <c r="C564" s="65" t="str">
        <f>IF($O564="","",INDEX(jr_date,$O564))</f>
        <v/>
      </c>
      <c r="D564" s="60" t="str">
        <f>IF($O564="","",INDEX(jr_tiers,$O564)&amp;"")</f>
        <v/>
      </c>
      <c r="E564" s="57" t="str">
        <f>IF($O564="","",INDEX(jr_name,$O564)&amp;"")</f>
        <v/>
      </c>
      <c r="F564" s="57" t="str">
        <f>IF($O564="","",INDEX(jr_order,$O564)&amp;"")</f>
        <v/>
      </c>
      <c r="G564" s="57" t="str">
        <f>IF($O564="","",INDEX(jr_ext,$O564)&amp;"")</f>
        <v/>
      </c>
      <c r="H564" s="57" t="str">
        <f>IF($O564="","",INDEX(jr_carrier,$O564)&amp;"")</f>
        <v/>
      </c>
      <c r="I564" s="66" t="str">
        <f>IF(A564="","",COUNTIF(jr_num,A564))</f>
        <v/>
      </c>
      <c r="J564" s="66" t="str">
        <f>IF(A564="","",SUMIF(jr_num,A564,jr_colis))</f>
        <v/>
      </c>
      <c r="K564" s="63" t="str">
        <f>IF(A564="","",SUMIF(jr_num,A564,jr_kg))</f>
        <v/>
      </c>
      <c r="L564" s="64" t="str">
        <f>IF(A564="","",SUMIF(jr_num,A564,jr_val))</f>
        <v/>
      </c>
      <c r="M564" s="60" t="str">
        <f>IF(A564="","",IF(COUNTIFS(jr_num,A564,jr_check,"&lt;&gt;OK")&gt;0,"À vérifier",IF(LEFT(A564,2)="BL",IF(COUNTIFS(jr_num,A564,jr_rel,"&gt;0")&gt;0,"Reliquat en cours",IF(COUNTIFS(jr_num,A564,jr_gap,"&lt;0")&gt;0,"Reliquat livré","Complet")),IF(LEFT(A564,2)="BR",IF(COUNTIFS(jr_num,A564,jr_etat,"Refusé")&gt;0,"Refusé",IF(COUNTIFS(jr_num,A564,jr_etat,"Avec réserves")&gt;0,"Avec réserves",IF(COUNTIFS(jr_num,A564,jr_rel,"&gt;0")&gt;0,"Reliquat en cours",IF(COUNTIFS(jr_num,A564,jr_gap,"&lt;0")+COUNTIFS(jr_num,A564,jr_gap,"&gt;0")&gt;0,"Écart","Conforme")))),IF(COUNTIFS(jr_num,A564,jr_gap,"&lt;0")&gt;0,"Partiel","Sorti")))))</f>
        <v/>
      </c>
      <c r="O564" t="str">
        <f>IFERROR(MATCH(559,jr_grank,0),"")</f>
        <v/>
      </c>
      <c r="R564" s="67" t="str">
        <f>IFERROR(INDEX(jr_num,MATCH("BL559",jr_nkey,0))&amp;"","")</f>
        <v/>
      </c>
      <c r="S564" s="67" t="str">
        <f>IFERROR(INDEX(jr_num,MATCH("BR559",jr_nkey,0))&amp;"","")</f>
        <v/>
      </c>
      <c r="T564" s="67" t="str">
        <f>IFERROR(INDEX(jr_num,MATCH("BS559",jr_nkey,0))&amp;"","")</f>
        <v/>
      </c>
    </row>
    <row r="565">
      <c r="A565" s="60" t="str">
        <f>IF($O565="","",INDEX(jr_num,$O565)&amp;"")</f>
        <v/>
      </c>
      <c r="B565" s="60" t="str">
        <f>IF($O565="","",IF(INDEX(jr_type,$O565)="BL","Livraison",IF(INDEX(jr_type,$O565)="BR","Réception","Sortie")))</f>
        <v/>
      </c>
      <c r="C565" s="65" t="str">
        <f>IF($O565="","",INDEX(jr_date,$O565))</f>
        <v/>
      </c>
      <c r="D565" s="60" t="str">
        <f>IF($O565="","",INDEX(jr_tiers,$O565)&amp;"")</f>
        <v/>
      </c>
      <c r="E565" s="57" t="str">
        <f>IF($O565="","",INDEX(jr_name,$O565)&amp;"")</f>
        <v/>
      </c>
      <c r="F565" s="57" t="str">
        <f>IF($O565="","",INDEX(jr_order,$O565)&amp;"")</f>
        <v/>
      </c>
      <c r="G565" s="57" t="str">
        <f>IF($O565="","",INDEX(jr_ext,$O565)&amp;"")</f>
        <v/>
      </c>
      <c r="H565" s="57" t="str">
        <f>IF($O565="","",INDEX(jr_carrier,$O565)&amp;"")</f>
        <v/>
      </c>
      <c r="I565" s="66" t="str">
        <f>IF(A565="","",COUNTIF(jr_num,A565))</f>
        <v/>
      </c>
      <c r="J565" s="66" t="str">
        <f>IF(A565="","",SUMIF(jr_num,A565,jr_colis))</f>
        <v/>
      </c>
      <c r="K565" s="63" t="str">
        <f>IF(A565="","",SUMIF(jr_num,A565,jr_kg))</f>
        <v/>
      </c>
      <c r="L565" s="64" t="str">
        <f>IF(A565="","",SUMIF(jr_num,A565,jr_val))</f>
        <v/>
      </c>
      <c r="M565" s="60" t="str">
        <f>IF(A565="","",IF(COUNTIFS(jr_num,A565,jr_check,"&lt;&gt;OK")&gt;0,"À vérifier",IF(LEFT(A565,2)="BL",IF(COUNTIFS(jr_num,A565,jr_rel,"&gt;0")&gt;0,"Reliquat en cours",IF(COUNTIFS(jr_num,A565,jr_gap,"&lt;0")&gt;0,"Reliquat livré","Complet")),IF(LEFT(A565,2)="BR",IF(COUNTIFS(jr_num,A565,jr_etat,"Refusé")&gt;0,"Refusé",IF(COUNTIFS(jr_num,A565,jr_etat,"Avec réserves")&gt;0,"Avec réserves",IF(COUNTIFS(jr_num,A565,jr_rel,"&gt;0")&gt;0,"Reliquat en cours",IF(COUNTIFS(jr_num,A565,jr_gap,"&lt;0")+COUNTIFS(jr_num,A565,jr_gap,"&gt;0")&gt;0,"Écart","Conforme")))),IF(COUNTIFS(jr_num,A565,jr_gap,"&lt;0")&gt;0,"Partiel","Sorti")))))</f>
        <v/>
      </c>
      <c r="O565" t="str">
        <f>IFERROR(MATCH(560,jr_grank,0),"")</f>
        <v/>
      </c>
      <c r="R565" s="67" t="str">
        <f>IFERROR(INDEX(jr_num,MATCH("BL560",jr_nkey,0))&amp;"","")</f>
        <v/>
      </c>
      <c r="S565" s="67" t="str">
        <f>IFERROR(INDEX(jr_num,MATCH("BR560",jr_nkey,0))&amp;"","")</f>
        <v/>
      </c>
      <c r="T565" s="67" t="str">
        <f>IFERROR(INDEX(jr_num,MATCH("BS560",jr_nkey,0))&amp;"","")</f>
        <v/>
      </c>
    </row>
    <row r="566">
      <c r="A566" s="60" t="str">
        <f>IF($O566="","",INDEX(jr_num,$O566)&amp;"")</f>
        <v/>
      </c>
      <c r="B566" s="60" t="str">
        <f>IF($O566="","",IF(INDEX(jr_type,$O566)="BL","Livraison",IF(INDEX(jr_type,$O566)="BR","Réception","Sortie")))</f>
        <v/>
      </c>
      <c r="C566" s="65" t="str">
        <f>IF($O566="","",INDEX(jr_date,$O566))</f>
        <v/>
      </c>
      <c r="D566" s="60" t="str">
        <f>IF($O566="","",INDEX(jr_tiers,$O566)&amp;"")</f>
        <v/>
      </c>
      <c r="E566" s="57" t="str">
        <f>IF($O566="","",INDEX(jr_name,$O566)&amp;"")</f>
        <v/>
      </c>
      <c r="F566" s="57" t="str">
        <f>IF($O566="","",INDEX(jr_order,$O566)&amp;"")</f>
        <v/>
      </c>
      <c r="G566" s="57" t="str">
        <f>IF($O566="","",INDEX(jr_ext,$O566)&amp;"")</f>
        <v/>
      </c>
      <c r="H566" s="57" t="str">
        <f>IF($O566="","",INDEX(jr_carrier,$O566)&amp;"")</f>
        <v/>
      </c>
      <c r="I566" s="66" t="str">
        <f>IF(A566="","",COUNTIF(jr_num,A566))</f>
        <v/>
      </c>
      <c r="J566" s="66" t="str">
        <f>IF(A566="","",SUMIF(jr_num,A566,jr_colis))</f>
        <v/>
      </c>
      <c r="K566" s="63" t="str">
        <f>IF(A566="","",SUMIF(jr_num,A566,jr_kg))</f>
        <v/>
      </c>
      <c r="L566" s="64" t="str">
        <f>IF(A566="","",SUMIF(jr_num,A566,jr_val))</f>
        <v/>
      </c>
      <c r="M566" s="60" t="str">
        <f>IF(A566="","",IF(COUNTIFS(jr_num,A566,jr_check,"&lt;&gt;OK")&gt;0,"À vérifier",IF(LEFT(A566,2)="BL",IF(COUNTIFS(jr_num,A566,jr_rel,"&gt;0")&gt;0,"Reliquat en cours",IF(COUNTIFS(jr_num,A566,jr_gap,"&lt;0")&gt;0,"Reliquat livré","Complet")),IF(LEFT(A566,2)="BR",IF(COUNTIFS(jr_num,A566,jr_etat,"Refusé")&gt;0,"Refusé",IF(COUNTIFS(jr_num,A566,jr_etat,"Avec réserves")&gt;0,"Avec réserves",IF(COUNTIFS(jr_num,A566,jr_rel,"&gt;0")&gt;0,"Reliquat en cours",IF(COUNTIFS(jr_num,A566,jr_gap,"&lt;0")+COUNTIFS(jr_num,A566,jr_gap,"&gt;0")&gt;0,"Écart","Conforme")))),IF(COUNTIFS(jr_num,A566,jr_gap,"&lt;0")&gt;0,"Partiel","Sorti")))))</f>
        <v/>
      </c>
      <c r="O566" t="str">
        <f>IFERROR(MATCH(561,jr_grank,0),"")</f>
        <v/>
      </c>
      <c r="R566" s="67" t="str">
        <f>IFERROR(INDEX(jr_num,MATCH("BL561",jr_nkey,0))&amp;"","")</f>
        <v/>
      </c>
      <c r="S566" s="67" t="str">
        <f>IFERROR(INDEX(jr_num,MATCH("BR561",jr_nkey,0))&amp;"","")</f>
        <v/>
      </c>
      <c r="T566" s="67" t="str">
        <f>IFERROR(INDEX(jr_num,MATCH("BS561",jr_nkey,0))&amp;"","")</f>
        <v/>
      </c>
    </row>
    <row r="567">
      <c r="A567" s="60" t="str">
        <f>IF($O567="","",INDEX(jr_num,$O567)&amp;"")</f>
        <v/>
      </c>
      <c r="B567" s="60" t="str">
        <f>IF($O567="","",IF(INDEX(jr_type,$O567)="BL","Livraison",IF(INDEX(jr_type,$O567)="BR","Réception","Sortie")))</f>
        <v/>
      </c>
      <c r="C567" s="65" t="str">
        <f>IF($O567="","",INDEX(jr_date,$O567))</f>
        <v/>
      </c>
      <c r="D567" s="60" t="str">
        <f>IF($O567="","",INDEX(jr_tiers,$O567)&amp;"")</f>
        <v/>
      </c>
      <c r="E567" s="57" t="str">
        <f>IF($O567="","",INDEX(jr_name,$O567)&amp;"")</f>
        <v/>
      </c>
      <c r="F567" s="57" t="str">
        <f>IF($O567="","",INDEX(jr_order,$O567)&amp;"")</f>
        <v/>
      </c>
      <c r="G567" s="57" t="str">
        <f>IF($O567="","",INDEX(jr_ext,$O567)&amp;"")</f>
        <v/>
      </c>
      <c r="H567" s="57" t="str">
        <f>IF($O567="","",INDEX(jr_carrier,$O567)&amp;"")</f>
        <v/>
      </c>
      <c r="I567" s="66" t="str">
        <f>IF(A567="","",COUNTIF(jr_num,A567))</f>
        <v/>
      </c>
      <c r="J567" s="66" t="str">
        <f>IF(A567="","",SUMIF(jr_num,A567,jr_colis))</f>
        <v/>
      </c>
      <c r="K567" s="63" t="str">
        <f>IF(A567="","",SUMIF(jr_num,A567,jr_kg))</f>
        <v/>
      </c>
      <c r="L567" s="64" t="str">
        <f>IF(A567="","",SUMIF(jr_num,A567,jr_val))</f>
        <v/>
      </c>
      <c r="M567" s="60" t="str">
        <f>IF(A567="","",IF(COUNTIFS(jr_num,A567,jr_check,"&lt;&gt;OK")&gt;0,"À vérifier",IF(LEFT(A567,2)="BL",IF(COUNTIFS(jr_num,A567,jr_rel,"&gt;0")&gt;0,"Reliquat en cours",IF(COUNTIFS(jr_num,A567,jr_gap,"&lt;0")&gt;0,"Reliquat livré","Complet")),IF(LEFT(A567,2)="BR",IF(COUNTIFS(jr_num,A567,jr_etat,"Refusé")&gt;0,"Refusé",IF(COUNTIFS(jr_num,A567,jr_etat,"Avec réserves")&gt;0,"Avec réserves",IF(COUNTIFS(jr_num,A567,jr_rel,"&gt;0")&gt;0,"Reliquat en cours",IF(COUNTIFS(jr_num,A567,jr_gap,"&lt;0")+COUNTIFS(jr_num,A567,jr_gap,"&gt;0")&gt;0,"Écart","Conforme")))),IF(COUNTIFS(jr_num,A567,jr_gap,"&lt;0")&gt;0,"Partiel","Sorti")))))</f>
        <v/>
      </c>
      <c r="O567" t="str">
        <f>IFERROR(MATCH(562,jr_grank,0),"")</f>
        <v/>
      </c>
      <c r="R567" s="67" t="str">
        <f>IFERROR(INDEX(jr_num,MATCH("BL562",jr_nkey,0))&amp;"","")</f>
        <v/>
      </c>
      <c r="S567" s="67" t="str">
        <f>IFERROR(INDEX(jr_num,MATCH("BR562",jr_nkey,0))&amp;"","")</f>
        <v/>
      </c>
      <c r="T567" s="67" t="str">
        <f>IFERROR(INDEX(jr_num,MATCH("BS562",jr_nkey,0))&amp;"","")</f>
        <v/>
      </c>
    </row>
    <row r="568">
      <c r="A568" s="60" t="str">
        <f>IF($O568="","",INDEX(jr_num,$O568)&amp;"")</f>
        <v/>
      </c>
      <c r="B568" s="60" t="str">
        <f>IF($O568="","",IF(INDEX(jr_type,$O568)="BL","Livraison",IF(INDEX(jr_type,$O568)="BR","Réception","Sortie")))</f>
        <v/>
      </c>
      <c r="C568" s="65" t="str">
        <f>IF($O568="","",INDEX(jr_date,$O568))</f>
        <v/>
      </c>
      <c r="D568" s="60" t="str">
        <f>IF($O568="","",INDEX(jr_tiers,$O568)&amp;"")</f>
        <v/>
      </c>
      <c r="E568" s="57" t="str">
        <f>IF($O568="","",INDEX(jr_name,$O568)&amp;"")</f>
        <v/>
      </c>
      <c r="F568" s="57" t="str">
        <f>IF($O568="","",INDEX(jr_order,$O568)&amp;"")</f>
        <v/>
      </c>
      <c r="G568" s="57" t="str">
        <f>IF($O568="","",INDEX(jr_ext,$O568)&amp;"")</f>
        <v/>
      </c>
      <c r="H568" s="57" t="str">
        <f>IF($O568="","",INDEX(jr_carrier,$O568)&amp;"")</f>
        <v/>
      </c>
      <c r="I568" s="66" t="str">
        <f>IF(A568="","",COUNTIF(jr_num,A568))</f>
        <v/>
      </c>
      <c r="J568" s="66" t="str">
        <f>IF(A568="","",SUMIF(jr_num,A568,jr_colis))</f>
        <v/>
      </c>
      <c r="K568" s="63" t="str">
        <f>IF(A568="","",SUMIF(jr_num,A568,jr_kg))</f>
        <v/>
      </c>
      <c r="L568" s="64" t="str">
        <f>IF(A568="","",SUMIF(jr_num,A568,jr_val))</f>
        <v/>
      </c>
      <c r="M568" s="60" t="str">
        <f>IF(A568="","",IF(COUNTIFS(jr_num,A568,jr_check,"&lt;&gt;OK")&gt;0,"À vérifier",IF(LEFT(A568,2)="BL",IF(COUNTIFS(jr_num,A568,jr_rel,"&gt;0")&gt;0,"Reliquat en cours",IF(COUNTIFS(jr_num,A568,jr_gap,"&lt;0")&gt;0,"Reliquat livré","Complet")),IF(LEFT(A568,2)="BR",IF(COUNTIFS(jr_num,A568,jr_etat,"Refusé")&gt;0,"Refusé",IF(COUNTIFS(jr_num,A568,jr_etat,"Avec réserves")&gt;0,"Avec réserves",IF(COUNTIFS(jr_num,A568,jr_rel,"&gt;0")&gt;0,"Reliquat en cours",IF(COUNTIFS(jr_num,A568,jr_gap,"&lt;0")+COUNTIFS(jr_num,A568,jr_gap,"&gt;0")&gt;0,"Écart","Conforme")))),IF(COUNTIFS(jr_num,A568,jr_gap,"&lt;0")&gt;0,"Partiel","Sorti")))))</f>
        <v/>
      </c>
      <c r="O568" t="str">
        <f>IFERROR(MATCH(563,jr_grank,0),"")</f>
        <v/>
      </c>
      <c r="R568" s="67" t="str">
        <f>IFERROR(INDEX(jr_num,MATCH("BL563",jr_nkey,0))&amp;"","")</f>
        <v/>
      </c>
      <c r="S568" s="67" t="str">
        <f>IFERROR(INDEX(jr_num,MATCH("BR563",jr_nkey,0))&amp;"","")</f>
        <v/>
      </c>
      <c r="T568" s="67" t="str">
        <f>IFERROR(INDEX(jr_num,MATCH("BS563",jr_nkey,0))&amp;"","")</f>
        <v/>
      </c>
    </row>
    <row r="569">
      <c r="A569" s="60" t="str">
        <f>IF($O569="","",INDEX(jr_num,$O569)&amp;"")</f>
        <v/>
      </c>
      <c r="B569" s="60" t="str">
        <f>IF($O569="","",IF(INDEX(jr_type,$O569)="BL","Livraison",IF(INDEX(jr_type,$O569)="BR","Réception","Sortie")))</f>
        <v/>
      </c>
      <c r="C569" s="65" t="str">
        <f>IF($O569="","",INDEX(jr_date,$O569))</f>
        <v/>
      </c>
      <c r="D569" s="60" t="str">
        <f>IF($O569="","",INDEX(jr_tiers,$O569)&amp;"")</f>
        <v/>
      </c>
      <c r="E569" s="57" t="str">
        <f>IF($O569="","",INDEX(jr_name,$O569)&amp;"")</f>
        <v/>
      </c>
      <c r="F569" s="57" t="str">
        <f>IF($O569="","",INDEX(jr_order,$O569)&amp;"")</f>
        <v/>
      </c>
      <c r="G569" s="57" t="str">
        <f>IF($O569="","",INDEX(jr_ext,$O569)&amp;"")</f>
        <v/>
      </c>
      <c r="H569" s="57" t="str">
        <f>IF($O569="","",INDEX(jr_carrier,$O569)&amp;"")</f>
        <v/>
      </c>
      <c r="I569" s="66" t="str">
        <f>IF(A569="","",COUNTIF(jr_num,A569))</f>
        <v/>
      </c>
      <c r="J569" s="66" t="str">
        <f>IF(A569="","",SUMIF(jr_num,A569,jr_colis))</f>
        <v/>
      </c>
      <c r="K569" s="63" t="str">
        <f>IF(A569="","",SUMIF(jr_num,A569,jr_kg))</f>
        <v/>
      </c>
      <c r="L569" s="64" t="str">
        <f>IF(A569="","",SUMIF(jr_num,A569,jr_val))</f>
        <v/>
      </c>
      <c r="M569" s="60" t="str">
        <f>IF(A569="","",IF(COUNTIFS(jr_num,A569,jr_check,"&lt;&gt;OK")&gt;0,"À vérifier",IF(LEFT(A569,2)="BL",IF(COUNTIFS(jr_num,A569,jr_rel,"&gt;0")&gt;0,"Reliquat en cours",IF(COUNTIFS(jr_num,A569,jr_gap,"&lt;0")&gt;0,"Reliquat livré","Complet")),IF(LEFT(A569,2)="BR",IF(COUNTIFS(jr_num,A569,jr_etat,"Refusé")&gt;0,"Refusé",IF(COUNTIFS(jr_num,A569,jr_etat,"Avec réserves")&gt;0,"Avec réserves",IF(COUNTIFS(jr_num,A569,jr_rel,"&gt;0")&gt;0,"Reliquat en cours",IF(COUNTIFS(jr_num,A569,jr_gap,"&lt;0")+COUNTIFS(jr_num,A569,jr_gap,"&gt;0")&gt;0,"Écart","Conforme")))),IF(COUNTIFS(jr_num,A569,jr_gap,"&lt;0")&gt;0,"Partiel","Sorti")))))</f>
        <v/>
      </c>
      <c r="O569" t="str">
        <f>IFERROR(MATCH(564,jr_grank,0),"")</f>
        <v/>
      </c>
      <c r="R569" s="67" t="str">
        <f>IFERROR(INDEX(jr_num,MATCH("BL564",jr_nkey,0))&amp;"","")</f>
        <v/>
      </c>
      <c r="S569" s="67" t="str">
        <f>IFERROR(INDEX(jr_num,MATCH("BR564",jr_nkey,0))&amp;"","")</f>
        <v/>
      </c>
      <c r="T569" s="67" t="str">
        <f>IFERROR(INDEX(jr_num,MATCH("BS564",jr_nkey,0))&amp;"","")</f>
        <v/>
      </c>
    </row>
    <row r="570">
      <c r="A570" s="60" t="str">
        <f>IF($O570="","",INDEX(jr_num,$O570)&amp;"")</f>
        <v/>
      </c>
      <c r="B570" s="60" t="str">
        <f>IF($O570="","",IF(INDEX(jr_type,$O570)="BL","Livraison",IF(INDEX(jr_type,$O570)="BR","Réception","Sortie")))</f>
        <v/>
      </c>
      <c r="C570" s="65" t="str">
        <f>IF($O570="","",INDEX(jr_date,$O570))</f>
        <v/>
      </c>
      <c r="D570" s="60" t="str">
        <f>IF($O570="","",INDEX(jr_tiers,$O570)&amp;"")</f>
        <v/>
      </c>
      <c r="E570" s="57" t="str">
        <f>IF($O570="","",INDEX(jr_name,$O570)&amp;"")</f>
        <v/>
      </c>
      <c r="F570" s="57" t="str">
        <f>IF($O570="","",INDEX(jr_order,$O570)&amp;"")</f>
        <v/>
      </c>
      <c r="G570" s="57" t="str">
        <f>IF($O570="","",INDEX(jr_ext,$O570)&amp;"")</f>
        <v/>
      </c>
      <c r="H570" s="57" t="str">
        <f>IF($O570="","",INDEX(jr_carrier,$O570)&amp;"")</f>
        <v/>
      </c>
      <c r="I570" s="66" t="str">
        <f>IF(A570="","",COUNTIF(jr_num,A570))</f>
        <v/>
      </c>
      <c r="J570" s="66" t="str">
        <f>IF(A570="","",SUMIF(jr_num,A570,jr_colis))</f>
        <v/>
      </c>
      <c r="K570" s="63" t="str">
        <f>IF(A570="","",SUMIF(jr_num,A570,jr_kg))</f>
        <v/>
      </c>
      <c r="L570" s="64" t="str">
        <f>IF(A570="","",SUMIF(jr_num,A570,jr_val))</f>
        <v/>
      </c>
      <c r="M570" s="60" t="str">
        <f>IF(A570="","",IF(COUNTIFS(jr_num,A570,jr_check,"&lt;&gt;OK")&gt;0,"À vérifier",IF(LEFT(A570,2)="BL",IF(COUNTIFS(jr_num,A570,jr_rel,"&gt;0")&gt;0,"Reliquat en cours",IF(COUNTIFS(jr_num,A570,jr_gap,"&lt;0")&gt;0,"Reliquat livré","Complet")),IF(LEFT(A570,2)="BR",IF(COUNTIFS(jr_num,A570,jr_etat,"Refusé")&gt;0,"Refusé",IF(COUNTIFS(jr_num,A570,jr_etat,"Avec réserves")&gt;0,"Avec réserves",IF(COUNTIFS(jr_num,A570,jr_rel,"&gt;0")&gt;0,"Reliquat en cours",IF(COUNTIFS(jr_num,A570,jr_gap,"&lt;0")+COUNTIFS(jr_num,A570,jr_gap,"&gt;0")&gt;0,"Écart","Conforme")))),IF(COUNTIFS(jr_num,A570,jr_gap,"&lt;0")&gt;0,"Partiel","Sorti")))))</f>
        <v/>
      </c>
      <c r="O570" t="str">
        <f>IFERROR(MATCH(565,jr_grank,0),"")</f>
        <v/>
      </c>
      <c r="R570" s="67" t="str">
        <f>IFERROR(INDEX(jr_num,MATCH("BL565",jr_nkey,0))&amp;"","")</f>
        <v/>
      </c>
      <c r="S570" s="67" t="str">
        <f>IFERROR(INDEX(jr_num,MATCH("BR565",jr_nkey,0))&amp;"","")</f>
        <v/>
      </c>
      <c r="T570" s="67" t="str">
        <f>IFERROR(INDEX(jr_num,MATCH("BS565",jr_nkey,0))&amp;"","")</f>
        <v/>
      </c>
    </row>
    <row r="571">
      <c r="A571" s="60" t="str">
        <f>IF($O571="","",INDEX(jr_num,$O571)&amp;"")</f>
        <v/>
      </c>
      <c r="B571" s="60" t="str">
        <f>IF($O571="","",IF(INDEX(jr_type,$O571)="BL","Livraison",IF(INDEX(jr_type,$O571)="BR","Réception","Sortie")))</f>
        <v/>
      </c>
      <c r="C571" s="65" t="str">
        <f>IF($O571="","",INDEX(jr_date,$O571))</f>
        <v/>
      </c>
      <c r="D571" s="60" t="str">
        <f>IF($O571="","",INDEX(jr_tiers,$O571)&amp;"")</f>
        <v/>
      </c>
      <c r="E571" s="57" t="str">
        <f>IF($O571="","",INDEX(jr_name,$O571)&amp;"")</f>
        <v/>
      </c>
      <c r="F571" s="57" t="str">
        <f>IF($O571="","",INDEX(jr_order,$O571)&amp;"")</f>
        <v/>
      </c>
      <c r="G571" s="57" t="str">
        <f>IF($O571="","",INDEX(jr_ext,$O571)&amp;"")</f>
        <v/>
      </c>
      <c r="H571" s="57" t="str">
        <f>IF($O571="","",INDEX(jr_carrier,$O571)&amp;"")</f>
        <v/>
      </c>
      <c r="I571" s="66" t="str">
        <f>IF(A571="","",COUNTIF(jr_num,A571))</f>
        <v/>
      </c>
      <c r="J571" s="66" t="str">
        <f>IF(A571="","",SUMIF(jr_num,A571,jr_colis))</f>
        <v/>
      </c>
      <c r="K571" s="63" t="str">
        <f>IF(A571="","",SUMIF(jr_num,A571,jr_kg))</f>
        <v/>
      </c>
      <c r="L571" s="64" t="str">
        <f>IF(A571="","",SUMIF(jr_num,A571,jr_val))</f>
        <v/>
      </c>
      <c r="M571" s="60" t="str">
        <f>IF(A571="","",IF(COUNTIFS(jr_num,A571,jr_check,"&lt;&gt;OK")&gt;0,"À vérifier",IF(LEFT(A571,2)="BL",IF(COUNTIFS(jr_num,A571,jr_rel,"&gt;0")&gt;0,"Reliquat en cours",IF(COUNTIFS(jr_num,A571,jr_gap,"&lt;0")&gt;0,"Reliquat livré","Complet")),IF(LEFT(A571,2)="BR",IF(COUNTIFS(jr_num,A571,jr_etat,"Refusé")&gt;0,"Refusé",IF(COUNTIFS(jr_num,A571,jr_etat,"Avec réserves")&gt;0,"Avec réserves",IF(COUNTIFS(jr_num,A571,jr_rel,"&gt;0")&gt;0,"Reliquat en cours",IF(COUNTIFS(jr_num,A571,jr_gap,"&lt;0")+COUNTIFS(jr_num,A571,jr_gap,"&gt;0")&gt;0,"Écart","Conforme")))),IF(COUNTIFS(jr_num,A571,jr_gap,"&lt;0")&gt;0,"Partiel","Sorti")))))</f>
        <v/>
      </c>
      <c r="O571" t="str">
        <f>IFERROR(MATCH(566,jr_grank,0),"")</f>
        <v/>
      </c>
      <c r="R571" s="67" t="str">
        <f>IFERROR(INDEX(jr_num,MATCH("BL566",jr_nkey,0))&amp;"","")</f>
        <v/>
      </c>
      <c r="S571" s="67" t="str">
        <f>IFERROR(INDEX(jr_num,MATCH("BR566",jr_nkey,0))&amp;"","")</f>
        <v/>
      </c>
      <c r="T571" s="67" t="str">
        <f>IFERROR(INDEX(jr_num,MATCH("BS566",jr_nkey,0))&amp;"","")</f>
        <v/>
      </c>
    </row>
    <row r="572">
      <c r="A572" s="60" t="str">
        <f>IF($O572="","",INDEX(jr_num,$O572)&amp;"")</f>
        <v/>
      </c>
      <c r="B572" s="60" t="str">
        <f>IF($O572="","",IF(INDEX(jr_type,$O572)="BL","Livraison",IF(INDEX(jr_type,$O572)="BR","Réception","Sortie")))</f>
        <v/>
      </c>
      <c r="C572" s="65" t="str">
        <f>IF($O572="","",INDEX(jr_date,$O572))</f>
        <v/>
      </c>
      <c r="D572" s="60" t="str">
        <f>IF($O572="","",INDEX(jr_tiers,$O572)&amp;"")</f>
        <v/>
      </c>
      <c r="E572" s="57" t="str">
        <f>IF($O572="","",INDEX(jr_name,$O572)&amp;"")</f>
        <v/>
      </c>
      <c r="F572" s="57" t="str">
        <f>IF($O572="","",INDEX(jr_order,$O572)&amp;"")</f>
        <v/>
      </c>
      <c r="G572" s="57" t="str">
        <f>IF($O572="","",INDEX(jr_ext,$O572)&amp;"")</f>
        <v/>
      </c>
      <c r="H572" s="57" t="str">
        <f>IF($O572="","",INDEX(jr_carrier,$O572)&amp;"")</f>
        <v/>
      </c>
      <c r="I572" s="66" t="str">
        <f>IF(A572="","",COUNTIF(jr_num,A572))</f>
        <v/>
      </c>
      <c r="J572" s="66" t="str">
        <f>IF(A572="","",SUMIF(jr_num,A572,jr_colis))</f>
        <v/>
      </c>
      <c r="K572" s="63" t="str">
        <f>IF(A572="","",SUMIF(jr_num,A572,jr_kg))</f>
        <v/>
      </c>
      <c r="L572" s="64" t="str">
        <f>IF(A572="","",SUMIF(jr_num,A572,jr_val))</f>
        <v/>
      </c>
      <c r="M572" s="60" t="str">
        <f>IF(A572="","",IF(COUNTIFS(jr_num,A572,jr_check,"&lt;&gt;OK")&gt;0,"À vérifier",IF(LEFT(A572,2)="BL",IF(COUNTIFS(jr_num,A572,jr_rel,"&gt;0")&gt;0,"Reliquat en cours",IF(COUNTIFS(jr_num,A572,jr_gap,"&lt;0")&gt;0,"Reliquat livré","Complet")),IF(LEFT(A572,2)="BR",IF(COUNTIFS(jr_num,A572,jr_etat,"Refusé")&gt;0,"Refusé",IF(COUNTIFS(jr_num,A572,jr_etat,"Avec réserves")&gt;0,"Avec réserves",IF(COUNTIFS(jr_num,A572,jr_rel,"&gt;0")&gt;0,"Reliquat en cours",IF(COUNTIFS(jr_num,A572,jr_gap,"&lt;0")+COUNTIFS(jr_num,A572,jr_gap,"&gt;0")&gt;0,"Écart","Conforme")))),IF(COUNTIFS(jr_num,A572,jr_gap,"&lt;0")&gt;0,"Partiel","Sorti")))))</f>
        <v/>
      </c>
      <c r="O572" t="str">
        <f>IFERROR(MATCH(567,jr_grank,0),"")</f>
        <v/>
      </c>
      <c r="R572" s="67" t="str">
        <f>IFERROR(INDEX(jr_num,MATCH("BL567",jr_nkey,0))&amp;"","")</f>
        <v/>
      </c>
      <c r="S572" s="67" t="str">
        <f>IFERROR(INDEX(jr_num,MATCH("BR567",jr_nkey,0))&amp;"","")</f>
        <v/>
      </c>
      <c r="T572" s="67" t="str">
        <f>IFERROR(INDEX(jr_num,MATCH("BS567",jr_nkey,0))&amp;"","")</f>
        <v/>
      </c>
    </row>
    <row r="573">
      <c r="A573" s="60" t="str">
        <f>IF($O573="","",INDEX(jr_num,$O573)&amp;"")</f>
        <v/>
      </c>
      <c r="B573" s="60" t="str">
        <f>IF($O573="","",IF(INDEX(jr_type,$O573)="BL","Livraison",IF(INDEX(jr_type,$O573)="BR","Réception","Sortie")))</f>
        <v/>
      </c>
      <c r="C573" s="65" t="str">
        <f>IF($O573="","",INDEX(jr_date,$O573))</f>
        <v/>
      </c>
      <c r="D573" s="60" t="str">
        <f>IF($O573="","",INDEX(jr_tiers,$O573)&amp;"")</f>
        <v/>
      </c>
      <c r="E573" s="57" t="str">
        <f>IF($O573="","",INDEX(jr_name,$O573)&amp;"")</f>
        <v/>
      </c>
      <c r="F573" s="57" t="str">
        <f>IF($O573="","",INDEX(jr_order,$O573)&amp;"")</f>
        <v/>
      </c>
      <c r="G573" s="57" t="str">
        <f>IF($O573="","",INDEX(jr_ext,$O573)&amp;"")</f>
        <v/>
      </c>
      <c r="H573" s="57" t="str">
        <f>IF($O573="","",INDEX(jr_carrier,$O573)&amp;"")</f>
        <v/>
      </c>
      <c r="I573" s="66" t="str">
        <f>IF(A573="","",COUNTIF(jr_num,A573))</f>
        <v/>
      </c>
      <c r="J573" s="66" t="str">
        <f>IF(A573="","",SUMIF(jr_num,A573,jr_colis))</f>
        <v/>
      </c>
      <c r="K573" s="63" t="str">
        <f>IF(A573="","",SUMIF(jr_num,A573,jr_kg))</f>
        <v/>
      </c>
      <c r="L573" s="64" t="str">
        <f>IF(A573="","",SUMIF(jr_num,A573,jr_val))</f>
        <v/>
      </c>
      <c r="M573" s="60" t="str">
        <f>IF(A573="","",IF(COUNTIFS(jr_num,A573,jr_check,"&lt;&gt;OK")&gt;0,"À vérifier",IF(LEFT(A573,2)="BL",IF(COUNTIFS(jr_num,A573,jr_rel,"&gt;0")&gt;0,"Reliquat en cours",IF(COUNTIFS(jr_num,A573,jr_gap,"&lt;0")&gt;0,"Reliquat livré","Complet")),IF(LEFT(A573,2)="BR",IF(COUNTIFS(jr_num,A573,jr_etat,"Refusé")&gt;0,"Refusé",IF(COUNTIFS(jr_num,A573,jr_etat,"Avec réserves")&gt;0,"Avec réserves",IF(COUNTIFS(jr_num,A573,jr_rel,"&gt;0")&gt;0,"Reliquat en cours",IF(COUNTIFS(jr_num,A573,jr_gap,"&lt;0")+COUNTIFS(jr_num,A573,jr_gap,"&gt;0")&gt;0,"Écart","Conforme")))),IF(COUNTIFS(jr_num,A573,jr_gap,"&lt;0")&gt;0,"Partiel","Sorti")))))</f>
        <v/>
      </c>
      <c r="O573" t="str">
        <f>IFERROR(MATCH(568,jr_grank,0),"")</f>
        <v/>
      </c>
      <c r="R573" s="67" t="str">
        <f>IFERROR(INDEX(jr_num,MATCH("BL568",jr_nkey,0))&amp;"","")</f>
        <v/>
      </c>
      <c r="S573" s="67" t="str">
        <f>IFERROR(INDEX(jr_num,MATCH("BR568",jr_nkey,0))&amp;"","")</f>
        <v/>
      </c>
      <c r="T573" s="67" t="str">
        <f>IFERROR(INDEX(jr_num,MATCH("BS568",jr_nkey,0))&amp;"","")</f>
        <v/>
      </c>
    </row>
    <row r="574">
      <c r="A574" s="60" t="str">
        <f>IF($O574="","",INDEX(jr_num,$O574)&amp;"")</f>
        <v/>
      </c>
      <c r="B574" s="60" t="str">
        <f>IF($O574="","",IF(INDEX(jr_type,$O574)="BL","Livraison",IF(INDEX(jr_type,$O574)="BR","Réception","Sortie")))</f>
        <v/>
      </c>
      <c r="C574" s="65" t="str">
        <f>IF($O574="","",INDEX(jr_date,$O574))</f>
        <v/>
      </c>
      <c r="D574" s="60" t="str">
        <f>IF($O574="","",INDEX(jr_tiers,$O574)&amp;"")</f>
        <v/>
      </c>
      <c r="E574" s="57" t="str">
        <f>IF($O574="","",INDEX(jr_name,$O574)&amp;"")</f>
        <v/>
      </c>
      <c r="F574" s="57" t="str">
        <f>IF($O574="","",INDEX(jr_order,$O574)&amp;"")</f>
        <v/>
      </c>
      <c r="G574" s="57" t="str">
        <f>IF($O574="","",INDEX(jr_ext,$O574)&amp;"")</f>
        <v/>
      </c>
      <c r="H574" s="57" t="str">
        <f>IF($O574="","",INDEX(jr_carrier,$O574)&amp;"")</f>
        <v/>
      </c>
      <c r="I574" s="66" t="str">
        <f>IF(A574="","",COUNTIF(jr_num,A574))</f>
        <v/>
      </c>
      <c r="J574" s="66" t="str">
        <f>IF(A574="","",SUMIF(jr_num,A574,jr_colis))</f>
        <v/>
      </c>
      <c r="K574" s="63" t="str">
        <f>IF(A574="","",SUMIF(jr_num,A574,jr_kg))</f>
        <v/>
      </c>
      <c r="L574" s="64" t="str">
        <f>IF(A574="","",SUMIF(jr_num,A574,jr_val))</f>
        <v/>
      </c>
      <c r="M574" s="60" t="str">
        <f>IF(A574="","",IF(COUNTIFS(jr_num,A574,jr_check,"&lt;&gt;OK")&gt;0,"À vérifier",IF(LEFT(A574,2)="BL",IF(COUNTIFS(jr_num,A574,jr_rel,"&gt;0")&gt;0,"Reliquat en cours",IF(COUNTIFS(jr_num,A574,jr_gap,"&lt;0")&gt;0,"Reliquat livré","Complet")),IF(LEFT(A574,2)="BR",IF(COUNTIFS(jr_num,A574,jr_etat,"Refusé")&gt;0,"Refusé",IF(COUNTIFS(jr_num,A574,jr_etat,"Avec réserves")&gt;0,"Avec réserves",IF(COUNTIFS(jr_num,A574,jr_rel,"&gt;0")&gt;0,"Reliquat en cours",IF(COUNTIFS(jr_num,A574,jr_gap,"&lt;0")+COUNTIFS(jr_num,A574,jr_gap,"&gt;0")&gt;0,"Écart","Conforme")))),IF(COUNTIFS(jr_num,A574,jr_gap,"&lt;0")&gt;0,"Partiel","Sorti")))))</f>
        <v/>
      </c>
      <c r="O574" t="str">
        <f>IFERROR(MATCH(569,jr_grank,0),"")</f>
        <v/>
      </c>
      <c r="R574" s="67" t="str">
        <f>IFERROR(INDEX(jr_num,MATCH("BL569",jr_nkey,0))&amp;"","")</f>
        <v/>
      </c>
      <c r="S574" s="67" t="str">
        <f>IFERROR(INDEX(jr_num,MATCH("BR569",jr_nkey,0))&amp;"","")</f>
        <v/>
      </c>
      <c r="T574" s="67" t="str">
        <f>IFERROR(INDEX(jr_num,MATCH("BS569",jr_nkey,0))&amp;"","")</f>
        <v/>
      </c>
    </row>
    <row r="575">
      <c r="A575" s="60" t="str">
        <f>IF($O575="","",INDEX(jr_num,$O575)&amp;"")</f>
        <v/>
      </c>
      <c r="B575" s="60" t="str">
        <f>IF($O575="","",IF(INDEX(jr_type,$O575)="BL","Livraison",IF(INDEX(jr_type,$O575)="BR","Réception","Sortie")))</f>
        <v/>
      </c>
      <c r="C575" s="65" t="str">
        <f>IF($O575="","",INDEX(jr_date,$O575))</f>
        <v/>
      </c>
      <c r="D575" s="60" t="str">
        <f>IF($O575="","",INDEX(jr_tiers,$O575)&amp;"")</f>
        <v/>
      </c>
      <c r="E575" s="57" t="str">
        <f>IF($O575="","",INDEX(jr_name,$O575)&amp;"")</f>
        <v/>
      </c>
      <c r="F575" s="57" t="str">
        <f>IF($O575="","",INDEX(jr_order,$O575)&amp;"")</f>
        <v/>
      </c>
      <c r="G575" s="57" t="str">
        <f>IF($O575="","",INDEX(jr_ext,$O575)&amp;"")</f>
        <v/>
      </c>
      <c r="H575" s="57" t="str">
        <f>IF($O575="","",INDEX(jr_carrier,$O575)&amp;"")</f>
        <v/>
      </c>
      <c r="I575" s="66" t="str">
        <f>IF(A575="","",COUNTIF(jr_num,A575))</f>
        <v/>
      </c>
      <c r="J575" s="66" t="str">
        <f>IF(A575="","",SUMIF(jr_num,A575,jr_colis))</f>
        <v/>
      </c>
      <c r="K575" s="63" t="str">
        <f>IF(A575="","",SUMIF(jr_num,A575,jr_kg))</f>
        <v/>
      </c>
      <c r="L575" s="64" t="str">
        <f>IF(A575="","",SUMIF(jr_num,A575,jr_val))</f>
        <v/>
      </c>
      <c r="M575" s="60" t="str">
        <f>IF(A575="","",IF(COUNTIFS(jr_num,A575,jr_check,"&lt;&gt;OK")&gt;0,"À vérifier",IF(LEFT(A575,2)="BL",IF(COUNTIFS(jr_num,A575,jr_rel,"&gt;0")&gt;0,"Reliquat en cours",IF(COUNTIFS(jr_num,A575,jr_gap,"&lt;0")&gt;0,"Reliquat livré","Complet")),IF(LEFT(A575,2)="BR",IF(COUNTIFS(jr_num,A575,jr_etat,"Refusé")&gt;0,"Refusé",IF(COUNTIFS(jr_num,A575,jr_etat,"Avec réserves")&gt;0,"Avec réserves",IF(COUNTIFS(jr_num,A575,jr_rel,"&gt;0")&gt;0,"Reliquat en cours",IF(COUNTIFS(jr_num,A575,jr_gap,"&lt;0")+COUNTIFS(jr_num,A575,jr_gap,"&gt;0")&gt;0,"Écart","Conforme")))),IF(COUNTIFS(jr_num,A575,jr_gap,"&lt;0")&gt;0,"Partiel","Sorti")))))</f>
        <v/>
      </c>
      <c r="O575" t="str">
        <f>IFERROR(MATCH(570,jr_grank,0),"")</f>
        <v/>
      </c>
      <c r="R575" s="67" t="str">
        <f>IFERROR(INDEX(jr_num,MATCH("BL570",jr_nkey,0))&amp;"","")</f>
        <v/>
      </c>
      <c r="S575" s="67" t="str">
        <f>IFERROR(INDEX(jr_num,MATCH("BR570",jr_nkey,0))&amp;"","")</f>
        <v/>
      </c>
      <c r="T575" s="67" t="str">
        <f>IFERROR(INDEX(jr_num,MATCH("BS570",jr_nkey,0))&amp;"","")</f>
        <v/>
      </c>
    </row>
    <row r="576">
      <c r="A576" s="60" t="str">
        <f>IF($O576="","",INDEX(jr_num,$O576)&amp;"")</f>
        <v/>
      </c>
      <c r="B576" s="60" t="str">
        <f>IF($O576="","",IF(INDEX(jr_type,$O576)="BL","Livraison",IF(INDEX(jr_type,$O576)="BR","Réception","Sortie")))</f>
        <v/>
      </c>
      <c r="C576" s="65" t="str">
        <f>IF($O576="","",INDEX(jr_date,$O576))</f>
        <v/>
      </c>
      <c r="D576" s="60" t="str">
        <f>IF($O576="","",INDEX(jr_tiers,$O576)&amp;"")</f>
        <v/>
      </c>
      <c r="E576" s="57" t="str">
        <f>IF($O576="","",INDEX(jr_name,$O576)&amp;"")</f>
        <v/>
      </c>
      <c r="F576" s="57" t="str">
        <f>IF($O576="","",INDEX(jr_order,$O576)&amp;"")</f>
        <v/>
      </c>
      <c r="G576" s="57" t="str">
        <f>IF($O576="","",INDEX(jr_ext,$O576)&amp;"")</f>
        <v/>
      </c>
      <c r="H576" s="57" t="str">
        <f>IF($O576="","",INDEX(jr_carrier,$O576)&amp;"")</f>
        <v/>
      </c>
      <c r="I576" s="66" t="str">
        <f>IF(A576="","",COUNTIF(jr_num,A576))</f>
        <v/>
      </c>
      <c r="J576" s="66" t="str">
        <f>IF(A576="","",SUMIF(jr_num,A576,jr_colis))</f>
        <v/>
      </c>
      <c r="K576" s="63" t="str">
        <f>IF(A576="","",SUMIF(jr_num,A576,jr_kg))</f>
        <v/>
      </c>
      <c r="L576" s="64" t="str">
        <f>IF(A576="","",SUMIF(jr_num,A576,jr_val))</f>
        <v/>
      </c>
      <c r="M576" s="60" t="str">
        <f>IF(A576="","",IF(COUNTIFS(jr_num,A576,jr_check,"&lt;&gt;OK")&gt;0,"À vérifier",IF(LEFT(A576,2)="BL",IF(COUNTIFS(jr_num,A576,jr_rel,"&gt;0")&gt;0,"Reliquat en cours",IF(COUNTIFS(jr_num,A576,jr_gap,"&lt;0")&gt;0,"Reliquat livré","Complet")),IF(LEFT(A576,2)="BR",IF(COUNTIFS(jr_num,A576,jr_etat,"Refusé")&gt;0,"Refusé",IF(COUNTIFS(jr_num,A576,jr_etat,"Avec réserves")&gt;0,"Avec réserves",IF(COUNTIFS(jr_num,A576,jr_rel,"&gt;0")&gt;0,"Reliquat en cours",IF(COUNTIFS(jr_num,A576,jr_gap,"&lt;0")+COUNTIFS(jr_num,A576,jr_gap,"&gt;0")&gt;0,"Écart","Conforme")))),IF(COUNTIFS(jr_num,A576,jr_gap,"&lt;0")&gt;0,"Partiel","Sorti")))))</f>
        <v/>
      </c>
      <c r="O576" t="str">
        <f>IFERROR(MATCH(571,jr_grank,0),"")</f>
        <v/>
      </c>
      <c r="R576" s="67" t="str">
        <f>IFERROR(INDEX(jr_num,MATCH("BL571",jr_nkey,0))&amp;"","")</f>
        <v/>
      </c>
      <c r="S576" s="67" t="str">
        <f>IFERROR(INDEX(jr_num,MATCH("BR571",jr_nkey,0))&amp;"","")</f>
        <v/>
      </c>
      <c r="T576" s="67" t="str">
        <f>IFERROR(INDEX(jr_num,MATCH("BS571",jr_nkey,0))&amp;"","")</f>
        <v/>
      </c>
    </row>
    <row r="577">
      <c r="A577" s="60" t="str">
        <f>IF($O577="","",INDEX(jr_num,$O577)&amp;"")</f>
        <v/>
      </c>
      <c r="B577" s="60" t="str">
        <f>IF($O577="","",IF(INDEX(jr_type,$O577)="BL","Livraison",IF(INDEX(jr_type,$O577)="BR","Réception","Sortie")))</f>
        <v/>
      </c>
      <c r="C577" s="65" t="str">
        <f>IF($O577="","",INDEX(jr_date,$O577))</f>
        <v/>
      </c>
      <c r="D577" s="60" t="str">
        <f>IF($O577="","",INDEX(jr_tiers,$O577)&amp;"")</f>
        <v/>
      </c>
      <c r="E577" s="57" t="str">
        <f>IF($O577="","",INDEX(jr_name,$O577)&amp;"")</f>
        <v/>
      </c>
      <c r="F577" s="57" t="str">
        <f>IF($O577="","",INDEX(jr_order,$O577)&amp;"")</f>
        <v/>
      </c>
      <c r="G577" s="57" t="str">
        <f>IF($O577="","",INDEX(jr_ext,$O577)&amp;"")</f>
        <v/>
      </c>
      <c r="H577" s="57" t="str">
        <f>IF($O577="","",INDEX(jr_carrier,$O577)&amp;"")</f>
        <v/>
      </c>
      <c r="I577" s="66" t="str">
        <f>IF(A577="","",COUNTIF(jr_num,A577))</f>
        <v/>
      </c>
      <c r="J577" s="66" t="str">
        <f>IF(A577="","",SUMIF(jr_num,A577,jr_colis))</f>
        <v/>
      </c>
      <c r="K577" s="63" t="str">
        <f>IF(A577="","",SUMIF(jr_num,A577,jr_kg))</f>
        <v/>
      </c>
      <c r="L577" s="64" t="str">
        <f>IF(A577="","",SUMIF(jr_num,A577,jr_val))</f>
        <v/>
      </c>
      <c r="M577" s="60" t="str">
        <f>IF(A577="","",IF(COUNTIFS(jr_num,A577,jr_check,"&lt;&gt;OK")&gt;0,"À vérifier",IF(LEFT(A577,2)="BL",IF(COUNTIFS(jr_num,A577,jr_rel,"&gt;0")&gt;0,"Reliquat en cours",IF(COUNTIFS(jr_num,A577,jr_gap,"&lt;0")&gt;0,"Reliquat livré","Complet")),IF(LEFT(A577,2)="BR",IF(COUNTIFS(jr_num,A577,jr_etat,"Refusé")&gt;0,"Refusé",IF(COUNTIFS(jr_num,A577,jr_etat,"Avec réserves")&gt;0,"Avec réserves",IF(COUNTIFS(jr_num,A577,jr_rel,"&gt;0")&gt;0,"Reliquat en cours",IF(COUNTIFS(jr_num,A577,jr_gap,"&lt;0")+COUNTIFS(jr_num,A577,jr_gap,"&gt;0")&gt;0,"Écart","Conforme")))),IF(COUNTIFS(jr_num,A577,jr_gap,"&lt;0")&gt;0,"Partiel","Sorti")))))</f>
        <v/>
      </c>
      <c r="O577" t="str">
        <f>IFERROR(MATCH(572,jr_grank,0),"")</f>
        <v/>
      </c>
      <c r="R577" s="67" t="str">
        <f>IFERROR(INDEX(jr_num,MATCH("BL572",jr_nkey,0))&amp;"","")</f>
        <v/>
      </c>
      <c r="S577" s="67" t="str">
        <f>IFERROR(INDEX(jr_num,MATCH("BR572",jr_nkey,0))&amp;"","")</f>
        <v/>
      </c>
      <c r="T577" s="67" t="str">
        <f>IFERROR(INDEX(jr_num,MATCH("BS572",jr_nkey,0))&amp;"","")</f>
        <v/>
      </c>
    </row>
    <row r="578">
      <c r="A578" s="60" t="str">
        <f>IF($O578="","",INDEX(jr_num,$O578)&amp;"")</f>
        <v/>
      </c>
      <c r="B578" s="60" t="str">
        <f>IF($O578="","",IF(INDEX(jr_type,$O578)="BL","Livraison",IF(INDEX(jr_type,$O578)="BR","Réception","Sortie")))</f>
        <v/>
      </c>
      <c r="C578" s="65" t="str">
        <f>IF($O578="","",INDEX(jr_date,$O578))</f>
        <v/>
      </c>
      <c r="D578" s="60" t="str">
        <f>IF($O578="","",INDEX(jr_tiers,$O578)&amp;"")</f>
        <v/>
      </c>
      <c r="E578" s="57" t="str">
        <f>IF($O578="","",INDEX(jr_name,$O578)&amp;"")</f>
        <v/>
      </c>
      <c r="F578" s="57" t="str">
        <f>IF($O578="","",INDEX(jr_order,$O578)&amp;"")</f>
        <v/>
      </c>
      <c r="G578" s="57" t="str">
        <f>IF($O578="","",INDEX(jr_ext,$O578)&amp;"")</f>
        <v/>
      </c>
      <c r="H578" s="57" t="str">
        <f>IF($O578="","",INDEX(jr_carrier,$O578)&amp;"")</f>
        <v/>
      </c>
      <c r="I578" s="66" t="str">
        <f>IF(A578="","",COUNTIF(jr_num,A578))</f>
        <v/>
      </c>
      <c r="J578" s="66" t="str">
        <f>IF(A578="","",SUMIF(jr_num,A578,jr_colis))</f>
        <v/>
      </c>
      <c r="K578" s="63" t="str">
        <f>IF(A578="","",SUMIF(jr_num,A578,jr_kg))</f>
        <v/>
      </c>
      <c r="L578" s="64" t="str">
        <f>IF(A578="","",SUMIF(jr_num,A578,jr_val))</f>
        <v/>
      </c>
      <c r="M578" s="60" t="str">
        <f>IF(A578="","",IF(COUNTIFS(jr_num,A578,jr_check,"&lt;&gt;OK")&gt;0,"À vérifier",IF(LEFT(A578,2)="BL",IF(COUNTIFS(jr_num,A578,jr_rel,"&gt;0")&gt;0,"Reliquat en cours",IF(COUNTIFS(jr_num,A578,jr_gap,"&lt;0")&gt;0,"Reliquat livré","Complet")),IF(LEFT(A578,2)="BR",IF(COUNTIFS(jr_num,A578,jr_etat,"Refusé")&gt;0,"Refusé",IF(COUNTIFS(jr_num,A578,jr_etat,"Avec réserves")&gt;0,"Avec réserves",IF(COUNTIFS(jr_num,A578,jr_rel,"&gt;0")&gt;0,"Reliquat en cours",IF(COUNTIFS(jr_num,A578,jr_gap,"&lt;0")+COUNTIFS(jr_num,A578,jr_gap,"&gt;0")&gt;0,"Écart","Conforme")))),IF(COUNTIFS(jr_num,A578,jr_gap,"&lt;0")&gt;0,"Partiel","Sorti")))))</f>
        <v/>
      </c>
      <c r="O578" t="str">
        <f>IFERROR(MATCH(573,jr_grank,0),"")</f>
        <v/>
      </c>
      <c r="R578" s="67" t="str">
        <f>IFERROR(INDEX(jr_num,MATCH("BL573",jr_nkey,0))&amp;"","")</f>
        <v/>
      </c>
      <c r="S578" s="67" t="str">
        <f>IFERROR(INDEX(jr_num,MATCH("BR573",jr_nkey,0))&amp;"","")</f>
        <v/>
      </c>
      <c r="T578" s="67" t="str">
        <f>IFERROR(INDEX(jr_num,MATCH("BS573",jr_nkey,0))&amp;"","")</f>
        <v/>
      </c>
    </row>
    <row r="579">
      <c r="A579" s="60" t="str">
        <f>IF($O579="","",INDEX(jr_num,$O579)&amp;"")</f>
        <v/>
      </c>
      <c r="B579" s="60" t="str">
        <f>IF($O579="","",IF(INDEX(jr_type,$O579)="BL","Livraison",IF(INDEX(jr_type,$O579)="BR","Réception","Sortie")))</f>
        <v/>
      </c>
      <c r="C579" s="65" t="str">
        <f>IF($O579="","",INDEX(jr_date,$O579))</f>
        <v/>
      </c>
      <c r="D579" s="60" t="str">
        <f>IF($O579="","",INDEX(jr_tiers,$O579)&amp;"")</f>
        <v/>
      </c>
      <c r="E579" s="57" t="str">
        <f>IF($O579="","",INDEX(jr_name,$O579)&amp;"")</f>
        <v/>
      </c>
      <c r="F579" s="57" t="str">
        <f>IF($O579="","",INDEX(jr_order,$O579)&amp;"")</f>
        <v/>
      </c>
      <c r="G579" s="57" t="str">
        <f>IF($O579="","",INDEX(jr_ext,$O579)&amp;"")</f>
        <v/>
      </c>
      <c r="H579" s="57" t="str">
        <f>IF($O579="","",INDEX(jr_carrier,$O579)&amp;"")</f>
        <v/>
      </c>
      <c r="I579" s="66" t="str">
        <f>IF(A579="","",COUNTIF(jr_num,A579))</f>
        <v/>
      </c>
      <c r="J579" s="66" t="str">
        <f>IF(A579="","",SUMIF(jr_num,A579,jr_colis))</f>
        <v/>
      </c>
      <c r="K579" s="63" t="str">
        <f>IF(A579="","",SUMIF(jr_num,A579,jr_kg))</f>
        <v/>
      </c>
      <c r="L579" s="64" t="str">
        <f>IF(A579="","",SUMIF(jr_num,A579,jr_val))</f>
        <v/>
      </c>
      <c r="M579" s="60" t="str">
        <f>IF(A579="","",IF(COUNTIFS(jr_num,A579,jr_check,"&lt;&gt;OK")&gt;0,"À vérifier",IF(LEFT(A579,2)="BL",IF(COUNTIFS(jr_num,A579,jr_rel,"&gt;0")&gt;0,"Reliquat en cours",IF(COUNTIFS(jr_num,A579,jr_gap,"&lt;0")&gt;0,"Reliquat livré","Complet")),IF(LEFT(A579,2)="BR",IF(COUNTIFS(jr_num,A579,jr_etat,"Refusé")&gt;0,"Refusé",IF(COUNTIFS(jr_num,A579,jr_etat,"Avec réserves")&gt;0,"Avec réserves",IF(COUNTIFS(jr_num,A579,jr_rel,"&gt;0")&gt;0,"Reliquat en cours",IF(COUNTIFS(jr_num,A579,jr_gap,"&lt;0")+COUNTIFS(jr_num,A579,jr_gap,"&gt;0")&gt;0,"Écart","Conforme")))),IF(COUNTIFS(jr_num,A579,jr_gap,"&lt;0")&gt;0,"Partiel","Sorti")))))</f>
        <v/>
      </c>
      <c r="O579" t="str">
        <f>IFERROR(MATCH(574,jr_grank,0),"")</f>
        <v/>
      </c>
      <c r="R579" s="67" t="str">
        <f>IFERROR(INDEX(jr_num,MATCH("BL574",jr_nkey,0))&amp;"","")</f>
        <v/>
      </c>
      <c r="S579" s="67" t="str">
        <f>IFERROR(INDEX(jr_num,MATCH("BR574",jr_nkey,0))&amp;"","")</f>
        <v/>
      </c>
      <c r="T579" s="67" t="str">
        <f>IFERROR(INDEX(jr_num,MATCH("BS574",jr_nkey,0))&amp;"","")</f>
        <v/>
      </c>
    </row>
    <row r="580">
      <c r="A580" s="60" t="str">
        <f>IF($O580="","",INDEX(jr_num,$O580)&amp;"")</f>
        <v/>
      </c>
      <c r="B580" s="60" t="str">
        <f>IF($O580="","",IF(INDEX(jr_type,$O580)="BL","Livraison",IF(INDEX(jr_type,$O580)="BR","Réception","Sortie")))</f>
        <v/>
      </c>
      <c r="C580" s="65" t="str">
        <f>IF($O580="","",INDEX(jr_date,$O580))</f>
        <v/>
      </c>
      <c r="D580" s="60" t="str">
        <f>IF($O580="","",INDEX(jr_tiers,$O580)&amp;"")</f>
        <v/>
      </c>
      <c r="E580" s="57" t="str">
        <f>IF($O580="","",INDEX(jr_name,$O580)&amp;"")</f>
        <v/>
      </c>
      <c r="F580" s="57" t="str">
        <f>IF($O580="","",INDEX(jr_order,$O580)&amp;"")</f>
        <v/>
      </c>
      <c r="G580" s="57" t="str">
        <f>IF($O580="","",INDEX(jr_ext,$O580)&amp;"")</f>
        <v/>
      </c>
      <c r="H580" s="57" t="str">
        <f>IF($O580="","",INDEX(jr_carrier,$O580)&amp;"")</f>
        <v/>
      </c>
      <c r="I580" s="66" t="str">
        <f>IF(A580="","",COUNTIF(jr_num,A580))</f>
        <v/>
      </c>
      <c r="J580" s="66" t="str">
        <f>IF(A580="","",SUMIF(jr_num,A580,jr_colis))</f>
        <v/>
      </c>
      <c r="K580" s="63" t="str">
        <f>IF(A580="","",SUMIF(jr_num,A580,jr_kg))</f>
        <v/>
      </c>
      <c r="L580" s="64" t="str">
        <f>IF(A580="","",SUMIF(jr_num,A580,jr_val))</f>
        <v/>
      </c>
      <c r="M580" s="60" t="str">
        <f>IF(A580="","",IF(COUNTIFS(jr_num,A580,jr_check,"&lt;&gt;OK")&gt;0,"À vérifier",IF(LEFT(A580,2)="BL",IF(COUNTIFS(jr_num,A580,jr_rel,"&gt;0")&gt;0,"Reliquat en cours",IF(COUNTIFS(jr_num,A580,jr_gap,"&lt;0")&gt;0,"Reliquat livré","Complet")),IF(LEFT(A580,2)="BR",IF(COUNTIFS(jr_num,A580,jr_etat,"Refusé")&gt;0,"Refusé",IF(COUNTIFS(jr_num,A580,jr_etat,"Avec réserves")&gt;0,"Avec réserves",IF(COUNTIFS(jr_num,A580,jr_rel,"&gt;0")&gt;0,"Reliquat en cours",IF(COUNTIFS(jr_num,A580,jr_gap,"&lt;0")+COUNTIFS(jr_num,A580,jr_gap,"&gt;0")&gt;0,"Écart","Conforme")))),IF(COUNTIFS(jr_num,A580,jr_gap,"&lt;0")&gt;0,"Partiel","Sorti")))))</f>
        <v/>
      </c>
      <c r="O580" t="str">
        <f>IFERROR(MATCH(575,jr_grank,0),"")</f>
        <v/>
      </c>
      <c r="R580" s="67" t="str">
        <f>IFERROR(INDEX(jr_num,MATCH("BL575",jr_nkey,0))&amp;"","")</f>
        <v/>
      </c>
      <c r="S580" s="67" t="str">
        <f>IFERROR(INDEX(jr_num,MATCH("BR575",jr_nkey,0))&amp;"","")</f>
        <v/>
      </c>
      <c r="T580" s="67" t="str">
        <f>IFERROR(INDEX(jr_num,MATCH("BS575",jr_nkey,0))&amp;"","")</f>
        <v/>
      </c>
    </row>
    <row r="581">
      <c r="A581" s="60" t="str">
        <f>IF($O581="","",INDEX(jr_num,$O581)&amp;"")</f>
        <v/>
      </c>
      <c r="B581" s="60" t="str">
        <f>IF($O581="","",IF(INDEX(jr_type,$O581)="BL","Livraison",IF(INDEX(jr_type,$O581)="BR","Réception","Sortie")))</f>
        <v/>
      </c>
      <c r="C581" s="65" t="str">
        <f>IF($O581="","",INDEX(jr_date,$O581))</f>
        <v/>
      </c>
      <c r="D581" s="60" t="str">
        <f>IF($O581="","",INDEX(jr_tiers,$O581)&amp;"")</f>
        <v/>
      </c>
      <c r="E581" s="57" t="str">
        <f>IF($O581="","",INDEX(jr_name,$O581)&amp;"")</f>
        <v/>
      </c>
      <c r="F581" s="57" t="str">
        <f>IF($O581="","",INDEX(jr_order,$O581)&amp;"")</f>
        <v/>
      </c>
      <c r="G581" s="57" t="str">
        <f>IF($O581="","",INDEX(jr_ext,$O581)&amp;"")</f>
        <v/>
      </c>
      <c r="H581" s="57" t="str">
        <f>IF($O581="","",INDEX(jr_carrier,$O581)&amp;"")</f>
        <v/>
      </c>
      <c r="I581" s="66" t="str">
        <f>IF(A581="","",COUNTIF(jr_num,A581))</f>
        <v/>
      </c>
      <c r="J581" s="66" t="str">
        <f>IF(A581="","",SUMIF(jr_num,A581,jr_colis))</f>
        <v/>
      </c>
      <c r="K581" s="63" t="str">
        <f>IF(A581="","",SUMIF(jr_num,A581,jr_kg))</f>
        <v/>
      </c>
      <c r="L581" s="64" t="str">
        <f>IF(A581="","",SUMIF(jr_num,A581,jr_val))</f>
        <v/>
      </c>
      <c r="M581" s="60" t="str">
        <f>IF(A581="","",IF(COUNTIFS(jr_num,A581,jr_check,"&lt;&gt;OK")&gt;0,"À vérifier",IF(LEFT(A581,2)="BL",IF(COUNTIFS(jr_num,A581,jr_rel,"&gt;0")&gt;0,"Reliquat en cours",IF(COUNTIFS(jr_num,A581,jr_gap,"&lt;0")&gt;0,"Reliquat livré","Complet")),IF(LEFT(A581,2)="BR",IF(COUNTIFS(jr_num,A581,jr_etat,"Refusé")&gt;0,"Refusé",IF(COUNTIFS(jr_num,A581,jr_etat,"Avec réserves")&gt;0,"Avec réserves",IF(COUNTIFS(jr_num,A581,jr_rel,"&gt;0")&gt;0,"Reliquat en cours",IF(COUNTIFS(jr_num,A581,jr_gap,"&lt;0")+COUNTIFS(jr_num,A581,jr_gap,"&gt;0")&gt;0,"Écart","Conforme")))),IF(COUNTIFS(jr_num,A581,jr_gap,"&lt;0")&gt;0,"Partiel","Sorti")))))</f>
        <v/>
      </c>
      <c r="O581" t="str">
        <f>IFERROR(MATCH(576,jr_grank,0),"")</f>
        <v/>
      </c>
      <c r="R581" s="67" t="str">
        <f>IFERROR(INDEX(jr_num,MATCH("BL576",jr_nkey,0))&amp;"","")</f>
        <v/>
      </c>
      <c r="S581" s="67" t="str">
        <f>IFERROR(INDEX(jr_num,MATCH("BR576",jr_nkey,0))&amp;"","")</f>
        <v/>
      </c>
      <c r="T581" s="67" t="str">
        <f>IFERROR(INDEX(jr_num,MATCH("BS576",jr_nkey,0))&amp;"","")</f>
        <v/>
      </c>
    </row>
    <row r="582">
      <c r="A582" s="60" t="str">
        <f>IF($O582="","",INDEX(jr_num,$O582)&amp;"")</f>
        <v/>
      </c>
      <c r="B582" s="60" t="str">
        <f>IF($O582="","",IF(INDEX(jr_type,$O582)="BL","Livraison",IF(INDEX(jr_type,$O582)="BR","Réception","Sortie")))</f>
        <v/>
      </c>
      <c r="C582" s="65" t="str">
        <f>IF($O582="","",INDEX(jr_date,$O582))</f>
        <v/>
      </c>
      <c r="D582" s="60" t="str">
        <f>IF($O582="","",INDEX(jr_tiers,$O582)&amp;"")</f>
        <v/>
      </c>
      <c r="E582" s="57" t="str">
        <f>IF($O582="","",INDEX(jr_name,$O582)&amp;"")</f>
        <v/>
      </c>
      <c r="F582" s="57" t="str">
        <f>IF($O582="","",INDEX(jr_order,$O582)&amp;"")</f>
        <v/>
      </c>
      <c r="G582" s="57" t="str">
        <f>IF($O582="","",INDEX(jr_ext,$O582)&amp;"")</f>
        <v/>
      </c>
      <c r="H582" s="57" t="str">
        <f>IF($O582="","",INDEX(jr_carrier,$O582)&amp;"")</f>
        <v/>
      </c>
      <c r="I582" s="66" t="str">
        <f>IF(A582="","",COUNTIF(jr_num,A582))</f>
        <v/>
      </c>
      <c r="J582" s="66" t="str">
        <f>IF(A582="","",SUMIF(jr_num,A582,jr_colis))</f>
        <v/>
      </c>
      <c r="K582" s="63" t="str">
        <f>IF(A582="","",SUMIF(jr_num,A582,jr_kg))</f>
        <v/>
      </c>
      <c r="L582" s="64" t="str">
        <f>IF(A582="","",SUMIF(jr_num,A582,jr_val))</f>
        <v/>
      </c>
      <c r="M582" s="60" t="str">
        <f>IF(A582="","",IF(COUNTIFS(jr_num,A582,jr_check,"&lt;&gt;OK")&gt;0,"À vérifier",IF(LEFT(A582,2)="BL",IF(COUNTIFS(jr_num,A582,jr_rel,"&gt;0")&gt;0,"Reliquat en cours",IF(COUNTIFS(jr_num,A582,jr_gap,"&lt;0")&gt;0,"Reliquat livré","Complet")),IF(LEFT(A582,2)="BR",IF(COUNTIFS(jr_num,A582,jr_etat,"Refusé")&gt;0,"Refusé",IF(COUNTIFS(jr_num,A582,jr_etat,"Avec réserves")&gt;0,"Avec réserves",IF(COUNTIFS(jr_num,A582,jr_rel,"&gt;0")&gt;0,"Reliquat en cours",IF(COUNTIFS(jr_num,A582,jr_gap,"&lt;0")+COUNTIFS(jr_num,A582,jr_gap,"&gt;0")&gt;0,"Écart","Conforme")))),IF(COUNTIFS(jr_num,A582,jr_gap,"&lt;0")&gt;0,"Partiel","Sorti")))))</f>
        <v/>
      </c>
      <c r="O582" t="str">
        <f>IFERROR(MATCH(577,jr_grank,0),"")</f>
        <v/>
      </c>
      <c r="R582" s="67" t="str">
        <f>IFERROR(INDEX(jr_num,MATCH("BL577",jr_nkey,0))&amp;"","")</f>
        <v/>
      </c>
      <c r="S582" s="67" t="str">
        <f>IFERROR(INDEX(jr_num,MATCH("BR577",jr_nkey,0))&amp;"","")</f>
        <v/>
      </c>
      <c r="T582" s="67" t="str">
        <f>IFERROR(INDEX(jr_num,MATCH("BS577",jr_nkey,0))&amp;"","")</f>
        <v/>
      </c>
    </row>
    <row r="583">
      <c r="A583" s="60" t="str">
        <f>IF($O583="","",INDEX(jr_num,$O583)&amp;"")</f>
        <v/>
      </c>
      <c r="B583" s="60" t="str">
        <f>IF($O583="","",IF(INDEX(jr_type,$O583)="BL","Livraison",IF(INDEX(jr_type,$O583)="BR","Réception","Sortie")))</f>
        <v/>
      </c>
      <c r="C583" s="65" t="str">
        <f>IF($O583="","",INDEX(jr_date,$O583))</f>
        <v/>
      </c>
      <c r="D583" s="60" t="str">
        <f>IF($O583="","",INDEX(jr_tiers,$O583)&amp;"")</f>
        <v/>
      </c>
      <c r="E583" s="57" t="str">
        <f>IF($O583="","",INDEX(jr_name,$O583)&amp;"")</f>
        <v/>
      </c>
      <c r="F583" s="57" t="str">
        <f>IF($O583="","",INDEX(jr_order,$O583)&amp;"")</f>
        <v/>
      </c>
      <c r="G583" s="57" t="str">
        <f>IF($O583="","",INDEX(jr_ext,$O583)&amp;"")</f>
        <v/>
      </c>
      <c r="H583" s="57" t="str">
        <f>IF($O583="","",INDEX(jr_carrier,$O583)&amp;"")</f>
        <v/>
      </c>
      <c r="I583" s="66" t="str">
        <f>IF(A583="","",COUNTIF(jr_num,A583))</f>
        <v/>
      </c>
      <c r="J583" s="66" t="str">
        <f>IF(A583="","",SUMIF(jr_num,A583,jr_colis))</f>
        <v/>
      </c>
      <c r="K583" s="63" t="str">
        <f>IF(A583="","",SUMIF(jr_num,A583,jr_kg))</f>
        <v/>
      </c>
      <c r="L583" s="64" t="str">
        <f>IF(A583="","",SUMIF(jr_num,A583,jr_val))</f>
        <v/>
      </c>
      <c r="M583" s="60" t="str">
        <f>IF(A583="","",IF(COUNTIFS(jr_num,A583,jr_check,"&lt;&gt;OK")&gt;0,"À vérifier",IF(LEFT(A583,2)="BL",IF(COUNTIFS(jr_num,A583,jr_rel,"&gt;0")&gt;0,"Reliquat en cours",IF(COUNTIFS(jr_num,A583,jr_gap,"&lt;0")&gt;0,"Reliquat livré","Complet")),IF(LEFT(A583,2)="BR",IF(COUNTIFS(jr_num,A583,jr_etat,"Refusé")&gt;0,"Refusé",IF(COUNTIFS(jr_num,A583,jr_etat,"Avec réserves")&gt;0,"Avec réserves",IF(COUNTIFS(jr_num,A583,jr_rel,"&gt;0")&gt;0,"Reliquat en cours",IF(COUNTIFS(jr_num,A583,jr_gap,"&lt;0")+COUNTIFS(jr_num,A583,jr_gap,"&gt;0")&gt;0,"Écart","Conforme")))),IF(COUNTIFS(jr_num,A583,jr_gap,"&lt;0")&gt;0,"Partiel","Sorti")))))</f>
        <v/>
      </c>
      <c r="O583" t="str">
        <f>IFERROR(MATCH(578,jr_grank,0),"")</f>
        <v/>
      </c>
      <c r="R583" s="67" t="str">
        <f>IFERROR(INDEX(jr_num,MATCH("BL578",jr_nkey,0))&amp;"","")</f>
        <v/>
      </c>
      <c r="S583" s="67" t="str">
        <f>IFERROR(INDEX(jr_num,MATCH("BR578",jr_nkey,0))&amp;"","")</f>
        <v/>
      </c>
      <c r="T583" s="67" t="str">
        <f>IFERROR(INDEX(jr_num,MATCH("BS578",jr_nkey,0))&amp;"","")</f>
        <v/>
      </c>
    </row>
    <row r="584">
      <c r="A584" s="60" t="str">
        <f>IF($O584="","",INDEX(jr_num,$O584)&amp;"")</f>
        <v/>
      </c>
      <c r="B584" s="60" t="str">
        <f>IF($O584="","",IF(INDEX(jr_type,$O584)="BL","Livraison",IF(INDEX(jr_type,$O584)="BR","Réception","Sortie")))</f>
        <v/>
      </c>
      <c r="C584" s="65" t="str">
        <f>IF($O584="","",INDEX(jr_date,$O584))</f>
        <v/>
      </c>
      <c r="D584" s="60" t="str">
        <f>IF($O584="","",INDEX(jr_tiers,$O584)&amp;"")</f>
        <v/>
      </c>
      <c r="E584" s="57" t="str">
        <f>IF($O584="","",INDEX(jr_name,$O584)&amp;"")</f>
        <v/>
      </c>
      <c r="F584" s="57" t="str">
        <f>IF($O584="","",INDEX(jr_order,$O584)&amp;"")</f>
        <v/>
      </c>
      <c r="G584" s="57" t="str">
        <f>IF($O584="","",INDEX(jr_ext,$O584)&amp;"")</f>
        <v/>
      </c>
      <c r="H584" s="57" t="str">
        <f>IF($O584="","",INDEX(jr_carrier,$O584)&amp;"")</f>
        <v/>
      </c>
      <c r="I584" s="66" t="str">
        <f>IF(A584="","",COUNTIF(jr_num,A584))</f>
        <v/>
      </c>
      <c r="J584" s="66" t="str">
        <f>IF(A584="","",SUMIF(jr_num,A584,jr_colis))</f>
        <v/>
      </c>
      <c r="K584" s="63" t="str">
        <f>IF(A584="","",SUMIF(jr_num,A584,jr_kg))</f>
        <v/>
      </c>
      <c r="L584" s="64" t="str">
        <f>IF(A584="","",SUMIF(jr_num,A584,jr_val))</f>
        <v/>
      </c>
      <c r="M584" s="60" t="str">
        <f>IF(A584="","",IF(COUNTIFS(jr_num,A584,jr_check,"&lt;&gt;OK")&gt;0,"À vérifier",IF(LEFT(A584,2)="BL",IF(COUNTIFS(jr_num,A584,jr_rel,"&gt;0")&gt;0,"Reliquat en cours",IF(COUNTIFS(jr_num,A584,jr_gap,"&lt;0")&gt;0,"Reliquat livré","Complet")),IF(LEFT(A584,2)="BR",IF(COUNTIFS(jr_num,A584,jr_etat,"Refusé")&gt;0,"Refusé",IF(COUNTIFS(jr_num,A584,jr_etat,"Avec réserves")&gt;0,"Avec réserves",IF(COUNTIFS(jr_num,A584,jr_rel,"&gt;0")&gt;0,"Reliquat en cours",IF(COUNTIFS(jr_num,A584,jr_gap,"&lt;0")+COUNTIFS(jr_num,A584,jr_gap,"&gt;0")&gt;0,"Écart","Conforme")))),IF(COUNTIFS(jr_num,A584,jr_gap,"&lt;0")&gt;0,"Partiel","Sorti")))))</f>
        <v/>
      </c>
      <c r="O584" t="str">
        <f>IFERROR(MATCH(579,jr_grank,0),"")</f>
        <v/>
      </c>
      <c r="R584" s="67" t="str">
        <f>IFERROR(INDEX(jr_num,MATCH("BL579",jr_nkey,0))&amp;"","")</f>
        <v/>
      </c>
      <c r="S584" s="67" t="str">
        <f>IFERROR(INDEX(jr_num,MATCH("BR579",jr_nkey,0))&amp;"","")</f>
        <v/>
      </c>
      <c r="T584" s="67" t="str">
        <f>IFERROR(INDEX(jr_num,MATCH("BS579",jr_nkey,0))&amp;"","")</f>
        <v/>
      </c>
    </row>
    <row r="585">
      <c r="A585" s="60" t="str">
        <f>IF($O585="","",INDEX(jr_num,$O585)&amp;"")</f>
        <v/>
      </c>
      <c r="B585" s="60" t="str">
        <f>IF($O585="","",IF(INDEX(jr_type,$O585)="BL","Livraison",IF(INDEX(jr_type,$O585)="BR","Réception","Sortie")))</f>
        <v/>
      </c>
      <c r="C585" s="65" t="str">
        <f>IF($O585="","",INDEX(jr_date,$O585))</f>
        <v/>
      </c>
      <c r="D585" s="60" t="str">
        <f>IF($O585="","",INDEX(jr_tiers,$O585)&amp;"")</f>
        <v/>
      </c>
      <c r="E585" s="57" t="str">
        <f>IF($O585="","",INDEX(jr_name,$O585)&amp;"")</f>
        <v/>
      </c>
      <c r="F585" s="57" t="str">
        <f>IF($O585="","",INDEX(jr_order,$O585)&amp;"")</f>
        <v/>
      </c>
      <c r="G585" s="57" t="str">
        <f>IF($O585="","",INDEX(jr_ext,$O585)&amp;"")</f>
        <v/>
      </c>
      <c r="H585" s="57" t="str">
        <f>IF($O585="","",INDEX(jr_carrier,$O585)&amp;"")</f>
        <v/>
      </c>
      <c r="I585" s="66" t="str">
        <f>IF(A585="","",COUNTIF(jr_num,A585))</f>
        <v/>
      </c>
      <c r="J585" s="66" t="str">
        <f>IF(A585="","",SUMIF(jr_num,A585,jr_colis))</f>
        <v/>
      </c>
      <c r="K585" s="63" t="str">
        <f>IF(A585="","",SUMIF(jr_num,A585,jr_kg))</f>
        <v/>
      </c>
      <c r="L585" s="64" t="str">
        <f>IF(A585="","",SUMIF(jr_num,A585,jr_val))</f>
        <v/>
      </c>
      <c r="M585" s="60" t="str">
        <f>IF(A585="","",IF(COUNTIFS(jr_num,A585,jr_check,"&lt;&gt;OK")&gt;0,"À vérifier",IF(LEFT(A585,2)="BL",IF(COUNTIFS(jr_num,A585,jr_rel,"&gt;0")&gt;0,"Reliquat en cours",IF(COUNTIFS(jr_num,A585,jr_gap,"&lt;0")&gt;0,"Reliquat livré","Complet")),IF(LEFT(A585,2)="BR",IF(COUNTIFS(jr_num,A585,jr_etat,"Refusé")&gt;0,"Refusé",IF(COUNTIFS(jr_num,A585,jr_etat,"Avec réserves")&gt;0,"Avec réserves",IF(COUNTIFS(jr_num,A585,jr_rel,"&gt;0")&gt;0,"Reliquat en cours",IF(COUNTIFS(jr_num,A585,jr_gap,"&lt;0")+COUNTIFS(jr_num,A585,jr_gap,"&gt;0")&gt;0,"Écart","Conforme")))),IF(COUNTIFS(jr_num,A585,jr_gap,"&lt;0")&gt;0,"Partiel","Sorti")))))</f>
        <v/>
      </c>
      <c r="O585" t="str">
        <f>IFERROR(MATCH(580,jr_grank,0),"")</f>
        <v/>
      </c>
      <c r="R585" s="67" t="str">
        <f>IFERROR(INDEX(jr_num,MATCH("BL580",jr_nkey,0))&amp;"","")</f>
        <v/>
      </c>
      <c r="S585" s="67" t="str">
        <f>IFERROR(INDEX(jr_num,MATCH("BR580",jr_nkey,0))&amp;"","")</f>
        <v/>
      </c>
      <c r="T585" s="67" t="str">
        <f>IFERROR(INDEX(jr_num,MATCH("BS580",jr_nkey,0))&amp;"","")</f>
        <v/>
      </c>
    </row>
    <row r="586">
      <c r="A586" s="60" t="str">
        <f>IF($O586="","",INDEX(jr_num,$O586)&amp;"")</f>
        <v/>
      </c>
      <c r="B586" s="60" t="str">
        <f>IF($O586="","",IF(INDEX(jr_type,$O586)="BL","Livraison",IF(INDEX(jr_type,$O586)="BR","Réception","Sortie")))</f>
        <v/>
      </c>
      <c r="C586" s="65" t="str">
        <f>IF($O586="","",INDEX(jr_date,$O586))</f>
        <v/>
      </c>
      <c r="D586" s="60" t="str">
        <f>IF($O586="","",INDEX(jr_tiers,$O586)&amp;"")</f>
        <v/>
      </c>
      <c r="E586" s="57" t="str">
        <f>IF($O586="","",INDEX(jr_name,$O586)&amp;"")</f>
        <v/>
      </c>
      <c r="F586" s="57" t="str">
        <f>IF($O586="","",INDEX(jr_order,$O586)&amp;"")</f>
        <v/>
      </c>
      <c r="G586" s="57" t="str">
        <f>IF($O586="","",INDEX(jr_ext,$O586)&amp;"")</f>
        <v/>
      </c>
      <c r="H586" s="57" t="str">
        <f>IF($O586="","",INDEX(jr_carrier,$O586)&amp;"")</f>
        <v/>
      </c>
      <c r="I586" s="66" t="str">
        <f>IF(A586="","",COUNTIF(jr_num,A586))</f>
        <v/>
      </c>
      <c r="J586" s="66" t="str">
        <f>IF(A586="","",SUMIF(jr_num,A586,jr_colis))</f>
        <v/>
      </c>
      <c r="K586" s="63" t="str">
        <f>IF(A586="","",SUMIF(jr_num,A586,jr_kg))</f>
        <v/>
      </c>
      <c r="L586" s="64" t="str">
        <f>IF(A586="","",SUMIF(jr_num,A586,jr_val))</f>
        <v/>
      </c>
      <c r="M586" s="60" t="str">
        <f>IF(A586="","",IF(COUNTIFS(jr_num,A586,jr_check,"&lt;&gt;OK")&gt;0,"À vérifier",IF(LEFT(A586,2)="BL",IF(COUNTIFS(jr_num,A586,jr_rel,"&gt;0")&gt;0,"Reliquat en cours",IF(COUNTIFS(jr_num,A586,jr_gap,"&lt;0")&gt;0,"Reliquat livré","Complet")),IF(LEFT(A586,2)="BR",IF(COUNTIFS(jr_num,A586,jr_etat,"Refusé")&gt;0,"Refusé",IF(COUNTIFS(jr_num,A586,jr_etat,"Avec réserves")&gt;0,"Avec réserves",IF(COUNTIFS(jr_num,A586,jr_rel,"&gt;0")&gt;0,"Reliquat en cours",IF(COUNTIFS(jr_num,A586,jr_gap,"&lt;0")+COUNTIFS(jr_num,A586,jr_gap,"&gt;0")&gt;0,"Écart","Conforme")))),IF(COUNTIFS(jr_num,A586,jr_gap,"&lt;0")&gt;0,"Partiel","Sorti")))))</f>
        <v/>
      </c>
      <c r="O586" t="str">
        <f>IFERROR(MATCH(581,jr_grank,0),"")</f>
        <v/>
      </c>
      <c r="R586" s="67" t="str">
        <f>IFERROR(INDEX(jr_num,MATCH("BL581",jr_nkey,0))&amp;"","")</f>
        <v/>
      </c>
      <c r="S586" s="67" t="str">
        <f>IFERROR(INDEX(jr_num,MATCH("BR581",jr_nkey,0))&amp;"","")</f>
        <v/>
      </c>
      <c r="T586" s="67" t="str">
        <f>IFERROR(INDEX(jr_num,MATCH("BS581",jr_nkey,0))&amp;"","")</f>
        <v/>
      </c>
    </row>
    <row r="587">
      <c r="A587" s="60" t="str">
        <f>IF($O587="","",INDEX(jr_num,$O587)&amp;"")</f>
        <v/>
      </c>
      <c r="B587" s="60" t="str">
        <f>IF($O587="","",IF(INDEX(jr_type,$O587)="BL","Livraison",IF(INDEX(jr_type,$O587)="BR","Réception","Sortie")))</f>
        <v/>
      </c>
      <c r="C587" s="65" t="str">
        <f>IF($O587="","",INDEX(jr_date,$O587))</f>
        <v/>
      </c>
      <c r="D587" s="60" t="str">
        <f>IF($O587="","",INDEX(jr_tiers,$O587)&amp;"")</f>
        <v/>
      </c>
      <c r="E587" s="57" t="str">
        <f>IF($O587="","",INDEX(jr_name,$O587)&amp;"")</f>
        <v/>
      </c>
      <c r="F587" s="57" t="str">
        <f>IF($O587="","",INDEX(jr_order,$O587)&amp;"")</f>
        <v/>
      </c>
      <c r="G587" s="57" t="str">
        <f>IF($O587="","",INDEX(jr_ext,$O587)&amp;"")</f>
        <v/>
      </c>
      <c r="H587" s="57" t="str">
        <f>IF($O587="","",INDEX(jr_carrier,$O587)&amp;"")</f>
        <v/>
      </c>
      <c r="I587" s="66" t="str">
        <f>IF(A587="","",COUNTIF(jr_num,A587))</f>
        <v/>
      </c>
      <c r="J587" s="66" t="str">
        <f>IF(A587="","",SUMIF(jr_num,A587,jr_colis))</f>
        <v/>
      </c>
      <c r="K587" s="63" t="str">
        <f>IF(A587="","",SUMIF(jr_num,A587,jr_kg))</f>
        <v/>
      </c>
      <c r="L587" s="64" t="str">
        <f>IF(A587="","",SUMIF(jr_num,A587,jr_val))</f>
        <v/>
      </c>
      <c r="M587" s="60" t="str">
        <f>IF(A587="","",IF(COUNTIFS(jr_num,A587,jr_check,"&lt;&gt;OK")&gt;0,"À vérifier",IF(LEFT(A587,2)="BL",IF(COUNTIFS(jr_num,A587,jr_rel,"&gt;0")&gt;0,"Reliquat en cours",IF(COUNTIFS(jr_num,A587,jr_gap,"&lt;0")&gt;0,"Reliquat livré","Complet")),IF(LEFT(A587,2)="BR",IF(COUNTIFS(jr_num,A587,jr_etat,"Refusé")&gt;0,"Refusé",IF(COUNTIFS(jr_num,A587,jr_etat,"Avec réserves")&gt;0,"Avec réserves",IF(COUNTIFS(jr_num,A587,jr_rel,"&gt;0")&gt;0,"Reliquat en cours",IF(COUNTIFS(jr_num,A587,jr_gap,"&lt;0")+COUNTIFS(jr_num,A587,jr_gap,"&gt;0")&gt;0,"Écart","Conforme")))),IF(COUNTIFS(jr_num,A587,jr_gap,"&lt;0")&gt;0,"Partiel","Sorti")))))</f>
        <v/>
      </c>
      <c r="O587" t="str">
        <f>IFERROR(MATCH(582,jr_grank,0),"")</f>
        <v/>
      </c>
      <c r="R587" s="67" t="str">
        <f>IFERROR(INDEX(jr_num,MATCH("BL582",jr_nkey,0))&amp;"","")</f>
        <v/>
      </c>
      <c r="S587" s="67" t="str">
        <f>IFERROR(INDEX(jr_num,MATCH("BR582",jr_nkey,0))&amp;"","")</f>
        <v/>
      </c>
      <c r="T587" s="67" t="str">
        <f>IFERROR(INDEX(jr_num,MATCH("BS582",jr_nkey,0))&amp;"","")</f>
        <v/>
      </c>
    </row>
    <row r="588">
      <c r="A588" s="60" t="str">
        <f>IF($O588="","",INDEX(jr_num,$O588)&amp;"")</f>
        <v/>
      </c>
      <c r="B588" s="60" t="str">
        <f>IF($O588="","",IF(INDEX(jr_type,$O588)="BL","Livraison",IF(INDEX(jr_type,$O588)="BR","Réception","Sortie")))</f>
        <v/>
      </c>
      <c r="C588" s="65" t="str">
        <f>IF($O588="","",INDEX(jr_date,$O588))</f>
        <v/>
      </c>
      <c r="D588" s="60" t="str">
        <f>IF($O588="","",INDEX(jr_tiers,$O588)&amp;"")</f>
        <v/>
      </c>
      <c r="E588" s="57" t="str">
        <f>IF($O588="","",INDEX(jr_name,$O588)&amp;"")</f>
        <v/>
      </c>
      <c r="F588" s="57" t="str">
        <f>IF($O588="","",INDEX(jr_order,$O588)&amp;"")</f>
        <v/>
      </c>
      <c r="G588" s="57" t="str">
        <f>IF($O588="","",INDEX(jr_ext,$O588)&amp;"")</f>
        <v/>
      </c>
      <c r="H588" s="57" t="str">
        <f>IF($O588="","",INDEX(jr_carrier,$O588)&amp;"")</f>
        <v/>
      </c>
      <c r="I588" s="66" t="str">
        <f>IF(A588="","",COUNTIF(jr_num,A588))</f>
        <v/>
      </c>
      <c r="J588" s="66" t="str">
        <f>IF(A588="","",SUMIF(jr_num,A588,jr_colis))</f>
        <v/>
      </c>
      <c r="K588" s="63" t="str">
        <f>IF(A588="","",SUMIF(jr_num,A588,jr_kg))</f>
        <v/>
      </c>
      <c r="L588" s="64" t="str">
        <f>IF(A588="","",SUMIF(jr_num,A588,jr_val))</f>
        <v/>
      </c>
      <c r="M588" s="60" t="str">
        <f>IF(A588="","",IF(COUNTIFS(jr_num,A588,jr_check,"&lt;&gt;OK")&gt;0,"À vérifier",IF(LEFT(A588,2)="BL",IF(COUNTIFS(jr_num,A588,jr_rel,"&gt;0")&gt;0,"Reliquat en cours",IF(COUNTIFS(jr_num,A588,jr_gap,"&lt;0")&gt;0,"Reliquat livré","Complet")),IF(LEFT(A588,2)="BR",IF(COUNTIFS(jr_num,A588,jr_etat,"Refusé")&gt;0,"Refusé",IF(COUNTIFS(jr_num,A588,jr_etat,"Avec réserves")&gt;0,"Avec réserves",IF(COUNTIFS(jr_num,A588,jr_rel,"&gt;0")&gt;0,"Reliquat en cours",IF(COUNTIFS(jr_num,A588,jr_gap,"&lt;0")+COUNTIFS(jr_num,A588,jr_gap,"&gt;0")&gt;0,"Écart","Conforme")))),IF(COUNTIFS(jr_num,A588,jr_gap,"&lt;0")&gt;0,"Partiel","Sorti")))))</f>
        <v/>
      </c>
      <c r="O588" t="str">
        <f>IFERROR(MATCH(583,jr_grank,0),"")</f>
        <v/>
      </c>
      <c r="R588" s="67" t="str">
        <f>IFERROR(INDEX(jr_num,MATCH("BL583",jr_nkey,0))&amp;"","")</f>
        <v/>
      </c>
      <c r="S588" s="67" t="str">
        <f>IFERROR(INDEX(jr_num,MATCH("BR583",jr_nkey,0))&amp;"","")</f>
        <v/>
      </c>
      <c r="T588" s="67" t="str">
        <f>IFERROR(INDEX(jr_num,MATCH("BS583",jr_nkey,0))&amp;"","")</f>
        <v/>
      </c>
    </row>
    <row r="589">
      <c r="A589" s="60" t="str">
        <f>IF($O589="","",INDEX(jr_num,$O589)&amp;"")</f>
        <v/>
      </c>
      <c r="B589" s="60" t="str">
        <f>IF($O589="","",IF(INDEX(jr_type,$O589)="BL","Livraison",IF(INDEX(jr_type,$O589)="BR","Réception","Sortie")))</f>
        <v/>
      </c>
      <c r="C589" s="65" t="str">
        <f>IF($O589="","",INDEX(jr_date,$O589))</f>
        <v/>
      </c>
      <c r="D589" s="60" t="str">
        <f>IF($O589="","",INDEX(jr_tiers,$O589)&amp;"")</f>
        <v/>
      </c>
      <c r="E589" s="57" t="str">
        <f>IF($O589="","",INDEX(jr_name,$O589)&amp;"")</f>
        <v/>
      </c>
      <c r="F589" s="57" t="str">
        <f>IF($O589="","",INDEX(jr_order,$O589)&amp;"")</f>
        <v/>
      </c>
      <c r="G589" s="57" t="str">
        <f>IF($O589="","",INDEX(jr_ext,$O589)&amp;"")</f>
        <v/>
      </c>
      <c r="H589" s="57" t="str">
        <f>IF($O589="","",INDEX(jr_carrier,$O589)&amp;"")</f>
        <v/>
      </c>
      <c r="I589" s="66" t="str">
        <f>IF(A589="","",COUNTIF(jr_num,A589))</f>
        <v/>
      </c>
      <c r="J589" s="66" t="str">
        <f>IF(A589="","",SUMIF(jr_num,A589,jr_colis))</f>
        <v/>
      </c>
      <c r="K589" s="63" t="str">
        <f>IF(A589="","",SUMIF(jr_num,A589,jr_kg))</f>
        <v/>
      </c>
      <c r="L589" s="64" t="str">
        <f>IF(A589="","",SUMIF(jr_num,A589,jr_val))</f>
        <v/>
      </c>
      <c r="M589" s="60" t="str">
        <f>IF(A589="","",IF(COUNTIFS(jr_num,A589,jr_check,"&lt;&gt;OK")&gt;0,"À vérifier",IF(LEFT(A589,2)="BL",IF(COUNTIFS(jr_num,A589,jr_rel,"&gt;0")&gt;0,"Reliquat en cours",IF(COUNTIFS(jr_num,A589,jr_gap,"&lt;0")&gt;0,"Reliquat livré","Complet")),IF(LEFT(A589,2)="BR",IF(COUNTIFS(jr_num,A589,jr_etat,"Refusé")&gt;0,"Refusé",IF(COUNTIFS(jr_num,A589,jr_etat,"Avec réserves")&gt;0,"Avec réserves",IF(COUNTIFS(jr_num,A589,jr_rel,"&gt;0")&gt;0,"Reliquat en cours",IF(COUNTIFS(jr_num,A589,jr_gap,"&lt;0")+COUNTIFS(jr_num,A589,jr_gap,"&gt;0")&gt;0,"Écart","Conforme")))),IF(COUNTIFS(jr_num,A589,jr_gap,"&lt;0")&gt;0,"Partiel","Sorti")))))</f>
        <v/>
      </c>
      <c r="O589" t="str">
        <f>IFERROR(MATCH(584,jr_grank,0),"")</f>
        <v/>
      </c>
      <c r="R589" s="67" t="str">
        <f>IFERROR(INDEX(jr_num,MATCH("BL584",jr_nkey,0))&amp;"","")</f>
        <v/>
      </c>
      <c r="S589" s="67" t="str">
        <f>IFERROR(INDEX(jr_num,MATCH("BR584",jr_nkey,0))&amp;"","")</f>
        <v/>
      </c>
      <c r="T589" s="67" t="str">
        <f>IFERROR(INDEX(jr_num,MATCH("BS584",jr_nkey,0))&amp;"","")</f>
        <v/>
      </c>
    </row>
    <row r="590">
      <c r="A590" s="60" t="str">
        <f>IF($O590="","",INDEX(jr_num,$O590)&amp;"")</f>
        <v/>
      </c>
      <c r="B590" s="60" t="str">
        <f>IF($O590="","",IF(INDEX(jr_type,$O590)="BL","Livraison",IF(INDEX(jr_type,$O590)="BR","Réception","Sortie")))</f>
        <v/>
      </c>
      <c r="C590" s="65" t="str">
        <f>IF($O590="","",INDEX(jr_date,$O590))</f>
        <v/>
      </c>
      <c r="D590" s="60" t="str">
        <f>IF($O590="","",INDEX(jr_tiers,$O590)&amp;"")</f>
        <v/>
      </c>
      <c r="E590" s="57" t="str">
        <f>IF($O590="","",INDEX(jr_name,$O590)&amp;"")</f>
        <v/>
      </c>
      <c r="F590" s="57" t="str">
        <f>IF($O590="","",INDEX(jr_order,$O590)&amp;"")</f>
        <v/>
      </c>
      <c r="G590" s="57" t="str">
        <f>IF($O590="","",INDEX(jr_ext,$O590)&amp;"")</f>
        <v/>
      </c>
      <c r="H590" s="57" t="str">
        <f>IF($O590="","",INDEX(jr_carrier,$O590)&amp;"")</f>
        <v/>
      </c>
      <c r="I590" s="66" t="str">
        <f>IF(A590="","",COUNTIF(jr_num,A590))</f>
        <v/>
      </c>
      <c r="J590" s="66" t="str">
        <f>IF(A590="","",SUMIF(jr_num,A590,jr_colis))</f>
        <v/>
      </c>
      <c r="K590" s="63" t="str">
        <f>IF(A590="","",SUMIF(jr_num,A590,jr_kg))</f>
        <v/>
      </c>
      <c r="L590" s="64" t="str">
        <f>IF(A590="","",SUMIF(jr_num,A590,jr_val))</f>
        <v/>
      </c>
      <c r="M590" s="60" t="str">
        <f>IF(A590="","",IF(COUNTIFS(jr_num,A590,jr_check,"&lt;&gt;OK")&gt;0,"À vérifier",IF(LEFT(A590,2)="BL",IF(COUNTIFS(jr_num,A590,jr_rel,"&gt;0")&gt;0,"Reliquat en cours",IF(COUNTIFS(jr_num,A590,jr_gap,"&lt;0")&gt;0,"Reliquat livré","Complet")),IF(LEFT(A590,2)="BR",IF(COUNTIFS(jr_num,A590,jr_etat,"Refusé")&gt;0,"Refusé",IF(COUNTIFS(jr_num,A590,jr_etat,"Avec réserves")&gt;0,"Avec réserves",IF(COUNTIFS(jr_num,A590,jr_rel,"&gt;0")&gt;0,"Reliquat en cours",IF(COUNTIFS(jr_num,A590,jr_gap,"&lt;0")+COUNTIFS(jr_num,A590,jr_gap,"&gt;0")&gt;0,"Écart","Conforme")))),IF(COUNTIFS(jr_num,A590,jr_gap,"&lt;0")&gt;0,"Partiel","Sorti")))))</f>
        <v/>
      </c>
      <c r="O590" t="str">
        <f>IFERROR(MATCH(585,jr_grank,0),"")</f>
        <v/>
      </c>
      <c r="R590" s="67" t="str">
        <f>IFERROR(INDEX(jr_num,MATCH("BL585",jr_nkey,0))&amp;"","")</f>
        <v/>
      </c>
      <c r="S590" s="67" t="str">
        <f>IFERROR(INDEX(jr_num,MATCH("BR585",jr_nkey,0))&amp;"","")</f>
        <v/>
      </c>
      <c r="T590" s="67" t="str">
        <f>IFERROR(INDEX(jr_num,MATCH("BS585",jr_nkey,0))&amp;"","")</f>
        <v/>
      </c>
    </row>
    <row r="591">
      <c r="A591" s="60" t="str">
        <f>IF($O591="","",INDEX(jr_num,$O591)&amp;"")</f>
        <v/>
      </c>
      <c r="B591" s="60" t="str">
        <f>IF($O591="","",IF(INDEX(jr_type,$O591)="BL","Livraison",IF(INDEX(jr_type,$O591)="BR","Réception","Sortie")))</f>
        <v/>
      </c>
      <c r="C591" s="65" t="str">
        <f>IF($O591="","",INDEX(jr_date,$O591))</f>
        <v/>
      </c>
      <c r="D591" s="60" t="str">
        <f>IF($O591="","",INDEX(jr_tiers,$O591)&amp;"")</f>
        <v/>
      </c>
      <c r="E591" s="57" t="str">
        <f>IF($O591="","",INDEX(jr_name,$O591)&amp;"")</f>
        <v/>
      </c>
      <c r="F591" s="57" t="str">
        <f>IF($O591="","",INDEX(jr_order,$O591)&amp;"")</f>
        <v/>
      </c>
      <c r="G591" s="57" t="str">
        <f>IF($O591="","",INDEX(jr_ext,$O591)&amp;"")</f>
        <v/>
      </c>
      <c r="H591" s="57" t="str">
        <f>IF($O591="","",INDEX(jr_carrier,$O591)&amp;"")</f>
        <v/>
      </c>
      <c r="I591" s="66" t="str">
        <f>IF(A591="","",COUNTIF(jr_num,A591))</f>
        <v/>
      </c>
      <c r="J591" s="66" t="str">
        <f>IF(A591="","",SUMIF(jr_num,A591,jr_colis))</f>
        <v/>
      </c>
      <c r="K591" s="63" t="str">
        <f>IF(A591="","",SUMIF(jr_num,A591,jr_kg))</f>
        <v/>
      </c>
      <c r="L591" s="64" t="str">
        <f>IF(A591="","",SUMIF(jr_num,A591,jr_val))</f>
        <v/>
      </c>
      <c r="M591" s="60" t="str">
        <f>IF(A591="","",IF(COUNTIFS(jr_num,A591,jr_check,"&lt;&gt;OK")&gt;0,"À vérifier",IF(LEFT(A591,2)="BL",IF(COUNTIFS(jr_num,A591,jr_rel,"&gt;0")&gt;0,"Reliquat en cours",IF(COUNTIFS(jr_num,A591,jr_gap,"&lt;0")&gt;0,"Reliquat livré","Complet")),IF(LEFT(A591,2)="BR",IF(COUNTIFS(jr_num,A591,jr_etat,"Refusé")&gt;0,"Refusé",IF(COUNTIFS(jr_num,A591,jr_etat,"Avec réserves")&gt;0,"Avec réserves",IF(COUNTIFS(jr_num,A591,jr_rel,"&gt;0")&gt;0,"Reliquat en cours",IF(COUNTIFS(jr_num,A591,jr_gap,"&lt;0")+COUNTIFS(jr_num,A591,jr_gap,"&gt;0")&gt;0,"Écart","Conforme")))),IF(COUNTIFS(jr_num,A591,jr_gap,"&lt;0")&gt;0,"Partiel","Sorti")))))</f>
        <v/>
      </c>
      <c r="O591" t="str">
        <f>IFERROR(MATCH(586,jr_grank,0),"")</f>
        <v/>
      </c>
      <c r="R591" s="67" t="str">
        <f>IFERROR(INDEX(jr_num,MATCH("BL586",jr_nkey,0))&amp;"","")</f>
        <v/>
      </c>
      <c r="S591" s="67" t="str">
        <f>IFERROR(INDEX(jr_num,MATCH("BR586",jr_nkey,0))&amp;"","")</f>
        <v/>
      </c>
      <c r="T591" s="67" t="str">
        <f>IFERROR(INDEX(jr_num,MATCH("BS586",jr_nkey,0))&amp;"","")</f>
        <v/>
      </c>
    </row>
    <row r="592">
      <c r="A592" s="60" t="str">
        <f>IF($O592="","",INDEX(jr_num,$O592)&amp;"")</f>
        <v/>
      </c>
      <c r="B592" s="60" t="str">
        <f>IF($O592="","",IF(INDEX(jr_type,$O592)="BL","Livraison",IF(INDEX(jr_type,$O592)="BR","Réception","Sortie")))</f>
        <v/>
      </c>
      <c r="C592" s="65" t="str">
        <f>IF($O592="","",INDEX(jr_date,$O592))</f>
        <v/>
      </c>
      <c r="D592" s="60" t="str">
        <f>IF($O592="","",INDEX(jr_tiers,$O592)&amp;"")</f>
        <v/>
      </c>
      <c r="E592" s="57" t="str">
        <f>IF($O592="","",INDEX(jr_name,$O592)&amp;"")</f>
        <v/>
      </c>
      <c r="F592" s="57" t="str">
        <f>IF($O592="","",INDEX(jr_order,$O592)&amp;"")</f>
        <v/>
      </c>
      <c r="G592" s="57" t="str">
        <f>IF($O592="","",INDEX(jr_ext,$O592)&amp;"")</f>
        <v/>
      </c>
      <c r="H592" s="57" t="str">
        <f>IF($O592="","",INDEX(jr_carrier,$O592)&amp;"")</f>
        <v/>
      </c>
      <c r="I592" s="66" t="str">
        <f>IF(A592="","",COUNTIF(jr_num,A592))</f>
        <v/>
      </c>
      <c r="J592" s="66" t="str">
        <f>IF(A592="","",SUMIF(jr_num,A592,jr_colis))</f>
        <v/>
      </c>
      <c r="K592" s="63" t="str">
        <f>IF(A592="","",SUMIF(jr_num,A592,jr_kg))</f>
        <v/>
      </c>
      <c r="L592" s="64" t="str">
        <f>IF(A592="","",SUMIF(jr_num,A592,jr_val))</f>
        <v/>
      </c>
      <c r="M592" s="60" t="str">
        <f>IF(A592="","",IF(COUNTIFS(jr_num,A592,jr_check,"&lt;&gt;OK")&gt;0,"À vérifier",IF(LEFT(A592,2)="BL",IF(COUNTIFS(jr_num,A592,jr_rel,"&gt;0")&gt;0,"Reliquat en cours",IF(COUNTIFS(jr_num,A592,jr_gap,"&lt;0")&gt;0,"Reliquat livré","Complet")),IF(LEFT(A592,2)="BR",IF(COUNTIFS(jr_num,A592,jr_etat,"Refusé")&gt;0,"Refusé",IF(COUNTIFS(jr_num,A592,jr_etat,"Avec réserves")&gt;0,"Avec réserves",IF(COUNTIFS(jr_num,A592,jr_rel,"&gt;0")&gt;0,"Reliquat en cours",IF(COUNTIFS(jr_num,A592,jr_gap,"&lt;0")+COUNTIFS(jr_num,A592,jr_gap,"&gt;0")&gt;0,"Écart","Conforme")))),IF(COUNTIFS(jr_num,A592,jr_gap,"&lt;0")&gt;0,"Partiel","Sorti")))))</f>
        <v/>
      </c>
      <c r="O592" t="str">
        <f>IFERROR(MATCH(587,jr_grank,0),"")</f>
        <v/>
      </c>
      <c r="R592" s="67" t="str">
        <f>IFERROR(INDEX(jr_num,MATCH("BL587",jr_nkey,0))&amp;"","")</f>
        <v/>
      </c>
      <c r="S592" s="67" t="str">
        <f>IFERROR(INDEX(jr_num,MATCH("BR587",jr_nkey,0))&amp;"","")</f>
        <v/>
      </c>
      <c r="T592" s="67" t="str">
        <f>IFERROR(INDEX(jr_num,MATCH("BS587",jr_nkey,0))&amp;"","")</f>
        <v/>
      </c>
    </row>
    <row r="593">
      <c r="A593" s="60" t="str">
        <f>IF($O593="","",INDEX(jr_num,$O593)&amp;"")</f>
        <v/>
      </c>
      <c r="B593" s="60" t="str">
        <f>IF($O593="","",IF(INDEX(jr_type,$O593)="BL","Livraison",IF(INDEX(jr_type,$O593)="BR","Réception","Sortie")))</f>
        <v/>
      </c>
      <c r="C593" s="65" t="str">
        <f>IF($O593="","",INDEX(jr_date,$O593))</f>
        <v/>
      </c>
      <c r="D593" s="60" t="str">
        <f>IF($O593="","",INDEX(jr_tiers,$O593)&amp;"")</f>
        <v/>
      </c>
      <c r="E593" s="57" t="str">
        <f>IF($O593="","",INDEX(jr_name,$O593)&amp;"")</f>
        <v/>
      </c>
      <c r="F593" s="57" t="str">
        <f>IF($O593="","",INDEX(jr_order,$O593)&amp;"")</f>
        <v/>
      </c>
      <c r="G593" s="57" t="str">
        <f>IF($O593="","",INDEX(jr_ext,$O593)&amp;"")</f>
        <v/>
      </c>
      <c r="H593" s="57" t="str">
        <f>IF($O593="","",INDEX(jr_carrier,$O593)&amp;"")</f>
        <v/>
      </c>
      <c r="I593" s="66" t="str">
        <f>IF(A593="","",COUNTIF(jr_num,A593))</f>
        <v/>
      </c>
      <c r="J593" s="66" t="str">
        <f>IF(A593="","",SUMIF(jr_num,A593,jr_colis))</f>
        <v/>
      </c>
      <c r="K593" s="63" t="str">
        <f>IF(A593="","",SUMIF(jr_num,A593,jr_kg))</f>
        <v/>
      </c>
      <c r="L593" s="64" t="str">
        <f>IF(A593="","",SUMIF(jr_num,A593,jr_val))</f>
        <v/>
      </c>
      <c r="M593" s="60" t="str">
        <f>IF(A593="","",IF(COUNTIFS(jr_num,A593,jr_check,"&lt;&gt;OK")&gt;0,"À vérifier",IF(LEFT(A593,2)="BL",IF(COUNTIFS(jr_num,A593,jr_rel,"&gt;0")&gt;0,"Reliquat en cours",IF(COUNTIFS(jr_num,A593,jr_gap,"&lt;0")&gt;0,"Reliquat livré","Complet")),IF(LEFT(A593,2)="BR",IF(COUNTIFS(jr_num,A593,jr_etat,"Refusé")&gt;0,"Refusé",IF(COUNTIFS(jr_num,A593,jr_etat,"Avec réserves")&gt;0,"Avec réserves",IF(COUNTIFS(jr_num,A593,jr_rel,"&gt;0")&gt;0,"Reliquat en cours",IF(COUNTIFS(jr_num,A593,jr_gap,"&lt;0")+COUNTIFS(jr_num,A593,jr_gap,"&gt;0")&gt;0,"Écart","Conforme")))),IF(COUNTIFS(jr_num,A593,jr_gap,"&lt;0")&gt;0,"Partiel","Sorti")))))</f>
        <v/>
      </c>
      <c r="O593" t="str">
        <f>IFERROR(MATCH(588,jr_grank,0),"")</f>
        <v/>
      </c>
      <c r="R593" s="67" t="str">
        <f>IFERROR(INDEX(jr_num,MATCH("BL588",jr_nkey,0))&amp;"","")</f>
        <v/>
      </c>
      <c r="S593" s="67" t="str">
        <f>IFERROR(INDEX(jr_num,MATCH("BR588",jr_nkey,0))&amp;"","")</f>
        <v/>
      </c>
      <c r="T593" s="67" t="str">
        <f>IFERROR(INDEX(jr_num,MATCH("BS588",jr_nkey,0))&amp;"","")</f>
        <v/>
      </c>
    </row>
    <row r="594">
      <c r="A594" s="60" t="str">
        <f>IF($O594="","",INDEX(jr_num,$O594)&amp;"")</f>
        <v/>
      </c>
      <c r="B594" s="60" t="str">
        <f>IF($O594="","",IF(INDEX(jr_type,$O594)="BL","Livraison",IF(INDEX(jr_type,$O594)="BR","Réception","Sortie")))</f>
        <v/>
      </c>
      <c r="C594" s="65" t="str">
        <f>IF($O594="","",INDEX(jr_date,$O594))</f>
        <v/>
      </c>
      <c r="D594" s="60" t="str">
        <f>IF($O594="","",INDEX(jr_tiers,$O594)&amp;"")</f>
        <v/>
      </c>
      <c r="E594" s="57" t="str">
        <f>IF($O594="","",INDEX(jr_name,$O594)&amp;"")</f>
        <v/>
      </c>
      <c r="F594" s="57" t="str">
        <f>IF($O594="","",INDEX(jr_order,$O594)&amp;"")</f>
        <v/>
      </c>
      <c r="G594" s="57" t="str">
        <f>IF($O594="","",INDEX(jr_ext,$O594)&amp;"")</f>
        <v/>
      </c>
      <c r="H594" s="57" t="str">
        <f>IF($O594="","",INDEX(jr_carrier,$O594)&amp;"")</f>
        <v/>
      </c>
      <c r="I594" s="66" t="str">
        <f>IF(A594="","",COUNTIF(jr_num,A594))</f>
        <v/>
      </c>
      <c r="J594" s="66" t="str">
        <f>IF(A594="","",SUMIF(jr_num,A594,jr_colis))</f>
        <v/>
      </c>
      <c r="K594" s="63" t="str">
        <f>IF(A594="","",SUMIF(jr_num,A594,jr_kg))</f>
        <v/>
      </c>
      <c r="L594" s="64" t="str">
        <f>IF(A594="","",SUMIF(jr_num,A594,jr_val))</f>
        <v/>
      </c>
      <c r="M594" s="60" t="str">
        <f>IF(A594="","",IF(COUNTIFS(jr_num,A594,jr_check,"&lt;&gt;OK")&gt;0,"À vérifier",IF(LEFT(A594,2)="BL",IF(COUNTIFS(jr_num,A594,jr_rel,"&gt;0")&gt;0,"Reliquat en cours",IF(COUNTIFS(jr_num,A594,jr_gap,"&lt;0")&gt;0,"Reliquat livré","Complet")),IF(LEFT(A594,2)="BR",IF(COUNTIFS(jr_num,A594,jr_etat,"Refusé")&gt;0,"Refusé",IF(COUNTIFS(jr_num,A594,jr_etat,"Avec réserves")&gt;0,"Avec réserves",IF(COUNTIFS(jr_num,A594,jr_rel,"&gt;0")&gt;0,"Reliquat en cours",IF(COUNTIFS(jr_num,A594,jr_gap,"&lt;0")+COUNTIFS(jr_num,A594,jr_gap,"&gt;0")&gt;0,"Écart","Conforme")))),IF(COUNTIFS(jr_num,A594,jr_gap,"&lt;0")&gt;0,"Partiel","Sorti")))))</f>
        <v/>
      </c>
      <c r="O594" t="str">
        <f>IFERROR(MATCH(589,jr_grank,0),"")</f>
        <v/>
      </c>
      <c r="R594" s="67" t="str">
        <f>IFERROR(INDEX(jr_num,MATCH("BL589",jr_nkey,0))&amp;"","")</f>
        <v/>
      </c>
      <c r="S594" s="67" t="str">
        <f>IFERROR(INDEX(jr_num,MATCH("BR589",jr_nkey,0))&amp;"","")</f>
        <v/>
      </c>
      <c r="T594" s="67" t="str">
        <f>IFERROR(INDEX(jr_num,MATCH("BS589",jr_nkey,0))&amp;"","")</f>
        <v/>
      </c>
    </row>
    <row r="595">
      <c r="A595" s="60" t="str">
        <f>IF($O595="","",INDEX(jr_num,$O595)&amp;"")</f>
        <v/>
      </c>
      <c r="B595" s="60" t="str">
        <f>IF($O595="","",IF(INDEX(jr_type,$O595)="BL","Livraison",IF(INDEX(jr_type,$O595)="BR","Réception","Sortie")))</f>
        <v/>
      </c>
      <c r="C595" s="65" t="str">
        <f>IF($O595="","",INDEX(jr_date,$O595))</f>
        <v/>
      </c>
      <c r="D595" s="60" t="str">
        <f>IF($O595="","",INDEX(jr_tiers,$O595)&amp;"")</f>
        <v/>
      </c>
      <c r="E595" s="57" t="str">
        <f>IF($O595="","",INDEX(jr_name,$O595)&amp;"")</f>
        <v/>
      </c>
      <c r="F595" s="57" t="str">
        <f>IF($O595="","",INDEX(jr_order,$O595)&amp;"")</f>
        <v/>
      </c>
      <c r="G595" s="57" t="str">
        <f>IF($O595="","",INDEX(jr_ext,$O595)&amp;"")</f>
        <v/>
      </c>
      <c r="H595" s="57" t="str">
        <f>IF($O595="","",INDEX(jr_carrier,$O595)&amp;"")</f>
        <v/>
      </c>
      <c r="I595" s="66" t="str">
        <f>IF(A595="","",COUNTIF(jr_num,A595))</f>
        <v/>
      </c>
      <c r="J595" s="66" t="str">
        <f>IF(A595="","",SUMIF(jr_num,A595,jr_colis))</f>
        <v/>
      </c>
      <c r="K595" s="63" t="str">
        <f>IF(A595="","",SUMIF(jr_num,A595,jr_kg))</f>
        <v/>
      </c>
      <c r="L595" s="64" t="str">
        <f>IF(A595="","",SUMIF(jr_num,A595,jr_val))</f>
        <v/>
      </c>
      <c r="M595" s="60" t="str">
        <f>IF(A595="","",IF(COUNTIFS(jr_num,A595,jr_check,"&lt;&gt;OK")&gt;0,"À vérifier",IF(LEFT(A595,2)="BL",IF(COUNTIFS(jr_num,A595,jr_rel,"&gt;0")&gt;0,"Reliquat en cours",IF(COUNTIFS(jr_num,A595,jr_gap,"&lt;0")&gt;0,"Reliquat livré","Complet")),IF(LEFT(A595,2)="BR",IF(COUNTIFS(jr_num,A595,jr_etat,"Refusé")&gt;0,"Refusé",IF(COUNTIFS(jr_num,A595,jr_etat,"Avec réserves")&gt;0,"Avec réserves",IF(COUNTIFS(jr_num,A595,jr_rel,"&gt;0")&gt;0,"Reliquat en cours",IF(COUNTIFS(jr_num,A595,jr_gap,"&lt;0")+COUNTIFS(jr_num,A595,jr_gap,"&gt;0")&gt;0,"Écart","Conforme")))),IF(COUNTIFS(jr_num,A595,jr_gap,"&lt;0")&gt;0,"Partiel","Sorti")))))</f>
        <v/>
      </c>
      <c r="O595" t="str">
        <f>IFERROR(MATCH(590,jr_grank,0),"")</f>
        <v/>
      </c>
      <c r="R595" s="67" t="str">
        <f>IFERROR(INDEX(jr_num,MATCH("BL590",jr_nkey,0))&amp;"","")</f>
        <v/>
      </c>
      <c r="S595" s="67" t="str">
        <f>IFERROR(INDEX(jr_num,MATCH("BR590",jr_nkey,0))&amp;"","")</f>
        <v/>
      </c>
      <c r="T595" s="67" t="str">
        <f>IFERROR(INDEX(jr_num,MATCH("BS590",jr_nkey,0))&amp;"","")</f>
        <v/>
      </c>
    </row>
    <row r="596">
      <c r="A596" s="60" t="str">
        <f>IF($O596="","",INDEX(jr_num,$O596)&amp;"")</f>
        <v/>
      </c>
      <c r="B596" s="60" t="str">
        <f>IF($O596="","",IF(INDEX(jr_type,$O596)="BL","Livraison",IF(INDEX(jr_type,$O596)="BR","Réception","Sortie")))</f>
        <v/>
      </c>
      <c r="C596" s="65" t="str">
        <f>IF($O596="","",INDEX(jr_date,$O596))</f>
        <v/>
      </c>
      <c r="D596" s="60" t="str">
        <f>IF($O596="","",INDEX(jr_tiers,$O596)&amp;"")</f>
        <v/>
      </c>
      <c r="E596" s="57" t="str">
        <f>IF($O596="","",INDEX(jr_name,$O596)&amp;"")</f>
        <v/>
      </c>
      <c r="F596" s="57" t="str">
        <f>IF($O596="","",INDEX(jr_order,$O596)&amp;"")</f>
        <v/>
      </c>
      <c r="G596" s="57" t="str">
        <f>IF($O596="","",INDEX(jr_ext,$O596)&amp;"")</f>
        <v/>
      </c>
      <c r="H596" s="57" t="str">
        <f>IF($O596="","",INDEX(jr_carrier,$O596)&amp;"")</f>
        <v/>
      </c>
      <c r="I596" s="66" t="str">
        <f>IF(A596="","",COUNTIF(jr_num,A596))</f>
        <v/>
      </c>
      <c r="J596" s="66" t="str">
        <f>IF(A596="","",SUMIF(jr_num,A596,jr_colis))</f>
        <v/>
      </c>
      <c r="K596" s="63" t="str">
        <f>IF(A596="","",SUMIF(jr_num,A596,jr_kg))</f>
        <v/>
      </c>
      <c r="L596" s="64" t="str">
        <f>IF(A596="","",SUMIF(jr_num,A596,jr_val))</f>
        <v/>
      </c>
      <c r="M596" s="60" t="str">
        <f>IF(A596="","",IF(COUNTIFS(jr_num,A596,jr_check,"&lt;&gt;OK")&gt;0,"À vérifier",IF(LEFT(A596,2)="BL",IF(COUNTIFS(jr_num,A596,jr_rel,"&gt;0")&gt;0,"Reliquat en cours",IF(COUNTIFS(jr_num,A596,jr_gap,"&lt;0")&gt;0,"Reliquat livré","Complet")),IF(LEFT(A596,2)="BR",IF(COUNTIFS(jr_num,A596,jr_etat,"Refusé")&gt;0,"Refusé",IF(COUNTIFS(jr_num,A596,jr_etat,"Avec réserves")&gt;0,"Avec réserves",IF(COUNTIFS(jr_num,A596,jr_rel,"&gt;0")&gt;0,"Reliquat en cours",IF(COUNTIFS(jr_num,A596,jr_gap,"&lt;0")+COUNTIFS(jr_num,A596,jr_gap,"&gt;0")&gt;0,"Écart","Conforme")))),IF(COUNTIFS(jr_num,A596,jr_gap,"&lt;0")&gt;0,"Partiel","Sorti")))))</f>
        <v/>
      </c>
      <c r="O596" t="str">
        <f>IFERROR(MATCH(591,jr_grank,0),"")</f>
        <v/>
      </c>
      <c r="R596" s="67" t="str">
        <f>IFERROR(INDEX(jr_num,MATCH("BL591",jr_nkey,0))&amp;"","")</f>
        <v/>
      </c>
      <c r="S596" s="67" t="str">
        <f>IFERROR(INDEX(jr_num,MATCH("BR591",jr_nkey,0))&amp;"","")</f>
        <v/>
      </c>
      <c r="T596" s="67" t="str">
        <f>IFERROR(INDEX(jr_num,MATCH("BS591",jr_nkey,0))&amp;"","")</f>
        <v/>
      </c>
    </row>
    <row r="597">
      <c r="A597" s="60" t="str">
        <f>IF($O597="","",INDEX(jr_num,$O597)&amp;"")</f>
        <v/>
      </c>
      <c r="B597" s="60" t="str">
        <f>IF($O597="","",IF(INDEX(jr_type,$O597)="BL","Livraison",IF(INDEX(jr_type,$O597)="BR","Réception","Sortie")))</f>
        <v/>
      </c>
      <c r="C597" s="65" t="str">
        <f>IF($O597="","",INDEX(jr_date,$O597))</f>
        <v/>
      </c>
      <c r="D597" s="60" t="str">
        <f>IF($O597="","",INDEX(jr_tiers,$O597)&amp;"")</f>
        <v/>
      </c>
      <c r="E597" s="57" t="str">
        <f>IF($O597="","",INDEX(jr_name,$O597)&amp;"")</f>
        <v/>
      </c>
      <c r="F597" s="57" t="str">
        <f>IF($O597="","",INDEX(jr_order,$O597)&amp;"")</f>
        <v/>
      </c>
      <c r="G597" s="57" t="str">
        <f>IF($O597="","",INDEX(jr_ext,$O597)&amp;"")</f>
        <v/>
      </c>
      <c r="H597" s="57" t="str">
        <f>IF($O597="","",INDEX(jr_carrier,$O597)&amp;"")</f>
        <v/>
      </c>
      <c r="I597" s="66" t="str">
        <f>IF(A597="","",COUNTIF(jr_num,A597))</f>
        <v/>
      </c>
      <c r="J597" s="66" t="str">
        <f>IF(A597="","",SUMIF(jr_num,A597,jr_colis))</f>
        <v/>
      </c>
      <c r="K597" s="63" t="str">
        <f>IF(A597="","",SUMIF(jr_num,A597,jr_kg))</f>
        <v/>
      </c>
      <c r="L597" s="64" t="str">
        <f>IF(A597="","",SUMIF(jr_num,A597,jr_val))</f>
        <v/>
      </c>
      <c r="M597" s="60" t="str">
        <f>IF(A597="","",IF(COUNTIFS(jr_num,A597,jr_check,"&lt;&gt;OK")&gt;0,"À vérifier",IF(LEFT(A597,2)="BL",IF(COUNTIFS(jr_num,A597,jr_rel,"&gt;0")&gt;0,"Reliquat en cours",IF(COUNTIFS(jr_num,A597,jr_gap,"&lt;0")&gt;0,"Reliquat livré","Complet")),IF(LEFT(A597,2)="BR",IF(COUNTIFS(jr_num,A597,jr_etat,"Refusé")&gt;0,"Refusé",IF(COUNTIFS(jr_num,A597,jr_etat,"Avec réserves")&gt;0,"Avec réserves",IF(COUNTIFS(jr_num,A597,jr_rel,"&gt;0")&gt;0,"Reliquat en cours",IF(COUNTIFS(jr_num,A597,jr_gap,"&lt;0")+COUNTIFS(jr_num,A597,jr_gap,"&gt;0")&gt;0,"Écart","Conforme")))),IF(COUNTIFS(jr_num,A597,jr_gap,"&lt;0")&gt;0,"Partiel","Sorti")))))</f>
        <v/>
      </c>
      <c r="O597" t="str">
        <f>IFERROR(MATCH(592,jr_grank,0),"")</f>
        <v/>
      </c>
      <c r="R597" s="67" t="str">
        <f>IFERROR(INDEX(jr_num,MATCH("BL592",jr_nkey,0))&amp;"","")</f>
        <v/>
      </c>
      <c r="S597" s="67" t="str">
        <f>IFERROR(INDEX(jr_num,MATCH("BR592",jr_nkey,0))&amp;"","")</f>
        <v/>
      </c>
      <c r="T597" s="67" t="str">
        <f>IFERROR(INDEX(jr_num,MATCH("BS592",jr_nkey,0))&amp;"","")</f>
        <v/>
      </c>
    </row>
    <row r="598">
      <c r="A598" s="60" t="str">
        <f>IF($O598="","",INDEX(jr_num,$O598)&amp;"")</f>
        <v/>
      </c>
      <c r="B598" s="60" t="str">
        <f>IF($O598="","",IF(INDEX(jr_type,$O598)="BL","Livraison",IF(INDEX(jr_type,$O598)="BR","Réception","Sortie")))</f>
        <v/>
      </c>
      <c r="C598" s="65" t="str">
        <f>IF($O598="","",INDEX(jr_date,$O598))</f>
        <v/>
      </c>
      <c r="D598" s="60" t="str">
        <f>IF($O598="","",INDEX(jr_tiers,$O598)&amp;"")</f>
        <v/>
      </c>
      <c r="E598" s="57" t="str">
        <f>IF($O598="","",INDEX(jr_name,$O598)&amp;"")</f>
        <v/>
      </c>
      <c r="F598" s="57" t="str">
        <f>IF($O598="","",INDEX(jr_order,$O598)&amp;"")</f>
        <v/>
      </c>
      <c r="G598" s="57" t="str">
        <f>IF($O598="","",INDEX(jr_ext,$O598)&amp;"")</f>
        <v/>
      </c>
      <c r="H598" s="57" t="str">
        <f>IF($O598="","",INDEX(jr_carrier,$O598)&amp;"")</f>
        <v/>
      </c>
      <c r="I598" s="66" t="str">
        <f>IF(A598="","",COUNTIF(jr_num,A598))</f>
        <v/>
      </c>
      <c r="J598" s="66" t="str">
        <f>IF(A598="","",SUMIF(jr_num,A598,jr_colis))</f>
        <v/>
      </c>
      <c r="K598" s="63" t="str">
        <f>IF(A598="","",SUMIF(jr_num,A598,jr_kg))</f>
        <v/>
      </c>
      <c r="L598" s="64" t="str">
        <f>IF(A598="","",SUMIF(jr_num,A598,jr_val))</f>
        <v/>
      </c>
      <c r="M598" s="60" t="str">
        <f>IF(A598="","",IF(COUNTIFS(jr_num,A598,jr_check,"&lt;&gt;OK")&gt;0,"À vérifier",IF(LEFT(A598,2)="BL",IF(COUNTIFS(jr_num,A598,jr_rel,"&gt;0")&gt;0,"Reliquat en cours",IF(COUNTIFS(jr_num,A598,jr_gap,"&lt;0")&gt;0,"Reliquat livré","Complet")),IF(LEFT(A598,2)="BR",IF(COUNTIFS(jr_num,A598,jr_etat,"Refusé")&gt;0,"Refusé",IF(COUNTIFS(jr_num,A598,jr_etat,"Avec réserves")&gt;0,"Avec réserves",IF(COUNTIFS(jr_num,A598,jr_rel,"&gt;0")&gt;0,"Reliquat en cours",IF(COUNTIFS(jr_num,A598,jr_gap,"&lt;0")+COUNTIFS(jr_num,A598,jr_gap,"&gt;0")&gt;0,"Écart","Conforme")))),IF(COUNTIFS(jr_num,A598,jr_gap,"&lt;0")&gt;0,"Partiel","Sorti")))))</f>
        <v/>
      </c>
      <c r="O598" t="str">
        <f>IFERROR(MATCH(593,jr_grank,0),"")</f>
        <v/>
      </c>
      <c r="R598" s="67" t="str">
        <f>IFERROR(INDEX(jr_num,MATCH("BL593",jr_nkey,0))&amp;"","")</f>
        <v/>
      </c>
      <c r="S598" s="67" t="str">
        <f>IFERROR(INDEX(jr_num,MATCH("BR593",jr_nkey,0))&amp;"","")</f>
        <v/>
      </c>
      <c r="T598" s="67" t="str">
        <f>IFERROR(INDEX(jr_num,MATCH("BS593",jr_nkey,0))&amp;"","")</f>
        <v/>
      </c>
    </row>
    <row r="599">
      <c r="A599" s="60" t="str">
        <f>IF($O599="","",INDEX(jr_num,$O599)&amp;"")</f>
        <v/>
      </c>
      <c r="B599" s="60" t="str">
        <f>IF($O599="","",IF(INDEX(jr_type,$O599)="BL","Livraison",IF(INDEX(jr_type,$O599)="BR","Réception","Sortie")))</f>
        <v/>
      </c>
      <c r="C599" s="65" t="str">
        <f>IF($O599="","",INDEX(jr_date,$O599))</f>
        <v/>
      </c>
      <c r="D599" s="60" t="str">
        <f>IF($O599="","",INDEX(jr_tiers,$O599)&amp;"")</f>
        <v/>
      </c>
      <c r="E599" s="57" t="str">
        <f>IF($O599="","",INDEX(jr_name,$O599)&amp;"")</f>
        <v/>
      </c>
      <c r="F599" s="57" t="str">
        <f>IF($O599="","",INDEX(jr_order,$O599)&amp;"")</f>
        <v/>
      </c>
      <c r="G599" s="57" t="str">
        <f>IF($O599="","",INDEX(jr_ext,$O599)&amp;"")</f>
        <v/>
      </c>
      <c r="H599" s="57" t="str">
        <f>IF($O599="","",INDEX(jr_carrier,$O599)&amp;"")</f>
        <v/>
      </c>
      <c r="I599" s="66" t="str">
        <f>IF(A599="","",COUNTIF(jr_num,A599))</f>
        <v/>
      </c>
      <c r="J599" s="66" t="str">
        <f>IF(A599="","",SUMIF(jr_num,A599,jr_colis))</f>
        <v/>
      </c>
      <c r="K599" s="63" t="str">
        <f>IF(A599="","",SUMIF(jr_num,A599,jr_kg))</f>
        <v/>
      </c>
      <c r="L599" s="64" t="str">
        <f>IF(A599="","",SUMIF(jr_num,A599,jr_val))</f>
        <v/>
      </c>
      <c r="M599" s="60" t="str">
        <f>IF(A599="","",IF(COUNTIFS(jr_num,A599,jr_check,"&lt;&gt;OK")&gt;0,"À vérifier",IF(LEFT(A599,2)="BL",IF(COUNTIFS(jr_num,A599,jr_rel,"&gt;0")&gt;0,"Reliquat en cours",IF(COUNTIFS(jr_num,A599,jr_gap,"&lt;0")&gt;0,"Reliquat livré","Complet")),IF(LEFT(A599,2)="BR",IF(COUNTIFS(jr_num,A599,jr_etat,"Refusé")&gt;0,"Refusé",IF(COUNTIFS(jr_num,A599,jr_etat,"Avec réserves")&gt;0,"Avec réserves",IF(COUNTIFS(jr_num,A599,jr_rel,"&gt;0")&gt;0,"Reliquat en cours",IF(COUNTIFS(jr_num,A599,jr_gap,"&lt;0")+COUNTIFS(jr_num,A599,jr_gap,"&gt;0")&gt;0,"Écart","Conforme")))),IF(COUNTIFS(jr_num,A599,jr_gap,"&lt;0")&gt;0,"Partiel","Sorti")))))</f>
        <v/>
      </c>
      <c r="O599" t="str">
        <f>IFERROR(MATCH(594,jr_grank,0),"")</f>
        <v/>
      </c>
      <c r="R599" s="67" t="str">
        <f>IFERROR(INDEX(jr_num,MATCH("BL594",jr_nkey,0))&amp;"","")</f>
        <v/>
      </c>
      <c r="S599" s="67" t="str">
        <f>IFERROR(INDEX(jr_num,MATCH("BR594",jr_nkey,0))&amp;"","")</f>
        <v/>
      </c>
      <c r="T599" s="67" t="str">
        <f>IFERROR(INDEX(jr_num,MATCH("BS594",jr_nkey,0))&amp;"","")</f>
        <v/>
      </c>
    </row>
    <row r="600">
      <c r="A600" s="60" t="str">
        <f>IF($O600="","",INDEX(jr_num,$O600)&amp;"")</f>
        <v/>
      </c>
      <c r="B600" s="60" t="str">
        <f>IF($O600="","",IF(INDEX(jr_type,$O600)="BL","Livraison",IF(INDEX(jr_type,$O600)="BR","Réception","Sortie")))</f>
        <v/>
      </c>
      <c r="C600" s="65" t="str">
        <f>IF($O600="","",INDEX(jr_date,$O600))</f>
        <v/>
      </c>
      <c r="D600" s="60" t="str">
        <f>IF($O600="","",INDEX(jr_tiers,$O600)&amp;"")</f>
        <v/>
      </c>
      <c r="E600" s="57" t="str">
        <f>IF($O600="","",INDEX(jr_name,$O600)&amp;"")</f>
        <v/>
      </c>
      <c r="F600" s="57" t="str">
        <f>IF($O600="","",INDEX(jr_order,$O600)&amp;"")</f>
        <v/>
      </c>
      <c r="G600" s="57" t="str">
        <f>IF($O600="","",INDEX(jr_ext,$O600)&amp;"")</f>
        <v/>
      </c>
      <c r="H600" s="57" t="str">
        <f>IF($O600="","",INDEX(jr_carrier,$O600)&amp;"")</f>
        <v/>
      </c>
      <c r="I600" s="66" t="str">
        <f>IF(A600="","",COUNTIF(jr_num,A600))</f>
        <v/>
      </c>
      <c r="J600" s="66" t="str">
        <f>IF(A600="","",SUMIF(jr_num,A600,jr_colis))</f>
        <v/>
      </c>
      <c r="K600" s="63" t="str">
        <f>IF(A600="","",SUMIF(jr_num,A600,jr_kg))</f>
        <v/>
      </c>
      <c r="L600" s="64" t="str">
        <f>IF(A600="","",SUMIF(jr_num,A600,jr_val))</f>
        <v/>
      </c>
      <c r="M600" s="60" t="str">
        <f>IF(A600="","",IF(COUNTIFS(jr_num,A600,jr_check,"&lt;&gt;OK")&gt;0,"À vérifier",IF(LEFT(A600,2)="BL",IF(COUNTIFS(jr_num,A600,jr_rel,"&gt;0")&gt;0,"Reliquat en cours",IF(COUNTIFS(jr_num,A600,jr_gap,"&lt;0")&gt;0,"Reliquat livré","Complet")),IF(LEFT(A600,2)="BR",IF(COUNTIFS(jr_num,A600,jr_etat,"Refusé")&gt;0,"Refusé",IF(COUNTIFS(jr_num,A600,jr_etat,"Avec réserves")&gt;0,"Avec réserves",IF(COUNTIFS(jr_num,A600,jr_rel,"&gt;0")&gt;0,"Reliquat en cours",IF(COUNTIFS(jr_num,A600,jr_gap,"&lt;0")+COUNTIFS(jr_num,A600,jr_gap,"&gt;0")&gt;0,"Écart","Conforme")))),IF(COUNTIFS(jr_num,A600,jr_gap,"&lt;0")&gt;0,"Partiel","Sorti")))))</f>
        <v/>
      </c>
      <c r="O600" t="str">
        <f>IFERROR(MATCH(595,jr_grank,0),"")</f>
        <v/>
      </c>
      <c r="R600" s="67" t="str">
        <f>IFERROR(INDEX(jr_num,MATCH("BL595",jr_nkey,0))&amp;"","")</f>
        <v/>
      </c>
      <c r="S600" s="67" t="str">
        <f>IFERROR(INDEX(jr_num,MATCH("BR595",jr_nkey,0))&amp;"","")</f>
        <v/>
      </c>
      <c r="T600" s="67" t="str">
        <f>IFERROR(INDEX(jr_num,MATCH("BS595",jr_nkey,0))&amp;"","")</f>
        <v/>
      </c>
    </row>
    <row r="601">
      <c r="A601" s="60" t="str">
        <f>IF($O601="","",INDEX(jr_num,$O601)&amp;"")</f>
        <v/>
      </c>
      <c r="B601" s="60" t="str">
        <f>IF($O601="","",IF(INDEX(jr_type,$O601)="BL","Livraison",IF(INDEX(jr_type,$O601)="BR","Réception","Sortie")))</f>
        <v/>
      </c>
      <c r="C601" s="65" t="str">
        <f>IF($O601="","",INDEX(jr_date,$O601))</f>
        <v/>
      </c>
      <c r="D601" s="60" t="str">
        <f>IF($O601="","",INDEX(jr_tiers,$O601)&amp;"")</f>
        <v/>
      </c>
      <c r="E601" s="57" t="str">
        <f>IF($O601="","",INDEX(jr_name,$O601)&amp;"")</f>
        <v/>
      </c>
      <c r="F601" s="57" t="str">
        <f>IF($O601="","",INDEX(jr_order,$O601)&amp;"")</f>
        <v/>
      </c>
      <c r="G601" s="57" t="str">
        <f>IF($O601="","",INDEX(jr_ext,$O601)&amp;"")</f>
        <v/>
      </c>
      <c r="H601" s="57" t="str">
        <f>IF($O601="","",INDEX(jr_carrier,$O601)&amp;"")</f>
        <v/>
      </c>
      <c r="I601" s="66" t="str">
        <f>IF(A601="","",COUNTIF(jr_num,A601))</f>
        <v/>
      </c>
      <c r="J601" s="66" t="str">
        <f>IF(A601="","",SUMIF(jr_num,A601,jr_colis))</f>
        <v/>
      </c>
      <c r="K601" s="63" t="str">
        <f>IF(A601="","",SUMIF(jr_num,A601,jr_kg))</f>
        <v/>
      </c>
      <c r="L601" s="64" t="str">
        <f>IF(A601="","",SUMIF(jr_num,A601,jr_val))</f>
        <v/>
      </c>
      <c r="M601" s="60" t="str">
        <f>IF(A601="","",IF(COUNTIFS(jr_num,A601,jr_check,"&lt;&gt;OK")&gt;0,"À vérifier",IF(LEFT(A601,2)="BL",IF(COUNTIFS(jr_num,A601,jr_rel,"&gt;0")&gt;0,"Reliquat en cours",IF(COUNTIFS(jr_num,A601,jr_gap,"&lt;0")&gt;0,"Reliquat livré","Complet")),IF(LEFT(A601,2)="BR",IF(COUNTIFS(jr_num,A601,jr_etat,"Refusé")&gt;0,"Refusé",IF(COUNTIFS(jr_num,A601,jr_etat,"Avec réserves")&gt;0,"Avec réserves",IF(COUNTIFS(jr_num,A601,jr_rel,"&gt;0")&gt;0,"Reliquat en cours",IF(COUNTIFS(jr_num,A601,jr_gap,"&lt;0")+COUNTIFS(jr_num,A601,jr_gap,"&gt;0")&gt;0,"Écart","Conforme")))),IF(COUNTIFS(jr_num,A601,jr_gap,"&lt;0")&gt;0,"Partiel","Sorti")))))</f>
        <v/>
      </c>
      <c r="O601" t="str">
        <f>IFERROR(MATCH(596,jr_grank,0),"")</f>
        <v/>
      </c>
      <c r="R601" s="67" t="str">
        <f>IFERROR(INDEX(jr_num,MATCH("BL596",jr_nkey,0))&amp;"","")</f>
        <v/>
      </c>
      <c r="S601" s="67" t="str">
        <f>IFERROR(INDEX(jr_num,MATCH("BR596",jr_nkey,0))&amp;"","")</f>
        <v/>
      </c>
      <c r="T601" s="67" t="str">
        <f>IFERROR(INDEX(jr_num,MATCH("BS596",jr_nkey,0))&amp;"","")</f>
        <v/>
      </c>
    </row>
    <row r="602">
      <c r="A602" s="60" t="str">
        <f>IF($O602="","",INDEX(jr_num,$O602)&amp;"")</f>
        <v/>
      </c>
      <c r="B602" s="60" t="str">
        <f>IF($O602="","",IF(INDEX(jr_type,$O602)="BL","Livraison",IF(INDEX(jr_type,$O602)="BR","Réception","Sortie")))</f>
        <v/>
      </c>
      <c r="C602" s="65" t="str">
        <f>IF($O602="","",INDEX(jr_date,$O602))</f>
        <v/>
      </c>
      <c r="D602" s="60" t="str">
        <f>IF($O602="","",INDEX(jr_tiers,$O602)&amp;"")</f>
        <v/>
      </c>
      <c r="E602" s="57" t="str">
        <f>IF($O602="","",INDEX(jr_name,$O602)&amp;"")</f>
        <v/>
      </c>
      <c r="F602" s="57" t="str">
        <f>IF($O602="","",INDEX(jr_order,$O602)&amp;"")</f>
        <v/>
      </c>
      <c r="G602" s="57" t="str">
        <f>IF($O602="","",INDEX(jr_ext,$O602)&amp;"")</f>
        <v/>
      </c>
      <c r="H602" s="57" t="str">
        <f>IF($O602="","",INDEX(jr_carrier,$O602)&amp;"")</f>
        <v/>
      </c>
      <c r="I602" s="66" t="str">
        <f>IF(A602="","",COUNTIF(jr_num,A602))</f>
        <v/>
      </c>
      <c r="J602" s="66" t="str">
        <f>IF(A602="","",SUMIF(jr_num,A602,jr_colis))</f>
        <v/>
      </c>
      <c r="K602" s="63" t="str">
        <f>IF(A602="","",SUMIF(jr_num,A602,jr_kg))</f>
        <v/>
      </c>
      <c r="L602" s="64" t="str">
        <f>IF(A602="","",SUMIF(jr_num,A602,jr_val))</f>
        <v/>
      </c>
      <c r="M602" s="60" t="str">
        <f>IF(A602="","",IF(COUNTIFS(jr_num,A602,jr_check,"&lt;&gt;OK")&gt;0,"À vérifier",IF(LEFT(A602,2)="BL",IF(COUNTIFS(jr_num,A602,jr_rel,"&gt;0")&gt;0,"Reliquat en cours",IF(COUNTIFS(jr_num,A602,jr_gap,"&lt;0")&gt;0,"Reliquat livré","Complet")),IF(LEFT(A602,2)="BR",IF(COUNTIFS(jr_num,A602,jr_etat,"Refusé")&gt;0,"Refusé",IF(COUNTIFS(jr_num,A602,jr_etat,"Avec réserves")&gt;0,"Avec réserves",IF(COUNTIFS(jr_num,A602,jr_rel,"&gt;0")&gt;0,"Reliquat en cours",IF(COUNTIFS(jr_num,A602,jr_gap,"&lt;0")+COUNTIFS(jr_num,A602,jr_gap,"&gt;0")&gt;0,"Écart","Conforme")))),IF(COUNTIFS(jr_num,A602,jr_gap,"&lt;0")&gt;0,"Partiel","Sorti")))))</f>
        <v/>
      </c>
      <c r="O602" t="str">
        <f>IFERROR(MATCH(597,jr_grank,0),"")</f>
        <v/>
      </c>
      <c r="R602" s="67" t="str">
        <f>IFERROR(INDEX(jr_num,MATCH("BL597",jr_nkey,0))&amp;"","")</f>
        <v/>
      </c>
      <c r="S602" s="67" t="str">
        <f>IFERROR(INDEX(jr_num,MATCH("BR597",jr_nkey,0))&amp;"","")</f>
        <v/>
      </c>
      <c r="T602" s="67" t="str">
        <f>IFERROR(INDEX(jr_num,MATCH("BS597",jr_nkey,0))&amp;"","")</f>
        <v/>
      </c>
    </row>
    <row r="603">
      <c r="A603" s="60" t="str">
        <f>IF($O603="","",INDEX(jr_num,$O603)&amp;"")</f>
        <v/>
      </c>
      <c r="B603" s="60" t="str">
        <f>IF($O603="","",IF(INDEX(jr_type,$O603)="BL","Livraison",IF(INDEX(jr_type,$O603)="BR","Réception","Sortie")))</f>
        <v/>
      </c>
      <c r="C603" s="65" t="str">
        <f>IF($O603="","",INDEX(jr_date,$O603))</f>
        <v/>
      </c>
      <c r="D603" s="60" t="str">
        <f>IF($O603="","",INDEX(jr_tiers,$O603)&amp;"")</f>
        <v/>
      </c>
      <c r="E603" s="57" t="str">
        <f>IF($O603="","",INDEX(jr_name,$O603)&amp;"")</f>
        <v/>
      </c>
      <c r="F603" s="57" t="str">
        <f>IF($O603="","",INDEX(jr_order,$O603)&amp;"")</f>
        <v/>
      </c>
      <c r="G603" s="57" t="str">
        <f>IF($O603="","",INDEX(jr_ext,$O603)&amp;"")</f>
        <v/>
      </c>
      <c r="H603" s="57" t="str">
        <f>IF($O603="","",INDEX(jr_carrier,$O603)&amp;"")</f>
        <v/>
      </c>
      <c r="I603" s="66" t="str">
        <f>IF(A603="","",COUNTIF(jr_num,A603))</f>
        <v/>
      </c>
      <c r="J603" s="66" t="str">
        <f>IF(A603="","",SUMIF(jr_num,A603,jr_colis))</f>
        <v/>
      </c>
      <c r="K603" s="63" t="str">
        <f>IF(A603="","",SUMIF(jr_num,A603,jr_kg))</f>
        <v/>
      </c>
      <c r="L603" s="64" t="str">
        <f>IF(A603="","",SUMIF(jr_num,A603,jr_val))</f>
        <v/>
      </c>
      <c r="M603" s="60" t="str">
        <f>IF(A603="","",IF(COUNTIFS(jr_num,A603,jr_check,"&lt;&gt;OK")&gt;0,"À vérifier",IF(LEFT(A603,2)="BL",IF(COUNTIFS(jr_num,A603,jr_rel,"&gt;0")&gt;0,"Reliquat en cours",IF(COUNTIFS(jr_num,A603,jr_gap,"&lt;0")&gt;0,"Reliquat livré","Complet")),IF(LEFT(A603,2)="BR",IF(COUNTIFS(jr_num,A603,jr_etat,"Refusé")&gt;0,"Refusé",IF(COUNTIFS(jr_num,A603,jr_etat,"Avec réserves")&gt;0,"Avec réserves",IF(COUNTIFS(jr_num,A603,jr_rel,"&gt;0")&gt;0,"Reliquat en cours",IF(COUNTIFS(jr_num,A603,jr_gap,"&lt;0")+COUNTIFS(jr_num,A603,jr_gap,"&gt;0")&gt;0,"Écart","Conforme")))),IF(COUNTIFS(jr_num,A603,jr_gap,"&lt;0")&gt;0,"Partiel","Sorti")))))</f>
        <v/>
      </c>
      <c r="O603" t="str">
        <f>IFERROR(MATCH(598,jr_grank,0),"")</f>
        <v/>
      </c>
      <c r="R603" s="67" t="str">
        <f>IFERROR(INDEX(jr_num,MATCH("BL598",jr_nkey,0))&amp;"","")</f>
        <v/>
      </c>
      <c r="S603" s="67" t="str">
        <f>IFERROR(INDEX(jr_num,MATCH("BR598",jr_nkey,0))&amp;"","")</f>
        <v/>
      </c>
      <c r="T603" s="67" t="str">
        <f>IFERROR(INDEX(jr_num,MATCH("BS598",jr_nkey,0))&amp;"","")</f>
        <v/>
      </c>
    </row>
    <row r="604">
      <c r="A604" s="60" t="str">
        <f>IF($O604="","",INDEX(jr_num,$O604)&amp;"")</f>
        <v/>
      </c>
      <c r="B604" s="60" t="str">
        <f>IF($O604="","",IF(INDEX(jr_type,$O604)="BL","Livraison",IF(INDEX(jr_type,$O604)="BR","Réception","Sortie")))</f>
        <v/>
      </c>
      <c r="C604" s="65" t="str">
        <f>IF($O604="","",INDEX(jr_date,$O604))</f>
        <v/>
      </c>
      <c r="D604" s="60" t="str">
        <f>IF($O604="","",INDEX(jr_tiers,$O604)&amp;"")</f>
        <v/>
      </c>
      <c r="E604" s="57" t="str">
        <f>IF($O604="","",INDEX(jr_name,$O604)&amp;"")</f>
        <v/>
      </c>
      <c r="F604" s="57" t="str">
        <f>IF($O604="","",INDEX(jr_order,$O604)&amp;"")</f>
        <v/>
      </c>
      <c r="G604" s="57" t="str">
        <f>IF($O604="","",INDEX(jr_ext,$O604)&amp;"")</f>
        <v/>
      </c>
      <c r="H604" s="57" t="str">
        <f>IF($O604="","",INDEX(jr_carrier,$O604)&amp;"")</f>
        <v/>
      </c>
      <c r="I604" s="66" t="str">
        <f>IF(A604="","",COUNTIF(jr_num,A604))</f>
        <v/>
      </c>
      <c r="J604" s="66" t="str">
        <f>IF(A604="","",SUMIF(jr_num,A604,jr_colis))</f>
        <v/>
      </c>
      <c r="K604" s="63" t="str">
        <f>IF(A604="","",SUMIF(jr_num,A604,jr_kg))</f>
        <v/>
      </c>
      <c r="L604" s="64" t="str">
        <f>IF(A604="","",SUMIF(jr_num,A604,jr_val))</f>
        <v/>
      </c>
      <c r="M604" s="60" t="str">
        <f>IF(A604="","",IF(COUNTIFS(jr_num,A604,jr_check,"&lt;&gt;OK")&gt;0,"À vérifier",IF(LEFT(A604,2)="BL",IF(COUNTIFS(jr_num,A604,jr_rel,"&gt;0")&gt;0,"Reliquat en cours",IF(COUNTIFS(jr_num,A604,jr_gap,"&lt;0")&gt;0,"Reliquat livré","Complet")),IF(LEFT(A604,2)="BR",IF(COUNTIFS(jr_num,A604,jr_etat,"Refusé")&gt;0,"Refusé",IF(COUNTIFS(jr_num,A604,jr_etat,"Avec réserves")&gt;0,"Avec réserves",IF(COUNTIFS(jr_num,A604,jr_rel,"&gt;0")&gt;0,"Reliquat en cours",IF(COUNTIFS(jr_num,A604,jr_gap,"&lt;0")+COUNTIFS(jr_num,A604,jr_gap,"&gt;0")&gt;0,"Écart","Conforme")))),IF(COUNTIFS(jr_num,A604,jr_gap,"&lt;0")&gt;0,"Partiel","Sorti")))))</f>
        <v/>
      </c>
      <c r="O604" t="str">
        <f>IFERROR(MATCH(599,jr_grank,0),"")</f>
        <v/>
      </c>
      <c r="R604" s="67" t="str">
        <f>IFERROR(INDEX(jr_num,MATCH("BL599",jr_nkey,0))&amp;"","")</f>
        <v/>
      </c>
      <c r="S604" s="67" t="str">
        <f>IFERROR(INDEX(jr_num,MATCH("BR599",jr_nkey,0))&amp;"","")</f>
        <v/>
      </c>
      <c r="T604" s="67" t="str">
        <f>IFERROR(INDEX(jr_num,MATCH("BS599",jr_nkey,0))&amp;"","")</f>
        <v/>
      </c>
    </row>
    <row r="605">
      <c r="A605" s="60" t="str">
        <f>IF($O605="","",INDEX(jr_num,$O605)&amp;"")</f>
        <v/>
      </c>
      <c r="B605" s="60" t="str">
        <f>IF($O605="","",IF(INDEX(jr_type,$O605)="BL","Livraison",IF(INDEX(jr_type,$O605)="BR","Réception","Sortie")))</f>
        <v/>
      </c>
      <c r="C605" s="65" t="str">
        <f>IF($O605="","",INDEX(jr_date,$O605))</f>
        <v/>
      </c>
      <c r="D605" s="60" t="str">
        <f>IF($O605="","",INDEX(jr_tiers,$O605)&amp;"")</f>
        <v/>
      </c>
      <c r="E605" s="57" t="str">
        <f>IF($O605="","",INDEX(jr_name,$O605)&amp;"")</f>
        <v/>
      </c>
      <c r="F605" s="57" t="str">
        <f>IF($O605="","",INDEX(jr_order,$O605)&amp;"")</f>
        <v/>
      </c>
      <c r="G605" s="57" t="str">
        <f>IF($O605="","",INDEX(jr_ext,$O605)&amp;"")</f>
        <v/>
      </c>
      <c r="H605" s="57" t="str">
        <f>IF($O605="","",INDEX(jr_carrier,$O605)&amp;"")</f>
        <v/>
      </c>
      <c r="I605" s="66" t="str">
        <f>IF(A605="","",COUNTIF(jr_num,A605))</f>
        <v/>
      </c>
      <c r="J605" s="66" t="str">
        <f>IF(A605="","",SUMIF(jr_num,A605,jr_colis))</f>
        <v/>
      </c>
      <c r="K605" s="63" t="str">
        <f>IF(A605="","",SUMIF(jr_num,A605,jr_kg))</f>
        <v/>
      </c>
      <c r="L605" s="64" t="str">
        <f>IF(A605="","",SUMIF(jr_num,A605,jr_val))</f>
        <v/>
      </c>
      <c r="M605" s="60" t="str">
        <f>IF(A605="","",IF(COUNTIFS(jr_num,A605,jr_check,"&lt;&gt;OK")&gt;0,"À vérifier",IF(LEFT(A605,2)="BL",IF(COUNTIFS(jr_num,A605,jr_rel,"&gt;0")&gt;0,"Reliquat en cours",IF(COUNTIFS(jr_num,A605,jr_gap,"&lt;0")&gt;0,"Reliquat livré","Complet")),IF(LEFT(A605,2)="BR",IF(COUNTIFS(jr_num,A605,jr_etat,"Refusé")&gt;0,"Refusé",IF(COUNTIFS(jr_num,A605,jr_etat,"Avec réserves")&gt;0,"Avec réserves",IF(COUNTIFS(jr_num,A605,jr_rel,"&gt;0")&gt;0,"Reliquat en cours",IF(COUNTIFS(jr_num,A605,jr_gap,"&lt;0")+COUNTIFS(jr_num,A605,jr_gap,"&gt;0")&gt;0,"Écart","Conforme")))),IF(COUNTIFS(jr_num,A605,jr_gap,"&lt;0")&gt;0,"Partiel","Sorti")))))</f>
        <v/>
      </c>
      <c r="O605" t="str">
        <f>IFERROR(MATCH(600,jr_grank,0),"")</f>
        <v/>
      </c>
      <c r="R605" s="67" t="str">
        <f>IFERROR(INDEX(jr_num,MATCH("BL600",jr_nkey,0))&amp;"","")</f>
        <v/>
      </c>
      <c r="S605" s="67" t="str">
        <f>IFERROR(INDEX(jr_num,MATCH("BR600",jr_nkey,0))&amp;"","")</f>
        <v/>
      </c>
      <c r="T605" s="67" t="str">
        <f>IFERROR(INDEX(jr_num,MATCH("BS600",jr_nkey,0))&amp;"","")</f>
        <v/>
      </c>
    </row>
    <row r="606">
      <c r="A606" s="60" t="str">
        <f>IF($O606="","",INDEX(jr_num,$O606)&amp;"")</f>
        <v/>
      </c>
      <c r="B606" s="60" t="str">
        <f>IF($O606="","",IF(INDEX(jr_type,$O606)="BL","Livraison",IF(INDEX(jr_type,$O606)="BR","Réception","Sortie")))</f>
        <v/>
      </c>
      <c r="C606" s="65" t="str">
        <f>IF($O606="","",INDEX(jr_date,$O606))</f>
        <v/>
      </c>
      <c r="D606" s="60" t="str">
        <f>IF($O606="","",INDEX(jr_tiers,$O606)&amp;"")</f>
        <v/>
      </c>
      <c r="E606" s="57" t="str">
        <f>IF($O606="","",INDEX(jr_name,$O606)&amp;"")</f>
        <v/>
      </c>
      <c r="F606" s="57" t="str">
        <f>IF($O606="","",INDEX(jr_order,$O606)&amp;"")</f>
        <v/>
      </c>
      <c r="G606" s="57" t="str">
        <f>IF($O606="","",INDEX(jr_ext,$O606)&amp;"")</f>
        <v/>
      </c>
      <c r="H606" s="57" t="str">
        <f>IF($O606="","",INDEX(jr_carrier,$O606)&amp;"")</f>
        <v/>
      </c>
      <c r="I606" s="66" t="str">
        <f>IF(A606="","",COUNTIF(jr_num,A606))</f>
        <v/>
      </c>
      <c r="J606" s="66" t="str">
        <f>IF(A606="","",SUMIF(jr_num,A606,jr_colis))</f>
        <v/>
      </c>
      <c r="K606" s="63" t="str">
        <f>IF(A606="","",SUMIF(jr_num,A606,jr_kg))</f>
        <v/>
      </c>
      <c r="L606" s="64" t="str">
        <f>IF(A606="","",SUMIF(jr_num,A606,jr_val))</f>
        <v/>
      </c>
      <c r="M606" s="60" t="str">
        <f>IF(A606="","",IF(COUNTIFS(jr_num,A606,jr_check,"&lt;&gt;OK")&gt;0,"À vérifier",IF(LEFT(A606,2)="BL",IF(COUNTIFS(jr_num,A606,jr_rel,"&gt;0")&gt;0,"Reliquat en cours",IF(COUNTIFS(jr_num,A606,jr_gap,"&lt;0")&gt;0,"Reliquat livré","Complet")),IF(LEFT(A606,2)="BR",IF(COUNTIFS(jr_num,A606,jr_etat,"Refusé")&gt;0,"Refusé",IF(COUNTIFS(jr_num,A606,jr_etat,"Avec réserves")&gt;0,"Avec réserves",IF(COUNTIFS(jr_num,A606,jr_rel,"&gt;0")&gt;0,"Reliquat en cours",IF(COUNTIFS(jr_num,A606,jr_gap,"&lt;0")+COUNTIFS(jr_num,A606,jr_gap,"&gt;0")&gt;0,"Écart","Conforme")))),IF(COUNTIFS(jr_num,A606,jr_gap,"&lt;0")&gt;0,"Partiel","Sorti")))))</f>
        <v/>
      </c>
      <c r="O606" t="str">
        <f>IFERROR(MATCH(601,jr_grank,0),"")</f>
        <v/>
      </c>
      <c r="R606" s="67" t="str">
        <f>IFERROR(INDEX(jr_num,MATCH("BL601",jr_nkey,0))&amp;"","")</f>
        <v/>
      </c>
      <c r="S606" s="67" t="str">
        <f>IFERROR(INDEX(jr_num,MATCH("BR601",jr_nkey,0))&amp;"","")</f>
        <v/>
      </c>
      <c r="T606" s="67" t="str">
        <f>IFERROR(INDEX(jr_num,MATCH("BS601",jr_nkey,0))&amp;"","")</f>
        <v/>
      </c>
    </row>
    <row r="607">
      <c r="A607" s="60" t="str">
        <f>IF($O607="","",INDEX(jr_num,$O607)&amp;"")</f>
        <v/>
      </c>
      <c r="B607" s="60" t="str">
        <f>IF($O607="","",IF(INDEX(jr_type,$O607)="BL","Livraison",IF(INDEX(jr_type,$O607)="BR","Réception","Sortie")))</f>
        <v/>
      </c>
      <c r="C607" s="65" t="str">
        <f>IF($O607="","",INDEX(jr_date,$O607))</f>
        <v/>
      </c>
      <c r="D607" s="60" t="str">
        <f>IF($O607="","",INDEX(jr_tiers,$O607)&amp;"")</f>
        <v/>
      </c>
      <c r="E607" s="57" t="str">
        <f>IF($O607="","",INDEX(jr_name,$O607)&amp;"")</f>
        <v/>
      </c>
      <c r="F607" s="57" t="str">
        <f>IF($O607="","",INDEX(jr_order,$O607)&amp;"")</f>
        <v/>
      </c>
      <c r="G607" s="57" t="str">
        <f>IF($O607="","",INDEX(jr_ext,$O607)&amp;"")</f>
        <v/>
      </c>
      <c r="H607" s="57" t="str">
        <f>IF($O607="","",INDEX(jr_carrier,$O607)&amp;"")</f>
        <v/>
      </c>
      <c r="I607" s="66" t="str">
        <f>IF(A607="","",COUNTIF(jr_num,A607))</f>
        <v/>
      </c>
      <c r="J607" s="66" t="str">
        <f>IF(A607="","",SUMIF(jr_num,A607,jr_colis))</f>
        <v/>
      </c>
      <c r="K607" s="63" t="str">
        <f>IF(A607="","",SUMIF(jr_num,A607,jr_kg))</f>
        <v/>
      </c>
      <c r="L607" s="64" t="str">
        <f>IF(A607="","",SUMIF(jr_num,A607,jr_val))</f>
        <v/>
      </c>
      <c r="M607" s="60" t="str">
        <f>IF(A607="","",IF(COUNTIFS(jr_num,A607,jr_check,"&lt;&gt;OK")&gt;0,"À vérifier",IF(LEFT(A607,2)="BL",IF(COUNTIFS(jr_num,A607,jr_rel,"&gt;0")&gt;0,"Reliquat en cours",IF(COUNTIFS(jr_num,A607,jr_gap,"&lt;0")&gt;0,"Reliquat livré","Complet")),IF(LEFT(A607,2)="BR",IF(COUNTIFS(jr_num,A607,jr_etat,"Refusé")&gt;0,"Refusé",IF(COUNTIFS(jr_num,A607,jr_etat,"Avec réserves")&gt;0,"Avec réserves",IF(COUNTIFS(jr_num,A607,jr_rel,"&gt;0")&gt;0,"Reliquat en cours",IF(COUNTIFS(jr_num,A607,jr_gap,"&lt;0")+COUNTIFS(jr_num,A607,jr_gap,"&gt;0")&gt;0,"Écart","Conforme")))),IF(COUNTIFS(jr_num,A607,jr_gap,"&lt;0")&gt;0,"Partiel","Sorti")))))</f>
        <v/>
      </c>
      <c r="O607" t="str">
        <f>IFERROR(MATCH(602,jr_grank,0),"")</f>
        <v/>
      </c>
      <c r="R607" s="67" t="str">
        <f>IFERROR(INDEX(jr_num,MATCH("BL602",jr_nkey,0))&amp;"","")</f>
        <v/>
      </c>
      <c r="S607" s="67" t="str">
        <f>IFERROR(INDEX(jr_num,MATCH("BR602",jr_nkey,0))&amp;"","")</f>
        <v/>
      </c>
      <c r="T607" s="67" t="str">
        <f>IFERROR(INDEX(jr_num,MATCH("BS602",jr_nkey,0))&amp;"","")</f>
        <v/>
      </c>
    </row>
    <row r="608">
      <c r="A608" s="60" t="str">
        <f>IF($O608="","",INDEX(jr_num,$O608)&amp;"")</f>
        <v/>
      </c>
      <c r="B608" s="60" t="str">
        <f>IF($O608="","",IF(INDEX(jr_type,$O608)="BL","Livraison",IF(INDEX(jr_type,$O608)="BR","Réception","Sortie")))</f>
        <v/>
      </c>
      <c r="C608" s="65" t="str">
        <f>IF($O608="","",INDEX(jr_date,$O608))</f>
        <v/>
      </c>
      <c r="D608" s="60" t="str">
        <f>IF($O608="","",INDEX(jr_tiers,$O608)&amp;"")</f>
        <v/>
      </c>
      <c r="E608" s="57" t="str">
        <f>IF($O608="","",INDEX(jr_name,$O608)&amp;"")</f>
        <v/>
      </c>
      <c r="F608" s="57" t="str">
        <f>IF($O608="","",INDEX(jr_order,$O608)&amp;"")</f>
        <v/>
      </c>
      <c r="G608" s="57" t="str">
        <f>IF($O608="","",INDEX(jr_ext,$O608)&amp;"")</f>
        <v/>
      </c>
      <c r="H608" s="57" t="str">
        <f>IF($O608="","",INDEX(jr_carrier,$O608)&amp;"")</f>
        <v/>
      </c>
      <c r="I608" s="66" t="str">
        <f>IF(A608="","",COUNTIF(jr_num,A608))</f>
        <v/>
      </c>
      <c r="J608" s="66" t="str">
        <f>IF(A608="","",SUMIF(jr_num,A608,jr_colis))</f>
        <v/>
      </c>
      <c r="K608" s="63" t="str">
        <f>IF(A608="","",SUMIF(jr_num,A608,jr_kg))</f>
        <v/>
      </c>
      <c r="L608" s="64" t="str">
        <f>IF(A608="","",SUMIF(jr_num,A608,jr_val))</f>
        <v/>
      </c>
      <c r="M608" s="60" t="str">
        <f>IF(A608="","",IF(COUNTIFS(jr_num,A608,jr_check,"&lt;&gt;OK")&gt;0,"À vérifier",IF(LEFT(A608,2)="BL",IF(COUNTIFS(jr_num,A608,jr_rel,"&gt;0")&gt;0,"Reliquat en cours",IF(COUNTIFS(jr_num,A608,jr_gap,"&lt;0")&gt;0,"Reliquat livré","Complet")),IF(LEFT(A608,2)="BR",IF(COUNTIFS(jr_num,A608,jr_etat,"Refusé")&gt;0,"Refusé",IF(COUNTIFS(jr_num,A608,jr_etat,"Avec réserves")&gt;0,"Avec réserves",IF(COUNTIFS(jr_num,A608,jr_rel,"&gt;0")&gt;0,"Reliquat en cours",IF(COUNTIFS(jr_num,A608,jr_gap,"&lt;0")+COUNTIFS(jr_num,A608,jr_gap,"&gt;0")&gt;0,"Écart","Conforme")))),IF(COUNTIFS(jr_num,A608,jr_gap,"&lt;0")&gt;0,"Partiel","Sorti")))))</f>
        <v/>
      </c>
      <c r="O608" t="str">
        <f>IFERROR(MATCH(603,jr_grank,0),"")</f>
        <v/>
      </c>
      <c r="R608" s="67" t="str">
        <f>IFERROR(INDEX(jr_num,MATCH("BL603",jr_nkey,0))&amp;"","")</f>
        <v/>
      </c>
      <c r="S608" s="67" t="str">
        <f>IFERROR(INDEX(jr_num,MATCH("BR603",jr_nkey,0))&amp;"","")</f>
        <v/>
      </c>
      <c r="T608" s="67" t="str">
        <f>IFERROR(INDEX(jr_num,MATCH("BS603",jr_nkey,0))&amp;"","")</f>
        <v/>
      </c>
    </row>
    <row r="609">
      <c r="A609" s="60" t="str">
        <f>IF($O609="","",INDEX(jr_num,$O609)&amp;"")</f>
        <v/>
      </c>
      <c r="B609" s="60" t="str">
        <f>IF($O609="","",IF(INDEX(jr_type,$O609)="BL","Livraison",IF(INDEX(jr_type,$O609)="BR","Réception","Sortie")))</f>
        <v/>
      </c>
      <c r="C609" s="65" t="str">
        <f>IF($O609="","",INDEX(jr_date,$O609))</f>
        <v/>
      </c>
      <c r="D609" s="60" t="str">
        <f>IF($O609="","",INDEX(jr_tiers,$O609)&amp;"")</f>
        <v/>
      </c>
      <c r="E609" s="57" t="str">
        <f>IF($O609="","",INDEX(jr_name,$O609)&amp;"")</f>
        <v/>
      </c>
      <c r="F609" s="57" t="str">
        <f>IF($O609="","",INDEX(jr_order,$O609)&amp;"")</f>
        <v/>
      </c>
      <c r="G609" s="57" t="str">
        <f>IF($O609="","",INDEX(jr_ext,$O609)&amp;"")</f>
        <v/>
      </c>
      <c r="H609" s="57" t="str">
        <f>IF($O609="","",INDEX(jr_carrier,$O609)&amp;"")</f>
        <v/>
      </c>
      <c r="I609" s="66" t="str">
        <f>IF(A609="","",COUNTIF(jr_num,A609))</f>
        <v/>
      </c>
      <c r="J609" s="66" t="str">
        <f>IF(A609="","",SUMIF(jr_num,A609,jr_colis))</f>
        <v/>
      </c>
      <c r="K609" s="63" t="str">
        <f>IF(A609="","",SUMIF(jr_num,A609,jr_kg))</f>
        <v/>
      </c>
      <c r="L609" s="64" t="str">
        <f>IF(A609="","",SUMIF(jr_num,A609,jr_val))</f>
        <v/>
      </c>
      <c r="M609" s="60" t="str">
        <f>IF(A609="","",IF(COUNTIFS(jr_num,A609,jr_check,"&lt;&gt;OK")&gt;0,"À vérifier",IF(LEFT(A609,2)="BL",IF(COUNTIFS(jr_num,A609,jr_rel,"&gt;0")&gt;0,"Reliquat en cours",IF(COUNTIFS(jr_num,A609,jr_gap,"&lt;0")&gt;0,"Reliquat livré","Complet")),IF(LEFT(A609,2)="BR",IF(COUNTIFS(jr_num,A609,jr_etat,"Refusé")&gt;0,"Refusé",IF(COUNTIFS(jr_num,A609,jr_etat,"Avec réserves")&gt;0,"Avec réserves",IF(COUNTIFS(jr_num,A609,jr_rel,"&gt;0")&gt;0,"Reliquat en cours",IF(COUNTIFS(jr_num,A609,jr_gap,"&lt;0")+COUNTIFS(jr_num,A609,jr_gap,"&gt;0")&gt;0,"Écart","Conforme")))),IF(COUNTIFS(jr_num,A609,jr_gap,"&lt;0")&gt;0,"Partiel","Sorti")))))</f>
        <v/>
      </c>
      <c r="O609" t="str">
        <f>IFERROR(MATCH(604,jr_grank,0),"")</f>
        <v/>
      </c>
      <c r="R609" s="67" t="str">
        <f>IFERROR(INDEX(jr_num,MATCH("BL604",jr_nkey,0))&amp;"","")</f>
        <v/>
      </c>
      <c r="S609" s="67" t="str">
        <f>IFERROR(INDEX(jr_num,MATCH("BR604",jr_nkey,0))&amp;"","")</f>
        <v/>
      </c>
      <c r="T609" s="67" t="str">
        <f>IFERROR(INDEX(jr_num,MATCH("BS604",jr_nkey,0))&amp;"","")</f>
        <v/>
      </c>
    </row>
    <row r="610">
      <c r="A610" s="60" t="str">
        <f>IF($O610="","",INDEX(jr_num,$O610)&amp;"")</f>
        <v/>
      </c>
      <c r="B610" s="60" t="str">
        <f>IF($O610="","",IF(INDEX(jr_type,$O610)="BL","Livraison",IF(INDEX(jr_type,$O610)="BR","Réception","Sortie")))</f>
        <v/>
      </c>
      <c r="C610" s="65" t="str">
        <f>IF($O610="","",INDEX(jr_date,$O610))</f>
        <v/>
      </c>
      <c r="D610" s="60" t="str">
        <f>IF($O610="","",INDEX(jr_tiers,$O610)&amp;"")</f>
        <v/>
      </c>
      <c r="E610" s="57" t="str">
        <f>IF($O610="","",INDEX(jr_name,$O610)&amp;"")</f>
        <v/>
      </c>
      <c r="F610" s="57" t="str">
        <f>IF($O610="","",INDEX(jr_order,$O610)&amp;"")</f>
        <v/>
      </c>
      <c r="G610" s="57" t="str">
        <f>IF($O610="","",INDEX(jr_ext,$O610)&amp;"")</f>
        <v/>
      </c>
      <c r="H610" s="57" t="str">
        <f>IF($O610="","",INDEX(jr_carrier,$O610)&amp;"")</f>
        <v/>
      </c>
      <c r="I610" s="66" t="str">
        <f>IF(A610="","",COUNTIF(jr_num,A610))</f>
        <v/>
      </c>
      <c r="J610" s="66" t="str">
        <f>IF(A610="","",SUMIF(jr_num,A610,jr_colis))</f>
        <v/>
      </c>
      <c r="K610" s="63" t="str">
        <f>IF(A610="","",SUMIF(jr_num,A610,jr_kg))</f>
        <v/>
      </c>
      <c r="L610" s="64" t="str">
        <f>IF(A610="","",SUMIF(jr_num,A610,jr_val))</f>
        <v/>
      </c>
      <c r="M610" s="60" t="str">
        <f>IF(A610="","",IF(COUNTIFS(jr_num,A610,jr_check,"&lt;&gt;OK")&gt;0,"À vérifier",IF(LEFT(A610,2)="BL",IF(COUNTIFS(jr_num,A610,jr_rel,"&gt;0")&gt;0,"Reliquat en cours",IF(COUNTIFS(jr_num,A610,jr_gap,"&lt;0")&gt;0,"Reliquat livré","Complet")),IF(LEFT(A610,2)="BR",IF(COUNTIFS(jr_num,A610,jr_etat,"Refusé")&gt;0,"Refusé",IF(COUNTIFS(jr_num,A610,jr_etat,"Avec réserves")&gt;0,"Avec réserves",IF(COUNTIFS(jr_num,A610,jr_rel,"&gt;0")&gt;0,"Reliquat en cours",IF(COUNTIFS(jr_num,A610,jr_gap,"&lt;0")+COUNTIFS(jr_num,A610,jr_gap,"&gt;0")&gt;0,"Écart","Conforme")))),IF(COUNTIFS(jr_num,A610,jr_gap,"&lt;0")&gt;0,"Partiel","Sorti")))))</f>
        <v/>
      </c>
      <c r="O610" t="str">
        <f>IFERROR(MATCH(605,jr_grank,0),"")</f>
        <v/>
      </c>
      <c r="R610" s="67" t="str">
        <f>IFERROR(INDEX(jr_num,MATCH("BL605",jr_nkey,0))&amp;"","")</f>
        <v/>
      </c>
      <c r="S610" s="67" t="str">
        <f>IFERROR(INDEX(jr_num,MATCH("BR605",jr_nkey,0))&amp;"","")</f>
        <v/>
      </c>
      <c r="T610" s="67" t="str">
        <f>IFERROR(INDEX(jr_num,MATCH("BS605",jr_nkey,0))&amp;"","")</f>
        <v/>
      </c>
    </row>
    <row r="611">
      <c r="A611" s="60" t="str">
        <f>IF($O611="","",INDEX(jr_num,$O611)&amp;"")</f>
        <v/>
      </c>
      <c r="B611" s="60" t="str">
        <f>IF($O611="","",IF(INDEX(jr_type,$O611)="BL","Livraison",IF(INDEX(jr_type,$O611)="BR","Réception","Sortie")))</f>
        <v/>
      </c>
      <c r="C611" s="65" t="str">
        <f>IF($O611="","",INDEX(jr_date,$O611))</f>
        <v/>
      </c>
      <c r="D611" s="60" t="str">
        <f>IF($O611="","",INDEX(jr_tiers,$O611)&amp;"")</f>
        <v/>
      </c>
      <c r="E611" s="57" t="str">
        <f>IF($O611="","",INDEX(jr_name,$O611)&amp;"")</f>
        <v/>
      </c>
      <c r="F611" s="57" t="str">
        <f>IF($O611="","",INDEX(jr_order,$O611)&amp;"")</f>
        <v/>
      </c>
      <c r="G611" s="57" t="str">
        <f>IF($O611="","",INDEX(jr_ext,$O611)&amp;"")</f>
        <v/>
      </c>
      <c r="H611" s="57" t="str">
        <f>IF($O611="","",INDEX(jr_carrier,$O611)&amp;"")</f>
        <v/>
      </c>
      <c r="I611" s="66" t="str">
        <f>IF(A611="","",COUNTIF(jr_num,A611))</f>
        <v/>
      </c>
      <c r="J611" s="66" t="str">
        <f>IF(A611="","",SUMIF(jr_num,A611,jr_colis))</f>
        <v/>
      </c>
      <c r="K611" s="63" t="str">
        <f>IF(A611="","",SUMIF(jr_num,A611,jr_kg))</f>
        <v/>
      </c>
      <c r="L611" s="64" t="str">
        <f>IF(A611="","",SUMIF(jr_num,A611,jr_val))</f>
        <v/>
      </c>
      <c r="M611" s="60" t="str">
        <f>IF(A611="","",IF(COUNTIFS(jr_num,A611,jr_check,"&lt;&gt;OK")&gt;0,"À vérifier",IF(LEFT(A611,2)="BL",IF(COUNTIFS(jr_num,A611,jr_rel,"&gt;0")&gt;0,"Reliquat en cours",IF(COUNTIFS(jr_num,A611,jr_gap,"&lt;0")&gt;0,"Reliquat livré","Complet")),IF(LEFT(A611,2)="BR",IF(COUNTIFS(jr_num,A611,jr_etat,"Refusé")&gt;0,"Refusé",IF(COUNTIFS(jr_num,A611,jr_etat,"Avec réserves")&gt;0,"Avec réserves",IF(COUNTIFS(jr_num,A611,jr_rel,"&gt;0")&gt;0,"Reliquat en cours",IF(COUNTIFS(jr_num,A611,jr_gap,"&lt;0")+COUNTIFS(jr_num,A611,jr_gap,"&gt;0")&gt;0,"Écart","Conforme")))),IF(COUNTIFS(jr_num,A611,jr_gap,"&lt;0")&gt;0,"Partiel","Sorti")))))</f>
        <v/>
      </c>
      <c r="O611" t="str">
        <f>IFERROR(MATCH(606,jr_grank,0),"")</f>
        <v/>
      </c>
      <c r="R611" s="67" t="str">
        <f>IFERROR(INDEX(jr_num,MATCH("BL606",jr_nkey,0))&amp;"","")</f>
        <v/>
      </c>
      <c r="S611" s="67" t="str">
        <f>IFERROR(INDEX(jr_num,MATCH("BR606",jr_nkey,0))&amp;"","")</f>
        <v/>
      </c>
      <c r="T611" s="67" t="str">
        <f>IFERROR(INDEX(jr_num,MATCH("BS606",jr_nkey,0))&amp;"","")</f>
        <v/>
      </c>
    </row>
    <row r="612">
      <c r="A612" s="60" t="str">
        <f>IF($O612="","",INDEX(jr_num,$O612)&amp;"")</f>
        <v/>
      </c>
      <c r="B612" s="60" t="str">
        <f>IF($O612="","",IF(INDEX(jr_type,$O612)="BL","Livraison",IF(INDEX(jr_type,$O612)="BR","Réception","Sortie")))</f>
        <v/>
      </c>
      <c r="C612" s="65" t="str">
        <f>IF($O612="","",INDEX(jr_date,$O612))</f>
        <v/>
      </c>
      <c r="D612" s="60" t="str">
        <f>IF($O612="","",INDEX(jr_tiers,$O612)&amp;"")</f>
        <v/>
      </c>
      <c r="E612" s="57" t="str">
        <f>IF($O612="","",INDEX(jr_name,$O612)&amp;"")</f>
        <v/>
      </c>
      <c r="F612" s="57" t="str">
        <f>IF($O612="","",INDEX(jr_order,$O612)&amp;"")</f>
        <v/>
      </c>
      <c r="G612" s="57" t="str">
        <f>IF($O612="","",INDEX(jr_ext,$O612)&amp;"")</f>
        <v/>
      </c>
      <c r="H612" s="57" t="str">
        <f>IF($O612="","",INDEX(jr_carrier,$O612)&amp;"")</f>
        <v/>
      </c>
      <c r="I612" s="66" t="str">
        <f>IF(A612="","",COUNTIF(jr_num,A612))</f>
        <v/>
      </c>
      <c r="J612" s="66" t="str">
        <f>IF(A612="","",SUMIF(jr_num,A612,jr_colis))</f>
        <v/>
      </c>
      <c r="K612" s="63" t="str">
        <f>IF(A612="","",SUMIF(jr_num,A612,jr_kg))</f>
        <v/>
      </c>
      <c r="L612" s="64" t="str">
        <f>IF(A612="","",SUMIF(jr_num,A612,jr_val))</f>
        <v/>
      </c>
      <c r="M612" s="60" t="str">
        <f>IF(A612="","",IF(COUNTIFS(jr_num,A612,jr_check,"&lt;&gt;OK")&gt;0,"À vérifier",IF(LEFT(A612,2)="BL",IF(COUNTIFS(jr_num,A612,jr_rel,"&gt;0")&gt;0,"Reliquat en cours",IF(COUNTIFS(jr_num,A612,jr_gap,"&lt;0")&gt;0,"Reliquat livré","Complet")),IF(LEFT(A612,2)="BR",IF(COUNTIFS(jr_num,A612,jr_etat,"Refusé")&gt;0,"Refusé",IF(COUNTIFS(jr_num,A612,jr_etat,"Avec réserves")&gt;0,"Avec réserves",IF(COUNTIFS(jr_num,A612,jr_rel,"&gt;0")&gt;0,"Reliquat en cours",IF(COUNTIFS(jr_num,A612,jr_gap,"&lt;0")+COUNTIFS(jr_num,A612,jr_gap,"&gt;0")&gt;0,"Écart","Conforme")))),IF(COUNTIFS(jr_num,A612,jr_gap,"&lt;0")&gt;0,"Partiel","Sorti")))))</f>
        <v/>
      </c>
      <c r="O612" t="str">
        <f>IFERROR(MATCH(607,jr_grank,0),"")</f>
        <v/>
      </c>
      <c r="R612" s="67" t="str">
        <f>IFERROR(INDEX(jr_num,MATCH("BL607",jr_nkey,0))&amp;"","")</f>
        <v/>
      </c>
      <c r="S612" s="67" t="str">
        <f>IFERROR(INDEX(jr_num,MATCH("BR607",jr_nkey,0))&amp;"","")</f>
        <v/>
      </c>
      <c r="T612" s="67" t="str">
        <f>IFERROR(INDEX(jr_num,MATCH("BS607",jr_nkey,0))&amp;"","")</f>
        <v/>
      </c>
    </row>
    <row r="613">
      <c r="A613" s="60" t="str">
        <f>IF($O613="","",INDEX(jr_num,$O613)&amp;"")</f>
        <v/>
      </c>
      <c r="B613" s="60" t="str">
        <f>IF($O613="","",IF(INDEX(jr_type,$O613)="BL","Livraison",IF(INDEX(jr_type,$O613)="BR","Réception","Sortie")))</f>
        <v/>
      </c>
      <c r="C613" s="65" t="str">
        <f>IF($O613="","",INDEX(jr_date,$O613))</f>
        <v/>
      </c>
      <c r="D613" s="60" t="str">
        <f>IF($O613="","",INDEX(jr_tiers,$O613)&amp;"")</f>
        <v/>
      </c>
      <c r="E613" s="57" t="str">
        <f>IF($O613="","",INDEX(jr_name,$O613)&amp;"")</f>
        <v/>
      </c>
      <c r="F613" s="57" t="str">
        <f>IF($O613="","",INDEX(jr_order,$O613)&amp;"")</f>
        <v/>
      </c>
      <c r="G613" s="57" t="str">
        <f>IF($O613="","",INDEX(jr_ext,$O613)&amp;"")</f>
        <v/>
      </c>
      <c r="H613" s="57" t="str">
        <f>IF($O613="","",INDEX(jr_carrier,$O613)&amp;"")</f>
        <v/>
      </c>
      <c r="I613" s="66" t="str">
        <f>IF(A613="","",COUNTIF(jr_num,A613))</f>
        <v/>
      </c>
      <c r="J613" s="66" t="str">
        <f>IF(A613="","",SUMIF(jr_num,A613,jr_colis))</f>
        <v/>
      </c>
      <c r="K613" s="63" t="str">
        <f>IF(A613="","",SUMIF(jr_num,A613,jr_kg))</f>
        <v/>
      </c>
      <c r="L613" s="64" t="str">
        <f>IF(A613="","",SUMIF(jr_num,A613,jr_val))</f>
        <v/>
      </c>
      <c r="M613" s="60" t="str">
        <f>IF(A613="","",IF(COUNTIFS(jr_num,A613,jr_check,"&lt;&gt;OK")&gt;0,"À vérifier",IF(LEFT(A613,2)="BL",IF(COUNTIFS(jr_num,A613,jr_rel,"&gt;0")&gt;0,"Reliquat en cours",IF(COUNTIFS(jr_num,A613,jr_gap,"&lt;0")&gt;0,"Reliquat livré","Complet")),IF(LEFT(A613,2)="BR",IF(COUNTIFS(jr_num,A613,jr_etat,"Refusé")&gt;0,"Refusé",IF(COUNTIFS(jr_num,A613,jr_etat,"Avec réserves")&gt;0,"Avec réserves",IF(COUNTIFS(jr_num,A613,jr_rel,"&gt;0")&gt;0,"Reliquat en cours",IF(COUNTIFS(jr_num,A613,jr_gap,"&lt;0")+COUNTIFS(jr_num,A613,jr_gap,"&gt;0")&gt;0,"Écart","Conforme")))),IF(COUNTIFS(jr_num,A613,jr_gap,"&lt;0")&gt;0,"Partiel","Sorti")))))</f>
        <v/>
      </c>
      <c r="O613" t="str">
        <f>IFERROR(MATCH(608,jr_grank,0),"")</f>
        <v/>
      </c>
      <c r="R613" s="67" t="str">
        <f>IFERROR(INDEX(jr_num,MATCH("BL608",jr_nkey,0))&amp;"","")</f>
        <v/>
      </c>
      <c r="S613" s="67" t="str">
        <f>IFERROR(INDEX(jr_num,MATCH("BR608",jr_nkey,0))&amp;"","")</f>
        <v/>
      </c>
      <c r="T613" s="67" t="str">
        <f>IFERROR(INDEX(jr_num,MATCH("BS608",jr_nkey,0))&amp;"","")</f>
        <v/>
      </c>
    </row>
    <row r="614">
      <c r="A614" s="60" t="str">
        <f>IF($O614="","",INDEX(jr_num,$O614)&amp;"")</f>
        <v/>
      </c>
      <c r="B614" s="60" t="str">
        <f>IF($O614="","",IF(INDEX(jr_type,$O614)="BL","Livraison",IF(INDEX(jr_type,$O614)="BR","Réception","Sortie")))</f>
        <v/>
      </c>
      <c r="C614" s="65" t="str">
        <f>IF($O614="","",INDEX(jr_date,$O614))</f>
        <v/>
      </c>
      <c r="D614" s="60" t="str">
        <f>IF($O614="","",INDEX(jr_tiers,$O614)&amp;"")</f>
        <v/>
      </c>
      <c r="E614" s="57" t="str">
        <f>IF($O614="","",INDEX(jr_name,$O614)&amp;"")</f>
        <v/>
      </c>
      <c r="F614" s="57" t="str">
        <f>IF($O614="","",INDEX(jr_order,$O614)&amp;"")</f>
        <v/>
      </c>
      <c r="G614" s="57" t="str">
        <f>IF($O614="","",INDEX(jr_ext,$O614)&amp;"")</f>
        <v/>
      </c>
      <c r="H614" s="57" t="str">
        <f>IF($O614="","",INDEX(jr_carrier,$O614)&amp;"")</f>
        <v/>
      </c>
      <c r="I614" s="66" t="str">
        <f>IF(A614="","",COUNTIF(jr_num,A614))</f>
        <v/>
      </c>
      <c r="J614" s="66" t="str">
        <f>IF(A614="","",SUMIF(jr_num,A614,jr_colis))</f>
        <v/>
      </c>
      <c r="K614" s="63" t="str">
        <f>IF(A614="","",SUMIF(jr_num,A614,jr_kg))</f>
        <v/>
      </c>
      <c r="L614" s="64" t="str">
        <f>IF(A614="","",SUMIF(jr_num,A614,jr_val))</f>
        <v/>
      </c>
      <c r="M614" s="60" t="str">
        <f>IF(A614="","",IF(COUNTIFS(jr_num,A614,jr_check,"&lt;&gt;OK")&gt;0,"À vérifier",IF(LEFT(A614,2)="BL",IF(COUNTIFS(jr_num,A614,jr_rel,"&gt;0")&gt;0,"Reliquat en cours",IF(COUNTIFS(jr_num,A614,jr_gap,"&lt;0")&gt;0,"Reliquat livré","Complet")),IF(LEFT(A614,2)="BR",IF(COUNTIFS(jr_num,A614,jr_etat,"Refusé")&gt;0,"Refusé",IF(COUNTIFS(jr_num,A614,jr_etat,"Avec réserves")&gt;0,"Avec réserves",IF(COUNTIFS(jr_num,A614,jr_rel,"&gt;0")&gt;0,"Reliquat en cours",IF(COUNTIFS(jr_num,A614,jr_gap,"&lt;0")+COUNTIFS(jr_num,A614,jr_gap,"&gt;0")&gt;0,"Écart","Conforme")))),IF(COUNTIFS(jr_num,A614,jr_gap,"&lt;0")&gt;0,"Partiel","Sorti")))))</f>
        <v/>
      </c>
      <c r="O614" t="str">
        <f>IFERROR(MATCH(609,jr_grank,0),"")</f>
        <v/>
      </c>
      <c r="R614" s="67" t="str">
        <f>IFERROR(INDEX(jr_num,MATCH("BL609",jr_nkey,0))&amp;"","")</f>
        <v/>
      </c>
      <c r="S614" s="67" t="str">
        <f>IFERROR(INDEX(jr_num,MATCH("BR609",jr_nkey,0))&amp;"","")</f>
        <v/>
      </c>
      <c r="T614" s="67" t="str">
        <f>IFERROR(INDEX(jr_num,MATCH("BS609",jr_nkey,0))&amp;"","")</f>
        <v/>
      </c>
    </row>
    <row r="615">
      <c r="A615" s="60" t="str">
        <f>IF($O615="","",INDEX(jr_num,$O615)&amp;"")</f>
        <v/>
      </c>
      <c r="B615" s="60" t="str">
        <f>IF($O615="","",IF(INDEX(jr_type,$O615)="BL","Livraison",IF(INDEX(jr_type,$O615)="BR","Réception","Sortie")))</f>
        <v/>
      </c>
      <c r="C615" s="65" t="str">
        <f>IF($O615="","",INDEX(jr_date,$O615))</f>
        <v/>
      </c>
      <c r="D615" s="60" t="str">
        <f>IF($O615="","",INDEX(jr_tiers,$O615)&amp;"")</f>
        <v/>
      </c>
      <c r="E615" s="57" t="str">
        <f>IF($O615="","",INDEX(jr_name,$O615)&amp;"")</f>
        <v/>
      </c>
      <c r="F615" s="57" t="str">
        <f>IF($O615="","",INDEX(jr_order,$O615)&amp;"")</f>
        <v/>
      </c>
      <c r="G615" s="57" t="str">
        <f>IF($O615="","",INDEX(jr_ext,$O615)&amp;"")</f>
        <v/>
      </c>
      <c r="H615" s="57" t="str">
        <f>IF($O615="","",INDEX(jr_carrier,$O615)&amp;"")</f>
        <v/>
      </c>
      <c r="I615" s="66" t="str">
        <f>IF(A615="","",COUNTIF(jr_num,A615))</f>
        <v/>
      </c>
      <c r="J615" s="66" t="str">
        <f>IF(A615="","",SUMIF(jr_num,A615,jr_colis))</f>
        <v/>
      </c>
      <c r="K615" s="63" t="str">
        <f>IF(A615="","",SUMIF(jr_num,A615,jr_kg))</f>
        <v/>
      </c>
      <c r="L615" s="64" t="str">
        <f>IF(A615="","",SUMIF(jr_num,A615,jr_val))</f>
        <v/>
      </c>
      <c r="M615" s="60" t="str">
        <f>IF(A615="","",IF(COUNTIFS(jr_num,A615,jr_check,"&lt;&gt;OK")&gt;0,"À vérifier",IF(LEFT(A615,2)="BL",IF(COUNTIFS(jr_num,A615,jr_rel,"&gt;0")&gt;0,"Reliquat en cours",IF(COUNTIFS(jr_num,A615,jr_gap,"&lt;0")&gt;0,"Reliquat livré","Complet")),IF(LEFT(A615,2)="BR",IF(COUNTIFS(jr_num,A615,jr_etat,"Refusé")&gt;0,"Refusé",IF(COUNTIFS(jr_num,A615,jr_etat,"Avec réserves")&gt;0,"Avec réserves",IF(COUNTIFS(jr_num,A615,jr_rel,"&gt;0")&gt;0,"Reliquat en cours",IF(COUNTIFS(jr_num,A615,jr_gap,"&lt;0")+COUNTIFS(jr_num,A615,jr_gap,"&gt;0")&gt;0,"Écart","Conforme")))),IF(COUNTIFS(jr_num,A615,jr_gap,"&lt;0")&gt;0,"Partiel","Sorti")))))</f>
        <v/>
      </c>
      <c r="O615" t="str">
        <f>IFERROR(MATCH(610,jr_grank,0),"")</f>
        <v/>
      </c>
      <c r="R615" s="67" t="str">
        <f>IFERROR(INDEX(jr_num,MATCH("BL610",jr_nkey,0))&amp;"","")</f>
        <v/>
      </c>
      <c r="S615" s="67" t="str">
        <f>IFERROR(INDEX(jr_num,MATCH("BR610",jr_nkey,0))&amp;"","")</f>
        <v/>
      </c>
      <c r="T615" s="67" t="str">
        <f>IFERROR(INDEX(jr_num,MATCH("BS610",jr_nkey,0))&amp;"","")</f>
        <v/>
      </c>
    </row>
    <row r="616">
      <c r="A616" s="60" t="str">
        <f>IF($O616="","",INDEX(jr_num,$O616)&amp;"")</f>
        <v/>
      </c>
      <c r="B616" s="60" t="str">
        <f>IF($O616="","",IF(INDEX(jr_type,$O616)="BL","Livraison",IF(INDEX(jr_type,$O616)="BR","Réception","Sortie")))</f>
        <v/>
      </c>
      <c r="C616" s="65" t="str">
        <f>IF($O616="","",INDEX(jr_date,$O616))</f>
        <v/>
      </c>
      <c r="D616" s="60" t="str">
        <f>IF($O616="","",INDEX(jr_tiers,$O616)&amp;"")</f>
        <v/>
      </c>
      <c r="E616" s="57" t="str">
        <f>IF($O616="","",INDEX(jr_name,$O616)&amp;"")</f>
        <v/>
      </c>
      <c r="F616" s="57" t="str">
        <f>IF($O616="","",INDEX(jr_order,$O616)&amp;"")</f>
        <v/>
      </c>
      <c r="G616" s="57" t="str">
        <f>IF($O616="","",INDEX(jr_ext,$O616)&amp;"")</f>
        <v/>
      </c>
      <c r="H616" s="57" t="str">
        <f>IF($O616="","",INDEX(jr_carrier,$O616)&amp;"")</f>
        <v/>
      </c>
      <c r="I616" s="66" t="str">
        <f>IF(A616="","",COUNTIF(jr_num,A616))</f>
        <v/>
      </c>
      <c r="J616" s="66" t="str">
        <f>IF(A616="","",SUMIF(jr_num,A616,jr_colis))</f>
        <v/>
      </c>
      <c r="K616" s="63" t="str">
        <f>IF(A616="","",SUMIF(jr_num,A616,jr_kg))</f>
        <v/>
      </c>
      <c r="L616" s="64" t="str">
        <f>IF(A616="","",SUMIF(jr_num,A616,jr_val))</f>
        <v/>
      </c>
      <c r="M616" s="60" t="str">
        <f>IF(A616="","",IF(COUNTIFS(jr_num,A616,jr_check,"&lt;&gt;OK")&gt;0,"À vérifier",IF(LEFT(A616,2)="BL",IF(COUNTIFS(jr_num,A616,jr_rel,"&gt;0")&gt;0,"Reliquat en cours",IF(COUNTIFS(jr_num,A616,jr_gap,"&lt;0")&gt;0,"Reliquat livré","Complet")),IF(LEFT(A616,2)="BR",IF(COUNTIFS(jr_num,A616,jr_etat,"Refusé")&gt;0,"Refusé",IF(COUNTIFS(jr_num,A616,jr_etat,"Avec réserves")&gt;0,"Avec réserves",IF(COUNTIFS(jr_num,A616,jr_rel,"&gt;0")&gt;0,"Reliquat en cours",IF(COUNTIFS(jr_num,A616,jr_gap,"&lt;0")+COUNTIFS(jr_num,A616,jr_gap,"&gt;0")&gt;0,"Écart","Conforme")))),IF(COUNTIFS(jr_num,A616,jr_gap,"&lt;0")&gt;0,"Partiel","Sorti")))))</f>
        <v/>
      </c>
      <c r="O616" t="str">
        <f>IFERROR(MATCH(611,jr_grank,0),"")</f>
        <v/>
      </c>
      <c r="R616" s="67" t="str">
        <f>IFERROR(INDEX(jr_num,MATCH("BL611",jr_nkey,0))&amp;"","")</f>
        <v/>
      </c>
      <c r="S616" s="67" t="str">
        <f>IFERROR(INDEX(jr_num,MATCH("BR611",jr_nkey,0))&amp;"","")</f>
        <v/>
      </c>
      <c r="T616" s="67" t="str">
        <f>IFERROR(INDEX(jr_num,MATCH("BS611",jr_nkey,0))&amp;"","")</f>
        <v/>
      </c>
    </row>
    <row r="617">
      <c r="A617" s="60" t="str">
        <f>IF($O617="","",INDEX(jr_num,$O617)&amp;"")</f>
        <v/>
      </c>
      <c r="B617" s="60" t="str">
        <f>IF($O617="","",IF(INDEX(jr_type,$O617)="BL","Livraison",IF(INDEX(jr_type,$O617)="BR","Réception","Sortie")))</f>
        <v/>
      </c>
      <c r="C617" s="65" t="str">
        <f>IF($O617="","",INDEX(jr_date,$O617))</f>
        <v/>
      </c>
      <c r="D617" s="60" t="str">
        <f>IF($O617="","",INDEX(jr_tiers,$O617)&amp;"")</f>
        <v/>
      </c>
      <c r="E617" s="57" t="str">
        <f>IF($O617="","",INDEX(jr_name,$O617)&amp;"")</f>
        <v/>
      </c>
      <c r="F617" s="57" t="str">
        <f>IF($O617="","",INDEX(jr_order,$O617)&amp;"")</f>
        <v/>
      </c>
      <c r="G617" s="57" t="str">
        <f>IF($O617="","",INDEX(jr_ext,$O617)&amp;"")</f>
        <v/>
      </c>
      <c r="H617" s="57" t="str">
        <f>IF($O617="","",INDEX(jr_carrier,$O617)&amp;"")</f>
        <v/>
      </c>
      <c r="I617" s="66" t="str">
        <f>IF(A617="","",COUNTIF(jr_num,A617))</f>
        <v/>
      </c>
      <c r="J617" s="66" t="str">
        <f>IF(A617="","",SUMIF(jr_num,A617,jr_colis))</f>
        <v/>
      </c>
      <c r="K617" s="63" t="str">
        <f>IF(A617="","",SUMIF(jr_num,A617,jr_kg))</f>
        <v/>
      </c>
      <c r="L617" s="64" t="str">
        <f>IF(A617="","",SUMIF(jr_num,A617,jr_val))</f>
        <v/>
      </c>
      <c r="M617" s="60" t="str">
        <f>IF(A617="","",IF(COUNTIFS(jr_num,A617,jr_check,"&lt;&gt;OK")&gt;0,"À vérifier",IF(LEFT(A617,2)="BL",IF(COUNTIFS(jr_num,A617,jr_rel,"&gt;0")&gt;0,"Reliquat en cours",IF(COUNTIFS(jr_num,A617,jr_gap,"&lt;0")&gt;0,"Reliquat livré","Complet")),IF(LEFT(A617,2)="BR",IF(COUNTIFS(jr_num,A617,jr_etat,"Refusé")&gt;0,"Refusé",IF(COUNTIFS(jr_num,A617,jr_etat,"Avec réserves")&gt;0,"Avec réserves",IF(COUNTIFS(jr_num,A617,jr_rel,"&gt;0")&gt;0,"Reliquat en cours",IF(COUNTIFS(jr_num,A617,jr_gap,"&lt;0")+COUNTIFS(jr_num,A617,jr_gap,"&gt;0")&gt;0,"Écart","Conforme")))),IF(COUNTIFS(jr_num,A617,jr_gap,"&lt;0")&gt;0,"Partiel","Sorti")))))</f>
        <v/>
      </c>
      <c r="O617" t="str">
        <f>IFERROR(MATCH(612,jr_grank,0),"")</f>
        <v/>
      </c>
      <c r="R617" s="67" t="str">
        <f>IFERROR(INDEX(jr_num,MATCH("BL612",jr_nkey,0))&amp;"","")</f>
        <v/>
      </c>
      <c r="S617" s="67" t="str">
        <f>IFERROR(INDEX(jr_num,MATCH("BR612",jr_nkey,0))&amp;"","")</f>
        <v/>
      </c>
      <c r="T617" s="67" t="str">
        <f>IFERROR(INDEX(jr_num,MATCH("BS612",jr_nkey,0))&amp;"","")</f>
        <v/>
      </c>
    </row>
    <row r="618">
      <c r="A618" s="60" t="str">
        <f>IF($O618="","",INDEX(jr_num,$O618)&amp;"")</f>
        <v/>
      </c>
      <c r="B618" s="60" t="str">
        <f>IF($O618="","",IF(INDEX(jr_type,$O618)="BL","Livraison",IF(INDEX(jr_type,$O618)="BR","Réception","Sortie")))</f>
        <v/>
      </c>
      <c r="C618" s="65" t="str">
        <f>IF($O618="","",INDEX(jr_date,$O618))</f>
        <v/>
      </c>
      <c r="D618" s="60" t="str">
        <f>IF($O618="","",INDEX(jr_tiers,$O618)&amp;"")</f>
        <v/>
      </c>
      <c r="E618" s="57" t="str">
        <f>IF($O618="","",INDEX(jr_name,$O618)&amp;"")</f>
        <v/>
      </c>
      <c r="F618" s="57" t="str">
        <f>IF($O618="","",INDEX(jr_order,$O618)&amp;"")</f>
        <v/>
      </c>
      <c r="G618" s="57" t="str">
        <f>IF($O618="","",INDEX(jr_ext,$O618)&amp;"")</f>
        <v/>
      </c>
      <c r="H618" s="57" t="str">
        <f>IF($O618="","",INDEX(jr_carrier,$O618)&amp;"")</f>
        <v/>
      </c>
      <c r="I618" s="66" t="str">
        <f>IF(A618="","",COUNTIF(jr_num,A618))</f>
        <v/>
      </c>
      <c r="J618" s="66" t="str">
        <f>IF(A618="","",SUMIF(jr_num,A618,jr_colis))</f>
        <v/>
      </c>
      <c r="K618" s="63" t="str">
        <f>IF(A618="","",SUMIF(jr_num,A618,jr_kg))</f>
        <v/>
      </c>
      <c r="L618" s="64" t="str">
        <f>IF(A618="","",SUMIF(jr_num,A618,jr_val))</f>
        <v/>
      </c>
      <c r="M618" s="60" t="str">
        <f>IF(A618="","",IF(COUNTIFS(jr_num,A618,jr_check,"&lt;&gt;OK")&gt;0,"À vérifier",IF(LEFT(A618,2)="BL",IF(COUNTIFS(jr_num,A618,jr_rel,"&gt;0")&gt;0,"Reliquat en cours",IF(COUNTIFS(jr_num,A618,jr_gap,"&lt;0")&gt;0,"Reliquat livré","Complet")),IF(LEFT(A618,2)="BR",IF(COUNTIFS(jr_num,A618,jr_etat,"Refusé")&gt;0,"Refusé",IF(COUNTIFS(jr_num,A618,jr_etat,"Avec réserves")&gt;0,"Avec réserves",IF(COUNTIFS(jr_num,A618,jr_rel,"&gt;0")&gt;0,"Reliquat en cours",IF(COUNTIFS(jr_num,A618,jr_gap,"&lt;0")+COUNTIFS(jr_num,A618,jr_gap,"&gt;0")&gt;0,"Écart","Conforme")))),IF(COUNTIFS(jr_num,A618,jr_gap,"&lt;0")&gt;0,"Partiel","Sorti")))))</f>
        <v/>
      </c>
      <c r="O618" t="str">
        <f>IFERROR(MATCH(613,jr_grank,0),"")</f>
        <v/>
      </c>
      <c r="R618" s="67" t="str">
        <f>IFERROR(INDEX(jr_num,MATCH("BL613",jr_nkey,0))&amp;"","")</f>
        <v/>
      </c>
      <c r="S618" s="67" t="str">
        <f>IFERROR(INDEX(jr_num,MATCH("BR613",jr_nkey,0))&amp;"","")</f>
        <v/>
      </c>
      <c r="T618" s="67" t="str">
        <f>IFERROR(INDEX(jr_num,MATCH("BS613",jr_nkey,0))&amp;"","")</f>
        <v/>
      </c>
    </row>
    <row r="619">
      <c r="A619" s="60" t="str">
        <f>IF($O619="","",INDEX(jr_num,$O619)&amp;"")</f>
        <v/>
      </c>
      <c r="B619" s="60" t="str">
        <f>IF($O619="","",IF(INDEX(jr_type,$O619)="BL","Livraison",IF(INDEX(jr_type,$O619)="BR","Réception","Sortie")))</f>
        <v/>
      </c>
      <c r="C619" s="65" t="str">
        <f>IF($O619="","",INDEX(jr_date,$O619))</f>
        <v/>
      </c>
      <c r="D619" s="60" t="str">
        <f>IF($O619="","",INDEX(jr_tiers,$O619)&amp;"")</f>
        <v/>
      </c>
      <c r="E619" s="57" t="str">
        <f>IF($O619="","",INDEX(jr_name,$O619)&amp;"")</f>
        <v/>
      </c>
      <c r="F619" s="57" t="str">
        <f>IF($O619="","",INDEX(jr_order,$O619)&amp;"")</f>
        <v/>
      </c>
      <c r="G619" s="57" t="str">
        <f>IF($O619="","",INDEX(jr_ext,$O619)&amp;"")</f>
        <v/>
      </c>
      <c r="H619" s="57" t="str">
        <f>IF($O619="","",INDEX(jr_carrier,$O619)&amp;"")</f>
        <v/>
      </c>
      <c r="I619" s="66" t="str">
        <f>IF(A619="","",COUNTIF(jr_num,A619))</f>
        <v/>
      </c>
      <c r="J619" s="66" t="str">
        <f>IF(A619="","",SUMIF(jr_num,A619,jr_colis))</f>
        <v/>
      </c>
      <c r="K619" s="63" t="str">
        <f>IF(A619="","",SUMIF(jr_num,A619,jr_kg))</f>
        <v/>
      </c>
      <c r="L619" s="64" t="str">
        <f>IF(A619="","",SUMIF(jr_num,A619,jr_val))</f>
        <v/>
      </c>
      <c r="M619" s="60" t="str">
        <f>IF(A619="","",IF(COUNTIFS(jr_num,A619,jr_check,"&lt;&gt;OK")&gt;0,"À vérifier",IF(LEFT(A619,2)="BL",IF(COUNTIFS(jr_num,A619,jr_rel,"&gt;0")&gt;0,"Reliquat en cours",IF(COUNTIFS(jr_num,A619,jr_gap,"&lt;0")&gt;0,"Reliquat livré","Complet")),IF(LEFT(A619,2)="BR",IF(COUNTIFS(jr_num,A619,jr_etat,"Refusé")&gt;0,"Refusé",IF(COUNTIFS(jr_num,A619,jr_etat,"Avec réserves")&gt;0,"Avec réserves",IF(COUNTIFS(jr_num,A619,jr_rel,"&gt;0")&gt;0,"Reliquat en cours",IF(COUNTIFS(jr_num,A619,jr_gap,"&lt;0")+COUNTIFS(jr_num,A619,jr_gap,"&gt;0")&gt;0,"Écart","Conforme")))),IF(COUNTIFS(jr_num,A619,jr_gap,"&lt;0")&gt;0,"Partiel","Sorti")))))</f>
        <v/>
      </c>
      <c r="O619" t="str">
        <f>IFERROR(MATCH(614,jr_grank,0),"")</f>
        <v/>
      </c>
      <c r="R619" s="67" t="str">
        <f>IFERROR(INDEX(jr_num,MATCH("BL614",jr_nkey,0))&amp;"","")</f>
        <v/>
      </c>
      <c r="S619" s="67" t="str">
        <f>IFERROR(INDEX(jr_num,MATCH("BR614",jr_nkey,0))&amp;"","")</f>
        <v/>
      </c>
      <c r="T619" s="67" t="str">
        <f>IFERROR(INDEX(jr_num,MATCH("BS614",jr_nkey,0))&amp;"","")</f>
        <v/>
      </c>
    </row>
    <row r="620">
      <c r="A620" s="60" t="str">
        <f>IF($O620="","",INDEX(jr_num,$O620)&amp;"")</f>
        <v/>
      </c>
      <c r="B620" s="60" t="str">
        <f>IF($O620="","",IF(INDEX(jr_type,$O620)="BL","Livraison",IF(INDEX(jr_type,$O620)="BR","Réception","Sortie")))</f>
        <v/>
      </c>
      <c r="C620" s="65" t="str">
        <f>IF($O620="","",INDEX(jr_date,$O620))</f>
        <v/>
      </c>
      <c r="D620" s="60" t="str">
        <f>IF($O620="","",INDEX(jr_tiers,$O620)&amp;"")</f>
        <v/>
      </c>
      <c r="E620" s="57" t="str">
        <f>IF($O620="","",INDEX(jr_name,$O620)&amp;"")</f>
        <v/>
      </c>
      <c r="F620" s="57" t="str">
        <f>IF($O620="","",INDEX(jr_order,$O620)&amp;"")</f>
        <v/>
      </c>
      <c r="G620" s="57" t="str">
        <f>IF($O620="","",INDEX(jr_ext,$O620)&amp;"")</f>
        <v/>
      </c>
      <c r="H620" s="57" t="str">
        <f>IF($O620="","",INDEX(jr_carrier,$O620)&amp;"")</f>
        <v/>
      </c>
      <c r="I620" s="66" t="str">
        <f>IF(A620="","",COUNTIF(jr_num,A620))</f>
        <v/>
      </c>
      <c r="J620" s="66" t="str">
        <f>IF(A620="","",SUMIF(jr_num,A620,jr_colis))</f>
        <v/>
      </c>
      <c r="K620" s="63" t="str">
        <f>IF(A620="","",SUMIF(jr_num,A620,jr_kg))</f>
        <v/>
      </c>
      <c r="L620" s="64" t="str">
        <f>IF(A620="","",SUMIF(jr_num,A620,jr_val))</f>
        <v/>
      </c>
      <c r="M620" s="60" t="str">
        <f>IF(A620="","",IF(COUNTIFS(jr_num,A620,jr_check,"&lt;&gt;OK")&gt;0,"À vérifier",IF(LEFT(A620,2)="BL",IF(COUNTIFS(jr_num,A620,jr_rel,"&gt;0")&gt;0,"Reliquat en cours",IF(COUNTIFS(jr_num,A620,jr_gap,"&lt;0")&gt;0,"Reliquat livré","Complet")),IF(LEFT(A620,2)="BR",IF(COUNTIFS(jr_num,A620,jr_etat,"Refusé")&gt;0,"Refusé",IF(COUNTIFS(jr_num,A620,jr_etat,"Avec réserves")&gt;0,"Avec réserves",IF(COUNTIFS(jr_num,A620,jr_rel,"&gt;0")&gt;0,"Reliquat en cours",IF(COUNTIFS(jr_num,A620,jr_gap,"&lt;0")+COUNTIFS(jr_num,A620,jr_gap,"&gt;0")&gt;0,"Écart","Conforme")))),IF(COUNTIFS(jr_num,A620,jr_gap,"&lt;0")&gt;0,"Partiel","Sorti")))))</f>
        <v/>
      </c>
      <c r="O620" t="str">
        <f>IFERROR(MATCH(615,jr_grank,0),"")</f>
        <v/>
      </c>
      <c r="R620" s="67" t="str">
        <f>IFERROR(INDEX(jr_num,MATCH("BL615",jr_nkey,0))&amp;"","")</f>
        <v/>
      </c>
      <c r="S620" s="67" t="str">
        <f>IFERROR(INDEX(jr_num,MATCH("BR615",jr_nkey,0))&amp;"","")</f>
        <v/>
      </c>
      <c r="T620" s="67" t="str">
        <f>IFERROR(INDEX(jr_num,MATCH("BS615",jr_nkey,0))&amp;"","")</f>
        <v/>
      </c>
    </row>
    <row r="621">
      <c r="A621" s="60" t="str">
        <f>IF($O621="","",INDEX(jr_num,$O621)&amp;"")</f>
        <v/>
      </c>
      <c r="B621" s="60" t="str">
        <f>IF($O621="","",IF(INDEX(jr_type,$O621)="BL","Livraison",IF(INDEX(jr_type,$O621)="BR","Réception","Sortie")))</f>
        <v/>
      </c>
      <c r="C621" s="65" t="str">
        <f>IF($O621="","",INDEX(jr_date,$O621))</f>
        <v/>
      </c>
      <c r="D621" s="60" t="str">
        <f>IF($O621="","",INDEX(jr_tiers,$O621)&amp;"")</f>
        <v/>
      </c>
      <c r="E621" s="57" t="str">
        <f>IF($O621="","",INDEX(jr_name,$O621)&amp;"")</f>
        <v/>
      </c>
      <c r="F621" s="57" t="str">
        <f>IF($O621="","",INDEX(jr_order,$O621)&amp;"")</f>
        <v/>
      </c>
      <c r="G621" s="57" t="str">
        <f>IF($O621="","",INDEX(jr_ext,$O621)&amp;"")</f>
        <v/>
      </c>
      <c r="H621" s="57" t="str">
        <f>IF($O621="","",INDEX(jr_carrier,$O621)&amp;"")</f>
        <v/>
      </c>
      <c r="I621" s="66" t="str">
        <f>IF(A621="","",COUNTIF(jr_num,A621))</f>
        <v/>
      </c>
      <c r="J621" s="66" t="str">
        <f>IF(A621="","",SUMIF(jr_num,A621,jr_colis))</f>
        <v/>
      </c>
      <c r="K621" s="63" t="str">
        <f>IF(A621="","",SUMIF(jr_num,A621,jr_kg))</f>
        <v/>
      </c>
      <c r="L621" s="64" t="str">
        <f>IF(A621="","",SUMIF(jr_num,A621,jr_val))</f>
        <v/>
      </c>
      <c r="M621" s="60" t="str">
        <f>IF(A621="","",IF(COUNTIFS(jr_num,A621,jr_check,"&lt;&gt;OK")&gt;0,"À vérifier",IF(LEFT(A621,2)="BL",IF(COUNTIFS(jr_num,A621,jr_rel,"&gt;0")&gt;0,"Reliquat en cours",IF(COUNTIFS(jr_num,A621,jr_gap,"&lt;0")&gt;0,"Reliquat livré","Complet")),IF(LEFT(A621,2)="BR",IF(COUNTIFS(jr_num,A621,jr_etat,"Refusé")&gt;0,"Refusé",IF(COUNTIFS(jr_num,A621,jr_etat,"Avec réserves")&gt;0,"Avec réserves",IF(COUNTIFS(jr_num,A621,jr_rel,"&gt;0")&gt;0,"Reliquat en cours",IF(COUNTIFS(jr_num,A621,jr_gap,"&lt;0")+COUNTIFS(jr_num,A621,jr_gap,"&gt;0")&gt;0,"Écart","Conforme")))),IF(COUNTIFS(jr_num,A621,jr_gap,"&lt;0")&gt;0,"Partiel","Sorti")))))</f>
        <v/>
      </c>
      <c r="O621" t="str">
        <f>IFERROR(MATCH(616,jr_grank,0),"")</f>
        <v/>
      </c>
      <c r="R621" s="67" t="str">
        <f>IFERROR(INDEX(jr_num,MATCH("BL616",jr_nkey,0))&amp;"","")</f>
        <v/>
      </c>
      <c r="S621" s="67" t="str">
        <f>IFERROR(INDEX(jr_num,MATCH("BR616",jr_nkey,0))&amp;"","")</f>
        <v/>
      </c>
      <c r="T621" s="67" t="str">
        <f>IFERROR(INDEX(jr_num,MATCH("BS616",jr_nkey,0))&amp;"","")</f>
        <v/>
      </c>
    </row>
    <row r="622">
      <c r="A622" s="60" t="str">
        <f>IF($O622="","",INDEX(jr_num,$O622)&amp;"")</f>
        <v/>
      </c>
      <c r="B622" s="60" t="str">
        <f>IF($O622="","",IF(INDEX(jr_type,$O622)="BL","Livraison",IF(INDEX(jr_type,$O622)="BR","Réception","Sortie")))</f>
        <v/>
      </c>
      <c r="C622" s="65" t="str">
        <f>IF($O622="","",INDEX(jr_date,$O622))</f>
        <v/>
      </c>
      <c r="D622" s="60" t="str">
        <f>IF($O622="","",INDEX(jr_tiers,$O622)&amp;"")</f>
        <v/>
      </c>
      <c r="E622" s="57" t="str">
        <f>IF($O622="","",INDEX(jr_name,$O622)&amp;"")</f>
        <v/>
      </c>
      <c r="F622" s="57" t="str">
        <f>IF($O622="","",INDEX(jr_order,$O622)&amp;"")</f>
        <v/>
      </c>
      <c r="G622" s="57" t="str">
        <f>IF($O622="","",INDEX(jr_ext,$O622)&amp;"")</f>
        <v/>
      </c>
      <c r="H622" s="57" t="str">
        <f>IF($O622="","",INDEX(jr_carrier,$O622)&amp;"")</f>
        <v/>
      </c>
      <c r="I622" s="66" t="str">
        <f>IF(A622="","",COUNTIF(jr_num,A622))</f>
        <v/>
      </c>
      <c r="J622" s="66" t="str">
        <f>IF(A622="","",SUMIF(jr_num,A622,jr_colis))</f>
        <v/>
      </c>
      <c r="K622" s="63" t="str">
        <f>IF(A622="","",SUMIF(jr_num,A622,jr_kg))</f>
        <v/>
      </c>
      <c r="L622" s="64" t="str">
        <f>IF(A622="","",SUMIF(jr_num,A622,jr_val))</f>
        <v/>
      </c>
      <c r="M622" s="60" t="str">
        <f>IF(A622="","",IF(COUNTIFS(jr_num,A622,jr_check,"&lt;&gt;OK")&gt;0,"À vérifier",IF(LEFT(A622,2)="BL",IF(COUNTIFS(jr_num,A622,jr_rel,"&gt;0")&gt;0,"Reliquat en cours",IF(COUNTIFS(jr_num,A622,jr_gap,"&lt;0")&gt;0,"Reliquat livré","Complet")),IF(LEFT(A622,2)="BR",IF(COUNTIFS(jr_num,A622,jr_etat,"Refusé")&gt;0,"Refusé",IF(COUNTIFS(jr_num,A622,jr_etat,"Avec réserves")&gt;0,"Avec réserves",IF(COUNTIFS(jr_num,A622,jr_rel,"&gt;0")&gt;0,"Reliquat en cours",IF(COUNTIFS(jr_num,A622,jr_gap,"&lt;0")+COUNTIFS(jr_num,A622,jr_gap,"&gt;0")&gt;0,"Écart","Conforme")))),IF(COUNTIFS(jr_num,A622,jr_gap,"&lt;0")&gt;0,"Partiel","Sorti")))))</f>
        <v/>
      </c>
      <c r="O622" t="str">
        <f>IFERROR(MATCH(617,jr_grank,0),"")</f>
        <v/>
      </c>
      <c r="R622" s="67" t="str">
        <f>IFERROR(INDEX(jr_num,MATCH("BL617",jr_nkey,0))&amp;"","")</f>
        <v/>
      </c>
      <c r="S622" s="67" t="str">
        <f>IFERROR(INDEX(jr_num,MATCH("BR617",jr_nkey,0))&amp;"","")</f>
        <v/>
      </c>
      <c r="T622" s="67" t="str">
        <f>IFERROR(INDEX(jr_num,MATCH("BS617",jr_nkey,0))&amp;"","")</f>
        <v/>
      </c>
    </row>
    <row r="623">
      <c r="A623" s="60" t="str">
        <f>IF($O623="","",INDEX(jr_num,$O623)&amp;"")</f>
        <v/>
      </c>
      <c r="B623" s="60" t="str">
        <f>IF($O623="","",IF(INDEX(jr_type,$O623)="BL","Livraison",IF(INDEX(jr_type,$O623)="BR","Réception","Sortie")))</f>
        <v/>
      </c>
      <c r="C623" s="65" t="str">
        <f>IF($O623="","",INDEX(jr_date,$O623))</f>
        <v/>
      </c>
      <c r="D623" s="60" t="str">
        <f>IF($O623="","",INDEX(jr_tiers,$O623)&amp;"")</f>
        <v/>
      </c>
      <c r="E623" s="57" t="str">
        <f>IF($O623="","",INDEX(jr_name,$O623)&amp;"")</f>
        <v/>
      </c>
      <c r="F623" s="57" t="str">
        <f>IF($O623="","",INDEX(jr_order,$O623)&amp;"")</f>
        <v/>
      </c>
      <c r="G623" s="57" t="str">
        <f>IF($O623="","",INDEX(jr_ext,$O623)&amp;"")</f>
        <v/>
      </c>
      <c r="H623" s="57" t="str">
        <f>IF($O623="","",INDEX(jr_carrier,$O623)&amp;"")</f>
        <v/>
      </c>
      <c r="I623" s="66" t="str">
        <f>IF(A623="","",COUNTIF(jr_num,A623))</f>
        <v/>
      </c>
      <c r="J623" s="66" t="str">
        <f>IF(A623="","",SUMIF(jr_num,A623,jr_colis))</f>
        <v/>
      </c>
      <c r="K623" s="63" t="str">
        <f>IF(A623="","",SUMIF(jr_num,A623,jr_kg))</f>
        <v/>
      </c>
      <c r="L623" s="64" t="str">
        <f>IF(A623="","",SUMIF(jr_num,A623,jr_val))</f>
        <v/>
      </c>
      <c r="M623" s="60" t="str">
        <f>IF(A623="","",IF(COUNTIFS(jr_num,A623,jr_check,"&lt;&gt;OK")&gt;0,"À vérifier",IF(LEFT(A623,2)="BL",IF(COUNTIFS(jr_num,A623,jr_rel,"&gt;0")&gt;0,"Reliquat en cours",IF(COUNTIFS(jr_num,A623,jr_gap,"&lt;0")&gt;0,"Reliquat livré","Complet")),IF(LEFT(A623,2)="BR",IF(COUNTIFS(jr_num,A623,jr_etat,"Refusé")&gt;0,"Refusé",IF(COUNTIFS(jr_num,A623,jr_etat,"Avec réserves")&gt;0,"Avec réserves",IF(COUNTIFS(jr_num,A623,jr_rel,"&gt;0")&gt;0,"Reliquat en cours",IF(COUNTIFS(jr_num,A623,jr_gap,"&lt;0")+COUNTIFS(jr_num,A623,jr_gap,"&gt;0")&gt;0,"Écart","Conforme")))),IF(COUNTIFS(jr_num,A623,jr_gap,"&lt;0")&gt;0,"Partiel","Sorti")))))</f>
        <v/>
      </c>
      <c r="O623" t="str">
        <f>IFERROR(MATCH(618,jr_grank,0),"")</f>
        <v/>
      </c>
      <c r="R623" s="67" t="str">
        <f>IFERROR(INDEX(jr_num,MATCH("BL618",jr_nkey,0))&amp;"","")</f>
        <v/>
      </c>
      <c r="S623" s="67" t="str">
        <f>IFERROR(INDEX(jr_num,MATCH("BR618",jr_nkey,0))&amp;"","")</f>
        <v/>
      </c>
      <c r="T623" s="67" t="str">
        <f>IFERROR(INDEX(jr_num,MATCH("BS618",jr_nkey,0))&amp;"","")</f>
        <v/>
      </c>
    </row>
    <row r="624">
      <c r="A624" s="60" t="str">
        <f>IF($O624="","",INDEX(jr_num,$O624)&amp;"")</f>
        <v/>
      </c>
      <c r="B624" s="60" t="str">
        <f>IF($O624="","",IF(INDEX(jr_type,$O624)="BL","Livraison",IF(INDEX(jr_type,$O624)="BR","Réception","Sortie")))</f>
        <v/>
      </c>
      <c r="C624" s="65" t="str">
        <f>IF($O624="","",INDEX(jr_date,$O624))</f>
        <v/>
      </c>
      <c r="D624" s="60" t="str">
        <f>IF($O624="","",INDEX(jr_tiers,$O624)&amp;"")</f>
        <v/>
      </c>
      <c r="E624" s="57" t="str">
        <f>IF($O624="","",INDEX(jr_name,$O624)&amp;"")</f>
        <v/>
      </c>
      <c r="F624" s="57" t="str">
        <f>IF($O624="","",INDEX(jr_order,$O624)&amp;"")</f>
        <v/>
      </c>
      <c r="G624" s="57" t="str">
        <f>IF($O624="","",INDEX(jr_ext,$O624)&amp;"")</f>
        <v/>
      </c>
      <c r="H624" s="57" t="str">
        <f>IF($O624="","",INDEX(jr_carrier,$O624)&amp;"")</f>
        <v/>
      </c>
      <c r="I624" s="66" t="str">
        <f>IF(A624="","",COUNTIF(jr_num,A624))</f>
        <v/>
      </c>
      <c r="J624" s="66" t="str">
        <f>IF(A624="","",SUMIF(jr_num,A624,jr_colis))</f>
        <v/>
      </c>
      <c r="K624" s="63" t="str">
        <f>IF(A624="","",SUMIF(jr_num,A624,jr_kg))</f>
        <v/>
      </c>
      <c r="L624" s="64" t="str">
        <f>IF(A624="","",SUMIF(jr_num,A624,jr_val))</f>
        <v/>
      </c>
      <c r="M624" s="60" t="str">
        <f>IF(A624="","",IF(COUNTIFS(jr_num,A624,jr_check,"&lt;&gt;OK")&gt;0,"À vérifier",IF(LEFT(A624,2)="BL",IF(COUNTIFS(jr_num,A624,jr_rel,"&gt;0")&gt;0,"Reliquat en cours",IF(COUNTIFS(jr_num,A624,jr_gap,"&lt;0")&gt;0,"Reliquat livré","Complet")),IF(LEFT(A624,2)="BR",IF(COUNTIFS(jr_num,A624,jr_etat,"Refusé")&gt;0,"Refusé",IF(COUNTIFS(jr_num,A624,jr_etat,"Avec réserves")&gt;0,"Avec réserves",IF(COUNTIFS(jr_num,A624,jr_rel,"&gt;0")&gt;0,"Reliquat en cours",IF(COUNTIFS(jr_num,A624,jr_gap,"&lt;0")+COUNTIFS(jr_num,A624,jr_gap,"&gt;0")&gt;0,"Écart","Conforme")))),IF(COUNTIFS(jr_num,A624,jr_gap,"&lt;0")&gt;0,"Partiel","Sorti")))))</f>
        <v/>
      </c>
      <c r="O624" t="str">
        <f>IFERROR(MATCH(619,jr_grank,0),"")</f>
        <v/>
      </c>
      <c r="R624" s="67" t="str">
        <f>IFERROR(INDEX(jr_num,MATCH("BL619",jr_nkey,0))&amp;"","")</f>
        <v/>
      </c>
      <c r="S624" s="67" t="str">
        <f>IFERROR(INDEX(jr_num,MATCH("BR619",jr_nkey,0))&amp;"","")</f>
        <v/>
      </c>
      <c r="T624" s="67" t="str">
        <f>IFERROR(INDEX(jr_num,MATCH("BS619",jr_nkey,0))&amp;"","")</f>
        <v/>
      </c>
    </row>
    <row r="625">
      <c r="A625" s="60" t="str">
        <f>IF($O625="","",INDEX(jr_num,$O625)&amp;"")</f>
        <v/>
      </c>
      <c r="B625" s="60" t="str">
        <f>IF($O625="","",IF(INDEX(jr_type,$O625)="BL","Livraison",IF(INDEX(jr_type,$O625)="BR","Réception","Sortie")))</f>
        <v/>
      </c>
      <c r="C625" s="65" t="str">
        <f>IF($O625="","",INDEX(jr_date,$O625))</f>
        <v/>
      </c>
      <c r="D625" s="60" t="str">
        <f>IF($O625="","",INDEX(jr_tiers,$O625)&amp;"")</f>
        <v/>
      </c>
      <c r="E625" s="57" t="str">
        <f>IF($O625="","",INDEX(jr_name,$O625)&amp;"")</f>
        <v/>
      </c>
      <c r="F625" s="57" t="str">
        <f>IF($O625="","",INDEX(jr_order,$O625)&amp;"")</f>
        <v/>
      </c>
      <c r="G625" s="57" t="str">
        <f>IF($O625="","",INDEX(jr_ext,$O625)&amp;"")</f>
        <v/>
      </c>
      <c r="H625" s="57" t="str">
        <f>IF($O625="","",INDEX(jr_carrier,$O625)&amp;"")</f>
        <v/>
      </c>
      <c r="I625" s="66" t="str">
        <f>IF(A625="","",COUNTIF(jr_num,A625))</f>
        <v/>
      </c>
      <c r="J625" s="66" t="str">
        <f>IF(A625="","",SUMIF(jr_num,A625,jr_colis))</f>
        <v/>
      </c>
      <c r="K625" s="63" t="str">
        <f>IF(A625="","",SUMIF(jr_num,A625,jr_kg))</f>
        <v/>
      </c>
      <c r="L625" s="64" t="str">
        <f>IF(A625="","",SUMIF(jr_num,A625,jr_val))</f>
        <v/>
      </c>
      <c r="M625" s="60" t="str">
        <f>IF(A625="","",IF(COUNTIFS(jr_num,A625,jr_check,"&lt;&gt;OK")&gt;0,"À vérifier",IF(LEFT(A625,2)="BL",IF(COUNTIFS(jr_num,A625,jr_rel,"&gt;0")&gt;0,"Reliquat en cours",IF(COUNTIFS(jr_num,A625,jr_gap,"&lt;0")&gt;0,"Reliquat livré","Complet")),IF(LEFT(A625,2)="BR",IF(COUNTIFS(jr_num,A625,jr_etat,"Refusé")&gt;0,"Refusé",IF(COUNTIFS(jr_num,A625,jr_etat,"Avec réserves")&gt;0,"Avec réserves",IF(COUNTIFS(jr_num,A625,jr_rel,"&gt;0")&gt;0,"Reliquat en cours",IF(COUNTIFS(jr_num,A625,jr_gap,"&lt;0")+COUNTIFS(jr_num,A625,jr_gap,"&gt;0")&gt;0,"Écart","Conforme")))),IF(COUNTIFS(jr_num,A625,jr_gap,"&lt;0")&gt;0,"Partiel","Sorti")))))</f>
        <v/>
      </c>
      <c r="O625" t="str">
        <f>IFERROR(MATCH(620,jr_grank,0),"")</f>
        <v/>
      </c>
      <c r="R625" s="67" t="str">
        <f>IFERROR(INDEX(jr_num,MATCH("BL620",jr_nkey,0))&amp;"","")</f>
        <v/>
      </c>
      <c r="S625" s="67" t="str">
        <f>IFERROR(INDEX(jr_num,MATCH("BR620",jr_nkey,0))&amp;"","")</f>
        <v/>
      </c>
      <c r="T625" s="67" t="str">
        <f>IFERROR(INDEX(jr_num,MATCH("BS620",jr_nkey,0))&amp;"","")</f>
        <v/>
      </c>
    </row>
    <row r="626">
      <c r="A626" s="60" t="str">
        <f>IF($O626="","",INDEX(jr_num,$O626)&amp;"")</f>
        <v/>
      </c>
      <c r="B626" s="60" t="str">
        <f>IF($O626="","",IF(INDEX(jr_type,$O626)="BL","Livraison",IF(INDEX(jr_type,$O626)="BR","Réception","Sortie")))</f>
        <v/>
      </c>
      <c r="C626" s="65" t="str">
        <f>IF($O626="","",INDEX(jr_date,$O626))</f>
        <v/>
      </c>
      <c r="D626" s="60" t="str">
        <f>IF($O626="","",INDEX(jr_tiers,$O626)&amp;"")</f>
        <v/>
      </c>
      <c r="E626" s="57" t="str">
        <f>IF($O626="","",INDEX(jr_name,$O626)&amp;"")</f>
        <v/>
      </c>
      <c r="F626" s="57" t="str">
        <f>IF($O626="","",INDEX(jr_order,$O626)&amp;"")</f>
        <v/>
      </c>
      <c r="G626" s="57" t="str">
        <f>IF($O626="","",INDEX(jr_ext,$O626)&amp;"")</f>
        <v/>
      </c>
      <c r="H626" s="57" t="str">
        <f>IF($O626="","",INDEX(jr_carrier,$O626)&amp;"")</f>
        <v/>
      </c>
      <c r="I626" s="66" t="str">
        <f>IF(A626="","",COUNTIF(jr_num,A626))</f>
        <v/>
      </c>
      <c r="J626" s="66" t="str">
        <f>IF(A626="","",SUMIF(jr_num,A626,jr_colis))</f>
        <v/>
      </c>
      <c r="K626" s="63" t="str">
        <f>IF(A626="","",SUMIF(jr_num,A626,jr_kg))</f>
        <v/>
      </c>
      <c r="L626" s="64" t="str">
        <f>IF(A626="","",SUMIF(jr_num,A626,jr_val))</f>
        <v/>
      </c>
      <c r="M626" s="60" t="str">
        <f>IF(A626="","",IF(COUNTIFS(jr_num,A626,jr_check,"&lt;&gt;OK")&gt;0,"À vérifier",IF(LEFT(A626,2)="BL",IF(COUNTIFS(jr_num,A626,jr_rel,"&gt;0")&gt;0,"Reliquat en cours",IF(COUNTIFS(jr_num,A626,jr_gap,"&lt;0")&gt;0,"Reliquat livré","Complet")),IF(LEFT(A626,2)="BR",IF(COUNTIFS(jr_num,A626,jr_etat,"Refusé")&gt;0,"Refusé",IF(COUNTIFS(jr_num,A626,jr_etat,"Avec réserves")&gt;0,"Avec réserves",IF(COUNTIFS(jr_num,A626,jr_rel,"&gt;0")&gt;0,"Reliquat en cours",IF(COUNTIFS(jr_num,A626,jr_gap,"&lt;0")+COUNTIFS(jr_num,A626,jr_gap,"&gt;0")&gt;0,"Écart","Conforme")))),IF(COUNTIFS(jr_num,A626,jr_gap,"&lt;0")&gt;0,"Partiel","Sorti")))))</f>
        <v/>
      </c>
      <c r="O626" t="str">
        <f>IFERROR(MATCH(621,jr_grank,0),"")</f>
        <v/>
      </c>
      <c r="R626" s="67" t="str">
        <f>IFERROR(INDEX(jr_num,MATCH("BL621",jr_nkey,0))&amp;"","")</f>
        <v/>
      </c>
      <c r="S626" s="67" t="str">
        <f>IFERROR(INDEX(jr_num,MATCH("BR621",jr_nkey,0))&amp;"","")</f>
        <v/>
      </c>
      <c r="T626" s="67" t="str">
        <f>IFERROR(INDEX(jr_num,MATCH("BS621",jr_nkey,0))&amp;"","")</f>
        <v/>
      </c>
    </row>
    <row r="627">
      <c r="A627" s="60" t="str">
        <f>IF($O627="","",INDEX(jr_num,$O627)&amp;"")</f>
        <v/>
      </c>
      <c r="B627" s="60" t="str">
        <f>IF($O627="","",IF(INDEX(jr_type,$O627)="BL","Livraison",IF(INDEX(jr_type,$O627)="BR","Réception","Sortie")))</f>
        <v/>
      </c>
      <c r="C627" s="65" t="str">
        <f>IF($O627="","",INDEX(jr_date,$O627))</f>
        <v/>
      </c>
      <c r="D627" s="60" t="str">
        <f>IF($O627="","",INDEX(jr_tiers,$O627)&amp;"")</f>
        <v/>
      </c>
      <c r="E627" s="57" t="str">
        <f>IF($O627="","",INDEX(jr_name,$O627)&amp;"")</f>
        <v/>
      </c>
      <c r="F627" s="57" t="str">
        <f>IF($O627="","",INDEX(jr_order,$O627)&amp;"")</f>
        <v/>
      </c>
      <c r="G627" s="57" t="str">
        <f>IF($O627="","",INDEX(jr_ext,$O627)&amp;"")</f>
        <v/>
      </c>
      <c r="H627" s="57" t="str">
        <f>IF($O627="","",INDEX(jr_carrier,$O627)&amp;"")</f>
        <v/>
      </c>
      <c r="I627" s="66" t="str">
        <f>IF(A627="","",COUNTIF(jr_num,A627))</f>
        <v/>
      </c>
      <c r="J627" s="66" t="str">
        <f>IF(A627="","",SUMIF(jr_num,A627,jr_colis))</f>
        <v/>
      </c>
      <c r="K627" s="63" t="str">
        <f>IF(A627="","",SUMIF(jr_num,A627,jr_kg))</f>
        <v/>
      </c>
      <c r="L627" s="64" t="str">
        <f>IF(A627="","",SUMIF(jr_num,A627,jr_val))</f>
        <v/>
      </c>
      <c r="M627" s="60" t="str">
        <f>IF(A627="","",IF(COUNTIFS(jr_num,A627,jr_check,"&lt;&gt;OK")&gt;0,"À vérifier",IF(LEFT(A627,2)="BL",IF(COUNTIFS(jr_num,A627,jr_rel,"&gt;0")&gt;0,"Reliquat en cours",IF(COUNTIFS(jr_num,A627,jr_gap,"&lt;0")&gt;0,"Reliquat livré","Complet")),IF(LEFT(A627,2)="BR",IF(COUNTIFS(jr_num,A627,jr_etat,"Refusé")&gt;0,"Refusé",IF(COUNTIFS(jr_num,A627,jr_etat,"Avec réserves")&gt;0,"Avec réserves",IF(COUNTIFS(jr_num,A627,jr_rel,"&gt;0")&gt;0,"Reliquat en cours",IF(COUNTIFS(jr_num,A627,jr_gap,"&lt;0")+COUNTIFS(jr_num,A627,jr_gap,"&gt;0")&gt;0,"Écart","Conforme")))),IF(COUNTIFS(jr_num,A627,jr_gap,"&lt;0")&gt;0,"Partiel","Sorti")))))</f>
        <v/>
      </c>
      <c r="O627" t="str">
        <f>IFERROR(MATCH(622,jr_grank,0),"")</f>
        <v/>
      </c>
      <c r="R627" s="67" t="str">
        <f>IFERROR(INDEX(jr_num,MATCH("BL622",jr_nkey,0))&amp;"","")</f>
        <v/>
      </c>
      <c r="S627" s="67" t="str">
        <f>IFERROR(INDEX(jr_num,MATCH("BR622",jr_nkey,0))&amp;"","")</f>
        <v/>
      </c>
      <c r="T627" s="67" t="str">
        <f>IFERROR(INDEX(jr_num,MATCH("BS622",jr_nkey,0))&amp;"","")</f>
        <v/>
      </c>
    </row>
    <row r="628">
      <c r="A628" s="60" t="str">
        <f>IF($O628="","",INDEX(jr_num,$O628)&amp;"")</f>
        <v/>
      </c>
      <c r="B628" s="60" t="str">
        <f>IF($O628="","",IF(INDEX(jr_type,$O628)="BL","Livraison",IF(INDEX(jr_type,$O628)="BR","Réception","Sortie")))</f>
        <v/>
      </c>
      <c r="C628" s="65" t="str">
        <f>IF($O628="","",INDEX(jr_date,$O628))</f>
        <v/>
      </c>
      <c r="D628" s="60" t="str">
        <f>IF($O628="","",INDEX(jr_tiers,$O628)&amp;"")</f>
        <v/>
      </c>
      <c r="E628" s="57" t="str">
        <f>IF($O628="","",INDEX(jr_name,$O628)&amp;"")</f>
        <v/>
      </c>
      <c r="F628" s="57" t="str">
        <f>IF($O628="","",INDEX(jr_order,$O628)&amp;"")</f>
        <v/>
      </c>
      <c r="G628" s="57" t="str">
        <f>IF($O628="","",INDEX(jr_ext,$O628)&amp;"")</f>
        <v/>
      </c>
      <c r="H628" s="57" t="str">
        <f>IF($O628="","",INDEX(jr_carrier,$O628)&amp;"")</f>
        <v/>
      </c>
      <c r="I628" s="66" t="str">
        <f>IF(A628="","",COUNTIF(jr_num,A628))</f>
        <v/>
      </c>
      <c r="J628" s="66" t="str">
        <f>IF(A628="","",SUMIF(jr_num,A628,jr_colis))</f>
        <v/>
      </c>
      <c r="K628" s="63" t="str">
        <f>IF(A628="","",SUMIF(jr_num,A628,jr_kg))</f>
        <v/>
      </c>
      <c r="L628" s="64" t="str">
        <f>IF(A628="","",SUMIF(jr_num,A628,jr_val))</f>
        <v/>
      </c>
      <c r="M628" s="60" t="str">
        <f>IF(A628="","",IF(COUNTIFS(jr_num,A628,jr_check,"&lt;&gt;OK")&gt;0,"À vérifier",IF(LEFT(A628,2)="BL",IF(COUNTIFS(jr_num,A628,jr_rel,"&gt;0")&gt;0,"Reliquat en cours",IF(COUNTIFS(jr_num,A628,jr_gap,"&lt;0")&gt;0,"Reliquat livré","Complet")),IF(LEFT(A628,2)="BR",IF(COUNTIFS(jr_num,A628,jr_etat,"Refusé")&gt;0,"Refusé",IF(COUNTIFS(jr_num,A628,jr_etat,"Avec réserves")&gt;0,"Avec réserves",IF(COUNTIFS(jr_num,A628,jr_rel,"&gt;0")&gt;0,"Reliquat en cours",IF(COUNTIFS(jr_num,A628,jr_gap,"&lt;0")+COUNTIFS(jr_num,A628,jr_gap,"&gt;0")&gt;0,"Écart","Conforme")))),IF(COUNTIFS(jr_num,A628,jr_gap,"&lt;0")&gt;0,"Partiel","Sorti")))))</f>
        <v/>
      </c>
      <c r="O628" t="str">
        <f>IFERROR(MATCH(623,jr_grank,0),"")</f>
        <v/>
      </c>
      <c r="R628" s="67" t="str">
        <f>IFERROR(INDEX(jr_num,MATCH("BL623",jr_nkey,0))&amp;"","")</f>
        <v/>
      </c>
      <c r="S628" s="67" t="str">
        <f>IFERROR(INDEX(jr_num,MATCH("BR623",jr_nkey,0))&amp;"","")</f>
        <v/>
      </c>
      <c r="T628" s="67" t="str">
        <f>IFERROR(INDEX(jr_num,MATCH("BS623",jr_nkey,0))&amp;"","")</f>
        <v/>
      </c>
    </row>
    <row r="629">
      <c r="A629" s="60" t="str">
        <f>IF($O629="","",INDEX(jr_num,$O629)&amp;"")</f>
        <v/>
      </c>
      <c r="B629" s="60" t="str">
        <f>IF($O629="","",IF(INDEX(jr_type,$O629)="BL","Livraison",IF(INDEX(jr_type,$O629)="BR","Réception","Sortie")))</f>
        <v/>
      </c>
      <c r="C629" s="65" t="str">
        <f>IF($O629="","",INDEX(jr_date,$O629))</f>
        <v/>
      </c>
      <c r="D629" s="60" t="str">
        <f>IF($O629="","",INDEX(jr_tiers,$O629)&amp;"")</f>
        <v/>
      </c>
      <c r="E629" s="57" t="str">
        <f>IF($O629="","",INDEX(jr_name,$O629)&amp;"")</f>
        <v/>
      </c>
      <c r="F629" s="57" t="str">
        <f>IF($O629="","",INDEX(jr_order,$O629)&amp;"")</f>
        <v/>
      </c>
      <c r="G629" s="57" t="str">
        <f>IF($O629="","",INDEX(jr_ext,$O629)&amp;"")</f>
        <v/>
      </c>
      <c r="H629" s="57" t="str">
        <f>IF($O629="","",INDEX(jr_carrier,$O629)&amp;"")</f>
        <v/>
      </c>
      <c r="I629" s="66" t="str">
        <f>IF(A629="","",COUNTIF(jr_num,A629))</f>
        <v/>
      </c>
      <c r="J629" s="66" t="str">
        <f>IF(A629="","",SUMIF(jr_num,A629,jr_colis))</f>
        <v/>
      </c>
      <c r="K629" s="63" t="str">
        <f>IF(A629="","",SUMIF(jr_num,A629,jr_kg))</f>
        <v/>
      </c>
      <c r="L629" s="64" t="str">
        <f>IF(A629="","",SUMIF(jr_num,A629,jr_val))</f>
        <v/>
      </c>
      <c r="M629" s="60" t="str">
        <f>IF(A629="","",IF(COUNTIFS(jr_num,A629,jr_check,"&lt;&gt;OK")&gt;0,"À vérifier",IF(LEFT(A629,2)="BL",IF(COUNTIFS(jr_num,A629,jr_rel,"&gt;0")&gt;0,"Reliquat en cours",IF(COUNTIFS(jr_num,A629,jr_gap,"&lt;0")&gt;0,"Reliquat livré","Complet")),IF(LEFT(A629,2)="BR",IF(COUNTIFS(jr_num,A629,jr_etat,"Refusé")&gt;0,"Refusé",IF(COUNTIFS(jr_num,A629,jr_etat,"Avec réserves")&gt;0,"Avec réserves",IF(COUNTIFS(jr_num,A629,jr_rel,"&gt;0")&gt;0,"Reliquat en cours",IF(COUNTIFS(jr_num,A629,jr_gap,"&lt;0")+COUNTIFS(jr_num,A629,jr_gap,"&gt;0")&gt;0,"Écart","Conforme")))),IF(COUNTIFS(jr_num,A629,jr_gap,"&lt;0")&gt;0,"Partiel","Sorti")))))</f>
        <v/>
      </c>
      <c r="O629" t="str">
        <f>IFERROR(MATCH(624,jr_grank,0),"")</f>
        <v/>
      </c>
      <c r="R629" s="67" t="str">
        <f>IFERROR(INDEX(jr_num,MATCH("BL624",jr_nkey,0))&amp;"","")</f>
        <v/>
      </c>
      <c r="S629" s="67" t="str">
        <f>IFERROR(INDEX(jr_num,MATCH("BR624",jr_nkey,0))&amp;"","")</f>
        <v/>
      </c>
      <c r="T629" s="67" t="str">
        <f>IFERROR(INDEX(jr_num,MATCH("BS624",jr_nkey,0))&amp;"","")</f>
        <v/>
      </c>
    </row>
    <row r="630">
      <c r="A630" s="60" t="str">
        <f>IF($O630="","",INDEX(jr_num,$O630)&amp;"")</f>
        <v/>
      </c>
      <c r="B630" s="60" t="str">
        <f>IF($O630="","",IF(INDEX(jr_type,$O630)="BL","Livraison",IF(INDEX(jr_type,$O630)="BR","Réception","Sortie")))</f>
        <v/>
      </c>
      <c r="C630" s="65" t="str">
        <f>IF($O630="","",INDEX(jr_date,$O630))</f>
        <v/>
      </c>
      <c r="D630" s="60" t="str">
        <f>IF($O630="","",INDEX(jr_tiers,$O630)&amp;"")</f>
        <v/>
      </c>
      <c r="E630" s="57" t="str">
        <f>IF($O630="","",INDEX(jr_name,$O630)&amp;"")</f>
        <v/>
      </c>
      <c r="F630" s="57" t="str">
        <f>IF($O630="","",INDEX(jr_order,$O630)&amp;"")</f>
        <v/>
      </c>
      <c r="G630" s="57" t="str">
        <f>IF($O630="","",INDEX(jr_ext,$O630)&amp;"")</f>
        <v/>
      </c>
      <c r="H630" s="57" t="str">
        <f>IF($O630="","",INDEX(jr_carrier,$O630)&amp;"")</f>
        <v/>
      </c>
      <c r="I630" s="66" t="str">
        <f>IF(A630="","",COUNTIF(jr_num,A630))</f>
        <v/>
      </c>
      <c r="J630" s="66" t="str">
        <f>IF(A630="","",SUMIF(jr_num,A630,jr_colis))</f>
        <v/>
      </c>
      <c r="K630" s="63" t="str">
        <f>IF(A630="","",SUMIF(jr_num,A630,jr_kg))</f>
        <v/>
      </c>
      <c r="L630" s="64" t="str">
        <f>IF(A630="","",SUMIF(jr_num,A630,jr_val))</f>
        <v/>
      </c>
      <c r="M630" s="60" t="str">
        <f>IF(A630="","",IF(COUNTIFS(jr_num,A630,jr_check,"&lt;&gt;OK")&gt;0,"À vérifier",IF(LEFT(A630,2)="BL",IF(COUNTIFS(jr_num,A630,jr_rel,"&gt;0")&gt;0,"Reliquat en cours",IF(COUNTIFS(jr_num,A630,jr_gap,"&lt;0")&gt;0,"Reliquat livré","Complet")),IF(LEFT(A630,2)="BR",IF(COUNTIFS(jr_num,A630,jr_etat,"Refusé")&gt;0,"Refusé",IF(COUNTIFS(jr_num,A630,jr_etat,"Avec réserves")&gt;0,"Avec réserves",IF(COUNTIFS(jr_num,A630,jr_rel,"&gt;0")&gt;0,"Reliquat en cours",IF(COUNTIFS(jr_num,A630,jr_gap,"&lt;0")+COUNTIFS(jr_num,A630,jr_gap,"&gt;0")&gt;0,"Écart","Conforme")))),IF(COUNTIFS(jr_num,A630,jr_gap,"&lt;0")&gt;0,"Partiel","Sorti")))))</f>
        <v/>
      </c>
      <c r="O630" t="str">
        <f>IFERROR(MATCH(625,jr_grank,0),"")</f>
        <v/>
      </c>
      <c r="R630" s="67" t="str">
        <f>IFERROR(INDEX(jr_num,MATCH("BL625",jr_nkey,0))&amp;"","")</f>
        <v/>
      </c>
      <c r="S630" s="67" t="str">
        <f>IFERROR(INDEX(jr_num,MATCH("BR625",jr_nkey,0))&amp;"","")</f>
        <v/>
      </c>
      <c r="T630" s="67" t="str">
        <f>IFERROR(INDEX(jr_num,MATCH("BS625",jr_nkey,0))&amp;"","")</f>
        <v/>
      </c>
    </row>
    <row r="631">
      <c r="A631" s="60" t="str">
        <f>IF($O631="","",INDEX(jr_num,$O631)&amp;"")</f>
        <v/>
      </c>
      <c r="B631" s="60" t="str">
        <f>IF($O631="","",IF(INDEX(jr_type,$O631)="BL","Livraison",IF(INDEX(jr_type,$O631)="BR","Réception","Sortie")))</f>
        <v/>
      </c>
      <c r="C631" s="65" t="str">
        <f>IF($O631="","",INDEX(jr_date,$O631))</f>
        <v/>
      </c>
      <c r="D631" s="60" t="str">
        <f>IF($O631="","",INDEX(jr_tiers,$O631)&amp;"")</f>
        <v/>
      </c>
      <c r="E631" s="57" t="str">
        <f>IF($O631="","",INDEX(jr_name,$O631)&amp;"")</f>
        <v/>
      </c>
      <c r="F631" s="57" t="str">
        <f>IF($O631="","",INDEX(jr_order,$O631)&amp;"")</f>
        <v/>
      </c>
      <c r="G631" s="57" t="str">
        <f>IF($O631="","",INDEX(jr_ext,$O631)&amp;"")</f>
        <v/>
      </c>
      <c r="H631" s="57" t="str">
        <f>IF($O631="","",INDEX(jr_carrier,$O631)&amp;"")</f>
        <v/>
      </c>
      <c r="I631" s="66" t="str">
        <f>IF(A631="","",COUNTIF(jr_num,A631))</f>
        <v/>
      </c>
      <c r="J631" s="66" t="str">
        <f>IF(A631="","",SUMIF(jr_num,A631,jr_colis))</f>
        <v/>
      </c>
      <c r="K631" s="63" t="str">
        <f>IF(A631="","",SUMIF(jr_num,A631,jr_kg))</f>
        <v/>
      </c>
      <c r="L631" s="64" t="str">
        <f>IF(A631="","",SUMIF(jr_num,A631,jr_val))</f>
        <v/>
      </c>
      <c r="M631" s="60" t="str">
        <f>IF(A631="","",IF(COUNTIFS(jr_num,A631,jr_check,"&lt;&gt;OK")&gt;0,"À vérifier",IF(LEFT(A631,2)="BL",IF(COUNTIFS(jr_num,A631,jr_rel,"&gt;0")&gt;0,"Reliquat en cours",IF(COUNTIFS(jr_num,A631,jr_gap,"&lt;0")&gt;0,"Reliquat livré","Complet")),IF(LEFT(A631,2)="BR",IF(COUNTIFS(jr_num,A631,jr_etat,"Refusé")&gt;0,"Refusé",IF(COUNTIFS(jr_num,A631,jr_etat,"Avec réserves")&gt;0,"Avec réserves",IF(COUNTIFS(jr_num,A631,jr_rel,"&gt;0")&gt;0,"Reliquat en cours",IF(COUNTIFS(jr_num,A631,jr_gap,"&lt;0")+COUNTIFS(jr_num,A631,jr_gap,"&gt;0")&gt;0,"Écart","Conforme")))),IF(COUNTIFS(jr_num,A631,jr_gap,"&lt;0")&gt;0,"Partiel","Sorti")))))</f>
        <v/>
      </c>
      <c r="O631" t="str">
        <f>IFERROR(MATCH(626,jr_grank,0),"")</f>
        <v/>
      </c>
      <c r="R631" s="67" t="str">
        <f>IFERROR(INDEX(jr_num,MATCH("BL626",jr_nkey,0))&amp;"","")</f>
        <v/>
      </c>
      <c r="S631" s="67" t="str">
        <f>IFERROR(INDEX(jr_num,MATCH("BR626",jr_nkey,0))&amp;"","")</f>
        <v/>
      </c>
      <c r="T631" s="67" t="str">
        <f>IFERROR(INDEX(jr_num,MATCH("BS626",jr_nkey,0))&amp;"","")</f>
        <v/>
      </c>
    </row>
    <row r="632">
      <c r="A632" s="60" t="str">
        <f>IF($O632="","",INDEX(jr_num,$O632)&amp;"")</f>
        <v/>
      </c>
      <c r="B632" s="60" t="str">
        <f>IF($O632="","",IF(INDEX(jr_type,$O632)="BL","Livraison",IF(INDEX(jr_type,$O632)="BR","Réception","Sortie")))</f>
        <v/>
      </c>
      <c r="C632" s="65" t="str">
        <f>IF($O632="","",INDEX(jr_date,$O632))</f>
        <v/>
      </c>
      <c r="D632" s="60" t="str">
        <f>IF($O632="","",INDEX(jr_tiers,$O632)&amp;"")</f>
        <v/>
      </c>
      <c r="E632" s="57" t="str">
        <f>IF($O632="","",INDEX(jr_name,$O632)&amp;"")</f>
        <v/>
      </c>
      <c r="F632" s="57" t="str">
        <f>IF($O632="","",INDEX(jr_order,$O632)&amp;"")</f>
        <v/>
      </c>
      <c r="G632" s="57" t="str">
        <f>IF($O632="","",INDEX(jr_ext,$O632)&amp;"")</f>
        <v/>
      </c>
      <c r="H632" s="57" t="str">
        <f>IF($O632="","",INDEX(jr_carrier,$O632)&amp;"")</f>
        <v/>
      </c>
      <c r="I632" s="66" t="str">
        <f>IF(A632="","",COUNTIF(jr_num,A632))</f>
        <v/>
      </c>
      <c r="J632" s="66" t="str">
        <f>IF(A632="","",SUMIF(jr_num,A632,jr_colis))</f>
        <v/>
      </c>
      <c r="K632" s="63" t="str">
        <f>IF(A632="","",SUMIF(jr_num,A632,jr_kg))</f>
        <v/>
      </c>
      <c r="L632" s="64" t="str">
        <f>IF(A632="","",SUMIF(jr_num,A632,jr_val))</f>
        <v/>
      </c>
      <c r="M632" s="60" t="str">
        <f>IF(A632="","",IF(COUNTIFS(jr_num,A632,jr_check,"&lt;&gt;OK")&gt;0,"À vérifier",IF(LEFT(A632,2)="BL",IF(COUNTIFS(jr_num,A632,jr_rel,"&gt;0")&gt;0,"Reliquat en cours",IF(COUNTIFS(jr_num,A632,jr_gap,"&lt;0")&gt;0,"Reliquat livré","Complet")),IF(LEFT(A632,2)="BR",IF(COUNTIFS(jr_num,A632,jr_etat,"Refusé")&gt;0,"Refusé",IF(COUNTIFS(jr_num,A632,jr_etat,"Avec réserves")&gt;0,"Avec réserves",IF(COUNTIFS(jr_num,A632,jr_rel,"&gt;0")&gt;0,"Reliquat en cours",IF(COUNTIFS(jr_num,A632,jr_gap,"&lt;0")+COUNTIFS(jr_num,A632,jr_gap,"&gt;0")&gt;0,"Écart","Conforme")))),IF(COUNTIFS(jr_num,A632,jr_gap,"&lt;0")&gt;0,"Partiel","Sorti")))))</f>
        <v/>
      </c>
      <c r="O632" t="str">
        <f>IFERROR(MATCH(627,jr_grank,0),"")</f>
        <v/>
      </c>
      <c r="R632" s="67" t="str">
        <f>IFERROR(INDEX(jr_num,MATCH("BL627",jr_nkey,0))&amp;"","")</f>
        <v/>
      </c>
      <c r="S632" s="67" t="str">
        <f>IFERROR(INDEX(jr_num,MATCH("BR627",jr_nkey,0))&amp;"","")</f>
        <v/>
      </c>
      <c r="T632" s="67" t="str">
        <f>IFERROR(INDEX(jr_num,MATCH("BS627",jr_nkey,0))&amp;"","")</f>
        <v/>
      </c>
    </row>
    <row r="633">
      <c r="A633" s="60" t="str">
        <f>IF($O633="","",INDEX(jr_num,$O633)&amp;"")</f>
        <v/>
      </c>
      <c r="B633" s="60" t="str">
        <f>IF($O633="","",IF(INDEX(jr_type,$O633)="BL","Livraison",IF(INDEX(jr_type,$O633)="BR","Réception","Sortie")))</f>
        <v/>
      </c>
      <c r="C633" s="65" t="str">
        <f>IF($O633="","",INDEX(jr_date,$O633))</f>
        <v/>
      </c>
      <c r="D633" s="60" t="str">
        <f>IF($O633="","",INDEX(jr_tiers,$O633)&amp;"")</f>
        <v/>
      </c>
      <c r="E633" s="57" t="str">
        <f>IF($O633="","",INDEX(jr_name,$O633)&amp;"")</f>
        <v/>
      </c>
      <c r="F633" s="57" t="str">
        <f>IF($O633="","",INDEX(jr_order,$O633)&amp;"")</f>
        <v/>
      </c>
      <c r="G633" s="57" t="str">
        <f>IF($O633="","",INDEX(jr_ext,$O633)&amp;"")</f>
        <v/>
      </c>
      <c r="H633" s="57" t="str">
        <f>IF($O633="","",INDEX(jr_carrier,$O633)&amp;"")</f>
        <v/>
      </c>
      <c r="I633" s="66" t="str">
        <f>IF(A633="","",COUNTIF(jr_num,A633))</f>
        <v/>
      </c>
      <c r="J633" s="66" t="str">
        <f>IF(A633="","",SUMIF(jr_num,A633,jr_colis))</f>
        <v/>
      </c>
      <c r="K633" s="63" t="str">
        <f>IF(A633="","",SUMIF(jr_num,A633,jr_kg))</f>
        <v/>
      </c>
      <c r="L633" s="64" t="str">
        <f>IF(A633="","",SUMIF(jr_num,A633,jr_val))</f>
        <v/>
      </c>
      <c r="M633" s="60" t="str">
        <f>IF(A633="","",IF(COUNTIFS(jr_num,A633,jr_check,"&lt;&gt;OK")&gt;0,"À vérifier",IF(LEFT(A633,2)="BL",IF(COUNTIFS(jr_num,A633,jr_rel,"&gt;0")&gt;0,"Reliquat en cours",IF(COUNTIFS(jr_num,A633,jr_gap,"&lt;0")&gt;0,"Reliquat livré","Complet")),IF(LEFT(A633,2)="BR",IF(COUNTIFS(jr_num,A633,jr_etat,"Refusé")&gt;0,"Refusé",IF(COUNTIFS(jr_num,A633,jr_etat,"Avec réserves")&gt;0,"Avec réserves",IF(COUNTIFS(jr_num,A633,jr_rel,"&gt;0")&gt;0,"Reliquat en cours",IF(COUNTIFS(jr_num,A633,jr_gap,"&lt;0")+COUNTIFS(jr_num,A633,jr_gap,"&gt;0")&gt;0,"Écart","Conforme")))),IF(COUNTIFS(jr_num,A633,jr_gap,"&lt;0")&gt;0,"Partiel","Sorti")))))</f>
        <v/>
      </c>
      <c r="O633" t="str">
        <f>IFERROR(MATCH(628,jr_grank,0),"")</f>
        <v/>
      </c>
      <c r="R633" s="67" t="str">
        <f>IFERROR(INDEX(jr_num,MATCH("BL628",jr_nkey,0))&amp;"","")</f>
        <v/>
      </c>
      <c r="S633" s="67" t="str">
        <f>IFERROR(INDEX(jr_num,MATCH("BR628",jr_nkey,0))&amp;"","")</f>
        <v/>
      </c>
      <c r="T633" s="67" t="str">
        <f>IFERROR(INDEX(jr_num,MATCH("BS628",jr_nkey,0))&amp;"","")</f>
        <v/>
      </c>
    </row>
    <row r="634">
      <c r="A634" s="60" t="str">
        <f>IF($O634="","",INDEX(jr_num,$O634)&amp;"")</f>
        <v/>
      </c>
      <c r="B634" s="60" t="str">
        <f>IF($O634="","",IF(INDEX(jr_type,$O634)="BL","Livraison",IF(INDEX(jr_type,$O634)="BR","Réception","Sortie")))</f>
        <v/>
      </c>
      <c r="C634" s="65" t="str">
        <f>IF($O634="","",INDEX(jr_date,$O634))</f>
        <v/>
      </c>
      <c r="D634" s="60" t="str">
        <f>IF($O634="","",INDEX(jr_tiers,$O634)&amp;"")</f>
        <v/>
      </c>
      <c r="E634" s="57" t="str">
        <f>IF($O634="","",INDEX(jr_name,$O634)&amp;"")</f>
        <v/>
      </c>
      <c r="F634" s="57" t="str">
        <f>IF($O634="","",INDEX(jr_order,$O634)&amp;"")</f>
        <v/>
      </c>
      <c r="G634" s="57" t="str">
        <f>IF($O634="","",INDEX(jr_ext,$O634)&amp;"")</f>
        <v/>
      </c>
      <c r="H634" s="57" t="str">
        <f>IF($O634="","",INDEX(jr_carrier,$O634)&amp;"")</f>
        <v/>
      </c>
      <c r="I634" s="66" t="str">
        <f>IF(A634="","",COUNTIF(jr_num,A634))</f>
        <v/>
      </c>
      <c r="J634" s="66" t="str">
        <f>IF(A634="","",SUMIF(jr_num,A634,jr_colis))</f>
        <v/>
      </c>
      <c r="K634" s="63" t="str">
        <f>IF(A634="","",SUMIF(jr_num,A634,jr_kg))</f>
        <v/>
      </c>
      <c r="L634" s="64" t="str">
        <f>IF(A634="","",SUMIF(jr_num,A634,jr_val))</f>
        <v/>
      </c>
      <c r="M634" s="60" t="str">
        <f>IF(A634="","",IF(COUNTIFS(jr_num,A634,jr_check,"&lt;&gt;OK")&gt;0,"À vérifier",IF(LEFT(A634,2)="BL",IF(COUNTIFS(jr_num,A634,jr_rel,"&gt;0")&gt;0,"Reliquat en cours",IF(COUNTIFS(jr_num,A634,jr_gap,"&lt;0")&gt;0,"Reliquat livré","Complet")),IF(LEFT(A634,2)="BR",IF(COUNTIFS(jr_num,A634,jr_etat,"Refusé")&gt;0,"Refusé",IF(COUNTIFS(jr_num,A634,jr_etat,"Avec réserves")&gt;0,"Avec réserves",IF(COUNTIFS(jr_num,A634,jr_rel,"&gt;0")&gt;0,"Reliquat en cours",IF(COUNTIFS(jr_num,A634,jr_gap,"&lt;0")+COUNTIFS(jr_num,A634,jr_gap,"&gt;0")&gt;0,"Écart","Conforme")))),IF(COUNTIFS(jr_num,A634,jr_gap,"&lt;0")&gt;0,"Partiel","Sorti")))))</f>
        <v/>
      </c>
      <c r="O634" t="str">
        <f>IFERROR(MATCH(629,jr_grank,0),"")</f>
        <v/>
      </c>
      <c r="R634" s="67" t="str">
        <f>IFERROR(INDEX(jr_num,MATCH("BL629",jr_nkey,0))&amp;"","")</f>
        <v/>
      </c>
      <c r="S634" s="67" t="str">
        <f>IFERROR(INDEX(jr_num,MATCH("BR629",jr_nkey,0))&amp;"","")</f>
        <v/>
      </c>
      <c r="T634" s="67" t="str">
        <f>IFERROR(INDEX(jr_num,MATCH("BS629",jr_nkey,0))&amp;"","")</f>
        <v/>
      </c>
    </row>
    <row r="635">
      <c r="A635" s="60" t="str">
        <f>IF($O635="","",INDEX(jr_num,$O635)&amp;"")</f>
        <v/>
      </c>
      <c r="B635" s="60" t="str">
        <f>IF($O635="","",IF(INDEX(jr_type,$O635)="BL","Livraison",IF(INDEX(jr_type,$O635)="BR","Réception","Sortie")))</f>
        <v/>
      </c>
      <c r="C635" s="65" t="str">
        <f>IF($O635="","",INDEX(jr_date,$O635))</f>
        <v/>
      </c>
      <c r="D635" s="60" t="str">
        <f>IF($O635="","",INDEX(jr_tiers,$O635)&amp;"")</f>
        <v/>
      </c>
      <c r="E635" s="57" t="str">
        <f>IF($O635="","",INDEX(jr_name,$O635)&amp;"")</f>
        <v/>
      </c>
      <c r="F635" s="57" t="str">
        <f>IF($O635="","",INDEX(jr_order,$O635)&amp;"")</f>
        <v/>
      </c>
      <c r="G635" s="57" t="str">
        <f>IF($O635="","",INDEX(jr_ext,$O635)&amp;"")</f>
        <v/>
      </c>
      <c r="H635" s="57" t="str">
        <f>IF($O635="","",INDEX(jr_carrier,$O635)&amp;"")</f>
        <v/>
      </c>
      <c r="I635" s="66" t="str">
        <f>IF(A635="","",COUNTIF(jr_num,A635))</f>
        <v/>
      </c>
      <c r="J635" s="66" t="str">
        <f>IF(A635="","",SUMIF(jr_num,A635,jr_colis))</f>
        <v/>
      </c>
      <c r="K635" s="63" t="str">
        <f>IF(A635="","",SUMIF(jr_num,A635,jr_kg))</f>
        <v/>
      </c>
      <c r="L635" s="64" t="str">
        <f>IF(A635="","",SUMIF(jr_num,A635,jr_val))</f>
        <v/>
      </c>
      <c r="M635" s="60" t="str">
        <f>IF(A635="","",IF(COUNTIFS(jr_num,A635,jr_check,"&lt;&gt;OK")&gt;0,"À vérifier",IF(LEFT(A635,2)="BL",IF(COUNTIFS(jr_num,A635,jr_rel,"&gt;0")&gt;0,"Reliquat en cours",IF(COUNTIFS(jr_num,A635,jr_gap,"&lt;0")&gt;0,"Reliquat livré","Complet")),IF(LEFT(A635,2)="BR",IF(COUNTIFS(jr_num,A635,jr_etat,"Refusé")&gt;0,"Refusé",IF(COUNTIFS(jr_num,A635,jr_etat,"Avec réserves")&gt;0,"Avec réserves",IF(COUNTIFS(jr_num,A635,jr_rel,"&gt;0")&gt;0,"Reliquat en cours",IF(COUNTIFS(jr_num,A635,jr_gap,"&lt;0")+COUNTIFS(jr_num,A635,jr_gap,"&gt;0")&gt;0,"Écart","Conforme")))),IF(COUNTIFS(jr_num,A635,jr_gap,"&lt;0")&gt;0,"Partiel","Sorti")))))</f>
        <v/>
      </c>
      <c r="O635" t="str">
        <f>IFERROR(MATCH(630,jr_grank,0),"")</f>
        <v/>
      </c>
      <c r="R635" s="67" t="str">
        <f>IFERROR(INDEX(jr_num,MATCH("BL630",jr_nkey,0))&amp;"","")</f>
        <v/>
      </c>
      <c r="S635" s="67" t="str">
        <f>IFERROR(INDEX(jr_num,MATCH("BR630",jr_nkey,0))&amp;"","")</f>
        <v/>
      </c>
      <c r="T635" s="67" t="str">
        <f>IFERROR(INDEX(jr_num,MATCH("BS630",jr_nkey,0))&amp;"","")</f>
        <v/>
      </c>
    </row>
    <row r="636">
      <c r="A636" s="60" t="str">
        <f>IF($O636="","",INDEX(jr_num,$O636)&amp;"")</f>
        <v/>
      </c>
      <c r="B636" s="60" t="str">
        <f>IF($O636="","",IF(INDEX(jr_type,$O636)="BL","Livraison",IF(INDEX(jr_type,$O636)="BR","Réception","Sortie")))</f>
        <v/>
      </c>
      <c r="C636" s="65" t="str">
        <f>IF($O636="","",INDEX(jr_date,$O636))</f>
        <v/>
      </c>
      <c r="D636" s="60" t="str">
        <f>IF($O636="","",INDEX(jr_tiers,$O636)&amp;"")</f>
        <v/>
      </c>
      <c r="E636" s="57" t="str">
        <f>IF($O636="","",INDEX(jr_name,$O636)&amp;"")</f>
        <v/>
      </c>
      <c r="F636" s="57" t="str">
        <f>IF($O636="","",INDEX(jr_order,$O636)&amp;"")</f>
        <v/>
      </c>
      <c r="G636" s="57" t="str">
        <f>IF($O636="","",INDEX(jr_ext,$O636)&amp;"")</f>
        <v/>
      </c>
      <c r="H636" s="57" t="str">
        <f>IF($O636="","",INDEX(jr_carrier,$O636)&amp;"")</f>
        <v/>
      </c>
      <c r="I636" s="66" t="str">
        <f>IF(A636="","",COUNTIF(jr_num,A636))</f>
        <v/>
      </c>
      <c r="J636" s="66" t="str">
        <f>IF(A636="","",SUMIF(jr_num,A636,jr_colis))</f>
        <v/>
      </c>
      <c r="K636" s="63" t="str">
        <f>IF(A636="","",SUMIF(jr_num,A636,jr_kg))</f>
        <v/>
      </c>
      <c r="L636" s="64" t="str">
        <f>IF(A636="","",SUMIF(jr_num,A636,jr_val))</f>
        <v/>
      </c>
      <c r="M636" s="60" t="str">
        <f>IF(A636="","",IF(COUNTIFS(jr_num,A636,jr_check,"&lt;&gt;OK")&gt;0,"À vérifier",IF(LEFT(A636,2)="BL",IF(COUNTIFS(jr_num,A636,jr_rel,"&gt;0")&gt;0,"Reliquat en cours",IF(COUNTIFS(jr_num,A636,jr_gap,"&lt;0")&gt;0,"Reliquat livré","Complet")),IF(LEFT(A636,2)="BR",IF(COUNTIFS(jr_num,A636,jr_etat,"Refusé")&gt;0,"Refusé",IF(COUNTIFS(jr_num,A636,jr_etat,"Avec réserves")&gt;0,"Avec réserves",IF(COUNTIFS(jr_num,A636,jr_rel,"&gt;0")&gt;0,"Reliquat en cours",IF(COUNTIFS(jr_num,A636,jr_gap,"&lt;0")+COUNTIFS(jr_num,A636,jr_gap,"&gt;0")&gt;0,"Écart","Conforme")))),IF(COUNTIFS(jr_num,A636,jr_gap,"&lt;0")&gt;0,"Partiel","Sorti")))))</f>
        <v/>
      </c>
      <c r="O636" t="str">
        <f>IFERROR(MATCH(631,jr_grank,0),"")</f>
        <v/>
      </c>
      <c r="R636" s="67" t="str">
        <f>IFERROR(INDEX(jr_num,MATCH("BL631",jr_nkey,0))&amp;"","")</f>
        <v/>
      </c>
      <c r="S636" s="67" t="str">
        <f>IFERROR(INDEX(jr_num,MATCH("BR631",jr_nkey,0))&amp;"","")</f>
        <v/>
      </c>
      <c r="T636" s="67" t="str">
        <f>IFERROR(INDEX(jr_num,MATCH("BS631",jr_nkey,0))&amp;"","")</f>
        <v/>
      </c>
    </row>
    <row r="637">
      <c r="A637" s="60" t="str">
        <f>IF($O637="","",INDEX(jr_num,$O637)&amp;"")</f>
        <v/>
      </c>
      <c r="B637" s="60" t="str">
        <f>IF($O637="","",IF(INDEX(jr_type,$O637)="BL","Livraison",IF(INDEX(jr_type,$O637)="BR","Réception","Sortie")))</f>
        <v/>
      </c>
      <c r="C637" s="65" t="str">
        <f>IF($O637="","",INDEX(jr_date,$O637))</f>
        <v/>
      </c>
      <c r="D637" s="60" t="str">
        <f>IF($O637="","",INDEX(jr_tiers,$O637)&amp;"")</f>
        <v/>
      </c>
      <c r="E637" s="57" t="str">
        <f>IF($O637="","",INDEX(jr_name,$O637)&amp;"")</f>
        <v/>
      </c>
      <c r="F637" s="57" t="str">
        <f>IF($O637="","",INDEX(jr_order,$O637)&amp;"")</f>
        <v/>
      </c>
      <c r="G637" s="57" t="str">
        <f>IF($O637="","",INDEX(jr_ext,$O637)&amp;"")</f>
        <v/>
      </c>
      <c r="H637" s="57" t="str">
        <f>IF($O637="","",INDEX(jr_carrier,$O637)&amp;"")</f>
        <v/>
      </c>
      <c r="I637" s="66" t="str">
        <f>IF(A637="","",COUNTIF(jr_num,A637))</f>
        <v/>
      </c>
      <c r="J637" s="66" t="str">
        <f>IF(A637="","",SUMIF(jr_num,A637,jr_colis))</f>
        <v/>
      </c>
      <c r="K637" s="63" t="str">
        <f>IF(A637="","",SUMIF(jr_num,A637,jr_kg))</f>
        <v/>
      </c>
      <c r="L637" s="64" t="str">
        <f>IF(A637="","",SUMIF(jr_num,A637,jr_val))</f>
        <v/>
      </c>
      <c r="M637" s="60" t="str">
        <f>IF(A637="","",IF(COUNTIFS(jr_num,A637,jr_check,"&lt;&gt;OK")&gt;0,"À vérifier",IF(LEFT(A637,2)="BL",IF(COUNTIFS(jr_num,A637,jr_rel,"&gt;0")&gt;0,"Reliquat en cours",IF(COUNTIFS(jr_num,A637,jr_gap,"&lt;0")&gt;0,"Reliquat livré","Complet")),IF(LEFT(A637,2)="BR",IF(COUNTIFS(jr_num,A637,jr_etat,"Refusé")&gt;0,"Refusé",IF(COUNTIFS(jr_num,A637,jr_etat,"Avec réserves")&gt;0,"Avec réserves",IF(COUNTIFS(jr_num,A637,jr_rel,"&gt;0")&gt;0,"Reliquat en cours",IF(COUNTIFS(jr_num,A637,jr_gap,"&lt;0")+COUNTIFS(jr_num,A637,jr_gap,"&gt;0")&gt;0,"Écart","Conforme")))),IF(COUNTIFS(jr_num,A637,jr_gap,"&lt;0")&gt;0,"Partiel","Sorti")))))</f>
        <v/>
      </c>
      <c r="O637" t="str">
        <f>IFERROR(MATCH(632,jr_grank,0),"")</f>
        <v/>
      </c>
      <c r="R637" s="67" t="str">
        <f>IFERROR(INDEX(jr_num,MATCH("BL632",jr_nkey,0))&amp;"","")</f>
        <v/>
      </c>
      <c r="S637" s="67" t="str">
        <f>IFERROR(INDEX(jr_num,MATCH("BR632",jr_nkey,0))&amp;"","")</f>
        <v/>
      </c>
      <c r="T637" s="67" t="str">
        <f>IFERROR(INDEX(jr_num,MATCH("BS632",jr_nkey,0))&amp;"","")</f>
        <v/>
      </c>
    </row>
    <row r="638">
      <c r="A638" s="60" t="str">
        <f>IF($O638="","",INDEX(jr_num,$O638)&amp;"")</f>
        <v/>
      </c>
      <c r="B638" s="60" t="str">
        <f>IF($O638="","",IF(INDEX(jr_type,$O638)="BL","Livraison",IF(INDEX(jr_type,$O638)="BR","Réception","Sortie")))</f>
        <v/>
      </c>
      <c r="C638" s="65" t="str">
        <f>IF($O638="","",INDEX(jr_date,$O638))</f>
        <v/>
      </c>
      <c r="D638" s="60" t="str">
        <f>IF($O638="","",INDEX(jr_tiers,$O638)&amp;"")</f>
        <v/>
      </c>
      <c r="E638" s="57" t="str">
        <f>IF($O638="","",INDEX(jr_name,$O638)&amp;"")</f>
        <v/>
      </c>
      <c r="F638" s="57" t="str">
        <f>IF($O638="","",INDEX(jr_order,$O638)&amp;"")</f>
        <v/>
      </c>
      <c r="G638" s="57" t="str">
        <f>IF($O638="","",INDEX(jr_ext,$O638)&amp;"")</f>
        <v/>
      </c>
      <c r="H638" s="57" t="str">
        <f>IF($O638="","",INDEX(jr_carrier,$O638)&amp;"")</f>
        <v/>
      </c>
      <c r="I638" s="66" t="str">
        <f>IF(A638="","",COUNTIF(jr_num,A638))</f>
        <v/>
      </c>
      <c r="J638" s="66" t="str">
        <f>IF(A638="","",SUMIF(jr_num,A638,jr_colis))</f>
        <v/>
      </c>
      <c r="K638" s="63" t="str">
        <f>IF(A638="","",SUMIF(jr_num,A638,jr_kg))</f>
        <v/>
      </c>
      <c r="L638" s="64" t="str">
        <f>IF(A638="","",SUMIF(jr_num,A638,jr_val))</f>
        <v/>
      </c>
      <c r="M638" s="60" t="str">
        <f>IF(A638="","",IF(COUNTIFS(jr_num,A638,jr_check,"&lt;&gt;OK")&gt;0,"À vérifier",IF(LEFT(A638,2)="BL",IF(COUNTIFS(jr_num,A638,jr_rel,"&gt;0")&gt;0,"Reliquat en cours",IF(COUNTIFS(jr_num,A638,jr_gap,"&lt;0")&gt;0,"Reliquat livré","Complet")),IF(LEFT(A638,2)="BR",IF(COUNTIFS(jr_num,A638,jr_etat,"Refusé")&gt;0,"Refusé",IF(COUNTIFS(jr_num,A638,jr_etat,"Avec réserves")&gt;0,"Avec réserves",IF(COUNTIFS(jr_num,A638,jr_rel,"&gt;0")&gt;0,"Reliquat en cours",IF(COUNTIFS(jr_num,A638,jr_gap,"&lt;0")+COUNTIFS(jr_num,A638,jr_gap,"&gt;0")&gt;0,"Écart","Conforme")))),IF(COUNTIFS(jr_num,A638,jr_gap,"&lt;0")&gt;0,"Partiel","Sorti")))))</f>
        <v/>
      </c>
      <c r="O638" t="str">
        <f>IFERROR(MATCH(633,jr_grank,0),"")</f>
        <v/>
      </c>
      <c r="R638" s="67" t="str">
        <f>IFERROR(INDEX(jr_num,MATCH("BL633",jr_nkey,0))&amp;"","")</f>
        <v/>
      </c>
      <c r="S638" s="67" t="str">
        <f>IFERROR(INDEX(jr_num,MATCH("BR633",jr_nkey,0))&amp;"","")</f>
        <v/>
      </c>
      <c r="T638" s="67" t="str">
        <f>IFERROR(INDEX(jr_num,MATCH("BS633",jr_nkey,0))&amp;"","")</f>
        <v/>
      </c>
    </row>
    <row r="639">
      <c r="A639" s="60" t="str">
        <f>IF($O639="","",INDEX(jr_num,$O639)&amp;"")</f>
        <v/>
      </c>
      <c r="B639" s="60" t="str">
        <f>IF($O639="","",IF(INDEX(jr_type,$O639)="BL","Livraison",IF(INDEX(jr_type,$O639)="BR","Réception","Sortie")))</f>
        <v/>
      </c>
      <c r="C639" s="65" t="str">
        <f>IF($O639="","",INDEX(jr_date,$O639))</f>
        <v/>
      </c>
      <c r="D639" s="60" t="str">
        <f>IF($O639="","",INDEX(jr_tiers,$O639)&amp;"")</f>
        <v/>
      </c>
      <c r="E639" s="57" t="str">
        <f>IF($O639="","",INDEX(jr_name,$O639)&amp;"")</f>
        <v/>
      </c>
      <c r="F639" s="57" t="str">
        <f>IF($O639="","",INDEX(jr_order,$O639)&amp;"")</f>
        <v/>
      </c>
      <c r="G639" s="57" t="str">
        <f>IF($O639="","",INDEX(jr_ext,$O639)&amp;"")</f>
        <v/>
      </c>
      <c r="H639" s="57" t="str">
        <f>IF($O639="","",INDEX(jr_carrier,$O639)&amp;"")</f>
        <v/>
      </c>
      <c r="I639" s="66" t="str">
        <f>IF(A639="","",COUNTIF(jr_num,A639))</f>
        <v/>
      </c>
      <c r="J639" s="66" t="str">
        <f>IF(A639="","",SUMIF(jr_num,A639,jr_colis))</f>
        <v/>
      </c>
      <c r="K639" s="63" t="str">
        <f>IF(A639="","",SUMIF(jr_num,A639,jr_kg))</f>
        <v/>
      </c>
      <c r="L639" s="64" t="str">
        <f>IF(A639="","",SUMIF(jr_num,A639,jr_val))</f>
        <v/>
      </c>
      <c r="M639" s="60" t="str">
        <f>IF(A639="","",IF(COUNTIFS(jr_num,A639,jr_check,"&lt;&gt;OK")&gt;0,"À vérifier",IF(LEFT(A639,2)="BL",IF(COUNTIFS(jr_num,A639,jr_rel,"&gt;0")&gt;0,"Reliquat en cours",IF(COUNTIFS(jr_num,A639,jr_gap,"&lt;0")&gt;0,"Reliquat livré","Complet")),IF(LEFT(A639,2)="BR",IF(COUNTIFS(jr_num,A639,jr_etat,"Refusé")&gt;0,"Refusé",IF(COUNTIFS(jr_num,A639,jr_etat,"Avec réserves")&gt;0,"Avec réserves",IF(COUNTIFS(jr_num,A639,jr_rel,"&gt;0")&gt;0,"Reliquat en cours",IF(COUNTIFS(jr_num,A639,jr_gap,"&lt;0")+COUNTIFS(jr_num,A639,jr_gap,"&gt;0")&gt;0,"Écart","Conforme")))),IF(COUNTIFS(jr_num,A639,jr_gap,"&lt;0")&gt;0,"Partiel","Sorti")))))</f>
        <v/>
      </c>
      <c r="O639" t="str">
        <f>IFERROR(MATCH(634,jr_grank,0),"")</f>
        <v/>
      </c>
      <c r="R639" s="67" t="str">
        <f>IFERROR(INDEX(jr_num,MATCH("BL634",jr_nkey,0))&amp;"","")</f>
        <v/>
      </c>
      <c r="S639" s="67" t="str">
        <f>IFERROR(INDEX(jr_num,MATCH("BR634",jr_nkey,0))&amp;"","")</f>
        <v/>
      </c>
      <c r="T639" s="67" t="str">
        <f>IFERROR(INDEX(jr_num,MATCH("BS634",jr_nkey,0))&amp;"","")</f>
        <v/>
      </c>
    </row>
    <row r="640">
      <c r="A640" s="60" t="str">
        <f>IF($O640="","",INDEX(jr_num,$O640)&amp;"")</f>
        <v/>
      </c>
      <c r="B640" s="60" t="str">
        <f>IF($O640="","",IF(INDEX(jr_type,$O640)="BL","Livraison",IF(INDEX(jr_type,$O640)="BR","Réception","Sortie")))</f>
        <v/>
      </c>
      <c r="C640" s="65" t="str">
        <f>IF($O640="","",INDEX(jr_date,$O640))</f>
        <v/>
      </c>
      <c r="D640" s="60" t="str">
        <f>IF($O640="","",INDEX(jr_tiers,$O640)&amp;"")</f>
        <v/>
      </c>
      <c r="E640" s="57" t="str">
        <f>IF($O640="","",INDEX(jr_name,$O640)&amp;"")</f>
        <v/>
      </c>
      <c r="F640" s="57" t="str">
        <f>IF($O640="","",INDEX(jr_order,$O640)&amp;"")</f>
        <v/>
      </c>
      <c r="G640" s="57" t="str">
        <f>IF($O640="","",INDEX(jr_ext,$O640)&amp;"")</f>
        <v/>
      </c>
      <c r="H640" s="57" t="str">
        <f>IF($O640="","",INDEX(jr_carrier,$O640)&amp;"")</f>
        <v/>
      </c>
      <c r="I640" s="66" t="str">
        <f>IF(A640="","",COUNTIF(jr_num,A640))</f>
        <v/>
      </c>
      <c r="J640" s="66" t="str">
        <f>IF(A640="","",SUMIF(jr_num,A640,jr_colis))</f>
        <v/>
      </c>
      <c r="K640" s="63" t="str">
        <f>IF(A640="","",SUMIF(jr_num,A640,jr_kg))</f>
        <v/>
      </c>
      <c r="L640" s="64" t="str">
        <f>IF(A640="","",SUMIF(jr_num,A640,jr_val))</f>
        <v/>
      </c>
      <c r="M640" s="60" t="str">
        <f>IF(A640="","",IF(COUNTIFS(jr_num,A640,jr_check,"&lt;&gt;OK")&gt;0,"À vérifier",IF(LEFT(A640,2)="BL",IF(COUNTIFS(jr_num,A640,jr_rel,"&gt;0")&gt;0,"Reliquat en cours",IF(COUNTIFS(jr_num,A640,jr_gap,"&lt;0")&gt;0,"Reliquat livré","Complet")),IF(LEFT(A640,2)="BR",IF(COUNTIFS(jr_num,A640,jr_etat,"Refusé")&gt;0,"Refusé",IF(COUNTIFS(jr_num,A640,jr_etat,"Avec réserves")&gt;0,"Avec réserves",IF(COUNTIFS(jr_num,A640,jr_rel,"&gt;0")&gt;0,"Reliquat en cours",IF(COUNTIFS(jr_num,A640,jr_gap,"&lt;0")+COUNTIFS(jr_num,A640,jr_gap,"&gt;0")&gt;0,"Écart","Conforme")))),IF(COUNTIFS(jr_num,A640,jr_gap,"&lt;0")&gt;0,"Partiel","Sorti")))))</f>
        <v/>
      </c>
      <c r="O640" t="str">
        <f>IFERROR(MATCH(635,jr_grank,0),"")</f>
        <v/>
      </c>
      <c r="R640" s="67" t="str">
        <f>IFERROR(INDEX(jr_num,MATCH("BL635",jr_nkey,0))&amp;"","")</f>
        <v/>
      </c>
      <c r="S640" s="67" t="str">
        <f>IFERROR(INDEX(jr_num,MATCH("BR635",jr_nkey,0))&amp;"","")</f>
        <v/>
      </c>
      <c r="T640" s="67" t="str">
        <f>IFERROR(INDEX(jr_num,MATCH("BS635",jr_nkey,0))&amp;"","")</f>
        <v/>
      </c>
    </row>
    <row r="641">
      <c r="A641" s="60" t="str">
        <f>IF($O641="","",INDEX(jr_num,$O641)&amp;"")</f>
        <v/>
      </c>
      <c r="B641" s="60" t="str">
        <f>IF($O641="","",IF(INDEX(jr_type,$O641)="BL","Livraison",IF(INDEX(jr_type,$O641)="BR","Réception","Sortie")))</f>
        <v/>
      </c>
      <c r="C641" s="65" t="str">
        <f>IF($O641="","",INDEX(jr_date,$O641))</f>
        <v/>
      </c>
      <c r="D641" s="60" t="str">
        <f>IF($O641="","",INDEX(jr_tiers,$O641)&amp;"")</f>
        <v/>
      </c>
      <c r="E641" s="57" t="str">
        <f>IF($O641="","",INDEX(jr_name,$O641)&amp;"")</f>
        <v/>
      </c>
      <c r="F641" s="57" t="str">
        <f>IF($O641="","",INDEX(jr_order,$O641)&amp;"")</f>
        <v/>
      </c>
      <c r="G641" s="57" t="str">
        <f>IF($O641="","",INDEX(jr_ext,$O641)&amp;"")</f>
        <v/>
      </c>
      <c r="H641" s="57" t="str">
        <f>IF($O641="","",INDEX(jr_carrier,$O641)&amp;"")</f>
        <v/>
      </c>
      <c r="I641" s="66" t="str">
        <f>IF(A641="","",COUNTIF(jr_num,A641))</f>
        <v/>
      </c>
      <c r="J641" s="66" t="str">
        <f>IF(A641="","",SUMIF(jr_num,A641,jr_colis))</f>
        <v/>
      </c>
      <c r="K641" s="63" t="str">
        <f>IF(A641="","",SUMIF(jr_num,A641,jr_kg))</f>
        <v/>
      </c>
      <c r="L641" s="64" t="str">
        <f>IF(A641="","",SUMIF(jr_num,A641,jr_val))</f>
        <v/>
      </c>
      <c r="M641" s="60" t="str">
        <f>IF(A641="","",IF(COUNTIFS(jr_num,A641,jr_check,"&lt;&gt;OK")&gt;0,"À vérifier",IF(LEFT(A641,2)="BL",IF(COUNTIFS(jr_num,A641,jr_rel,"&gt;0")&gt;0,"Reliquat en cours",IF(COUNTIFS(jr_num,A641,jr_gap,"&lt;0")&gt;0,"Reliquat livré","Complet")),IF(LEFT(A641,2)="BR",IF(COUNTIFS(jr_num,A641,jr_etat,"Refusé")&gt;0,"Refusé",IF(COUNTIFS(jr_num,A641,jr_etat,"Avec réserves")&gt;0,"Avec réserves",IF(COUNTIFS(jr_num,A641,jr_rel,"&gt;0")&gt;0,"Reliquat en cours",IF(COUNTIFS(jr_num,A641,jr_gap,"&lt;0")+COUNTIFS(jr_num,A641,jr_gap,"&gt;0")&gt;0,"Écart","Conforme")))),IF(COUNTIFS(jr_num,A641,jr_gap,"&lt;0")&gt;0,"Partiel","Sorti")))))</f>
        <v/>
      </c>
      <c r="O641" t="str">
        <f>IFERROR(MATCH(636,jr_grank,0),"")</f>
        <v/>
      </c>
      <c r="R641" s="67" t="str">
        <f>IFERROR(INDEX(jr_num,MATCH("BL636",jr_nkey,0))&amp;"","")</f>
        <v/>
      </c>
      <c r="S641" s="67" t="str">
        <f>IFERROR(INDEX(jr_num,MATCH("BR636",jr_nkey,0))&amp;"","")</f>
        <v/>
      </c>
      <c r="T641" s="67" t="str">
        <f>IFERROR(INDEX(jr_num,MATCH("BS636",jr_nkey,0))&amp;"","")</f>
        <v/>
      </c>
    </row>
    <row r="642">
      <c r="A642" s="60" t="str">
        <f>IF($O642="","",INDEX(jr_num,$O642)&amp;"")</f>
        <v/>
      </c>
      <c r="B642" s="60" t="str">
        <f>IF($O642="","",IF(INDEX(jr_type,$O642)="BL","Livraison",IF(INDEX(jr_type,$O642)="BR","Réception","Sortie")))</f>
        <v/>
      </c>
      <c r="C642" s="65" t="str">
        <f>IF($O642="","",INDEX(jr_date,$O642))</f>
        <v/>
      </c>
      <c r="D642" s="60" t="str">
        <f>IF($O642="","",INDEX(jr_tiers,$O642)&amp;"")</f>
        <v/>
      </c>
      <c r="E642" s="57" t="str">
        <f>IF($O642="","",INDEX(jr_name,$O642)&amp;"")</f>
        <v/>
      </c>
      <c r="F642" s="57" t="str">
        <f>IF($O642="","",INDEX(jr_order,$O642)&amp;"")</f>
        <v/>
      </c>
      <c r="G642" s="57" t="str">
        <f>IF($O642="","",INDEX(jr_ext,$O642)&amp;"")</f>
        <v/>
      </c>
      <c r="H642" s="57" t="str">
        <f>IF($O642="","",INDEX(jr_carrier,$O642)&amp;"")</f>
        <v/>
      </c>
      <c r="I642" s="66" t="str">
        <f>IF(A642="","",COUNTIF(jr_num,A642))</f>
        <v/>
      </c>
      <c r="J642" s="66" t="str">
        <f>IF(A642="","",SUMIF(jr_num,A642,jr_colis))</f>
        <v/>
      </c>
      <c r="K642" s="63" t="str">
        <f>IF(A642="","",SUMIF(jr_num,A642,jr_kg))</f>
        <v/>
      </c>
      <c r="L642" s="64" t="str">
        <f>IF(A642="","",SUMIF(jr_num,A642,jr_val))</f>
        <v/>
      </c>
      <c r="M642" s="60" t="str">
        <f>IF(A642="","",IF(COUNTIFS(jr_num,A642,jr_check,"&lt;&gt;OK")&gt;0,"À vérifier",IF(LEFT(A642,2)="BL",IF(COUNTIFS(jr_num,A642,jr_rel,"&gt;0")&gt;0,"Reliquat en cours",IF(COUNTIFS(jr_num,A642,jr_gap,"&lt;0")&gt;0,"Reliquat livré","Complet")),IF(LEFT(A642,2)="BR",IF(COUNTIFS(jr_num,A642,jr_etat,"Refusé")&gt;0,"Refusé",IF(COUNTIFS(jr_num,A642,jr_etat,"Avec réserves")&gt;0,"Avec réserves",IF(COUNTIFS(jr_num,A642,jr_rel,"&gt;0")&gt;0,"Reliquat en cours",IF(COUNTIFS(jr_num,A642,jr_gap,"&lt;0")+COUNTIFS(jr_num,A642,jr_gap,"&gt;0")&gt;0,"Écart","Conforme")))),IF(COUNTIFS(jr_num,A642,jr_gap,"&lt;0")&gt;0,"Partiel","Sorti")))))</f>
        <v/>
      </c>
      <c r="O642" t="str">
        <f>IFERROR(MATCH(637,jr_grank,0),"")</f>
        <v/>
      </c>
      <c r="R642" s="67" t="str">
        <f>IFERROR(INDEX(jr_num,MATCH("BL637",jr_nkey,0))&amp;"","")</f>
        <v/>
      </c>
      <c r="S642" s="67" t="str">
        <f>IFERROR(INDEX(jr_num,MATCH("BR637",jr_nkey,0))&amp;"","")</f>
        <v/>
      </c>
      <c r="T642" s="67" t="str">
        <f>IFERROR(INDEX(jr_num,MATCH("BS637",jr_nkey,0))&amp;"","")</f>
        <v/>
      </c>
    </row>
    <row r="643">
      <c r="A643" s="60" t="str">
        <f>IF($O643="","",INDEX(jr_num,$O643)&amp;"")</f>
        <v/>
      </c>
      <c r="B643" s="60" t="str">
        <f>IF($O643="","",IF(INDEX(jr_type,$O643)="BL","Livraison",IF(INDEX(jr_type,$O643)="BR","Réception","Sortie")))</f>
        <v/>
      </c>
      <c r="C643" s="65" t="str">
        <f>IF($O643="","",INDEX(jr_date,$O643))</f>
        <v/>
      </c>
      <c r="D643" s="60" t="str">
        <f>IF($O643="","",INDEX(jr_tiers,$O643)&amp;"")</f>
        <v/>
      </c>
      <c r="E643" s="57" t="str">
        <f>IF($O643="","",INDEX(jr_name,$O643)&amp;"")</f>
        <v/>
      </c>
      <c r="F643" s="57" t="str">
        <f>IF($O643="","",INDEX(jr_order,$O643)&amp;"")</f>
        <v/>
      </c>
      <c r="G643" s="57" t="str">
        <f>IF($O643="","",INDEX(jr_ext,$O643)&amp;"")</f>
        <v/>
      </c>
      <c r="H643" s="57" t="str">
        <f>IF($O643="","",INDEX(jr_carrier,$O643)&amp;"")</f>
        <v/>
      </c>
      <c r="I643" s="66" t="str">
        <f>IF(A643="","",COUNTIF(jr_num,A643))</f>
        <v/>
      </c>
      <c r="J643" s="66" t="str">
        <f>IF(A643="","",SUMIF(jr_num,A643,jr_colis))</f>
        <v/>
      </c>
      <c r="K643" s="63" t="str">
        <f>IF(A643="","",SUMIF(jr_num,A643,jr_kg))</f>
        <v/>
      </c>
      <c r="L643" s="64" t="str">
        <f>IF(A643="","",SUMIF(jr_num,A643,jr_val))</f>
        <v/>
      </c>
      <c r="M643" s="60" t="str">
        <f>IF(A643="","",IF(COUNTIFS(jr_num,A643,jr_check,"&lt;&gt;OK")&gt;0,"À vérifier",IF(LEFT(A643,2)="BL",IF(COUNTIFS(jr_num,A643,jr_rel,"&gt;0")&gt;0,"Reliquat en cours",IF(COUNTIFS(jr_num,A643,jr_gap,"&lt;0")&gt;0,"Reliquat livré","Complet")),IF(LEFT(A643,2)="BR",IF(COUNTIFS(jr_num,A643,jr_etat,"Refusé")&gt;0,"Refusé",IF(COUNTIFS(jr_num,A643,jr_etat,"Avec réserves")&gt;0,"Avec réserves",IF(COUNTIFS(jr_num,A643,jr_rel,"&gt;0")&gt;0,"Reliquat en cours",IF(COUNTIFS(jr_num,A643,jr_gap,"&lt;0")+COUNTIFS(jr_num,A643,jr_gap,"&gt;0")&gt;0,"Écart","Conforme")))),IF(COUNTIFS(jr_num,A643,jr_gap,"&lt;0")&gt;0,"Partiel","Sorti")))))</f>
        <v/>
      </c>
      <c r="O643" t="str">
        <f>IFERROR(MATCH(638,jr_grank,0),"")</f>
        <v/>
      </c>
      <c r="R643" s="67" t="str">
        <f>IFERROR(INDEX(jr_num,MATCH("BL638",jr_nkey,0))&amp;"","")</f>
        <v/>
      </c>
      <c r="S643" s="67" t="str">
        <f>IFERROR(INDEX(jr_num,MATCH("BR638",jr_nkey,0))&amp;"","")</f>
        <v/>
      </c>
      <c r="T643" s="67" t="str">
        <f>IFERROR(INDEX(jr_num,MATCH("BS638",jr_nkey,0))&amp;"","")</f>
        <v/>
      </c>
    </row>
    <row r="644">
      <c r="A644" s="60" t="str">
        <f>IF($O644="","",INDEX(jr_num,$O644)&amp;"")</f>
        <v/>
      </c>
      <c r="B644" s="60" t="str">
        <f>IF($O644="","",IF(INDEX(jr_type,$O644)="BL","Livraison",IF(INDEX(jr_type,$O644)="BR","Réception","Sortie")))</f>
        <v/>
      </c>
      <c r="C644" s="65" t="str">
        <f>IF($O644="","",INDEX(jr_date,$O644))</f>
        <v/>
      </c>
      <c r="D644" s="60" t="str">
        <f>IF($O644="","",INDEX(jr_tiers,$O644)&amp;"")</f>
        <v/>
      </c>
      <c r="E644" s="57" t="str">
        <f>IF($O644="","",INDEX(jr_name,$O644)&amp;"")</f>
        <v/>
      </c>
      <c r="F644" s="57" t="str">
        <f>IF($O644="","",INDEX(jr_order,$O644)&amp;"")</f>
        <v/>
      </c>
      <c r="G644" s="57" t="str">
        <f>IF($O644="","",INDEX(jr_ext,$O644)&amp;"")</f>
        <v/>
      </c>
      <c r="H644" s="57" t="str">
        <f>IF($O644="","",INDEX(jr_carrier,$O644)&amp;"")</f>
        <v/>
      </c>
      <c r="I644" s="66" t="str">
        <f>IF(A644="","",COUNTIF(jr_num,A644))</f>
        <v/>
      </c>
      <c r="J644" s="66" t="str">
        <f>IF(A644="","",SUMIF(jr_num,A644,jr_colis))</f>
        <v/>
      </c>
      <c r="K644" s="63" t="str">
        <f>IF(A644="","",SUMIF(jr_num,A644,jr_kg))</f>
        <v/>
      </c>
      <c r="L644" s="64" t="str">
        <f>IF(A644="","",SUMIF(jr_num,A644,jr_val))</f>
        <v/>
      </c>
      <c r="M644" s="60" t="str">
        <f>IF(A644="","",IF(COUNTIFS(jr_num,A644,jr_check,"&lt;&gt;OK")&gt;0,"À vérifier",IF(LEFT(A644,2)="BL",IF(COUNTIFS(jr_num,A644,jr_rel,"&gt;0")&gt;0,"Reliquat en cours",IF(COUNTIFS(jr_num,A644,jr_gap,"&lt;0")&gt;0,"Reliquat livré","Complet")),IF(LEFT(A644,2)="BR",IF(COUNTIFS(jr_num,A644,jr_etat,"Refusé")&gt;0,"Refusé",IF(COUNTIFS(jr_num,A644,jr_etat,"Avec réserves")&gt;0,"Avec réserves",IF(COUNTIFS(jr_num,A644,jr_rel,"&gt;0")&gt;0,"Reliquat en cours",IF(COUNTIFS(jr_num,A644,jr_gap,"&lt;0")+COUNTIFS(jr_num,A644,jr_gap,"&gt;0")&gt;0,"Écart","Conforme")))),IF(COUNTIFS(jr_num,A644,jr_gap,"&lt;0")&gt;0,"Partiel","Sorti")))))</f>
        <v/>
      </c>
      <c r="O644" t="str">
        <f>IFERROR(MATCH(639,jr_grank,0),"")</f>
        <v/>
      </c>
      <c r="R644" s="67" t="str">
        <f>IFERROR(INDEX(jr_num,MATCH("BL639",jr_nkey,0))&amp;"","")</f>
        <v/>
      </c>
      <c r="S644" s="67" t="str">
        <f>IFERROR(INDEX(jr_num,MATCH("BR639",jr_nkey,0))&amp;"","")</f>
        <v/>
      </c>
      <c r="T644" s="67" t="str">
        <f>IFERROR(INDEX(jr_num,MATCH("BS639",jr_nkey,0))&amp;"","")</f>
        <v/>
      </c>
    </row>
    <row r="645">
      <c r="A645" s="60" t="str">
        <f>IF($O645="","",INDEX(jr_num,$O645)&amp;"")</f>
        <v/>
      </c>
      <c r="B645" s="60" t="str">
        <f>IF($O645="","",IF(INDEX(jr_type,$O645)="BL","Livraison",IF(INDEX(jr_type,$O645)="BR","Réception","Sortie")))</f>
        <v/>
      </c>
      <c r="C645" s="65" t="str">
        <f>IF($O645="","",INDEX(jr_date,$O645))</f>
        <v/>
      </c>
      <c r="D645" s="60" t="str">
        <f>IF($O645="","",INDEX(jr_tiers,$O645)&amp;"")</f>
        <v/>
      </c>
      <c r="E645" s="57" t="str">
        <f>IF($O645="","",INDEX(jr_name,$O645)&amp;"")</f>
        <v/>
      </c>
      <c r="F645" s="57" t="str">
        <f>IF($O645="","",INDEX(jr_order,$O645)&amp;"")</f>
        <v/>
      </c>
      <c r="G645" s="57" t="str">
        <f>IF($O645="","",INDEX(jr_ext,$O645)&amp;"")</f>
        <v/>
      </c>
      <c r="H645" s="57" t="str">
        <f>IF($O645="","",INDEX(jr_carrier,$O645)&amp;"")</f>
        <v/>
      </c>
      <c r="I645" s="66" t="str">
        <f>IF(A645="","",COUNTIF(jr_num,A645))</f>
        <v/>
      </c>
      <c r="J645" s="66" t="str">
        <f>IF(A645="","",SUMIF(jr_num,A645,jr_colis))</f>
        <v/>
      </c>
      <c r="K645" s="63" t="str">
        <f>IF(A645="","",SUMIF(jr_num,A645,jr_kg))</f>
        <v/>
      </c>
      <c r="L645" s="64" t="str">
        <f>IF(A645="","",SUMIF(jr_num,A645,jr_val))</f>
        <v/>
      </c>
      <c r="M645" s="60" t="str">
        <f>IF(A645="","",IF(COUNTIFS(jr_num,A645,jr_check,"&lt;&gt;OK")&gt;0,"À vérifier",IF(LEFT(A645,2)="BL",IF(COUNTIFS(jr_num,A645,jr_rel,"&gt;0")&gt;0,"Reliquat en cours",IF(COUNTIFS(jr_num,A645,jr_gap,"&lt;0")&gt;0,"Reliquat livré","Complet")),IF(LEFT(A645,2)="BR",IF(COUNTIFS(jr_num,A645,jr_etat,"Refusé")&gt;0,"Refusé",IF(COUNTIFS(jr_num,A645,jr_etat,"Avec réserves")&gt;0,"Avec réserves",IF(COUNTIFS(jr_num,A645,jr_rel,"&gt;0")&gt;0,"Reliquat en cours",IF(COUNTIFS(jr_num,A645,jr_gap,"&lt;0")+COUNTIFS(jr_num,A645,jr_gap,"&gt;0")&gt;0,"Écart","Conforme")))),IF(COUNTIFS(jr_num,A645,jr_gap,"&lt;0")&gt;0,"Partiel","Sorti")))))</f>
        <v/>
      </c>
      <c r="O645" t="str">
        <f>IFERROR(MATCH(640,jr_grank,0),"")</f>
        <v/>
      </c>
      <c r="R645" s="67" t="str">
        <f>IFERROR(INDEX(jr_num,MATCH("BL640",jr_nkey,0))&amp;"","")</f>
        <v/>
      </c>
      <c r="S645" s="67" t="str">
        <f>IFERROR(INDEX(jr_num,MATCH("BR640",jr_nkey,0))&amp;"","")</f>
        <v/>
      </c>
      <c r="T645" s="67" t="str">
        <f>IFERROR(INDEX(jr_num,MATCH("BS640",jr_nkey,0))&amp;"","")</f>
        <v/>
      </c>
    </row>
    <row r="646">
      <c r="A646" s="60" t="str">
        <f>IF($O646="","",INDEX(jr_num,$O646)&amp;"")</f>
        <v/>
      </c>
      <c r="B646" s="60" t="str">
        <f>IF($O646="","",IF(INDEX(jr_type,$O646)="BL","Livraison",IF(INDEX(jr_type,$O646)="BR","Réception","Sortie")))</f>
        <v/>
      </c>
      <c r="C646" s="65" t="str">
        <f>IF($O646="","",INDEX(jr_date,$O646))</f>
        <v/>
      </c>
      <c r="D646" s="60" t="str">
        <f>IF($O646="","",INDEX(jr_tiers,$O646)&amp;"")</f>
        <v/>
      </c>
      <c r="E646" s="57" t="str">
        <f>IF($O646="","",INDEX(jr_name,$O646)&amp;"")</f>
        <v/>
      </c>
      <c r="F646" s="57" t="str">
        <f>IF($O646="","",INDEX(jr_order,$O646)&amp;"")</f>
        <v/>
      </c>
      <c r="G646" s="57" t="str">
        <f>IF($O646="","",INDEX(jr_ext,$O646)&amp;"")</f>
        <v/>
      </c>
      <c r="H646" s="57" t="str">
        <f>IF($O646="","",INDEX(jr_carrier,$O646)&amp;"")</f>
        <v/>
      </c>
      <c r="I646" s="66" t="str">
        <f>IF(A646="","",COUNTIF(jr_num,A646))</f>
        <v/>
      </c>
      <c r="J646" s="66" t="str">
        <f>IF(A646="","",SUMIF(jr_num,A646,jr_colis))</f>
        <v/>
      </c>
      <c r="K646" s="63" t="str">
        <f>IF(A646="","",SUMIF(jr_num,A646,jr_kg))</f>
        <v/>
      </c>
      <c r="L646" s="64" t="str">
        <f>IF(A646="","",SUMIF(jr_num,A646,jr_val))</f>
        <v/>
      </c>
      <c r="M646" s="60" t="str">
        <f>IF(A646="","",IF(COUNTIFS(jr_num,A646,jr_check,"&lt;&gt;OK")&gt;0,"À vérifier",IF(LEFT(A646,2)="BL",IF(COUNTIFS(jr_num,A646,jr_rel,"&gt;0")&gt;0,"Reliquat en cours",IF(COUNTIFS(jr_num,A646,jr_gap,"&lt;0")&gt;0,"Reliquat livré","Complet")),IF(LEFT(A646,2)="BR",IF(COUNTIFS(jr_num,A646,jr_etat,"Refusé")&gt;0,"Refusé",IF(COUNTIFS(jr_num,A646,jr_etat,"Avec réserves")&gt;0,"Avec réserves",IF(COUNTIFS(jr_num,A646,jr_rel,"&gt;0")&gt;0,"Reliquat en cours",IF(COUNTIFS(jr_num,A646,jr_gap,"&lt;0")+COUNTIFS(jr_num,A646,jr_gap,"&gt;0")&gt;0,"Écart","Conforme")))),IF(COUNTIFS(jr_num,A646,jr_gap,"&lt;0")&gt;0,"Partiel","Sorti")))))</f>
        <v/>
      </c>
      <c r="O646" t="str">
        <f>IFERROR(MATCH(641,jr_grank,0),"")</f>
        <v/>
      </c>
      <c r="R646" s="67" t="str">
        <f>IFERROR(INDEX(jr_num,MATCH("BL641",jr_nkey,0))&amp;"","")</f>
        <v/>
      </c>
      <c r="S646" s="67" t="str">
        <f>IFERROR(INDEX(jr_num,MATCH("BR641",jr_nkey,0))&amp;"","")</f>
        <v/>
      </c>
      <c r="T646" s="67" t="str">
        <f>IFERROR(INDEX(jr_num,MATCH("BS641",jr_nkey,0))&amp;"","")</f>
        <v/>
      </c>
    </row>
    <row r="647">
      <c r="A647" s="60" t="str">
        <f>IF($O647="","",INDEX(jr_num,$O647)&amp;"")</f>
        <v/>
      </c>
      <c r="B647" s="60" t="str">
        <f>IF($O647="","",IF(INDEX(jr_type,$O647)="BL","Livraison",IF(INDEX(jr_type,$O647)="BR","Réception","Sortie")))</f>
        <v/>
      </c>
      <c r="C647" s="65" t="str">
        <f>IF($O647="","",INDEX(jr_date,$O647))</f>
        <v/>
      </c>
      <c r="D647" s="60" t="str">
        <f>IF($O647="","",INDEX(jr_tiers,$O647)&amp;"")</f>
        <v/>
      </c>
      <c r="E647" s="57" t="str">
        <f>IF($O647="","",INDEX(jr_name,$O647)&amp;"")</f>
        <v/>
      </c>
      <c r="F647" s="57" t="str">
        <f>IF($O647="","",INDEX(jr_order,$O647)&amp;"")</f>
        <v/>
      </c>
      <c r="G647" s="57" t="str">
        <f>IF($O647="","",INDEX(jr_ext,$O647)&amp;"")</f>
        <v/>
      </c>
      <c r="H647" s="57" t="str">
        <f>IF($O647="","",INDEX(jr_carrier,$O647)&amp;"")</f>
        <v/>
      </c>
      <c r="I647" s="66" t="str">
        <f>IF(A647="","",COUNTIF(jr_num,A647))</f>
        <v/>
      </c>
      <c r="J647" s="66" t="str">
        <f>IF(A647="","",SUMIF(jr_num,A647,jr_colis))</f>
        <v/>
      </c>
      <c r="K647" s="63" t="str">
        <f>IF(A647="","",SUMIF(jr_num,A647,jr_kg))</f>
        <v/>
      </c>
      <c r="L647" s="64" t="str">
        <f>IF(A647="","",SUMIF(jr_num,A647,jr_val))</f>
        <v/>
      </c>
      <c r="M647" s="60" t="str">
        <f>IF(A647="","",IF(COUNTIFS(jr_num,A647,jr_check,"&lt;&gt;OK")&gt;0,"À vérifier",IF(LEFT(A647,2)="BL",IF(COUNTIFS(jr_num,A647,jr_rel,"&gt;0")&gt;0,"Reliquat en cours",IF(COUNTIFS(jr_num,A647,jr_gap,"&lt;0")&gt;0,"Reliquat livré","Complet")),IF(LEFT(A647,2)="BR",IF(COUNTIFS(jr_num,A647,jr_etat,"Refusé")&gt;0,"Refusé",IF(COUNTIFS(jr_num,A647,jr_etat,"Avec réserves")&gt;0,"Avec réserves",IF(COUNTIFS(jr_num,A647,jr_rel,"&gt;0")&gt;0,"Reliquat en cours",IF(COUNTIFS(jr_num,A647,jr_gap,"&lt;0")+COUNTIFS(jr_num,A647,jr_gap,"&gt;0")&gt;0,"Écart","Conforme")))),IF(COUNTIFS(jr_num,A647,jr_gap,"&lt;0")&gt;0,"Partiel","Sorti")))))</f>
        <v/>
      </c>
      <c r="O647" t="str">
        <f>IFERROR(MATCH(642,jr_grank,0),"")</f>
        <v/>
      </c>
      <c r="R647" s="67" t="str">
        <f>IFERROR(INDEX(jr_num,MATCH("BL642",jr_nkey,0))&amp;"","")</f>
        <v/>
      </c>
      <c r="S647" s="67" t="str">
        <f>IFERROR(INDEX(jr_num,MATCH("BR642",jr_nkey,0))&amp;"","")</f>
        <v/>
      </c>
      <c r="T647" s="67" t="str">
        <f>IFERROR(INDEX(jr_num,MATCH("BS642",jr_nkey,0))&amp;"","")</f>
        <v/>
      </c>
    </row>
    <row r="648">
      <c r="A648" s="60" t="str">
        <f>IF($O648="","",INDEX(jr_num,$O648)&amp;"")</f>
        <v/>
      </c>
      <c r="B648" s="60" t="str">
        <f>IF($O648="","",IF(INDEX(jr_type,$O648)="BL","Livraison",IF(INDEX(jr_type,$O648)="BR","Réception","Sortie")))</f>
        <v/>
      </c>
      <c r="C648" s="65" t="str">
        <f>IF($O648="","",INDEX(jr_date,$O648))</f>
        <v/>
      </c>
      <c r="D648" s="60" t="str">
        <f>IF($O648="","",INDEX(jr_tiers,$O648)&amp;"")</f>
        <v/>
      </c>
      <c r="E648" s="57" t="str">
        <f>IF($O648="","",INDEX(jr_name,$O648)&amp;"")</f>
        <v/>
      </c>
      <c r="F648" s="57" t="str">
        <f>IF($O648="","",INDEX(jr_order,$O648)&amp;"")</f>
        <v/>
      </c>
      <c r="G648" s="57" t="str">
        <f>IF($O648="","",INDEX(jr_ext,$O648)&amp;"")</f>
        <v/>
      </c>
      <c r="H648" s="57" t="str">
        <f>IF($O648="","",INDEX(jr_carrier,$O648)&amp;"")</f>
        <v/>
      </c>
      <c r="I648" s="66" t="str">
        <f>IF(A648="","",COUNTIF(jr_num,A648))</f>
        <v/>
      </c>
      <c r="J648" s="66" t="str">
        <f>IF(A648="","",SUMIF(jr_num,A648,jr_colis))</f>
        <v/>
      </c>
      <c r="K648" s="63" t="str">
        <f>IF(A648="","",SUMIF(jr_num,A648,jr_kg))</f>
        <v/>
      </c>
      <c r="L648" s="64" t="str">
        <f>IF(A648="","",SUMIF(jr_num,A648,jr_val))</f>
        <v/>
      </c>
      <c r="M648" s="60" t="str">
        <f>IF(A648="","",IF(COUNTIFS(jr_num,A648,jr_check,"&lt;&gt;OK")&gt;0,"À vérifier",IF(LEFT(A648,2)="BL",IF(COUNTIFS(jr_num,A648,jr_rel,"&gt;0")&gt;0,"Reliquat en cours",IF(COUNTIFS(jr_num,A648,jr_gap,"&lt;0")&gt;0,"Reliquat livré","Complet")),IF(LEFT(A648,2)="BR",IF(COUNTIFS(jr_num,A648,jr_etat,"Refusé")&gt;0,"Refusé",IF(COUNTIFS(jr_num,A648,jr_etat,"Avec réserves")&gt;0,"Avec réserves",IF(COUNTIFS(jr_num,A648,jr_rel,"&gt;0")&gt;0,"Reliquat en cours",IF(COUNTIFS(jr_num,A648,jr_gap,"&lt;0")+COUNTIFS(jr_num,A648,jr_gap,"&gt;0")&gt;0,"Écart","Conforme")))),IF(COUNTIFS(jr_num,A648,jr_gap,"&lt;0")&gt;0,"Partiel","Sorti")))))</f>
        <v/>
      </c>
      <c r="O648" t="str">
        <f>IFERROR(MATCH(643,jr_grank,0),"")</f>
        <v/>
      </c>
      <c r="R648" s="67" t="str">
        <f>IFERROR(INDEX(jr_num,MATCH("BL643",jr_nkey,0))&amp;"","")</f>
        <v/>
      </c>
      <c r="S648" s="67" t="str">
        <f>IFERROR(INDEX(jr_num,MATCH("BR643",jr_nkey,0))&amp;"","")</f>
        <v/>
      </c>
      <c r="T648" s="67" t="str">
        <f>IFERROR(INDEX(jr_num,MATCH("BS643",jr_nkey,0))&amp;"","")</f>
        <v/>
      </c>
    </row>
    <row r="649">
      <c r="A649" s="60" t="str">
        <f>IF($O649="","",INDEX(jr_num,$O649)&amp;"")</f>
        <v/>
      </c>
      <c r="B649" s="60" t="str">
        <f>IF($O649="","",IF(INDEX(jr_type,$O649)="BL","Livraison",IF(INDEX(jr_type,$O649)="BR","Réception","Sortie")))</f>
        <v/>
      </c>
      <c r="C649" s="65" t="str">
        <f>IF($O649="","",INDEX(jr_date,$O649))</f>
        <v/>
      </c>
      <c r="D649" s="60" t="str">
        <f>IF($O649="","",INDEX(jr_tiers,$O649)&amp;"")</f>
        <v/>
      </c>
      <c r="E649" s="57" t="str">
        <f>IF($O649="","",INDEX(jr_name,$O649)&amp;"")</f>
        <v/>
      </c>
      <c r="F649" s="57" t="str">
        <f>IF($O649="","",INDEX(jr_order,$O649)&amp;"")</f>
        <v/>
      </c>
      <c r="G649" s="57" t="str">
        <f>IF($O649="","",INDEX(jr_ext,$O649)&amp;"")</f>
        <v/>
      </c>
      <c r="H649" s="57" t="str">
        <f>IF($O649="","",INDEX(jr_carrier,$O649)&amp;"")</f>
        <v/>
      </c>
      <c r="I649" s="66" t="str">
        <f>IF(A649="","",COUNTIF(jr_num,A649))</f>
        <v/>
      </c>
      <c r="J649" s="66" t="str">
        <f>IF(A649="","",SUMIF(jr_num,A649,jr_colis))</f>
        <v/>
      </c>
      <c r="K649" s="63" t="str">
        <f>IF(A649="","",SUMIF(jr_num,A649,jr_kg))</f>
        <v/>
      </c>
      <c r="L649" s="64" t="str">
        <f>IF(A649="","",SUMIF(jr_num,A649,jr_val))</f>
        <v/>
      </c>
      <c r="M649" s="60" t="str">
        <f>IF(A649="","",IF(COUNTIFS(jr_num,A649,jr_check,"&lt;&gt;OK")&gt;0,"À vérifier",IF(LEFT(A649,2)="BL",IF(COUNTIFS(jr_num,A649,jr_rel,"&gt;0")&gt;0,"Reliquat en cours",IF(COUNTIFS(jr_num,A649,jr_gap,"&lt;0")&gt;0,"Reliquat livré","Complet")),IF(LEFT(A649,2)="BR",IF(COUNTIFS(jr_num,A649,jr_etat,"Refusé")&gt;0,"Refusé",IF(COUNTIFS(jr_num,A649,jr_etat,"Avec réserves")&gt;0,"Avec réserves",IF(COUNTIFS(jr_num,A649,jr_rel,"&gt;0")&gt;0,"Reliquat en cours",IF(COUNTIFS(jr_num,A649,jr_gap,"&lt;0")+COUNTIFS(jr_num,A649,jr_gap,"&gt;0")&gt;0,"Écart","Conforme")))),IF(COUNTIFS(jr_num,A649,jr_gap,"&lt;0")&gt;0,"Partiel","Sorti")))))</f>
        <v/>
      </c>
      <c r="O649" t="str">
        <f>IFERROR(MATCH(644,jr_grank,0),"")</f>
        <v/>
      </c>
      <c r="R649" s="67" t="str">
        <f>IFERROR(INDEX(jr_num,MATCH("BL644",jr_nkey,0))&amp;"","")</f>
        <v/>
      </c>
      <c r="S649" s="67" t="str">
        <f>IFERROR(INDEX(jr_num,MATCH("BR644",jr_nkey,0))&amp;"","")</f>
        <v/>
      </c>
      <c r="T649" s="67" t="str">
        <f>IFERROR(INDEX(jr_num,MATCH("BS644",jr_nkey,0))&amp;"","")</f>
        <v/>
      </c>
    </row>
    <row r="650">
      <c r="A650" s="60" t="str">
        <f>IF($O650="","",INDEX(jr_num,$O650)&amp;"")</f>
        <v/>
      </c>
      <c r="B650" s="60" t="str">
        <f>IF($O650="","",IF(INDEX(jr_type,$O650)="BL","Livraison",IF(INDEX(jr_type,$O650)="BR","Réception","Sortie")))</f>
        <v/>
      </c>
      <c r="C650" s="65" t="str">
        <f>IF($O650="","",INDEX(jr_date,$O650))</f>
        <v/>
      </c>
      <c r="D650" s="60" t="str">
        <f>IF($O650="","",INDEX(jr_tiers,$O650)&amp;"")</f>
        <v/>
      </c>
      <c r="E650" s="57" t="str">
        <f>IF($O650="","",INDEX(jr_name,$O650)&amp;"")</f>
        <v/>
      </c>
      <c r="F650" s="57" t="str">
        <f>IF($O650="","",INDEX(jr_order,$O650)&amp;"")</f>
        <v/>
      </c>
      <c r="G650" s="57" t="str">
        <f>IF($O650="","",INDEX(jr_ext,$O650)&amp;"")</f>
        <v/>
      </c>
      <c r="H650" s="57" t="str">
        <f>IF($O650="","",INDEX(jr_carrier,$O650)&amp;"")</f>
        <v/>
      </c>
      <c r="I650" s="66" t="str">
        <f>IF(A650="","",COUNTIF(jr_num,A650))</f>
        <v/>
      </c>
      <c r="J650" s="66" t="str">
        <f>IF(A650="","",SUMIF(jr_num,A650,jr_colis))</f>
        <v/>
      </c>
      <c r="K650" s="63" t="str">
        <f>IF(A650="","",SUMIF(jr_num,A650,jr_kg))</f>
        <v/>
      </c>
      <c r="L650" s="64" t="str">
        <f>IF(A650="","",SUMIF(jr_num,A650,jr_val))</f>
        <v/>
      </c>
      <c r="M650" s="60" t="str">
        <f>IF(A650="","",IF(COUNTIFS(jr_num,A650,jr_check,"&lt;&gt;OK")&gt;0,"À vérifier",IF(LEFT(A650,2)="BL",IF(COUNTIFS(jr_num,A650,jr_rel,"&gt;0")&gt;0,"Reliquat en cours",IF(COUNTIFS(jr_num,A650,jr_gap,"&lt;0")&gt;0,"Reliquat livré","Complet")),IF(LEFT(A650,2)="BR",IF(COUNTIFS(jr_num,A650,jr_etat,"Refusé")&gt;0,"Refusé",IF(COUNTIFS(jr_num,A650,jr_etat,"Avec réserves")&gt;0,"Avec réserves",IF(COUNTIFS(jr_num,A650,jr_rel,"&gt;0")&gt;0,"Reliquat en cours",IF(COUNTIFS(jr_num,A650,jr_gap,"&lt;0")+COUNTIFS(jr_num,A650,jr_gap,"&gt;0")&gt;0,"Écart","Conforme")))),IF(COUNTIFS(jr_num,A650,jr_gap,"&lt;0")&gt;0,"Partiel","Sorti")))))</f>
        <v/>
      </c>
      <c r="O650" t="str">
        <f>IFERROR(MATCH(645,jr_grank,0),"")</f>
        <v/>
      </c>
      <c r="R650" s="67" t="str">
        <f>IFERROR(INDEX(jr_num,MATCH("BL645",jr_nkey,0))&amp;"","")</f>
        <v/>
      </c>
      <c r="S650" s="67" t="str">
        <f>IFERROR(INDEX(jr_num,MATCH("BR645",jr_nkey,0))&amp;"","")</f>
        <v/>
      </c>
      <c r="T650" s="67" t="str">
        <f>IFERROR(INDEX(jr_num,MATCH("BS645",jr_nkey,0))&amp;"","")</f>
        <v/>
      </c>
    </row>
    <row r="651">
      <c r="A651" s="60" t="str">
        <f>IF($O651="","",INDEX(jr_num,$O651)&amp;"")</f>
        <v/>
      </c>
      <c r="B651" s="60" t="str">
        <f>IF($O651="","",IF(INDEX(jr_type,$O651)="BL","Livraison",IF(INDEX(jr_type,$O651)="BR","Réception","Sortie")))</f>
        <v/>
      </c>
      <c r="C651" s="65" t="str">
        <f>IF($O651="","",INDEX(jr_date,$O651))</f>
        <v/>
      </c>
      <c r="D651" s="60" t="str">
        <f>IF($O651="","",INDEX(jr_tiers,$O651)&amp;"")</f>
        <v/>
      </c>
      <c r="E651" s="57" t="str">
        <f>IF($O651="","",INDEX(jr_name,$O651)&amp;"")</f>
        <v/>
      </c>
      <c r="F651" s="57" t="str">
        <f>IF($O651="","",INDEX(jr_order,$O651)&amp;"")</f>
        <v/>
      </c>
      <c r="G651" s="57" t="str">
        <f>IF($O651="","",INDEX(jr_ext,$O651)&amp;"")</f>
        <v/>
      </c>
      <c r="H651" s="57" t="str">
        <f>IF($O651="","",INDEX(jr_carrier,$O651)&amp;"")</f>
        <v/>
      </c>
      <c r="I651" s="66" t="str">
        <f>IF(A651="","",COUNTIF(jr_num,A651))</f>
        <v/>
      </c>
      <c r="J651" s="66" t="str">
        <f>IF(A651="","",SUMIF(jr_num,A651,jr_colis))</f>
        <v/>
      </c>
      <c r="K651" s="63" t="str">
        <f>IF(A651="","",SUMIF(jr_num,A651,jr_kg))</f>
        <v/>
      </c>
      <c r="L651" s="64" t="str">
        <f>IF(A651="","",SUMIF(jr_num,A651,jr_val))</f>
        <v/>
      </c>
      <c r="M651" s="60" t="str">
        <f>IF(A651="","",IF(COUNTIFS(jr_num,A651,jr_check,"&lt;&gt;OK")&gt;0,"À vérifier",IF(LEFT(A651,2)="BL",IF(COUNTIFS(jr_num,A651,jr_rel,"&gt;0")&gt;0,"Reliquat en cours",IF(COUNTIFS(jr_num,A651,jr_gap,"&lt;0")&gt;0,"Reliquat livré","Complet")),IF(LEFT(A651,2)="BR",IF(COUNTIFS(jr_num,A651,jr_etat,"Refusé")&gt;0,"Refusé",IF(COUNTIFS(jr_num,A651,jr_etat,"Avec réserves")&gt;0,"Avec réserves",IF(COUNTIFS(jr_num,A651,jr_rel,"&gt;0")&gt;0,"Reliquat en cours",IF(COUNTIFS(jr_num,A651,jr_gap,"&lt;0")+COUNTIFS(jr_num,A651,jr_gap,"&gt;0")&gt;0,"Écart","Conforme")))),IF(COUNTIFS(jr_num,A651,jr_gap,"&lt;0")&gt;0,"Partiel","Sorti")))))</f>
        <v/>
      </c>
      <c r="O651" t="str">
        <f>IFERROR(MATCH(646,jr_grank,0),"")</f>
        <v/>
      </c>
      <c r="R651" s="67" t="str">
        <f>IFERROR(INDEX(jr_num,MATCH("BL646",jr_nkey,0))&amp;"","")</f>
        <v/>
      </c>
      <c r="S651" s="67" t="str">
        <f>IFERROR(INDEX(jr_num,MATCH("BR646",jr_nkey,0))&amp;"","")</f>
        <v/>
      </c>
      <c r="T651" s="67" t="str">
        <f>IFERROR(INDEX(jr_num,MATCH("BS646",jr_nkey,0))&amp;"","")</f>
        <v/>
      </c>
    </row>
    <row r="652">
      <c r="A652" s="60" t="str">
        <f>IF($O652="","",INDEX(jr_num,$O652)&amp;"")</f>
        <v/>
      </c>
      <c r="B652" s="60" t="str">
        <f>IF($O652="","",IF(INDEX(jr_type,$O652)="BL","Livraison",IF(INDEX(jr_type,$O652)="BR","Réception","Sortie")))</f>
        <v/>
      </c>
      <c r="C652" s="65" t="str">
        <f>IF($O652="","",INDEX(jr_date,$O652))</f>
        <v/>
      </c>
      <c r="D652" s="60" t="str">
        <f>IF($O652="","",INDEX(jr_tiers,$O652)&amp;"")</f>
        <v/>
      </c>
      <c r="E652" s="57" t="str">
        <f>IF($O652="","",INDEX(jr_name,$O652)&amp;"")</f>
        <v/>
      </c>
      <c r="F652" s="57" t="str">
        <f>IF($O652="","",INDEX(jr_order,$O652)&amp;"")</f>
        <v/>
      </c>
      <c r="G652" s="57" t="str">
        <f>IF($O652="","",INDEX(jr_ext,$O652)&amp;"")</f>
        <v/>
      </c>
      <c r="H652" s="57" t="str">
        <f>IF($O652="","",INDEX(jr_carrier,$O652)&amp;"")</f>
        <v/>
      </c>
      <c r="I652" s="66" t="str">
        <f>IF(A652="","",COUNTIF(jr_num,A652))</f>
        <v/>
      </c>
      <c r="J652" s="66" t="str">
        <f>IF(A652="","",SUMIF(jr_num,A652,jr_colis))</f>
        <v/>
      </c>
      <c r="K652" s="63" t="str">
        <f>IF(A652="","",SUMIF(jr_num,A652,jr_kg))</f>
        <v/>
      </c>
      <c r="L652" s="64" t="str">
        <f>IF(A652="","",SUMIF(jr_num,A652,jr_val))</f>
        <v/>
      </c>
      <c r="M652" s="60" t="str">
        <f>IF(A652="","",IF(COUNTIFS(jr_num,A652,jr_check,"&lt;&gt;OK")&gt;0,"À vérifier",IF(LEFT(A652,2)="BL",IF(COUNTIFS(jr_num,A652,jr_rel,"&gt;0")&gt;0,"Reliquat en cours",IF(COUNTIFS(jr_num,A652,jr_gap,"&lt;0")&gt;0,"Reliquat livré","Complet")),IF(LEFT(A652,2)="BR",IF(COUNTIFS(jr_num,A652,jr_etat,"Refusé")&gt;0,"Refusé",IF(COUNTIFS(jr_num,A652,jr_etat,"Avec réserves")&gt;0,"Avec réserves",IF(COUNTIFS(jr_num,A652,jr_rel,"&gt;0")&gt;0,"Reliquat en cours",IF(COUNTIFS(jr_num,A652,jr_gap,"&lt;0")+COUNTIFS(jr_num,A652,jr_gap,"&gt;0")&gt;0,"Écart","Conforme")))),IF(COUNTIFS(jr_num,A652,jr_gap,"&lt;0")&gt;0,"Partiel","Sorti")))))</f>
        <v/>
      </c>
      <c r="O652" t="str">
        <f>IFERROR(MATCH(647,jr_grank,0),"")</f>
        <v/>
      </c>
      <c r="R652" s="67" t="str">
        <f>IFERROR(INDEX(jr_num,MATCH("BL647",jr_nkey,0))&amp;"","")</f>
        <v/>
      </c>
      <c r="S652" s="67" t="str">
        <f>IFERROR(INDEX(jr_num,MATCH("BR647",jr_nkey,0))&amp;"","")</f>
        <v/>
      </c>
      <c r="T652" s="67" t="str">
        <f>IFERROR(INDEX(jr_num,MATCH("BS647",jr_nkey,0))&amp;"","")</f>
        <v/>
      </c>
    </row>
    <row r="653">
      <c r="A653" s="60" t="str">
        <f>IF($O653="","",INDEX(jr_num,$O653)&amp;"")</f>
        <v/>
      </c>
      <c r="B653" s="60" t="str">
        <f>IF($O653="","",IF(INDEX(jr_type,$O653)="BL","Livraison",IF(INDEX(jr_type,$O653)="BR","Réception","Sortie")))</f>
        <v/>
      </c>
      <c r="C653" s="65" t="str">
        <f>IF($O653="","",INDEX(jr_date,$O653))</f>
        <v/>
      </c>
      <c r="D653" s="60" t="str">
        <f>IF($O653="","",INDEX(jr_tiers,$O653)&amp;"")</f>
        <v/>
      </c>
      <c r="E653" s="57" t="str">
        <f>IF($O653="","",INDEX(jr_name,$O653)&amp;"")</f>
        <v/>
      </c>
      <c r="F653" s="57" t="str">
        <f>IF($O653="","",INDEX(jr_order,$O653)&amp;"")</f>
        <v/>
      </c>
      <c r="G653" s="57" t="str">
        <f>IF($O653="","",INDEX(jr_ext,$O653)&amp;"")</f>
        <v/>
      </c>
      <c r="H653" s="57" t="str">
        <f>IF($O653="","",INDEX(jr_carrier,$O653)&amp;"")</f>
        <v/>
      </c>
      <c r="I653" s="66" t="str">
        <f>IF(A653="","",COUNTIF(jr_num,A653))</f>
        <v/>
      </c>
      <c r="J653" s="66" t="str">
        <f>IF(A653="","",SUMIF(jr_num,A653,jr_colis))</f>
        <v/>
      </c>
      <c r="K653" s="63" t="str">
        <f>IF(A653="","",SUMIF(jr_num,A653,jr_kg))</f>
        <v/>
      </c>
      <c r="L653" s="64" t="str">
        <f>IF(A653="","",SUMIF(jr_num,A653,jr_val))</f>
        <v/>
      </c>
      <c r="M653" s="60" t="str">
        <f>IF(A653="","",IF(COUNTIFS(jr_num,A653,jr_check,"&lt;&gt;OK")&gt;0,"À vérifier",IF(LEFT(A653,2)="BL",IF(COUNTIFS(jr_num,A653,jr_rel,"&gt;0")&gt;0,"Reliquat en cours",IF(COUNTIFS(jr_num,A653,jr_gap,"&lt;0")&gt;0,"Reliquat livré","Complet")),IF(LEFT(A653,2)="BR",IF(COUNTIFS(jr_num,A653,jr_etat,"Refusé")&gt;0,"Refusé",IF(COUNTIFS(jr_num,A653,jr_etat,"Avec réserves")&gt;0,"Avec réserves",IF(COUNTIFS(jr_num,A653,jr_rel,"&gt;0")&gt;0,"Reliquat en cours",IF(COUNTIFS(jr_num,A653,jr_gap,"&lt;0")+COUNTIFS(jr_num,A653,jr_gap,"&gt;0")&gt;0,"Écart","Conforme")))),IF(COUNTIFS(jr_num,A653,jr_gap,"&lt;0")&gt;0,"Partiel","Sorti")))))</f>
        <v/>
      </c>
      <c r="O653" t="str">
        <f>IFERROR(MATCH(648,jr_grank,0),"")</f>
        <v/>
      </c>
      <c r="R653" s="67" t="str">
        <f>IFERROR(INDEX(jr_num,MATCH("BL648",jr_nkey,0))&amp;"","")</f>
        <v/>
      </c>
      <c r="S653" s="67" t="str">
        <f>IFERROR(INDEX(jr_num,MATCH("BR648",jr_nkey,0))&amp;"","")</f>
        <v/>
      </c>
      <c r="T653" s="67" t="str">
        <f>IFERROR(INDEX(jr_num,MATCH("BS648",jr_nkey,0))&amp;"","")</f>
        <v/>
      </c>
    </row>
    <row r="654">
      <c r="A654" s="60" t="str">
        <f>IF($O654="","",INDEX(jr_num,$O654)&amp;"")</f>
        <v/>
      </c>
      <c r="B654" s="60" t="str">
        <f>IF($O654="","",IF(INDEX(jr_type,$O654)="BL","Livraison",IF(INDEX(jr_type,$O654)="BR","Réception","Sortie")))</f>
        <v/>
      </c>
      <c r="C654" s="65" t="str">
        <f>IF($O654="","",INDEX(jr_date,$O654))</f>
        <v/>
      </c>
      <c r="D654" s="60" t="str">
        <f>IF($O654="","",INDEX(jr_tiers,$O654)&amp;"")</f>
        <v/>
      </c>
      <c r="E654" s="57" t="str">
        <f>IF($O654="","",INDEX(jr_name,$O654)&amp;"")</f>
        <v/>
      </c>
      <c r="F654" s="57" t="str">
        <f>IF($O654="","",INDEX(jr_order,$O654)&amp;"")</f>
        <v/>
      </c>
      <c r="G654" s="57" t="str">
        <f>IF($O654="","",INDEX(jr_ext,$O654)&amp;"")</f>
        <v/>
      </c>
      <c r="H654" s="57" t="str">
        <f>IF($O654="","",INDEX(jr_carrier,$O654)&amp;"")</f>
        <v/>
      </c>
      <c r="I654" s="66" t="str">
        <f>IF(A654="","",COUNTIF(jr_num,A654))</f>
        <v/>
      </c>
      <c r="J654" s="66" t="str">
        <f>IF(A654="","",SUMIF(jr_num,A654,jr_colis))</f>
        <v/>
      </c>
      <c r="K654" s="63" t="str">
        <f>IF(A654="","",SUMIF(jr_num,A654,jr_kg))</f>
        <v/>
      </c>
      <c r="L654" s="64" t="str">
        <f>IF(A654="","",SUMIF(jr_num,A654,jr_val))</f>
        <v/>
      </c>
      <c r="M654" s="60" t="str">
        <f>IF(A654="","",IF(COUNTIFS(jr_num,A654,jr_check,"&lt;&gt;OK")&gt;0,"À vérifier",IF(LEFT(A654,2)="BL",IF(COUNTIFS(jr_num,A654,jr_rel,"&gt;0")&gt;0,"Reliquat en cours",IF(COUNTIFS(jr_num,A654,jr_gap,"&lt;0")&gt;0,"Reliquat livré","Complet")),IF(LEFT(A654,2)="BR",IF(COUNTIFS(jr_num,A654,jr_etat,"Refusé")&gt;0,"Refusé",IF(COUNTIFS(jr_num,A654,jr_etat,"Avec réserves")&gt;0,"Avec réserves",IF(COUNTIFS(jr_num,A654,jr_rel,"&gt;0")&gt;0,"Reliquat en cours",IF(COUNTIFS(jr_num,A654,jr_gap,"&lt;0")+COUNTIFS(jr_num,A654,jr_gap,"&gt;0")&gt;0,"Écart","Conforme")))),IF(COUNTIFS(jr_num,A654,jr_gap,"&lt;0")&gt;0,"Partiel","Sorti")))))</f>
        <v/>
      </c>
      <c r="O654" t="str">
        <f>IFERROR(MATCH(649,jr_grank,0),"")</f>
        <v/>
      </c>
      <c r="R654" s="67" t="str">
        <f>IFERROR(INDEX(jr_num,MATCH("BL649",jr_nkey,0))&amp;"","")</f>
        <v/>
      </c>
      <c r="S654" s="67" t="str">
        <f>IFERROR(INDEX(jr_num,MATCH("BR649",jr_nkey,0))&amp;"","")</f>
        <v/>
      </c>
      <c r="T654" s="67" t="str">
        <f>IFERROR(INDEX(jr_num,MATCH("BS649",jr_nkey,0))&amp;"","")</f>
        <v/>
      </c>
    </row>
    <row r="655">
      <c r="A655" s="60" t="str">
        <f>IF($O655="","",INDEX(jr_num,$O655)&amp;"")</f>
        <v/>
      </c>
      <c r="B655" s="60" t="str">
        <f>IF($O655="","",IF(INDEX(jr_type,$O655)="BL","Livraison",IF(INDEX(jr_type,$O655)="BR","Réception","Sortie")))</f>
        <v/>
      </c>
      <c r="C655" s="65" t="str">
        <f>IF($O655="","",INDEX(jr_date,$O655))</f>
        <v/>
      </c>
      <c r="D655" s="60" t="str">
        <f>IF($O655="","",INDEX(jr_tiers,$O655)&amp;"")</f>
        <v/>
      </c>
      <c r="E655" s="57" t="str">
        <f>IF($O655="","",INDEX(jr_name,$O655)&amp;"")</f>
        <v/>
      </c>
      <c r="F655" s="57" t="str">
        <f>IF($O655="","",INDEX(jr_order,$O655)&amp;"")</f>
        <v/>
      </c>
      <c r="G655" s="57" t="str">
        <f>IF($O655="","",INDEX(jr_ext,$O655)&amp;"")</f>
        <v/>
      </c>
      <c r="H655" s="57" t="str">
        <f>IF($O655="","",INDEX(jr_carrier,$O655)&amp;"")</f>
        <v/>
      </c>
      <c r="I655" s="66" t="str">
        <f>IF(A655="","",COUNTIF(jr_num,A655))</f>
        <v/>
      </c>
      <c r="J655" s="66" t="str">
        <f>IF(A655="","",SUMIF(jr_num,A655,jr_colis))</f>
        <v/>
      </c>
      <c r="K655" s="63" t="str">
        <f>IF(A655="","",SUMIF(jr_num,A655,jr_kg))</f>
        <v/>
      </c>
      <c r="L655" s="64" t="str">
        <f>IF(A655="","",SUMIF(jr_num,A655,jr_val))</f>
        <v/>
      </c>
      <c r="M655" s="60" t="str">
        <f>IF(A655="","",IF(COUNTIFS(jr_num,A655,jr_check,"&lt;&gt;OK")&gt;0,"À vérifier",IF(LEFT(A655,2)="BL",IF(COUNTIFS(jr_num,A655,jr_rel,"&gt;0")&gt;0,"Reliquat en cours",IF(COUNTIFS(jr_num,A655,jr_gap,"&lt;0")&gt;0,"Reliquat livré","Complet")),IF(LEFT(A655,2)="BR",IF(COUNTIFS(jr_num,A655,jr_etat,"Refusé")&gt;0,"Refusé",IF(COUNTIFS(jr_num,A655,jr_etat,"Avec réserves")&gt;0,"Avec réserves",IF(COUNTIFS(jr_num,A655,jr_rel,"&gt;0")&gt;0,"Reliquat en cours",IF(COUNTIFS(jr_num,A655,jr_gap,"&lt;0")+COUNTIFS(jr_num,A655,jr_gap,"&gt;0")&gt;0,"Écart","Conforme")))),IF(COUNTIFS(jr_num,A655,jr_gap,"&lt;0")&gt;0,"Partiel","Sorti")))))</f>
        <v/>
      </c>
      <c r="O655" t="str">
        <f>IFERROR(MATCH(650,jr_grank,0),"")</f>
        <v/>
      </c>
      <c r="R655" s="67" t="str">
        <f>IFERROR(INDEX(jr_num,MATCH("BL650",jr_nkey,0))&amp;"","")</f>
        <v/>
      </c>
      <c r="S655" s="67" t="str">
        <f>IFERROR(INDEX(jr_num,MATCH("BR650",jr_nkey,0))&amp;"","")</f>
        <v/>
      </c>
      <c r="T655" s="67" t="str">
        <f>IFERROR(INDEX(jr_num,MATCH("BS650",jr_nkey,0))&amp;"","")</f>
        <v/>
      </c>
    </row>
    <row r="656">
      <c r="A656" s="60" t="str">
        <f>IF($O656="","",INDEX(jr_num,$O656)&amp;"")</f>
        <v/>
      </c>
      <c r="B656" s="60" t="str">
        <f>IF($O656="","",IF(INDEX(jr_type,$O656)="BL","Livraison",IF(INDEX(jr_type,$O656)="BR","Réception","Sortie")))</f>
        <v/>
      </c>
      <c r="C656" s="65" t="str">
        <f>IF($O656="","",INDEX(jr_date,$O656))</f>
        <v/>
      </c>
      <c r="D656" s="60" t="str">
        <f>IF($O656="","",INDEX(jr_tiers,$O656)&amp;"")</f>
        <v/>
      </c>
      <c r="E656" s="57" t="str">
        <f>IF($O656="","",INDEX(jr_name,$O656)&amp;"")</f>
        <v/>
      </c>
      <c r="F656" s="57" t="str">
        <f>IF($O656="","",INDEX(jr_order,$O656)&amp;"")</f>
        <v/>
      </c>
      <c r="G656" s="57" t="str">
        <f>IF($O656="","",INDEX(jr_ext,$O656)&amp;"")</f>
        <v/>
      </c>
      <c r="H656" s="57" t="str">
        <f>IF($O656="","",INDEX(jr_carrier,$O656)&amp;"")</f>
        <v/>
      </c>
      <c r="I656" s="66" t="str">
        <f>IF(A656="","",COUNTIF(jr_num,A656))</f>
        <v/>
      </c>
      <c r="J656" s="66" t="str">
        <f>IF(A656="","",SUMIF(jr_num,A656,jr_colis))</f>
        <v/>
      </c>
      <c r="K656" s="63" t="str">
        <f>IF(A656="","",SUMIF(jr_num,A656,jr_kg))</f>
        <v/>
      </c>
      <c r="L656" s="64" t="str">
        <f>IF(A656="","",SUMIF(jr_num,A656,jr_val))</f>
        <v/>
      </c>
      <c r="M656" s="60" t="str">
        <f>IF(A656="","",IF(COUNTIFS(jr_num,A656,jr_check,"&lt;&gt;OK")&gt;0,"À vérifier",IF(LEFT(A656,2)="BL",IF(COUNTIFS(jr_num,A656,jr_rel,"&gt;0")&gt;0,"Reliquat en cours",IF(COUNTIFS(jr_num,A656,jr_gap,"&lt;0")&gt;0,"Reliquat livré","Complet")),IF(LEFT(A656,2)="BR",IF(COUNTIFS(jr_num,A656,jr_etat,"Refusé")&gt;0,"Refusé",IF(COUNTIFS(jr_num,A656,jr_etat,"Avec réserves")&gt;0,"Avec réserves",IF(COUNTIFS(jr_num,A656,jr_rel,"&gt;0")&gt;0,"Reliquat en cours",IF(COUNTIFS(jr_num,A656,jr_gap,"&lt;0")+COUNTIFS(jr_num,A656,jr_gap,"&gt;0")&gt;0,"Écart","Conforme")))),IF(COUNTIFS(jr_num,A656,jr_gap,"&lt;0")&gt;0,"Partiel","Sorti")))))</f>
        <v/>
      </c>
      <c r="O656" t="str">
        <f>IFERROR(MATCH(651,jr_grank,0),"")</f>
        <v/>
      </c>
      <c r="R656" s="67" t="str">
        <f>IFERROR(INDEX(jr_num,MATCH("BL651",jr_nkey,0))&amp;"","")</f>
        <v/>
      </c>
      <c r="S656" s="67" t="str">
        <f>IFERROR(INDEX(jr_num,MATCH("BR651",jr_nkey,0))&amp;"","")</f>
        <v/>
      </c>
      <c r="T656" s="67" t="str">
        <f>IFERROR(INDEX(jr_num,MATCH("BS651",jr_nkey,0))&amp;"","")</f>
        <v/>
      </c>
    </row>
    <row r="657">
      <c r="A657" s="60" t="str">
        <f>IF($O657="","",INDEX(jr_num,$O657)&amp;"")</f>
        <v/>
      </c>
      <c r="B657" s="60" t="str">
        <f>IF($O657="","",IF(INDEX(jr_type,$O657)="BL","Livraison",IF(INDEX(jr_type,$O657)="BR","Réception","Sortie")))</f>
        <v/>
      </c>
      <c r="C657" s="65" t="str">
        <f>IF($O657="","",INDEX(jr_date,$O657))</f>
        <v/>
      </c>
      <c r="D657" s="60" t="str">
        <f>IF($O657="","",INDEX(jr_tiers,$O657)&amp;"")</f>
        <v/>
      </c>
      <c r="E657" s="57" t="str">
        <f>IF($O657="","",INDEX(jr_name,$O657)&amp;"")</f>
        <v/>
      </c>
      <c r="F657" s="57" t="str">
        <f>IF($O657="","",INDEX(jr_order,$O657)&amp;"")</f>
        <v/>
      </c>
      <c r="G657" s="57" t="str">
        <f>IF($O657="","",INDEX(jr_ext,$O657)&amp;"")</f>
        <v/>
      </c>
      <c r="H657" s="57" t="str">
        <f>IF($O657="","",INDEX(jr_carrier,$O657)&amp;"")</f>
        <v/>
      </c>
      <c r="I657" s="66" t="str">
        <f>IF(A657="","",COUNTIF(jr_num,A657))</f>
        <v/>
      </c>
      <c r="J657" s="66" t="str">
        <f>IF(A657="","",SUMIF(jr_num,A657,jr_colis))</f>
        <v/>
      </c>
      <c r="K657" s="63" t="str">
        <f>IF(A657="","",SUMIF(jr_num,A657,jr_kg))</f>
        <v/>
      </c>
      <c r="L657" s="64" t="str">
        <f>IF(A657="","",SUMIF(jr_num,A657,jr_val))</f>
        <v/>
      </c>
      <c r="M657" s="60" t="str">
        <f>IF(A657="","",IF(COUNTIFS(jr_num,A657,jr_check,"&lt;&gt;OK")&gt;0,"À vérifier",IF(LEFT(A657,2)="BL",IF(COUNTIFS(jr_num,A657,jr_rel,"&gt;0")&gt;0,"Reliquat en cours",IF(COUNTIFS(jr_num,A657,jr_gap,"&lt;0")&gt;0,"Reliquat livré","Complet")),IF(LEFT(A657,2)="BR",IF(COUNTIFS(jr_num,A657,jr_etat,"Refusé")&gt;0,"Refusé",IF(COUNTIFS(jr_num,A657,jr_etat,"Avec réserves")&gt;0,"Avec réserves",IF(COUNTIFS(jr_num,A657,jr_rel,"&gt;0")&gt;0,"Reliquat en cours",IF(COUNTIFS(jr_num,A657,jr_gap,"&lt;0")+COUNTIFS(jr_num,A657,jr_gap,"&gt;0")&gt;0,"Écart","Conforme")))),IF(COUNTIFS(jr_num,A657,jr_gap,"&lt;0")&gt;0,"Partiel","Sorti")))))</f>
        <v/>
      </c>
      <c r="O657" t="str">
        <f>IFERROR(MATCH(652,jr_grank,0),"")</f>
        <v/>
      </c>
      <c r="R657" s="67" t="str">
        <f>IFERROR(INDEX(jr_num,MATCH("BL652",jr_nkey,0))&amp;"","")</f>
        <v/>
      </c>
      <c r="S657" s="67" t="str">
        <f>IFERROR(INDEX(jr_num,MATCH("BR652",jr_nkey,0))&amp;"","")</f>
        <v/>
      </c>
      <c r="T657" s="67" t="str">
        <f>IFERROR(INDEX(jr_num,MATCH("BS652",jr_nkey,0))&amp;"","")</f>
        <v/>
      </c>
    </row>
    <row r="658">
      <c r="A658" s="60" t="str">
        <f>IF($O658="","",INDEX(jr_num,$O658)&amp;"")</f>
        <v/>
      </c>
      <c r="B658" s="60" t="str">
        <f>IF($O658="","",IF(INDEX(jr_type,$O658)="BL","Livraison",IF(INDEX(jr_type,$O658)="BR","Réception","Sortie")))</f>
        <v/>
      </c>
      <c r="C658" s="65" t="str">
        <f>IF($O658="","",INDEX(jr_date,$O658))</f>
        <v/>
      </c>
      <c r="D658" s="60" t="str">
        <f>IF($O658="","",INDEX(jr_tiers,$O658)&amp;"")</f>
        <v/>
      </c>
      <c r="E658" s="57" t="str">
        <f>IF($O658="","",INDEX(jr_name,$O658)&amp;"")</f>
        <v/>
      </c>
      <c r="F658" s="57" t="str">
        <f>IF($O658="","",INDEX(jr_order,$O658)&amp;"")</f>
        <v/>
      </c>
      <c r="G658" s="57" t="str">
        <f>IF($O658="","",INDEX(jr_ext,$O658)&amp;"")</f>
        <v/>
      </c>
      <c r="H658" s="57" t="str">
        <f>IF($O658="","",INDEX(jr_carrier,$O658)&amp;"")</f>
        <v/>
      </c>
      <c r="I658" s="66" t="str">
        <f>IF(A658="","",COUNTIF(jr_num,A658))</f>
        <v/>
      </c>
      <c r="J658" s="66" t="str">
        <f>IF(A658="","",SUMIF(jr_num,A658,jr_colis))</f>
        <v/>
      </c>
      <c r="K658" s="63" t="str">
        <f>IF(A658="","",SUMIF(jr_num,A658,jr_kg))</f>
        <v/>
      </c>
      <c r="L658" s="64" t="str">
        <f>IF(A658="","",SUMIF(jr_num,A658,jr_val))</f>
        <v/>
      </c>
      <c r="M658" s="60" t="str">
        <f>IF(A658="","",IF(COUNTIFS(jr_num,A658,jr_check,"&lt;&gt;OK")&gt;0,"À vérifier",IF(LEFT(A658,2)="BL",IF(COUNTIFS(jr_num,A658,jr_rel,"&gt;0")&gt;0,"Reliquat en cours",IF(COUNTIFS(jr_num,A658,jr_gap,"&lt;0")&gt;0,"Reliquat livré","Complet")),IF(LEFT(A658,2)="BR",IF(COUNTIFS(jr_num,A658,jr_etat,"Refusé")&gt;0,"Refusé",IF(COUNTIFS(jr_num,A658,jr_etat,"Avec réserves")&gt;0,"Avec réserves",IF(COUNTIFS(jr_num,A658,jr_rel,"&gt;0")&gt;0,"Reliquat en cours",IF(COUNTIFS(jr_num,A658,jr_gap,"&lt;0")+COUNTIFS(jr_num,A658,jr_gap,"&gt;0")&gt;0,"Écart","Conforme")))),IF(COUNTIFS(jr_num,A658,jr_gap,"&lt;0")&gt;0,"Partiel","Sorti")))))</f>
        <v/>
      </c>
      <c r="O658" t="str">
        <f>IFERROR(MATCH(653,jr_grank,0),"")</f>
        <v/>
      </c>
      <c r="R658" s="67" t="str">
        <f>IFERROR(INDEX(jr_num,MATCH("BL653",jr_nkey,0))&amp;"","")</f>
        <v/>
      </c>
      <c r="S658" s="67" t="str">
        <f>IFERROR(INDEX(jr_num,MATCH("BR653",jr_nkey,0))&amp;"","")</f>
        <v/>
      </c>
      <c r="T658" s="67" t="str">
        <f>IFERROR(INDEX(jr_num,MATCH("BS653",jr_nkey,0))&amp;"","")</f>
        <v/>
      </c>
    </row>
    <row r="659">
      <c r="A659" s="60" t="str">
        <f>IF($O659="","",INDEX(jr_num,$O659)&amp;"")</f>
        <v/>
      </c>
      <c r="B659" s="60" t="str">
        <f>IF($O659="","",IF(INDEX(jr_type,$O659)="BL","Livraison",IF(INDEX(jr_type,$O659)="BR","Réception","Sortie")))</f>
        <v/>
      </c>
      <c r="C659" s="65" t="str">
        <f>IF($O659="","",INDEX(jr_date,$O659))</f>
        <v/>
      </c>
      <c r="D659" s="60" t="str">
        <f>IF($O659="","",INDEX(jr_tiers,$O659)&amp;"")</f>
        <v/>
      </c>
      <c r="E659" s="57" t="str">
        <f>IF($O659="","",INDEX(jr_name,$O659)&amp;"")</f>
        <v/>
      </c>
      <c r="F659" s="57" t="str">
        <f>IF($O659="","",INDEX(jr_order,$O659)&amp;"")</f>
        <v/>
      </c>
      <c r="G659" s="57" t="str">
        <f>IF($O659="","",INDEX(jr_ext,$O659)&amp;"")</f>
        <v/>
      </c>
      <c r="H659" s="57" t="str">
        <f>IF($O659="","",INDEX(jr_carrier,$O659)&amp;"")</f>
        <v/>
      </c>
      <c r="I659" s="66" t="str">
        <f>IF(A659="","",COUNTIF(jr_num,A659))</f>
        <v/>
      </c>
      <c r="J659" s="66" t="str">
        <f>IF(A659="","",SUMIF(jr_num,A659,jr_colis))</f>
        <v/>
      </c>
      <c r="K659" s="63" t="str">
        <f>IF(A659="","",SUMIF(jr_num,A659,jr_kg))</f>
        <v/>
      </c>
      <c r="L659" s="64" t="str">
        <f>IF(A659="","",SUMIF(jr_num,A659,jr_val))</f>
        <v/>
      </c>
      <c r="M659" s="60" t="str">
        <f>IF(A659="","",IF(COUNTIFS(jr_num,A659,jr_check,"&lt;&gt;OK")&gt;0,"À vérifier",IF(LEFT(A659,2)="BL",IF(COUNTIFS(jr_num,A659,jr_rel,"&gt;0")&gt;0,"Reliquat en cours",IF(COUNTIFS(jr_num,A659,jr_gap,"&lt;0")&gt;0,"Reliquat livré","Complet")),IF(LEFT(A659,2)="BR",IF(COUNTIFS(jr_num,A659,jr_etat,"Refusé")&gt;0,"Refusé",IF(COUNTIFS(jr_num,A659,jr_etat,"Avec réserves")&gt;0,"Avec réserves",IF(COUNTIFS(jr_num,A659,jr_rel,"&gt;0")&gt;0,"Reliquat en cours",IF(COUNTIFS(jr_num,A659,jr_gap,"&lt;0")+COUNTIFS(jr_num,A659,jr_gap,"&gt;0")&gt;0,"Écart","Conforme")))),IF(COUNTIFS(jr_num,A659,jr_gap,"&lt;0")&gt;0,"Partiel","Sorti")))))</f>
        <v/>
      </c>
      <c r="O659" t="str">
        <f>IFERROR(MATCH(654,jr_grank,0),"")</f>
        <v/>
      </c>
      <c r="R659" s="67" t="str">
        <f>IFERROR(INDEX(jr_num,MATCH("BL654",jr_nkey,0))&amp;"","")</f>
        <v/>
      </c>
      <c r="S659" s="67" t="str">
        <f>IFERROR(INDEX(jr_num,MATCH("BR654",jr_nkey,0))&amp;"","")</f>
        <v/>
      </c>
      <c r="T659" s="67" t="str">
        <f>IFERROR(INDEX(jr_num,MATCH("BS654",jr_nkey,0))&amp;"","")</f>
        <v/>
      </c>
    </row>
    <row r="660">
      <c r="A660" s="60" t="str">
        <f>IF($O660="","",INDEX(jr_num,$O660)&amp;"")</f>
        <v/>
      </c>
      <c r="B660" s="60" t="str">
        <f>IF($O660="","",IF(INDEX(jr_type,$O660)="BL","Livraison",IF(INDEX(jr_type,$O660)="BR","Réception","Sortie")))</f>
        <v/>
      </c>
      <c r="C660" s="65" t="str">
        <f>IF($O660="","",INDEX(jr_date,$O660))</f>
        <v/>
      </c>
      <c r="D660" s="60" t="str">
        <f>IF($O660="","",INDEX(jr_tiers,$O660)&amp;"")</f>
        <v/>
      </c>
      <c r="E660" s="57" t="str">
        <f>IF($O660="","",INDEX(jr_name,$O660)&amp;"")</f>
        <v/>
      </c>
      <c r="F660" s="57" t="str">
        <f>IF($O660="","",INDEX(jr_order,$O660)&amp;"")</f>
        <v/>
      </c>
      <c r="G660" s="57" t="str">
        <f>IF($O660="","",INDEX(jr_ext,$O660)&amp;"")</f>
        <v/>
      </c>
      <c r="H660" s="57" t="str">
        <f>IF($O660="","",INDEX(jr_carrier,$O660)&amp;"")</f>
        <v/>
      </c>
      <c r="I660" s="66" t="str">
        <f>IF(A660="","",COUNTIF(jr_num,A660))</f>
        <v/>
      </c>
      <c r="J660" s="66" t="str">
        <f>IF(A660="","",SUMIF(jr_num,A660,jr_colis))</f>
        <v/>
      </c>
      <c r="K660" s="63" t="str">
        <f>IF(A660="","",SUMIF(jr_num,A660,jr_kg))</f>
        <v/>
      </c>
      <c r="L660" s="64" t="str">
        <f>IF(A660="","",SUMIF(jr_num,A660,jr_val))</f>
        <v/>
      </c>
      <c r="M660" s="60" t="str">
        <f>IF(A660="","",IF(COUNTIFS(jr_num,A660,jr_check,"&lt;&gt;OK")&gt;0,"À vérifier",IF(LEFT(A660,2)="BL",IF(COUNTIFS(jr_num,A660,jr_rel,"&gt;0")&gt;0,"Reliquat en cours",IF(COUNTIFS(jr_num,A660,jr_gap,"&lt;0")&gt;0,"Reliquat livré","Complet")),IF(LEFT(A660,2)="BR",IF(COUNTIFS(jr_num,A660,jr_etat,"Refusé")&gt;0,"Refusé",IF(COUNTIFS(jr_num,A660,jr_etat,"Avec réserves")&gt;0,"Avec réserves",IF(COUNTIFS(jr_num,A660,jr_rel,"&gt;0")&gt;0,"Reliquat en cours",IF(COUNTIFS(jr_num,A660,jr_gap,"&lt;0")+COUNTIFS(jr_num,A660,jr_gap,"&gt;0")&gt;0,"Écart","Conforme")))),IF(COUNTIFS(jr_num,A660,jr_gap,"&lt;0")&gt;0,"Partiel","Sorti")))))</f>
        <v/>
      </c>
      <c r="O660" t="str">
        <f>IFERROR(MATCH(655,jr_grank,0),"")</f>
        <v/>
      </c>
      <c r="R660" s="67" t="str">
        <f>IFERROR(INDEX(jr_num,MATCH("BL655",jr_nkey,0))&amp;"","")</f>
        <v/>
      </c>
      <c r="S660" s="67" t="str">
        <f>IFERROR(INDEX(jr_num,MATCH("BR655",jr_nkey,0))&amp;"","")</f>
        <v/>
      </c>
      <c r="T660" s="67" t="str">
        <f>IFERROR(INDEX(jr_num,MATCH("BS655",jr_nkey,0))&amp;"","")</f>
        <v/>
      </c>
    </row>
    <row r="661">
      <c r="A661" s="60" t="str">
        <f>IF($O661="","",INDEX(jr_num,$O661)&amp;"")</f>
        <v/>
      </c>
      <c r="B661" s="60" t="str">
        <f>IF($O661="","",IF(INDEX(jr_type,$O661)="BL","Livraison",IF(INDEX(jr_type,$O661)="BR","Réception","Sortie")))</f>
        <v/>
      </c>
      <c r="C661" s="65" t="str">
        <f>IF($O661="","",INDEX(jr_date,$O661))</f>
        <v/>
      </c>
      <c r="D661" s="60" t="str">
        <f>IF($O661="","",INDEX(jr_tiers,$O661)&amp;"")</f>
        <v/>
      </c>
      <c r="E661" s="57" t="str">
        <f>IF($O661="","",INDEX(jr_name,$O661)&amp;"")</f>
        <v/>
      </c>
      <c r="F661" s="57" t="str">
        <f>IF($O661="","",INDEX(jr_order,$O661)&amp;"")</f>
        <v/>
      </c>
      <c r="G661" s="57" t="str">
        <f>IF($O661="","",INDEX(jr_ext,$O661)&amp;"")</f>
        <v/>
      </c>
      <c r="H661" s="57" t="str">
        <f>IF($O661="","",INDEX(jr_carrier,$O661)&amp;"")</f>
        <v/>
      </c>
      <c r="I661" s="66" t="str">
        <f>IF(A661="","",COUNTIF(jr_num,A661))</f>
        <v/>
      </c>
      <c r="J661" s="66" t="str">
        <f>IF(A661="","",SUMIF(jr_num,A661,jr_colis))</f>
        <v/>
      </c>
      <c r="K661" s="63" t="str">
        <f>IF(A661="","",SUMIF(jr_num,A661,jr_kg))</f>
        <v/>
      </c>
      <c r="L661" s="64" t="str">
        <f>IF(A661="","",SUMIF(jr_num,A661,jr_val))</f>
        <v/>
      </c>
      <c r="M661" s="60" t="str">
        <f>IF(A661="","",IF(COUNTIFS(jr_num,A661,jr_check,"&lt;&gt;OK")&gt;0,"À vérifier",IF(LEFT(A661,2)="BL",IF(COUNTIFS(jr_num,A661,jr_rel,"&gt;0")&gt;0,"Reliquat en cours",IF(COUNTIFS(jr_num,A661,jr_gap,"&lt;0")&gt;0,"Reliquat livré","Complet")),IF(LEFT(A661,2)="BR",IF(COUNTIFS(jr_num,A661,jr_etat,"Refusé")&gt;0,"Refusé",IF(COUNTIFS(jr_num,A661,jr_etat,"Avec réserves")&gt;0,"Avec réserves",IF(COUNTIFS(jr_num,A661,jr_rel,"&gt;0")&gt;0,"Reliquat en cours",IF(COUNTIFS(jr_num,A661,jr_gap,"&lt;0")+COUNTIFS(jr_num,A661,jr_gap,"&gt;0")&gt;0,"Écart","Conforme")))),IF(COUNTIFS(jr_num,A661,jr_gap,"&lt;0")&gt;0,"Partiel","Sorti")))))</f>
        <v/>
      </c>
      <c r="O661" t="str">
        <f>IFERROR(MATCH(656,jr_grank,0),"")</f>
        <v/>
      </c>
      <c r="R661" s="67" t="str">
        <f>IFERROR(INDEX(jr_num,MATCH("BL656",jr_nkey,0))&amp;"","")</f>
        <v/>
      </c>
      <c r="S661" s="67" t="str">
        <f>IFERROR(INDEX(jr_num,MATCH("BR656",jr_nkey,0))&amp;"","")</f>
        <v/>
      </c>
      <c r="T661" s="67" t="str">
        <f>IFERROR(INDEX(jr_num,MATCH("BS656",jr_nkey,0))&amp;"","")</f>
        <v/>
      </c>
    </row>
    <row r="662">
      <c r="A662" s="60" t="str">
        <f>IF($O662="","",INDEX(jr_num,$O662)&amp;"")</f>
        <v/>
      </c>
      <c r="B662" s="60" t="str">
        <f>IF($O662="","",IF(INDEX(jr_type,$O662)="BL","Livraison",IF(INDEX(jr_type,$O662)="BR","Réception","Sortie")))</f>
        <v/>
      </c>
      <c r="C662" s="65" t="str">
        <f>IF($O662="","",INDEX(jr_date,$O662))</f>
        <v/>
      </c>
      <c r="D662" s="60" t="str">
        <f>IF($O662="","",INDEX(jr_tiers,$O662)&amp;"")</f>
        <v/>
      </c>
      <c r="E662" s="57" t="str">
        <f>IF($O662="","",INDEX(jr_name,$O662)&amp;"")</f>
        <v/>
      </c>
      <c r="F662" s="57" t="str">
        <f>IF($O662="","",INDEX(jr_order,$O662)&amp;"")</f>
        <v/>
      </c>
      <c r="G662" s="57" t="str">
        <f>IF($O662="","",INDEX(jr_ext,$O662)&amp;"")</f>
        <v/>
      </c>
      <c r="H662" s="57" t="str">
        <f>IF($O662="","",INDEX(jr_carrier,$O662)&amp;"")</f>
        <v/>
      </c>
      <c r="I662" s="66" t="str">
        <f>IF(A662="","",COUNTIF(jr_num,A662))</f>
        <v/>
      </c>
      <c r="J662" s="66" t="str">
        <f>IF(A662="","",SUMIF(jr_num,A662,jr_colis))</f>
        <v/>
      </c>
      <c r="K662" s="63" t="str">
        <f>IF(A662="","",SUMIF(jr_num,A662,jr_kg))</f>
        <v/>
      </c>
      <c r="L662" s="64" t="str">
        <f>IF(A662="","",SUMIF(jr_num,A662,jr_val))</f>
        <v/>
      </c>
      <c r="M662" s="60" t="str">
        <f>IF(A662="","",IF(COUNTIFS(jr_num,A662,jr_check,"&lt;&gt;OK")&gt;0,"À vérifier",IF(LEFT(A662,2)="BL",IF(COUNTIFS(jr_num,A662,jr_rel,"&gt;0")&gt;0,"Reliquat en cours",IF(COUNTIFS(jr_num,A662,jr_gap,"&lt;0")&gt;0,"Reliquat livré","Complet")),IF(LEFT(A662,2)="BR",IF(COUNTIFS(jr_num,A662,jr_etat,"Refusé")&gt;0,"Refusé",IF(COUNTIFS(jr_num,A662,jr_etat,"Avec réserves")&gt;0,"Avec réserves",IF(COUNTIFS(jr_num,A662,jr_rel,"&gt;0")&gt;0,"Reliquat en cours",IF(COUNTIFS(jr_num,A662,jr_gap,"&lt;0")+COUNTIFS(jr_num,A662,jr_gap,"&gt;0")&gt;0,"Écart","Conforme")))),IF(COUNTIFS(jr_num,A662,jr_gap,"&lt;0")&gt;0,"Partiel","Sorti")))))</f>
        <v/>
      </c>
      <c r="O662" t="str">
        <f>IFERROR(MATCH(657,jr_grank,0),"")</f>
        <v/>
      </c>
      <c r="R662" s="67" t="str">
        <f>IFERROR(INDEX(jr_num,MATCH("BL657",jr_nkey,0))&amp;"","")</f>
        <v/>
      </c>
      <c r="S662" s="67" t="str">
        <f>IFERROR(INDEX(jr_num,MATCH("BR657",jr_nkey,0))&amp;"","")</f>
        <v/>
      </c>
      <c r="T662" s="67" t="str">
        <f>IFERROR(INDEX(jr_num,MATCH("BS657",jr_nkey,0))&amp;"","")</f>
        <v/>
      </c>
    </row>
    <row r="663">
      <c r="A663" s="60" t="str">
        <f>IF($O663="","",INDEX(jr_num,$O663)&amp;"")</f>
        <v/>
      </c>
      <c r="B663" s="60" t="str">
        <f>IF($O663="","",IF(INDEX(jr_type,$O663)="BL","Livraison",IF(INDEX(jr_type,$O663)="BR","Réception","Sortie")))</f>
        <v/>
      </c>
      <c r="C663" s="65" t="str">
        <f>IF($O663="","",INDEX(jr_date,$O663))</f>
        <v/>
      </c>
      <c r="D663" s="60" t="str">
        <f>IF($O663="","",INDEX(jr_tiers,$O663)&amp;"")</f>
        <v/>
      </c>
      <c r="E663" s="57" t="str">
        <f>IF($O663="","",INDEX(jr_name,$O663)&amp;"")</f>
        <v/>
      </c>
      <c r="F663" s="57" t="str">
        <f>IF($O663="","",INDEX(jr_order,$O663)&amp;"")</f>
        <v/>
      </c>
      <c r="G663" s="57" t="str">
        <f>IF($O663="","",INDEX(jr_ext,$O663)&amp;"")</f>
        <v/>
      </c>
      <c r="H663" s="57" t="str">
        <f>IF($O663="","",INDEX(jr_carrier,$O663)&amp;"")</f>
        <v/>
      </c>
      <c r="I663" s="66" t="str">
        <f>IF(A663="","",COUNTIF(jr_num,A663))</f>
        <v/>
      </c>
      <c r="J663" s="66" t="str">
        <f>IF(A663="","",SUMIF(jr_num,A663,jr_colis))</f>
        <v/>
      </c>
      <c r="K663" s="63" t="str">
        <f>IF(A663="","",SUMIF(jr_num,A663,jr_kg))</f>
        <v/>
      </c>
      <c r="L663" s="64" t="str">
        <f>IF(A663="","",SUMIF(jr_num,A663,jr_val))</f>
        <v/>
      </c>
      <c r="M663" s="60" t="str">
        <f>IF(A663="","",IF(COUNTIFS(jr_num,A663,jr_check,"&lt;&gt;OK")&gt;0,"À vérifier",IF(LEFT(A663,2)="BL",IF(COUNTIFS(jr_num,A663,jr_rel,"&gt;0")&gt;0,"Reliquat en cours",IF(COUNTIFS(jr_num,A663,jr_gap,"&lt;0")&gt;0,"Reliquat livré","Complet")),IF(LEFT(A663,2)="BR",IF(COUNTIFS(jr_num,A663,jr_etat,"Refusé")&gt;0,"Refusé",IF(COUNTIFS(jr_num,A663,jr_etat,"Avec réserves")&gt;0,"Avec réserves",IF(COUNTIFS(jr_num,A663,jr_rel,"&gt;0")&gt;0,"Reliquat en cours",IF(COUNTIFS(jr_num,A663,jr_gap,"&lt;0")+COUNTIFS(jr_num,A663,jr_gap,"&gt;0")&gt;0,"Écart","Conforme")))),IF(COUNTIFS(jr_num,A663,jr_gap,"&lt;0")&gt;0,"Partiel","Sorti")))))</f>
        <v/>
      </c>
      <c r="O663" t="str">
        <f>IFERROR(MATCH(658,jr_grank,0),"")</f>
        <v/>
      </c>
      <c r="R663" s="67" t="str">
        <f>IFERROR(INDEX(jr_num,MATCH("BL658",jr_nkey,0))&amp;"","")</f>
        <v/>
      </c>
      <c r="S663" s="67" t="str">
        <f>IFERROR(INDEX(jr_num,MATCH("BR658",jr_nkey,0))&amp;"","")</f>
        <v/>
      </c>
      <c r="T663" s="67" t="str">
        <f>IFERROR(INDEX(jr_num,MATCH("BS658",jr_nkey,0))&amp;"","")</f>
        <v/>
      </c>
    </row>
    <row r="664">
      <c r="A664" s="60" t="str">
        <f>IF($O664="","",INDEX(jr_num,$O664)&amp;"")</f>
        <v/>
      </c>
      <c r="B664" s="60" t="str">
        <f>IF($O664="","",IF(INDEX(jr_type,$O664)="BL","Livraison",IF(INDEX(jr_type,$O664)="BR","Réception","Sortie")))</f>
        <v/>
      </c>
      <c r="C664" s="65" t="str">
        <f>IF($O664="","",INDEX(jr_date,$O664))</f>
        <v/>
      </c>
      <c r="D664" s="60" t="str">
        <f>IF($O664="","",INDEX(jr_tiers,$O664)&amp;"")</f>
        <v/>
      </c>
      <c r="E664" s="57" t="str">
        <f>IF($O664="","",INDEX(jr_name,$O664)&amp;"")</f>
        <v/>
      </c>
      <c r="F664" s="57" t="str">
        <f>IF($O664="","",INDEX(jr_order,$O664)&amp;"")</f>
        <v/>
      </c>
      <c r="G664" s="57" t="str">
        <f>IF($O664="","",INDEX(jr_ext,$O664)&amp;"")</f>
        <v/>
      </c>
      <c r="H664" s="57" t="str">
        <f>IF($O664="","",INDEX(jr_carrier,$O664)&amp;"")</f>
        <v/>
      </c>
      <c r="I664" s="66" t="str">
        <f>IF(A664="","",COUNTIF(jr_num,A664))</f>
        <v/>
      </c>
      <c r="J664" s="66" t="str">
        <f>IF(A664="","",SUMIF(jr_num,A664,jr_colis))</f>
        <v/>
      </c>
      <c r="K664" s="63" t="str">
        <f>IF(A664="","",SUMIF(jr_num,A664,jr_kg))</f>
        <v/>
      </c>
      <c r="L664" s="64" t="str">
        <f>IF(A664="","",SUMIF(jr_num,A664,jr_val))</f>
        <v/>
      </c>
      <c r="M664" s="60" t="str">
        <f>IF(A664="","",IF(COUNTIFS(jr_num,A664,jr_check,"&lt;&gt;OK")&gt;0,"À vérifier",IF(LEFT(A664,2)="BL",IF(COUNTIFS(jr_num,A664,jr_rel,"&gt;0")&gt;0,"Reliquat en cours",IF(COUNTIFS(jr_num,A664,jr_gap,"&lt;0")&gt;0,"Reliquat livré","Complet")),IF(LEFT(A664,2)="BR",IF(COUNTIFS(jr_num,A664,jr_etat,"Refusé")&gt;0,"Refusé",IF(COUNTIFS(jr_num,A664,jr_etat,"Avec réserves")&gt;0,"Avec réserves",IF(COUNTIFS(jr_num,A664,jr_rel,"&gt;0")&gt;0,"Reliquat en cours",IF(COUNTIFS(jr_num,A664,jr_gap,"&lt;0")+COUNTIFS(jr_num,A664,jr_gap,"&gt;0")&gt;0,"Écart","Conforme")))),IF(COUNTIFS(jr_num,A664,jr_gap,"&lt;0")&gt;0,"Partiel","Sorti")))))</f>
        <v/>
      </c>
      <c r="O664" t="str">
        <f>IFERROR(MATCH(659,jr_grank,0),"")</f>
        <v/>
      </c>
      <c r="R664" s="67" t="str">
        <f>IFERROR(INDEX(jr_num,MATCH("BL659",jr_nkey,0))&amp;"","")</f>
        <v/>
      </c>
      <c r="S664" s="67" t="str">
        <f>IFERROR(INDEX(jr_num,MATCH("BR659",jr_nkey,0))&amp;"","")</f>
        <v/>
      </c>
      <c r="T664" s="67" t="str">
        <f>IFERROR(INDEX(jr_num,MATCH("BS659",jr_nkey,0))&amp;"","")</f>
        <v/>
      </c>
    </row>
    <row r="665">
      <c r="A665" s="60" t="str">
        <f>IF($O665="","",INDEX(jr_num,$O665)&amp;"")</f>
        <v/>
      </c>
      <c r="B665" s="60" t="str">
        <f>IF($O665="","",IF(INDEX(jr_type,$O665)="BL","Livraison",IF(INDEX(jr_type,$O665)="BR","Réception","Sortie")))</f>
        <v/>
      </c>
      <c r="C665" s="65" t="str">
        <f>IF($O665="","",INDEX(jr_date,$O665))</f>
        <v/>
      </c>
      <c r="D665" s="60" t="str">
        <f>IF($O665="","",INDEX(jr_tiers,$O665)&amp;"")</f>
        <v/>
      </c>
      <c r="E665" s="57" t="str">
        <f>IF($O665="","",INDEX(jr_name,$O665)&amp;"")</f>
        <v/>
      </c>
      <c r="F665" s="57" t="str">
        <f>IF($O665="","",INDEX(jr_order,$O665)&amp;"")</f>
        <v/>
      </c>
      <c r="G665" s="57" t="str">
        <f>IF($O665="","",INDEX(jr_ext,$O665)&amp;"")</f>
        <v/>
      </c>
      <c r="H665" s="57" t="str">
        <f>IF($O665="","",INDEX(jr_carrier,$O665)&amp;"")</f>
        <v/>
      </c>
      <c r="I665" s="66" t="str">
        <f>IF(A665="","",COUNTIF(jr_num,A665))</f>
        <v/>
      </c>
      <c r="J665" s="66" t="str">
        <f>IF(A665="","",SUMIF(jr_num,A665,jr_colis))</f>
        <v/>
      </c>
      <c r="K665" s="63" t="str">
        <f>IF(A665="","",SUMIF(jr_num,A665,jr_kg))</f>
        <v/>
      </c>
      <c r="L665" s="64" t="str">
        <f>IF(A665="","",SUMIF(jr_num,A665,jr_val))</f>
        <v/>
      </c>
      <c r="M665" s="60" t="str">
        <f>IF(A665="","",IF(COUNTIFS(jr_num,A665,jr_check,"&lt;&gt;OK")&gt;0,"À vérifier",IF(LEFT(A665,2)="BL",IF(COUNTIFS(jr_num,A665,jr_rel,"&gt;0")&gt;0,"Reliquat en cours",IF(COUNTIFS(jr_num,A665,jr_gap,"&lt;0")&gt;0,"Reliquat livré","Complet")),IF(LEFT(A665,2)="BR",IF(COUNTIFS(jr_num,A665,jr_etat,"Refusé")&gt;0,"Refusé",IF(COUNTIFS(jr_num,A665,jr_etat,"Avec réserves")&gt;0,"Avec réserves",IF(COUNTIFS(jr_num,A665,jr_rel,"&gt;0")&gt;0,"Reliquat en cours",IF(COUNTIFS(jr_num,A665,jr_gap,"&lt;0")+COUNTIFS(jr_num,A665,jr_gap,"&gt;0")&gt;0,"Écart","Conforme")))),IF(COUNTIFS(jr_num,A665,jr_gap,"&lt;0")&gt;0,"Partiel","Sorti")))))</f>
        <v/>
      </c>
      <c r="O665" t="str">
        <f>IFERROR(MATCH(660,jr_grank,0),"")</f>
        <v/>
      </c>
      <c r="R665" s="67" t="str">
        <f>IFERROR(INDEX(jr_num,MATCH("BL660",jr_nkey,0))&amp;"","")</f>
        <v/>
      </c>
      <c r="S665" s="67" t="str">
        <f>IFERROR(INDEX(jr_num,MATCH("BR660",jr_nkey,0))&amp;"","")</f>
        <v/>
      </c>
      <c r="T665" s="67" t="str">
        <f>IFERROR(INDEX(jr_num,MATCH("BS660",jr_nkey,0))&amp;"","")</f>
        <v/>
      </c>
    </row>
    <row r="666">
      <c r="A666" s="60" t="str">
        <f>IF($O666="","",INDEX(jr_num,$O666)&amp;"")</f>
        <v/>
      </c>
      <c r="B666" s="60" t="str">
        <f>IF($O666="","",IF(INDEX(jr_type,$O666)="BL","Livraison",IF(INDEX(jr_type,$O666)="BR","Réception","Sortie")))</f>
        <v/>
      </c>
      <c r="C666" s="65" t="str">
        <f>IF($O666="","",INDEX(jr_date,$O666))</f>
        <v/>
      </c>
      <c r="D666" s="60" t="str">
        <f>IF($O666="","",INDEX(jr_tiers,$O666)&amp;"")</f>
        <v/>
      </c>
      <c r="E666" s="57" t="str">
        <f>IF($O666="","",INDEX(jr_name,$O666)&amp;"")</f>
        <v/>
      </c>
      <c r="F666" s="57" t="str">
        <f>IF($O666="","",INDEX(jr_order,$O666)&amp;"")</f>
        <v/>
      </c>
      <c r="G666" s="57" t="str">
        <f>IF($O666="","",INDEX(jr_ext,$O666)&amp;"")</f>
        <v/>
      </c>
      <c r="H666" s="57" t="str">
        <f>IF($O666="","",INDEX(jr_carrier,$O666)&amp;"")</f>
        <v/>
      </c>
      <c r="I666" s="66" t="str">
        <f>IF(A666="","",COUNTIF(jr_num,A666))</f>
        <v/>
      </c>
      <c r="J666" s="66" t="str">
        <f>IF(A666="","",SUMIF(jr_num,A666,jr_colis))</f>
        <v/>
      </c>
      <c r="K666" s="63" t="str">
        <f>IF(A666="","",SUMIF(jr_num,A666,jr_kg))</f>
        <v/>
      </c>
      <c r="L666" s="64" t="str">
        <f>IF(A666="","",SUMIF(jr_num,A666,jr_val))</f>
        <v/>
      </c>
      <c r="M666" s="60" t="str">
        <f>IF(A666="","",IF(COUNTIFS(jr_num,A666,jr_check,"&lt;&gt;OK")&gt;0,"À vérifier",IF(LEFT(A666,2)="BL",IF(COUNTIFS(jr_num,A666,jr_rel,"&gt;0")&gt;0,"Reliquat en cours",IF(COUNTIFS(jr_num,A666,jr_gap,"&lt;0")&gt;0,"Reliquat livré","Complet")),IF(LEFT(A666,2)="BR",IF(COUNTIFS(jr_num,A666,jr_etat,"Refusé")&gt;0,"Refusé",IF(COUNTIFS(jr_num,A666,jr_etat,"Avec réserves")&gt;0,"Avec réserves",IF(COUNTIFS(jr_num,A666,jr_rel,"&gt;0")&gt;0,"Reliquat en cours",IF(COUNTIFS(jr_num,A666,jr_gap,"&lt;0")+COUNTIFS(jr_num,A666,jr_gap,"&gt;0")&gt;0,"Écart","Conforme")))),IF(COUNTIFS(jr_num,A666,jr_gap,"&lt;0")&gt;0,"Partiel","Sorti")))))</f>
        <v/>
      </c>
      <c r="O666" t="str">
        <f>IFERROR(MATCH(661,jr_grank,0),"")</f>
        <v/>
      </c>
      <c r="R666" s="67" t="str">
        <f>IFERROR(INDEX(jr_num,MATCH("BL661",jr_nkey,0))&amp;"","")</f>
        <v/>
      </c>
      <c r="S666" s="67" t="str">
        <f>IFERROR(INDEX(jr_num,MATCH("BR661",jr_nkey,0))&amp;"","")</f>
        <v/>
      </c>
      <c r="T666" s="67" t="str">
        <f>IFERROR(INDEX(jr_num,MATCH("BS661",jr_nkey,0))&amp;"","")</f>
        <v/>
      </c>
    </row>
    <row r="667">
      <c r="A667" s="60" t="str">
        <f>IF($O667="","",INDEX(jr_num,$O667)&amp;"")</f>
        <v/>
      </c>
      <c r="B667" s="60" t="str">
        <f>IF($O667="","",IF(INDEX(jr_type,$O667)="BL","Livraison",IF(INDEX(jr_type,$O667)="BR","Réception","Sortie")))</f>
        <v/>
      </c>
      <c r="C667" s="65" t="str">
        <f>IF($O667="","",INDEX(jr_date,$O667))</f>
        <v/>
      </c>
      <c r="D667" s="60" t="str">
        <f>IF($O667="","",INDEX(jr_tiers,$O667)&amp;"")</f>
        <v/>
      </c>
      <c r="E667" s="57" t="str">
        <f>IF($O667="","",INDEX(jr_name,$O667)&amp;"")</f>
        <v/>
      </c>
      <c r="F667" s="57" t="str">
        <f>IF($O667="","",INDEX(jr_order,$O667)&amp;"")</f>
        <v/>
      </c>
      <c r="G667" s="57" t="str">
        <f>IF($O667="","",INDEX(jr_ext,$O667)&amp;"")</f>
        <v/>
      </c>
      <c r="H667" s="57" t="str">
        <f>IF($O667="","",INDEX(jr_carrier,$O667)&amp;"")</f>
        <v/>
      </c>
      <c r="I667" s="66" t="str">
        <f>IF(A667="","",COUNTIF(jr_num,A667))</f>
        <v/>
      </c>
      <c r="J667" s="66" t="str">
        <f>IF(A667="","",SUMIF(jr_num,A667,jr_colis))</f>
        <v/>
      </c>
      <c r="K667" s="63" t="str">
        <f>IF(A667="","",SUMIF(jr_num,A667,jr_kg))</f>
        <v/>
      </c>
      <c r="L667" s="64" t="str">
        <f>IF(A667="","",SUMIF(jr_num,A667,jr_val))</f>
        <v/>
      </c>
      <c r="M667" s="60" t="str">
        <f>IF(A667="","",IF(COUNTIFS(jr_num,A667,jr_check,"&lt;&gt;OK")&gt;0,"À vérifier",IF(LEFT(A667,2)="BL",IF(COUNTIFS(jr_num,A667,jr_rel,"&gt;0")&gt;0,"Reliquat en cours",IF(COUNTIFS(jr_num,A667,jr_gap,"&lt;0")&gt;0,"Reliquat livré","Complet")),IF(LEFT(A667,2)="BR",IF(COUNTIFS(jr_num,A667,jr_etat,"Refusé")&gt;0,"Refusé",IF(COUNTIFS(jr_num,A667,jr_etat,"Avec réserves")&gt;0,"Avec réserves",IF(COUNTIFS(jr_num,A667,jr_rel,"&gt;0")&gt;0,"Reliquat en cours",IF(COUNTIFS(jr_num,A667,jr_gap,"&lt;0")+COUNTIFS(jr_num,A667,jr_gap,"&gt;0")&gt;0,"Écart","Conforme")))),IF(COUNTIFS(jr_num,A667,jr_gap,"&lt;0")&gt;0,"Partiel","Sorti")))))</f>
        <v/>
      </c>
      <c r="O667" t="str">
        <f>IFERROR(MATCH(662,jr_grank,0),"")</f>
        <v/>
      </c>
      <c r="R667" s="67" t="str">
        <f>IFERROR(INDEX(jr_num,MATCH("BL662",jr_nkey,0))&amp;"","")</f>
        <v/>
      </c>
      <c r="S667" s="67" t="str">
        <f>IFERROR(INDEX(jr_num,MATCH("BR662",jr_nkey,0))&amp;"","")</f>
        <v/>
      </c>
      <c r="T667" s="67" t="str">
        <f>IFERROR(INDEX(jr_num,MATCH("BS662",jr_nkey,0))&amp;"","")</f>
        <v/>
      </c>
    </row>
    <row r="668">
      <c r="A668" s="60" t="str">
        <f>IF($O668="","",INDEX(jr_num,$O668)&amp;"")</f>
        <v/>
      </c>
      <c r="B668" s="60" t="str">
        <f>IF($O668="","",IF(INDEX(jr_type,$O668)="BL","Livraison",IF(INDEX(jr_type,$O668)="BR","Réception","Sortie")))</f>
        <v/>
      </c>
      <c r="C668" s="65" t="str">
        <f>IF($O668="","",INDEX(jr_date,$O668))</f>
        <v/>
      </c>
      <c r="D668" s="60" t="str">
        <f>IF($O668="","",INDEX(jr_tiers,$O668)&amp;"")</f>
        <v/>
      </c>
      <c r="E668" s="57" t="str">
        <f>IF($O668="","",INDEX(jr_name,$O668)&amp;"")</f>
        <v/>
      </c>
      <c r="F668" s="57" t="str">
        <f>IF($O668="","",INDEX(jr_order,$O668)&amp;"")</f>
        <v/>
      </c>
      <c r="G668" s="57" t="str">
        <f>IF($O668="","",INDEX(jr_ext,$O668)&amp;"")</f>
        <v/>
      </c>
      <c r="H668" s="57" t="str">
        <f>IF($O668="","",INDEX(jr_carrier,$O668)&amp;"")</f>
        <v/>
      </c>
      <c r="I668" s="66" t="str">
        <f>IF(A668="","",COUNTIF(jr_num,A668))</f>
        <v/>
      </c>
      <c r="J668" s="66" t="str">
        <f>IF(A668="","",SUMIF(jr_num,A668,jr_colis))</f>
        <v/>
      </c>
      <c r="K668" s="63" t="str">
        <f>IF(A668="","",SUMIF(jr_num,A668,jr_kg))</f>
        <v/>
      </c>
      <c r="L668" s="64" t="str">
        <f>IF(A668="","",SUMIF(jr_num,A668,jr_val))</f>
        <v/>
      </c>
      <c r="M668" s="60" t="str">
        <f>IF(A668="","",IF(COUNTIFS(jr_num,A668,jr_check,"&lt;&gt;OK")&gt;0,"À vérifier",IF(LEFT(A668,2)="BL",IF(COUNTIFS(jr_num,A668,jr_rel,"&gt;0")&gt;0,"Reliquat en cours",IF(COUNTIFS(jr_num,A668,jr_gap,"&lt;0")&gt;0,"Reliquat livré","Complet")),IF(LEFT(A668,2)="BR",IF(COUNTIFS(jr_num,A668,jr_etat,"Refusé")&gt;0,"Refusé",IF(COUNTIFS(jr_num,A668,jr_etat,"Avec réserves")&gt;0,"Avec réserves",IF(COUNTIFS(jr_num,A668,jr_rel,"&gt;0")&gt;0,"Reliquat en cours",IF(COUNTIFS(jr_num,A668,jr_gap,"&lt;0")+COUNTIFS(jr_num,A668,jr_gap,"&gt;0")&gt;0,"Écart","Conforme")))),IF(COUNTIFS(jr_num,A668,jr_gap,"&lt;0")&gt;0,"Partiel","Sorti")))))</f>
        <v/>
      </c>
      <c r="O668" t="str">
        <f>IFERROR(MATCH(663,jr_grank,0),"")</f>
        <v/>
      </c>
      <c r="R668" s="67" t="str">
        <f>IFERROR(INDEX(jr_num,MATCH("BL663",jr_nkey,0))&amp;"","")</f>
        <v/>
      </c>
      <c r="S668" s="67" t="str">
        <f>IFERROR(INDEX(jr_num,MATCH("BR663",jr_nkey,0))&amp;"","")</f>
        <v/>
      </c>
      <c r="T668" s="67" t="str">
        <f>IFERROR(INDEX(jr_num,MATCH("BS663",jr_nkey,0))&amp;"","")</f>
        <v/>
      </c>
    </row>
    <row r="669">
      <c r="A669" s="60" t="str">
        <f>IF($O669="","",INDEX(jr_num,$O669)&amp;"")</f>
        <v/>
      </c>
      <c r="B669" s="60" t="str">
        <f>IF($O669="","",IF(INDEX(jr_type,$O669)="BL","Livraison",IF(INDEX(jr_type,$O669)="BR","Réception","Sortie")))</f>
        <v/>
      </c>
      <c r="C669" s="65" t="str">
        <f>IF($O669="","",INDEX(jr_date,$O669))</f>
        <v/>
      </c>
      <c r="D669" s="60" t="str">
        <f>IF($O669="","",INDEX(jr_tiers,$O669)&amp;"")</f>
        <v/>
      </c>
      <c r="E669" s="57" t="str">
        <f>IF($O669="","",INDEX(jr_name,$O669)&amp;"")</f>
        <v/>
      </c>
      <c r="F669" s="57" t="str">
        <f>IF($O669="","",INDEX(jr_order,$O669)&amp;"")</f>
        <v/>
      </c>
      <c r="G669" s="57" t="str">
        <f>IF($O669="","",INDEX(jr_ext,$O669)&amp;"")</f>
        <v/>
      </c>
      <c r="H669" s="57" t="str">
        <f>IF($O669="","",INDEX(jr_carrier,$O669)&amp;"")</f>
        <v/>
      </c>
      <c r="I669" s="66" t="str">
        <f>IF(A669="","",COUNTIF(jr_num,A669))</f>
        <v/>
      </c>
      <c r="J669" s="66" t="str">
        <f>IF(A669="","",SUMIF(jr_num,A669,jr_colis))</f>
        <v/>
      </c>
      <c r="K669" s="63" t="str">
        <f>IF(A669="","",SUMIF(jr_num,A669,jr_kg))</f>
        <v/>
      </c>
      <c r="L669" s="64" t="str">
        <f>IF(A669="","",SUMIF(jr_num,A669,jr_val))</f>
        <v/>
      </c>
      <c r="M669" s="60" t="str">
        <f>IF(A669="","",IF(COUNTIFS(jr_num,A669,jr_check,"&lt;&gt;OK")&gt;0,"À vérifier",IF(LEFT(A669,2)="BL",IF(COUNTIFS(jr_num,A669,jr_rel,"&gt;0")&gt;0,"Reliquat en cours",IF(COUNTIFS(jr_num,A669,jr_gap,"&lt;0")&gt;0,"Reliquat livré","Complet")),IF(LEFT(A669,2)="BR",IF(COUNTIFS(jr_num,A669,jr_etat,"Refusé")&gt;0,"Refusé",IF(COUNTIFS(jr_num,A669,jr_etat,"Avec réserves")&gt;0,"Avec réserves",IF(COUNTIFS(jr_num,A669,jr_rel,"&gt;0")&gt;0,"Reliquat en cours",IF(COUNTIFS(jr_num,A669,jr_gap,"&lt;0")+COUNTIFS(jr_num,A669,jr_gap,"&gt;0")&gt;0,"Écart","Conforme")))),IF(COUNTIFS(jr_num,A669,jr_gap,"&lt;0")&gt;0,"Partiel","Sorti")))))</f>
        <v/>
      </c>
      <c r="O669" t="str">
        <f>IFERROR(MATCH(664,jr_grank,0),"")</f>
        <v/>
      </c>
      <c r="R669" s="67" t="str">
        <f>IFERROR(INDEX(jr_num,MATCH("BL664",jr_nkey,0))&amp;"","")</f>
        <v/>
      </c>
      <c r="S669" s="67" t="str">
        <f>IFERROR(INDEX(jr_num,MATCH("BR664",jr_nkey,0))&amp;"","")</f>
        <v/>
      </c>
      <c r="T669" s="67" t="str">
        <f>IFERROR(INDEX(jr_num,MATCH("BS664",jr_nkey,0))&amp;"","")</f>
        <v/>
      </c>
    </row>
    <row r="670">
      <c r="A670" s="60" t="str">
        <f>IF($O670="","",INDEX(jr_num,$O670)&amp;"")</f>
        <v/>
      </c>
      <c r="B670" s="60" t="str">
        <f>IF($O670="","",IF(INDEX(jr_type,$O670)="BL","Livraison",IF(INDEX(jr_type,$O670)="BR","Réception","Sortie")))</f>
        <v/>
      </c>
      <c r="C670" s="65" t="str">
        <f>IF($O670="","",INDEX(jr_date,$O670))</f>
        <v/>
      </c>
      <c r="D670" s="60" t="str">
        <f>IF($O670="","",INDEX(jr_tiers,$O670)&amp;"")</f>
        <v/>
      </c>
      <c r="E670" s="57" t="str">
        <f>IF($O670="","",INDEX(jr_name,$O670)&amp;"")</f>
        <v/>
      </c>
      <c r="F670" s="57" t="str">
        <f>IF($O670="","",INDEX(jr_order,$O670)&amp;"")</f>
        <v/>
      </c>
      <c r="G670" s="57" t="str">
        <f>IF($O670="","",INDEX(jr_ext,$O670)&amp;"")</f>
        <v/>
      </c>
      <c r="H670" s="57" t="str">
        <f>IF($O670="","",INDEX(jr_carrier,$O670)&amp;"")</f>
        <v/>
      </c>
      <c r="I670" s="66" t="str">
        <f>IF(A670="","",COUNTIF(jr_num,A670))</f>
        <v/>
      </c>
      <c r="J670" s="66" t="str">
        <f>IF(A670="","",SUMIF(jr_num,A670,jr_colis))</f>
        <v/>
      </c>
      <c r="K670" s="63" t="str">
        <f>IF(A670="","",SUMIF(jr_num,A670,jr_kg))</f>
        <v/>
      </c>
      <c r="L670" s="64" t="str">
        <f>IF(A670="","",SUMIF(jr_num,A670,jr_val))</f>
        <v/>
      </c>
      <c r="M670" s="60" t="str">
        <f>IF(A670="","",IF(COUNTIFS(jr_num,A670,jr_check,"&lt;&gt;OK")&gt;0,"À vérifier",IF(LEFT(A670,2)="BL",IF(COUNTIFS(jr_num,A670,jr_rel,"&gt;0")&gt;0,"Reliquat en cours",IF(COUNTIFS(jr_num,A670,jr_gap,"&lt;0")&gt;0,"Reliquat livré","Complet")),IF(LEFT(A670,2)="BR",IF(COUNTIFS(jr_num,A670,jr_etat,"Refusé")&gt;0,"Refusé",IF(COUNTIFS(jr_num,A670,jr_etat,"Avec réserves")&gt;0,"Avec réserves",IF(COUNTIFS(jr_num,A670,jr_rel,"&gt;0")&gt;0,"Reliquat en cours",IF(COUNTIFS(jr_num,A670,jr_gap,"&lt;0")+COUNTIFS(jr_num,A670,jr_gap,"&gt;0")&gt;0,"Écart","Conforme")))),IF(COUNTIFS(jr_num,A670,jr_gap,"&lt;0")&gt;0,"Partiel","Sorti")))))</f>
        <v/>
      </c>
      <c r="O670" t="str">
        <f>IFERROR(MATCH(665,jr_grank,0),"")</f>
        <v/>
      </c>
      <c r="R670" s="67" t="str">
        <f>IFERROR(INDEX(jr_num,MATCH("BL665",jr_nkey,0))&amp;"","")</f>
        <v/>
      </c>
      <c r="S670" s="67" t="str">
        <f>IFERROR(INDEX(jr_num,MATCH("BR665",jr_nkey,0))&amp;"","")</f>
        <v/>
      </c>
      <c r="T670" s="67" t="str">
        <f>IFERROR(INDEX(jr_num,MATCH("BS665",jr_nkey,0))&amp;"","")</f>
        <v/>
      </c>
    </row>
    <row r="671">
      <c r="A671" s="60" t="str">
        <f>IF($O671="","",INDEX(jr_num,$O671)&amp;"")</f>
        <v/>
      </c>
      <c r="B671" s="60" t="str">
        <f>IF($O671="","",IF(INDEX(jr_type,$O671)="BL","Livraison",IF(INDEX(jr_type,$O671)="BR","Réception","Sortie")))</f>
        <v/>
      </c>
      <c r="C671" s="65" t="str">
        <f>IF($O671="","",INDEX(jr_date,$O671))</f>
        <v/>
      </c>
      <c r="D671" s="60" t="str">
        <f>IF($O671="","",INDEX(jr_tiers,$O671)&amp;"")</f>
        <v/>
      </c>
      <c r="E671" s="57" t="str">
        <f>IF($O671="","",INDEX(jr_name,$O671)&amp;"")</f>
        <v/>
      </c>
      <c r="F671" s="57" t="str">
        <f>IF($O671="","",INDEX(jr_order,$O671)&amp;"")</f>
        <v/>
      </c>
      <c r="G671" s="57" t="str">
        <f>IF($O671="","",INDEX(jr_ext,$O671)&amp;"")</f>
        <v/>
      </c>
      <c r="H671" s="57" t="str">
        <f>IF($O671="","",INDEX(jr_carrier,$O671)&amp;"")</f>
        <v/>
      </c>
      <c r="I671" s="66" t="str">
        <f>IF(A671="","",COUNTIF(jr_num,A671))</f>
        <v/>
      </c>
      <c r="J671" s="66" t="str">
        <f>IF(A671="","",SUMIF(jr_num,A671,jr_colis))</f>
        <v/>
      </c>
      <c r="K671" s="63" t="str">
        <f>IF(A671="","",SUMIF(jr_num,A671,jr_kg))</f>
        <v/>
      </c>
      <c r="L671" s="64" t="str">
        <f>IF(A671="","",SUMIF(jr_num,A671,jr_val))</f>
        <v/>
      </c>
      <c r="M671" s="60" t="str">
        <f>IF(A671="","",IF(COUNTIFS(jr_num,A671,jr_check,"&lt;&gt;OK")&gt;0,"À vérifier",IF(LEFT(A671,2)="BL",IF(COUNTIFS(jr_num,A671,jr_rel,"&gt;0")&gt;0,"Reliquat en cours",IF(COUNTIFS(jr_num,A671,jr_gap,"&lt;0")&gt;0,"Reliquat livré","Complet")),IF(LEFT(A671,2)="BR",IF(COUNTIFS(jr_num,A671,jr_etat,"Refusé")&gt;0,"Refusé",IF(COUNTIFS(jr_num,A671,jr_etat,"Avec réserves")&gt;0,"Avec réserves",IF(COUNTIFS(jr_num,A671,jr_rel,"&gt;0")&gt;0,"Reliquat en cours",IF(COUNTIFS(jr_num,A671,jr_gap,"&lt;0")+COUNTIFS(jr_num,A671,jr_gap,"&gt;0")&gt;0,"Écart","Conforme")))),IF(COUNTIFS(jr_num,A671,jr_gap,"&lt;0")&gt;0,"Partiel","Sorti")))))</f>
        <v/>
      </c>
      <c r="O671" t="str">
        <f>IFERROR(MATCH(666,jr_grank,0),"")</f>
        <v/>
      </c>
      <c r="R671" s="67" t="str">
        <f>IFERROR(INDEX(jr_num,MATCH("BL666",jr_nkey,0))&amp;"","")</f>
        <v/>
      </c>
      <c r="S671" s="67" t="str">
        <f>IFERROR(INDEX(jr_num,MATCH("BR666",jr_nkey,0))&amp;"","")</f>
        <v/>
      </c>
      <c r="T671" s="67" t="str">
        <f>IFERROR(INDEX(jr_num,MATCH("BS666",jr_nkey,0))&amp;"","")</f>
        <v/>
      </c>
    </row>
    <row r="672">
      <c r="A672" s="60" t="str">
        <f>IF($O672="","",INDEX(jr_num,$O672)&amp;"")</f>
        <v/>
      </c>
      <c r="B672" s="60" t="str">
        <f>IF($O672="","",IF(INDEX(jr_type,$O672)="BL","Livraison",IF(INDEX(jr_type,$O672)="BR","Réception","Sortie")))</f>
        <v/>
      </c>
      <c r="C672" s="65" t="str">
        <f>IF($O672="","",INDEX(jr_date,$O672))</f>
        <v/>
      </c>
      <c r="D672" s="60" t="str">
        <f>IF($O672="","",INDEX(jr_tiers,$O672)&amp;"")</f>
        <v/>
      </c>
      <c r="E672" s="57" t="str">
        <f>IF($O672="","",INDEX(jr_name,$O672)&amp;"")</f>
        <v/>
      </c>
      <c r="F672" s="57" t="str">
        <f>IF($O672="","",INDEX(jr_order,$O672)&amp;"")</f>
        <v/>
      </c>
      <c r="G672" s="57" t="str">
        <f>IF($O672="","",INDEX(jr_ext,$O672)&amp;"")</f>
        <v/>
      </c>
      <c r="H672" s="57" t="str">
        <f>IF($O672="","",INDEX(jr_carrier,$O672)&amp;"")</f>
        <v/>
      </c>
      <c r="I672" s="66" t="str">
        <f>IF(A672="","",COUNTIF(jr_num,A672))</f>
        <v/>
      </c>
      <c r="J672" s="66" t="str">
        <f>IF(A672="","",SUMIF(jr_num,A672,jr_colis))</f>
        <v/>
      </c>
      <c r="K672" s="63" t="str">
        <f>IF(A672="","",SUMIF(jr_num,A672,jr_kg))</f>
        <v/>
      </c>
      <c r="L672" s="64" t="str">
        <f>IF(A672="","",SUMIF(jr_num,A672,jr_val))</f>
        <v/>
      </c>
      <c r="M672" s="60" t="str">
        <f>IF(A672="","",IF(COUNTIFS(jr_num,A672,jr_check,"&lt;&gt;OK")&gt;0,"À vérifier",IF(LEFT(A672,2)="BL",IF(COUNTIFS(jr_num,A672,jr_rel,"&gt;0")&gt;0,"Reliquat en cours",IF(COUNTIFS(jr_num,A672,jr_gap,"&lt;0")&gt;0,"Reliquat livré","Complet")),IF(LEFT(A672,2)="BR",IF(COUNTIFS(jr_num,A672,jr_etat,"Refusé")&gt;0,"Refusé",IF(COUNTIFS(jr_num,A672,jr_etat,"Avec réserves")&gt;0,"Avec réserves",IF(COUNTIFS(jr_num,A672,jr_rel,"&gt;0")&gt;0,"Reliquat en cours",IF(COUNTIFS(jr_num,A672,jr_gap,"&lt;0")+COUNTIFS(jr_num,A672,jr_gap,"&gt;0")&gt;0,"Écart","Conforme")))),IF(COUNTIFS(jr_num,A672,jr_gap,"&lt;0")&gt;0,"Partiel","Sorti")))))</f>
        <v/>
      </c>
      <c r="O672" t="str">
        <f>IFERROR(MATCH(667,jr_grank,0),"")</f>
        <v/>
      </c>
      <c r="R672" s="67" t="str">
        <f>IFERROR(INDEX(jr_num,MATCH("BL667",jr_nkey,0))&amp;"","")</f>
        <v/>
      </c>
      <c r="S672" s="67" t="str">
        <f>IFERROR(INDEX(jr_num,MATCH("BR667",jr_nkey,0))&amp;"","")</f>
        <v/>
      </c>
      <c r="T672" s="67" t="str">
        <f>IFERROR(INDEX(jr_num,MATCH("BS667",jr_nkey,0))&amp;"","")</f>
        <v/>
      </c>
    </row>
    <row r="673">
      <c r="A673" s="60" t="str">
        <f>IF($O673="","",INDEX(jr_num,$O673)&amp;"")</f>
        <v/>
      </c>
      <c r="B673" s="60" t="str">
        <f>IF($O673="","",IF(INDEX(jr_type,$O673)="BL","Livraison",IF(INDEX(jr_type,$O673)="BR","Réception","Sortie")))</f>
        <v/>
      </c>
      <c r="C673" s="65" t="str">
        <f>IF($O673="","",INDEX(jr_date,$O673))</f>
        <v/>
      </c>
      <c r="D673" s="60" t="str">
        <f>IF($O673="","",INDEX(jr_tiers,$O673)&amp;"")</f>
        <v/>
      </c>
      <c r="E673" s="57" t="str">
        <f>IF($O673="","",INDEX(jr_name,$O673)&amp;"")</f>
        <v/>
      </c>
      <c r="F673" s="57" t="str">
        <f>IF($O673="","",INDEX(jr_order,$O673)&amp;"")</f>
        <v/>
      </c>
      <c r="G673" s="57" t="str">
        <f>IF($O673="","",INDEX(jr_ext,$O673)&amp;"")</f>
        <v/>
      </c>
      <c r="H673" s="57" t="str">
        <f>IF($O673="","",INDEX(jr_carrier,$O673)&amp;"")</f>
        <v/>
      </c>
      <c r="I673" s="66" t="str">
        <f>IF(A673="","",COUNTIF(jr_num,A673))</f>
        <v/>
      </c>
      <c r="J673" s="66" t="str">
        <f>IF(A673="","",SUMIF(jr_num,A673,jr_colis))</f>
        <v/>
      </c>
      <c r="K673" s="63" t="str">
        <f>IF(A673="","",SUMIF(jr_num,A673,jr_kg))</f>
        <v/>
      </c>
      <c r="L673" s="64" t="str">
        <f>IF(A673="","",SUMIF(jr_num,A673,jr_val))</f>
        <v/>
      </c>
      <c r="M673" s="60" t="str">
        <f>IF(A673="","",IF(COUNTIFS(jr_num,A673,jr_check,"&lt;&gt;OK")&gt;0,"À vérifier",IF(LEFT(A673,2)="BL",IF(COUNTIFS(jr_num,A673,jr_rel,"&gt;0")&gt;0,"Reliquat en cours",IF(COUNTIFS(jr_num,A673,jr_gap,"&lt;0")&gt;0,"Reliquat livré","Complet")),IF(LEFT(A673,2)="BR",IF(COUNTIFS(jr_num,A673,jr_etat,"Refusé")&gt;0,"Refusé",IF(COUNTIFS(jr_num,A673,jr_etat,"Avec réserves")&gt;0,"Avec réserves",IF(COUNTIFS(jr_num,A673,jr_rel,"&gt;0")&gt;0,"Reliquat en cours",IF(COUNTIFS(jr_num,A673,jr_gap,"&lt;0")+COUNTIFS(jr_num,A673,jr_gap,"&gt;0")&gt;0,"Écart","Conforme")))),IF(COUNTIFS(jr_num,A673,jr_gap,"&lt;0")&gt;0,"Partiel","Sorti")))))</f>
        <v/>
      </c>
      <c r="O673" t="str">
        <f>IFERROR(MATCH(668,jr_grank,0),"")</f>
        <v/>
      </c>
      <c r="R673" s="67" t="str">
        <f>IFERROR(INDEX(jr_num,MATCH("BL668",jr_nkey,0))&amp;"","")</f>
        <v/>
      </c>
      <c r="S673" s="67" t="str">
        <f>IFERROR(INDEX(jr_num,MATCH("BR668",jr_nkey,0))&amp;"","")</f>
        <v/>
      </c>
      <c r="T673" s="67" t="str">
        <f>IFERROR(INDEX(jr_num,MATCH("BS668",jr_nkey,0))&amp;"","")</f>
        <v/>
      </c>
    </row>
    <row r="674">
      <c r="A674" s="60" t="str">
        <f>IF($O674="","",INDEX(jr_num,$O674)&amp;"")</f>
        <v/>
      </c>
      <c r="B674" s="60" t="str">
        <f>IF($O674="","",IF(INDEX(jr_type,$O674)="BL","Livraison",IF(INDEX(jr_type,$O674)="BR","Réception","Sortie")))</f>
        <v/>
      </c>
      <c r="C674" s="65" t="str">
        <f>IF($O674="","",INDEX(jr_date,$O674))</f>
        <v/>
      </c>
      <c r="D674" s="60" t="str">
        <f>IF($O674="","",INDEX(jr_tiers,$O674)&amp;"")</f>
        <v/>
      </c>
      <c r="E674" s="57" t="str">
        <f>IF($O674="","",INDEX(jr_name,$O674)&amp;"")</f>
        <v/>
      </c>
      <c r="F674" s="57" t="str">
        <f>IF($O674="","",INDEX(jr_order,$O674)&amp;"")</f>
        <v/>
      </c>
      <c r="G674" s="57" t="str">
        <f>IF($O674="","",INDEX(jr_ext,$O674)&amp;"")</f>
        <v/>
      </c>
      <c r="H674" s="57" t="str">
        <f>IF($O674="","",INDEX(jr_carrier,$O674)&amp;"")</f>
        <v/>
      </c>
      <c r="I674" s="66" t="str">
        <f>IF(A674="","",COUNTIF(jr_num,A674))</f>
        <v/>
      </c>
      <c r="J674" s="66" t="str">
        <f>IF(A674="","",SUMIF(jr_num,A674,jr_colis))</f>
        <v/>
      </c>
      <c r="K674" s="63" t="str">
        <f>IF(A674="","",SUMIF(jr_num,A674,jr_kg))</f>
        <v/>
      </c>
      <c r="L674" s="64" t="str">
        <f>IF(A674="","",SUMIF(jr_num,A674,jr_val))</f>
        <v/>
      </c>
      <c r="M674" s="60" t="str">
        <f>IF(A674="","",IF(COUNTIFS(jr_num,A674,jr_check,"&lt;&gt;OK")&gt;0,"À vérifier",IF(LEFT(A674,2)="BL",IF(COUNTIFS(jr_num,A674,jr_rel,"&gt;0")&gt;0,"Reliquat en cours",IF(COUNTIFS(jr_num,A674,jr_gap,"&lt;0")&gt;0,"Reliquat livré","Complet")),IF(LEFT(A674,2)="BR",IF(COUNTIFS(jr_num,A674,jr_etat,"Refusé")&gt;0,"Refusé",IF(COUNTIFS(jr_num,A674,jr_etat,"Avec réserves")&gt;0,"Avec réserves",IF(COUNTIFS(jr_num,A674,jr_rel,"&gt;0")&gt;0,"Reliquat en cours",IF(COUNTIFS(jr_num,A674,jr_gap,"&lt;0")+COUNTIFS(jr_num,A674,jr_gap,"&gt;0")&gt;0,"Écart","Conforme")))),IF(COUNTIFS(jr_num,A674,jr_gap,"&lt;0")&gt;0,"Partiel","Sorti")))))</f>
        <v/>
      </c>
      <c r="O674" t="str">
        <f>IFERROR(MATCH(669,jr_grank,0),"")</f>
        <v/>
      </c>
      <c r="R674" s="67" t="str">
        <f>IFERROR(INDEX(jr_num,MATCH("BL669",jr_nkey,0))&amp;"","")</f>
        <v/>
      </c>
      <c r="S674" s="67" t="str">
        <f>IFERROR(INDEX(jr_num,MATCH("BR669",jr_nkey,0))&amp;"","")</f>
        <v/>
      </c>
      <c r="T674" s="67" t="str">
        <f>IFERROR(INDEX(jr_num,MATCH("BS669",jr_nkey,0))&amp;"","")</f>
        <v/>
      </c>
    </row>
    <row r="675">
      <c r="A675" s="60" t="str">
        <f>IF($O675="","",INDEX(jr_num,$O675)&amp;"")</f>
        <v/>
      </c>
      <c r="B675" s="60" t="str">
        <f>IF($O675="","",IF(INDEX(jr_type,$O675)="BL","Livraison",IF(INDEX(jr_type,$O675)="BR","Réception","Sortie")))</f>
        <v/>
      </c>
      <c r="C675" s="65" t="str">
        <f>IF($O675="","",INDEX(jr_date,$O675))</f>
        <v/>
      </c>
      <c r="D675" s="60" t="str">
        <f>IF($O675="","",INDEX(jr_tiers,$O675)&amp;"")</f>
        <v/>
      </c>
      <c r="E675" s="57" t="str">
        <f>IF($O675="","",INDEX(jr_name,$O675)&amp;"")</f>
        <v/>
      </c>
      <c r="F675" s="57" t="str">
        <f>IF($O675="","",INDEX(jr_order,$O675)&amp;"")</f>
        <v/>
      </c>
      <c r="G675" s="57" t="str">
        <f>IF($O675="","",INDEX(jr_ext,$O675)&amp;"")</f>
        <v/>
      </c>
      <c r="H675" s="57" t="str">
        <f>IF($O675="","",INDEX(jr_carrier,$O675)&amp;"")</f>
        <v/>
      </c>
      <c r="I675" s="66" t="str">
        <f>IF(A675="","",COUNTIF(jr_num,A675))</f>
        <v/>
      </c>
      <c r="J675" s="66" t="str">
        <f>IF(A675="","",SUMIF(jr_num,A675,jr_colis))</f>
        <v/>
      </c>
      <c r="K675" s="63" t="str">
        <f>IF(A675="","",SUMIF(jr_num,A675,jr_kg))</f>
        <v/>
      </c>
      <c r="L675" s="64" t="str">
        <f>IF(A675="","",SUMIF(jr_num,A675,jr_val))</f>
        <v/>
      </c>
      <c r="M675" s="60" t="str">
        <f>IF(A675="","",IF(COUNTIFS(jr_num,A675,jr_check,"&lt;&gt;OK")&gt;0,"À vérifier",IF(LEFT(A675,2)="BL",IF(COUNTIFS(jr_num,A675,jr_rel,"&gt;0")&gt;0,"Reliquat en cours",IF(COUNTIFS(jr_num,A675,jr_gap,"&lt;0")&gt;0,"Reliquat livré","Complet")),IF(LEFT(A675,2)="BR",IF(COUNTIFS(jr_num,A675,jr_etat,"Refusé")&gt;0,"Refusé",IF(COUNTIFS(jr_num,A675,jr_etat,"Avec réserves")&gt;0,"Avec réserves",IF(COUNTIFS(jr_num,A675,jr_rel,"&gt;0")&gt;0,"Reliquat en cours",IF(COUNTIFS(jr_num,A675,jr_gap,"&lt;0")+COUNTIFS(jr_num,A675,jr_gap,"&gt;0")&gt;0,"Écart","Conforme")))),IF(COUNTIFS(jr_num,A675,jr_gap,"&lt;0")&gt;0,"Partiel","Sorti")))))</f>
        <v/>
      </c>
      <c r="O675" t="str">
        <f>IFERROR(MATCH(670,jr_grank,0),"")</f>
        <v/>
      </c>
      <c r="R675" s="67" t="str">
        <f>IFERROR(INDEX(jr_num,MATCH("BL670",jr_nkey,0))&amp;"","")</f>
        <v/>
      </c>
      <c r="S675" s="67" t="str">
        <f>IFERROR(INDEX(jr_num,MATCH("BR670",jr_nkey,0))&amp;"","")</f>
        <v/>
      </c>
      <c r="T675" s="67" t="str">
        <f>IFERROR(INDEX(jr_num,MATCH("BS670",jr_nkey,0))&amp;"","")</f>
        <v/>
      </c>
    </row>
    <row r="676">
      <c r="A676" s="60" t="str">
        <f>IF($O676="","",INDEX(jr_num,$O676)&amp;"")</f>
        <v/>
      </c>
      <c r="B676" s="60" t="str">
        <f>IF($O676="","",IF(INDEX(jr_type,$O676)="BL","Livraison",IF(INDEX(jr_type,$O676)="BR","Réception","Sortie")))</f>
        <v/>
      </c>
      <c r="C676" s="65" t="str">
        <f>IF($O676="","",INDEX(jr_date,$O676))</f>
        <v/>
      </c>
      <c r="D676" s="60" t="str">
        <f>IF($O676="","",INDEX(jr_tiers,$O676)&amp;"")</f>
        <v/>
      </c>
      <c r="E676" s="57" t="str">
        <f>IF($O676="","",INDEX(jr_name,$O676)&amp;"")</f>
        <v/>
      </c>
      <c r="F676" s="57" t="str">
        <f>IF($O676="","",INDEX(jr_order,$O676)&amp;"")</f>
        <v/>
      </c>
      <c r="G676" s="57" t="str">
        <f>IF($O676="","",INDEX(jr_ext,$O676)&amp;"")</f>
        <v/>
      </c>
      <c r="H676" s="57" t="str">
        <f>IF($O676="","",INDEX(jr_carrier,$O676)&amp;"")</f>
        <v/>
      </c>
      <c r="I676" s="66" t="str">
        <f>IF(A676="","",COUNTIF(jr_num,A676))</f>
        <v/>
      </c>
      <c r="J676" s="66" t="str">
        <f>IF(A676="","",SUMIF(jr_num,A676,jr_colis))</f>
        <v/>
      </c>
      <c r="K676" s="63" t="str">
        <f>IF(A676="","",SUMIF(jr_num,A676,jr_kg))</f>
        <v/>
      </c>
      <c r="L676" s="64" t="str">
        <f>IF(A676="","",SUMIF(jr_num,A676,jr_val))</f>
        <v/>
      </c>
      <c r="M676" s="60" t="str">
        <f>IF(A676="","",IF(COUNTIFS(jr_num,A676,jr_check,"&lt;&gt;OK")&gt;0,"À vérifier",IF(LEFT(A676,2)="BL",IF(COUNTIFS(jr_num,A676,jr_rel,"&gt;0")&gt;0,"Reliquat en cours",IF(COUNTIFS(jr_num,A676,jr_gap,"&lt;0")&gt;0,"Reliquat livré","Complet")),IF(LEFT(A676,2)="BR",IF(COUNTIFS(jr_num,A676,jr_etat,"Refusé")&gt;0,"Refusé",IF(COUNTIFS(jr_num,A676,jr_etat,"Avec réserves")&gt;0,"Avec réserves",IF(COUNTIFS(jr_num,A676,jr_rel,"&gt;0")&gt;0,"Reliquat en cours",IF(COUNTIFS(jr_num,A676,jr_gap,"&lt;0")+COUNTIFS(jr_num,A676,jr_gap,"&gt;0")&gt;0,"Écart","Conforme")))),IF(COUNTIFS(jr_num,A676,jr_gap,"&lt;0")&gt;0,"Partiel","Sorti")))))</f>
        <v/>
      </c>
      <c r="O676" t="str">
        <f>IFERROR(MATCH(671,jr_grank,0),"")</f>
        <v/>
      </c>
      <c r="R676" s="67" t="str">
        <f>IFERROR(INDEX(jr_num,MATCH("BL671",jr_nkey,0))&amp;"","")</f>
        <v/>
      </c>
      <c r="S676" s="67" t="str">
        <f>IFERROR(INDEX(jr_num,MATCH("BR671",jr_nkey,0))&amp;"","")</f>
        <v/>
      </c>
      <c r="T676" s="67" t="str">
        <f>IFERROR(INDEX(jr_num,MATCH("BS671",jr_nkey,0))&amp;"","")</f>
        <v/>
      </c>
    </row>
    <row r="677">
      <c r="A677" s="60" t="str">
        <f>IF($O677="","",INDEX(jr_num,$O677)&amp;"")</f>
        <v/>
      </c>
      <c r="B677" s="60" t="str">
        <f>IF($O677="","",IF(INDEX(jr_type,$O677)="BL","Livraison",IF(INDEX(jr_type,$O677)="BR","Réception","Sortie")))</f>
        <v/>
      </c>
      <c r="C677" s="65" t="str">
        <f>IF($O677="","",INDEX(jr_date,$O677))</f>
        <v/>
      </c>
      <c r="D677" s="60" t="str">
        <f>IF($O677="","",INDEX(jr_tiers,$O677)&amp;"")</f>
        <v/>
      </c>
      <c r="E677" s="57" t="str">
        <f>IF($O677="","",INDEX(jr_name,$O677)&amp;"")</f>
        <v/>
      </c>
      <c r="F677" s="57" t="str">
        <f>IF($O677="","",INDEX(jr_order,$O677)&amp;"")</f>
        <v/>
      </c>
      <c r="G677" s="57" t="str">
        <f>IF($O677="","",INDEX(jr_ext,$O677)&amp;"")</f>
        <v/>
      </c>
      <c r="H677" s="57" t="str">
        <f>IF($O677="","",INDEX(jr_carrier,$O677)&amp;"")</f>
        <v/>
      </c>
      <c r="I677" s="66" t="str">
        <f>IF(A677="","",COUNTIF(jr_num,A677))</f>
        <v/>
      </c>
      <c r="J677" s="66" t="str">
        <f>IF(A677="","",SUMIF(jr_num,A677,jr_colis))</f>
        <v/>
      </c>
      <c r="K677" s="63" t="str">
        <f>IF(A677="","",SUMIF(jr_num,A677,jr_kg))</f>
        <v/>
      </c>
      <c r="L677" s="64" t="str">
        <f>IF(A677="","",SUMIF(jr_num,A677,jr_val))</f>
        <v/>
      </c>
      <c r="M677" s="60" t="str">
        <f>IF(A677="","",IF(COUNTIFS(jr_num,A677,jr_check,"&lt;&gt;OK")&gt;0,"À vérifier",IF(LEFT(A677,2)="BL",IF(COUNTIFS(jr_num,A677,jr_rel,"&gt;0")&gt;0,"Reliquat en cours",IF(COUNTIFS(jr_num,A677,jr_gap,"&lt;0")&gt;0,"Reliquat livré","Complet")),IF(LEFT(A677,2)="BR",IF(COUNTIFS(jr_num,A677,jr_etat,"Refusé")&gt;0,"Refusé",IF(COUNTIFS(jr_num,A677,jr_etat,"Avec réserves")&gt;0,"Avec réserves",IF(COUNTIFS(jr_num,A677,jr_rel,"&gt;0")&gt;0,"Reliquat en cours",IF(COUNTIFS(jr_num,A677,jr_gap,"&lt;0")+COUNTIFS(jr_num,A677,jr_gap,"&gt;0")&gt;0,"Écart","Conforme")))),IF(COUNTIFS(jr_num,A677,jr_gap,"&lt;0")&gt;0,"Partiel","Sorti")))))</f>
        <v/>
      </c>
      <c r="O677" t="str">
        <f>IFERROR(MATCH(672,jr_grank,0),"")</f>
        <v/>
      </c>
      <c r="R677" s="67" t="str">
        <f>IFERROR(INDEX(jr_num,MATCH("BL672",jr_nkey,0))&amp;"","")</f>
        <v/>
      </c>
      <c r="S677" s="67" t="str">
        <f>IFERROR(INDEX(jr_num,MATCH("BR672",jr_nkey,0))&amp;"","")</f>
        <v/>
      </c>
      <c r="T677" s="67" t="str">
        <f>IFERROR(INDEX(jr_num,MATCH("BS672",jr_nkey,0))&amp;"","")</f>
        <v/>
      </c>
    </row>
    <row r="678">
      <c r="A678" s="60" t="str">
        <f>IF($O678="","",INDEX(jr_num,$O678)&amp;"")</f>
        <v/>
      </c>
      <c r="B678" s="60" t="str">
        <f>IF($O678="","",IF(INDEX(jr_type,$O678)="BL","Livraison",IF(INDEX(jr_type,$O678)="BR","Réception","Sortie")))</f>
        <v/>
      </c>
      <c r="C678" s="65" t="str">
        <f>IF($O678="","",INDEX(jr_date,$O678))</f>
        <v/>
      </c>
      <c r="D678" s="60" t="str">
        <f>IF($O678="","",INDEX(jr_tiers,$O678)&amp;"")</f>
        <v/>
      </c>
      <c r="E678" s="57" t="str">
        <f>IF($O678="","",INDEX(jr_name,$O678)&amp;"")</f>
        <v/>
      </c>
      <c r="F678" s="57" t="str">
        <f>IF($O678="","",INDEX(jr_order,$O678)&amp;"")</f>
        <v/>
      </c>
      <c r="G678" s="57" t="str">
        <f>IF($O678="","",INDEX(jr_ext,$O678)&amp;"")</f>
        <v/>
      </c>
      <c r="H678" s="57" t="str">
        <f>IF($O678="","",INDEX(jr_carrier,$O678)&amp;"")</f>
        <v/>
      </c>
      <c r="I678" s="66" t="str">
        <f>IF(A678="","",COUNTIF(jr_num,A678))</f>
        <v/>
      </c>
      <c r="J678" s="66" t="str">
        <f>IF(A678="","",SUMIF(jr_num,A678,jr_colis))</f>
        <v/>
      </c>
      <c r="K678" s="63" t="str">
        <f>IF(A678="","",SUMIF(jr_num,A678,jr_kg))</f>
        <v/>
      </c>
      <c r="L678" s="64" t="str">
        <f>IF(A678="","",SUMIF(jr_num,A678,jr_val))</f>
        <v/>
      </c>
      <c r="M678" s="60" t="str">
        <f>IF(A678="","",IF(COUNTIFS(jr_num,A678,jr_check,"&lt;&gt;OK")&gt;0,"À vérifier",IF(LEFT(A678,2)="BL",IF(COUNTIFS(jr_num,A678,jr_rel,"&gt;0")&gt;0,"Reliquat en cours",IF(COUNTIFS(jr_num,A678,jr_gap,"&lt;0")&gt;0,"Reliquat livré","Complet")),IF(LEFT(A678,2)="BR",IF(COUNTIFS(jr_num,A678,jr_etat,"Refusé")&gt;0,"Refusé",IF(COUNTIFS(jr_num,A678,jr_etat,"Avec réserves")&gt;0,"Avec réserves",IF(COUNTIFS(jr_num,A678,jr_rel,"&gt;0")&gt;0,"Reliquat en cours",IF(COUNTIFS(jr_num,A678,jr_gap,"&lt;0")+COUNTIFS(jr_num,A678,jr_gap,"&gt;0")&gt;0,"Écart","Conforme")))),IF(COUNTIFS(jr_num,A678,jr_gap,"&lt;0")&gt;0,"Partiel","Sorti")))))</f>
        <v/>
      </c>
      <c r="O678" t="str">
        <f>IFERROR(MATCH(673,jr_grank,0),"")</f>
        <v/>
      </c>
      <c r="R678" s="67" t="str">
        <f>IFERROR(INDEX(jr_num,MATCH("BL673",jr_nkey,0))&amp;"","")</f>
        <v/>
      </c>
      <c r="S678" s="67" t="str">
        <f>IFERROR(INDEX(jr_num,MATCH("BR673",jr_nkey,0))&amp;"","")</f>
        <v/>
      </c>
      <c r="T678" s="67" t="str">
        <f>IFERROR(INDEX(jr_num,MATCH("BS673",jr_nkey,0))&amp;"","")</f>
        <v/>
      </c>
    </row>
    <row r="679">
      <c r="A679" s="60" t="str">
        <f>IF($O679="","",INDEX(jr_num,$O679)&amp;"")</f>
        <v/>
      </c>
      <c r="B679" s="60" t="str">
        <f>IF($O679="","",IF(INDEX(jr_type,$O679)="BL","Livraison",IF(INDEX(jr_type,$O679)="BR","Réception","Sortie")))</f>
        <v/>
      </c>
      <c r="C679" s="65" t="str">
        <f>IF($O679="","",INDEX(jr_date,$O679))</f>
        <v/>
      </c>
      <c r="D679" s="60" t="str">
        <f>IF($O679="","",INDEX(jr_tiers,$O679)&amp;"")</f>
        <v/>
      </c>
      <c r="E679" s="57" t="str">
        <f>IF($O679="","",INDEX(jr_name,$O679)&amp;"")</f>
        <v/>
      </c>
      <c r="F679" s="57" t="str">
        <f>IF($O679="","",INDEX(jr_order,$O679)&amp;"")</f>
        <v/>
      </c>
      <c r="G679" s="57" t="str">
        <f>IF($O679="","",INDEX(jr_ext,$O679)&amp;"")</f>
        <v/>
      </c>
      <c r="H679" s="57" t="str">
        <f>IF($O679="","",INDEX(jr_carrier,$O679)&amp;"")</f>
        <v/>
      </c>
      <c r="I679" s="66" t="str">
        <f>IF(A679="","",COUNTIF(jr_num,A679))</f>
        <v/>
      </c>
      <c r="J679" s="66" t="str">
        <f>IF(A679="","",SUMIF(jr_num,A679,jr_colis))</f>
        <v/>
      </c>
      <c r="K679" s="63" t="str">
        <f>IF(A679="","",SUMIF(jr_num,A679,jr_kg))</f>
        <v/>
      </c>
      <c r="L679" s="64" t="str">
        <f>IF(A679="","",SUMIF(jr_num,A679,jr_val))</f>
        <v/>
      </c>
      <c r="M679" s="60" t="str">
        <f>IF(A679="","",IF(COUNTIFS(jr_num,A679,jr_check,"&lt;&gt;OK")&gt;0,"À vérifier",IF(LEFT(A679,2)="BL",IF(COUNTIFS(jr_num,A679,jr_rel,"&gt;0")&gt;0,"Reliquat en cours",IF(COUNTIFS(jr_num,A679,jr_gap,"&lt;0")&gt;0,"Reliquat livré","Complet")),IF(LEFT(A679,2)="BR",IF(COUNTIFS(jr_num,A679,jr_etat,"Refusé")&gt;0,"Refusé",IF(COUNTIFS(jr_num,A679,jr_etat,"Avec réserves")&gt;0,"Avec réserves",IF(COUNTIFS(jr_num,A679,jr_rel,"&gt;0")&gt;0,"Reliquat en cours",IF(COUNTIFS(jr_num,A679,jr_gap,"&lt;0")+COUNTIFS(jr_num,A679,jr_gap,"&gt;0")&gt;0,"Écart","Conforme")))),IF(COUNTIFS(jr_num,A679,jr_gap,"&lt;0")&gt;0,"Partiel","Sorti")))))</f>
        <v/>
      </c>
      <c r="O679" t="str">
        <f>IFERROR(MATCH(674,jr_grank,0),"")</f>
        <v/>
      </c>
      <c r="R679" s="67" t="str">
        <f>IFERROR(INDEX(jr_num,MATCH("BL674",jr_nkey,0))&amp;"","")</f>
        <v/>
      </c>
      <c r="S679" s="67" t="str">
        <f>IFERROR(INDEX(jr_num,MATCH("BR674",jr_nkey,0))&amp;"","")</f>
        <v/>
      </c>
      <c r="T679" s="67" t="str">
        <f>IFERROR(INDEX(jr_num,MATCH("BS674",jr_nkey,0))&amp;"","")</f>
        <v/>
      </c>
    </row>
    <row r="680">
      <c r="A680" s="60" t="str">
        <f>IF($O680="","",INDEX(jr_num,$O680)&amp;"")</f>
        <v/>
      </c>
      <c r="B680" s="60" t="str">
        <f>IF($O680="","",IF(INDEX(jr_type,$O680)="BL","Livraison",IF(INDEX(jr_type,$O680)="BR","Réception","Sortie")))</f>
        <v/>
      </c>
      <c r="C680" s="65" t="str">
        <f>IF($O680="","",INDEX(jr_date,$O680))</f>
        <v/>
      </c>
      <c r="D680" s="60" t="str">
        <f>IF($O680="","",INDEX(jr_tiers,$O680)&amp;"")</f>
        <v/>
      </c>
      <c r="E680" s="57" t="str">
        <f>IF($O680="","",INDEX(jr_name,$O680)&amp;"")</f>
        <v/>
      </c>
      <c r="F680" s="57" t="str">
        <f>IF($O680="","",INDEX(jr_order,$O680)&amp;"")</f>
        <v/>
      </c>
      <c r="G680" s="57" t="str">
        <f>IF($O680="","",INDEX(jr_ext,$O680)&amp;"")</f>
        <v/>
      </c>
      <c r="H680" s="57" t="str">
        <f>IF($O680="","",INDEX(jr_carrier,$O680)&amp;"")</f>
        <v/>
      </c>
      <c r="I680" s="66" t="str">
        <f>IF(A680="","",COUNTIF(jr_num,A680))</f>
        <v/>
      </c>
      <c r="J680" s="66" t="str">
        <f>IF(A680="","",SUMIF(jr_num,A680,jr_colis))</f>
        <v/>
      </c>
      <c r="K680" s="63" t="str">
        <f>IF(A680="","",SUMIF(jr_num,A680,jr_kg))</f>
        <v/>
      </c>
      <c r="L680" s="64" t="str">
        <f>IF(A680="","",SUMIF(jr_num,A680,jr_val))</f>
        <v/>
      </c>
      <c r="M680" s="60" t="str">
        <f>IF(A680="","",IF(COUNTIFS(jr_num,A680,jr_check,"&lt;&gt;OK")&gt;0,"À vérifier",IF(LEFT(A680,2)="BL",IF(COUNTIFS(jr_num,A680,jr_rel,"&gt;0")&gt;0,"Reliquat en cours",IF(COUNTIFS(jr_num,A680,jr_gap,"&lt;0")&gt;0,"Reliquat livré","Complet")),IF(LEFT(A680,2)="BR",IF(COUNTIFS(jr_num,A680,jr_etat,"Refusé")&gt;0,"Refusé",IF(COUNTIFS(jr_num,A680,jr_etat,"Avec réserves")&gt;0,"Avec réserves",IF(COUNTIFS(jr_num,A680,jr_rel,"&gt;0")&gt;0,"Reliquat en cours",IF(COUNTIFS(jr_num,A680,jr_gap,"&lt;0")+COUNTIFS(jr_num,A680,jr_gap,"&gt;0")&gt;0,"Écart","Conforme")))),IF(COUNTIFS(jr_num,A680,jr_gap,"&lt;0")&gt;0,"Partiel","Sorti")))))</f>
        <v/>
      </c>
      <c r="O680" t="str">
        <f>IFERROR(MATCH(675,jr_grank,0),"")</f>
        <v/>
      </c>
      <c r="R680" s="67" t="str">
        <f>IFERROR(INDEX(jr_num,MATCH("BL675",jr_nkey,0))&amp;"","")</f>
        <v/>
      </c>
      <c r="S680" s="67" t="str">
        <f>IFERROR(INDEX(jr_num,MATCH("BR675",jr_nkey,0))&amp;"","")</f>
        <v/>
      </c>
      <c r="T680" s="67" t="str">
        <f>IFERROR(INDEX(jr_num,MATCH("BS675",jr_nkey,0))&amp;"","")</f>
        <v/>
      </c>
    </row>
    <row r="681">
      <c r="A681" s="60" t="str">
        <f>IF($O681="","",INDEX(jr_num,$O681)&amp;"")</f>
        <v/>
      </c>
      <c r="B681" s="60" t="str">
        <f>IF($O681="","",IF(INDEX(jr_type,$O681)="BL","Livraison",IF(INDEX(jr_type,$O681)="BR","Réception","Sortie")))</f>
        <v/>
      </c>
      <c r="C681" s="65" t="str">
        <f>IF($O681="","",INDEX(jr_date,$O681))</f>
        <v/>
      </c>
      <c r="D681" s="60" t="str">
        <f>IF($O681="","",INDEX(jr_tiers,$O681)&amp;"")</f>
        <v/>
      </c>
      <c r="E681" s="57" t="str">
        <f>IF($O681="","",INDEX(jr_name,$O681)&amp;"")</f>
        <v/>
      </c>
      <c r="F681" s="57" t="str">
        <f>IF($O681="","",INDEX(jr_order,$O681)&amp;"")</f>
        <v/>
      </c>
      <c r="G681" s="57" t="str">
        <f>IF($O681="","",INDEX(jr_ext,$O681)&amp;"")</f>
        <v/>
      </c>
      <c r="H681" s="57" t="str">
        <f>IF($O681="","",INDEX(jr_carrier,$O681)&amp;"")</f>
        <v/>
      </c>
      <c r="I681" s="66" t="str">
        <f>IF(A681="","",COUNTIF(jr_num,A681))</f>
        <v/>
      </c>
      <c r="J681" s="66" t="str">
        <f>IF(A681="","",SUMIF(jr_num,A681,jr_colis))</f>
        <v/>
      </c>
      <c r="K681" s="63" t="str">
        <f>IF(A681="","",SUMIF(jr_num,A681,jr_kg))</f>
        <v/>
      </c>
      <c r="L681" s="64" t="str">
        <f>IF(A681="","",SUMIF(jr_num,A681,jr_val))</f>
        <v/>
      </c>
      <c r="M681" s="60" t="str">
        <f>IF(A681="","",IF(COUNTIFS(jr_num,A681,jr_check,"&lt;&gt;OK")&gt;0,"À vérifier",IF(LEFT(A681,2)="BL",IF(COUNTIFS(jr_num,A681,jr_rel,"&gt;0")&gt;0,"Reliquat en cours",IF(COUNTIFS(jr_num,A681,jr_gap,"&lt;0")&gt;0,"Reliquat livré","Complet")),IF(LEFT(A681,2)="BR",IF(COUNTIFS(jr_num,A681,jr_etat,"Refusé")&gt;0,"Refusé",IF(COUNTIFS(jr_num,A681,jr_etat,"Avec réserves")&gt;0,"Avec réserves",IF(COUNTIFS(jr_num,A681,jr_rel,"&gt;0")&gt;0,"Reliquat en cours",IF(COUNTIFS(jr_num,A681,jr_gap,"&lt;0")+COUNTIFS(jr_num,A681,jr_gap,"&gt;0")&gt;0,"Écart","Conforme")))),IF(COUNTIFS(jr_num,A681,jr_gap,"&lt;0")&gt;0,"Partiel","Sorti")))))</f>
        <v/>
      </c>
      <c r="O681" t="str">
        <f>IFERROR(MATCH(676,jr_grank,0),"")</f>
        <v/>
      </c>
      <c r="R681" s="67" t="str">
        <f>IFERROR(INDEX(jr_num,MATCH("BL676",jr_nkey,0))&amp;"","")</f>
        <v/>
      </c>
      <c r="S681" s="67" t="str">
        <f>IFERROR(INDEX(jr_num,MATCH("BR676",jr_nkey,0))&amp;"","")</f>
        <v/>
      </c>
      <c r="T681" s="67" t="str">
        <f>IFERROR(INDEX(jr_num,MATCH("BS676",jr_nkey,0))&amp;"","")</f>
        <v/>
      </c>
    </row>
    <row r="682">
      <c r="A682" s="60" t="str">
        <f>IF($O682="","",INDEX(jr_num,$O682)&amp;"")</f>
        <v/>
      </c>
      <c r="B682" s="60" t="str">
        <f>IF($O682="","",IF(INDEX(jr_type,$O682)="BL","Livraison",IF(INDEX(jr_type,$O682)="BR","Réception","Sortie")))</f>
        <v/>
      </c>
      <c r="C682" s="65" t="str">
        <f>IF($O682="","",INDEX(jr_date,$O682))</f>
        <v/>
      </c>
      <c r="D682" s="60" t="str">
        <f>IF($O682="","",INDEX(jr_tiers,$O682)&amp;"")</f>
        <v/>
      </c>
      <c r="E682" s="57" t="str">
        <f>IF($O682="","",INDEX(jr_name,$O682)&amp;"")</f>
        <v/>
      </c>
      <c r="F682" s="57" t="str">
        <f>IF($O682="","",INDEX(jr_order,$O682)&amp;"")</f>
        <v/>
      </c>
      <c r="G682" s="57" t="str">
        <f>IF($O682="","",INDEX(jr_ext,$O682)&amp;"")</f>
        <v/>
      </c>
      <c r="H682" s="57" t="str">
        <f>IF($O682="","",INDEX(jr_carrier,$O682)&amp;"")</f>
        <v/>
      </c>
      <c r="I682" s="66" t="str">
        <f>IF(A682="","",COUNTIF(jr_num,A682))</f>
        <v/>
      </c>
      <c r="J682" s="66" t="str">
        <f>IF(A682="","",SUMIF(jr_num,A682,jr_colis))</f>
        <v/>
      </c>
      <c r="K682" s="63" t="str">
        <f>IF(A682="","",SUMIF(jr_num,A682,jr_kg))</f>
        <v/>
      </c>
      <c r="L682" s="64" t="str">
        <f>IF(A682="","",SUMIF(jr_num,A682,jr_val))</f>
        <v/>
      </c>
      <c r="M682" s="60" t="str">
        <f>IF(A682="","",IF(COUNTIFS(jr_num,A682,jr_check,"&lt;&gt;OK")&gt;0,"À vérifier",IF(LEFT(A682,2)="BL",IF(COUNTIFS(jr_num,A682,jr_rel,"&gt;0")&gt;0,"Reliquat en cours",IF(COUNTIFS(jr_num,A682,jr_gap,"&lt;0")&gt;0,"Reliquat livré","Complet")),IF(LEFT(A682,2)="BR",IF(COUNTIFS(jr_num,A682,jr_etat,"Refusé")&gt;0,"Refusé",IF(COUNTIFS(jr_num,A682,jr_etat,"Avec réserves")&gt;0,"Avec réserves",IF(COUNTIFS(jr_num,A682,jr_rel,"&gt;0")&gt;0,"Reliquat en cours",IF(COUNTIFS(jr_num,A682,jr_gap,"&lt;0")+COUNTIFS(jr_num,A682,jr_gap,"&gt;0")&gt;0,"Écart","Conforme")))),IF(COUNTIFS(jr_num,A682,jr_gap,"&lt;0")&gt;0,"Partiel","Sorti")))))</f>
        <v/>
      </c>
      <c r="O682" t="str">
        <f>IFERROR(MATCH(677,jr_grank,0),"")</f>
        <v/>
      </c>
      <c r="R682" s="67" t="str">
        <f>IFERROR(INDEX(jr_num,MATCH("BL677",jr_nkey,0))&amp;"","")</f>
        <v/>
      </c>
      <c r="S682" s="67" t="str">
        <f>IFERROR(INDEX(jr_num,MATCH("BR677",jr_nkey,0))&amp;"","")</f>
        <v/>
      </c>
      <c r="T682" s="67" t="str">
        <f>IFERROR(INDEX(jr_num,MATCH("BS677",jr_nkey,0))&amp;"","")</f>
        <v/>
      </c>
    </row>
    <row r="683">
      <c r="A683" s="60" t="str">
        <f>IF($O683="","",INDEX(jr_num,$O683)&amp;"")</f>
        <v/>
      </c>
      <c r="B683" s="60" t="str">
        <f>IF($O683="","",IF(INDEX(jr_type,$O683)="BL","Livraison",IF(INDEX(jr_type,$O683)="BR","Réception","Sortie")))</f>
        <v/>
      </c>
      <c r="C683" s="65" t="str">
        <f>IF($O683="","",INDEX(jr_date,$O683))</f>
        <v/>
      </c>
      <c r="D683" s="60" t="str">
        <f>IF($O683="","",INDEX(jr_tiers,$O683)&amp;"")</f>
        <v/>
      </c>
      <c r="E683" s="57" t="str">
        <f>IF($O683="","",INDEX(jr_name,$O683)&amp;"")</f>
        <v/>
      </c>
      <c r="F683" s="57" t="str">
        <f>IF($O683="","",INDEX(jr_order,$O683)&amp;"")</f>
        <v/>
      </c>
      <c r="G683" s="57" t="str">
        <f>IF($O683="","",INDEX(jr_ext,$O683)&amp;"")</f>
        <v/>
      </c>
      <c r="H683" s="57" t="str">
        <f>IF($O683="","",INDEX(jr_carrier,$O683)&amp;"")</f>
        <v/>
      </c>
      <c r="I683" s="66" t="str">
        <f>IF(A683="","",COUNTIF(jr_num,A683))</f>
        <v/>
      </c>
      <c r="J683" s="66" t="str">
        <f>IF(A683="","",SUMIF(jr_num,A683,jr_colis))</f>
        <v/>
      </c>
      <c r="K683" s="63" t="str">
        <f>IF(A683="","",SUMIF(jr_num,A683,jr_kg))</f>
        <v/>
      </c>
      <c r="L683" s="64" t="str">
        <f>IF(A683="","",SUMIF(jr_num,A683,jr_val))</f>
        <v/>
      </c>
      <c r="M683" s="60" t="str">
        <f>IF(A683="","",IF(COUNTIFS(jr_num,A683,jr_check,"&lt;&gt;OK")&gt;0,"À vérifier",IF(LEFT(A683,2)="BL",IF(COUNTIFS(jr_num,A683,jr_rel,"&gt;0")&gt;0,"Reliquat en cours",IF(COUNTIFS(jr_num,A683,jr_gap,"&lt;0")&gt;0,"Reliquat livré","Complet")),IF(LEFT(A683,2)="BR",IF(COUNTIFS(jr_num,A683,jr_etat,"Refusé")&gt;0,"Refusé",IF(COUNTIFS(jr_num,A683,jr_etat,"Avec réserves")&gt;0,"Avec réserves",IF(COUNTIFS(jr_num,A683,jr_rel,"&gt;0")&gt;0,"Reliquat en cours",IF(COUNTIFS(jr_num,A683,jr_gap,"&lt;0")+COUNTIFS(jr_num,A683,jr_gap,"&gt;0")&gt;0,"Écart","Conforme")))),IF(COUNTIFS(jr_num,A683,jr_gap,"&lt;0")&gt;0,"Partiel","Sorti")))))</f>
        <v/>
      </c>
      <c r="O683" t="str">
        <f>IFERROR(MATCH(678,jr_grank,0),"")</f>
        <v/>
      </c>
      <c r="R683" s="67" t="str">
        <f>IFERROR(INDEX(jr_num,MATCH("BL678",jr_nkey,0))&amp;"","")</f>
        <v/>
      </c>
      <c r="S683" s="67" t="str">
        <f>IFERROR(INDEX(jr_num,MATCH("BR678",jr_nkey,0))&amp;"","")</f>
        <v/>
      </c>
      <c r="T683" s="67" t="str">
        <f>IFERROR(INDEX(jr_num,MATCH("BS678",jr_nkey,0))&amp;"","")</f>
        <v/>
      </c>
    </row>
    <row r="684">
      <c r="A684" s="60" t="str">
        <f>IF($O684="","",INDEX(jr_num,$O684)&amp;"")</f>
        <v/>
      </c>
      <c r="B684" s="60" t="str">
        <f>IF($O684="","",IF(INDEX(jr_type,$O684)="BL","Livraison",IF(INDEX(jr_type,$O684)="BR","Réception","Sortie")))</f>
        <v/>
      </c>
      <c r="C684" s="65" t="str">
        <f>IF($O684="","",INDEX(jr_date,$O684))</f>
        <v/>
      </c>
      <c r="D684" s="60" t="str">
        <f>IF($O684="","",INDEX(jr_tiers,$O684)&amp;"")</f>
        <v/>
      </c>
      <c r="E684" s="57" t="str">
        <f>IF($O684="","",INDEX(jr_name,$O684)&amp;"")</f>
        <v/>
      </c>
      <c r="F684" s="57" t="str">
        <f>IF($O684="","",INDEX(jr_order,$O684)&amp;"")</f>
        <v/>
      </c>
      <c r="G684" s="57" t="str">
        <f>IF($O684="","",INDEX(jr_ext,$O684)&amp;"")</f>
        <v/>
      </c>
      <c r="H684" s="57" t="str">
        <f>IF($O684="","",INDEX(jr_carrier,$O684)&amp;"")</f>
        <v/>
      </c>
      <c r="I684" s="66" t="str">
        <f>IF(A684="","",COUNTIF(jr_num,A684))</f>
        <v/>
      </c>
      <c r="J684" s="66" t="str">
        <f>IF(A684="","",SUMIF(jr_num,A684,jr_colis))</f>
        <v/>
      </c>
      <c r="K684" s="63" t="str">
        <f>IF(A684="","",SUMIF(jr_num,A684,jr_kg))</f>
        <v/>
      </c>
      <c r="L684" s="64" t="str">
        <f>IF(A684="","",SUMIF(jr_num,A684,jr_val))</f>
        <v/>
      </c>
      <c r="M684" s="60" t="str">
        <f>IF(A684="","",IF(COUNTIFS(jr_num,A684,jr_check,"&lt;&gt;OK")&gt;0,"À vérifier",IF(LEFT(A684,2)="BL",IF(COUNTIFS(jr_num,A684,jr_rel,"&gt;0")&gt;0,"Reliquat en cours",IF(COUNTIFS(jr_num,A684,jr_gap,"&lt;0")&gt;0,"Reliquat livré","Complet")),IF(LEFT(A684,2)="BR",IF(COUNTIFS(jr_num,A684,jr_etat,"Refusé")&gt;0,"Refusé",IF(COUNTIFS(jr_num,A684,jr_etat,"Avec réserves")&gt;0,"Avec réserves",IF(COUNTIFS(jr_num,A684,jr_rel,"&gt;0")&gt;0,"Reliquat en cours",IF(COUNTIFS(jr_num,A684,jr_gap,"&lt;0")+COUNTIFS(jr_num,A684,jr_gap,"&gt;0")&gt;0,"Écart","Conforme")))),IF(COUNTIFS(jr_num,A684,jr_gap,"&lt;0")&gt;0,"Partiel","Sorti")))))</f>
        <v/>
      </c>
      <c r="O684" t="str">
        <f>IFERROR(MATCH(679,jr_grank,0),"")</f>
        <v/>
      </c>
      <c r="R684" s="67" t="str">
        <f>IFERROR(INDEX(jr_num,MATCH("BL679",jr_nkey,0))&amp;"","")</f>
        <v/>
      </c>
      <c r="S684" s="67" t="str">
        <f>IFERROR(INDEX(jr_num,MATCH("BR679",jr_nkey,0))&amp;"","")</f>
        <v/>
      </c>
      <c r="T684" s="67" t="str">
        <f>IFERROR(INDEX(jr_num,MATCH("BS679",jr_nkey,0))&amp;"","")</f>
        <v/>
      </c>
    </row>
    <row r="685">
      <c r="A685" s="60" t="str">
        <f>IF($O685="","",INDEX(jr_num,$O685)&amp;"")</f>
        <v/>
      </c>
      <c r="B685" s="60" t="str">
        <f>IF($O685="","",IF(INDEX(jr_type,$O685)="BL","Livraison",IF(INDEX(jr_type,$O685)="BR","Réception","Sortie")))</f>
        <v/>
      </c>
      <c r="C685" s="65" t="str">
        <f>IF($O685="","",INDEX(jr_date,$O685))</f>
        <v/>
      </c>
      <c r="D685" s="60" t="str">
        <f>IF($O685="","",INDEX(jr_tiers,$O685)&amp;"")</f>
        <v/>
      </c>
      <c r="E685" s="57" t="str">
        <f>IF($O685="","",INDEX(jr_name,$O685)&amp;"")</f>
        <v/>
      </c>
      <c r="F685" s="57" t="str">
        <f>IF($O685="","",INDEX(jr_order,$O685)&amp;"")</f>
        <v/>
      </c>
      <c r="G685" s="57" t="str">
        <f>IF($O685="","",INDEX(jr_ext,$O685)&amp;"")</f>
        <v/>
      </c>
      <c r="H685" s="57" t="str">
        <f>IF($O685="","",INDEX(jr_carrier,$O685)&amp;"")</f>
        <v/>
      </c>
      <c r="I685" s="66" t="str">
        <f>IF(A685="","",COUNTIF(jr_num,A685))</f>
        <v/>
      </c>
      <c r="J685" s="66" t="str">
        <f>IF(A685="","",SUMIF(jr_num,A685,jr_colis))</f>
        <v/>
      </c>
      <c r="K685" s="63" t="str">
        <f>IF(A685="","",SUMIF(jr_num,A685,jr_kg))</f>
        <v/>
      </c>
      <c r="L685" s="64" t="str">
        <f>IF(A685="","",SUMIF(jr_num,A685,jr_val))</f>
        <v/>
      </c>
      <c r="M685" s="60" t="str">
        <f>IF(A685="","",IF(COUNTIFS(jr_num,A685,jr_check,"&lt;&gt;OK")&gt;0,"À vérifier",IF(LEFT(A685,2)="BL",IF(COUNTIFS(jr_num,A685,jr_rel,"&gt;0")&gt;0,"Reliquat en cours",IF(COUNTIFS(jr_num,A685,jr_gap,"&lt;0")&gt;0,"Reliquat livré","Complet")),IF(LEFT(A685,2)="BR",IF(COUNTIFS(jr_num,A685,jr_etat,"Refusé")&gt;0,"Refusé",IF(COUNTIFS(jr_num,A685,jr_etat,"Avec réserves")&gt;0,"Avec réserves",IF(COUNTIFS(jr_num,A685,jr_rel,"&gt;0")&gt;0,"Reliquat en cours",IF(COUNTIFS(jr_num,A685,jr_gap,"&lt;0")+COUNTIFS(jr_num,A685,jr_gap,"&gt;0")&gt;0,"Écart","Conforme")))),IF(COUNTIFS(jr_num,A685,jr_gap,"&lt;0")&gt;0,"Partiel","Sorti")))))</f>
        <v/>
      </c>
      <c r="O685" t="str">
        <f>IFERROR(MATCH(680,jr_grank,0),"")</f>
        <v/>
      </c>
      <c r="R685" s="67" t="str">
        <f>IFERROR(INDEX(jr_num,MATCH("BL680",jr_nkey,0))&amp;"","")</f>
        <v/>
      </c>
      <c r="S685" s="67" t="str">
        <f>IFERROR(INDEX(jr_num,MATCH("BR680",jr_nkey,0))&amp;"","")</f>
        <v/>
      </c>
      <c r="T685" s="67" t="str">
        <f>IFERROR(INDEX(jr_num,MATCH("BS680",jr_nkey,0))&amp;"","")</f>
        <v/>
      </c>
    </row>
    <row r="686">
      <c r="A686" s="60" t="str">
        <f>IF($O686="","",INDEX(jr_num,$O686)&amp;"")</f>
        <v/>
      </c>
      <c r="B686" s="60" t="str">
        <f>IF($O686="","",IF(INDEX(jr_type,$O686)="BL","Livraison",IF(INDEX(jr_type,$O686)="BR","Réception","Sortie")))</f>
        <v/>
      </c>
      <c r="C686" s="65" t="str">
        <f>IF($O686="","",INDEX(jr_date,$O686))</f>
        <v/>
      </c>
      <c r="D686" s="60" t="str">
        <f>IF($O686="","",INDEX(jr_tiers,$O686)&amp;"")</f>
        <v/>
      </c>
      <c r="E686" s="57" t="str">
        <f>IF($O686="","",INDEX(jr_name,$O686)&amp;"")</f>
        <v/>
      </c>
      <c r="F686" s="57" t="str">
        <f>IF($O686="","",INDEX(jr_order,$O686)&amp;"")</f>
        <v/>
      </c>
      <c r="G686" s="57" t="str">
        <f>IF($O686="","",INDEX(jr_ext,$O686)&amp;"")</f>
        <v/>
      </c>
      <c r="H686" s="57" t="str">
        <f>IF($O686="","",INDEX(jr_carrier,$O686)&amp;"")</f>
        <v/>
      </c>
      <c r="I686" s="66" t="str">
        <f>IF(A686="","",COUNTIF(jr_num,A686))</f>
        <v/>
      </c>
      <c r="J686" s="66" t="str">
        <f>IF(A686="","",SUMIF(jr_num,A686,jr_colis))</f>
        <v/>
      </c>
      <c r="K686" s="63" t="str">
        <f>IF(A686="","",SUMIF(jr_num,A686,jr_kg))</f>
        <v/>
      </c>
      <c r="L686" s="64" t="str">
        <f>IF(A686="","",SUMIF(jr_num,A686,jr_val))</f>
        <v/>
      </c>
      <c r="M686" s="60" t="str">
        <f>IF(A686="","",IF(COUNTIFS(jr_num,A686,jr_check,"&lt;&gt;OK")&gt;0,"À vérifier",IF(LEFT(A686,2)="BL",IF(COUNTIFS(jr_num,A686,jr_rel,"&gt;0")&gt;0,"Reliquat en cours",IF(COUNTIFS(jr_num,A686,jr_gap,"&lt;0")&gt;0,"Reliquat livré","Complet")),IF(LEFT(A686,2)="BR",IF(COUNTIFS(jr_num,A686,jr_etat,"Refusé")&gt;0,"Refusé",IF(COUNTIFS(jr_num,A686,jr_etat,"Avec réserves")&gt;0,"Avec réserves",IF(COUNTIFS(jr_num,A686,jr_rel,"&gt;0")&gt;0,"Reliquat en cours",IF(COUNTIFS(jr_num,A686,jr_gap,"&lt;0")+COUNTIFS(jr_num,A686,jr_gap,"&gt;0")&gt;0,"Écart","Conforme")))),IF(COUNTIFS(jr_num,A686,jr_gap,"&lt;0")&gt;0,"Partiel","Sorti")))))</f>
        <v/>
      </c>
      <c r="O686" t="str">
        <f>IFERROR(MATCH(681,jr_grank,0),"")</f>
        <v/>
      </c>
      <c r="R686" s="67" t="str">
        <f>IFERROR(INDEX(jr_num,MATCH("BL681",jr_nkey,0))&amp;"","")</f>
        <v/>
      </c>
      <c r="S686" s="67" t="str">
        <f>IFERROR(INDEX(jr_num,MATCH("BR681",jr_nkey,0))&amp;"","")</f>
        <v/>
      </c>
      <c r="T686" s="67" t="str">
        <f>IFERROR(INDEX(jr_num,MATCH("BS681",jr_nkey,0))&amp;"","")</f>
        <v/>
      </c>
    </row>
    <row r="687">
      <c r="A687" s="60" t="str">
        <f>IF($O687="","",INDEX(jr_num,$O687)&amp;"")</f>
        <v/>
      </c>
      <c r="B687" s="60" t="str">
        <f>IF($O687="","",IF(INDEX(jr_type,$O687)="BL","Livraison",IF(INDEX(jr_type,$O687)="BR","Réception","Sortie")))</f>
        <v/>
      </c>
      <c r="C687" s="65" t="str">
        <f>IF($O687="","",INDEX(jr_date,$O687))</f>
        <v/>
      </c>
      <c r="D687" s="60" t="str">
        <f>IF($O687="","",INDEX(jr_tiers,$O687)&amp;"")</f>
        <v/>
      </c>
      <c r="E687" s="57" t="str">
        <f>IF($O687="","",INDEX(jr_name,$O687)&amp;"")</f>
        <v/>
      </c>
      <c r="F687" s="57" t="str">
        <f>IF($O687="","",INDEX(jr_order,$O687)&amp;"")</f>
        <v/>
      </c>
      <c r="G687" s="57" t="str">
        <f>IF($O687="","",INDEX(jr_ext,$O687)&amp;"")</f>
        <v/>
      </c>
      <c r="H687" s="57" t="str">
        <f>IF($O687="","",INDEX(jr_carrier,$O687)&amp;"")</f>
        <v/>
      </c>
      <c r="I687" s="66" t="str">
        <f>IF(A687="","",COUNTIF(jr_num,A687))</f>
        <v/>
      </c>
      <c r="J687" s="66" t="str">
        <f>IF(A687="","",SUMIF(jr_num,A687,jr_colis))</f>
        <v/>
      </c>
      <c r="K687" s="63" t="str">
        <f>IF(A687="","",SUMIF(jr_num,A687,jr_kg))</f>
        <v/>
      </c>
      <c r="L687" s="64" t="str">
        <f>IF(A687="","",SUMIF(jr_num,A687,jr_val))</f>
        <v/>
      </c>
      <c r="M687" s="60" t="str">
        <f>IF(A687="","",IF(COUNTIFS(jr_num,A687,jr_check,"&lt;&gt;OK")&gt;0,"À vérifier",IF(LEFT(A687,2)="BL",IF(COUNTIFS(jr_num,A687,jr_rel,"&gt;0")&gt;0,"Reliquat en cours",IF(COUNTIFS(jr_num,A687,jr_gap,"&lt;0")&gt;0,"Reliquat livré","Complet")),IF(LEFT(A687,2)="BR",IF(COUNTIFS(jr_num,A687,jr_etat,"Refusé")&gt;0,"Refusé",IF(COUNTIFS(jr_num,A687,jr_etat,"Avec réserves")&gt;0,"Avec réserves",IF(COUNTIFS(jr_num,A687,jr_rel,"&gt;0")&gt;0,"Reliquat en cours",IF(COUNTIFS(jr_num,A687,jr_gap,"&lt;0")+COUNTIFS(jr_num,A687,jr_gap,"&gt;0")&gt;0,"Écart","Conforme")))),IF(COUNTIFS(jr_num,A687,jr_gap,"&lt;0")&gt;0,"Partiel","Sorti")))))</f>
        <v/>
      </c>
      <c r="O687" t="str">
        <f>IFERROR(MATCH(682,jr_grank,0),"")</f>
        <v/>
      </c>
      <c r="R687" s="67" t="str">
        <f>IFERROR(INDEX(jr_num,MATCH("BL682",jr_nkey,0))&amp;"","")</f>
        <v/>
      </c>
      <c r="S687" s="67" t="str">
        <f>IFERROR(INDEX(jr_num,MATCH("BR682",jr_nkey,0))&amp;"","")</f>
        <v/>
      </c>
      <c r="T687" s="67" t="str">
        <f>IFERROR(INDEX(jr_num,MATCH("BS682",jr_nkey,0))&amp;"","")</f>
        <v/>
      </c>
    </row>
    <row r="688">
      <c r="A688" s="60" t="str">
        <f>IF($O688="","",INDEX(jr_num,$O688)&amp;"")</f>
        <v/>
      </c>
      <c r="B688" s="60" t="str">
        <f>IF($O688="","",IF(INDEX(jr_type,$O688)="BL","Livraison",IF(INDEX(jr_type,$O688)="BR","Réception","Sortie")))</f>
        <v/>
      </c>
      <c r="C688" s="65" t="str">
        <f>IF($O688="","",INDEX(jr_date,$O688))</f>
        <v/>
      </c>
      <c r="D688" s="60" t="str">
        <f>IF($O688="","",INDEX(jr_tiers,$O688)&amp;"")</f>
        <v/>
      </c>
      <c r="E688" s="57" t="str">
        <f>IF($O688="","",INDEX(jr_name,$O688)&amp;"")</f>
        <v/>
      </c>
      <c r="F688" s="57" t="str">
        <f>IF($O688="","",INDEX(jr_order,$O688)&amp;"")</f>
        <v/>
      </c>
      <c r="G688" s="57" t="str">
        <f>IF($O688="","",INDEX(jr_ext,$O688)&amp;"")</f>
        <v/>
      </c>
      <c r="H688" s="57" t="str">
        <f>IF($O688="","",INDEX(jr_carrier,$O688)&amp;"")</f>
        <v/>
      </c>
      <c r="I688" s="66" t="str">
        <f>IF(A688="","",COUNTIF(jr_num,A688))</f>
        <v/>
      </c>
      <c r="J688" s="66" t="str">
        <f>IF(A688="","",SUMIF(jr_num,A688,jr_colis))</f>
        <v/>
      </c>
      <c r="K688" s="63" t="str">
        <f>IF(A688="","",SUMIF(jr_num,A688,jr_kg))</f>
        <v/>
      </c>
      <c r="L688" s="64" t="str">
        <f>IF(A688="","",SUMIF(jr_num,A688,jr_val))</f>
        <v/>
      </c>
      <c r="M688" s="60" t="str">
        <f>IF(A688="","",IF(COUNTIFS(jr_num,A688,jr_check,"&lt;&gt;OK")&gt;0,"À vérifier",IF(LEFT(A688,2)="BL",IF(COUNTIFS(jr_num,A688,jr_rel,"&gt;0")&gt;0,"Reliquat en cours",IF(COUNTIFS(jr_num,A688,jr_gap,"&lt;0")&gt;0,"Reliquat livré","Complet")),IF(LEFT(A688,2)="BR",IF(COUNTIFS(jr_num,A688,jr_etat,"Refusé")&gt;0,"Refusé",IF(COUNTIFS(jr_num,A688,jr_etat,"Avec réserves")&gt;0,"Avec réserves",IF(COUNTIFS(jr_num,A688,jr_rel,"&gt;0")&gt;0,"Reliquat en cours",IF(COUNTIFS(jr_num,A688,jr_gap,"&lt;0")+COUNTIFS(jr_num,A688,jr_gap,"&gt;0")&gt;0,"Écart","Conforme")))),IF(COUNTIFS(jr_num,A688,jr_gap,"&lt;0")&gt;0,"Partiel","Sorti")))))</f>
        <v/>
      </c>
      <c r="O688" t="str">
        <f>IFERROR(MATCH(683,jr_grank,0),"")</f>
        <v/>
      </c>
      <c r="R688" s="67" t="str">
        <f>IFERROR(INDEX(jr_num,MATCH("BL683",jr_nkey,0))&amp;"","")</f>
        <v/>
      </c>
      <c r="S688" s="67" t="str">
        <f>IFERROR(INDEX(jr_num,MATCH("BR683",jr_nkey,0))&amp;"","")</f>
        <v/>
      </c>
      <c r="T688" s="67" t="str">
        <f>IFERROR(INDEX(jr_num,MATCH("BS683",jr_nkey,0))&amp;"","")</f>
        <v/>
      </c>
    </row>
    <row r="689">
      <c r="A689" s="60" t="str">
        <f>IF($O689="","",INDEX(jr_num,$O689)&amp;"")</f>
        <v/>
      </c>
      <c r="B689" s="60" t="str">
        <f>IF($O689="","",IF(INDEX(jr_type,$O689)="BL","Livraison",IF(INDEX(jr_type,$O689)="BR","Réception","Sortie")))</f>
        <v/>
      </c>
      <c r="C689" s="65" t="str">
        <f>IF($O689="","",INDEX(jr_date,$O689))</f>
        <v/>
      </c>
      <c r="D689" s="60" t="str">
        <f>IF($O689="","",INDEX(jr_tiers,$O689)&amp;"")</f>
        <v/>
      </c>
      <c r="E689" s="57" t="str">
        <f>IF($O689="","",INDEX(jr_name,$O689)&amp;"")</f>
        <v/>
      </c>
      <c r="F689" s="57" t="str">
        <f>IF($O689="","",INDEX(jr_order,$O689)&amp;"")</f>
        <v/>
      </c>
      <c r="G689" s="57" t="str">
        <f>IF($O689="","",INDEX(jr_ext,$O689)&amp;"")</f>
        <v/>
      </c>
      <c r="H689" s="57" t="str">
        <f>IF($O689="","",INDEX(jr_carrier,$O689)&amp;"")</f>
        <v/>
      </c>
      <c r="I689" s="66" t="str">
        <f>IF(A689="","",COUNTIF(jr_num,A689))</f>
        <v/>
      </c>
      <c r="J689" s="66" t="str">
        <f>IF(A689="","",SUMIF(jr_num,A689,jr_colis))</f>
        <v/>
      </c>
      <c r="K689" s="63" t="str">
        <f>IF(A689="","",SUMIF(jr_num,A689,jr_kg))</f>
        <v/>
      </c>
      <c r="L689" s="64" t="str">
        <f>IF(A689="","",SUMIF(jr_num,A689,jr_val))</f>
        <v/>
      </c>
      <c r="M689" s="60" t="str">
        <f>IF(A689="","",IF(COUNTIFS(jr_num,A689,jr_check,"&lt;&gt;OK")&gt;0,"À vérifier",IF(LEFT(A689,2)="BL",IF(COUNTIFS(jr_num,A689,jr_rel,"&gt;0")&gt;0,"Reliquat en cours",IF(COUNTIFS(jr_num,A689,jr_gap,"&lt;0")&gt;0,"Reliquat livré","Complet")),IF(LEFT(A689,2)="BR",IF(COUNTIFS(jr_num,A689,jr_etat,"Refusé")&gt;0,"Refusé",IF(COUNTIFS(jr_num,A689,jr_etat,"Avec réserves")&gt;0,"Avec réserves",IF(COUNTIFS(jr_num,A689,jr_rel,"&gt;0")&gt;0,"Reliquat en cours",IF(COUNTIFS(jr_num,A689,jr_gap,"&lt;0")+COUNTIFS(jr_num,A689,jr_gap,"&gt;0")&gt;0,"Écart","Conforme")))),IF(COUNTIFS(jr_num,A689,jr_gap,"&lt;0")&gt;0,"Partiel","Sorti")))))</f>
        <v/>
      </c>
      <c r="O689" t="str">
        <f>IFERROR(MATCH(684,jr_grank,0),"")</f>
        <v/>
      </c>
      <c r="R689" s="67" t="str">
        <f>IFERROR(INDEX(jr_num,MATCH("BL684",jr_nkey,0))&amp;"","")</f>
        <v/>
      </c>
      <c r="S689" s="67" t="str">
        <f>IFERROR(INDEX(jr_num,MATCH("BR684",jr_nkey,0))&amp;"","")</f>
        <v/>
      </c>
      <c r="T689" s="67" t="str">
        <f>IFERROR(INDEX(jr_num,MATCH("BS684",jr_nkey,0))&amp;"","")</f>
        <v/>
      </c>
    </row>
    <row r="690">
      <c r="A690" s="60" t="str">
        <f>IF($O690="","",INDEX(jr_num,$O690)&amp;"")</f>
        <v/>
      </c>
      <c r="B690" s="60" t="str">
        <f>IF($O690="","",IF(INDEX(jr_type,$O690)="BL","Livraison",IF(INDEX(jr_type,$O690)="BR","Réception","Sortie")))</f>
        <v/>
      </c>
      <c r="C690" s="65" t="str">
        <f>IF($O690="","",INDEX(jr_date,$O690))</f>
        <v/>
      </c>
      <c r="D690" s="60" t="str">
        <f>IF($O690="","",INDEX(jr_tiers,$O690)&amp;"")</f>
        <v/>
      </c>
      <c r="E690" s="57" t="str">
        <f>IF($O690="","",INDEX(jr_name,$O690)&amp;"")</f>
        <v/>
      </c>
      <c r="F690" s="57" t="str">
        <f>IF($O690="","",INDEX(jr_order,$O690)&amp;"")</f>
        <v/>
      </c>
      <c r="G690" s="57" t="str">
        <f>IF($O690="","",INDEX(jr_ext,$O690)&amp;"")</f>
        <v/>
      </c>
      <c r="H690" s="57" t="str">
        <f>IF($O690="","",INDEX(jr_carrier,$O690)&amp;"")</f>
        <v/>
      </c>
      <c r="I690" s="66" t="str">
        <f>IF(A690="","",COUNTIF(jr_num,A690))</f>
        <v/>
      </c>
      <c r="J690" s="66" t="str">
        <f>IF(A690="","",SUMIF(jr_num,A690,jr_colis))</f>
        <v/>
      </c>
      <c r="K690" s="63" t="str">
        <f>IF(A690="","",SUMIF(jr_num,A690,jr_kg))</f>
        <v/>
      </c>
      <c r="L690" s="64" t="str">
        <f>IF(A690="","",SUMIF(jr_num,A690,jr_val))</f>
        <v/>
      </c>
      <c r="M690" s="60" t="str">
        <f>IF(A690="","",IF(COUNTIFS(jr_num,A690,jr_check,"&lt;&gt;OK")&gt;0,"À vérifier",IF(LEFT(A690,2)="BL",IF(COUNTIFS(jr_num,A690,jr_rel,"&gt;0")&gt;0,"Reliquat en cours",IF(COUNTIFS(jr_num,A690,jr_gap,"&lt;0")&gt;0,"Reliquat livré","Complet")),IF(LEFT(A690,2)="BR",IF(COUNTIFS(jr_num,A690,jr_etat,"Refusé")&gt;0,"Refusé",IF(COUNTIFS(jr_num,A690,jr_etat,"Avec réserves")&gt;0,"Avec réserves",IF(COUNTIFS(jr_num,A690,jr_rel,"&gt;0")&gt;0,"Reliquat en cours",IF(COUNTIFS(jr_num,A690,jr_gap,"&lt;0")+COUNTIFS(jr_num,A690,jr_gap,"&gt;0")&gt;0,"Écart","Conforme")))),IF(COUNTIFS(jr_num,A690,jr_gap,"&lt;0")&gt;0,"Partiel","Sorti")))))</f>
        <v/>
      </c>
      <c r="O690" t="str">
        <f>IFERROR(MATCH(685,jr_grank,0),"")</f>
        <v/>
      </c>
      <c r="R690" s="67" t="str">
        <f>IFERROR(INDEX(jr_num,MATCH("BL685",jr_nkey,0))&amp;"","")</f>
        <v/>
      </c>
      <c r="S690" s="67" t="str">
        <f>IFERROR(INDEX(jr_num,MATCH("BR685",jr_nkey,0))&amp;"","")</f>
        <v/>
      </c>
      <c r="T690" s="67" t="str">
        <f>IFERROR(INDEX(jr_num,MATCH("BS685",jr_nkey,0))&amp;"","")</f>
        <v/>
      </c>
    </row>
    <row r="691">
      <c r="A691" s="60" t="str">
        <f>IF($O691="","",INDEX(jr_num,$O691)&amp;"")</f>
        <v/>
      </c>
      <c r="B691" s="60" t="str">
        <f>IF($O691="","",IF(INDEX(jr_type,$O691)="BL","Livraison",IF(INDEX(jr_type,$O691)="BR","Réception","Sortie")))</f>
        <v/>
      </c>
      <c r="C691" s="65" t="str">
        <f>IF($O691="","",INDEX(jr_date,$O691))</f>
        <v/>
      </c>
      <c r="D691" s="60" t="str">
        <f>IF($O691="","",INDEX(jr_tiers,$O691)&amp;"")</f>
        <v/>
      </c>
      <c r="E691" s="57" t="str">
        <f>IF($O691="","",INDEX(jr_name,$O691)&amp;"")</f>
        <v/>
      </c>
      <c r="F691" s="57" t="str">
        <f>IF($O691="","",INDEX(jr_order,$O691)&amp;"")</f>
        <v/>
      </c>
      <c r="G691" s="57" t="str">
        <f>IF($O691="","",INDEX(jr_ext,$O691)&amp;"")</f>
        <v/>
      </c>
      <c r="H691" s="57" t="str">
        <f>IF($O691="","",INDEX(jr_carrier,$O691)&amp;"")</f>
        <v/>
      </c>
      <c r="I691" s="66" t="str">
        <f>IF(A691="","",COUNTIF(jr_num,A691))</f>
        <v/>
      </c>
      <c r="J691" s="66" t="str">
        <f>IF(A691="","",SUMIF(jr_num,A691,jr_colis))</f>
        <v/>
      </c>
      <c r="K691" s="63" t="str">
        <f>IF(A691="","",SUMIF(jr_num,A691,jr_kg))</f>
        <v/>
      </c>
      <c r="L691" s="64" t="str">
        <f>IF(A691="","",SUMIF(jr_num,A691,jr_val))</f>
        <v/>
      </c>
      <c r="M691" s="60" t="str">
        <f>IF(A691="","",IF(COUNTIFS(jr_num,A691,jr_check,"&lt;&gt;OK")&gt;0,"À vérifier",IF(LEFT(A691,2)="BL",IF(COUNTIFS(jr_num,A691,jr_rel,"&gt;0")&gt;0,"Reliquat en cours",IF(COUNTIFS(jr_num,A691,jr_gap,"&lt;0")&gt;0,"Reliquat livré","Complet")),IF(LEFT(A691,2)="BR",IF(COUNTIFS(jr_num,A691,jr_etat,"Refusé")&gt;0,"Refusé",IF(COUNTIFS(jr_num,A691,jr_etat,"Avec réserves")&gt;0,"Avec réserves",IF(COUNTIFS(jr_num,A691,jr_rel,"&gt;0")&gt;0,"Reliquat en cours",IF(COUNTIFS(jr_num,A691,jr_gap,"&lt;0")+COUNTIFS(jr_num,A691,jr_gap,"&gt;0")&gt;0,"Écart","Conforme")))),IF(COUNTIFS(jr_num,A691,jr_gap,"&lt;0")&gt;0,"Partiel","Sorti")))))</f>
        <v/>
      </c>
      <c r="O691" t="str">
        <f>IFERROR(MATCH(686,jr_grank,0),"")</f>
        <v/>
      </c>
      <c r="R691" s="67" t="str">
        <f>IFERROR(INDEX(jr_num,MATCH("BL686",jr_nkey,0))&amp;"","")</f>
        <v/>
      </c>
      <c r="S691" s="67" t="str">
        <f>IFERROR(INDEX(jr_num,MATCH("BR686",jr_nkey,0))&amp;"","")</f>
        <v/>
      </c>
      <c r="T691" s="67" t="str">
        <f>IFERROR(INDEX(jr_num,MATCH("BS686",jr_nkey,0))&amp;"","")</f>
        <v/>
      </c>
    </row>
    <row r="692">
      <c r="A692" s="60" t="str">
        <f>IF($O692="","",INDEX(jr_num,$O692)&amp;"")</f>
        <v/>
      </c>
      <c r="B692" s="60" t="str">
        <f>IF($O692="","",IF(INDEX(jr_type,$O692)="BL","Livraison",IF(INDEX(jr_type,$O692)="BR","Réception","Sortie")))</f>
        <v/>
      </c>
      <c r="C692" s="65" t="str">
        <f>IF($O692="","",INDEX(jr_date,$O692))</f>
        <v/>
      </c>
      <c r="D692" s="60" t="str">
        <f>IF($O692="","",INDEX(jr_tiers,$O692)&amp;"")</f>
        <v/>
      </c>
      <c r="E692" s="57" t="str">
        <f>IF($O692="","",INDEX(jr_name,$O692)&amp;"")</f>
        <v/>
      </c>
      <c r="F692" s="57" t="str">
        <f>IF($O692="","",INDEX(jr_order,$O692)&amp;"")</f>
        <v/>
      </c>
      <c r="G692" s="57" t="str">
        <f>IF($O692="","",INDEX(jr_ext,$O692)&amp;"")</f>
        <v/>
      </c>
      <c r="H692" s="57" t="str">
        <f>IF($O692="","",INDEX(jr_carrier,$O692)&amp;"")</f>
        <v/>
      </c>
      <c r="I692" s="66" t="str">
        <f>IF(A692="","",COUNTIF(jr_num,A692))</f>
        <v/>
      </c>
      <c r="J692" s="66" t="str">
        <f>IF(A692="","",SUMIF(jr_num,A692,jr_colis))</f>
        <v/>
      </c>
      <c r="K692" s="63" t="str">
        <f>IF(A692="","",SUMIF(jr_num,A692,jr_kg))</f>
        <v/>
      </c>
      <c r="L692" s="64" t="str">
        <f>IF(A692="","",SUMIF(jr_num,A692,jr_val))</f>
        <v/>
      </c>
      <c r="M692" s="60" t="str">
        <f>IF(A692="","",IF(COUNTIFS(jr_num,A692,jr_check,"&lt;&gt;OK")&gt;0,"À vérifier",IF(LEFT(A692,2)="BL",IF(COUNTIFS(jr_num,A692,jr_rel,"&gt;0")&gt;0,"Reliquat en cours",IF(COUNTIFS(jr_num,A692,jr_gap,"&lt;0")&gt;0,"Reliquat livré","Complet")),IF(LEFT(A692,2)="BR",IF(COUNTIFS(jr_num,A692,jr_etat,"Refusé")&gt;0,"Refusé",IF(COUNTIFS(jr_num,A692,jr_etat,"Avec réserves")&gt;0,"Avec réserves",IF(COUNTIFS(jr_num,A692,jr_rel,"&gt;0")&gt;0,"Reliquat en cours",IF(COUNTIFS(jr_num,A692,jr_gap,"&lt;0")+COUNTIFS(jr_num,A692,jr_gap,"&gt;0")&gt;0,"Écart","Conforme")))),IF(COUNTIFS(jr_num,A692,jr_gap,"&lt;0")&gt;0,"Partiel","Sorti")))))</f>
        <v/>
      </c>
      <c r="O692" t="str">
        <f>IFERROR(MATCH(687,jr_grank,0),"")</f>
        <v/>
      </c>
      <c r="R692" s="67" t="str">
        <f>IFERROR(INDEX(jr_num,MATCH("BL687",jr_nkey,0))&amp;"","")</f>
        <v/>
      </c>
      <c r="S692" s="67" t="str">
        <f>IFERROR(INDEX(jr_num,MATCH("BR687",jr_nkey,0))&amp;"","")</f>
        <v/>
      </c>
      <c r="T692" s="67" t="str">
        <f>IFERROR(INDEX(jr_num,MATCH("BS687",jr_nkey,0))&amp;"","")</f>
        <v/>
      </c>
    </row>
    <row r="693">
      <c r="A693" s="60" t="str">
        <f>IF($O693="","",INDEX(jr_num,$O693)&amp;"")</f>
        <v/>
      </c>
      <c r="B693" s="60" t="str">
        <f>IF($O693="","",IF(INDEX(jr_type,$O693)="BL","Livraison",IF(INDEX(jr_type,$O693)="BR","Réception","Sortie")))</f>
        <v/>
      </c>
      <c r="C693" s="65" t="str">
        <f>IF($O693="","",INDEX(jr_date,$O693))</f>
        <v/>
      </c>
      <c r="D693" s="60" t="str">
        <f>IF($O693="","",INDEX(jr_tiers,$O693)&amp;"")</f>
        <v/>
      </c>
      <c r="E693" s="57" t="str">
        <f>IF($O693="","",INDEX(jr_name,$O693)&amp;"")</f>
        <v/>
      </c>
      <c r="F693" s="57" t="str">
        <f>IF($O693="","",INDEX(jr_order,$O693)&amp;"")</f>
        <v/>
      </c>
      <c r="G693" s="57" t="str">
        <f>IF($O693="","",INDEX(jr_ext,$O693)&amp;"")</f>
        <v/>
      </c>
      <c r="H693" s="57" t="str">
        <f>IF($O693="","",INDEX(jr_carrier,$O693)&amp;"")</f>
        <v/>
      </c>
      <c r="I693" s="66" t="str">
        <f>IF(A693="","",COUNTIF(jr_num,A693))</f>
        <v/>
      </c>
      <c r="J693" s="66" t="str">
        <f>IF(A693="","",SUMIF(jr_num,A693,jr_colis))</f>
        <v/>
      </c>
      <c r="K693" s="63" t="str">
        <f>IF(A693="","",SUMIF(jr_num,A693,jr_kg))</f>
        <v/>
      </c>
      <c r="L693" s="64" t="str">
        <f>IF(A693="","",SUMIF(jr_num,A693,jr_val))</f>
        <v/>
      </c>
      <c r="M693" s="60" t="str">
        <f>IF(A693="","",IF(COUNTIFS(jr_num,A693,jr_check,"&lt;&gt;OK")&gt;0,"À vérifier",IF(LEFT(A693,2)="BL",IF(COUNTIFS(jr_num,A693,jr_rel,"&gt;0")&gt;0,"Reliquat en cours",IF(COUNTIFS(jr_num,A693,jr_gap,"&lt;0")&gt;0,"Reliquat livré","Complet")),IF(LEFT(A693,2)="BR",IF(COUNTIFS(jr_num,A693,jr_etat,"Refusé")&gt;0,"Refusé",IF(COUNTIFS(jr_num,A693,jr_etat,"Avec réserves")&gt;0,"Avec réserves",IF(COUNTIFS(jr_num,A693,jr_rel,"&gt;0")&gt;0,"Reliquat en cours",IF(COUNTIFS(jr_num,A693,jr_gap,"&lt;0")+COUNTIFS(jr_num,A693,jr_gap,"&gt;0")&gt;0,"Écart","Conforme")))),IF(COUNTIFS(jr_num,A693,jr_gap,"&lt;0")&gt;0,"Partiel","Sorti")))))</f>
        <v/>
      </c>
      <c r="O693" t="str">
        <f>IFERROR(MATCH(688,jr_grank,0),"")</f>
        <v/>
      </c>
      <c r="R693" s="67" t="str">
        <f>IFERROR(INDEX(jr_num,MATCH("BL688",jr_nkey,0))&amp;"","")</f>
        <v/>
      </c>
      <c r="S693" s="67" t="str">
        <f>IFERROR(INDEX(jr_num,MATCH("BR688",jr_nkey,0))&amp;"","")</f>
        <v/>
      </c>
      <c r="T693" s="67" t="str">
        <f>IFERROR(INDEX(jr_num,MATCH("BS688",jr_nkey,0))&amp;"","")</f>
        <v/>
      </c>
    </row>
    <row r="694">
      <c r="A694" s="60" t="str">
        <f>IF($O694="","",INDEX(jr_num,$O694)&amp;"")</f>
        <v/>
      </c>
      <c r="B694" s="60" t="str">
        <f>IF($O694="","",IF(INDEX(jr_type,$O694)="BL","Livraison",IF(INDEX(jr_type,$O694)="BR","Réception","Sortie")))</f>
        <v/>
      </c>
      <c r="C694" s="65" t="str">
        <f>IF($O694="","",INDEX(jr_date,$O694))</f>
        <v/>
      </c>
      <c r="D694" s="60" t="str">
        <f>IF($O694="","",INDEX(jr_tiers,$O694)&amp;"")</f>
        <v/>
      </c>
      <c r="E694" s="57" t="str">
        <f>IF($O694="","",INDEX(jr_name,$O694)&amp;"")</f>
        <v/>
      </c>
      <c r="F694" s="57" t="str">
        <f>IF($O694="","",INDEX(jr_order,$O694)&amp;"")</f>
        <v/>
      </c>
      <c r="G694" s="57" t="str">
        <f>IF($O694="","",INDEX(jr_ext,$O694)&amp;"")</f>
        <v/>
      </c>
      <c r="H694" s="57" t="str">
        <f>IF($O694="","",INDEX(jr_carrier,$O694)&amp;"")</f>
        <v/>
      </c>
      <c r="I694" s="66" t="str">
        <f>IF(A694="","",COUNTIF(jr_num,A694))</f>
        <v/>
      </c>
      <c r="J694" s="66" t="str">
        <f>IF(A694="","",SUMIF(jr_num,A694,jr_colis))</f>
        <v/>
      </c>
      <c r="K694" s="63" t="str">
        <f>IF(A694="","",SUMIF(jr_num,A694,jr_kg))</f>
        <v/>
      </c>
      <c r="L694" s="64" t="str">
        <f>IF(A694="","",SUMIF(jr_num,A694,jr_val))</f>
        <v/>
      </c>
      <c r="M694" s="60" t="str">
        <f>IF(A694="","",IF(COUNTIFS(jr_num,A694,jr_check,"&lt;&gt;OK")&gt;0,"À vérifier",IF(LEFT(A694,2)="BL",IF(COUNTIFS(jr_num,A694,jr_rel,"&gt;0")&gt;0,"Reliquat en cours",IF(COUNTIFS(jr_num,A694,jr_gap,"&lt;0")&gt;0,"Reliquat livré","Complet")),IF(LEFT(A694,2)="BR",IF(COUNTIFS(jr_num,A694,jr_etat,"Refusé")&gt;0,"Refusé",IF(COUNTIFS(jr_num,A694,jr_etat,"Avec réserves")&gt;0,"Avec réserves",IF(COUNTIFS(jr_num,A694,jr_rel,"&gt;0")&gt;0,"Reliquat en cours",IF(COUNTIFS(jr_num,A694,jr_gap,"&lt;0")+COUNTIFS(jr_num,A694,jr_gap,"&gt;0")&gt;0,"Écart","Conforme")))),IF(COUNTIFS(jr_num,A694,jr_gap,"&lt;0")&gt;0,"Partiel","Sorti")))))</f>
        <v/>
      </c>
      <c r="O694" t="str">
        <f>IFERROR(MATCH(689,jr_grank,0),"")</f>
        <v/>
      </c>
      <c r="R694" s="67" t="str">
        <f>IFERROR(INDEX(jr_num,MATCH("BL689",jr_nkey,0))&amp;"","")</f>
        <v/>
      </c>
      <c r="S694" s="67" t="str">
        <f>IFERROR(INDEX(jr_num,MATCH("BR689",jr_nkey,0))&amp;"","")</f>
        <v/>
      </c>
      <c r="T694" s="67" t="str">
        <f>IFERROR(INDEX(jr_num,MATCH("BS689",jr_nkey,0))&amp;"","")</f>
        <v/>
      </c>
    </row>
    <row r="695">
      <c r="A695" s="60" t="str">
        <f>IF($O695="","",INDEX(jr_num,$O695)&amp;"")</f>
        <v/>
      </c>
      <c r="B695" s="60" t="str">
        <f>IF($O695="","",IF(INDEX(jr_type,$O695)="BL","Livraison",IF(INDEX(jr_type,$O695)="BR","Réception","Sortie")))</f>
        <v/>
      </c>
      <c r="C695" s="65" t="str">
        <f>IF($O695="","",INDEX(jr_date,$O695))</f>
        <v/>
      </c>
      <c r="D695" s="60" t="str">
        <f>IF($O695="","",INDEX(jr_tiers,$O695)&amp;"")</f>
        <v/>
      </c>
      <c r="E695" s="57" t="str">
        <f>IF($O695="","",INDEX(jr_name,$O695)&amp;"")</f>
        <v/>
      </c>
      <c r="F695" s="57" t="str">
        <f>IF($O695="","",INDEX(jr_order,$O695)&amp;"")</f>
        <v/>
      </c>
      <c r="G695" s="57" t="str">
        <f>IF($O695="","",INDEX(jr_ext,$O695)&amp;"")</f>
        <v/>
      </c>
      <c r="H695" s="57" t="str">
        <f>IF($O695="","",INDEX(jr_carrier,$O695)&amp;"")</f>
        <v/>
      </c>
      <c r="I695" s="66" t="str">
        <f>IF(A695="","",COUNTIF(jr_num,A695))</f>
        <v/>
      </c>
      <c r="J695" s="66" t="str">
        <f>IF(A695="","",SUMIF(jr_num,A695,jr_colis))</f>
        <v/>
      </c>
      <c r="K695" s="63" t="str">
        <f>IF(A695="","",SUMIF(jr_num,A695,jr_kg))</f>
        <v/>
      </c>
      <c r="L695" s="64" t="str">
        <f>IF(A695="","",SUMIF(jr_num,A695,jr_val))</f>
        <v/>
      </c>
      <c r="M695" s="60" t="str">
        <f>IF(A695="","",IF(COUNTIFS(jr_num,A695,jr_check,"&lt;&gt;OK")&gt;0,"À vérifier",IF(LEFT(A695,2)="BL",IF(COUNTIFS(jr_num,A695,jr_rel,"&gt;0")&gt;0,"Reliquat en cours",IF(COUNTIFS(jr_num,A695,jr_gap,"&lt;0")&gt;0,"Reliquat livré","Complet")),IF(LEFT(A695,2)="BR",IF(COUNTIFS(jr_num,A695,jr_etat,"Refusé")&gt;0,"Refusé",IF(COUNTIFS(jr_num,A695,jr_etat,"Avec réserves")&gt;0,"Avec réserves",IF(COUNTIFS(jr_num,A695,jr_rel,"&gt;0")&gt;0,"Reliquat en cours",IF(COUNTIFS(jr_num,A695,jr_gap,"&lt;0")+COUNTIFS(jr_num,A695,jr_gap,"&gt;0")&gt;0,"Écart","Conforme")))),IF(COUNTIFS(jr_num,A695,jr_gap,"&lt;0")&gt;0,"Partiel","Sorti")))))</f>
        <v/>
      </c>
      <c r="O695" t="str">
        <f>IFERROR(MATCH(690,jr_grank,0),"")</f>
        <v/>
      </c>
      <c r="R695" s="67" t="str">
        <f>IFERROR(INDEX(jr_num,MATCH("BL690",jr_nkey,0))&amp;"","")</f>
        <v/>
      </c>
      <c r="S695" s="67" t="str">
        <f>IFERROR(INDEX(jr_num,MATCH("BR690",jr_nkey,0))&amp;"","")</f>
        <v/>
      </c>
      <c r="T695" s="67" t="str">
        <f>IFERROR(INDEX(jr_num,MATCH("BS690",jr_nkey,0))&amp;"","")</f>
        <v/>
      </c>
    </row>
    <row r="696">
      <c r="A696" s="60" t="str">
        <f>IF($O696="","",INDEX(jr_num,$O696)&amp;"")</f>
        <v/>
      </c>
      <c r="B696" s="60" t="str">
        <f>IF($O696="","",IF(INDEX(jr_type,$O696)="BL","Livraison",IF(INDEX(jr_type,$O696)="BR","Réception","Sortie")))</f>
        <v/>
      </c>
      <c r="C696" s="65" t="str">
        <f>IF($O696="","",INDEX(jr_date,$O696))</f>
        <v/>
      </c>
      <c r="D696" s="60" t="str">
        <f>IF($O696="","",INDEX(jr_tiers,$O696)&amp;"")</f>
        <v/>
      </c>
      <c r="E696" s="57" t="str">
        <f>IF($O696="","",INDEX(jr_name,$O696)&amp;"")</f>
        <v/>
      </c>
      <c r="F696" s="57" t="str">
        <f>IF($O696="","",INDEX(jr_order,$O696)&amp;"")</f>
        <v/>
      </c>
      <c r="G696" s="57" t="str">
        <f>IF($O696="","",INDEX(jr_ext,$O696)&amp;"")</f>
        <v/>
      </c>
      <c r="H696" s="57" t="str">
        <f>IF($O696="","",INDEX(jr_carrier,$O696)&amp;"")</f>
        <v/>
      </c>
      <c r="I696" s="66" t="str">
        <f>IF(A696="","",COUNTIF(jr_num,A696))</f>
        <v/>
      </c>
      <c r="J696" s="66" t="str">
        <f>IF(A696="","",SUMIF(jr_num,A696,jr_colis))</f>
        <v/>
      </c>
      <c r="K696" s="63" t="str">
        <f>IF(A696="","",SUMIF(jr_num,A696,jr_kg))</f>
        <v/>
      </c>
      <c r="L696" s="64" t="str">
        <f>IF(A696="","",SUMIF(jr_num,A696,jr_val))</f>
        <v/>
      </c>
      <c r="M696" s="60" t="str">
        <f>IF(A696="","",IF(COUNTIFS(jr_num,A696,jr_check,"&lt;&gt;OK")&gt;0,"À vérifier",IF(LEFT(A696,2)="BL",IF(COUNTIFS(jr_num,A696,jr_rel,"&gt;0")&gt;0,"Reliquat en cours",IF(COUNTIFS(jr_num,A696,jr_gap,"&lt;0")&gt;0,"Reliquat livré","Complet")),IF(LEFT(A696,2)="BR",IF(COUNTIFS(jr_num,A696,jr_etat,"Refusé")&gt;0,"Refusé",IF(COUNTIFS(jr_num,A696,jr_etat,"Avec réserves")&gt;0,"Avec réserves",IF(COUNTIFS(jr_num,A696,jr_rel,"&gt;0")&gt;0,"Reliquat en cours",IF(COUNTIFS(jr_num,A696,jr_gap,"&lt;0")+COUNTIFS(jr_num,A696,jr_gap,"&gt;0")&gt;0,"Écart","Conforme")))),IF(COUNTIFS(jr_num,A696,jr_gap,"&lt;0")&gt;0,"Partiel","Sorti")))))</f>
        <v/>
      </c>
      <c r="O696" t="str">
        <f>IFERROR(MATCH(691,jr_grank,0),"")</f>
        <v/>
      </c>
      <c r="R696" s="67" t="str">
        <f>IFERROR(INDEX(jr_num,MATCH("BL691",jr_nkey,0))&amp;"","")</f>
        <v/>
      </c>
      <c r="S696" s="67" t="str">
        <f>IFERROR(INDEX(jr_num,MATCH("BR691",jr_nkey,0))&amp;"","")</f>
        <v/>
      </c>
      <c r="T696" s="67" t="str">
        <f>IFERROR(INDEX(jr_num,MATCH("BS691",jr_nkey,0))&amp;"","")</f>
        <v/>
      </c>
    </row>
    <row r="697">
      <c r="A697" s="60" t="str">
        <f>IF($O697="","",INDEX(jr_num,$O697)&amp;"")</f>
        <v/>
      </c>
      <c r="B697" s="60" t="str">
        <f>IF($O697="","",IF(INDEX(jr_type,$O697)="BL","Livraison",IF(INDEX(jr_type,$O697)="BR","Réception","Sortie")))</f>
        <v/>
      </c>
      <c r="C697" s="65" t="str">
        <f>IF($O697="","",INDEX(jr_date,$O697))</f>
        <v/>
      </c>
      <c r="D697" s="60" t="str">
        <f>IF($O697="","",INDEX(jr_tiers,$O697)&amp;"")</f>
        <v/>
      </c>
      <c r="E697" s="57" t="str">
        <f>IF($O697="","",INDEX(jr_name,$O697)&amp;"")</f>
        <v/>
      </c>
      <c r="F697" s="57" t="str">
        <f>IF($O697="","",INDEX(jr_order,$O697)&amp;"")</f>
        <v/>
      </c>
      <c r="G697" s="57" t="str">
        <f>IF($O697="","",INDEX(jr_ext,$O697)&amp;"")</f>
        <v/>
      </c>
      <c r="H697" s="57" t="str">
        <f>IF($O697="","",INDEX(jr_carrier,$O697)&amp;"")</f>
        <v/>
      </c>
      <c r="I697" s="66" t="str">
        <f>IF(A697="","",COUNTIF(jr_num,A697))</f>
        <v/>
      </c>
      <c r="J697" s="66" t="str">
        <f>IF(A697="","",SUMIF(jr_num,A697,jr_colis))</f>
        <v/>
      </c>
      <c r="K697" s="63" t="str">
        <f>IF(A697="","",SUMIF(jr_num,A697,jr_kg))</f>
        <v/>
      </c>
      <c r="L697" s="64" t="str">
        <f>IF(A697="","",SUMIF(jr_num,A697,jr_val))</f>
        <v/>
      </c>
      <c r="M697" s="60" t="str">
        <f>IF(A697="","",IF(COUNTIFS(jr_num,A697,jr_check,"&lt;&gt;OK")&gt;0,"À vérifier",IF(LEFT(A697,2)="BL",IF(COUNTIFS(jr_num,A697,jr_rel,"&gt;0")&gt;0,"Reliquat en cours",IF(COUNTIFS(jr_num,A697,jr_gap,"&lt;0")&gt;0,"Reliquat livré","Complet")),IF(LEFT(A697,2)="BR",IF(COUNTIFS(jr_num,A697,jr_etat,"Refusé")&gt;0,"Refusé",IF(COUNTIFS(jr_num,A697,jr_etat,"Avec réserves")&gt;0,"Avec réserves",IF(COUNTIFS(jr_num,A697,jr_rel,"&gt;0")&gt;0,"Reliquat en cours",IF(COUNTIFS(jr_num,A697,jr_gap,"&lt;0")+COUNTIFS(jr_num,A697,jr_gap,"&gt;0")&gt;0,"Écart","Conforme")))),IF(COUNTIFS(jr_num,A697,jr_gap,"&lt;0")&gt;0,"Partiel","Sorti")))))</f>
        <v/>
      </c>
      <c r="O697" t="str">
        <f>IFERROR(MATCH(692,jr_grank,0),"")</f>
        <v/>
      </c>
      <c r="R697" s="67" t="str">
        <f>IFERROR(INDEX(jr_num,MATCH("BL692",jr_nkey,0))&amp;"","")</f>
        <v/>
      </c>
      <c r="S697" s="67" t="str">
        <f>IFERROR(INDEX(jr_num,MATCH("BR692",jr_nkey,0))&amp;"","")</f>
        <v/>
      </c>
      <c r="T697" s="67" t="str">
        <f>IFERROR(INDEX(jr_num,MATCH("BS692",jr_nkey,0))&amp;"","")</f>
        <v/>
      </c>
    </row>
    <row r="698">
      <c r="A698" s="60" t="str">
        <f>IF($O698="","",INDEX(jr_num,$O698)&amp;"")</f>
        <v/>
      </c>
      <c r="B698" s="60" t="str">
        <f>IF($O698="","",IF(INDEX(jr_type,$O698)="BL","Livraison",IF(INDEX(jr_type,$O698)="BR","Réception","Sortie")))</f>
        <v/>
      </c>
      <c r="C698" s="65" t="str">
        <f>IF($O698="","",INDEX(jr_date,$O698))</f>
        <v/>
      </c>
      <c r="D698" s="60" t="str">
        <f>IF($O698="","",INDEX(jr_tiers,$O698)&amp;"")</f>
        <v/>
      </c>
      <c r="E698" s="57" t="str">
        <f>IF($O698="","",INDEX(jr_name,$O698)&amp;"")</f>
        <v/>
      </c>
      <c r="F698" s="57" t="str">
        <f>IF($O698="","",INDEX(jr_order,$O698)&amp;"")</f>
        <v/>
      </c>
      <c r="G698" s="57" t="str">
        <f>IF($O698="","",INDEX(jr_ext,$O698)&amp;"")</f>
        <v/>
      </c>
      <c r="H698" s="57" t="str">
        <f>IF($O698="","",INDEX(jr_carrier,$O698)&amp;"")</f>
        <v/>
      </c>
      <c r="I698" s="66" t="str">
        <f>IF(A698="","",COUNTIF(jr_num,A698))</f>
        <v/>
      </c>
      <c r="J698" s="66" t="str">
        <f>IF(A698="","",SUMIF(jr_num,A698,jr_colis))</f>
        <v/>
      </c>
      <c r="K698" s="63" t="str">
        <f>IF(A698="","",SUMIF(jr_num,A698,jr_kg))</f>
        <v/>
      </c>
      <c r="L698" s="64" t="str">
        <f>IF(A698="","",SUMIF(jr_num,A698,jr_val))</f>
        <v/>
      </c>
      <c r="M698" s="60" t="str">
        <f>IF(A698="","",IF(COUNTIFS(jr_num,A698,jr_check,"&lt;&gt;OK")&gt;0,"À vérifier",IF(LEFT(A698,2)="BL",IF(COUNTIFS(jr_num,A698,jr_rel,"&gt;0")&gt;0,"Reliquat en cours",IF(COUNTIFS(jr_num,A698,jr_gap,"&lt;0")&gt;0,"Reliquat livré","Complet")),IF(LEFT(A698,2)="BR",IF(COUNTIFS(jr_num,A698,jr_etat,"Refusé")&gt;0,"Refusé",IF(COUNTIFS(jr_num,A698,jr_etat,"Avec réserves")&gt;0,"Avec réserves",IF(COUNTIFS(jr_num,A698,jr_rel,"&gt;0")&gt;0,"Reliquat en cours",IF(COUNTIFS(jr_num,A698,jr_gap,"&lt;0")+COUNTIFS(jr_num,A698,jr_gap,"&gt;0")&gt;0,"Écart","Conforme")))),IF(COUNTIFS(jr_num,A698,jr_gap,"&lt;0")&gt;0,"Partiel","Sorti")))))</f>
        <v/>
      </c>
      <c r="O698" t="str">
        <f>IFERROR(MATCH(693,jr_grank,0),"")</f>
        <v/>
      </c>
      <c r="R698" s="67" t="str">
        <f>IFERROR(INDEX(jr_num,MATCH("BL693",jr_nkey,0))&amp;"","")</f>
        <v/>
      </c>
      <c r="S698" s="67" t="str">
        <f>IFERROR(INDEX(jr_num,MATCH("BR693",jr_nkey,0))&amp;"","")</f>
        <v/>
      </c>
      <c r="T698" s="67" t="str">
        <f>IFERROR(INDEX(jr_num,MATCH("BS693",jr_nkey,0))&amp;"","")</f>
        <v/>
      </c>
    </row>
    <row r="699">
      <c r="A699" s="60" t="str">
        <f>IF($O699="","",INDEX(jr_num,$O699)&amp;"")</f>
        <v/>
      </c>
      <c r="B699" s="60" t="str">
        <f>IF($O699="","",IF(INDEX(jr_type,$O699)="BL","Livraison",IF(INDEX(jr_type,$O699)="BR","Réception","Sortie")))</f>
        <v/>
      </c>
      <c r="C699" s="65" t="str">
        <f>IF($O699="","",INDEX(jr_date,$O699))</f>
        <v/>
      </c>
      <c r="D699" s="60" t="str">
        <f>IF($O699="","",INDEX(jr_tiers,$O699)&amp;"")</f>
        <v/>
      </c>
      <c r="E699" s="57" t="str">
        <f>IF($O699="","",INDEX(jr_name,$O699)&amp;"")</f>
        <v/>
      </c>
      <c r="F699" s="57" t="str">
        <f>IF($O699="","",INDEX(jr_order,$O699)&amp;"")</f>
        <v/>
      </c>
      <c r="G699" s="57" t="str">
        <f>IF($O699="","",INDEX(jr_ext,$O699)&amp;"")</f>
        <v/>
      </c>
      <c r="H699" s="57" t="str">
        <f>IF($O699="","",INDEX(jr_carrier,$O699)&amp;"")</f>
        <v/>
      </c>
      <c r="I699" s="66" t="str">
        <f>IF(A699="","",COUNTIF(jr_num,A699))</f>
        <v/>
      </c>
      <c r="J699" s="66" t="str">
        <f>IF(A699="","",SUMIF(jr_num,A699,jr_colis))</f>
        <v/>
      </c>
      <c r="K699" s="63" t="str">
        <f>IF(A699="","",SUMIF(jr_num,A699,jr_kg))</f>
        <v/>
      </c>
      <c r="L699" s="64" t="str">
        <f>IF(A699="","",SUMIF(jr_num,A699,jr_val))</f>
        <v/>
      </c>
      <c r="M699" s="60" t="str">
        <f>IF(A699="","",IF(COUNTIFS(jr_num,A699,jr_check,"&lt;&gt;OK")&gt;0,"À vérifier",IF(LEFT(A699,2)="BL",IF(COUNTIFS(jr_num,A699,jr_rel,"&gt;0")&gt;0,"Reliquat en cours",IF(COUNTIFS(jr_num,A699,jr_gap,"&lt;0")&gt;0,"Reliquat livré","Complet")),IF(LEFT(A699,2)="BR",IF(COUNTIFS(jr_num,A699,jr_etat,"Refusé")&gt;0,"Refusé",IF(COUNTIFS(jr_num,A699,jr_etat,"Avec réserves")&gt;0,"Avec réserves",IF(COUNTIFS(jr_num,A699,jr_rel,"&gt;0")&gt;0,"Reliquat en cours",IF(COUNTIFS(jr_num,A699,jr_gap,"&lt;0")+COUNTIFS(jr_num,A699,jr_gap,"&gt;0")&gt;0,"Écart","Conforme")))),IF(COUNTIFS(jr_num,A699,jr_gap,"&lt;0")&gt;0,"Partiel","Sorti")))))</f>
        <v/>
      </c>
      <c r="O699" t="str">
        <f>IFERROR(MATCH(694,jr_grank,0),"")</f>
        <v/>
      </c>
      <c r="R699" s="67" t="str">
        <f>IFERROR(INDEX(jr_num,MATCH("BL694",jr_nkey,0))&amp;"","")</f>
        <v/>
      </c>
      <c r="S699" s="67" t="str">
        <f>IFERROR(INDEX(jr_num,MATCH("BR694",jr_nkey,0))&amp;"","")</f>
        <v/>
      </c>
      <c r="T699" s="67" t="str">
        <f>IFERROR(INDEX(jr_num,MATCH("BS694",jr_nkey,0))&amp;"","")</f>
        <v/>
      </c>
    </row>
    <row r="700">
      <c r="A700" s="60" t="str">
        <f>IF($O700="","",INDEX(jr_num,$O700)&amp;"")</f>
        <v/>
      </c>
      <c r="B700" s="60" t="str">
        <f>IF($O700="","",IF(INDEX(jr_type,$O700)="BL","Livraison",IF(INDEX(jr_type,$O700)="BR","Réception","Sortie")))</f>
        <v/>
      </c>
      <c r="C700" s="65" t="str">
        <f>IF($O700="","",INDEX(jr_date,$O700))</f>
        <v/>
      </c>
      <c r="D700" s="60" t="str">
        <f>IF($O700="","",INDEX(jr_tiers,$O700)&amp;"")</f>
        <v/>
      </c>
      <c r="E700" s="57" t="str">
        <f>IF($O700="","",INDEX(jr_name,$O700)&amp;"")</f>
        <v/>
      </c>
      <c r="F700" s="57" t="str">
        <f>IF($O700="","",INDEX(jr_order,$O700)&amp;"")</f>
        <v/>
      </c>
      <c r="G700" s="57" t="str">
        <f>IF($O700="","",INDEX(jr_ext,$O700)&amp;"")</f>
        <v/>
      </c>
      <c r="H700" s="57" t="str">
        <f>IF($O700="","",INDEX(jr_carrier,$O700)&amp;"")</f>
        <v/>
      </c>
      <c r="I700" s="66" t="str">
        <f>IF(A700="","",COUNTIF(jr_num,A700))</f>
        <v/>
      </c>
      <c r="J700" s="66" t="str">
        <f>IF(A700="","",SUMIF(jr_num,A700,jr_colis))</f>
        <v/>
      </c>
      <c r="K700" s="63" t="str">
        <f>IF(A700="","",SUMIF(jr_num,A700,jr_kg))</f>
        <v/>
      </c>
      <c r="L700" s="64" t="str">
        <f>IF(A700="","",SUMIF(jr_num,A700,jr_val))</f>
        <v/>
      </c>
      <c r="M700" s="60" t="str">
        <f>IF(A700="","",IF(COUNTIFS(jr_num,A700,jr_check,"&lt;&gt;OK")&gt;0,"À vérifier",IF(LEFT(A700,2)="BL",IF(COUNTIFS(jr_num,A700,jr_rel,"&gt;0")&gt;0,"Reliquat en cours",IF(COUNTIFS(jr_num,A700,jr_gap,"&lt;0")&gt;0,"Reliquat livré","Complet")),IF(LEFT(A700,2)="BR",IF(COUNTIFS(jr_num,A700,jr_etat,"Refusé")&gt;0,"Refusé",IF(COUNTIFS(jr_num,A700,jr_etat,"Avec réserves")&gt;0,"Avec réserves",IF(COUNTIFS(jr_num,A700,jr_rel,"&gt;0")&gt;0,"Reliquat en cours",IF(COUNTIFS(jr_num,A700,jr_gap,"&lt;0")+COUNTIFS(jr_num,A700,jr_gap,"&gt;0")&gt;0,"Écart","Conforme")))),IF(COUNTIFS(jr_num,A700,jr_gap,"&lt;0")&gt;0,"Partiel","Sorti")))))</f>
        <v/>
      </c>
      <c r="O700" t="str">
        <f>IFERROR(MATCH(695,jr_grank,0),"")</f>
        <v/>
      </c>
      <c r="R700" s="67" t="str">
        <f>IFERROR(INDEX(jr_num,MATCH("BL695",jr_nkey,0))&amp;"","")</f>
        <v/>
      </c>
      <c r="S700" s="67" t="str">
        <f>IFERROR(INDEX(jr_num,MATCH("BR695",jr_nkey,0))&amp;"","")</f>
        <v/>
      </c>
      <c r="T700" s="67" t="str">
        <f>IFERROR(INDEX(jr_num,MATCH("BS695",jr_nkey,0))&amp;"","")</f>
        <v/>
      </c>
    </row>
    <row r="701">
      <c r="A701" s="60" t="str">
        <f>IF($O701="","",INDEX(jr_num,$O701)&amp;"")</f>
        <v/>
      </c>
      <c r="B701" s="60" t="str">
        <f>IF($O701="","",IF(INDEX(jr_type,$O701)="BL","Livraison",IF(INDEX(jr_type,$O701)="BR","Réception","Sortie")))</f>
        <v/>
      </c>
      <c r="C701" s="65" t="str">
        <f>IF($O701="","",INDEX(jr_date,$O701))</f>
        <v/>
      </c>
      <c r="D701" s="60" t="str">
        <f>IF($O701="","",INDEX(jr_tiers,$O701)&amp;"")</f>
        <v/>
      </c>
      <c r="E701" s="57" t="str">
        <f>IF($O701="","",INDEX(jr_name,$O701)&amp;"")</f>
        <v/>
      </c>
      <c r="F701" s="57" t="str">
        <f>IF($O701="","",INDEX(jr_order,$O701)&amp;"")</f>
        <v/>
      </c>
      <c r="G701" s="57" t="str">
        <f>IF($O701="","",INDEX(jr_ext,$O701)&amp;"")</f>
        <v/>
      </c>
      <c r="H701" s="57" t="str">
        <f>IF($O701="","",INDEX(jr_carrier,$O701)&amp;"")</f>
        <v/>
      </c>
      <c r="I701" s="66" t="str">
        <f>IF(A701="","",COUNTIF(jr_num,A701))</f>
        <v/>
      </c>
      <c r="J701" s="66" t="str">
        <f>IF(A701="","",SUMIF(jr_num,A701,jr_colis))</f>
        <v/>
      </c>
      <c r="K701" s="63" t="str">
        <f>IF(A701="","",SUMIF(jr_num,A701,jr_kg))</f>
        <v/>
      </c>
      <c r="L701" s="64" t="str">
        <f>IF(A701="","",SUMIF(jr_num,A701,jr_val))</f>
        <v/>
      </c>
      <c r="M701" s="60" t="str">
        <f>IF(A701="","",IF(COUNTIFS(jr_num,A701,jr_check,"&lt;&gt;OK")&gt;0,"À vérifier",IF(LEFT(A701,2)="BL",IF(COUNTIFS(jr_num,A701,jr_rel,"&gt;0")&gt;0,"Reliquat en cours",IF(COUNTIFS(jr_num,A701,jr_gap,"&lt;0")&gt;0,"Reliquat livré","Complet")),IF(LEFT(A701,2)="BR",IF(COUNTIFS(jr_num,A701,jr_etat,"Refusé")&gt;0,"Refusé",IF(COUNTIFS(jr_num,A701,jr_etat,"Avec réserves")&gt;0,"Avec réserves",IF(COUNTIFS(jr_num,A701,jr_rel,"&gt;0")&gt;0,"Reliquat en cours",IF(COUNTIFS(jr_num,A701,jr_gap,"&lt;0")+COUNTIFS(jr_num,A701,jr_gap,"&gt;0")&gt;0,"Écart","Conforme")))),IF(COUNTIFS(jr_num,A701,jr_gap,"&lt;0")&gt;0,"Partiel","Sorti")))))</f>
        <v/>
      </c>
      <c r="O701" t="str">
        <f>IFERROR(MATCH(696,jr_grank,0),"")</f>
        <v/>
      </c>
      <c r="R701" s="67" t="str">
        <f>IFERROR(INDEX(jr_num,MATCH("BL696",jr_nkey,0))&amp;"","")</f>
        <v/>
      </c>
      <c r="S701" s="67" t="str">
        <f>IFERROR(INDEX(jr_num,MATCH("BR696",jr_nkey,0))&amp;"","")</f>
        <v/>
      </c>
      <c r="T701" s="67" t="str">
        <f>IFERROR(INDEX(jr_num,MATCH("BS696",jr_nkey,0))&amp;"","")</f>
        <v/>
      </c>
    </row>
    <row r="702">
      <c r="A702" s="60" t="str">
        <f>IF($O702="","",INDEX(jr_num,$O702)&amp;"")</f>
        <v/>
      </c>
      <c r="B702" s="60" t="str">
        <f>IF($O702="","",IF(INDEX(jr_type,$O702)="BL","Livraison",IF(INDEX(jr_type,$O702)="BR","Réception","Sortie")))</f>
        <v/>
      </c>
      <c r="C702" s="65" t="str">
        <f>IF($O702="","",INDEX(jr_date,$O702))</f>
        <v/>
      </c>
      <c r="D702" s="60" t="str">
        <f>IF($O702="","",INDEX(jr_tiers,$O702)&amp;"")</f>
        <v/>
      </c>
      <c r="E702" s="57" t="str">
        <f>IF($O702="","",INDEX(jr_name,$O702)&amp;"")</f>
        <v/>
      </c>
      <c r="F702" s="57" t="str">
        <f>IF($O702="","",INDEX(jr_order,$O702)&amp;"")</f>
        <v/>
      </c>
      <c r="G702" s="57" t="str">
        <f>IF($O702="","",INDEX(jr_ext,$O702)&amp;"")</f>
        <v/>
      </c>
      <c r="H702" s="57" t="str">
        <f>IF($O702="","",INDEX(jr_carrier,$O702)&amp;"")</f>
        <v/>
      </c>
      <c r="I702" s="66" t="str">
        <f>IF(A702="","",COUNTIF(jr_num,A702))</f>
        <v/>
      </c>
      <c r="J702" s="66" t="str">
        <f>IF(A702="","",SUMIF(jr_num,A702,jr_colis))</f>
        <v/>
      </c>
      <c r="K702" s="63" t="str">
        <f>IF(A702="","",SUMIF(jr_num,A702,jr_kg))</f>
        <v/>
      </c>
      <c r="L702" s="64" t="str">
        <f>IF(A702="","",SUMIF(jr_num,A702,jr_val))</f>
        <v/>
      </c>
      <c r="M702" s="60" t="str">
        <f>IF(A702="","",IF(COUNTIFS(jr_num,A702,jr_check,"&lt;&gt;OK")&gt;0,"À vérifier",IF(LEFT(A702,2)="BL",IF(COUNTIFS(jr_num,A702,jr_rel,"&gt;0")&gt;0,"Reliquat en cours",IF(COUNTIFS(jr_num,A702,jr_gap,"&lt;0")&gt;0,"Reliquat livré","Complet")),IF(LEFT(A702,2)="BR",IF(COUNTIFS(jr_num,A702,jr_etat,"Refusé")&gt;0,"Refusé",IF(COUNTIFS(jr_num,A702,jr_etat,"Avec réserves")&gt;0,"Avec réserves",IF(COUNTIFS(jr_num,A702,jr_rel,"&gt;0")&gt;0,"Reliquat en cours",IF(COUNTIFS(jr_num,A702,jr_gap,"&lt;0")+COUNTIFS(jr_num,A702,jr_gap,"&gt;0")&gt;0,"Écart","Conforme")))),IF(COUNTIFS(jr_num,A702,jr_gap,"&lt;0")&gt;0,"Partiel","Sorti")))))</f>
        <v/>
      </c>
      <c r="O702" t="str">
        <f>IFERROR(MATCH(697,jr_grank,0),"")</f>
        <v/>
      </c>
      <c r="R702" s="67" t="str">
        <f>IFERROR(INDEX(jr_num,MATCH("BL697",jr_nkey,0))&amp;"","")</f>
        <v/>
      </c>
      <c r="S702" s="67" t="str">
        <f>IFERROR(INDEX(jr_num,MATCH("BR697",jr_nkey,0))&amp;"","")</f>
        <v/>
      </c>
      <c r="T702" s="67" t="str">
        <f>IFERROR(INDEX(jr_num,MATCH("BS697",jr_nkey,0))&amp;"","")</f>
        <v/>
      </c>
    </row>
    <row r="703">
      <c r="A703" s="60" t="str">
        <f>IF($O703="","",INDEX(jr_num,$O703)&amp;"")</f>
        <v/>
      </c>
      <c r="B703" s="60" t="str">
        <f>IF($O703="","",IF(INDEX(jr_type,$O703)="BL","Livraison",IF(INDEX(jr_type,$O703)="BR","Réception","Sortie")))</f>
        <v/>
      </c>
      <c r="C703" s="65" t="str">
        <f>IF($O703="","",INDEX(jr_date,$O703))</f>
        <v/>
      </c>
      <c r="D703" s="60" t="str">
        <f>IF($O703="","",INDEX(jr_tiers,$O703)&amp;"")</f>
        <v/>
      </c>
      <c r="E703" s="57" t="str">
        <f>IF($O703="","",INDEX(jr_name,$O703)&amp;"")</f>
        <v/>
      </c>
      <c r="F703" s="57" t="str">
        <f>IF($O703="","",INDEX(jr_order,$O703)&amp;"")</f>
        <v/>
      </c>
      <c r="G703" s="57" t="str">
        <f>IF($O703="","",INDEX(jr_ext,$O703)&amp;"")</f>
        <v/>
      </c>
      <c r="H703" s="57" t="str">
        <f>IF($O703="","",INDEX(jr_carrier,$O703)&amp;"")</f>
        <v/>
      </c>
      <c r="I703" s="66" t="str">
        <f>IF(A703="","",COUNTIF(jr_num,A703))</f>
        <v/>
      </c>
      <c r="J703" s="66" t="str">
        <f>IF(A703="","",SUMIF(jr_num,A703,jr_colis))</f>
        <v/>
      </c>
      <c r="K703" s="63" t="str">
        <f>IF(A703="","",SUMIF(jr_num,A703,jr_kg))</f>
        <v/>
      </c>
      <c r="L703" s="64" t="str">
        <f>IF(A703="","",SUMIF(jr_num,A703,jr_val))</f>
        <v/>
      </c>
      <c r="M703" s="60" t="str">
        <f>IF(A703="","",IF(COUNTIFS(jr_num,A703,jr_check,"&lt;&gt;OK")&gt;0,"À vérifier",IF(LEFT(A703,2)="BL",IF(COUNTIFS(jr_num,A703,jr_rel,"&gt;0")&gt;0,"Reliquat en cours",IF(COUNTIFS(jr_num,A703,jr_gap,"&lt;0")&gt;0,"Reliquat livré","Complet")),IF(LEFT(A703,2)="BR",IF(COUNTIFS(jr_num,A703,jr_etat,"Refusé")&gt;0,"Refusé",IF(COUNTIFS(jr_num,A703,jr_etat,"Avec réserves")&gt;0,"Avec réserves",IF(COUNTIFS(jr_num,A703,jr_rel,"&gt;0")&gt;0,"Reliquat en cours",IF(COUNTIFS(jr_num,A703,jr_gap,"&lt;0")+COUNTIFS(jr_num,A703,jr_gap,"&gt;0")&gt;0,"Écart","Conforme")))),IF(COUNTIFS(jr_num,A703,jr_gap,"&lt;0")&gt;0,"Partiel","Sorti")))))</f>
        <v/>
      </c>
      <c r="O703" t="str">
        <f>IFERROR(MATCH(698,jr_grank,0),"")</f>
        <v/>
      </c>
      <c r="R703" s="67" t="str">
        <f>IFERROR(INDEX(jr_num,MATCH("BL698",jr_nkey,0))&amp;"","")</f>
        <v/>
      </c>
      <c r="S703" s="67" t="str">
        <f>IFERROR(INDEX(jr_num,MATCH("BR698",jr_nkey,0))&amp;"","")</f>
        <v/>
      </c>
      <c r="T703" s="67" t="str">
        <f>IFERROR(INDEX(jr_num,MATCH("BS698",jr_nkey,0))&amp;"","")</f>
        <v/>
      </c>
    </row>
    <row r="704">
      <c r="A704" s="60" t="str">
        <f>IF($O704="","",INDEX(jr_num,$O704)&amp;"")</f>
        <v/>
      </c>
      <c r="B704" s="60" t="str">
        <f>IF($O704="","",IF(INDEX(jr_type,$O704)="BL","Livraison",IF(INDEX(jr_type,$O704)="BR","Réception","Sortie")))</f>
        <v/>
      </c>
      <c r="C704" s="65" t="str">
        <f>IF($O704="","",INDEX(jr_date,$O704))</f>
        <v/>
      </c>
      <c r="D704" s="60" t="str">
        <f>IF($O704="","",INDEX(jr_tiers,$O704)&amp;"")</f>
        <v/>
      </c>
      <c r="E704" s="57" t="str">
        <f>IF($O704="","",INDEX(jr_name,$O704)&amp;"")</f>
        <v/>
      </c>
      <c r="F704" s="57" t="str">
        <f>IF($O704="","",INDEX(jr_order,$O704)&amp;"")</f>
        <v/>
      </c>
      <c r="G704" s="57" t="str">
        <f>IF($O704="","",INDEX(jr_ext,$O704)&amp;"")</f>
        <v/>
      </c>
      <c r="H704" s="57" t="str">
        <f>IF($O704="","",INDEX(jr_carrier,$O704)&amp;"")</f>
        <v/>
      </c>
      <c r="I704" s="66" t="str">
        <f>IF(A704="","",COUNTIF(jr_num,A704))</f>
        <v/>
      </c>
      <c r="J704" s="66" t="str">
        <f>IF(A704="","",SUMIF(jr_num,A704,jr_colis))</f>
        <v/>
      </c>
      <c r="K704" s="63" t="str">
        <f>IF(A704="","",SUMIF(jr_num,A704,jr_kg))</f>
        <v/>
      </c>
      <c r="L704" s="64" t="str">
        <f>IF(A704="","",SUMIF(jr_num,A704,jr_val))</f>
        <v/>
      </c>
      <c r="M704" s="60" t="str">
        <f>IF(A704="","",IF(COUNTIFS(jr_num,A704,jr_check,"&lt;&gt;OK")&gt;0,"À vérifier",IF(LEFT(A704,2)="BL",IF(COUNTIFS(jr_num,A704,jr_rel,"&gt;0")&gt;0,"Reliquat en cours",IF(COUNTIFS(jr_num,A704,jr_gap,"&lt;0")&gt;0,"Reliquat livré","Complet")),IF(LEFT(A704,2)="BR",IF(COUNTIFS(jr_num,A704,jr_etat,"Refusé")&gt;0,"Refusé",IF(COUNTIFS(jr_num,A704,jr_etat,"Avec réserves")&gt;0,"Avec réserves",IF(COUNTIFS(jr_num,A704,jr_rel,"&gt;0")&gt;0,"Reliquat en cours",IF(COUNTIFS(jr_num,A704,jr_gap,"&lt;0")+COUNTIFS(jr_num,A704,jr_gap,"&gt;0")&gt;0,"Écart","Conforme")))),IF(COUNTIFS(jr_num,A704,jr_gap,"&lt;0")&gt;0,"Partiel","Sorti")))))</f>
        <v/>
      </c>
      <c r="O704" t="str">
        <f>IFERROR(MATCH(699,jr_grank,0),"")</f>
        <v/>
      </c>
      <c r="R704" s="67" t="str">
        <f>IFERROR(INDEX(jr_num,MATCH("BL699",jr_nkey,0))&amp;"","")</f>
        <v/>
      </c>
      <c r="S704" s="67" t="str">
        <f>IFERROR(INDEX(jr_num,MATCH("BR699",jr_nkey,0))&amp;"","")</f>
        <v/>
      </c>
      <c r="T704" s="67" t="str">
        <f>IFERROR(INDEX(jr_num,MATCH("BS699",jr_nkey,0))&amp;"","")</f>
        <v/>
      </c>
    </row>
    <row r="705">
      <c r="A705" s="60" t="str">
        <f>IF($O705="","",INDEX(jr_num,$O705)&amp;"")</f>
        <v/>
      </c>
      <c r="B705" s="60" t="str">
        <f>IF($O705="","",IF(INDEX(jr_type,$O705)="BL","Livraison",IF(INDEX(jr_type,$O705)="BR","Réception","Sortie")))</f>
        <v/>
      </c>
      <c r="C705" s="65" t="str">
        <f>IF($O705="","",INDEX(jr_date,$O705))</f>
        <v/>
      </c>
      <c r="D705" s="60" t="str">
        <f>IF($O705="","",INDEX(jr_tiers,$O705)&amp;"")</f>
        <v/>
      </c>
      <c r="E705" s="57" t="str">
        <f>IF($O705="","",INDEX(jr_name,$O705)&amp;"")</f>
        <v/>
      </c>
      <c r="F705" s="57" t="str">
        <f>IF($O705="","",INDEX(jr_order,$O705)&amp;"")</f>
        <v/>
      </c>
      <c r="G705" s="57" t="str">
        <f>IF($O705="","",INDEX(jr_ext,$O705)&amp;"")</f>
        <v/>
      </c>
      <c r="H705" s="57" t="str">
        <f>IF($O705="","",INDEX(jr_carrier,$O705)&amp;"")</f>
        <v/>
      </c>
      <c r="I705" s="66" t="str">
        <f>IF(A705="","",COUNTIF(jr_num,A705))</f>
        <v/>
      </c>
      <c r="J705" s="66" t="str">
        <f>IF(A705="","",SUMIF(jr_num,A705,jr_colis))</f>
        <v/>
      </c>
      <c r="K705" s="63" t="str">
        <f>IF(A705="","",SUMIF(jr_num,A705,jr_kg))</f>
        <v/>
      </c>
      <c r="L705" s="64" t="str">
        <f>IF(A705="","",SUMIF(jr_num,A705,jr_val))</f>
        <v/>
      </c>
      <c r="M705" s="60" t="str">
        <f>IF(A705="","",IF(COUNTIFS(jr_num,A705,jr_check,"&lt;&gt;OK")&gt;0,"À vérifier",IF(LEFT(A705,2)="BL",IF(COUNTIFS(jr_num,A705,jr_rel,"&gt;0")&gt;0,"Reliquat en cours",IF(COUNTIFS(jr_num,A705,jr_gap,"&lt;0")&gt;0,"Reliquat livré","Complet")),IF(LEFT(A705,2)="BR",IF(COUNTIFS(jr_num,A705,jr_etat,"Refusé")&gt;0,"Refusé",IF(COUNTIFS(jr_num,A705,jr_etat,"Avec réserves")&gt;0,"Avec réserves",IF(COUNTIFS(jr_num,A705,jr_rel,"&gt;0")&gt;0,"Reliquat en cours",IF(COUNTIFS(jr_num,A705,jr_gap,"&lt;0")+COUNTIFS(jr_num,A705,jr_gap,"&gt;0")&gt;0,"Écart","Conforme")))),IF(COUNTIFS(jr_num,A705,jr_gap,"&lt;0")&gt;0,"Partiel","Sorti")))))</f>
        <v/>
      </c>
      <c r="O705" t="str">
        <f>IFERROR(MATCH(700,jr_grank,0),"")</f>
        <v/>
      </c>
      <c r="R705" s="67" t="str">
        <f>IFERROR(INDEX(jr_num,MATCH("BL700",jr_nkey,0))&amp;"","")</f>
        <v/>
      </c>
      <c r="S705" s="67" t="str">
        <f>IFERROR(INDEX(jr_num,MATCH("BR700",jr_nkey,0))&amp;"","")</f>
        <v/>
      </c>
      <c r="T705" s="67" t="str">
        <f>IFERROR(INDEX(jr_num,MATCH("BS700",jr_nkey,0))&amp;"","")</f>
        <v/>
      </c>
    </row>
    <row r="706">
      <c r="A706" s="60" t="str">
        <f>IF($O706="","",INDEX(jr_num,$O706)&amp;"")</f>
        <v/>
      </c>
      <c r="B706" s="60" t="str">
        <f>IF($O706="","",IF(INDEX(jr_type,$O706)="BL","Livraison",IF(INDEX(jr_type,$O706)="BR","Réception","Sortie")))</f>
        <v/>
      </c>
      <c r="C706" s="65" t="str">
        <f>IF($O706="","",INDEX(jr_date,$O706))</f>
        <v/>
      </c>
      <c r="D706" s="60" t="str">
        <f>IF($O706="","",INDEX(jr_tiers,$O706)&amp;"")</f>
        <v/>
      </c>
      <c r="E706" s="57" t="str">
        <f>IF($O706="","",INDEX(jr_name,$O706)&amp;"")</f>
        <v/>
      </c>
      <c r="F706" s="57" t="str">
        <f>IF($O706="","",INDEX(jr_order,$O706)&amp;"")</f>
        <v/>
      </c>
      <c r="G706" s="57" t="str">
        <f>IF($O706="","",INDEX(jr_ext,$O706)&amp;"")</f>
        <v/>
      </c>
      <c r="H706" s="57" t="str">
        <f>IF($O706="","",INDEX(jr_carrier,$O706)&amp;"")</f>
        <v/>
      </c>
      <c r="I706" s="66" t="str">
        <f>IF(A706="","",COUNTIF(jr_num,A706))</f>
        <v/>
      </c>
      <c r="J706" s="66" t="str">
        <f>IF(A706="","",SUMIF(jr_num,A706,jr_colis))</f>
        <v/>
      </c>
      <c r="K706" s="63" t="str">
        <f>IF(A706="","",SUMIF(jr_num,A706,jr_kg))</f>
        <v/>
      </c>
      <c r="L706" s="64" t="str">
        <f>IF(A706="","",SUMIF(jr_num,A706,jr_val))</f>
        <v/>
      </c>
      <c r="M706" s="60" t="str">
        <f>IF(A706="","",IF(COUNTIFS(jr_num,A706,jr_check,"&lt;&gt;OK")&gt;0,"À vérifier",IF(LEFT(A706,2)="BL",IF(COUNTIFS(jr_num,A706,jr_rel,"&gt;0")&gt;0,"Reliquat en cours",IF(COUNTIFS(jr_num,A706,jr_gap,"&lt;0")&gt;0,"Reliquat livré","Complet")),IF(LEFT(A706,2)="BR",IF(COUNTIFS(jr_num,A706,jr_etat,"Refusé")&gt;0,"Refusé",IF(COUNTIFS(jr_num,A706,jr_etat,"Avec réserves")&gt;0,"Avec réserves",IF(COUNTIFS(jr_num,A706,jr_rel,"&gt;0")&gt;0,"Reliquat en cours",IF(COUNTIFS(jr_num,A706,jr_gap,"&lt;0")+COUNTIFS(jr_num,A706,jr_gap,"&gt;0")&gt;0,"Écart","Conforme")))),IF(COUNTIFS(jr_num,A706,jr_gap,"&lt;0")&gt;0,"Partiel","Sorti")))))</f>
        <v/>
      </c>
      <c r="O706" t="str">
        <f>IFERROR(MATCH(701,jr_grank,0),"")</f>
        <v/>
      </c>
      <c r="R706" s="67" t="str">
        <f>IFERROR(INDEX(jr_num,MATCH("BL701",jr_nkey,0))&amp;"","")</f>
        <v/>
      </c>
      <c r="S706" s="67" t="str">
        <f>IFERROR(INDEX(jr_num,MATCH("BR701",jr_nkey,0))&amp;"","")</f>
        <v/>
      </c>
      <c r="T706" s="67" t="str">
        <f>IFERROR(INDEX(jr_num,MATCH("BS701",jr_nkey,0))&amp;"","")</f>
        <v/>
      </c>
    </row>
    <row r="707">
      <c r="A707" s="60" t="str">
        <f>IF($O707="","",INDEX(jr_num,$O707)&amp;"")</f>
        <v/>
      </c>
      <c r="B707" s="60" t="str">
        <f>IF($O707="","",IF(INDEX(jr_type,$O707)="BL","Livraison",IF(INDEX(jr_type,$O707)="BR","Réception","Sortie")))</f>
        <v/>
      </c>
      <c r="C707" s="65" t="str">
        <f>IF($O707="","",INDEX(jr_date,$O707))</f>
        <v/>
      </c>
      <c r="D707" s="60" t="str">
        <f>IF($O707="","",INDEX(jr_tiers,$O707)&amp;"")</f>
        <v/>
      </c>
      <c r="E707" s="57" t="str">
        <f>IF($O707="","",INDEX(jr_name,$O707)&amp;"")</f>
        <v/>
      </c>
      <c r="F707" s="57" t="str">
        <f>IF($O707="","",INDEX(jr_order,$O707)&amp;"")</f>
        <v/>
      </c>
      <c r="G707" s="57" t="str">
        <f>IF($O707="","",INDEX(jr_ext,$O707)&amp;"")</f>
        <v/>
      </c>
      <c r="H707" s="57" t="str">
        <f>IF($O707="","",INDEX(jr_carrier,$O707)&amp;"")</f>
        <v/>
      </c>
      <c r="I707" s="66" t="str">
        <f>IF(A707="","",COUNTIF(jr_num,A707))</f>
        <v/>
      </c>
      <c r="J707" s="66" t="str">
        <f>IF(A707="","",SUMIF(jr_num,A707,jr_colis))</f>
        <v/>
      </c>
      <c r="K707" s="63" t="str">
        <f>IF(A707="","",SUMIF(jr_num,A707,jr_kg))</f>
        <v/>
      </c>
      <c r="L707" s="64" t="str">
        <f>IF(A707="","",SUMIF(jr_num,A707,jr_val))</f>
        <v/>
      </c>
      <c r="M707" s="60" t="str">
        <f>IF(A707="","",IF(COUNTIFS(jr_num,A707,jr_check,"&lt;&gt;OK")&gt;0,"À vérifier",IF(LEFT(A707,2)="BL",IF(COUNTIFS(jr_num,A707,jr_rel,"&gt;0")&gt;0,"Reliquat en cours",IF(COUNTIFS(jr_num,A707,jr_gap,"&lt;0")&gt;0,"Reliquat livré","Complet")),IF(LEFT(A707,2)="BR",IF(COUNTIFS(jr_num,A707,jr_etat,"Refusé")&gt;0,"Refusé",IF(COUNTIFS(jr_num,A707,jr_etat,"Avec réserves")&gt;0,"Avec réserves",IF(COUNTIFS(jr_num,A707,jr_rel,"&gt;0")&gt;0,"Reliquat en cours",IF(COUNTIFS(jr_num,A707,jr_gap,"&lt;0")+COUNTIFS(jr_num,A707,jr_gap,"&gt;0")&gt;0,"Écart","Conforme")))),IF(COUNTIFS(jr_num,A707,jr_gap,"&lt;0")&gt;0,"Partiel","Sorti")))))</f>
        <v/>
      </c>
      <c r="O707" t="str">
        <f>IFERROR(MATCH(702,jr_grank,0),"")</f>
        <v/>
      </c>
      <c r="R707" s="67" t="str">
        <f>IFERROR(INDEX(jr_num,MATCH("BL702",jr_nkey,0))&amp;"","")</f>
        <v/>
      </c>
      <c r="S707" s="67" t="str">
        <f>IFERROR(INDEX(jr_num,MATCH("BR702",jr_nkey,0))&amp;"","")</f>
        <v/>
      </c>
      <c r="T707" s="67" t="str">
        <f>IFERROR(INDEX(jr_num,MATCH("BS702",jr_nkey,0))&amp;"","")</f>
        <v/>
      </c>
    </row>
    <row r="708">
      <c r="A708" s="60" t="str">
        <f>IF($O708="","",INDEX(jr_num,$O708)&amp;"")</f>
        <v/>
      </c>
      <c r="B708" s="60" t="str">
        <f>IF($O708="","",IF(INDEX(jr_type,$O708)="BL","Livraison",IF(INDEX(jr_type,$O708)="BR","Réception","Sortie")))</f>
        <v/>
      </c>
      <c r="C708" s="65" t="str">
        <f>IF($O708="","",INDEX(jr_date,$O708))</f>
        <v/>
      </c>
      <c r="D708" s="60" t="str">
        <f>IF($O708="","",INDEX(jr_tiers,$O708)&amp;"")</f>
        <v/>
      </c>
      <c r="E708" s="57" t="str">
        <f>IF($O708="","",INDEX(jr_name,$O708)&amp;"")</f>
        <v/>
      </c>
      <c r="F708" s="57" t="str">
        <f>IF($O708="","",INDEX(jr_order,$O708)&amp;"")</f>
        <v/>
      </c>
      <c r="G708" s="57" t="str">
        <f>IF($O708="","",INDEX(jr_ext,$O708)&amp;"")</f>
        <v/>
      </c>
      <c r="H708" s="57" t="str">
        <f>IF($O708="","",INDEX(jr_carrier,$O708)&amp;"")</f>
        <v/>
      </c>
      <c r="I708" s="66" t="str">
        <f>IF(A708="","",COUNTIF(jr_num,A708))</f>
        <v/>
      </c>
      <c r="J708" s="66" t="str">
        <f>IF(A708="","",SUMIF(jr_num,A708,jr_colis))</f>
        <v/>
      </c>
      <c r="K708" s="63" t="str">
        <f>IF(A708="","",SUMIF(jr_num,A708,jr_kg))</f>
        <v/>
      </c>
      <c r="L708" s="64" t="str">
        <f>IF(A708="","",SUMIF(jr_num,A708,jr_val))</f>
        <v/>
      </c>
      <c r="M708" s="60" t="str">
        <f>IF(A708="","",IF(COUNTIFS(jr_num,A708,jr_check,"&lt;&gt;OK")&gt;0,"À vérifier",IF(LEFT(A708,2)="BL",IF(COUNTIFS(jr_num,A708,jr_rel,"&gt;0")&gt;0,"Reliquat en cours",IF(COUNTIFS(jr_num,A708,jr_gap,"&lt;0")&gt;0,"Reliquat livré","Complet")),IF(LEFT(A708,2)="BR",IF(COUNTIFS(jr_num,A708,jr_etat,"Refusé")&gt;0,"Refusé",IF(COUNTIFS(jr_num,A708,jr_etat,"Avec réserves")&gt;0,"Avec réserves",IF(COUNTIFS(jr_num,A708,jr_rel,"&gt;0")&gt;0,"Reliquat en cours",IF(COUNTIFS(jr_num,A708,jr_gap,"&lt;0")+COUNTIFS(jr_num,A708,jr_gap,"&gt;0")&gt;0,"Écart","Conforme")))),IF(COUNTIFS(jr_num,A708,jr_gap,"&lt;0")&gt;0,"Partiel","Sorti")))))</f>
        <v/>
      </c>
      <c r="O708" t="str">
        <f>IFERROR(MATCH(703,jr_grank,0),"")</f>
        <v/>
      </c>
      <c r="R708" s="67" t="str">
        <f>IFERROR(INDEX(jr_num,MATCH("BL703",jr_nkey,0))&amp;"","")</f>
        <v/>
      </c>
      <c r="S708" s="67" t="str">
        <f>IFERROR(INDEX(jr_num,MATCH("BR703",jr_nkey,0))&amp;"","")</f>
        <v/>
      </c>
      <c r="T708" s="67" t="str">
        <f>IFERROR(INDEX(jr_num,MATCH("BS703",jr_nkey,0))&amp;"","")</f>
        <v/>
      </c>
    </row>
    <row r="709">
      <c r="A709" s="60" t="str">
        <f>IF($O709="","",INDEX(jr_num,$O709)&amp;"")</f>
        <v/>
      </c>
      <c r="B709" s="60" t="str">
        <f>IF($O709="","",IF(INDEX(jr_type,$O709)="BL","Livraison",IF(INDEX(jr_type,$O709)="BR","Réception","Sortie")))</f>
        <v/>
      </c>
      <c r="C709" s="65" t="str">
        <f>IF($O709="","",INDEX(jr_date,$O709))</f>
        <v/>
      </c>
      <c r="D709" s="60" t="str">
        <f>IF($O709="","",INDEX(jr_tiers,$O709)&amp;"")</f>
        <v/>
      </c>
      <c r="E709" s="57" t="str">
        <f>IF($O709="","",INDEX(jr_name,$O709)&amp;"")</f>
        <v/>
      </c>
      <c r="F709" s="57" t="str">
        <f>IF($O709="","",INDEX(jr_order,$O709)&amp;"")</f>
        <v/>
      </c>
      <c r="G709" s="57" t="str">
        <f>IF($O709="","",INDEX(jr_ext,$O709)&amp;"")</f>
        <v/>
      </c>
      <c r="H709" s="57" t="str">
        <f>IF($O709="","",INDEX(jr_carrier,$O709)&amp;"")</f>
        <v/>
      </c>
      <c r="I709" s="66" t="str">
        <f>IF(A709="","",COUNTIF(jr_num,A709))</f>
        <v/>
      </c>
      <c r="J709" s="66" t="str">
        <f>IF(A709="","",SUMIF(jr_num,A709,jr_colis))</f>
        <v/>
      </c>
      <c r="K709" s="63" t="str">
        <f>IF(A709="","",SUMIF(jr_num,A709,jr_kg))</f>
        <v/>
      </c>
      <c r="L709" s="64" t="str">
        <f>IF(A709="","",SUMIF(jr_num,A709,jr_val))</f>
        <v/>
      </c>
      <c r="M709" s="60" t="str">
        <f>IF(A709="","",IF(COUNTIFS(jr_num,A709,jr_check,"&lt;&gt;OK")&gt;0,"À vérifier",IF(LEFT(A709,2)="BL",IF(COUNTIFS(jr_num,A709,jr_rel,"&gt;0")&gt;0,"Reliquat en cours",IF(COUNTIFS(jr_num,A709,jr_gap,"&lt;0")&gt;0,"Reliquat livré","Complet")),IF(LEFT(A709,2)="BR",IF(COUNTIFS(jr_num,A709,jr_etat,"Refusé")&gt;0,"Refusé",IF(COUNTIFS(jr_num,A709,jr_etat,"Avec réserves")&gt;0,"Avec réserves",IF(COUNTIFS(jr_num,A709,jr_rel,"&gt;0")&gt;0,"Reliquat en cours",IF(COUNTIFS(jr_num,A709,jr_gap,"&lt;0")+COUNTIFS(jr_num,A709,jr_gap,"&gt;0")&gt;0,"Écart","Conforme")))),IF(COUNTIFS(jr_num,A709,jr_gap,"&lt;0")&gt;0,"Partiel","Sorti")))))</f>
        <v/>
      </c>
      <c r="O709" t="str">
        <f>IFERROR(MATCH(704,jr_grank,0),"")</f>
        <v/>
      </c>
      <c r="R709" s="67" t="str">
        <f>IFERROR(INDEX(jr_num,MATCH("BL704",jr_nkey,0))&amp;"","")</f>
        <v/>
      </c>
      <c r="S709" s="67" t="str">
        <f>IFERROR(INDEX(jr_num,MATCH("BR704",jr_nkey,0))&amp;"","")</f>
        <v/>
      </c>
      <c r="T709" s="67" t="str">
        <f>IFERROR(INDEX(jr_num,MATCH("BS704",jr_nkey,0))&amp;"","")</f>
        <v/>
      </c>
    </row>
    <row r="710">
      <c r="A710" s="60" t="str">
        <f>IF($O710="","",INDEX(jr_num,$O710)&amp;"")</f>
        <v/>
      </c>
      <c r="B710" s="60" t="str">
        <f>IF($O710="","",IF(INDEX(jr_type,$O710)="BL","Livraison",IF(INDEX(jr_type,$O710)="BR","Réception","Sortie")))</f>
        <v/>
      </c>
      <c r="C710" s="65" t="str">
        <f>IF($O710="","",INDEX(jr_date,$O710))</f>
        <v/>
      </c>
      <c r="D710" s="60" t="str">
        <f>IF($O710="","",INDEX(jr_tiers,$O710)&amp;"")</f>
        <v/>
      </c>
      <c r="E710" s="57" t="str">
        <f>IF($O710="","",INDEX(jr_name,$O710)&amp;"")</f>
        <v/>
      </c>
      <c r="F710" s="57" t="str">
        <f>IF($O710="","",INDEX(jr_order,$O710)&amp;"")</f>
        <v/>
      </c>
      <c r="G710" s="57" t="str">
        <f>IF($O710="","",INDEX(jr_ext,$O710)&amp;"")</f>
        <v/>
      </c>
      <c r="H710" s="57" t="str">
        <f>IF($O710="","",INDEX(jr_carrier,$O710)&amp;"")</f>
        <v/>
      </c>
      <c r="I710" s="66" t="str">
        <f>IF(A710="","",COUNTIF(jr_num,A710))</f>
        <v/>
      </c>
      <c r="J710" s="66" t="str">
        <f>IF(A710="","",SUMIF(jr_num,A710,jr_colis))</f>
        <v/>
      </c>
      <c r="K710" s="63" t="str">
        <f>IF(A710="","",SUMIF(jr_num,A710,jr_kg))</f>
        <v/>
      </c>
      <c r="L710" s="64" t="str">
        <f>IF(A710="","",SUMIF(jr_num,A710,jr_val))</f>
        <v/>
      </c>
      <c r="M710" s="60" t="str">
        <f>IF(A710="","",IF(COUNTIFS(jr_num,A710,jr_check,"&lt;&gt;OK")&gt;0,"À vérifier",IF(LEFT(A710,2)="BL",IF(COUNTIFS(jr_num,A710,jr_rel,"&gt;0")&gt;0,"Reliquat en cours",IF(COUNTIFS(jr_num,A710,jr_gap,"&lt;0")&gt;0,"Reliquat livré","Complet")),IF(LEFT(A710,2)="BR",IF(COUNTIFS(jr_num,A710,jr_etat,"Refusé")&gt;0,"Refusé",IF(COUNTIFS(jr_num,A710,jr_etat,"Avec réserves")&gt;0,"Avec réserves",IF(COUNTIFS(jr_num,A710,jr_rel,"&gt;0")&gt;0,"Reliquat en cours",IF(COUNTIFS(jr_num,A710,jr_gap,"&lt;0")+COUNTIFS(jr_num,A710,jr_gap,"&gt;0")&gt;0,"Écart","Conforme")))),IF(COUNTIFS(jr_num,A710,jr_gap,"&lt;0")&gt;0,"Partiel","Sorti")))))</f>
        <v/>
      </c>
      <c r="O710" t="str">
        <f>IFERROR(MATCH(705,jr_grank,0),"")</f>
        <v/>
      </c>
      <c r="R710" s="67" t="str">
        <f>IFERROR(INDEX(jr_num,MATCH("BL705",jr_nkey,0))&amp;"","")</f>
        <v/>
      </c>
      <c r="S710" s="67" t="str">
        <f>IFERROR(INDEX(jr_num,MATCH("BR705",jr_nkey,0))&amp;"","")</f>
        <v/>
      </c>
      <c r="T710" s="67" t="str">
        <f>IFERROR(INDEX(jr_num,MATCH("BS705",jr_nkey,0))&amp;"","")</f>
        <v/>
      </c>
    </row>
    <row r="711">
      <c r="A711" s="60" t="str">
        <f>IF($O711="","",INDEX(jr_num,$O711)&amp;"")</f>
        <v/>
      </c>
      <c r="B711" s="60" t="str">
        <f>IF($O711="","",IF(INDEX(jr_type,$O711)="BL","Livraison",IF(INDEX(jr_type,$O711)="BR","Réception","Sortie")))</f>
        <v/>
      </c>
      <c r="C711" s="65" t="str">
        <f>IF($O711="","",INDEX(jr_date,$O711))</f>
        <v/>
      </c>
      <c r="D711" s="60" t="str">
        <f>IF($O711="","",INDEX(jr_tiers,$O711)&amp;"")</f>
        <v/>
      </c>
      <c r="E711" s="57" t="str">
        <f>IF($O711="","",INDEX(jr_name,$O711)&amp;"")</f>
        <v/>
      </c>
      <c r="F711" s="57" t="str">
        <f>IF($O711="","",INDEX(jr_order,$O711)&amp;"")</f>
        <v/>
      </c>
      <c r="G711" s="57" t="str">
        <f>IF($O711="","",INDEX(jr_ext,$O711)&amp;"")</f>
        <v/>
      </c>
      <c r="H711" s="57" t="str">
        <f>IF($O711="","",INDEX(jr_carrier,$O711)&amp;"")</f>
        <v/>
      </c>
      <c r="I711" s="66" t="str">
        <f>IF(A711="","",COUNTIF(jr_num,A711))</f>
        <v/>
      </c>
      <c r="J711" s="66" t="str">
        <f>IF(A711="","",SUMIF(jr_num,A711,jr_colis))</f>
        <v/>
      </c>
      <c r="K711" s="63" t="str">
        <f>IF(A711="","",SUMIF(jr_num,A711,jr_kg))</f>
        <v/>
      </c>
      <c r="L711" s="64" t="str">
        <f>IF(A711="","",SUMIF(jr_num,A711,jr_val))</f>
        <v/>
      </c>
      <c r="M711" s="60" t="str">
        <f>IF(A711="","",IF(COUNTIFS(jr_num,A711,jr_check,"&lt;&gt;OK")&gt;0,"À vérifier",IF(LEFT(A711,2)="BL",IF(COUNTIFS(jr_num,A711,jr_rel,"&gt;0")&gt;0,"Reliquat en cours",IF(COUNTIFS(jr_num,A711,jr_gap,"&lt;0")&gt;0,"Reliquat livré","Complet")),IF(LEFT(A711,2)="BR",IF(COUNTIFS(jr_num,A711,jr_etat,"Refusé")&gt;0,"Refusé",IF(COUNTIFS(jr_num,A711,jr_etat,"Avec réserves")&gt;0,"Avec réserves",IF(COUNTIFS(jr_num,A711,jr_rel,"&gt;0")&gt;0,"Reliquat en cours",IF(COUNTIFS(jr_num,A711,jr_gap,"&lt;0")+COUNTIFS(jr_num,A711,jr_gap,"&gt;0")&gt;0,"Écart","Conforme")))),IF(COUNTIFS(jr_num,A711,jr_gap,"&lt;0")&gt;0,"Partiel","Sorti")))))</f>
        <v/>
      </c>
      <c r="O711" t="str">
        <f>IFERROR(MATCH(706,jr_grank,0),"")</f>
        <v/>
      </c>
      <c r="R711" s="67" t="str">
        <f>IFERROR(INDEX(jr_num,MATCH("BL706",jr_nkey,0))&amp;"","")</f>
        <v/>
      </c>
      <c r="S711" s="67" t="str">
        <f>IFERROR(INDEX(jr_num,MATCH("BR706",jr_nkey,0))&amp;"","")</f>
        <v/>
      </c>
      <c r="T711" s="67" t="str">
        <f>IFERROR(INDEX(jr_num,MATCH("BS706",jr_nkey,0))&amp;"","")</f>
        <v/>
      </c>
    </row>
    <row r="712">
      <c r="A712" s="60" t="str">
        <f>IF($O712="","",INDEX(jr_num,$O712)&amp;"")</f>
        <v/>
      </c>
      <c r="B712" s="60" t="str">
        <f>IF($O712="","",IF(INDEX(jr_type,$O712)="BL","Livraison",IF(INDEX(jr_type,$O712)="BR","Réception","Sortie")))</f>
        <v/>
      </c>
      <c r="C712" s="65" t="str">
        <f>IF($O712="","",INDEX(jr_date,$O712))</f>
        <v/>
      </c>
      <c r="D712" s="60" t="str">
        <f>IF($O712="","",INDEX(jr_tiers,$O712)&amp;"")</f>
        <v/>
      </c>
      <c r="E712" s="57" t="str">
        <f>IF($O712="","",INDEX(jr_name,$O712)&amp;"")</f>
        <v/>
      </c>
      <c r="F712" s="57" t="str">
        <f>IF($O712="","",INDEX(jr_order,$O712)&amp;"")</f>
        <v/>
      </c>
      <c r="G712" s="57" t="str">
        <f>IF($O712="","",INDEX(jr_ext,$O712)&amp;"")</f>
        <v/>
      </c>
      <c r="H712" s="57" t="str">
        <f>IF($O712="","",INDEX(jr_carrier,$O712)&amp;"")</f>
        <v/>
      </c>
      <c r="I712" s="66" t="str">
        <f>IF(A712="","",COUNTIF(jr_num,A712))</f>
        <v/>
      </c>
      <c r="J712" s="66" t="str">
        <f>IF(A712="","",SUMIF(jr_num,A712,jr_colis))</f>
        <v/>
      </c>
      <c r="K712" s="63" t="str">
        <f>IF(A712="","",SUMIF(jr_num,A712,jr_kg))</f>
        <v/>
      </c>
      <c r="L712" s="64" t="str">
        <f>IF(A712="","",SUMIF(jr_num,A712,jr_val))</f>
        <v/>
      </c>
      <c r="M712" s="60" t="str">
        <f>IF(A712="","",IF(COUNTIFS(jr_num,A712,jr_check,"&lt;&gt;OK")&gt;0,"À vérifier",IF(LEFT(A712,2)="BL",IF(COUNTIFS(jr_num,A712,jr_rel,"&gt;0")&gt;0,"Reliquat en cours",IF(COUNTIFS(jr_num,A712,jr_gap,"&lt;0")&gt;0,"Reliquat livré","Complet")),IF(LEFT(A712,2)="BR",IF(COUNTIFS(jr_num,A712,jr_etat,"Refusé")&gt;0,"Refusé",IF(COUNTIFS(jr_num,A712,jr_etat,"Avec réserves")&gt;0,"Avec réserves",IF(COUNTIFS(jr_num,A712,jr_rel,"&gt;0")&gt;0,"Reliquat en cours",IF(COUNTIFS(jr_num,A712,jr_gap,"&lt;0")+COUNTIFS(jr_num,A712,jr_gap,"&gt;0")&gt;0,"Écart","Conforme")))),IF(COUNTIFS(jr_num,A712,jr_gap,"&lt;0")&gt;0,"Partiel","Sorti")))))</f>
        <v/>
      </c>
      <c r="O712" t="str">
        <f>IFERROR(MATCH(707,jr_grank,0),"")</f>
        <v/>
      </c>
      <c r="R712" s="67" t="str">
        <f>IFERROR(INDEX(jr_num,MATCH("BL707",jr_nkey,0))&amp;"","")</f>
        <v/>
      </c>
      <c r="S712" s="67" t="str">
        <f>IFERROR(INDEX(jr_num,MATCH("BR707",jr_nkey,0))&amp;"","")</f>
        <v/>
      </c>
      <c r="T712" s="67" t="str">
        <f>IFERROR(INDEX(jr_num,MATCH("BS707",jr_nkey,0))&amp;"","")</f>
        <v/>
      </c>
    </row>
    <row r="713">
      <c r="A713" s="60" t="str">
        <f>IF($O713="","",INDEX(jr_num,$O713)&amp;"")</f>
        <v/>
      </c>
      <c r="B713" s="60" t="str">
        <f>IF($O713="","",IF(INDEX(jr_type,$O713)="BL","Livraison",IF(INDEX(jr_type,$O713)="BR","Réception","Sortie")))</f>
        <v/>
      </c>
      <c r="C713" s="65" t="str">
        <f>IF($O713="","",INDEX(jr_date,$O713))</f>
        <v/>
      </c>
      <c r="D713" s="60" t="str">
        <f>IF($O713="","",INDEX(jr_tiers,$O713)&amp;"")</f>
        <v/>
      </c>
      <c r="E713" s="57" t="str">
        <f>IF($O713="","",INDEX(jr_name,$O713)&amp;"")</f>
        <v/>
      </c>
      <c r="F713" s="57" t="str">
        <f>IF($O713="","",INDEX(jr_order,$O713)&amp;"")</f>
        <v/>
      </c>
      <c r="G713" s="57" t="str">
        <f>IF($O713="","",INDEX(jr_ext,$O713)&amp;"")</f>
        <v/>
      </c>
      <c r="H713" s="57" t="str">
        <f>IF($O713="","",INDEX(jr_carrier,$O713)&amp;"")</f>
        <v/>
      </c>
      <c r="I713" s="66" t="str">
        <f>IF(A713="","",COUNTIF(jr_num,A713))</f>
        <v/>
      </c>
      <c r="J713" s="66" t="str">
        <f>IF(A713="","",SUMIF(jr_num,A713,jr_colis))</f>
        <v/>
      </c>
      <c r="K713" s="63" t="str">
        <f>IF(A713="","",SUMIF(jr_num,A713,jr_kg))</f>
        <v/>
      </c>
      <c r="L713" s="64" t="str">
        <f>IF(A713="","",SUMIF(jr_num,A713,jr_val))</f>
        <v/>
      </c>
      <c r="M713" s="60" t="str">
        <f>IF(A713="","",IF(COUNTIFS(jr_num,A713,jr_check,"&lt;&gt;OK")&gt;0,"À vérifier",IF(LEFT(A713,2)="BL",IF(COUNTIFS(jr_num,A713,jr_rel,"&gt;0")&gt;0,"Reliquat en cours",IF(COUNTIFS(jr_num,A713,jr_gap,"&lt;0")&gt;0,"Reliquat livré","Complet")),IF(LEFT(A713,2)="BR",IF(COUNTIFS(jr_num,A713,jr_etat,"Refusé")&gt;0,"Refusé",IF(COUNTIFS(jr_num,A713,jr_etat,"Avec réserves")&gt;0,"Avec réserves",IF(COUNTIFS(jr_num,A713,jr_rel,"&gt;0")&gt;0,"Reliquat en cours",IF(COUNTIFS(jr_num,A713,jr_gap,"&lt;0")+COUNTIFS(jr_num,A713,jr_gap,"&gt;0")&gt;0,"Écart","Conforme")))),IF(COUNTIFS(jr_num,A713,jr_gap,"&lt;0")&gt;0,"Partiel","Sorti")))))</f>
        <v/>
      </c>
      <c r="O713" t="str">
        <f>IFERROR(MATCH(708,jr_grank,0),"")</f>
        <v/>
      </c>
      <c r="R713" s="67" t="str">
        <f>IFERROR(INDEX(jr_num,MATCH("BL708",jr_nkey,0))&amp;"","")</f>
        <v/>
      </c>
      <c r="S713" s="67" t="str">
        <f>IFERROR(INDEX(jr_num,MATCH("BR708",jr_nkey,0))&amp;"","")</f>
        <v/>
      </c>
      <c r="T713" s="67" t="str">
        <f>IFERROR(INDEX(jr_num,MATCH("BS708",jr_nkey,0))&amp;"","")</f>
        <v/>
      </c>
    </row>
    <row r="714">
      <c r="A714" s="60" t="str">
        <f>IF($O714="","",INDEX(jr_num,$O714)&amp;"")</f>
        <v/>
      </c>
      <c r="B714" s="60" t="str">
        <f>IF($O714="","",IF(INDEX(jr_type,$O714)="BL","Livraison",IF(INDEX(jr_type,$O714)="BR","Réception","Sortie")))</f>
        <v/>
      </c>
      <c r="C714" s="65" t="str">
        <f>IF($O714="","",INDEX(jr_date,$O714))</f>
        <v/>
      </c>
      <c r="D714" s="60" t="str">
        <f>IF($O714="","",INDEX(jr_tiers,$O714)&amp;"")</f>
        <v/>
      </c>
      <c r="E714" s="57" t="str">
        <f>IF($O714="","",INDEX(jr_name,$O714)&amp;"")</f>
        <v/>
      </c>
      <c r="F714" s="57" t="str">
        <f>IF($O714="","",INDEX(jr_order,$O714)&amp;"")</f>
        <v/>
      </c>
      <c r="G714" s="57" t="str">
        <f>IF($O714="","",INDEX(jr_ext,$O714)&amp;"")</f>
        <v/>
      </c>
      <c r="H714" s="57" t="str">
        <f>IF($O714="","",INDEX(jr_carrier,$O714)&amp;"")</f>
        <v/>
      </c>
      <c r="I714" s="66" t="str">
        <f>IF(A714="","",COUNTIF(jr_num,A714))</f>
        <v/>
      </c>
      <c r="J714" s="66" t="str">
        <f>IF(A714="","",SUMIF(jr_num,A714,jr_colis))</f>
        <v/>
      </c>
      <c r="K714" s="63" t="str">
        <f>IF(A714="","",SUMIF(jr_num,A714,jr_kg))</f>
        <v/>
      </c>
      <c r="L714" s="64" t="str">
        <f>IF(A714="","",SUMIF(jr_num,A714,jr_val))</f>
        <v/>
      </c>
      <c r="M714" s="60" t="str">
        <f>IF(A714="","",IF(COUNTIFS(jr_num,A714,jr_check,"&lt;&gt;OK")&gt;0,"À vérifier",IF(LEFT(A714,2)="BL",IF(COUNTIFS(jr_num,A714,jr_rel,"&gt;0")&gt;0,"Reliquat en cours",IF(COUNTIFS(jr_num,A714,jr_gap,"&lt;0")&gt;0,"Reliquat livré","Complet")),IF(LEFT(A714,2)="BR",IF(COUNTIFS(jr_num,A714,jr_etat,"Refusé")&gt;0,"Refusé",IF(COUNTIFS(jr_num,A714,jr_etat,"Avec réserves")&gt;0,"Avec réserves",IF(COUNTIFS(jr_num,A714,jr_rel,"&gt;0")&gt;0,"Reliquat en cours",IF(COUNTIFS(jr_num,A714,jr_gap,"&lt;0")+COUNTIFS(jr_num,A714,jr_gap,"&gt;0")&gt;0,"Écart","Conforme")))),IF(COUNTIFS(jr_num,A714,jr_gap,"&lt;0")&gt;0,"Partiel","Sorti")))))</f>
        <v/>
      </c>
      <c r="O714" t="str">
        <f>IFERROR(MATCH(709,jr_grank,0),"")</f>
        <v/>
      </c>
      <c r="R714" s="67" t="str">
        <f>IFERROR(INDEX(jr_num,MATCH("BL709",jr_nkey,0))&amp;"","")</f>
        <v/>
      </c>
      <c r="S714" s="67" t="str">
        <f>IFERROR(INDEX(jr_num,MATCH("BR709",jr_nkey,0))&amp;"","")</f>
        <v/>
      </c>
      <c r="T714" s="67" t="str">
        <f>IFERROR(INDEX(jr_num,MATCH("BS709",jr_nkey,0))&amp;"","")</f>
        <v/>
      </c>
    </row>
    <row r="715">
      <c r="A715" s="60" t="str">
        <f>IF($O715="","",INDEX(jr_num,$O715)&amp;"")</f>
        <v/>
      </c>
      <c r="B715" s="60" t="str">
        <f>IF($O715="","",IF(INDEX(jr_type,$O715)="BL","Livraison",IF(INDEX(jr_type,$O715)="BR","Réception","Sortie")))</f>
        <v/>
      </c>
      <c r="C715" s="65" t="str">
        <f>IF($O715="","",INDEX(jr_date,$O715))</f>
        <v/>
      </c>
      <c r="D715" s="60" t="str">
        <f>IF($O715="","",INDEX(jr_tiers,$O715)&amp;"")</f>
        <v/>
      </c>
      <c r="E715" s="57" t="str">
        <f>IF($O715="","",INDEX(jr_name,$O715)&amp;"")</f>
        <v/>
      </c>
      <c r="F715" s="57" t="str">
        <f>IF($O715="","",INDEX(jr_order,$O715)&amp;"")</f>
        <v/>
      </c>
      <c r="G715" s="57" t="str">
        <f>IF($O715="","",INDEX(jr_ext,$O715)&amp;"")</f>
        <v/>
      </c>
      <c r="H715" s="57" t="str">
        <f>IF($O715="","",INDEX(jr_carrier,$O715)&amp;"")</f>
        <v/>
      </c>
      <c r="I715" s="66" t="str">
        <f>IF(A715="","",COUNTIF(jr_num,A715))</f>
        <v/>
      </c>
      <c r="J715" s="66" t="str">
        <f>IF(A715="","",SUMIF(jr_num,A715,jr_colis))</f>
        <v/>
      </c>
      <c r="K715" s="63" t="str">
        <f>IF(A715="","",SUMIF(jr_num,A715,jr_kg))</f>
        <v/>
      </c>
      <c r="L715" s="64" t="str">
        <f>IF(A715="","",SUMIF(jr_num,A715,jr_val))</f>
        <v/>
      </c>
      <c r="M715" s="60" t="str">
        <f>IF(A715="","",IF(COUNTIFS(jr_num,A715,jr_check,"&lt;&gt;OK")&gt;0,"À vérifier",IF(LEFT(A715,2)="BL",IF(COUNTIFS(jr_num,A715,jr_rel,"&gt;0")&gt;0,"Reliquat en cours",IF(COUNTIFS(jr_num,A715,jr_gap,"&lt;0")&gt;0,"Reliquat livré","Complet")),IF(LEFT(A715,2)="BR",IF(COUNTIFS(jr_num,A715,jr_etat,"Refusé")&gt;0,"Refusé",IF(COUNTIFS(jr_num,A715,jr_etat,"Avec réserves")&gt;0,"Avec réserves",IF(COUNTIFS(jr_num,A715,jr_rel,"&gt;0")&gt;0,"Reliquat en cours",IF(COUNTIFS(jr_num,A715,jr_gap,"&lt;0")+COUNTIFS(jr_num,A715,jr_gap,"&gt;0")&gt;0,"Écart","Conforme")))),IF(COUNTIFS(jr_num,A715,jr_gap,"&lt;0")&gt;0,"Partiel","Sorti")))))</f>
        <v/>
      </c>
      <c r="O715" t="str">
        <f>IFERROR(MATCH(710,jr_grank,0),"")</f>
        <v/>
      </c>
      <c r="R715" s="67" t="str">
        <f>IFERROR(INDEX(jr_num,MATCH("BL710",jr_nkey,0))&amp;"","")</f>
        <v/>
      </c>
      <c r="S715" s="67" t="str">
        <f>IFERROR(INDEX(jr_num,MATCH("BR710",jr_nkey,0))&amp;"","")</f>
        <v/>
      </c>
      <c r="T715" s="67" t="str">
        <f>IFERROR(INDEX(jr_num,MATCH("BS710",jr_nkey,0))&amp;"","")</f>
        <v/>
      </c>
    </row>
    <row r="716">
      <c r="A716" s="60" t="str">
        <f>IF($O716="","",INDEX(jr_num,$O716)&amp;"")</f>
        <v/>
      </c>
      <c r="B716" s="60" t="str">
        <f>IF($O716="","",IF(INDEX(jr_type,$O716)="BL","Livraison",IF(INDEX(jr_type,$O716)="BR","Réception","Sortie")))</f>
        <v/>
      </c>
      <c r="C716" s="65" t="str">
        <f>IF($O716="","",INDEX(jr_date,$O716))</f>
        <v/>
      </c>
      <c r="D716" s="60" t="str">
        <f>IF($O716="","",INDEX(jr_tiers,$O716)&amp;"")</f>
        <v/>
      </c>
      <c r="E716" s="57" t="str">
        <f>IF($O716="","",INDEX(jr_name,$O716)&amp;"")</f>
        <v/>
      </c>
      <c r="F716" s="57" t="str">
        <f>IF($O716="","",INDEX(jr_order,$O716)&amp;"")</f>
        <v/>
      </c>
      <c r="G716" s="57" t="str">
        <f>IF($O716="","",INDEX(jr_ext,$O716)&amp;"")</f>
        <v/>
      </c>
      <c r="H716" s="57" t="str">
        <f>IF($O716="","",INDEX(jr_carrier,$O716)&amp;"")</f>
        <v/>
      </c>
      <c r="I716" s="66" t="str">
        <f>IF(A716="","",COUNTIF(jr_num,A716))</f>
        <v/>
      </c>
      <c r="J716" s="66" t="str">
        <f>IF(A716="","",SUMIF(jr_num,A716,jr_colis))</f>
        <v/>
      </c>
      <c r="K716" s="63" t="str">
        <f>IF(A716="","",SUMIF(jr_num,A716,jr_kg))</f>
        <v/>
      </c>
      <c r="L716" s="64" t="str">
        <f>IF(A716="","",SUMIF(jr_num,A716,jr_val))</f>
        <v/>
      </c>
      <c r="M716" s="60" t="str">
        <f>IF(A716="","",IF(COUNTIFS(jr_num,A716,jr_check,"&lt;&gt;OK")&gt;0,"À vérifier",IF(LEFT(A716,2)="BL",IF(COUNTIFS(jr_num,A716,jr_rel,"&gt;0")&gt;0,"Reliquat en cours",IF(COUNTIFS(jr_num,A716,jr_gap,"&lt;0")&gt;0,"Reliquat livré","Complet")),IF(LEFT(A716,2)="BR",IF(COUNTIFS(jr_num,A716,jr_etat,"Refusé")&gt;0,"Refusé",IF(COUNTIFS(jr_num,A716,jr_etat,"Avec réserves")&gt;0,"Avec réserves",IF(COUNTIFS(jr_num,A716,jr_rel,"&gt;0")&gt;0,"Reliquat en cours",IF(COUNTIFS(jr_num,A716,jr_gap,"&lt;0")+COUNTIFS(jr_num,A716,jr_gap,"&gt;0")&gt;0,"Écart","Conforme")))),IF(COUNTIFS(jr_num,A716,jr_gap,"&lt;0")&gt;0,"Partiel","Sorti")))))</f>
        <v/>
      </c>
      <c r="O716" t="str">
        <f>IFERROR(MATCH(711,jr_grank,0),"")</f>
        <v/>
      </c>
      <c r="R716" s="67" t="str">
        <f>IFERROR(INDEX(jr_num,MATCH("BL711",jr_nkey,0))&amp;"","")</f>
        <v/>
      </c>
      <c r="S716" s="67" t="str">
        <f>IFERROR(INDEX(jr_num,MATCH("BR711",jr_nkey,0))&amp;"","")</f>
        <v/>
      </c>
      <c r="T716" s="67" t="str">
        <f>IFERROR(INDEX(jr_num,MATCH("BS711",jr_nkey,0))&amp;"","")</f>
        <v/>
      </c>
    </row>
    <row r="717">
      <c r="A717" s="60" t="str">
        <f>IF($O717="","",INDEX(jr_num,$O717)&amp;"")</f>
        <v/>
      </c>
      <c r="B717" s="60" t="str">
        <f>IF($O717="","",IF(INDEX(jr_type,$O717)="BL","Livraison",IF(INDEX(jr_type,$O717)="BR","Réception","Sortie")))</f>
        <v/>
      </c>
      <c r="C717" s="65" t="str">
        <f>IF($O717="","",INDEX(jr_date,$O717))</f>
        <v/>
      </c>
      <c r="D717" s="60" t="str">
        <f>IF($O717="","",INDEX(jr_tiers,$O717)&amp;"")</f>
        <v/>
      </c>
      <c r="E717" s="57" t="str">
        <f>IF($O717="","",INDEX(jr_name,$O717)&amp;"")</f>
        <v/>
      </c>
      <c r="F717" s="57" t="str">
        <f>IF($O717="","",INDEX(jr_order,$O717)&amp;"")</f>
        <v/>
      </c>
      <c r="G717" s="57" t="str">
        <f>IF($O717="","",INDEX(jr_ext,$O717)&amp;"")</f>
        <v/>
      </c>
      <c r="H717" s="57" t="str">
        <f>IF($O717="","",INDEX(jr_carrier,$O717)&amp;"")</f>
        <v/>
      </c>
      <c r="I717" s="66" t="str">
        <f>IF(A717="","",COUNTIF(jr_num,A717))</f>
        <v/>
      </c>
      <c r="J717" s="66" t="str">
        <f>IF(A717="","",SUMIF(jr_num,A717,jr_colis))</f>
        <v/>
      </c>
      <c r="K717" s="63" t="str">
        <f>IF(A717="","",SUMIF(jr_num,A717,jr_kg))</f>
        <v/>
      </c>
      <c r="L717" s="64" t="str">
        <f>IF(A717="","",SUMIF(jr_num,A717,jr_val))</f>
        <v/>
      </c>
      <c r="M717" s="60" t="str">
        <f>IF(A717="","",IF(COUNTIFS(jr_num,A717,jr_check,"&lt;&gt;OK")&gt;0,"À vérifier",IF(LEFT(A717,2)="BL",IF(COUNTIFS(jr_num,A717,jr_rel,"&gt;0")&gt;0,"Reliquat en cours",IF(COUNTIFS(jr_num,A717,jr_gap,"&lt;0")&gt;0,"Reliquat livré","Complet")),IF(LEFT(A717,2)="BR",IF(COUNTIFS(jr_num,A717,jr_etat,"Refusé")&gt;0,"Refusé",IF(COUNTIFS(jr_num,A717,jr_etat,"Avec réserves")&gt;0,"Avec réserves",IF(COUNTIFS(jr_num,A717,jr_rel,"&gt;0")&gt;0,"Reliquat en cours",IF(COUNTIFS(jr_num,A717,jr_gap,"&lt;0")+COUNTIFS(jr_num,A717,jr_gap,"&gt;0")&gt;0,"Écart","Conforme")))),IF(COUNTIFS(jr_num,A717,jr_gap,"&lt;0")&gt;0,"Partiel","Sorti")))))</f>
        <v/>
      </c>
      <c r="O717" t="str">
        <f>IFERROR(MATCH(712,jr_grank,0),"")</f>
        <v/>
      </c>
      <c r="R717" s="67" t="str">
        <f>IFERROR(INDEX(jr_num,MATCH("BL712",jr_nkey,0))&amp;"","")</f>
        <v/>
      </c>
      <c r="S717" s="67" t="str">
        <f>IFERROR(INDEX(jr_num,MATCH("BR712",jr_nkey,0))&amp;"","")</f>
        <v/>
      </c>
      <c r="T717" s="67" t="str">
        <f>IFERROR(INDEX(jr_num,MATCH("BS712",jr_nkey,0))&amp;"","")</f>
        <v/>
      </c>
    </row>
    <row r="718">
      <c r="A718" s="60" t="str">
        <f>IF($O718="","",INDEX(jr_num,$O718)&amp;"")</f>
        <v/>
      </c>
      <c r="B718" s="60" t="str">
        <f>IF($O718="","",IF(INDEX(jr_type,$O718)="BL","Livraison",IF(INDEX(jr_type,$O718)="BR","Réception","Sortie")))</f>
        <v/>
      </c>
      <c r="C718" s="65" t="str">
        <f>IF($O718="","",INDEX(jr_date,$O718))</f>
        <v/>
      </c>
      <c r="D718" s="60" t="str">
        <f>IF($O718="","",INDEX(jr_tiers,$O718)&amp;"")</f>
        <v/>
      </c>
      <c r="E718" s="57" t="str">
        <f>IF($O718="","",INDEX(jr_name,$O718)&amp;"")</f>
        <v/>
      </c>
      <c r="F718" s="57" t="str">
        <f>IF($O718="","",INDEX(jr_order,$O718)&amp;"")</f>
        <v/>
      </c>
      <c r="G718" s="57" t="str">
        <f>IF($O718="","",INDEX(jr_ext,$O718)&amp;"")</f>
        <v/>
      </c>
      <c r="H718" s="57" t="str">
        <f>IF($O718="","",INDEX(jr_carrier,$O718)&amp;"")</f>
        <v/>
      </c>
      <c r="I718" s="66" t="str">
        <f>IF(A718="","",COUNTIF(jr_num,A718))</f>
        <v/>
      </c>
      <c r="J718" s="66" t="str">
        <f>IF(A718="","",SUMIF(jr_num,A718,jr_colis))</f>
        <v/>
      </c>
      <c r="K718" s="63" t="str">
        <f>IF(A718="","",SUMIF(jr_num,A718,jr_kg))</f>
        <v/>
      </c>
      <c r="L718" s="64" t="str">
        <f>IF(A718="","",SUMIF(jr_num,A718,jr_val))</f>
        <v/>
      </c>
      <c r="M718" s="60" t="str">
        <f>IF(A718="","",IF(COUNTIFS(jr_num,A718,jr_check,"&lt;&gt;OK")&gt;0,"À vérifier",IF(LEFT(A718,2)="BL",IF(COUNTIFS(jr_num,A718,jr_rel,"&gt;0")&gt;0,"Reliquat en cours",IF(COUNTIFS(jr_num,A718,jr_gap,"&lt;0")&gt;0,"Reliquat livré","Complet")),IF(LEFT(A718,2)="BR",IF(COUNTIFS(jr_num,A718,jr_etat,"Refusé")&gt;0,"Refusé",IF(COUNTIFS(jr_num,A718,jr_etat,"Avec réserves")&gt;0,"Avec réserves",IF(COUNTIFS(jr_num,A718,jr_rel,"&gt;0")&gt;0,"Reliquat en cours",IF(COUNTIFS(jr_num,A718,jr_gap,"&lt;0")+COUNTIFS(jr_num,A718,jr_gap,"&gt;0")&gt;0,"Écart","Conforme")))),IF(COUNTIFS(jr_num,A718,jr_gap,"&lt;0")&gt;0,"Partiel","Sorti")))))</f>
        <v/>
      </c>
      <c r="O718" t="str">
        <f>IFERROR(MATCH(713,jr_grank,0),"")</f>
        <v/>
      </c>
      <c r="R718" s="67" t="str">
        <f>IFERROR(INDEX(jr_num,MATCH("BL713",jr_nkey,0))&amp;"","")</f>
        <v/>
      </c>
      <c r="S718" s="67" t="str">
        <f>IFERROR(INDEX(jr_num,MATCH("BR713",jr_nkey,0))&amp;"","")</f>
        <v/>
      </c>
      <c r="T718" s="67" t="str">
        <f>IFERROR(INDEX(jr_num,MATCH("BS713",jr_nkey,0))&amp;"","")</f>
        <v/>
      </c>
    </row>
    <row r="719">
      <c r="A719" s="60" t="str">
        <f>IF($O719="","",INDEX(jr_num,$O719)&amp;"")</f>
        <v/>
      </c>
      <c r="B719" s="60" t="str">
        <f>IF($O719="","",IF(INDEX(jr_type,$O719)="BL","Livraison",IF(INDEX(jr_type,$O719)="BR","Réception","Sortie")))</f>
        <v/>
      </c>
      <c r="C719" s="65" t="str">
        <f>IF($O719="","",INDEX(jr_date,$O719))</f>
        <v/>
      </c>
      <c r="D719" s="60" t="str">
        <f>IF($O719="","",INDEX(jr_tiers,$O719)&amp;"")</f>
        <v/>
      </c>
      <c r="E719" s="57" t="str">
        <f>IF($O719="","",INDEX(jr_name,$O719)&amp;"")</f>
        <v/>
      </c>
      <c r="F719" s="57" t="str">
        <f>IF($O719="","",INDEX(jr_order,$O719)&amp;"")</f>
        <v/>
      </c>
      <c r="G719" s="57" t="str">
        <f>IF($O719="","",INDEX(jr_ext,$O719)&amp;"")</f>
        <v/>
      </c>
      <c r="H719" s="57" t="str">
        <f>IF($O719="","",INDEX(jr_carrier,$O719)&amp;"")</f>
        <v/>
      </c>
      <c r="I719" s="66" t="str">
        <f>IF(A719="","",COUNTIF(jr_num,A719))</f>
        <v/>
      </c>
      <c r="J719" s="66" t="str">
        <f>IF(A719="","",SUMIF(jr_num,A719,jr_colis))</f>
        <v/>
      </c>
      <c r="K719" s="63" t="str">
        <f>IF(A719="","",SUMIF(jr_num,A719,jr_kg))</f>
        <v/>
      </c>
      <c r="L719" s="64" t="str">
        <f>IF(A719="","",SUMIF(jr_num,A719,jr_val))</f>
        <v/>
      </c>
      <c r="M719" s="60" t="str">
        <f>IF(A719="","",IF(COUNTIFS(jr_num,A719,jr_check,"&lt;&gt;OK")&gt;0,"À vérifier",IF(LEFT(A719,2)="BL",IF(COUNTIFS(jr_num,A719,jr_rel,"&gt;0")&gt;0,"Reliquat en cours",IF(COUNTIFS(jr_num,A719,jr_gap,"&lt;0")&gt;0,"Reliquat livré","Complet")),IF(LEFT(A719,2)="BR",IF(COUNTIFS(jr_num,A719,jr_etat,"Refusé")&gt;0,"Refusé",IF(COUNTIFS(jr_num,A719,jr_etat,"Avec réserves")&gt;0,"Avec réserves",IF(COUNTIFS(jr_num,A719,jr_rel,"&gt;0")&gt;0,"Reliquat en cours",IF(COUNTIFS(jr_num,A719,jr_gap,"&lt;0")+COUNTIFS(jr_num,A719,jr_gap,"&gt;0")&gt;0,"Écart","Conforme")))),IF(COUNTIFS(jr_num,A719,jr_gap,"&lt;0")&gt;0,"Partiel","Sorti")))))</f>
        <v/>
      </c>
      <c r="O719" t="str">
        <f>IFERROR(MATCH(714,jr_grank,0),"")</f>
        <v/>
      </c>
      <c r="R719" s="67" t="str">
        <f>IFERROR(INDEX(jr_num,MATCH("BL714",jr_nkey,0))&amp;"","")</f>
        <v/>
      </c>
      <c r="S719" s="67" t="str">
        <f>IFERROR(INDEX(jr_num,MATCH("BR714",jr_nkey,0))&amp;"","")</f>
        <v/>
      </c>
      <c r="T719" s="67" t="str">
        <f>IFERROR(INDEX(jr_num,MATCH("BS714",jr_nkey,0))&amp;"","")</f>
        <v/>
      </c>
    </row>
    <row r="720">
      <c r="A720" s="60" t="str">
        <f>IF($O720="","",INDEX(jr_num,$O720)&amp;"")</f>
        <v/>
      </c>
      <c r="B720" s="60" t="str">
        <f>IF($O720="","",IF(INDEX(jr_type,$O720)="BL","Livraison",IF(INDEX(jr_type,$O720)="BR","Réception","Sortie")))</f>
        <v/>
      </c>
      <c r="C720" s="65" t="str">
        <f>IF($O720="","",INDEX(jr_date,$O720))</f>
        <v/>
      </c>
      <c r="D720" s="60" t="str">
        <f>IF($O720="","",INDEX(jr_tiers,$O720)&amp;"")</f>
        <v/>
      </c>
      <c r="E720" s="57" t="str">
        <f>IF($O720="","",INDEX(jr_name,$O720)&amp;"")</f>
        <v/>
      </c>
      <c r="F720" s="57" t="str">
        <f>IF($O720="","",INDEX(jr_order,$O720)&amp;"")</f>
        <v/>
      </c>
      <c r="G720" s="57" t="str">
        <f>IF($O720="","",INDEX(jr_ext,$O720)&amp;"")</f>
        <v/>
      </c>
      <c r="H720" s="57" t="str">
        <f>IF($O720="","",INDEX(jr_carrier,$O720)&amp;"")</f>
        <v/>
      </c>
      <c r="I720" s="66" t="str">
        <f>IF(A720="","",COUNTIF(jr_num,A720))</f>
        <v/>
      </c>
      <c r="J720" s="66" t="str">
        <f>IF(A720="","",SUMIF(jr_num,A720,jr_colis))</f>
        <v/>
      </c>
      <c r="K720" s="63" t="str">
        <f>IF(A720="","",SUMIF(jr_num,A720,jr_kg))</f>
        <v/>
      </c>
      <c r="L720" s="64" t="str">
        <f>IF(A720="","",SUMIF(jr_num,A720,jr_val))</f>
        <v/>
      </c>
      <c r="M720" s="60" t="str">
        <f>IF(A720="","",IF(COUNTIFS(jr_num,A720,jr_check,"&lt;&gt;OK")&gt;0,"À vérifier",IF(LEFT(A720,2)="BL",IF(COUNTIFS(jr_num,A720,jr_rel,"&gt;0")&gt;0,"Reliquat en cours",IF(COUNTIFS(jr_num,A720,jr_gap,"&lt;0")&gt;0,"Reliquat livré","Complet")),IF(LEFT(A720,2)="BR",IF(COUNTIFS(jr_num,A720,jr_etat,"Refusé")&gt;0,"Refusé",IF(COUNTIFS(jr_num,A720,jr_etat,"Avec réserves")&gt;0,"Avec réserves",IF(COUNTIFS(jr_num,A720,jr_rel,"&gt;0")&gt;0,"Reliquat en cours",IF(COUNTIFS(jr_num,A720,jr_gap,"&lt;0")+COUNTIFS(jr_num,A720,jr_gap,"&gt;0")&gt;0,"Écart","Conforme")))),IF(COUNTIFS(jr_num,A720,jr_gap,"&lt;0")&gt;0,"Partiel","Sorti")))))</f>
        <v/>
      </c>
      <c r="O720" t="str">
        <f>IFERROR(MATCH(715,jr_grank,0),"")</f>
        <v/>
      </c>
      <c r="R720" s="67" t="str">
        <f>IFERROR(INDEX(jr_num,MATCH("BL715",jr_nkey,0))&amp;"","")</f>
        <v/>
      </c>
      <c r="S720" s="67" t="str">
        <f>IFERROR(INDEX(jr_num,MATCH("BR715",jr_nkey,0))&amp;"","")</f>
        <v/>
      </c>
      <c r="T720" s="67" t="str">
        <f>IFERROR(INDEX(jr_num,MATCH("BS715",jr_nkey,0))&amp;"","")</f>
        <v/>
      </c>
    </row>
    <row r="721">
      <c r="A721" s="60" t="str">
        <f>IF($O721="","",INDEX(jr_num,$O721)&amp;"")</f>
        <v/>
      </c>
      <c r="B721" s="60" t="str">
        <f>IF($O721="","",IF(INDEX(jr_type,$O721)="BL","Livraison",IF(INDEX(jr_type,$O721)="BR","Réception","Sortie")))</f>
        <v/>
      </c>
      <c r="C721" s="65" t="str">
        <f>IF($O721="","",INDEX(jr_date,$O721))</f>
        <v/>
      </c>
      <c r="D721" s="60" t="str">
        <f>IF($O721="","",INDEX(jr_tiers,$O721)&amp;"")</f>
        <v/>
      </c>
      <c r="E721" s="57" t="str">
        <f>IF($O721="","",INDEX(jr_name,$O721)&amp;"")</f>
        <v/>
      </c>
      <c r="F721" s="57" t="str">
        <f>IF($O721="","",INDEX(jr_order,$O721)&amp;"")</f>
        <v/>
      </c>
      <c r="G721" s="57" t="str">
        <f>IF($O721="","",INDEX(jr_ext,$O721)&amp;"")</f>
        <v/>
      </c>
      <c r="H721" s="57" t="str">
        <f>IF($O721="","",INDEX(jr_carrier,$O721)&amp;"")</f>
        <v/>
      </c>
      <c r="I721" s="66" t="str">
        <f>IF(A721="","",COUNTIF(jr_num,A721))</f>
        <v/>
      </c>
      <c r="J721" s="66" t="str">
        <f>IF(A721="","",SUMIF(jr_num,A721,jr_colis))</f>
        <v/>
      </c>
      <c r="K721" s="63" t="str">
        <f>IF(A721="","",SUMIF(jr_num,A721,jr_kg))</f>
        <v/>
      </c>
      <c r="L721" s="64" t="str">
        <f>IF(A721="","",SUMIF(jr_num,A721,jr_val))</f>
        <v/>
      </c>
      <c r="M721" s="60" t="str">
        <f>IF(A721="","",IF(COUNTIFS(jr_num,A721,jr_check,"&lt;&gt;OK")&gt;0,"À vérifier",IF(LEFT(A721,2)="BL",IF(COUNTIFS(jr_num,A721,jr_rel,"&gt;0")&gt;0,"Reliquat en cours",IF(COUNTIFS(jr_num,A721,jr_gap,"&lt;0")&gt;0,"Reliquat livré","Complet")),IF(LEFT(A721,2)="BR",IF(COUNTIFS(jr_num,A721,jr_etat,"Refusé")&gt;0,"Refusé",IF(COUNTIFS(jr_num,A721,jr_etat,"Avec réserves")&gt;0,"Avec réserves",IF(COUNTIFS(jr_num,A721,jr_rel,"&gt;0")&gt;0,"Reliquat en cours",IF(COUNTIFS(jr_num,A721,jr_gap,"&lt;0")+COUNTIFS(jr_num,A721,jr_gap,"&gt;0")&gt;0,"Écart","Conforme")))),IF(COUNTIFS(jr_num,A721,jr_gap,"&lt;0")&gt;0,"Partiel","Sorti")))))</f>
        <v/>
      </c>
      <c r="O721" t="str">
        <f>IFERROR(MATCH(716,jr_grank,0),"")</f>
        <v/>
      </c>
      <c r="R721" s="67" t="str">
        <f>IFERROR(INDEX(jr_num,MATCH("BL716",jr_nkey,0))&amp;"","")</f>
        <v/>
      </c>
      <c r="S721" s="67" t="str">
        <f>IFERROR(INDEX(jr_num,MATCH("BR716",jr_nkey,0))&amp;"","")</f>
        <v/>
      </c>
      <c r="T721" s="67" t="str">
        <f>IFERROR(INDEX(jr_num,MATCH("BS716",jr_nkey,0))&amp;"","")</f>
        <v/>
      </c>
    </row>
    <row r="722">
      <c r="A722" s="60" t="str">
        <f>IF($O722="","",INDEX(jr_num,$O722)&amp;"")</f>
        <v/>
      </c>
      <c r="B722" s="60" t="str">
        <f>IF($O722="","",IF(INDEX(jr_type,$O722)="BL","Livraison",IF(INDEX(jr_type,$O722)="BR","Réception","Sortie")))</f>
        <v/>
      </c>
      <c r="C722" s="65" t="str">
        <f>IF($O722="","",INDEX(jr_date,$O722))</f>
        <v/>
      </c>
      <c r="D722" s="60" t="str">
        <f>IF($O722="","",INDEX(jr_tiers,$O722)&amp;"")</f>
        <v/>
      </c>
      <c r="E722" s="57" t="str">
        <f>IF($O722="","",INDEX(jr_name,$O722)&amp;"")</f>
        <v/>
      </c>
      <c r="F722" s="57" t="str">
        <f>IF($O722="","",INDEX(jr_order,$O722)&amp;"")</f>
        <v/>
      </c>
      <c r="G722" s="57" t="str">
        <f>IF($O722="","",INDEX(jr_ext,$O722)&amp;"")</f>
        <v/>
      </c>
      <c r="H722" s="57" t="str">
        <f>IF($O722="","",INDEX(jr_carrier,$O722)&amp;"")</f>
        <v/>
      </c>
      <c r="I722" s="66" t="str">
        <f>IF(A722="","",COUNTIF(jr_num,A722))</f>
        <v/>
      </c>
      <c r="J722" s="66" t="str">
        <f>IF(A722="","",SUMIF(jr_num,A722,jr_colis))</f>
        <v/>
      </c>
      <c r="K722" s="63" t="str">
        <f>IF(A722="","",SUMIF(jr_num,A722,jr_kg))</f>
        <v/>
      </c>
      <c r="L722" s="64" t="str">
        <f>IF(A722="","",SUMIF(jr_num,A722,jr_val))</f>
        <v/>
      </c>
      <c r="M722" s="60" t="str">
        <f>IF(A722="","",IF(COUNTIFS(jr_num,A722,jr_check,"&lt;&gt;OK")&gt;0,"À vérifier",IF(LEFT(A722,2)="BL",IF(COUNTIFS(jr_num,A722,jr_rel,"&gt;0")&gt;0,"Reliquat en cours",IF(COUNTIFS(jr_num,A722,jr_gap,"&lt;0")&gt;0,"Reliquat livré","Complet")),IF(LEFT(A722,2)="BR",IF(COUNTIFS(jr_num,A722,jr_etat,"Refusé")&gt;0,"Refusé",IF(COUNTIFS(jr_num,A722,jr_etat,"Avec réserves")&gt;0,"Avec réserves",IF(COUNTIFS(jr_num,A722,jr_rel,"&gt;0")&gt;0,"Reliquat en cours",IF(COUNTIFS(jr_num,A722,jr_gap,"&lt;0")+COUNTIFS(jr_num,A722,jr_gap,"&gt;0")&gt;0,"Écart","Conforme")))),IF(COUNTIFS(jr_num,A722,jr_gap,"&lt;0")&gt;0,"Partiel","Sorti")))))</f>
        <v/>
      </c>
      <c r="O722" t="str">
        <f>IFERROR(MATCH(717,jr_grank,0),"")</f>
        <v/>
      </c>
      <c r="R722" s="67" t="str">
        <f>IFERROR(INDEX(jr_num,MATCH("BL717",jr_nkey,0))&amp;"","")</f>
        <v/>
      </c>
      <c r="S722" s="67" t="str">
        <f>IFERROR(INDEX(jr_num,MATCH("BR717",jr_nkey,0))&amp;"","")</f>
        <v/>
      </c>
      <c r="T722" s="67" t="str">
        <f>IFERROR(INDEX(jr_num,MATCH("BS717",jr_nkey,0))&amp;"","")</f>
        <v/>
      </c>
    </row>
    <row r="723">
      <c r="A723" s="60" t="str">
        <f>IF($O723="","",INDEX(jr_num,$O723)&amp;"")</f>
        <v/>
      </c>
      <c r="B723" s="60" t="str">
        <f>IF($O723="","",IF(INDEX(jr_type,$O723)="BL","Livraison",IF(INDEX(jr_type,$O723)="BR","Réception","Sortie")))</f>
        <v/>
      </c>
      <c r="C723" s="65" t="str">
        <f>IF($O723="","",INDEX(jr_date,$O723))</f>
        <v/>
      </c>
      <c r="D723" s="60" t="str">
        <f>IF($O723="","",INDEX(jr_tiers,$O723)&amp;"")</f>
        <v/>
      </c>
      <c r="E723" s="57" t="str">
        <f>IF($O723="","",INDEX(jr_name,$O723)&amp;"")</f>
        <v/>
      </c>
      <c r="F723" s="57" t="str">
        <f>IF($O723="","",INDEX(jr_order,$O723)&amp;"")</f>
        <v/>
      </c>
      <c r="G723" s="57" t="str">
        <f>IF($O723="","",INDEX(jr_ext,$O723)&amp;"")</f>
        <v/>
      </c>
      <c r="H723" s="57" t="str">
        <f>IF($O723="","",INDEX(jr_carrier,$O723)&amp;"")</f>
        <v/>
      </c>
      <c r="I723" s="66" t="str">
        <f>IF(A723="","",COUNTIF(jr_num,A723))</f>
        <v/>
      </c>
      <c r="J723" s="66" t="str">
        <f>IF(A723="","",SUMIF(jr_num,A723,jr_colis))</f>
        <v/>
      </c>
      <c r="K723" s="63" t="str">
        <f>IF(A723="","",SUMIF(jr_num,A723,jr_kg))</f>
        <v/>
      </c>
      <c r="L723" s="64" t="str">
        <f>IF(A723="","",SUMIF(jr_num,A723,jr_val))</f>
        <v/>
      </c>
      <c r="M723" s="60" t="str">
        <f>IF(A723="","",IF(COUNTIFS(jr_num,A723,jr_check,"&lt;&gt;OK")&gt;0,"À vérifier",IF(LEFT(A723,2)="BL",IF(COUNTIFS(jr_num,A723,jr_rel,"&gt;0")&gt;0,"Reliquat en cours",IF(COUNTIFS(jr_num,A723,jr_gap,"&lt;0")&gt;0,"Reliquat livré","Complet")),IF(LEFT(A723,2)="BR",IF(COUNTIFS(jr_num,A723,jr_etat,"Refusé")&gt;0,"Refusé",IF(COUNTIFS(jr_num,A723,jr_etat,"Avec réserves")&gt;0,"Avec réserves",IF(COUNTIFS(jr_num,A723,jr_rel,"&gt;0")&gt;0,"Reliquat en cours",IF(COUNTIFS(jr_num,A723,jr_gap,"&lt;0")+COUNTIFS(jr_num,A723,jr_gap,"&gt;0")&gt;0,"Écart","Conforme")))),IF(COUNTIFS(jr_num,A723,jr_gap,"&lt;0")&gt;0,"Partiel","Sorti")))))</f>
        <v/>
      </c>
      <c r="O723" t="str">
        <f>IFERROR(MATCH(718,jr_grank,0),"")</f>
        <v/>
      </c>
      <c r="R723" s="67" t="str">
        <f>IFERROR(INDEX(jr_num,MATCH("BL718",jr_nkey,0))&amp;"","")</f>
        <v/>
      </c>
      <c r="S723" s="67" t="str">
        <f>IFERROR(INDEX(jr_num,MATCH("BR718",jr_nkey,0))&amp;"","")</f>
        <v/>
      </c>
      <c r="T723" s="67" t="str">
        <f>IFERROR(INDEX(jr_num,MATCH("BS718",jr_nkey,0))&amp;"","")</f>
        <v/>
      </c>
    </row>
    <row r="724">
      <c r="A724" s="60" t="str">
        <f>IF($O724="","",INDEX(jr_num,$O724)&amp;"")</f>
        <v/>
      </c>
      <c r="B724" s="60" t="str">
        <f>IF($O724="","",IF(INDEX(jr_type,$O724)="BL","Livraison",IF(INDEX(jr_type,$O724)="BR","Réception","Sortie")))</f>
        <v/>
      </c>
      <c r="C724" s="65" t="str">
        <f>IF($O724="","",INDEX(jr_date,$O724))</f>
        <v/>
      </c>
      <c r="D724" s="60" t="str">
        <f>IF($O724="","",INDEX(jr_tiers,$O724)&amp;"")</f>
        <v/>
      </c>
      <c r="E724" s="57" t="str">
        <f>IF($O724="","",INDEX(jr_name,$O724)&amp;"")</f>
        <v/>
      </c>
      <c r="F724" s="57" t="str">
        <f>IF($O724="","",INDEX(jr_order,$O724)&amp;"")</f>
        <v/>
      </c>
      <c r="G724" s="57" t="str">
        <f>IF($O724="","",INDEX(jr_ext,$O724)&amp;"")</f>
        <v/>
      </c>
      <c r="H724" s="57" t="str">
        <f>IF($O724="","",INDEX(jr_carrier,$O724)&amp;"")</f>
        <v/>
      </c>
      <c r="I724" s="66" t="str">
        <f>IF(A724="","",COUNTIF(jr_num,A724))</f>
        <v/>
      </c>
      <c r="J724" s="66" t="str">
        <f>IF(A724="","",SUMIF(jr_num,A724,jr_colis))</f>
        <v/>
      </c>
      <c r="K724" s="63" t="str">
        <f>IF(A724="","",SUMIF(jr_num,A724,jr_kg))</f>
        <v/>
      </c>
      <c r="L724" s="64" t="str">
        <f>IF(A724="","",SUMIF(jr_num,A724,jr_val))</f>
        <v/>
      </c>
      <c r="M724" s="60" t="str">
        <f>IF(A724="","",IF(COUNTIFS(jr_num,A724,jr_check,"&lt;&gt;OK")&gt;0,"À vérifier",IF(LEFT(A724,2)="BL",IF(COUNTIFS(jr_num,A724,jr_rel,"&gt;0")&gt;0,"Reliquat en cours",IF(COUNTIFS(jr_num,A724,jr_gap,"&lt;0")&gt;0,"Reliquat livré","Complet")),IF(LEFT(A724,2)="BR",IF(COUNTIFS(jr_num,A724,jr_etat,"Refusé")&gt;0,"Refusé",IF(COUNTIFS(jr_num,A724,jr_etat,"Avec réserves")&gt;0,"Avec réserves",IF(COUNTIFS(jr_num,A724,jr_rel,"&gt;0")&gt;0,"Reliquat en cours",IF(COUNTIFS(jr_num,A724,jr_gap,"&lt;0")+COUNTIFS(jr_num,A724,jr_gap,"&gt;0")&gt;0,"Écart","Conforme")))),IF(COUNTIFS(jr_num,A724,jr_gap,"&lt;0")&gt;0,"Partiel","Sorti")))))</f>
        <v/>
      </c>
      <c r="O724" t="str">
        <f>IFERROR(MATCH(719,jr_grank,0),"")</f>
        <v/>
      </c>
      <c r="R724" s="67" t="str">
        <f>IFERROR(INDEX(jr_num,MATCH("BL719",jr_nkey,0))&amp;"","")</f>
        <v/>
      </c>
      <c r="S724" s="67" t="str">
        <f>IFERROR(INDEX(jr_num,MATCH("BR719",jr_nkey,0))&amp;"","")</f>
        <v/>
      </c>
      <c r="T724" s="67" t="str">
        <f>IFERROR(INDEX(jr_num,MATCH("BS719",jr_nkey,0))&amp;"","")</f>
        <v/>
      </c>
    </row>
    <row r="725">
      <c r="A725" s="60" t="str">
        <f>IF($O725="","",INDEX(jr_num,$O725)&amp;"")</f>
        <v/>
      </c>
      <c r="B725" s="60" t="str">
        <f>IF($O725="","",IF(INDEX(jr_type,$O725)="BL","Livraison",IF(INDEX(jr_type,$O725)="BR","Réception","Sortie")))</f>
        <v/>
      </c>
      <c r="C725" s="65" t="str">
        <f>IF($O725="","",INDEX(jr_date,$O725))</f>
        <v/>
      </c>
      <c r="D725" s="60" t="str">
        <f>IF($O725="","",INDEX(jr_tiers,$O725)&amp;"")</f>
        <v/>
      </c>
      <c r="E725" s="57" t="str">
        <f>IF($O725="","",INDEX(jr_name,$O725)&amp;"")</f>
        <v/>
      </c>
      <c r="F725" s="57" t="str">
        <f>IF($O725="","",INDEX(jr_order,$O725)&amp;"")</f>
        <v/>
      </c>
      <c r="G725" s="57" t="str">
        <f>IF($O725="","",INDEX(jr_ext,$O725)&amp;"")</f>
        <v/>
      </c>
      <c r="H725" s="57" t="str">
        <f>IF($O725="","",INDEX(jr_carrier,$O725)&amp;"")</f>
        <v/>
      </c>
      <c r="I725" s="66" t="str">
        <f>IF(A725="","",COUNTIF(jr_num,A725))</f>
        <v/>
      </c>
      <c r="J725" s="66" t="str">
        <f>IF(A725="","",SUMIF(jr_num,A725,jr_colis))</f>
        <v/>
      </c>
      <c r="K725" s="63" t="str">
        <f>IF(A725="","",SUMIF(jr_num,A725,jr_kg))</f>
        <v/>
      </c>
      <c r="L725" s="64" t="str">
        <f>IF(A725="","",SUMIF(jr_num,A725,jr_val))</f>
        <v/>
      </c>
      <c r="M725" s="60" t="str">
        <f>IF(A725="","",IF(COUNTIFS(jr_num,A725,jr_check,"&lt;&gt;OK")&gt;0,"À vérifier",IF(LEFT(A725,2)="BL",IF(COUNTIFS(jr_num,A725,jr_rel,"&gt;0")&gt;0,"Reliquat en cours",IF(COUNTIFS(jr_num,A725,jr_gap,"&lt;0")&gt;0,"Reliquat livré","Complet")),IF(LEFT(A725,2)="BR",IF(COUNTIFS(jr_num,A725,jr_etat,"Refusé")&gt;0,"Refusé",IF(COUNTIFS(jr_num,A725,jr_etat,"Avec réserves")&gt;0,"Avec réserves",IF(COUNTIFS(jr_num,A725,jr_rel,"&gt;0")&gt;0,"Reliquat en cours",IF(COUNTIFS(jr_num,A725,jr_gap,"&lt;0")+COUNTIFS(jr_num,A725,jr_gap,"&gt;0")&gt;0,"Écart","Conforme")))),IF(COUNTIFS(jr_num,A725,jr_gap,"&lt;0")&gt;0,"Partiel","Sorti")))))</f>
        <v/>
      </c>
      <c r="O725" t="str">
        <f>IFERROR(MATCH(720,jr_grank,0),"")</f>
        <v/>
      </c>
      <c r="R725" s="67" t="str">
        <f>IFERROR(INDEX(jr_num,MATCH("BL720",jr_nkey,0))&amp;"","")</f>
        <v/>
      </c>
      <c r="S725" s="67" t="str">
        <f>IFERROR(INDEX(jr_num,MATCH("BR720",jr_nkey,0))&amp;"","")</f>
        <v/>
      </c>
      <c r="T725" s="67" t="str">
        <f>IFERROR(INDEX(jr_num,MATCH("BS720",jr_nkey,0))&amp;"","")</f>
        <v/>
      </c>
    </row>
    <row r="726">
      <c r="A726" s="60" t="str">
        <f>IF($O726="","",INDEX(jr_num,$O726)&amp;"")</f>
        <v/>
      </c>
      <c r="B726" s="60" t="str">
        <f>IF($O726="","",IF(INDEX(jr_type,$O726)="BL","Livraison",IF(INDEX(jr_type,$O726)="BR","Réception","Sortie")))</f>
        <v/>
      </c>
      <c r="C726" s="65" t="str">
        <f>IF($O726="","",INDEX(jr_date,$O726))</f>
        <v/>
      </c>
      <c r="D726" s="60" t="str">
        <f>IF($O726="","",INDEX(jr_tiers,$O726)&amp;"")</f>
        <v/>
      </c>
      <c r="E726" s="57" t="str">
        <f>IF($O726="","",INDEX(jr_name,$O726)&amp;"")</f>
        <v/>
      </c>
      <c r="F726" s="57" t="str">
        <f>IF($O726="","",INDEX(jr_order,$O726)&amp;"")</f>
        <v/>
      </c>
      <c r="G726" s="57" t="str">
        <f>IF($O726="","",INDEX(jr_ext,$O726)&amp;"")</f>
        <v/>
      </c>
      <c r="H726" s="57" t="str">
        <f>IF($O726="","",INDEX(jr_carrier,$O726)&amp;"")</f>
        <v/>
      </c>
      <c r="I726" s="66" t="str">
        <f>IF(A726="","",COUNTIF(jr_num,A726))</f>
        <v/>
      </c>
      <c r="J726" s="66" t="str">
        <f>IF(A726="","",SUMIF(jr_num,A726,jr_colis))</f>
        <v/>
      </c>
      <c r="K726" s="63" t="str">
        <f>IF(A726="","",SUMIF(jr_num,A726,jr_kg))</f>
        <v/>
      </c>
      <c r="L726" s="64" t="str">
        <f>IF(A726="","",SUMIF(jr_num,A726,jr_val))</f>
        <v/>
      </c>
      <c r="M726" s="60" t="str">
        <f>IF(A726="","",IF(COUNTIFS(jr_num,A726,jr_check,"&lt;&gt;OK")&gt;0,"À vérifier",IF(LEFT(A726,2)="BL",IF(COUNTIFS(jr_num,A726,jr_rel,"&gt;0")&gt;0,"Reliquat en cours",IF(COUNTIFS(jr_num,A726,jr_gap,"&lt;0")&gt;0,"Reliquat livré","Complet")),IF(LEFT(A726,2)="BR",IF(COUNTIFS(jr_num,A726,jr_etat,"Refusé")&gt;0,"Refusé",IF(COUNTIFS(jr_num,A726,jr_etat,"Avec réserves")&gt;0,"Avec réserves",IF(COUNTIFS(jr_num,A726,jr_rel,"&gt;0")&gt;0,"Reliquat en cours",IF(COUNTIFS(jr_num,A726,jr_gap,"&lt;0")+COUNTIFS(jr_num,A726,jr_gap,"&gt;0")&gt;0,"Écart","Conforme")))),IF(COUNTIFS(jr_num,A726,jr_gap,"&lt;0")&gt;0,"Partiel","Sorti")))))</f>
        <v/>
      </c>
      <c r="O726" t="str">
        <f>IFERROR(MATCH(721,jr_grank,0),"")</f>
        <v/>
      </c>
      <c r="R726" s="67" t="str">
        <f>IFERROR(INDEX(jr_num,MATCH("BL721",jr_nkey,0))&amp;"","")</f>
        <v/>
      </c>
      <c r="S726" s="67" t="str">
        <f>IFERROR(INDEX(jr_num,MATCH("BR721",jr_nkey,0))&amp;"","")</f>
        <v/>
      </c>
      <c r="T726" s="67" t="str">
        <f>IFERROR(INDEX(jr_num,MATCH("BS721",jr_nkey,0))&amp;"","")</f>
        <v/>
      </c>
    </row>
    <row r="727">
      <c r="A727" s="60" t="str">
        <f>IF($O727="","",INDEX(jr_num,$O727)&amp;"")</f>
        <v/>
      </c>
      <c r="B727" s="60" t="str">
        <f>IF($O727="","",IF(INDEX(jr_type,$O727)="BL","Livraison",IF(INDEX(jr_type,$O727)="BR","Réception","Sortie")))</f>
        <v/>
      </c>
      <c r="C727" s="65" t="str">
        <f>IF($O727="","",INDEX(jr_date,$O727))</f>
        <v/>
      </c>
      <c r="D727" s="60" t="str">
        <f>IF($O727="","",INDEX(jr_tiers,$O727)&amp;"")</f>
        <v/>
      </c>
      <c r="E727" s="57" t="str">
        <f>IF($O727="","",INDEX(jr_name,$O727)&amp;"")</f>
        <v/>
      </c>
      <c r="F727" s="57" t="str">
        <f>IF($O727="","",INDEX(jr_order,$O727)&amp;"")</f>
        <v/>
      </c>
      <c r="G727" s="57" t="str">
        <f>IF($O727="","",INDEX(jr_ext,$O727)&amp;"")</f>
        <v/>
      </c>
      <c r="H727" s="57" t="str">
        <f>IF($O727="","",INDEX(jr_carrier,$O727)&amp;"")</f>
        <v/>
      </c>
      <c r="I727" s="66" t="str">
        <f>IF(A727="","",COUNTIF(jr_num,A727))</f>
        <v/>
      </c>
      <c r="J727" s="66" t="str">
        <f>IF(A727="","",SUMIF(jr_num,A727,jr_colis))</f>
        <v/>
      </c>
      <c r="K727" s="63" t="str">
        <f>IF(A727="","",SUMIF(jr_num,A727,jr_kg))</f>
        <v/>
      </c>
      <c r="L727" s="64" t="str">
        <f>IF(A727="","",SUMIF(jr_num,A727,jr_val))</f>
        <v/>
      </c>
      <c r="M727" s="60" t="str">
        <f>IF(A727="","",IF(COUNTIFS(jr_num,A727,jr_check,"&lt;&gt;OK")&gt;0,"À vérifier",IF(LEFT(A727,2)="BL",IF(COUNTIFS(jr_num,A727,jr_rel,"&gt;0")&gt;0,"Reliquat en cours",IF(COUNTIFS(jr_num,A727,jr_gap,"&lt;0")&gt;0,"Reliquat livré","Complet")),IF(LEFT(A727,2)="BR",IF(COUNTIFS(jr_num,A727,jr_etat,"Refusé")&gt;0,"Refusé",IF(COUNTIFS(jr_num,A727,jr_etat,"Avec réserves")&gt;0,"Avec réserves",IF(COUNTIFS(jr_num,A727,jr_rel,"&gt;0")&gt;0,"Reliquat en cours",IF(COUNTIFS(jr_num,A727,jr_gap,"&lt;0")+COUNTIFS(jr_num,A727,jr_gap,"&gt;0")&gt;0,"Écart","Conforme")))),IF(COUNTIFS(jr_num,A727,jr_gap,"&lt;0")&gt;0,"Partiel","Sorti")))))</f>
        <v/>
      </c>
      <c r="O727" t="str">
        <f>IFERROR(MATCH(722,jr_grank,0),"")</f>
        <v/>
      </c>
      <c r="R727" s="67" t="str">
        <f>IFERROR(INDEX(jr_num,MATCH("BL722",jr_nkey,0))&amp;"","")</f>
        <v/>
      </c>
      <c r="S727" s="67" t="str">
        <f>IFERROR(INDEX(jr_num,MATCH("BR722",jr_nkey,0))&amp;"","")</f>
        <v/>
      </c>
      <c r="T727" s="67" t="str">
        <f>IFERROR(INDEX(jr_num,MATCH("BS722",jr_nkey,0))&amp;"","")</f>
        <v/>
      </c>
    </row>
    <row r="728">
      <c r="A728" s="60" t="str">
        <f>IF($O728="","",INDEX(jr_num,$O728)&amp;"")</f>
        <v/>
      </c>
      <c r="B728" s="60" t="str">
        <f>IF($O728="","",IF(INDEX(jr_type,$O728)="BL","Livraison",IF(INDEX(jr_type,$O728)="BR","Réception","Sortie")))</f>
        <v/>
      </c>
      <c r="C728" s="65" t="str">
        <f>IF($O728="","",INDEX(jr_date,$O728))</f>
        <v/>
      </c>
      <c r="D728" s="60" t="str">
        <f>IF($O728="","",INDEX(jr_tiers,$O728)&amp;"")</f>
        <v/>
      </c>
      <c r="E728" s="57" t="str">
        <f>IF($O728="","",INDEX(jr_name,$O728)&amp;"")</f>
        <v/>
      </c>
      <c r="F728" s="57" t="str">
        <f>IF($O728="","",INDEX(jr_order,$O728)&amp;"")</f>
        <v/>
      </c>
      <c r="G728" s="57" t="str">
        <f>IF($O728="","",INDEX(jr_ext,$O728)&amp;"")</f>
        <v/>
      </c>
      <c r="H728" s="57" t="str">
        <f>IF($O728="","",INDEX(jr_carrier,$O728)&amp;"")</f>
        <v/>
      </c>
      <c r="I728" s="66" t="str">
        <f>IF(A728="","",COUNTIF(jr_num,A728))</f>
        <v/>
      </c>
      <c r="J728" s="66" t="str">
        <f>IF(A728="","",SUMIF(jr_num,A728,jr_colis))</f>
        <v/>
      </c>
      <c r="K728" s="63" t="str">
        <f>IF(A728="","",SUMIF(jr_num,A728,jr_kg))</f>
        <v/>
      </c>
      <c r="L728" s="64" t="str">
        <f>IF(A728="","",SUMIF(jr_num,A728,jr_val))</f>
        <v/>
      </c>
      <c r="M728" s="60" t="str">
        <f>IF(A728="","",IF(COUNTIFS(jr_num,A728,jr_check,"&lt;&gt;OK")&gt;0,"À vérifier",IF(LEFT(A728,2)="BL",IF(COUNTIFS(jr_num,A728,jr_rel,"&gt;0")&gt;0,"Reliquat en cours",IF(COUNTIFS(jr_num,A728,jr_gap,"&lt;0")&gt;0,"Reliquat livré","Complet")),IF(LEFT(A728,2)="BR",IF(COUNTIFS(jr_num,A728,jr_etat,"Refusé")&gt;0,"Refusé",IF(COUNTIFS(jr_num,A728,jr_etat,"Avec réserves")&gt;0,"Avec réserves",IF(COUNTIFS(jr_num,A728,jr_rel,"&gt;0")&gt;0,"Reliquat en cours",IF(COUNTIFS(jr_num,A728,jr_gap,"&lt;0")+COUNTIFS(jr_num,A728,jr_gap,"&gt;0")&gt;0,"Écart","Conforme")))),IF(COUNTIFS(jr_num,A728,jr_gap,"&lt;0")&gt;0,"Partiel","Sorti")))))</f>
        <v/>
      </c>
      <c r="O728" t="str">
        <f>IFERROR(MATCH(723,jr_grank,0),"")</f>
        <v/>
      </c>
      <c r="R728" s="67" t="str">
        <f>IFERROR(INDEX(jr_num,MATCH("BL723",jr_nkey,0))&amp;"","")</f>
        <v/>
      </c>
      <c r="S728" s="67" t="str">
        <f>IFERROR(INDEX(jr_num,MATCH("BR723",jr_nkey,0))&amp;"","")</f>
        <v/>
      </c>
      <c r="T728" s="67" t="str">
        <f>IFERROR(INDEX(jr_num,MATCH("BS723",jr_nkey,0))&amp;"","")</f>
        <v/>
      </c>
    </row>
    <row r="729">
      <c r="A729" s="60" t="str">
        <f>IF($O729="","",INDEX(jr_num,$O729)&amp;"")</f>
        <v/>
      </c>
      <c r="B729" s="60" t="str">
        <f>IF($O729="","",IF(INDEX(jr_type,$O729)="BL","Livraison",IF(INDEX(jr_type,$O729)="BR","Réception","Sortie")))</f>
        <v/>
      </c>
      <c r="C729" s="65" t="str">
        <f>IF($O729="","",INDEX(jr_date,$O729))</f>
        <v/>
      </c>
      <c r="D729" s="60" t="str">
        <f>IF($O729="","",INDEX(jr_tiers,$O729)&amp;"")</f>
        <v/>
      </c>
      <c r="E729" s="57" t="str">
        <f>IF($O729="","",INDEX(jr_name,$O729)&amp;"")</f>
        <v/>
      </c>
      <c r="F729" s="57" t="str">
        <f>IF($O729="","",INDEX(jr_order,$O729)&amp;"")</f>
        <v/>
      </c>
      <c r="G729" s="57" t="str">
        <f>IF($O729="","",INDEX(jr_ext,$O729)&amp;"")</f>
        <v/>
      </c>
      <c r="H729" s="57" t="str">
        <f>IF($O729="","",INDEX(jr_carrier,$O729)&amp;"")</f>
        <v/>
      </c>
      <c r="I729" s="66" t="str">
        <f>IF(A729="","",COUNTIF(jr_num,A729))</f>
        <v/>
      </c>
      <c r="J729" s="66" t="str">
        <f>IF(A729="","",SUMIF(jr_num,A729,jr_colis))</f>
        <v/>
      </c>
      <c r="K729" s="63" t="str">
        <f>IF(A729="","",SUMIF(jr_num,A729,jr_kg))</f>
        <v/>
      </c>
      <c r="L729" s="64" t="str">
        <f>IF(A729="","",SUMIF(jr_num,A729,jr_val))</f>
        <v/>
      </c>
      <c r="M729" s="60" t="str">
        <f>IF(A729="","",IF(COUNTIFS(jr_num,A729,jr_check,"&lt;&gt;OK")&gt;0,"À vérifier",IF(LEFT(A729,2)="BL",IF(COUNTIFS(jr_num,A729,jr_rel,"&gt;0")&gt;0,"Reliquat en cours",IF(COUNTIFS(jr_num,A729,jr_gap,"&lt;0")&gt;0,"Reliquat livré","Complet")),IF(LEFT(A729,2)="BR",IF(COUNTIFS(jr_num,A729,jr_etat,"Refusé")&gt;0,"Refusé",IF(COUNTIFS(jr_num,A729,jr_etat,"Avec réserves")&gt;0,"Avec réserves",IF(COUNTIFS(jr_num,A729,jr_rel,"&gt;0")&gt;0,"Reliquat en cours",IF(COUNTIFS(jr_num,A729,jr_gap,"&lt;0")+COUNTIFS(jr_num,A729,jr_gap,"&gt;0")&gt;0,"Écart","Conforme")))),IF(COUNTIFS(jr_num,A729,jr_gap,"&lt;0")&gt;0,"Partiel","Sorti")))))</f>
        <v/>
      </c>
      <c r="O729" t="str">
        <f>IFERROR(MATCH(724,jr_grank,0),"")</f>
        <v/>
      </c>
      <c r="R729" s="67" t="str">
        <f>IFERROR(INDEX(jr_num,MATCH("BL724",jr_nkey,0))&amp;"","")</f>
        <v/>
      </c>
      <c r="S729" s="67" t="str">
        <f>IFERROR(INDEX(jr_num,MATCH("BR724",jr_nkey,0))&amp;"","")</f>
        <v/>
      </c>
      <c r="T729" s="67" t="str">
        <f>IFERROR(INDEX(jr_num,MATCH("BS724",jr_nkey,0))&amp;"","")</f>
        <v/>
      </c>
    </row>
    <row r="730">
      <c r="A730" s="60" t="str">
        <f>IF($O730="","",INDEX(jr_num,$O730)&amp;"")</f>
        <v/>
      </c>
      <c r="B730" s="60" t="str">
        <f>IF($O730="","",IF(INDEX(jr_type,$O730)="BL","Livraison",IF(INDEX(jr_type,$O730)="BR","Réception","Sortie")))</f>
        <v/>
      </c>
      <c r="C730" s="65" t="str">
        <f>IF($O730="","",INDEX(jr_date,$O730))</f>
        <v/>
      </c>
      <c r="D730" s="60" t="str">
        <f>IF($O730="","",INDEX(jr_tiers,$O730)&amp;"")</f>
        <v/>
      </c>
      <c r="E730" s="57" t="str">
        <f>IF($O730="","",INDEX(jr_name,$O730)&amp;"")</f>
        <v/>
      </c>
      <c r="F730" s="57" t="str">
        <f>IF($O730="","",INDEX(jr_order,$O730)&amp;"")</f>
        <v/>
      </c>
      <c r="G730" s="57" t="str">
        <f>IF($O730="","",INDEX(jr_ext,$O730)&amp;"")</f>
        <v/>
      </c>
      <c r="H730" s="57" t="str">
        <f>IF($O730="","",INDEX(jr_carrier,$O730)&amp;"")</f>
        <v/>
      </c>
      <c r="I730" s="66" t="str">
        <f>IF(A730="","",COUNTIF(jr_num,A730))</f>
        <v/>
      </c>
      <c r="J730" s="66" t="str">
        <f>IF(A730="","",SUMIF(jr_num,A730,jr_colis))</f>
        <v/>
      </c>
      <c r="K730" s="63" t="str">
        <f>IF(A730="","",SUMIF(jr_num,A730,jr_kg))</f>
        <v/>
      </c>
      <c r="L730" s="64" t="str">
        <f>IF(A730="","",SUMIF(jr_num,A730,jr_val))</f>
        <v/>
      </c>
      <c r="M730" s="60" t="str">
        <f>IF(A730="","",IF(COUNTIFS(jr_num,A730,jr_check,"&lt;&gt;OK")&gt;0,"À vérifier",IF(LEFT(A730,2)="BL",IF(COUNTIFS(jr_num,A730,jr_rel,"&gt;0")&gt;0,"Reliquat en cours",IF(COUNTIFS(jr_num,A730,jr_gap,"&lt;0")&gt;0,"Reliquat livré","Complet")),IF(LEFT(A730,2)="BR",IF(COUNTIFS(jr_num,A730,jr_etat,"Refusé")&gt;0,"Refusé",IF(COUNTIFS(jr_num,A730,jr_etat,"Avec réserves")&gt;0,"Avec réserves",IF(COUNTIFS(jr_num,A730,jr_rel,"&gt;0")&gt;0,"Reliquat en cours",IF(COUNTIFS(jr_num,A730,jr_gap,"&lt;0")+COUNTIFS(jr_num,A730,jr_gap,"&gt;0")&gt;0,"Écart","Conforme")))),IF(COUNTIFS(jr_num,A730,jr_gap,"&lt;0")&gt;0,"Partiel","Sorti")))))</f>
        <v/>
      </c>
      <c r="O730" t="str">
        <f>IFERROR(MATCH(725,jr_grank,0),"")</f>
        <v/>
      </c>
      <c r="R730" s="67" t="str">
        <f>IFERROR(INDEX(jr_num,MATCH("BL725",jr_nkey,0))&amp;"","")</f>
        <v/>
      </c>
      <c r="S730" s="67" t="str">
        <f>IFERROR(INDEX(jr_num,MATCH("BR725",jr_nkey,0))&amp;"","")</f>
        <v/>
      </c>
      <c r="T730" s="67" t="str">
        <f>IFERROR(INDEX(jr_num,MATCH("BS725",jr_nkey,0))&amp;"","")</f>
        <v/>
      </c>
    </row>
    <row r="731">
      <c r="A731" s="60" t="str">
        <f>IF($O731="","",INDEX(jr_num,$O731)&amp;"")</f>
        <v/>
      </c>
      <c r="B731" s="60" t="str">
        <f>IF($O731="","",IF(INDEX(jr_type,$O731)="BL","Livraison",IF(INDEX(jr_type,$O731)="BR","Réception","Sortie")))</f>
        <v/>
      </c>
      <c r="C731" s="65" t="str">
        <f>IF($O731="","",INDEX(jr_date,$O731))</f>
        <v/>
      </c>
      <c r="D731" s="60" t="str">
        <f>IF($O731="","",INDEX(jr_tiers,$O731)&amp;"")</f>
        <v/>
      </c>
      <c r="E731" s="57" t="str">
        <f>IF($O731="","",INDEX(jr_name,$O731)&amp;"")</f>
        <v/>
      </c>
      <c r="F731" s="57" t="str">
        <f>IF($O731="","",INDEX(jr_order,$O731)&amp;"")</f>
        <v/>
      </c>
      <c r="G731" s="57" t="str">
        <f>IF($O731="","",INDEX(jr_ext,$O731)&amp;"")</f>
        <v/>
      </c>
      <c r="H731" s="57" t="str">
        <f>IF($O731="","",INDEX(jr_carrier,$O731)&amp;"")</f>
        <v/>
      </c>
      <c r="I731" s="66" t="str">
        <f>IF(A731="","",COUNTIF(jr_num,A731))</f>
        <v/>
      </c>
      <c r="J731" s="66" t="str">
        <f>IF(A731="","",SUMIF(jr_num,A731,jr_colis))</f>
        <v/>
      </c>
      <c r="K731" s="63" t="str">
        <f>IF(A731="","",SUMIF(jr_num,A731,jr_kg))</f>
        <v/>
      </c>
      <c r="L731" s="64" t="str">
        <f>IF(A731="","",SUMIF(jr_num,A731,jr_val))</f>
        <v/>
      </c>
      <c r="M731" s="60" t="str">
        <f>IF(A731="","",IF(COUNTIFS(jr_num,A731,jr_check,"&lt;&gt;OK")&gt;0,"À vérifier",IF(LEFT(A731,2)="BL",IF(COUNTIFS(jr_num,A731,jr_rel,"&gt;0")&gt;0,"Reliquat en cours",IF(COUNTIFS(jr_num,A731,jr_gap,"&lt;0")&gt;0,"Reliquat livré","Complet")),IF(LEFT(A731,2)="BR",IF(COUNTIFS(jr_num,A731,jr_etat,"Refusé")&gt;0,"Refusé",IF(COUNTIFS(jr_num,A731,jr_etat,"Avec réserves")&gt;0,"Avec réserves",IF(COUNTIFS(jr_num,A731,jr_rel,"&gt;0")&gt;0,"Reliquat en cours",IF(COUNTIFS(jr_num,A731,jr_gap,"&lt;0")+COUNTIFS(jr_num,A731,jr_gap,"&gt;0")&gt;0,"Écart","Conforme")))),IF(COUNTIFS(jr_num,A731,jr_gap,"&lt;0")&gt;0,"Partiel","Sorti")))))</f>
        <v/>
      </c>
      <c r="O731" t="str">
        <f>IFERROR(MATCH(726,jr_grank,0),"")</f>
        <v/>
      </c>
      <c r="R731" s="67" t="str">
        <f>IFERROR(INDEX(jr_num,MATCH("BL726",jr_nkey,0))&amp;"","")</f>
        <v/>
      </c>
      <c r="S731" s="67" t="str">
        <f>IFERROR(INDEX(jr_num,MATCH("BR726",jr_nkey,0))&amp;"","")</f>
        <v/>
      </c>
      <c r="T731" s="67" t="str">
        <f>IFERROR(INDEX(jr_num,MATCH("BS726",jr_nkey,0))&amp;"","")</f>
        <v/>
      </c>
    </row>
    <row r="732">
      <c r="A732" s="60" t="str">
        <f>IF($O732="","",INDEX(jr_num,$O732)&amp;"")</f>
        <v/>
      </c>
      <c r="B732" s="60" t="str">
        <f>IF($O732="","",IF(INDEX(jr_type,$O732)="BL","Livraison",IF(INDEX(jr_type,$O732)="BR","Réception","Sortie")))</f>
        <v/>
      </c>
      <c r="C732" s="65" t="str">
        <f>IF($O732="","",INDEX(jr_date,$O732))</f>
        <v/>
      </c>
      <c r="D732" s="60" t="str">
        <f>IF($O732="","",INDEX(jr_tiers,$O732)&amp;"")</f>
        <v/>
      </c>
      <c r="E732" s="57" t="str">
        <f>IF($O732="","",INDEX(jr_name,$O732)&amp;"")</f>
        <v/>
      </c>
      <c r="F732" s="57" t="str">
        <f>IF($O732="","",INDEX(jr_order,$O732)&amp;"")</f>
        <v/>
      </c>
      <c r="G732" s="57" t="str">
        <f>IF($O732="","",INDEX(jr_ext,$O732)&amp;"")</f>
        <v/>
      </c>
      <c r="H732" s="57" t="str">
        <f>IF($O732="","",INDEX(jr_carrier,$O732)&amp;"")</f>
        <v/>
      </c>
      <c r="I732" s="66" t="str">
        <f>IF(A732="","",COUNTIF(jr_num,A732))</f>
        <v/>
      </c>
      <c r="J732" s="66" t="str">
        <f>IF(A732="","",SUMIF(jr_num,A732,jr_colis))</f>
        <v/>
      </c>
      <c r="K732" s="63" t="str">
        <f>IF(A732="","",SUMIF(jr_num,A732,jr_kg))</f>
        <v/>
      </c>
      <c r="L732" s="64" t="str">
        <f>IF(A732="","",SUMIF(jr_num,A732,jr_val))</f>
        <v/>
      </c>
      <c r="M732" s="60" t="str">
        <f>IF(A732="","",IF(COUNTIFS(jr_num,A732,jr_check,"&lt;&gt;OK")&gt;0,"À vérifier",IF(LEFT(A732,2)="BL",IF(COUNTIFS(jr_num,A732,jr_rel,"&gt;0")&gt;0,"Reliquat en cours",IF(COUNTIFS(jr_num,A732,jr_gap,"&lt;0")&gt;0,"Reliquat livré","Complet")),IF(LEFT(A732,2)="BR",IF(COUNTIFS(jr_num,A732,jr_etat,"Refusé")&gt;0,"Refusé",IF(COUNTIFS(jr_num,A732,jr_etat,"Avec réserves")&gt;0,"Avec réserves",IF(COUNTIFS(jr_num,A732,jr_rel,"&gt;0")&gt;0,"Reliquat en cours",IF(COUNTIFS(jr_num,A732,jr_gap,"&lt;0")+COUNTIFS(jr_num,A732,jr_gap,"&gt;0")&gt;0,"Écart","Conforme")))),IF(COUNTIFS(jr_num,A732,jr_gap,"&lt;0")&gt;0,"Partiel","Sorti")))))</f>
        <v/>
      </c>
      <c r="O732" t="str">
        <f>IFERROR(MATCH(727,jr_grank,0),"")</f>
        <v/>
      </c>
      <c r="R732" s="67" t="str">
        <f>IFERROR(INDEX(jr_num,MATCH("BL727",jr_nkey,0))&amp;"","")</f>
        <v/>
      </c>
      <c r="S732" s="67" t="str">
        <f>IFERROR(INDEX(jr_num,MATCH("BR727",jr_nkey,0))&amp;"","")</f>
        <v/>
      </c>
      <c r="T732" s="67" t="str">
        <f>IFERROR(INDEX(jr_num,MATCH("BS727",jr_nkey,0))&amp;"","")</f>
        <v/>
      </c>
    </row>
    <row r="733">
      <c r="A733" s="60" t="str">
        <f>IF($O733="","",INDEX(jr_num,$O733)&amp;"")</f>
        <v/>
      </c>
      <c r="B733" s="60" t="str">
        <f>IF($O733="","",IF(INDEX(jr_type,$O733)="BL","Livraison",IF(INDEX(jr_type,$O733)="BR","Réception","Sortie")))</f>
        <v/>
      </c>
      <c r="C733" s="65" t="str">
        <f>IF($O733="","",INDEX(jr_date,$O733))</f>
        <v/>
      </c>
      <c r="D733" s="60" t="str">
        <f>IF($O733="","",INDEX(jr_tiers,$O733)&amp;"")</f>
        <v/>
      </c>
      <c r="E733" s="57" t="str">
        <f>IF($O733="","",INDEX(jr_name,$O733)&amp;"")</f>
        <v/>
      </c>
      <c r="F733" s="57" t="str">
        <f>IF($O733="","",INDEX(jr_order,$O733)&amp;"")</f>
        <v/>
      </c>
      <c r="G733" s="57" t="str">
        <f>IF($O733="","",INDEX(jr_ext,$O733)&amp;"")</f>
        <v/>
      </c>
      <c r="H733" s="57" t="str">
        <f>IF($O733="","",INDEX(jr_carrier,$O733)&amp;"")</f>
        <v/>
      </c>
      <c r="I733" s="66" t="str">
        <f>IF(A733="","",COUNTIF(jr_num,A733))</f>
        <v/>
      </c>
      <c r="J733" s="66" t="str">
        <f>IF(A733="","",SUMIF(jr_num,A733,jr_colis))</f>
        <v/>
      </c>
      <c r="K733" s="63" t="str">
        <f>IF(A733="","",SUMIF(jr_num,A733,jr_kg))</f>
        <v/>
      </c>
      <c r="L733" s="64" t="str">
        <f>IF(A733="","",SUMIF(jr_num,A733,jr_val))</f>
        <v/>
      </c>
      <c r="M733" s="60" t="str">
        <f>IF(A733="","",IF(COUNTIFS(jr_num,A733,jr_check,"&lt;&gt;OK")&gt;0,"À vérifier",IF(LEFT(A733,2)="BL",IF(COUNTIFS(jr_num,A733,jr_rel,"&gt;0")&gt;0,"Reliquat en cours",IF(COUNTIFS(jr_num,A733,jr_gap,"&lt;0")&gt;0,"Reliquat livré","Complet")),IF(LEFT(A733,2)="BR",IF(COUNTIFS(jr_num,A733,jr_etat,"Refusé")&gt;0,"Refusé",IF(COUNTIFS(jr_num,A733,jr_etat,"Avec réserves")&gt;0,"Avec réserves",IF(COUNTIFS(jr_num,A733,jr_rel,"&gt;0")&gt;0,"Reliquat en cours",IF(COUNTIFS(jr_num,A733,jr_gap,"&lt;0")+COUNTIFS(jr_num,A733,jr_gap,"&gt;0")&gt;0,"Écart","Conforme")))),IF(COUNTIFS(jr_num,A733,jr_gap,"&lt;0")&gt;0,"Partiel","Sorti")))))</f>
        <v/>
      </c>
      <c r="O733" t="str">
        <f>IFERROR(MATCH(728,jr_grank,0),"")</f>
        <v/>
      </c>
      <c r="R733" s="67" t="str">
        <f>IFERROR(INDEX(jr_num,MATCH("BL728",jr_nkey,0))&amp;"","")</f>
        <v/>
      </c>
      <c r="S733" s="67" t="str">
        <f>IFERROR(INDEX(jr_num,MATCH("BR728",jr_nkey,0))&amp;"","")</f>
        <v/>
      </c>
      <c r="T733" s="67" t="str">
        <f>IFERROR(INDEX(jr_num,MATCH("BS728",jr_nkey,0))&amp;"","")</f>
        <v/>
      </c>
    </row>
    <row r="734">
      <c r="A734" s="60" t="str">
        <f>IF($O734="","",INDEX(jr_num,$O734)&amp;"")</f>
        <v/>
      </c>
      <c r="B734" s="60" t="str">
        <f>IF($O734="","",IF(INDEX(jr_type,$O734)="BL","Livraison",IF(INDEX(jr_type,$O734)="BR","Réception","Sortie")))</f>
        <v/>
      </c>
      <c r="C734" s="65" t="str">
        <f>IF($O734="","",INDEX(jr_date,$O734))</f>
        <v/>
      </c>
      <c r="D734" s="60" t="str">
        <f>IF($O734="","",INDEX(jr_tiers,$O734)&amp;"")</f>
        <v/>
      </c>
      <c r="E734" s="57" t="str">
        <f>IF($O734="","",INDEX(jr_name,$O734)&amp;"")</f>
        <v/>
      </c>
      <c r="F734" s="57" t="str">
        <f>IF($O734="","",INDEX(jr_order,$O734)&amp;"")</f>
        <v/>
      </c>
      <c r="G734" s="57" t="str">
        <f>IF($O734="","",INDEX(jr_ext,$O734)&amp;"")</f>
        <v/>
      </c>
      <c r="H734" s="57" t="str">
        <f>IF($O734="","",INDEX(jr_carrier,$O734)&amp;"")</f>
        <v/>
      </c>
      <c r="I734" s="66" t="str">
        <f>IF(A734="","",COUNTIF(jr_num,A734))</f>
        <v/>
      </c>
      <c r="J734" s="66" t="str">
        <f>IF(A734="","",SUMIF(jr_num,A734,jr_colis))</f>
        <v/>
      </c>
      <c r="K734" s="63" t="str">
        <f>IF(A734="","",SUMIF(jr_num,A734,jr_kg))</f>
        <v/>
      </c>
      <c r="L734" s="64" t="str">
        <f>IF(A734="","",SUMIF(jr_num,A734,jr_val))</f>
        <v/>
      </c>
      <c r="M734" s="60" t="str">
        <f>IF(A734="","",IF(COUNTIFS(jr_num,A734,jr_check,"&lt;&gt;OK")&gt;0,"À vérifier",IF(LEFT(A734,2)="BL",IF(COUNTIFS(jr_num,A734,jr_rel,"&gt;0")&gt;0,"Reliquat en cours",IF(COUNTIFS(jr_num,A734,jr_gap,"&lt;0")&gt;0,"Reliquat livré","Complet")),IF(LEFT(A734,2)="BR",IF(COUNTIFS(jr_num,A734,jr_etat,"Refusé")&gt;0,"Refusé",IF(COUNTIFS(jr_num,A734,jr_etat,"Avec réserves")&gt;0,"Avec réserves",IF(COUNTIFS(jr_num,A734,jr_rel,"&gt;0")&gt;0,"Reliquat en cours",IF(COUNTIFS(jr_num,A734,jr_gap,"&lt;0")+COUNTIFS(jr_num,A734,jr_gap,"&gt;0")&gt;0,"Écart","Conforme")))),IF(COUNTIFS(jr_num,A734,jr_gap,"&lt;0")&gt;0,"Partiel","Sorti")))))</f>
        <v/>
      </c>
      <c r="O734" t="str">
        <f>IFERROR(MATCH(729,jr_grank,0),"")</f>
        <v/>
      </c>
      <c r="R734" s="67" t="str">
        <f>IFERROR(INDEX(jr_num,MATCH("BL729",jr_nkey,0))&amp;"","")</f>
        <v/>
      </c>
      <c r="S734" s="67" t="str">
        <f>IFERROR(INDEX(jr_num,MATCH("BR729",jr_nkey,0))&amp;"","")</f>
        <v/>
      </c>
      <c r="T734" s="67" t="str">
        <f>IFERROR(INDEX(jr_num,MATCH("BS729",jr_nkey,0))&amp;"","")</f>
        <v/>
      </c>
    </row>
    <row r="735">
      <c r="A735" s="60" t="str">
        <f>IF($O735="","",INDEX(jr_num,$O735)&amp;"")</f>
        <v/>
      </c>
      <c r="B735" s="60" t="str">
        <f>IF($O735="","",IF(INDEX(jr_type,$O735)="BL","Livraison",IF(INDEX(jr_type,$O735)="BR","Réception","Sortie")))</f>
        <v/>
      </c>
      <c r="C735" s="65" t="str">
        <f>IF($O735="","",INDEX(jr_date,$O735))</f>
        <v/>
      </c>
      <c r="D735" s="60" t="str">
        <f>IF($O735="","",INDEX(jr_tiers,$O735)&amp;"")</f>
        <v/>
      </c>
      <c r="E735" s="57" t="str">
        <f>IF($O735="","",INDEX(jr_name,$O735)&amp;"")</f>
        <v/>
      </c>
      <c r="F735" s="57" t="str">
        <f>IF($O735="","",INDEX(jr_order,$O735)&amp;"")</f>
        <v/>
      </c>
      <c r="G735" s="57" t="str">
        <f>IF($O735="","",INDEX(jr_ext,$O735)&amp;"")</f>
        <v/>
      </c>
      <c r="H735" s="57" t="str">
        <f>IF($O735="","",INDEX(jr_carrier,$O735)&amp;"")</f>
        <v/>
      </c>
      <c r="I735" s="66" t="str">
        <f>IF(A735="","",COUNTIF(jr_num,A735))</f>
        <v/>
      </c>
      <c r="J735" s="66" t="str">
        <f>IF(A735="","",SUMIF(jr_num,A735,jr_colis))</f>
        <v/>
      </c>
      <c r="K735" s="63" t="str">
        <f>IF(A735="","",SUMIF(jr_num,A735,jr_kg))</f>
        <v/>
      </c>
      <c r="L735" s="64" t="str">
        <f>IF(A735="","",SUMIF(jr_num,A735,jr_val))</f>
        <v/>
      </c>
      <c r="M735" s="60" t="str">
        <f>IF(A735="","",IF(COUNTIFS(jr_num,A735,jr_check,"&lt;&gt;OK")&gt;0,"À vérifier",IF(LEFT(A735,2)="BL",IF(COUNTIFS(jr_num,A735,jr_rel,"&gt;0")&gt;0,"Reliquat en cours",IF(COUNTIFS(jr_num,A735,jr_gap,"&lt;0")&gt;0,"Reliquat livré","Complet")),IF(LEFT(A735,2)="BR",IF(COUNTIFS(jr_num,A735,jr_etat,"Refusé")&gt;0,"Refusé",IF(COUNTIFS(jr_num,A735,jr_etat,"Avec réserves")&gt;0,"Avec réserves",IF(COUNTIFS(jr_num,A735,jr_rel,"&gt;0")&gt;0,"Reliquat en cours",IF(COUNTIFS(jr_num,A735,jr_gap,"&lt;0")+COUNTIFS(jr_num,A735,jr_gap,"&gt;0")&gt;0,"Écart","Conforme")))),IF(COUNTIFS(jr_num,A735,jr_gap,"&lt;0")&gt;0,"Partiel","Sorti")))))</f>
        <v/>
      </c>
      <c r="O735" t="str">
        <f>IFERROR(MATCH(730,jr_grank,0),"")</f>
        <v/>
      </c>
      <c r="R735" s="67" t="str">
        <f>IFERROR(INDEX(jr_num,MATCH("BL730",jr_nkey,0))&amp;"","")</f>
        <v/>
      </c>
      <c r="S735" s="67" t="str">
        <f>IFERROR(INDEX(jr_num,MATCH("BR730",jr_nkey,0))&amp;"","")</f>
        <v/>
      </c>
      <c r="T735" s="67" t="str">
        <f>IFERROR(INDEX(jr_num,MATCH("BS730",jr_nkey,0))&amp;"","")</f>
        <v/>
      </c>
    </row>
    <row r="736">
      <c r="A736" s="60" t="str">
        <f>IF($O736="","",INDEX(jr_num,$O736)&amp;"")</f>
        <v/>
      </c>
      <c r="B736" s="60" t="str">
        <f>IF($O736="","",IF(INDEX(jr_type,$O736)="BL","Livraison",IF(INDEX(jr_type,$O736)="BR","Réception","Sortie")))</f>
        <v/>
      </c>
      <c r="C736" s="65" t="str">
        <f>IF($O736="","",INDEX(jr_date,$O736))</f>
        <v/>
      </c>
      <c r="D736" s="60" t="str">
        <f>IF($O736="","",INDEX(jr_tiers,$O736)&amp;"")</f>
        <v/>
      </c>
      <c r="E736" s="57" t="str">
        <f>IF($O736="","",INDEX(jr_name,$O736)&amp;"")</f>
        <v/>
      </c>
      <c r="F736" s="57" t="str">
        <f>IF($O736="","",INDEX(jr_order,$O736)&amp;"")</f>
        <v/>
      </c>
      <c r="G736" s="57" t="str">
        <f>IF($O736="","",INDEX(jr_ext,$O736)&amp;"")</f>
        <v/>
      </c>
      <c r="H736" s="57" t="str">
        <f>IF($O736="","",INDEX(jr_carrier,$O736)&amp;"")</f>
        <v/>
      </c>
      <c r="I736" s="66" t="str">
        <f>IF(A736="","",COUNTIF(jr_num,A736))</f>
        <v/>
      </c>
      <c r="J736" s="66" t="str">
        <f>IF(A736="","",SUMIF(jr_num,A736,jr_colis))</f>
        <v/>
      </c>
      <c r="K736" s="63" t="str">
        <f>IF(A736="","",SUMIF(jr_num,A736,jr_kg))</f>
        <v/>
      </c>
      <c r="L736" s="64" t="str">
        <f>IF(A736="","",SUMIF(jr_num,A736,jr_val))</f>
        <v/>
      </c>
      <c r="M736" s="60" t="str">
        <f>IF(A736="","",IF(COUNTIFS(jr_num,A736,jr_check,"&lt;&gt;OK")&gt;0,"À vérifier",IF(LEFT(A736,2)="BL",IF(COUNTIFS(jr_num,A736,jr_rel,"&gt;0")&gt;0,"Reliquat en cours",IF(COUNTIFS(jr_num,A736,jr_gap,"&lt;0")&gt;0,"Reliquat livré","Complet")),IF(LEFT(A736,2)="BR",IF(COUNTIFS(jr_num,A736,jr_etat,"Refusé")&gt;0,"Refusé",IF(COUNTIFS(jr_num,A736,jr_etat,"Avec réserves")&gt;0,"Avec réserves",IF(COUNTIFS(jr_num,A736,jr_rel,"&gt;0")&gt;0,"Reliquat en cours",IF(COUNTIFS(jr_num,A736,jr_gap,"&lt;0")+COUNTIFS(jr_num,A736,jr_gap,"&gt;0")&gt;0,"Écart","Conforme")))),IF(COUNTIFS(jr_num,A736,jr_gap,"&lt;0")&gt;0,"Partiel","Sorti")))))</f>
        <v/>
      </c>
      <c r="O736" t="str">
        <f>IFERROR(MATCH(731,jr_grank,0),"")</f>
        <v/>
      </c>
      <c r="R736" s="67" t="str">
        <f>IFERROR(INDEX(jr_num,MATCH("BL731",jr_nkey,0))&amp;"","")</f>
        <v/>
      </c>
      <c r="S736" s="67" t="str">
        <f>IFERROR(INDEX(jr_num,MATCH("BR731",jr_nkey,0))&amp;"","")</f>
        <v/>
      </c>
      <c r="T736" s="67" t="str">
        <f>IFERROR(INDEX(jr_num,MATCH("BS731",jr_nkey,0))&amp;"","")</f>
        <v/>
      </c>
    </row>
    <row r="737">
      <c r="A737" s="60" t="str">
        <f>IF($O737="","",INDEX(jr_num,$O737)&amp;"")</f>
        <v/>
      </c>
      <c r="B737" s="60" t="str">
        <f>IF($O737="","",IF(INDEX(jr_type,$O737)="BL","Livraison",IF(INDEX(jr_type,$O737)="BR","Réception","Sortie")))</f>
        <v/>
      </c>
      <c r="C737" s="65" t="str">
        <f>IF($O737="","",INDEX(jr_date,$O737))</f>
        <v/>
      </c>
      <c r="D737" s="60" t="str">
        <f>IF($O737="","",INDEX(jr_tiers,$O737)&amp;"")</f>
        <v/>
      </c>
      <c r="E737" s="57" t="str">
        <f>IF($O737="","",INDEX(jr_name,$O737)&amp;"")</f>
        <v/>
      </c>
      <c r="F737" s="57" t="str">
        <f>IF($O737="","",INDEX(jr_order,$O737)&amp;"")</f>
        <v/>
      </c>
      <c r="G737" s="57" t="str">
        <f>IF($O737="","",INDEX(jr_ext,$O737)&amp;"")</f>
        <v/>
      </c>
      <c r="H737" s="57" t="str">
        <f>IF($O737="","",INDEX(jr_carrier,$O737)&amp;"")</f>
        <v/>
      </c>
      <c r="I737" s="66" t="str">
        <f>IF(A737="","",COUNTIF(jr_num,A737))</f>
        <v/>
      </c>
      <c r="J737" s="66" t="str">
        <f>IF(A737="","",SUMIF(jr_num,A737,jr_colis))</f>
        <v/>
      </c>
      <c r="K737" s="63" t="str">
        <f>IF(A737="","",SUMIF(jr_num,A737,jr_kg))</f>
        <v/>
      </c>
      <c r="L737" s="64" t="str">
        <f>IF(A737="","",SUMIF(jr_num,A737,jr_val))</f>
        <v/>
      </c>
      <c r="M737" s="60" t="str">
        <f>IF(A737="","",IF(COUNTIFS(jr_num,A737,jr_check,"&lt;&gt;OK")&gt;0,"À vérifier",IF(LEFT(A737,2)="BL",IF(COUNTIFS(jr_num,A737,jr_rel,"&gt;0")&gt;0,"Reliquat en cours",IF(COUNTIFS(jr_num,A737,jr_gap,"&lt;0")&gt;0,"Reliquat livré","Complet")),IF(LEFT(A737,2)="BR",IF(COUNTIFS(jr_num,A737,jr_etat,"Refusé")&gt;0,"Refusé",IF(COUNTIFS(jr_num,A737,jr_etat,"Avec réserves")&gt;0,"Avec réserves",IF(COUNTIFS(jr_num,A737,jr_rel,"&gt;0")&gt;0,"Reliquat en cours",IF(COUNTIFS(jr_num,A737,jr_gap,"&lt;0")+COUNTIFS(jr_num,A737,jr_gap,"&gt;0")&gt;0,"Écart","Conforme")))),IF(COUNTIFS(jr_num,A737,jr_gap,"&lt;0")&gt;0,"Partiel","Sorti")))))</f>
        <v/>
      </c>
      <c r="O737" t="str">
        <f>IFERROR(MATCH(732,jr_grank,0),"")</f>
        <v/>
      </c>
      <c r="R737" s="67" t="str">
        <f>IFERROR(INDEX(jr_num,MATCH("BL732",jr_nkey,0))&amp;"","")</f>
        <v/>
      </c>
      <c r="S737" s="67" t="str">
        <f>IFERROR(INDEX(jr_num,MATCH("BR732",jr_nkey,0))&amp;"","")</f>
        <v/>
      </c>
      <c r="T737" s="67" t="str">
        <f>IFERROR(INDEX(jr_num,MATCH("BS732",jr_nkey,0))&amp;"","")</f>
        <v/>
      </c>
    </row>
    <row r="738">
      <c r="A738" s="60" t="str">
        <f>IF($O738="","",INDEX(jr_num,$O738)&amp;"")</f>
        <v/>
      </c>
      <c r="B738" s="60" t="str">
        <f>IF($O738="","",IF(INDEX(jr_type,$O738)="BL","Livraison",IF(INDEX(jr_type,$O738)="BR","Réception","Sortie")))</f>
        <v/>
      </c>
      <c r="C738" s="65" t="str">
        <f>IF($O738="","",INDEX(jr_date,$O738))</f>
        <v/>
      </c>
      <c r="D738" s="60" t="str">
        <f>IF($O738="","",INDEX(jr_tiers,$O738)&amp;"")</f>
        <v/>
      </c>
      <c r="E738" s="57" t="str">
        <f>IF($O738="","",INDEX(jr_name,$O738)&amp;"")</f>
        <v/>
      </c>
      <c r="F738" s="57" t="str">
        <f>IF($O738="","",INDEX(jr_order,$O738)&amp;"")</f>
        <v/>
      </c>
      <c r="G738" s="57" t="str">
        <f>IF($O738="","",INDEX(jr_ext,$O738)&amp;"")</f>
        <v/>
      </c>
      <c r="H738" s="57" t="str">
        <f>IF($O738="","",INDEX(jr_carrier,$O738)&amp;"")</f>
        <v/>
      </c>
      <c r="I738" s="66" t="str">
        <f>IF(A738="","",COUNTIF(jr_num,A738))</f>
        <v/>
      </c>
      <c r="J738" s="66" t="str">
        <f>IF(A738="","",SUMIF(jr_num,A738,jr_colis))</f>
        <v/>
      </c>
      <c r="K738" s="63" t="str">
        <f>IF(A738="","",SUMIF(jr_num,A738,jr_kg))</f>
        <v/>
      </c>
      <c r="L738" s="64" t="str">
        <f>IF(A738="","",SUMIF(jr_num,A738,jr_val))</f>
        <v/>
      </c>
      <c r="M738" s="60" t="str">
        <f>IF(A738="","",IF(COUNTIFS(jr_num,A738,jr_check,"&lt;&gt;OK")&gt;0,"À vérifier",IF(LEFT(A738,2)="BL",IF(COUNTIFS(jr_num,A738,jr_rel,"&gt;0")&gt;0,"Reliquat en cours",IF(COUNTIFS(jr_num,A738,jr_gap,"&lt;0")&gt;0,"Reliquat livré","Complet")),IF(LEFT(A738,2)="BR",IF(COUNTIFS(jr_num,A738,jr_etat,"Refusé")&gt;0,"Refusé",IF(COUNTIFS(jr_num,A738,jr_etat,"Avec réserves")&gt;0,"Avec réserves",IF(COUNTIFS(jr_num,A738,jr_rel,"&gt;0")&gt;0,"Reliquat en cours",IF(COUNTIFS(jr_num,A738,jr_gap,"&lt;0")+COUNTIFS(jr_num,A738,jr_gap,"&gt;0")&gt;0,"Écart","Conforme")))),IF(COUNTIFS(jr_num,A738,jr_gap,"&lt;0")&gt;0,"Partiel","Sorti")))))</f>
        <v/>
      </c>
      <c r="O738" t="str">
        <f>IFERROR(MATCH(733,jr_grank,0),"")</f>
        <v/>
      </c>
      <c r="R738" s="67" t="str">
        <f>IFERROR(INDEX(jr_num,MATCH("BL733",jr_nkey,0))&amp;"","")</f>
        <v/>
      </c>
      <c r="S738" s="67" t="str">
        <f>IFERROR(INDEX(jr_num,MATCH("BR733",jr_nkey,0))&amp;"","")</f>
        <v/>
      </c>
      <c r="T738" s="67" t="str">
        <f>IFERROR(INDEX(jr_num,MATCH("BS733",jr_nkey,0))&amp;"","")</f>
        <v/>
      </c>
    </row>
    <row r="739">
      <c r="A739" s="60" t="str">
        <f>IF($O739="","",INDEX(jr_num,$O739)&amp;"")</f>
        <v/>
      </c>
      <c r="B739" s="60" t="str">
        <f>IF($O739="","",IF(INDEX(jr_type,$O739)="BL","Livraison",IF(INDEX(jr_type,$O739)="BR","Réception","Sortie")))</f>
        <v/>
      </c>
      <c r="C739" s="65" t="str">
        <f>IF($O739="","",INDEX(jr_date,$O739))</f>
        <v/>
      </c>
      <c r="D739" s="60" t="str">
        <f>IF($O739="","",INDEX(jr_tiers,$O739)&amp;"")</f>
        <v/>
      </c>
      <c r="E739" s="57" t="str">
        <f>IF($O739="","",INDEX(jr_name,$O739)&amp;"")</f>
        <v/>
      </c>
      <c r="F739" s="57" t="str">
        <f>IF($O739="","",INDEX(jr_order,$O739)&amp;"")</f>
        <v/>
      </c>
      <c r="G739" s="57" t="str">
        <f>IF($O739="","",INDEX(jr_ext,$O739)&amp;"")</f>
        <v/>
      </c>
      <c r="H739" s="57" t="str">
        <f>IF($O739="","",INDEX(jr_carrier,$O739)&amp;"")</f>
        <v/>
      </c>
      <c r="I739" s="66" t="str">
        <f>IF(A739="","",COUNTIF(jr_num,A739))</f>
        <v/>
      </c>
      <c r="J739" s="66" t="str">
        <f>IF(A739="","",SUMIF(jr_num,A739,jr_colis))</f>
        <v/>
      </c>
      <c r="K739" s="63" t="str">
        <f>IF(A739="","",SUMIF(jr_num,A739,jr_kg))</f>
        <v/>
      </c>
      <c r="L739" s="64" t="str">
        <f>IF(A739="","",SUMIF(jr_num,A739,jr_val))</f>
        <v/>
      </c>
      <c r="M739" s="60" t="str">
        <f>IF(A739="","",IF(COUNTIFS(jr_num,A739,jr_check,"&lt;&gt;OK")&gt;0,"À vérifier",IF(LEFT(A739,2)="BL",IF(COUNTIFS(jr_num,A739,jr_rel,"&gt;0")&gt;0,"Reliquat en cours",IF(COUNTIFS(jr_num,A739,jr_gap,"&lt;0")&gt;0,"Reliquat livré","Complet")),IF(LEFT(A739,2)="BR",IF(COUNTIFS(jr_num,A739,jr_etat,"Refusé")&gt;0,"Refusé",IF(COUNTIFS(jr_num,A739,jr_etat,"Avec réserves")&gt;0,"Avec réserves",IF(COUNTIFS(jr_num,A739,jr_rel,"&gt;0")&gt;0,"Reliquat en cours",IF(COUNTIFS(jr_num,A739,jr_gap,"&lt;0")+COUNTIFS(jr_num,A739,jr_gap,"&gt;0")&gt;0,"Écart","Conforme")))),IF(COUNTIFS(jr_num,A739,jr_gap,"&lt;0")&gt;0,"Partiel","Sorti")))))</f>
        <v/>
      </c>
      <c r="O739" t="str">
        <f>IFERROR(MATCH(734,jr_grank,0),"")</f>
        <v/>
      </c>
      <c r="R739" s="67" t="str">
        <f>IFERROR(INDEX(jr_num,MATCH("BL734",jr_nkey,0))&amp;"","")</f>
        <v/>
      </c>
      <c r="S739" s="67" t="str">
        <f>IFERROR(INDEX(jr_num,MATCH("BR734",jr_nkey,0))&amp;"","")</f>
        <v/>
      </c>
      <c r="T739" s="67" t="str">
        <f>IFERROR(INDEX(jr_num,MATCH("BS734",jr_nkey,0))&amp;"","")</f>
        <v/>
      </c>
    </row>
    <row r="740">
      <c r="A740" s="60" t="str">
        <f>IF($O740="","",INDEX(jr_num,$O740)&amp;"")</f>
        <v/>
      </c>
      <c r="B740" s="60" t="str">
        <f>IF($O740="","",IF(INDEX(jr_type,$O740)="BL","Livraison",IF(INDEX(jr_type,$O740)="BR","Réception","Sortie")))</f>
        <v/>
      </c>
      <c r="C740" s="65" t="str">
        <f>IF($O740="","",INDEX(jr_date,$O740))</f>
        <v/>
      </c>
      <c r="D740" s="60" t="str">
        <f>IF($O740="","",INDEX(jr_tiers,$O740)&amp;"")</f>
        <v/>
      </c>
      <c r="E740" s="57" t="str">
        <f>IF($O740="","",INDEX(jr_name,$O740)&amp;"")</f>
        <v/>
      </c>
      <c r="F740" s="57" t="str">
        <f>IF($O740="","",INDEX(jr_order,$O740)&amp;"")</f>
        <v/>
      </c>
      <c r="G740" s="57" t="str">
        <f>IF($O740="","",INDEX(jr_ext,$O740)&amp;"")</f>
        <v/>
      </c>
      <c r="H740" s="57" t="str">
        <f>IF($O740="","",INDEX(jr_carrier,$O740)&amp;"")</f>
        <v/>
      </c>
      <c r="I740" s="66" t="str">
        <f>IF(A740="","",COUNTIF(jr_num,A740))</f>
        <v/>
      </c>
      <c r="J740" s="66" t="str">
        <f>IF(A740="","",SUMIF(jr_num,A740,jr_colis))</f>
        <v/>
      </c>
      <c r="K740" s="63" t="str">
        <f>IF(A740="","",SUMIF(jr_num,A740,jr_kg))</f>
        <v/>
      </c>
      <c r="L740" s="64" t="str">
        <f>IF(A740="","",SUMIF(jr_num,A740,jr_val))</f>
        <v/>
      </c>
      <c r="M740" s="60" t="str">
        <f>IF(A740="","",IF(COUNTIFS(jr_num,A740,jr_check,"&lt;&gt;OK")&gt;0,"À vérifier",IF(LEFT(A740,2)="BL",IF(COUNTIFS(jr_num,A740,jr_rel,"&gt;0")&gt;0,"Reliquat en cours",IF(COUNTIFS(jr_num,A740,jr_gap,"&lt;0")&gt;0,"Reliquat livré","Complet")),IF(LEFT(A740,2)="BR",IF(COUNTIFS(jr_num,A740,jr_etat,"Refusé")&gt;0,"Refusé",IF(COUNTIFS(jr_num,A740,jr_etat,"Avec réserves")&gt;0,"Avec réserves",IF(COUNTIFS(jr_num,A740,jr_rel,"&gt;0")&gt;0,"Reliquat en cours",IF(COUNTIFS(jr_num,A740,jr_gap,"&lt;0")+COUNTIFS(jr_num,A740,jr_gap,"&gt;0")&gt;0,"Écart","Conforme")))),IF(COUNTIFS(jr_num,A740,jr_gap,"&lt;0")&gt;0,"Partiel","Sorti")))))</f>
        <v/>
      </c>
      <c r="O740" t="str">
        <f>IFERROR(MATCH(735,jr_grank,0),"")</f>
        <v/>
      </c>
      <c r="R740" s="67" t="str">
        <f>IFERROR(INDEX(jr_num,MATCH("BL735",jr_nkey,0))&amp;"","")</f>
        <v/>
      </c>
      <c r="S740" s="67" t="str">
        <f>IFERROR(INDEX(jr_num,MATCH("BR735",jr_nkey,0))&amp;"","")</f>
        <v/>
      </c>
      <c r="T740" s="67" t="str">
        <f>IFERROR(INDEX(jr_num,MATCH("BS735",jr_nkey,0))&amp;"","")</f>
        <v/>
      </c>
    </row>
    <row r="741">
      <c r="A741" s="60" t="str">
        <f>IF($O741="","",INDEX(jr_num,$O741)&amp;"")</f>
        <v/>
      </c>
      <c r="B741" s="60" t="str">
        <f>IF($O741="","",IF(INDEX(jr_type,$O741)="BL","Livraison",IF(INDEX(jr_type,$O741)="BR","Réception","Sortie")))</f>
        <v/>
      </c>
      <c r="C741" s="65" t="str">
        <f>IF($O741="","",INDEX(jr_date,$O741))</f>
        <v/>
      </c>
      <c r="D741" s="60" t="str">
        <f>IF($O741="","",INDEX(jr_tiers,$O741)&amp;"")</f>
        <v/>
      </c>
      <c r="E741" s="57" t="str">
        <f>IF($O741="","",INDEX(jr_name,$O741)&amp;"")</f>
        <v/>
      </c>
      <c r="F741" s="57" t="str">
        <f>IF($O741="","",INDEX(jr_order,$O741)&amp;"")</f>
        <v/>
      </c>
      <c r="G741" s="57" t="str">
        <f>IF($O741="","",INDEX(jr_ext,$O741)&amp;"")</f>
        <v/>
      </c>
      <c r="H741" s="57" t="str">
        <f>IF($O741="","",INDEX(jr_carrier,$O741)&amp;"")</f>
        <v/>
      </c>
      <c r="I741" s="66" t="str">
        <f>IF(A741="","",COUNTIF(jr_num,A741))</f>
        <v/>
      </c>
      <c r="J741" s="66" t="str">
        <f>IF(A741="","",SUMIF(jr_num,A741,jr_colis))</f>
        <v/>
      </c>
      <c r="K741" s="63" t="str">
        <f>IF(A741="","",SUMIF(jr_num,A741,jr_kg))</f>
        <v/>
      </c>
      <c r="L741" s="64" t="str">
        <f>IF(A741="","",SUMIF(jr_num,A741,jr_val))</f>
        <v/>
      </c>
      <c r="M741" s="60" t="str">
        <f>IF(A741="","",IF(COUNTIFS(jr_num,A741,jr_check,"&lt;&gt;OK")&gt;0,"À vérifier",IF(LEFT(A741,2)="BL",IF(COUNTIFS(jr_num,A741,jr_rel,"&gt;0")&gt;0,"Reliquat en cours",IF(COUNTIFS(jr_num,A741,jr_gap,"&lt;0")&gt;0,"Reliquat livré","Complet")),IF(LEFT(A741,2)="BR",IF(COUNTIFS(jr_num,A741,jr_etat,"Refusé")&gt;0,"Refusé",IF(COUNTIFS(jr_num,A741,jr_etat,"Avec réserves")&gt;0,"Avec réserves",IF(COUNTIFS(jr_num,A741,jr_rel,"&gt;0")&gt;0,"Reliquat en cours",IF(COUNTIFS(jr_num,A741,jr_gap,"&lt;0")+COUNTIFS(jr_num,A741,jr_gap,"&gt;0")&gt;0,"Écart","Conforme")))),IF(COUNTIFS(jr_num,A741,jr_gap,"&lt;0")&gt;0,"Partiel","Sorti")))))</f>
        <v/>
      </c>
      <c r="O741" t="str">
        <f>IFERROR(MATCH(736,jr_grank,0),"")</f>
        <v/>
      </c>
      <c r="R741" s="67" t="str">
        <f>IFERROR(INDEX(jr_num,MATCH("BL736",jr_nkey,0))&amp;"","")</f>
        <v/>
      </c>
      <c r="S741" s="67" t="str">
        <f>IFERROR(INDEX(jr_num,MATCH("BR736",jr_nkey,0))&amp;"","")</f>
        <v/>
      </c>
      <c r="T741" s="67" t="str">
        <f>IFERROR(INDEX(jr_num,MATCH("BS736",jr_nkey,0))&amp;"","")</f>
        <v/>
      </c>
    </row>
    <row r="742">
      <c r="A742" s="60" t="str">
        <f>IF($O742="","",INDEX(jr_num,$O742)&amp;"")</f>
        <v/>
      </c>
      <c r="B742" s="60" t="str">
        <f>IF($O742="","",IF(INDEX(jr_type,$O742)="BL","Livraison",IF(INDEX(jr_type,$O742)="BR","Réception","Sortie")))</f>
        <v/>
      </c>
      <c r="C742" s="65" t="str">
        <f>IF($O742="","",INDEX(jr_date,$O742))</f>
        <v/>
      </c>
      <c r="D742" s="60" t="str">
        <f>IF($O742="","",INDEX(jr_tiers,$O742)&amp;"")</f>
        <v/>
      </c>
      <c r="E742" s="57" t="str">
        <f>IF($O742="","",INDEX(jr_name,$O742)&amp;"")</f>
        <v/>
      </c>
      <c r="F742" s="57" t="str">
        <f>IF($O742="","",INDEX(jr_order,$O742)&amp;"")</f>
        <v/>
      </c>
      <c r="G742" s="57" t="str">
        <f>IF($O742="","",INDEX(jr_ext,$O742)&amp;"")</f>
        <v/>
      </c>
      <c r="H742" s="57" t="str">
        <f>IF($O742="","",INDEX(jr_carrier,$O742)&amp;"")</f>
        <v/>
      </c>
      <c r="I742" s="66" t="str">
        <f>IF(A742="","",COUNTIF(jr_num,A742))</f>
        <v/>
      </c>
      <c r="J742" s="66" t="str">
        <f>IF(A742="","",SUMIF(jr_num,A742,jr_colis))</f>
        <v/>
      </c>
      <c r="K742" s="63" t="str">
        <f>IF(A742="","",SUMIF(jr_num,A742,jr_kg))</f>
        <v/>
      </c>
      <c r="L742" s="64" t="str">
        <f>IF(A742="","",SUMIF(jr_num,A742,jr_val))</f>
        <v/>
      </c>
      <c r="M742" s="60" t="str">
        <f>IF(A742="","",IF(COUNTIFS(jr_num,A742,jr_check,"&lt;&gt;OK")&gt;0,"À vérifier",IF(LEFT(A742,2)="BL",IF(COUNTIFS(jr_num,A742,jr_rel,"&gt;0")&gt;0,"Reliquat en cours",IF(COUNTIFS(jr_num,A742,jr_gap,"&lt;0")&gt;0,"Reliquat livré","Complet")),IF(LEFT(A742,2)="BR",IF(COUNTIFS(jr_num,A742,jr_etat,"Refusé")&gt;0,"Refusé",IF(COUNTIFS(jr_num,A742,jr_etat,"Avec réserves")&gt;0,"Avec réserves",IF(COUNTIFS(jr_num,A742,jr_rel,"&gt;0")&gt;0,"Reliquat en cours",IF(COUNTIFS(jr_num,A742,jr_gap,"&lt;0")+COUNTIFS(jr_num,A742,jr_gap,"&gt;0")&gt;0,"Écart","Conforme")))),IF(COUNTIFS(jr_num,A742,jr_gap,"&lt;0")&gt;0,"Partiel","Sorti")))))</f>
        <v/>
      </c>
      <c r="O742" t="str">
        <f>IFERROR(MATCH(737,jr_grank,0),"")</f>
        <v/>
      </c>
      <c r="R742" s="67" t="str">
        <f>IFERROR(INDEX(jr_num,MATCH("BL737",jr_nkey,0))&amp;"","")</f>
        <v/>
      </c>
      <c r="S742" s="67" t="str">
        <f>IFERROR(INDEX(jr_num,MATCH("BR737",jr_nkey,0))&amp;"","")</f>
        <v/>
      </c>
      <c r="T742" s="67" t="str">
        <f>IFERROR(INDEX(jr_num,MATCH("BS737",jr_nkey,0))&amp;"","")</f>
        <v/>
      </c>
    </row>
    <row r="743">
      <c r="A743" s="60" t="str">
        <f>IF($O743="","",INDEX(jr_num,$O743)&amp;"")</f>
        <v/>
      </c>
      <c r="B743" s="60" t="str">
        <f>IF($O743="","",IF(INDEX(jr_type,$O743)="BL","Livraison",IF(INDEX(jr_type,$O743)="BR","Réception","Sortie")))</f>
        <v/>
      </c>
      <c r="C743" s="65" t="str">
        <f>IF($O743="","",INDEX(jr_date,$O743))</f>
        <v/>
      </c>
      <c r="D743" s="60" t="str">
        <f>IF($O743="","",INDEX(jr_tiers,$O743)&amp;"")</f>
        <v/>
      </c>
      <c r="E743" s="57" t="str">
        <f>IF($O743="","",INDEX(jr_name,$O743)&amp;"")</f>
        <v/>
      </c>
      <c r="F743" s="57" t="str">
        <f>IF($O743="","",INDEX(jr_order,$O743)&amp;"")</f>
        <v/>
      </c>
      <c r="G743" s="57" t="str">
        <f>IF($O743="","",INDEX(jr_ext,$O743)&amp;"")</f>
        <v/>
      </c>
      <c r="H743" s="57" t="str">
        <f>IF($O743="","",INDEX(jr_carrier,$O743)&amp;"")</f>
        <v/>
      </c>
      <c r="I743" s="66" t="str">
        <f>IF(A743="","",COUNTIF(jr_num,A743))</f>
        <v/>
      </c>
      <c r="J743" s="66" t="str">
        <f>IF(A743="","",SUMIF(jr_num,A743,jr_colis))</f>
        <v/>
      </c>
      <c r="K743" s="63" t="str">
        <f>IF(A743="","",SUMIF(jr_num,A743,jr_kg))</f>
        <v/>
      </c>
      <c r="L743" s="64" t="str">
        <f>IF(A743="","",SUMIF(jr_num,A743,jr_val))</f>
        <v/>
      </c>
      <c r="M743" s="60" t="str">
        <f>IF(A743="","",IF(COUNTIFS(jr_num,A743,jr_check,"&lt;&gt;OK")&gt;0,"À vérifier",IF(LEFT(A743,2)="BL",IF(COUNTIFS(jr_num,A743,jr_rel,"&gt;0")&gt;0,"Reliquat en cours",IF(COUNTIFS(jr_num,A743,jr_gap,"&lt;0")&gt;0,"Reliquat livré","Complet")),IF(LEFT(A743,2)="BR",IF(COUNTIFS(jr_num,A743,jr_etat,"Refusé")&gt;0,"Refusé",IF(COUNTIFS(jr_num,A743,jr_etat,"Avec réserves")&gt;0,"Avec réserves",IF(COUNTIFS(jr_num,A743,jr_rel,"&gt;0")&gt;0,"Reliquat en cours",IF(COUNTIFS(jr_num,A743,jr_gap,"&lt;0")+COUNTIFS(jr_num,A743,jr_gap,"&gt;0")&gt;0,"Écart","Conforme")))),IF(COUNTIFS(jr_num,A743,jr_gap,"&lt;0")&gt;0,"Partiel","Sorti")))))</f>
        <v/>
      </c>
      <c r="O743" t="str">
        <f>IFERROR(MATCH(738,jr_grank,0),"")</f>
        <v/>
      </c>
      <c r="R743" s="67" t="str">
        <f>IFERROR(INDEX(jr_num,MATCH("BL738",jr_nkey,0))&amp;"","")</f>
        <v/>
      </c>
      <c r="S743" s="67" t="str">
        <f>IFERROR(INDEX(jr_num,MATCH("BR738",jr_nkey,0))&amp;"","")</f>
        <v/>
      </c>
      <c r="T743" s="67" t="str">
        <f>IFERROR(INDEX(jr_num,MATCH("BS738",jr_nkey,0))&amp;"","")</f>
        <v/>
      </c>
    </row>
    <row r="744">
      <c r="A744" s="60" t="str">
        <f>IF($O744="","",INDEX(jr_num,$O744)&amp;"")</f>
        <v/>
      </c>
      <c r="B744" s="60" t="str">
        <f>IF($O744="","",IF(INDEX(jr_type,$O744)="BL","Livraison",IF(INDEX(jr_type,$O744)="BR","Réception","Sortie")))</f>
        <v/>
      </c>
      <c r="C744" s="65" t="str">
        <f>IF($O744="","",INDEX(jr_date,$O744))</f>
        <v/>
      </c>
      <c r="D744" s="60" t="str">
        <f>IF($O744="","",INDEX(jr_tiers,$O744)&amp;"")</f>
        <v/>
      </c>
      <c r="E744" s="57" t="str">
        <f>IF($O744="","",INDEX(jr_name,$O744)&amp;"")</f>
        <v/>
      </c>
      <c r="F744" s="57" t="str">
        <f>IF($O744="","",INDEX(jr_order,$O744)&amp;"")</f>
        <v/>
      </c>
      <c r="G744" s="57" t="str">
        <f>IF($O744="","",INDEX(jr_ext,$O744)&amp;"")</f>
        <v/>
      </c>
      <c r="H744" s="57" t="str">
        <f>IF($O744="","",INDEX(jr_carrier,$O744)&amp;"")</f>
        <v/>
      </c>
      <c r="I744" s="66" t="str">
        <f>IF(A744="","",COUNTIF(jr_num,A744))</f>
        <v/>
      </c>
      <c r="J744" s="66" t="str">
        <f>IF(A744="","",SUMIF(jr_num,A744,jr_colis))</f>
        <v/>
      </c>
      <c r="K744" s="63" t="str">
        <f>IF(A744="","",SUMIF(jr_num,A744,jr_kg))</f>
        <v/>
      </c>
      <c r="L744" s="64" t="str">
        <f>IF(A744="","",SUMIF(jr_num,A744,jr_val))</f>
        <v/>
      </c>
      <c r="M744" s="60" t="str">
        <f>IF(A744="","",IF(COUNTIFS(jr_num,A744,jr_check,"&lt;&gt;OK")&gt;0,"À vérifier",IF(LEFT(A744,2)="BL",IF(COUNTIFS(jr_num,A744,jr_rel,"&gt;0")&gt;0,"Reliquat en cours",IF(COUNTIFS(jr_num,A744,jr_gap,"&lt;0")&gt;0,"Reliquat livré","Complet")),IF(LEFT(A744,2)="BR",IF(COUNTIFS(jr_num,A744,jr_etat,"Refusé")&gt;0,"Refusé",IF(COUNTIFS(jr_num,A744,jr_etat,"Avec réserves")&gt;0,"Avec réserves",IF(COUNTIFS(jr_num,A744,jr_rel,"&gt;0")&gt;0,"Reliquat en cours",IF(COUNTIFS(jr_num,A744,jr_gap,"&lt;0")+COUNTIFS(jr_num,A744,jr_gap,"&gt;0")&gt;0,"Écart","Conforme")))),IF(COUNTIFS(jr_num,A744,jr_gap,"&lt;0")&gt;0,"Partiel","Sorti")))))</f>
        <v/>
      </c>
      <c r="O744" t="str">
        <f>IFERROR(MATCH(739,jr_grank,0),"")</f>
        <v/>
      </c>
      <c r="R744" s="67" t="str">
        <f>IFERROR(INDEX(jr_num,MATCH("BL739",jr_nkey,0))&amp;"","")</f>
        <v/>
      </c>
      <c r="S744" s="67" t="str">
        <f>IFERROR(INDEX(jr_num,MATCH("BR739",jr_nkey,0))&amp;"","")</f>
        <v/>
      </c>
      <c r="T744" s="67" t="str">
        <f>IFERROR(INDEX(jr_num,MATCH("BS739",jr_nkey,0))&amp;"","")</f>
        <v/>
      </c>
    </row>
    <row r="745">
      <c r="A745" s="60" t="str">
        <f>IF($O745="","",INDEX(jr_num,$O745)&amp;"")</f>
        <v/>
      </c>
      <c r="B745" s="60" t="str">
        <f>IF($O745="","",IF(INDEX(jr_type,$O745)="BL","Livraison",IF(INDEX(jr_type,$O745)="BR","Réception","Sortie")))</f>
        <v/>
      </c>
      <c r="C745" s="65" t="str">
        <f>IF($O745="","",INDEX(jr_date,$O745))</f>
        <v/>
      </c>
      <c r="D745" s="60" t="str">
        <f>IF($O745="","",INDEX(jr_tiers,$O745)&amp;"")</f>
        <v/>
      </c>
      <c r="E745" s="57" t="str">
        <f>IF($O745="","",INDEX(jr_name,$O745)&amp;"")</f>
        <v/>
      </c>
      <c r="F745" s="57" t="str">
        <f>IF($O745="","",INDEX(jr_order,$O745)&amp;"")</f>
        <v/>
      </c>
      <c r="G745" s="57" t="str">
        <f>IF($O745="","",INDEX(jr_ext,$O745)&amp;"")</f>
        <v/>
      </c>
      <c r="H745" s="57" t="str">
        <f>IF($O745="","",INDEX(jr_carrier,$O745)&amp;"")</f>
        <v/>
      </c>
      <c r="I745" s="66" t="str">
        <f>IF(A745="","",COUNTIF(jr_num,A745))</f>
        <v/>
      </c>
      <c r="J745" s="66" t="str">
        <f>IF(A745="","",SUMIF(jr_num,A745,jr_colis))</f>
        <v/>
      </c>
      <c r="K745" s="63" t="str">
        <f>IF(A745="","",SUMIF(jr_num,A745,jr_kg))</f>
        <v/>
      </c>
      <c r="L745" s="64" t="str">
        <f>IF(A745="","",SUMIF(jr_num,A745,jr_val))</f>
        <v/>
      </c>
      <c r="M745" s="60" t="str">
        <f>IF(A745="","",IF(COUNTIFS(jr_num,A745,jr_check,"&lt;&gt;OK")&gt;0,"À vérifier",IF(LEFT(A745,2)="BL",IF(COUNTIFS(jr_num,A745,jr_rel,"&gt;0")&gt;0,"Reliquat en cours",IF(COUNTIFS(jr_num,A745,jr_gap,"&lt;0")&gt;0,"Reliquat livré","Complet")),IF(LEFT(A745,2)="BR",IF(COUNTIFS(jr_num,A745,jr_etat,"Refusé")&gt;0,"Refusé",IF(COUNTIFS(jr_num,A745,jr_etat,"Avec réserves")&gt;0,"Avec réserves",IF(COUNTIFS(jr_num,A745,jr_rel,"&gt;0")&gt;0,"Reliquat en cours",IF(COUNTIFS(jr_num,A745,jr_gap,"&lt;0")+COUNTIFS(jr_num,A745,jr_gap,"&gt;0")&gt;0,"Écart","Conforme")))),IF(COUNTIFS(jr_num,A745,jr_gap,"&lt;0")&gt;0,"Partiel","Sorti")))))</f>
        <v/>
      </c>
      <c r="O745" t="str">
        <f>IFERROR(MATCH(740,jr_grank,0),"")</f>
        <v/>
      </c>
      <c r="R745" s="67" t="str">
        <f>IFERROR(INDEX(jr_num,MATCH("BL740",jr_nkey,0))&amp;"","")</f>
        <v/>
      </c>
      <c r="S745" s="67" t="str">
        <f>IFERROR(INDEX(jr_num,MATCH("BR740",jr_nkey,0))&amp;"","")</f>
        <v/>
      </c>
      <c r="T745" s="67" t="str">
        <f>IFERROR(INDEX(jr_num,MATCH("BS740",jr_nkey,0))&amp;"","")</f>
        <v/>
      </c>
    </row>
    <row r="746">
      <c r="A746" s="60" t="str">
        <f>IF($O746="","",INDEX(jr_num,$O746)&amp;"")</f>
        <v/>
      </c>
      <c r="B746" s="60" t="str">
        <f>IF($O746="","",IF(INDEX(jr_type,$O746)="BL","Livraison",IF(INDEX(jr_type,$O746)="BR","Réception","Sortie")))</f>
        <v/>
      </c>
      <c r="C746" s="65" t="str">
        <f>IF($O746="","",INDEX(jr_date,$O746))</f>
        <v/>
      </c>
      <c r="D746" s="60" t="str">
        <f>IF($O746="","",INDEX(jr_tiers,$O746)&amp;"")</f>
        <v/>
      </c>
      <c r="E746" s="57" t="str">
        <f>IF($O746="","",INDEX(jr_name,$O746)&amp;"")</f>
        <v/>
      </c>
      <c r="F746" s="57" t="str">
        <f>IF($O746="","",INDEX(jr_order,$O746)&amp;"")</f>
        <v/>
      </c>
      <c r="G746" s="57" t="str">
        <f>IF($O746="","",INDEX(jr_ext,$O746)&amp;"")</f>
        <v/>
      </c>
      <c r="H746" s="57" t="str">
        <f>IF($O746="","",INDEX(jr_carrier,$O746)&amp;"")</f>
        <v/>
      </c>
      <c r="I746" s="66" t="str">
        <f>IF(A746="","",COUNTIF(jr_num,A746))</f>
        <v/>
      </c>
      <c r="J746" s="66" t="str">
        <f>IF(A746="","",SUMIF(jr_num,A746,jr_colis))</f>
        <v/>
      </c>
      <c r="K746" s="63" t="str">
        <f>IF(A746="","",SUMIF(jr_num,A746,jr_kg))</f>
        <v/>
      </c>
      <c r="L746" s="64" t="str">
        <f>IF(A746="","",SUMIF(jr_num,A746,jr_val))</f>
        <v/>
      </c>
      <c r="M746" s="60" t="str">
        <f>IF(A746="","",IF(COUNTIFS(jr_num,A746,jr_check,"&lt;&gt;OK")&gt;0,"À vérifier",IF(LEFT(A746,2)="BL",IF(COUNTIFS(jr_num,A746,jr_rel,"&gt;0")&gt;0,"Reliquat en cours",IF(COUNTIFS(jr_num,A746,jr_gap,"&lt;0")&gt;0,"Reliquat livré","Complet")),IF(LEFT(A746,2)="BR",IF(COUNTIFS(jr_num,A746,jr_etat,"Refusé")&gt;0,"Refusé",IF(COUNTIFS(jr_num,A746,jr_etat,"Avec réserves")&gt;0,"Avec réserves",IF(COUNTIFS(jr_num,A746,jr_rel,"&gt;0")&gt;0,"Reliquat en cours",IF(COUNTIFS(jr_num,A746,jr_gap,"&lt;0")+COUNTIFS(jr_num,A746,jr_gap,"&gt;0")&gt;0,"Écart","Conforme")))),IF(COUNTIFS(jr_num,A746,jr_gap,"&lt;0")&gt;0,"Partiel","Sorti")))))</f>
        <v/>
      </c>
      <c r="O746" t="str">
        <f>IFERROR(MATCH(741,jr_grank,0),"")</f>
        <v/>
      </c>
      <c r="R746" s="67" t="str">
        <f>IFERROR(INDEX(jr_num,MATCH("BL741",jr_nkey,0))&amp;"","")</f>
        <v/>
      </c>
      <c r="S746" s="67" t="str">
        <f>IFERROR(INDEX(jr_num,MATCH("BR741",jr_nkey,0))&amp;"","")</f>
        <v/>
      </c>
      <c r="T746" s="67" t="str">
        <f>IFERROR(INDEX(jr_num,MATCH("BS741",jr_nkey,0))&amp;"","")</f>
        <v/>
      </c>
    </row>
    <row r="747">
      <c r="A747" s="60" t="str">
        <f>IF($O747="","",INDEX(jr_num,$O747)&amp;"")</f>
        <v/>
      </c>
      <c r="B747" s="60" t="str">
        <f>IF($O747="","",IF(INDEX(jr_type,$O747)="BL","Livraison",IF(INDEX(jr_type,$O747)="BR","Réception","Sortie")))</f>
        <v/>
      </c>
      <c r="C747" s="65" t="str">
        <f>IF($O747="","",INDEX(jr_date,$O747))</f>
        <v/>
      </c>
      <c r="D747" s="60" t="str">
        <f>IF($O747="","",INDEX(jr_tiers,$O747)&amp;"")</f>
        <v/>
      </c>
      <c r="E747" s="57" t="str">
        <f>IF($O747="","",INDEX(jr_name,$O747)&amp;"")</f>
        <v/>
      </c>
      <c r="F747" s="57" t="str">
        <f>IF($O747="","",INDEX(jr_order,$O747)&amp;"")</f>
        <v/>
      </c>
      <c r="G747" s="57" t="str">
        <f>IF($O747="","",INDEX(jr_ext,$O747)&amp;"")</f>
        <v/>
      </c>
      <c r="H747" s="57" t="str">
        <f>IF($O747="","",INDEX(jr_carrier,$O747)&amp;"")</f>
        <v/>
      </c>
      <c r="I747" s="66" t="str">
        <f>IF(A747="","",COUNTIF(jr_num,A747))</f>
        <v/>
      </c>
      <c r="J747" s="66" t="str">
        <f>IF(A747="","",SUMIF(jr_num,A747,jr_colis))</f>
        <v/>
      </c>
      <c r="K747" s="63" t="str">
        <f>IF(A747="","",SUMIF(jr_num,A747,jr_kg))</f>
        <v/>
      </c>
      <c r="L747" s="64" t="str">
        <f>IF(A747="","",SUMIF(jr_num,A747,jr_val))</f>
        <v/>
      </c>
      <c r="M747" s="60" t="str">
        <f>IF(A747="","",IF(COUNTIFS(jr_num,A747,jr_check,"&lt;&gt;OK")&gt;0,"À vérifier",IF(LEFT(A747,2)="BL",IF(COUNTIFS(jr_num,A747,jr_rel,"&gt;0")&gt;0,"Reliquat en cours",IF(COUNTIFS(jr_num,A747,jr_gap,"&lt;0")&gt;0,"Reliquat livré","Complet")),IF(LEFT(A747,2)="BR",IF(COUNTIFS(jr_num,A747,jr_etat,"Refusé")&gt;0,"Refusé",IF(COUNTIFS(jr_num,A747,jr_etat,"Avec réserves")&gt;0,"Avec réserves",IF(COUNTIFS(jr_num,A747,jr_rel,"&gt;0")&gt;0,"Reliquat en cours",IF(COUNTIFS(jr_num,A747,jr_gap,"&lt;0")+COUNTIFS(jr_num,A747,jr_gap,"&gt;0")&gt;0,"Écart","Conforme")))),IF(COUNTIFS(jr_num,A747,jr_gap,"&lt;0")&gt;0,"Partiel","Sorti")))))</f>
        <v/>
      </c>
      <c r="O747" t="str">
        <f>IFERROR(MATCH(742,jr_grank,0),"")</f>
        <v/>
      </c>
      <c r="R747" s="67" t="str">
        <f>IFERROR(INDEX(jr_num,MATCH("BL742",jr_nkey,0))&amp;"","")</f>
        <v/>
      </c>
      <c r="S747" s="67" t="str">
        <f>IFERROR(INDEX(jr_num,MATCH("BR742",jr_nkey,0))&amp;"","")</f>
        <v/>
      </c>
      <c r="T747" s="67" t="str">
        <f>IFERROR(INDEX(jr_num,MATCH("BS742",jr_nkey,0))&amp;"","")</f>
        <v/>
      </c>
    </row>
    <row r="748">
      <c r="A748" s="60" t="str">
        <f>IF($O748="","",INDEX(jr_num,$O748)&amp;"")</f>
        <v/>
      </c>
      <c r="B748" s="60" t="str">
        <f>IF($O748="","",IF(INDEX(jr_type,$O748)="BL","Livraison",IF(INDEX(jr_type,$O748)="BR","Réception","Sortie")))</f>
        <v/>
      </c>
      <c r="C748" s="65" t="str">
        <f>IF($O748="","",INDEX(jr_date,$O748))</f>
        <v/>
      </c>
      <c r="D748" s="60" t="str">
        <f>IF($O748="","",INDEX(jr_tiers,$O748)&amp;"")</f>
        <v/>
      </c>
      <c r="E748" s="57" t="str">
        <f>IF($O748="","",INDEX(jr_name,$O748)&amp;"")</f>
        <v/>
      </c>
      <c r="F748" s="57" t="str">
        <f>IF($O748="","",INDEX(jr_order,$O748)&amp;"")</f>
        <v/>
      </c>
      <c r="G748" s="57" t="str">
        <f>IF($O748="","",INDEX(jr_ext,$O748)&amp;"")</f>
        <v/>
      </c>
      <c r="H748" s="57" t="str">
        <f>IF($O748="","",INDEX(jr_carrier,$O748)&amp;"")</f>
        <v/>
      </c>
      <c r="I748" s="66" t="str">
        <f>IF(A748="","",COUNTIF(jr_num,A748))</f>
        <v/>
      </c>
      <c r="J748" s="66" t="str">
        <f>IF(A748="","",SUMIF(jr_num,A748,jr_colis))</f>
        <v/>
      </c>
      <c r="K748" s="63" t="str">
        <f>IF(A748="","",SUMIF(jr_num,A748,jr_kg))</f>
        <v/>
      </c>
      <c r="L748" s="64" t="str">
        <f>IF(A748="","",SUMIF(jr_num,A748,jr_val))</f>
        <v/>
      </c>
      <c r="M748" s="60" t="str">
        <f>IF(A748="","",IF(COUNTIFS(jr_num,A748,jr_check,"&lt;&gt;OK")&gt;0,"À vérifier",IF(LEFT(A748,2)="BL",IF(COUNTIFS(jr_num,A748,jr_rel,"&gt;0")&gt;0,"Reliquat en cours",IF(COUNTIFS(jr_num,A748,jr_gap,"&lt;0")&gt;0,"Reliquat livré","Complet")),IF(LEFT(A748,2)="BR",IF(COUNTIFS(jr_num,A748,jr_etat,"Refusé")&gt;0,"Refusé",IF(COUNTIFS(jr_num,A748,jr_etat,"Avec réserves")&gt;0,"Avec réserves",IF(COUNTIFS(jr_num,A748,jr_rel,"&gt;0")&gt;0,"Reliquat en cours",IF(COUNTIFS(jr_num,A748,jr_gap,"&lt;0")+COUNTIFS(jr_num,A748,jr_gap,"&gt;0")&gt;0,"Écart","Conforme")))),IF(COUNTIFS(jr_num,A748,jr_gap,"&lt;0")&gt;0,"Partiel","Sorti")))))</f>
        <v/>
      </c>
      <c r="O748" t="str">
        <f>IFERROR(MATCH(743,jr_grank,0),"")</f>
        <v/>
      </c>
      <c r="R748" s="67" t="str">
        <f>IFERROR(INDEX(jr_num,MATCH("BL743",jr_nkey,0))&amp;"","")</f>
        <v/>
      </c>
      <c r="S748" s="67" t="str">
        <f>IFERROR(INDEX(jr_num,MATCH("BR743",jr_nkey,0))&amp;"","")</f>
        <v/>
      </c>
      <c r="T748" s="67" t="str">
        <f>IFERROR(INDEX(jr_num,MATCH("BS743",jr_nkey,0))&amp;"","")</f>
        <v/>
      </c>
    </row>
    <row r="749">
      <c r="A749" s="60" t="str">
        <f>IF($O749="","",INDEX(jr_num,$O749)&amp;"")</f>
        <v/>
      </c>
      <c r="B749" s="60" t="str">
        <f>IF($O749="","",IF(INDEX(jr_type,$O749)="BL","Livraison",IF(INDEX(jr_type,$O749)="BR","Réception","Sortie")))</f>
        <v/>
      </c>
      <c r="C749" s="65" t="str">
        <f>IF($O749="","",INDEX(jr_date,$O749))</f>
        <v/>
      </c>
      <c r="D749" s="60" t="str">
        <f>IF($O749="","",INDEX(jr_tiers,$O749)&amp;"")</f>
        <v/>
      </c>
      <c r="E749" s="57" t="str">
        <f>IF($O749="","",INDEX(jr_name,$O749)&amp;"")</f>
        <v/>
      </c>
      <c r="F749" s="57" t="str">
        <f>IF($O749="","",INDEX(jr_order,$O749)&amp;"")</f>
        <v/>
      </c>
      <c r="G749" s="57" t="str">
        <f>IF($O749="","",INDEX(jr_ext,$O749)&amp;"")</f>
        <v/>
      </c>
      <c r="H749" s="57" t="str">
        <f>IF($O749="","",INDEX(jr_carrier,$O749)&amp;"")</f>
        <v/>
      </c>
      <c r="I749" s="66" t="str">
        <f>IF(A749="","",COUNTIF(jr_num,A749))</f>
        <v/>
      </c>
      <c r="J749" s="66" t="str">
        <f>IF(A749="","",SUMIF(jr_num,A749,jr_colis))</f>
        <v/>
      </c>
      <c r="K749" s="63" t="str">
        <f>IF(A749="","",SUMIF(jr_num,A749,jr_kg))</f>
        <v/>
      </c>
      <c r="L749" s="64" t="str">
        <f>IF(A749="","",SUMIF(jr_num,A749,jr_val))</f>
        <v/>
      </c>
      <c r="M749" s="60" t="str">
        <f>IF(A749="","",IF(COUNTIFS(jr_num,A749,jr_check,"&lt;&gt;OK")&gt;0,"À vérifier",IF(LEFT(A749,2)="BL",IF(COUNTIFS(jr_num,A749,jr_rel,"&gt;0")&gt;0,"Reliquat en cours",IF(COUNTIFS(jr_num,A749,jr_gap,"&lt;0")&gt;0,"Reliquat livré","Complet")),IF(LEFT(A749,2)="BR",IF(COUNTIFS(jr_num,A749,jr_etat,"Refusé")&gt;0,"Refusé",IF(COUNTIFS(jr_num,A749,jr_etat,"Avec réserves")&gt;0,"Avec réserves",IF(COUNTIFS(jr_num,A749,jr_rel,"&gt;0")&gt;0,"Reliquat en cours",IF(COUNTIFS(jr_num,A749,jr_gap,"&lt;0")+COUNTIFS(jr_num,A749,jr_gap,"&gt;0")&gt;0,"Écart","Conforme")))),IF(COUNTIFS(jr_num,A749,jr_gap,"&lt;0")&gt;0,"Partiel","Sorti")))))</f>
        <v/>
      </c>
      <c r="O749" t="str">
        <f>IFERROR(MATCH(744,jr_grank,0),"")</f>
        <v/>
      </c>
      <c r="R749" s="67" t="str">
        <f>IFERROR(INDEX(jr_num,MATCH("BL744",jr_nkey,0))&amp;"","")</f>
        <v/>
      </c>
      <c r="S749" s="67" t="str">
        <f>IFERROR(INDEX(jr_num,MATCH("BR744",jr_nkey,0))&amp;"","")</f>
        <v/>
      </c>
      <c r="T749" s="67" t="str">
        <f>IFERROR(INDEX(jr_num,MATCH("BS744",jr_nkey,0))&amp;"","")</f>
        <v/>
      </c>
    </row>
    <row r="750">
      <c r="A750" s="60" t="str">
        <f>IF($O750="","",INDEX(jr_num,$O750)&amp;"")</f>
        <v/>
      </c>
      <c r="B750" s="60" t="str">
        <f>IF($O750="","",IF(INDEX(jr_type,$O750)="BL","Livraison",IF(INDEX(jr_type,$O750)="BR","Réception","Sortie")))</f>
        <v/>
      </c>
      <c r="C750" s="65" t="str">
        <f>IF($O750="","",INDEX(jr_date,$O750))</f>
        <v/>
      </c>
      <c r="D750" s="60" t="str">
        <f>IF($O750="","",INDEX(jr_tiers,$O750)&amp;"")</f>
        <v/>
      </c>
      <c r="E750" s="57" t="str">
        <f>IF($O750="","",INDEX(jr_name,$O750)&amp;"")</f>
        <v/>
      </c>
      <c r="F750" s="57" t="str">
        <f>IF($O750="","",INDEX(jr_order,$O750)&amp;"")</f>
        <v/>
      </c>
      <c r="G750" s="57" t="str">
        <f>IF($O750="","",INDEX(jr_ext,$O750)&amp;"")</f>
        <v/>
      </c>
      <c r="H750" s="57" t="str">
        <f>IF($O750="","",INDEX(jr_carrier,$O750)&amp;"")</f>
        <v/>
      </c>
      <c r="I750" s="66" t="str">
        <f>IF(A750="","",COUNTIF(jr_num,A750))</f>
        <v/>
      </c>
      <c r="J750" s="66" t="str">
        <f>IF(A750="","",SUMIF(jr_num,A750,jr_colis))</f>
        <v/>
      </c>
      <c r="K750" s="63" t="str">
        <f>IF(A750="","",SUMIF(jr_num,A750,jr_kg))</f>
        <v/>
      </c>
      <c r="L750" s="64" t="str">
        <f>IF(A750="","",SUMIF(jr_num,A750,jr_val))</f>
        <v/>
      </c>
      <c r="M750" s="60" t="str">
        <f>IF(A750="","",IF(COUNTIFS(jr_num,A750,jr_check,"&lt;&gt;OK")&gt;0,"À vérifier",IF(LEFT(A750,2)="BL",IF(COUNTIFS(jr_num,A750,jr_rel,"&gt;0")&gt;0,"Reliquat en cours",IF(COUNTIFS(jr_num,A750,jr_gap,"&lt;0")&gt;0,"Reliquat livré","Complet")),IF(LEFT(A750,2)="BR",IF(COUNTIFS(jr_num,A750,jr_etat,"Refusé")&gt;0,"Refusé",IF(COUNTIFS(jr_num,A750,jr_etat,"Avec réserves")&gt;0,"Avec réserves",IF(COUNTIFS(jr_num,A750,jr_rel,"&gt;0")&gt;0,"Reliquat en cours",IF(COUNTIFS(jr_num,A750,jr_gap,"&lt;0")+COUNTIFS(jr_num,A750,jr_gap,"&gt;0")&gt;0,"Écart","Conforme")))),IF(COUNTIFS(jr_num,A750,jr_gap,"&lt;0")&gt;0,"Partiel","Sorti")))))</f>
        <v/>
      </c>
      <c r="O750" t="str">
        <f>IFERROR(MATCH(745,jr_grank,0),"")</f>
        <v/>
      </c>
      <c r="R750" s="67" t="str">
        <f>IFERROR(INDEX(jr_num,MATCH("BL745",jr_nkey,0))&amp;"","")</f>
        <v/>
      </c>
      <c r="S750" s="67" t="str">
        <f>IFERROR(INDEX(jr_num,MATCH("BR745",jr_nkey,0))&amp;"","")</f>
        <v/>
      </c>
      <c r="T750" s="67" t="str">
        <f>IFERROR(INDEX(jr_num,MATCH("BS745",jr_nkey,0))&amp;"","")</f>
        <v/>
      </c>
    </row>
    <row r="751">
      <c r="A751" s="60" t="str">
        <f>IF($O751="","",INDEX(jr_num,$O751)&amp;"")</f>
        <v/>
      </c>
      <c r="B751" s="60" t="str">
        <f>IF($O751="","",IF(INDEX(jr_type,$O751)="BL","Livraison",IF(INDEX(jr_type,$O751)="BR","Réception","Sortie")))</f>
        <v/>
      </c>
      <c r="C751" s="65" t="str">
        <f>IF($O751="","",INDEX(jr_date,$O751))</f>
        <v/>
      </c>
      <c r="D751" s="60" t="str">
        <f>IF($O751="","",INDEX(jr_tiers,$O751)&amp;"")</f>
        <v/>
      </c>
      <c r="E751" s="57" t="str">
        <f>IF($O751="","",INDEX(jr_name,$O751)&amp;"")</f>
        <v/>
      </c>
      <c r="F751" s="57" t="str">
        <f>IF($O751="","",INDEX(jr_order,$O751)&amp;"")</f>
        <v/>
      </c>
      <c r="G751" s="57" t="str">
        <f>IF($O751="","",INDEX(jr_ext,$O751)&amp;"")</f>
        <v/>
      </c>
      <c r="H751" s="57" t="str">
        <f>IF($O751="","",INDEX(jr_carrier,$O751)&amp;"")</f>
        <v/>
      </c>
      <c r="I751" s="66" t="str">
        <f>IF(A751="","",COUNTIF(jr_num,A751))</f>
        <v/>
      </c>
      <c r="J751" s="66" t="str">
        <f>IF(A751="","",SUMIF(jr_num,A751,jr_colis))</f>
        <v/>
      </c>
      <c r="K751" s="63" t="str">
        <f>IF(A751="","",SUMIF(jr_num,A751,jr_kg))</f>
        <v/>
      </c>
      <c r="L751" s="64" t="str">
        <f>IF(A751="","",SUMIF(jr_num,A751,jr_val))</f>
        <v/>
      </c>
      <c r="M751" s="60" t="str">
        <f>IF(A751="","",IF(COUNTIFS(jr_num,A751,jr_check,"&lt;&gt;OK")&gt;0,"À vérifier",IF(LEFT(A751,2)="BL",IF(COUNTIFS(jr_num,A751,jr_rel,"&gt;0")&gt;0,"Reliquat en cours",IF(COUNTIFS(jr_num,A751,jr_gap,"&lt;0")&gt;0,"Reliquat livré","Complet")),IF(LEFT(A751,2)="BR",IF(COUNTIFS(jr_num,A751,jr_etat,"Refusé")&gt;0,"Refusé",IF(COUNTIFS(jr_num,A751,jr_etat,"Avec réserves")&gt;0,"Avec réserves",IF(COUNTIFS(jr_num,A751,jr_rel,"&gt;0")&gt;0,"Reliquat en cours",IF(COUNTIFS(jr_num,A751,jr_gap,"&lt;0")+COUNTIFS(jr_num,A751,jr_gap,"&gt;0")&gt;0,"Écart","Conforme")))),IF(COUNTIFS(jr_num,A751,jr_gap,"&lt;0")&gt;0,"Partiel","Sorti")))))</f>
        <v/>
      </c>
      <c r="O751" t="str">
        <f>IFERROR(MATCH(746,jr_grank,0),"")</f>
        <v/>
      </c>
      <c r="R751" s="67" t="str">
        <f>IFERROR(INDEX(jr_num,MATCH("BL746",jr_nkey,0))&amp;"","")</f>
        <v/>
      </c>
      <c r="S751" s="67" t="str">
        <f>IFERROR(INDEX(jr_num,MATCH("BR746",jr_nkey,0))&amp;"","")</f>
        <v/>
      </c>
      <c r="T751" s="67" t="str">
        <f>IFERROR(INDEX(jr_num,MATCH("BS746",jr_nkey,0))&amp;"","")</f>
        <v/>
      </c>
    </row>
    <row r="752">
      <c r="A752" s="60" t="str">
        <f>IF($O752="","",INDEX(jr_num,$O752)&amp;"")</f>
        <v/>
      </c>
      <c r="B752" s="60" t="str">
        <f>IF($O752="","",IF(INDEX(jr_type,$O752)="BL","Livraison",IF(INDEX(jr_type,$O752)="BR","Réception","Sortie")))</f>
        <v/>
      </c>
      <c r="C752" s="65" t="str">
        <f>IF($O752="","",INDEX(jr_date,$O752))</f>
        <v/>
      </c>
      <c r="D752" s="60" t="str">
        <f>IF($O752="","",INDEX(jr_tiers,$O752)&amp;"")</f>
        <v/>
      </c>
      <c r="E752" s="57" t="str">
        <f>IF($O752="","",INDEX(jr_name,$O752)&amp;"")</f>
        <v/>
      </c>
      <c r="F752" s="57" t="str">
        <f>IF($O752="","",INDEX(jr_order,$O752)&amp;"")</f>
        <v/>
      </c>
      <c r="G752" s="57" t="str">
        <f>IF($O752="","",INDEX(jr_ext,$O752)&amp;"")</f>
        <v/>
      </c>
      <c r="H752" s="57" t="str">
        <f>IF($O752="","",INDEX(jr_carrier,$O752)&amp;"")</f>
        <v/>
      </c>
      <c r="I752" s="66" t="str">
        <f>IF(A752="","",COUNTIF(jr_num,A752))</f>
        <v/>
      </c>
      <c r="J752" s="66" t="str">
        <f>IF(A752="","",SUMIF(jr_num,A752,jr_colis))</f>
        <v/>
      </c>
      <c r="K752" s="63" t="str">
        <f>IF(A752="","",SUMIF(jr_num,A752,jr_kg))</f>
        <v/>
      </c>
      <c r="L752" s="64" t="str">
        <f>IF(A752="","",SUMIF(jr_num,A752,jr_val))</f>
        <v/>
      </c>
      <c r="M752" s="60" t="str">
        <f>IF(A752="","",IF(COUNTIFS(jr_num,A752,jr_check,"&lt;&gt;OK")&gt;0,"À vérifier",IF(LEFT(A752,2)="BL",IF(COUNTIFS(jr_num,A752,jr_rel,"&gt;0")&gt;0,"Reliquat en cours",IF(COUNTIFS(jr_num,A752,jr_gap,"&lt;0")&gt;0,"Reliquat livré","Complet")),IF(LEFT(A752,2)="BR",IF(COUNTIFS(jr_num,A752,jr_etat,"Refusé")&gt;0,"Refusé",IF(COUNTIFS(jr_num,A752,jr_etat,"Avec réserves")&gt;0,"Avec réserves",IF(COUNTIFS(jr_num,A752,jr_rel,"&gt;0")&gt;0,"Reliquat en cours",IF(COUNTIFS(jr_num,A752,jr_gap,"&lt;0")+COUNTIFS(jr_num,A752,jr_gap,"&gt;0")&gt;0,"Écart","Conforme")))),IF(COUNTIFS(jr_num,A752,jr_gap,"&lt;0")&gt;0,"Partiel","Sorti")))))</f>
        <v/>
      </c>
      <c r="O752" t="str">
        <f>IFERROR(MATCH(747,jr_grank,0),"")</f>
        <v/>
      </c>
      <c r="R752" s="67" t="str">
        <f>IFERROR(INDEX(jr_num,MATCH("BL747",jr_nkey,0))&amp;"","")</f>
        <v/>
      </c>
      <c r="S752" s="67" t="str">
        <f>IFERROR(INDEX(jr_num,MATCH("BR747",jr_nkey,0))&amp;"","")</f>
        <v/>
      </c>
      <c r="T752" s="67" t="str">
        <f>IFERROR(INDEX(jr_num,MATCH("BS747",jr_nkey,0))&amp;"","")</f>
        <v/>
      </c>
    </row>
    <row r="753">
      <c r="A753" s="60" t="str">
        <f>IF($O753="","",INDEX(jr_num,$O753)&amp;"")</f>
        <v/>
      </c>
      <c r="B753" s="60" t="str">
        <f>IF($O753="","",IF(INDEX(jr_type,$O753)="BL","Livraison",IF(INDEX(jr_type,$O753)="BR","Réception","Sortie")))</f>
        <v/>
      </c>
      <c r="C753" s="65" t="str">
        <f>IF($O753="","",INDEX(jr_date,$O753))</f>
        <v/>
      </c>
      <c r="D753" s="60" t="str">
        <f>IF($O753="","",INDEX(jr_tiers,$O753)&amp;"")</f>
        <v/>
      </c>
      <c r="E753" s="57" t="str">
        <f>IF($O753="","",INDEX(jr_name,$O753)&amp;"")</f>
        <v/>
      </c>
      <c r="F753" s="57" t="str">
        <f>IF($O753="","",INDEX(jr_order,$O753)&amp;"")</f>
        <v/>
      </c>
      <c r="G753" s="57" t="str">
        <f>IF($O753="","",INDEX(jr_ext,$O753)&amp;"")</f>
        <v/>
      </c>
      <c r="H753" s="57" t="str">
        <f>IF($O753="","",INDEX(jr_carrier,$O753)&amp;"")</f>
        <v/>
      </c>
      <c r="I753" s="66" t="str">
        <f>IF(A753="","",COUNTIF(jr_num,A753))</f>
        <v/>
      </c>
      <c r="J753" s="66" t="str">
        <f>IF(A753="","",SUMIF(jr_num,A753,jr_colis))</f>
        <v/>
      </c>
      <c r="K753" s="63" t="str">
        <f>IF(A753="","",SUMIF(jr_num,A753,jr_kg))</f>
        <v/>
      </c>
      <c r="L753" s="64" t="str">
        <f>IF(A753="","",SUMIF(jr_num,A753,jr_val))</f>
        <v/>
      </c>
      <c r="M753" s="60" t="str">
        <f>IF(A753="","",IF(COUNTIFS(jr_num,A753,jr_check,"&lt;&gt;OK")&gt;0,"À vérifier",IF(LEFT(A753,2)="BL",IF(COUNTIFS(jr_num,A753,jr_rel,"&gt;0")&gt;0,"Reliquat en cours",IF(COUNTIFS(jr_num,A753,jr_gap,"&lt;0")&gt;0,"Reliquat livré","Complet")),IF(LEFT(A753,2)="BR",IF(COUNTIFS(jr_num,A753,jr_etat,"Refusé")&gt;0,"Refusé",IF(COUNTIFS(jr_num,A753,jr_etat,"Avec réserves")&gt;0,"Avec réserves",IF(COUNTIFS(jr_num,A753,jr_rel,"&gt;0")&gt;0,"Reliquat en cours",IF(COUNTIFS(jr_num,A753,jr_gap,"&lt;0")+COUNTIFS(jr_num,A753,jr_gap,"&gt;0")&gt;0,"Écart","Conforme")))),IF(COUNTIFS(jr_num,A753,jr_gap,"&lt;0")&gt;0,"Partiel","Sorti")))))</f>
        <v/>
      </c>
      <c r="O753" t="str">
        <f>IFERROR(MATCH(748,jr_grank,0),"")</f>
        <v/>
      </c>
      <c r="R753" s="67" t="str">
        <f>IFERROR(INDEX(jr_num,MATCH("BL748",jr_nkey,0))&amp;"","")</f>
        <v/>
      </c>
      <c r="S753" s="67" t="str">
        <f>IFERROR(INDEX(jr_num,MATCH("BR748",jr_nkey,0))&amp;"","")</f>
        <v/>
      </c>
      <c r="T753" s="67" t="str">
        <f>IFERROR(INDEX(jr_num,MATCH("BS748",jr_nkey,0))&amp;"","")</f>
        <v/>
      </c>
    </row>
    <row r="754">
      <c r="A754" s="60" t="str">
        <f>IF($O754="","",INDEX(jr_num,$O754)&amp;"")</f>
        <v/>
      </c>
      <c r="B754" s="60" t="str">
        <f>IF($O754="","",IF(INDEX(jr_type,$O754)="BL","Livraison",IF(INDEX(jr_type,$O754)="BR","Réception","Sortie")))</f>
        <v/>
      </c>
      <c r="C754" s="65" t="str">
        <f>IF($O754="","",INDEX(jr_date,$O754))</f>
        <v/>
      </c>
      <c r="D754" s="60" t="str">
        <f>IF($O754="","",INDEX(jr_tiers,$O754)&amp;"")</f>
        <v/>
      </c>
      <c r="E754" s="57" t="str">
        <f>IF($O754="","",INDEX(jr_name,$O754)&amp;"")</f>
        <v/>
      </c>
      <c r="F754" s="57" t="str">
        <f>IF($O754="","",INDEX(jr_order,$O754)&amp;"")</f>
        <v/>
      </c>
      <c r="G754" s="57" t="str">
        <f>IF($O754="","",INDEX(jr_ext,$O754)&amp;"")</f>
        <v/>
      </c>
      <c r="H754" s="57" t="str">
        <f>IF($O754="","",INDEX(jr_carrier,$O754)&amp;"")</f>
        <v/>
      </c>
      <c r="I754" s="66" t="str">
        <f>IF(A754="","",COUNTIF(jr_num,A754))</f>
        <v/>
      </c>
      <c r="J754" s="66" t="str">
        <f>IF(A754="","",SUMIF(jr_num,A754,jr_colis))</f>
        <v/>
      </c>
      <c r="K754" s="63" t="str">
        <f>IF(A754="","",SUMIF(jr_num,A754,jr_kg))</f>
        <v/>
      </c>
      <c r="L754" s="64" t="str">
        <f>IF(A754="","",SUMIF(jr_num,A754,jr_val))</f>
        <v/>
      </c>
      <c r="M754" s="60" t="str">
        <f>IF(A754="","",IF(COUNTIFS(jr_num,A754,jr_check,"&lt;&gt;OK")&gt;0,"À vérifier",IF(LEFT(A754,2)="BL",IF(COUNTIFS(jr_num,A754,jr_rel,"&gt;0")&gt;0,"Reliquat en cours",IF(COUNTIFS(jr_num,A754,jr_gap,"&lt;0")&gt;0,"Reliquat livré","Complet")),IF(LEFT(A754,2)="BR",IF(COUNTIFS(jr_num,A754,jr_etat,"Refusé")&gt;0,"Refusé",IF(COUNTIFS(jr_num,A754,jr_etat,"Avec réserves")&gt;0,"Avec réserves",IF(COUNTIFS(jr_num,A754,jr_rel,"&gt;0")&gt;0,"Reliquat en cours",IF(COUNTIFS(jr_num,A754,jr_gap,"&lt;0")+COUNTIFS(jr_num,A754,jr_gap,"&gt;0")&gt;0,"Écart","Conforme")))),IF(COUNTIFS(jr_num,A754,jr_gap,"&lt;0")&gt;0,"Partiel","Sorti")))))</f>
        <v/>
      </c>
      <c r="O754" t="str">
        <f>IFERROR(MATCH(749,jr_grank,0),"")</f>
        <v/>
      </c>
      <c r="R754" s="67" t="str">
        <f>IFERROR(INDEX(jr_num,MATCH("BL749",jr_nkey,0))&amp;"","")</f>
        <v/>
      </c>
      <c r="S754" s="67" t="str">
        <f>IFERROR(INDEX(jr_num,MATCH("BR749",jr_nkey,0))&amp;"","")</f>
        <v/>
      </c>
      <c r="T754" s="67" t="str">
        <f>IFERROR(INDEX(jr_num,MATCH("BS749",jr_nkey,0))&amp;"","")</f>
        <v/>
      </c>
    </row>
    <row r="755">
      <c r="A755" s="60" t="str">
        <f>IF($O755="","",INDEX(jr_num,$O755)&amp;"")</f>
        <v/>
      </c>
      <c r="B755" s="60" t="str">
        <f>IF($O755="","",IF(INDEX(jr_type,$O755)="BL","Livraison",IF(INDEX(jr_type,$O755)="BR","Réception","Sortie")))</f>
        <v/>
      </c>
      <c r="C755" s="65" t="str">
        <f>IF($O755="","",INDEX(jr_date,$O755))</f>
        <v/>
      </c>
      <c r="D755" s="60" t="str">
        <f>IF($O755="","",INDEX(jr_tiers,$O755)&amp;"")</f>
        <v/>
      </c>
      <c r="E755" s="57" t="str">
        <f>IF($O755="","",INDEX(jr_name,$O755)&amp;"")</f>
        <v/>
      </c>
      <c r="F755" s="57" t="str">
        <f>IF($O755="","",INDEX(jr_order,$O755)&amp;"")</f>
        <v/>
      </c>
      <c r="G755" s="57" t="str">
        <f>IF($O755="","",INDEX(jr_ext,$O755)&amp;"")</f>
        <v/>
      </c>
      <c r="H755" s="57" t="str">
        <f>IF($O755="","",INDEX(jr_carrier,$O755)&amp;"")</f>
        <v/>
      </c>
      <c r="I755" s="66" t="str">
        <f>IF(A755="","",COUNTIF(jr_num,A755))</f>
        <v/>
      </c>
      <c r="J755" s="66" t="str">
        <f>IF(A755="","",SUMIF(jr_num,A755,jr_colis))</f>
        <v/>
      </c>
      <c r="K755" s="63" t="str">
        <f>IF(A755="","",SUMIF(jr_num,A755,jr_kg))</f>
        <v/>
      </c>
      <c r="L755" s="64" t="str">
        <f>IF(A755="","",SUMIF(jr_num,A755,jr_val))</f>
        <v/>
      </c>
      <c r="M755" s="60" t="str">
        <f>IF(A755="","",IF(COUNTIFS(jr_num,A755,jr_check,"&lt;&gt;OK")&gt;0,"À vérifier",IF(LEFT(A755,2)="BL",IF(COUNTIFS(jr_num,A755,jr_rel,"&gt;0")&gt;0,"Reliquat en cours",IF(COUNTIFS(jr_num,A755,jr_gap,"&lt;0")&gt;0,"Reliquat livré","Complet")),IF(LEFT(A755,2)="BR",IF(COUNTIFS(jr_num,A755,jr_etat,"Refusé")&gt;0,"Refusé",IF(COUNTIFS(jr_num,A755,jr_etat,"Avec réserves")&gt;0,"Avec réserves",IF(COUNTIFS(jr_num,A755,jr_rel,"&gt;0")&gt;0,"Reliquat en cours",IF(COUNTIFS(jr_num,A755,jr_gap,"&lt;0")+COUNTIFS(jr_num,A755,jr_gap,"&gt;0")&gt;0,"Écart","Conforme")))),IF(COUNTIFS(jr_num,A755,jr_gap,"&lt;0")&gt;0,"Partiel","Sorti")))))</f>
        <v/>
      </c>
      <c r="O755" t="str">
        <f>IFERROR(MATCH(750,jr_grank,0),"")</f>
        <v/>
      </c>
      <c r="R755" s="67" t="str">
        <f>IFERROR(INDEX(jr_num,MATCH("BL750",jr_nkey,0))&amp;"","")</f>
        <v/>
      </c>
      <c r="S755" s="67" t="str">
        <f>IFERROR(INDEX(jr_num,MATCH("BR750",jr_nkey,0))&amp;"","")</f>
        <v/>
      </c>
      <c r="T755" s="67" t="str">
        <f>IFERROR(INDEX(jr_num,MATCH("BS750",jr_nkey,0))&amp;"","")</f>
        <v/>
      </c>
    </row>
    <row r="756">
      <c r="A756" s="60" t="str">
        <f>IF($O756="","",INDEX(jr_num,$O756)&amp;"")</f>
        <v/>
      </c>
      <c r="B756" s="60" t="str">
        <f>IF($O756="","",IF(INDEX(jr_type,$O756)="BL","Livraison",IF(INDEX(jr_type,$O756)="BR","Réception","Sortie")))</f>
        <v/>
      </c>
      <c r="C756" s="65" t="str">
        <f>IF($O756="","",INDEX(jr_date,$O756))</f>
        <v/>
      </c>
      <c r="D756" s="60" t="str">
        <f>IF($O756="","",INDEX(jr_tiers,$O756)&amp;"")</f>
        <v/>
      </c>
      <c r="E756" s="57" t="str">
        <f>IF($O756="","",INDEX(jr_name,$O756)&amp;"")</f>
        <v/>
      </c>
      <c r="F756" s="57" t="str">
        <f>IF($O756="","",INDEX(jr_order,$O756)&amp;"")</f>
        <v/>
      </c>
      <c r="G756" s="57" t="str">
        <f>IF($O756="","",INDEX(jr_ext,$O756)&amp;"")</f>
        <v/>
      </c>
      <c r="H756" s="57" t="str">
        <f>IF($O756="","",INDEX(jr_carrier,$O756)&amp;"")</f>
        <v/>
      </c>
      <c r="I756" s="66" t="str">
        <f>IF(A756="","",COUNTIF(jr_num,A756))</f>
        <v/>
      </c>
      <c r="J756" s="66" t="str">
        <f>IF(A756="","",SUMIF(jr_num,A756,jr_colis))</f>
        <v/>
      </c>
      <c r="K756" s="63" t="str">
        <f>IF(A756="","",SUMIF(jr_num,A756,jr_kg))</f>
        <v/>
      </c>
      <c r="L756" s="64" t="str">
        <f>IF(A756="","",SUMIF(jr_num,A756,jr_val))</f>
        <v/>
      </c>
      <c r="M756" s="60" t="str">
        <f>IF(A756="","",IF(COUNTIFS(jr_num,A756,jr_check,"&lt;&gt;OK")&gt;0,"À vérifier",IF(LEFT(A756,2)="BL",IF(COUNTIFS(jr_num,A756,jr_rel,"&gt;0")&gt;0,"Reliquat en cours",IF(COUNTIFS(jr_num,A756,jr_gap,"&lt;0")&gt;0,"Reliquat livré","Complet")),IF(LEFT(A756,2)="BR",IF(COUNTIFS(jr_num,A756,jr_etat,"Refusé")&gt;0,"Refusé",IF(COUNTIFS(jr_num,A756,jr_etat,"Avec réserves")&gt;0,"Avec réserves",IF(COUNTIFS(jr_num,A756,jr_rel,"&gt;0")&gt;0,"Reliquat en cours",IF(COUNTIFS(jr_num,A756,jr_gap,"&lt;0")+COUNTIFS(jr_num,A756,jr_gap,"&gt;0")&gt;0,"Écart","Conforme")))),IF(COUNTIFS(jr_num,A756,jr_gap,"&lt;0")&gt;0,"Partiel","Sorti")))))</f>
        <v/>
      </c>
      <c r="O756" t="str">
        <f>IFERROR(MATCH(751,jr_grank,0),"")</f>
        <v/>
      </c>
      <c r="R756" s="67" t="str">
        <f>IFERROR(INDEX(jr_num,MATCH("BL751",jr_nkey,0))&amp;"","")</f>
        <v/>
      </c>
      <c r="S756" s="67" t="str">
        <f>IFERROR(INDEX(jr_num,MATCH("BR751",jr_nkey,0))&amp;"","")</f>
        <v/>
      </c>
      <c r="T756" s="67" t="str">
        <f>IFERROR(INDEX(jr_num,MATCH("BS751",jr_nkey,0))&amp;"","")</f>
        <v/>
      </c>
    </row>
    <row r="757">
      <c r="A757" s="60" t="str">
        <f>IF($O757="","",INDEX(jr_num,$O757)&amp;"")</f>
        <v/>
      </c>
      <c r="B757" s="60" t="str">
        <f>IF($O757="","",IF(INDEX(jr_type,$O757)="BL","Livraison",IF(INDEX(jr_type,$O757)="BR","Réception","Sortie")))</f>
        <v/>
      </c>
      <c r="C757" s="65" t="str">
        <f>IF($O757="","",INDEX(jr_date,$O757))</f>
        <v/>
      </c>
      <c r="D757" s="60" t="str">
        <f>IF($O757="","",INDEX(jr_tiers,$O757)&amp;"")</f>
        <v/>
      </c>
      <c r="E757" s="57" t="str">
        <f>IF($O757="","",INDEX(jr_name,$O757)&amp;"")</f>
        <v/>
      </c>
      <c r="F757" s="57" t="str">
        <f>IF($O757="","",INDEX(jr_order,$O757)&amp;"")</f>
        <v/>
      </c>
      <c r="G757" s="57" t="str">
        <f>IF($O757="","",INDEX(jr_ext,$O757)&amp;"")</f>
        <v/>
      </c>
      <c r="H757" s="57" t="str">
        <f>IF($O757="","",INDEX(jr_carrier,$O757)&amp;"")</f>
        <v/>
      </c>
      <c r="I757" s="66" t="str">
        <f>IF(A757="","",COUNTIF(jr_num,A757))</f>
        <v/>
      </c>
      <c r="J757" s="66" t="str">
        <f>IF(A757="","",SUMIF(jr_num,A757,jr_colis))</f>
        <v/>
      </c>
      <c r="K757" s="63" t="str">
        <f>IF(A757="","",SUMIF(jr_num,A757,jr_kg))</f>
        <v/>
      </c>
      <c r="L757" s="64" t="str">
        <f>IF(A757="","",SUMIF(jr_num,A757,jr_val))</f>
        <v/>
      </c>
      <c r="M757" s="60" t="str">
        <f>IF(A757="","",IF(COUNTIFS(jr_num,A757,jr_check,"&lt;&gt;OK")&gt;0,"À vérifier",IF(LEFT(A757,2)="BL",IF(COUNTIFS(jr_num,A757,jr_rel,"&gt;0")&gt;0,"Reliquat en cours",IF(COUNTIFS(jr_num,A757,jr_gap,"&lt;0")&gt;0,"Reliquat livré","Complet")),IF(LEFT(A757,2)="BR",IF(COUNTIFS(jr_num,A757,jr_etat,"Refusé")&gt;0,"Refusé",IF(COUNTIFS(jr_num,A757,jr_etat,"Avec réserves")&gt;0,"Avec réserves",IF(COUNTIFS(jr_num,A757,jr_rel,"&gt;0")&gt;0,"Reliquat en cours",IF(COUNTIFS(jr_num,A757,jr_gap,"&lt;0")+COUNTIFS(jr_num,A757,jr_gap,"&gt;0")&gt;0,"Écart","Conforme")))),IF(COUNTIFS(jr_num,A757,jr_gap,"&lt;0")&gt;0,"Partiel","Sorti")))))</f>
        <v/>
      </c>
      <c r="O757" t="str">
        <f>IFERROR(MATCH(752,jr_grank,0),"")</f>
        <v/>
      </c>
      <c r="R757" s="67" t="str">
        <f>IFERROR(INDEX(jr_num,MATCH("BL752",jr_nkey,0))&amp;"","")</f>
        <v/>
      </c>
      <c r="S757" s="67" t="str">
        <f>IFERROR(INDEX(jr_num,MATCH("BR752",jr_nkey,0))&amp;"","")</f>
        <v/>
      </c>
      <c r="T757" s="67" t="str">
        <f>IFERROR(INDEX(jr_num,MATCH("BS752",jr_nkey,0))&amp;"","")</f>
        <v/>
      </c>
    </row>
    <row r="758">
      <c r="A758" s="60" t="str">
        <f>IF($O758="","",INDEX(jr_num,$O758)&amp;"")</f>
        <v/>
      </c>
      <c r="B758" s="60" t="str">
        <f>IF($O758="","",IF(INDEX(jr_type,$O758)="BL","Livraison",IF(INDEX(jr_type,$O758)="BR","Réception","Sortie")))</f>
        <v/>
      </c>
      <c r="C758" s="65" t="str">
        <f>IF($O758="","",INDEX(jr_date,$O758))</f>
        <v/>
      </c>
      <c r="D758" s="60" t="str">
        <f>IF($O758="","",INDEX(jr_tiers,$O758)&amp;"")</f>
        <v/>
      </c>
      <c r="E758" s="57" t="str">
        <f>IF($O758="","",INDEX(jr_name,$O758)&amp;"")</f>
        <v/>
      </c>
      <c r="F758" s="57" t="str">
        <f>IF($O758="","",INDEX(jr_order,$O758)&amp;"")</f>
        <v/>
      </c>
      <c r="G758" s="57" t="str">
        <f>IF($O758="","",INDEX(jr_ext,$O758)&amp;"")</f>
        <v/>
      </c>
      <c r="H758" s="57" t="str">
        <f>IF($O758="","",INDEX(jr_carrier,$O758)&amp;"")</f>
        <v/>
      </c>
      <c r="I758" s="66" t="str">
        <f>IF(A758="","",COUNTIF(jr_num,A758))</f>
        <v/>
      </c>
      <c r="J758" s="66" t="str">
        <f>IF(A758="","",SUMIF(jr_num,A758,jr_colis))</f>
        <v/>
      </c>
      <c r="K758" s="63" t="str">
        <f>IF(A758="","",SUMIF(jr_num,A758,jr_kg))</f>
        <v/>
      </c>
      <c r="L758" s="64" t="str">
        <f>IF(A758="","",SUMIF(jr_num,A758,jr_val))</f>
        <v/>
      </c>
      <c r="M758" s="60" t="str">
        <f>IF(A758="","",IF(COUNTIFS(jr_num,A758,jr_check,"&lt;&gt;OK")&gt;0,"À vérifier",IF(LEFT(A758,2)="BL",IF(COUNTIFS(jr_num,A758,jr_rel,"&gt;0")&gt;0,"Reliquat en cours",IF(COUNTIFS(jr_num,A758,jr_gap,"&lt;0")&gt;0,"Reliquat livré","Complet")),IF(LEFT(A758,2)="BR",IF(COUNTIFS(jr_num,A758,jr_etat,"Refusé")&gt;0,"Refusé",IF(COUNTIFS(jr_num,A758,jr_etat,"Avec réserves")&gt;0,"Avec réserves",IF(COUNTIFS(jr_num,A758,jr_rel,"&gt;0")&gt;0,"Reliquat en cours",IF(COUNTIFS(jr_num,A758,jr_gap,"&lt;0")+COUNTIFS(jr_num,A758,jr_gap,"&gt;0")&gt;0,"Écart","Conforme")))),IF(COUNTIFS(jr_num,A758,jr_gap,"&lt;0")&gt;0,"Partiel","Sorti")))))</f>
        <v/>
      </c>
      <c r="O758" t="str">
        <f>IFERROR(MATCH(753,jr_grank,0),"")</f>
        <v/>
      </c>
      <c r="R758" s="67" t="str">
        <f>IFERROR(INDEX(jr_num,MATCH("BL753",jr_nkey,0))&amp;"","")</f>
        <v/>
      </c>
      <c r="S758" s="67" t="str">
        <f>IFERROR(INDEX(jr_num,MATCH("BR753",jr_nkey,0))&amp;"","")</f>
        <v/>
      </c>
      <c r="T758" s="67" t="str">
        <f>IFERROR(INDEX(jr_num,MATCH("BS753",jr_nkey,0))&amp;"","")</f>
        <v/>
      </c>
    </row>
    <row r="759">
      <c r="A759" s="60" t="str">
        <f>IF($O759="","",INDEX(jr_num,$O759)&amp;"")</f>
        <v/>
      </c>
      <c r="B759" s="60" t="str">
        <f>IF($O759="","",IF(INDEX(jr_type,$O759)="BL","Livraison",IF(INDEX(jr_type,$O759)="BR","Réception","Sortie")))</f>
        <v/>
      </c>
      <c r="C759" s="65" t="str">
        <f>IF($O759="","",INDEX(jr_date,$O759))</f>
        <v/>
      </c>
      <c r="D759" s="60" t="str">
        <f>IF($O759="","",INDEX(jr_tiers,$O759)&amp;"")</f>
        <v/>
      </c>
      <c r="E759" s="57" t="str">
        <f>IF($O759="","",INDEX(jr_name,$O759)&amp;"")</f>
        <v/>
      </c>
      <c r="F759" s="57" t="str">
        <f>IF($O759="","",INDEX(jr_order,$O759)&amp;"")</f>
        <v/>
      </c>
      <c r="G759" s="57" t="str">
        <f>IF($O759="","",INDEX(jr_ext,$O759)&amp;"")</f>
        <v/>
      </c>
      <c r="H759" s="57" t="str">
        <f>IF($O759="","",INDEX(jr_carrier,$O759)&amp;"")</f>
        <v/>
      </c>
      <c r="I759" s="66" t="str">
        <f>IF(A759="","",COUNTIF(jr_num,A759))</f>
        <v/>
      </c>
      <c r="J759" s="66" t="str">
        <f>IF(A759="","",SUMIF(jr_num,A759,jr_colis))</f>
        <v/>
      </c>
      <c r="K759" s="63" t="str">
        <f>IF(A759="","",SUMIF(jr_num,A759,jr_kg))</f>
        <v/>
      </c>
      <c r="L759" s="64" t="str">
        <f>IF(A759="","",SUMIF(jr_num,A759,jr_val))</f>
        <v/>
      </c>
      <c r="M759" s="60" t="str">
        <f>IF(A759="","",IF(COUNTIFS(jr_num,A759,jr_check,"&lt;&gt;OK")&gt;0,"À vérifier",IF(LEFT(A759,2)="BL",IF(COUNTIFS(jr_num,A759,jr_rel,"&gt;0")&gt;0,"Reliquat en cours",IF(COUNTIFS(jr_num,A759,jr_gap,"&lt;0")&gt;0,"Reliquat livré","Complet")),IF(LEFT(A759,2)="BR",IF(COUNTIFS(jr_num,A759,jr_etat,"Refusé")&gt;0,"Refusé",IF(COUNTIFS(jr_num,A759,jr_etat,"Avec réserves")&gt;0,"Avec réserves",IF(COUNTIFS(jr_num,A759,jr_rel,"&gt;0")&gt;0,"Reliquat en cours",IF(COUNTIFS(jr_num,A759,jr_gap,"&lt;0")+COUNTIFS(jr_num,A759,jr_gap,"&gt;0")&gt;0,"Écart","Conforme")))),IF(COUNTIFS(jr_num,A759,jr_gap,"&lt;0")&gt;0,"Partiel","Sorti")))))</f>
        <v/>
      </c>
      <c r="O759" t="str">
        <f>IFERROR(MATCH(754,jr_grank,0),"")</f>
        <v/>
      </c>
      <c r="R759" s="67" t="str">
        <f>IFERROR(INDEX(jr_num,MATCH("BL754",jr_nkey,0))&amp;"","")</f>
        <v/>
      </c>
      <c r="S759" s="67" t="str">
        <f>IFERROR(INDEX(jr_num,MATCH("BR754",jr_nkey,0))&amp;"","")</f>
        <v/>
      </c>
      <c r="T759" s="67" t="str">
        <f>IFERROR(INDEX(jr_num,MATCH("BS754",jr_nkey,0))&amp;"","")</f>
        <v/>
      </c>
    </row>
    <row r="760">
      <c r="A760" s="60" t="str">
        <f>IF($O760="","",INDEX(jr_num,$O760)&amp;"")</f>
        <v/>
      </c>
      <c r="B760" s="60" t="str">
        <f>IF($O760="","",IF(INDEX(jr_type,$O760)="BL","Livraison",IF(INDEX(jr_type,$O760)="BR","Réception","Sortie")))</f>
        <v/>
      </c>
      <c r="C760" s="65" t="str">
        <f>IF($O760="","",INDEX(jr_date,$O760))</f>
        <v/>
      </c>
      <c r="D760" s="60" t="str">
        <f>IF($O760="","",INDEX(jr_tiers,$O760)&amp;"")</f>
        <v/>
      </c>
      <c r="E760" s="57" t="str">
        <f>IF($O760="","",INDEX(jr_name,$O760)&amp;"")</f>
        <v/>
      </c>
      <c r="F760" s="57" t="str">
        <f>IF($O760="","",INDEX(jr_order,$O760)&amp;"")</f>
        <v/>
      </c>
      <c r="G760" s="57" t="str">
        <f>IF($O760="","",INDEX(jr_ext,$O760)&amp;"")</f>
        <v/>
      </c>
      <c r="H760" s="57" t="str">
        <f>IF($O760="","",INDEX(jr_carrier,$O760)&amp;"")</f>
        <v/>
      </c>
      <c r="I760" s="66" t="str">
        <f>IF(A760="","",COUNTIF(jr_num,A760))</f>
        <v/>
      </c>
      <c r="J760" s="66" t="str">
        <f>IF(A760="","",SUMIF(jr_num,A760,jr_colis))</f>
        <v/>
      </c>
      <c r="K760" s="63" t="str">
        <f>IF(A760="","",SUMIF(jr_num,A760,jr_kg))</f>
        <v/>
      </c>
      <c r="L760" s="64" t="str">
        <f>IF(A760="","",SUMIF(jr_num,A760,jr_val))</f>
        <v/>
      </c>
      <c r="M760" s="60" t="str">
        <f>IF(A760="","",IF(COUNTIFS(jr_num,A760,jr_check,"&lt;&gt;OK")&gt;0,"À vérifier",IF(LEFT(A760,2)="BL",IF(COUNTIFS(jr_num,A760,jr_rel,"&gt;0")&gt;0,"Reliquat en cours",IF(COUNTIFS(jr_num,A760,jr_gap,"&lt;0")&gt;0,"Reliquat livré","Complet")),IF(LEFT(A760,2)="BR",IF(COUNTIFS(jr_num,A760,jr_etat,"Refusé")&gt;0,"Refusé",IF(COUNTIFS(jr_num,A760,jr_etat,"Avec réserves")&gt;0,"Avec réserves",IF(COUNTIFS(jr_num,A760,jr_rel,"&gt;0")&gt;0,"Reliquat en cours",IF(COUNTIFS(jr_num,A760,jr_gap,"&lt;0")+COUNTIFS(jr_num,A760,jr_gap,"&gt;0")&gt;0,"Écart","Conforme")))),IF(COUNTIFS(jr_num,A760,jr_gap,"&lt;0")&gt;0,"Partiel","Sorti")))))</f>
        <v/>
      </c>
      <c r="O760" t="str">
        <f>IFERROR(MATCH(755,jr_grank,0),"")</f>
        <v/>
      </c>
      <c r="R760" s="67" t="str">
        <f>IFERROR(INDEX(jr_num,MATCH("BL755",jr_nkey,0))&amp;"","")</f>
        <v/>
      </c>
      <c r="S760" s="67" t="str">
        <f>IFERROR(INDEX(jr_num,MATCH("BR755",jr_nkey,0))&amp;"","")</f>
        <v/>
      </c>
      <c r="T760" s="67" t="str">
        <f>IFERROR(INDEX(jr_num,MATCH("BS755",jr_nkey,0))&amp;"","")</f>
        <v/>
      </c>
    </row>
    <row r="761">
      <c r="A761" s="60" t="str">
        <f>IF($O761="","",INDEX(jr_num,$O761)&amp;"")</f>
        <v/>
      </c>
      <c r="B761" s="60" t="str">
        <f>IF($O761="","",IF(INDEX(jr_type,$O761)="BL","Livraison",IF(INDEX(jr_type,$O761)="BR","Réception","Sortie")))</f>
        <v/>
      </c>
      <c r="C761" s="65" t="str">
        <f>IF($O761="","",INDEX(jr_date,$O761))</f>
        <v/>
      </c>
      <c r="D761" s="60" t="str">
        <f>IF($O761="","",INDEX(jr_tiers,$O761)&amp;"")</f>
        <v/>
      </c>
      <c r="E761" s="57" t="str">
        <f>IF($O761="","",INDEX(jr_name,$O761)&amp;"")</f>
        <v/>
      </c>
      <c r="F761" s="57" t="str">
        <f>IF($O761="","",INDEX(jr_order,$O761)&amp;"")</f>
        <v/>
      </c>
      <c r="G761" s="57" t="str">
        <f>IF($O761="","",INDEX(jr_ext,$O761)&amp;"")</f>
        <v/>
      </c>
      <c r="H761" s="57" t="str">
        <f>IF($O761="","",INDEX(jr_carrier,$O761)&amp;"")</f>
        <v/>
      </c>
      <c r="I761" s="66" t="str">
        <f>IF(A761="","",COUNTIF(jr_num,A761))</f>
        <v/>
      </c>
      <c r="J761" s="66" t="str">
        <f>IF(A761="","",SUMIF(jr_num,A761,jr_colis))</f>
        <v/>
      </c>
      <c r="K761" s="63" t="str">
        <f>IF(A761="","",SUMIF(jr_num,A761,jr_kg))</f>
        <v/>
      </c>
      <c r="L761" s="64" t="str">
        <f>IF(A761="","",SUMIF(jr_num,A761,jr_val))</f>
        <v/>
      </c>
      <c r="M761" s="60" t="str">
        <f>IF(A761="","",IF(COUNTIFS(jr_num,A761,jr_check,"&lt;&gt;OK")&gt;0,"À vérifier",IF(LEFT(A761,2)="BL",IF(COUNTIFS(jr_num,A761,jr_rel,"&gt;0")&gt;0,"Reliquat en cours",IF(COUNTIFS(jr_num,A761,jr_gap,"&lt;0")&gt;0,"Reliquat livré","Complet")),IF(LEFT(A761,2)="BR",IF(COUNTIFS(jr_num,A761,jr_etat,"Refusé")&gt;0,"Refusé",IF(COUNTIFS(jr_num,A761,jr_etat,"Avec réserves")&gt;0,"Avec réserves",IF(COUNTIFS(jr_num,A761,jr_rel,"&gt;0")&gt;0,"Reliquat en cours",IF(COUNTIFS(jr_num,A761,jr_gap,"&lt;0")+COUNTIFS(jr_num,A761,jr_gap,"&gt;0")&gt;0,"Écart","Conforme")))),IF(COUNTIFS(jr_num,A761,jr_gap,"&lt;0")&gt;0,"Partiel","Sorti")))))</f>
        <v/>
      </c>
      <c r="O761" t="str">
        <f>IFERROR(MATCH(756,jr_grank,0),"")</f>
        <v/>
      </c>
      <c r="R761" s="67" t="str">
        <f>IFERROR(INDEX(jr_num,MATCH("BL756",jr_nkey,0))&amp;"","")</f>
        <v/>
      </c>
      <c r="S761" s="67" t="str">
        <f>IFERROR(INDEX(jr_num,MATCH("BR756",jr_nkey,0))&amp;"","")</f>
        <v/>
      </c>
      <c r="T761" s="67" t="str">
        <f>IFERROR(INDEX(jr_num,MATCH("BS756",jr_nkey,0))&amp;"","")</f>
        <v/>
      </c>
    </row>
    <row r="762">
      <c r="A762" s="60" t="str">
        <f>IF($O762="","",INDEX(jr_num,$O762)&amp;"")</f>
        <v/>
      </c>
      <c r="B762" s="60" t="str">
        <f>IF($O762="","",IF(INDEX(jr_type,$O762)="BL","Livraison",IF(INDEX(jr_type,$O762)="BR","Réception","Sortie")))</f>
        <v/>
      </c>
      <c r="C762" s="65" t="str">
        <f>IF($O762="","",INDEX(jr_date,$O762))</f>
        <v/>
      </c>
      <c r="D762" s="60" t="str">
        <f>IF($O762="","",INDEX(jr_tiers,$O762)&amp;"")</f>
        <v/>
      </c>
      <c r="E762" s="57" t="str">
        <f>IF($O762="","",INDEX(jr_name,$O762)&amp;"")</f>
        <v/>
      </c>
      <c r="F762" s="57" t="str">
        <f>IF($O762="","",INDEX(jr_order,$O762)&amp;"")</f>
        <v/>
      </c>
      <c r="G762" s="57" t="str">
        <f>IF($O762="","",INDEX(jr_ext,$O762)&amp;"")</f>
        <v/>
      </c>
      <c r="H762" s="57" t="str">
        <f>IF($O762="","",INDEX(jr_carrier,$O762)&amp;"")</f>
        <v/>
      </c>
      <c r="I762" s="66" t="str">
        <f>IF(A762="","",COUNTIF(jr_num,A762))</f>
        <v/>
      </c>
      <c r="J762" s="66" t="str">
        <f>IF(A762="","",SUMIF(jr_num,A762,jr_colis))</f>
        <v/>
      </c>
      <c r="K762" s="63" t="str">
        <f>IF(A762="","",SUMIF(jr_num,A762,jr_kg))</f>
        <v/>
      </c>
      <c r="L762" s="64" t="str">
        <f>IF(A762="","",SUMIF(jr_num,A762,jr_val))</f>
        <v/>
      </c>
      <c r="M762" s="60" t="str">
        <f>IF(A762="","",IF(COUNTIFS(jr_num,A762,jr_check,"&lt;&gt;OK")&gt;0,"À vérifier",IF(LEFT(A762,2)="BL",IF(COUNTIFS(jr_num,A762,jr_rel,"&gt;0")&gt;0,"Reliquat en cours",IF(COUNTIFS(jr_num,A762,jr_gap,"&lt;0")&gt;0,"Reliquat livré","Complet")),IF(LEFT(A762,2)="BR",IF(COUNTIFS(jr_num,A762,jr_etat,"Refusé")&gt;0,"Refusé",IF(COUNTIFS(jr_num,A762,jr_etat,"Avec réserves")&gt;0,"Avec réserves",IF(COUNTIFS(jr_num,A762,jr_rel,"&gt;0")&gt;0,"Reliquat en cours",IF(COUNTIFS(jr_num,A762,jr_gap,"&lt;0")+COUNTIFS(jr_num,A762,jr_gap,"&gt;0")&gt;0,"Écart","Conforme")))),IF(COUNTIFS(jr_num,A762,jr_gap,"&lt;0")&gt;0,"Partiel","Sorti")))))</f>
        <v/>
      </c>
      <c r="O762" t="str">
        <f>IFERROR(MATCH(757,jr_grank,0),"")</f>
        <v/>
      </c>
      <c r="R762" s="67" t="str">
        <f>IFERROR(INDEX(jr_num,MATCH("BL757",jr_nkey,0))&amp;"","")</f>
        <v/>
      </c>
      <c r="S762" s="67" t="str">
        <f>IFERROR(INDEX(jr_num,MATCH("BR757",jr_nkey,0))&amp;"","")</f>
        <v/>
      </c>
      <c r="T762" s="67" t="str">
        <f>IFERROR(INDEX(jr_num,MATCH("BS757",jr_nkey,0))&amp;"","")</f>
        <v/>
      </c>
    </row>
    <row r="763">
      <c r="A763" s="60" t="str">
        <f>IF($O763="","",INDEX(jr_num,$O763)&amp;"")</f>
        <v/>
      </c>
      <c r="B763" s="60" t="str">
        <f>IF($O763="","",IF(INDEX(jr_type,$O763)="BL","Livraison",IF(INDEX(jr_type,$O763)="BR","Réception","Sortie")))</f>
        <v/>
      </c>
      <c r="C763" s="65" t="str">
        <f>IF($O763="","",INDEX(jr_date,$O763))</f>
        <v/>
      </c>
      <c r="D763" s="60" t="str">
        <f>IF($O763="","",INDEX(jr_tiers,$O763)&amp;"")</f>
        <v/>
      </c>
      <c r="E763" s="57" t="str">
        <f>IF($O763="","",INDEX(jr_name,$O763)&amp;"")</f>
        <v/>
      </c>
      <c r="F763" s="57" t="str">
        <f>IF($O763="","",INDEX(jr_order,$O763)&amp;"")</f>
        <v/>
      </c>
      <c r="G763" s="57" t="str">
        <f>IF($O763="","",INDEX(jr_ext,$O763)&amp;"")</f>
        <v/>
      </c>
      <c r="H763" s="57" t="str">
        <f>IF($O763="","",INDEX(jr_carrier,$O763)&amp;"")</f>
        <v/>
      </c>
      <c r="I763" s="66" t="str">
        <f>IF(A763="","",COUNTIF(jr_num,A763))</f>
        <v/>
      </c>
      <c r="J763" s="66" t="str">
        <f>IF(A763="","",SUMIF(jr_num,A763,jr_colis))</f>
        <v/>
      </c>
      <c r="K763" s="63" t="str">
        <f>IF(A763="","",SUMIF(jr_num,A763,jr_kg))</f>
        <v/>
      </c>
      <c r="L763" s="64" t="str">
        <f>IF(A763="","",SUMIF(jr_num,A763,jr_val))</f>
        <v/>
      </c>
      <c r="M763" s="60" t="str">
        <f>IF(A763="","",IF(COUNTIFS(jr_num,A763,jr_check,"&lt;&gt;OK")&gt;0,"À vérifier",IF(LEFT(A763,2)="BL",IF(COUNTIFS(jr_num,A763,jr_rel,"&gt;0")&gt;0,"Reliquat en cours",IF(COUNTIFS(jr_num,A763,jr_gap,"&lt;0")&gt;0,"Reliquat livré","Complet")),IF(LEFT(A763,2)="BR",IF(COUNTIFS(jr_num,A763,jr_etat,"Refusé")&gt;0,"Refusé",IF(COUNTIFS(jr_num,A763,jr_etat,"Avec réserves")&gt;0,"Avec réserves",IF(COUNTIFS(jr_num,A763,jr_rel,"&gt;0")&gt;0,"Reliquat en cours",IF(COUNTIFS(jr_num,A763,jr_gap,"&lt;0")+COUNTIFS(jr_num,A763,jr_gap,"&gt;0")&gt;0,"Écart","Conforme")))),IF(COUNTIFS(jr_num,A763,jr_gap,"&lt;0")&gt;0,"Partiel","Sorti")))))</f>
        <v/>
      </c>
      <c r="O763" t="str">
        <f>IFERROR(MATCH(758,jr_grank,0),"")</f>
        <v/>
      </c>
      <c r="R763" s="67" t="str">
        <f>IFERROR(INDEX(jr_num,MATCH("BL758",jr_nkey,0))&amp;"","")</f>
        <v/>
      </c>
      <c r="S763" s="67" t="str">
        <f>IFERROR(INDEX(jr_num,MATCH("BR758",jr_nkey,0))&amp;"","")</f>
        <v/>
      </c>
      <c r="T763" s="67" t="str">
        <f>IFERROR(INDEX(jr_num,MATCH("BS758",jr_nkey,0))&amp;"","")</f>
        <v/>
      </c>
    </row>
    <row r="764">
      <c r="A764" s="60" t="str">
        <f>IF($O764="","",INDEX(jr_num,$O764)&amp;"")</f>
        <v/>
      </c>
      <c r="B764" s="60" t="str">
        <f>IF($O764="","",IF(INDEX(jr_type,$O764)="BL","Livraison",IF(INDEX(jr_type,$O764)="BR","Réception","Sortie")))</f>
        <v/>
      </c>
      <c r="C764" s="65" t="str">
        <f>IF($O764="","",INDEX(jr_date,$O764))</f>
        <v/>
      </c>
      <c r="D764" s="60" t="str">
        <f>IF($O764="","",INDEX(jr_tiers,$O764)&amp;"")</f>
        <v/>
      </c>
      <c r="E764" s="57" t="str">
        <f>IF($O764="","",INDEX(jr_name,$O764)&amp;"")</f>
        <v/>
      </c>
      <c r="F764" s="57" t="str">
        <f>IF($O764="","",INDEX(jr_order,$O764)&amp;"")</f>
        <v/>
      </c>
      <c r="G764" s="57" t="str">
        <f>IF($O764="","",INDEX(jr_ext,$O764)&amp;"")</f>
        <v/>
      </c>
      <c r="H764" s="57" t="str">
        <f>IF($O764="","",INDEX(jr_carrier,$O764)&amp;"")</f>
        <v/>
      </c>
      <c r="I764" s="66" t="str">
        <f>IF(A764="","",COUNTIF(jr_num,A764))</f>
        <v/>
      </c>
      <c r="J764" s="66" t="str">
        <f>IF(A764="","",SUMIF(jr_num,A764,jr_colis))</f>
        <v/>
      </c>
      <c r="K764" s="63" t="str">
        <f>IF(A764="","",SUMIF(jr_num,A764,jr_kg))</f>
        <v/>
      </c>
      <c r="L764" s="64" t="str">
        <f>IF(A764="","",SUMIF(jr_num,A764,jr_val))</f>
        <v/>
      </c>
      <c r="M764" s="60" t="str">
        <f>IF(A764="","",IF(COUNTIFS(jr_num,A764,jr_check,"&lt;&gt;OK")&gt;0,"À vérifier",IF(LEFT(A764,2)="BL",IF(COUNTIFS(jr_num,A764,jr_rel,"&gt;0")&gt;0,"Reliquat en cours",IF(COUNTIFS(jr_num,A764,jr_gap,"&lt;0")&gt;0,"Reliquat livré","Complet")),IF(LEFT(A764,2)="BR",IF(COUNTIFS(jr_num,A764,jr_etat,"Refusé")&gt;0,"Refusé",IF(COUNTIFS(jr_num,A764,jr_etat,"Avec réserves")&gt;0,"Avec réserves",IF(COUNTIFS(jr_num,A764,jr_rel,"&gt;0")&gt;0,"Reliquat en cours",IF(COUNTIFS(jr_num,A764,jr_gap,"&lt;0")+COUNTIFS(jr_num,A764,jr_gap,"&gt;0")&gt;0,"Écart","Conforme")))),IF(COUNTIFS(jr_num,A764,jr_gap,"&lt;0")&gt;0,"Partiel","Sorti")))))</f>
        <v/>
      </c>
      <c r="O764" t="str">
        <f>IFERROR(MATCH(759,jr_grank,0),"")</f>
        <v/>
      </c>
      <c r="R764" s="67" t="str">
        <f>IFERROR(INDEX(jr_num,MATCH("BL759",jr_nkey,0))&amp;"","")</f>
        <v/>
      </c>
      <c r="S764" s="67" t="str">
        <f>IFERROR(INDEX(jr_num,MATCH("BR759",jr_nkey,0))&amp;"","")</f>
        <v/>
      </c>
      <c r="T764" s="67" t="str">
        <f>IFERROR(INDEX(jr_num,MATCH("BS759",jr_nkey,0))&amp;"","")</f>
        <v/>
      </c>
    </row>
    <row r="765">
      <c r="A765" s="60" t="str">
        <f>IF($O765="","",INDEX(jr_num,$O765)&amp;"")</f>
        <v/>
      </c>
      <c r="B765" s="60" t="str">
        <f>IF($O765="","",IF(INDEX(jr_type,$O765)="BL","Livraison",IF(INDEX(jr_type,$O765)="BR","Réception","Sortie")))</f>
        <v/>
      </c>
      <c r="C765" s="65" t="str">
        <f>IF($O765="","",INDEX(jr_date,$O765))</f>
        <v/>
      </c>
      <c r="D765" s="60" t="str">
        <f>IF($O765="","",INDEX(jr_tiers,$O765)&amp;"")</f>
        <v/>
      </c>
      <c r="E765" s="57" t="str">
        <f>IF($O765="","",INDEX(jr_name,$O765)&amp;"")</f>
        <v/>
      </c>
      <c r="F765" s="57" t="str">
        <f>IF($O765="","",INDEX(jr_order,$O765)&amp;"")</f>
        <v/>
      </c>
      <c r="G765" s="57" t="str">
        <f>IF($O765="","",INDEX(jr_ext,$O765)&amp;"")</f>
        <v/>
      </c>
      <c r="H765" s="57" t="str">
        <f>IF($O765="","",INDEX(jr_carrier,$O765)&amp;"")</f>
        <v/>
      </c>
      <c r="I765" s="66" t="str">
        <f>IF(A765="","",COUNTIF(jr_num,A765))</f>
        <v/>
      </c>
      <c r="J765" s="66" t="str">
        <f>IF(A765="","",SUMIF(jr_num,A765,jr_colis))</f>
        <v/>
      </c>
      <c r="K765" s="63" t="str">
        <f>IF(A765="","",SUMIF(jr_num,A765,jr_kg))</f>
        <v/>
      </c>
      <c r="L765" s="64" t="str">
        <f>IF(A765="","",SUMIF(jr_num,A765,jr_val))</f>
        <v/>
      </c>
      <c r="M765" s="60" t="str">
        <f>IF(A765="","",IF(COUNTIFS(jr_num,A765,jr_check,"&lt;&gt;OK")&gt;0,"À vérifier",IF(LEFT(A765,2)="BL",IF(COUNTIFS(jr_num,A765,jr_rel,"&gt;0")&gt;0,"Reliquat en cours",IF(COUNTIFS(jr_num,A765,jr_gap,"&lt;0")&gt;0,"Reliquat livré","Complet")),IF(LEFT(A765,2)="BR",IF(COUNTIFS(jr_num,A765,jr_etat,"Refusé")&gt;0,"Refusé",IF(COUNTIFS(jr_num,A765,jr_etat,"Avec réserves")&gt;0,"Avec réserves",IF(COUNTIFS(jr_num,A765,jr_rel,"&gt;0")&gt;0,"Reliquat en cours",IF(COUNTIFS(jr_num,A765,jr_gap,"&lt;0")+COUNTIFS(jr_num,A765,jr_gap,"&gt;0")&gt;0,"Écart","Conforme")))),IF(COUNTIFS(jr_num,A765,jr_gap,"&lt;0")&gt;0,"Partiel","Sorti")))))</f>
        <v/>
      </c>
      <c r="O765" t="str">
        <f>IFERROR(MATCH(760,jr_grank,0),"")</f>
        <v/>
      </c>
      <c r="R765" s="67" t="str">
        <f>IFERROR(INDEX(jr_num,MATCH("BL760",jr_nkey,0))&amp;"","")</f>
        <v/>
      </c>
      <c r="S765" s="67" t="str">
        <f>IFERROR(INDEX(jr_num,MATCH("BR760",jr_nkey,0))&amp;"","")</f>
        <v/>
      </c>
      <c r="T765" s="67" t="str">
        <f>IFERROR(INDEX(jr_num,MATCH("BS760",jr_nkey,0))&amp;"","")</f>
        <v/>
      </c>
    </row>
    <row r="766">
      <c r="A766" s="60" t="str">
        <f>IF($O766="","",INDEX(jr_num,$O766)&amp;"")</f>
        <v/>
      </c>
      <c r="B766" s="60" t="str">
        <f>IF($O766="","",IF(INDEX(jr_type,$O766)="BL","Livraison",IF(INDEX(jr_type,$O766)="BR","Réception","Sortie")))</f>
        <v/>
      </c>
      <c r="C766" s="65" t="str">
        <f>IF($O766="","",INDEX(jr_date,$O766))</f>
        <v/>
      </c>
      <c r="D766" s="60" t="str">
        <f>IF($O766="","",INDEX(jr_tiers,$O766)&amp;"")</f>
        <v/>
      </c>
      <c r="E766" s="57" t="str">
        <f>IF($O766="","",INDEX(jr_name,$O766)&amp;"")</f>
        <v/>
      </c>
      <c r="F766" s="57" t="str">
        <f>IF($O766="","",INDEX(jr_order,$O766)&amp;"")</f>
        <v/>
      </c>
      <c r="G766" s="57" t="str">
        <f>IF($O766="","",INDEX(jr_ext,$O766)&amp;"")</f>
        <v/>
      </c>
      <c r="H766" s="57" t="str">
        <f>IF($O766="","",INDEX(jr_carrier,$O766)&amp;"")</f>
        <v/>
      </c>
      <c r="I766" s="66" t="str">
        <f>IF(A766="","",COUNTIF(jr_num,A766))</f>
        <v/>
      </c>
      <c r="J766" s="66" t="str">
        <f>IF(A766="","",SUMIF(jr_num,A766,jr_colis))</f>
        <v/>
      </c>
      <c r="K766" s="63" t="str">
        <f>IF(A766="","",SUMIF(jr_num,A766,jr_kg))</f>
        <v/>
      </c>
      <c r="L766" s="64" t="str">
        <f>IF(A766="","",SUMIF(jr_num,A766,jr_val))</f>
        <v/>
      </c>
      <c r="M766" s="60" t="str">
        <f>IF(A766="","",IF(COUNTIFS(jr_num,A766,jr_check,"&lt;&gt;OK")&gt;0,"À vérifier",IF(LEFT(A766,2)="BL",IF(COUNTIFS(jr_num,A766,jr_rel,"&gt;0")&gt;0,"Reliquat en cours",IF(COUNTIFS(jr_num,A766,jr_gap,"&lt;0")&gt;0,"Reliquat livré","Complet")),IF(LEFT(A766,2)="BR",IF(COUNTIFS(jr_num,A766,jr_etat,"Refusé")&gt;0,"Refusé",IF(COUNTIFS(jr_num,A766,jr_etat,"Avec réserves")&gt;0,"Avec réserves",IF(COUNTIFS(jr_num,A766,jr_rel,"&gt;0")&gt;0,"Reliquat en cours",IF(COUNTIFS(jr_num,A766,jr_gap,"&lt;0")+COUNTIFS(jr_num,A766,jr_gap,"&gt;0")&gt;0,"Écart","Conforme")))),IF(COUNTIFS(jr_num,A766,jr_gap,"&lt;0")&gt;0,"Partiel","Sorti")))))</f>
        <v/>
      </c>
      <c r="O766" t="str">
        <f>IFERROR(MATCH(761,jr_grank,0),"")</f>
        <v/>
      </c>
      <c r="R766" s="67" t="str">
        <f>IFERROR(INDEX(jr_num,MATCH("BL761",jr_nkey,0))&amp;"","")</f>
        <v/>
      </c>
      <c r="S766" s="67" t="str">
        <f>IFERROR(INDEX(jr_num,MATCH("BR761",jr_nkey,0))&amp;"","")</f>
        <v/>
      </c>
      <c r="T766" s="67" t="str">
        <f>IFERROR(INDEX(jr_num,MATCH("BS761",jr_nkey,0))&amp;"","")</f>
        <v/>
      </c>
    </row>
    <row r="767">
      <c r="A767" s="60" t="str">
        <f>IF($O767="","",INDEX(jr_num,$O767)&amp;"")</f>
        <v/>
      </c>
      <c r="B767" s="60" t="str">
        <f>IF($O767="","",IF(INDEX(jr_type,$O767)="BL","Livraison",IF(INDEX(jr_type,$O767)="BR","Réception","Sortie")))</f>
        <v/>
      </c>
      <c r="C767" s="65" t="str">
        <f>IF($O767="","",INDEX(jr_date,$O767))</f>
        <v/>
      </c>
      <c r="D767" s="60" t="str">
        <f>IF($O767="","",INDEX(jr_tiers,$O767)&amp;"")</f>
        <v/>
      </c>
      <c r="E767" s="57" t="str">
        <f>IF($O767="","",INDEX(jr_name,$O767)&amp;"")</f>
        <v/>
      </c>
      <c r="F767" s="57" t="str">
        <f>IF($O767="","",INDEX(jr_order,$O767)&amp;"")</f>
        <v/>
      </c>
      <c r="G767" s="57" t="str">
        <f>IF($O767="","",INDEX(jr_ext,$O767)&amp;"")</f>
        <v/>
      </c>
      <c r="H767" s="57" t="str">
        <f>IF($O767="","",INDEX(jr_carrier,$O767)&amp;"")</f>
        <v/>
      </c>
      <c r="I767" s="66" t="str">
        <f>IF(A767="","",COUNTIF(jr_num,A767))</f>
        <v/>
      </c>
      <c r="J767" s="66" t="str">
        <f>IF(A767="","",SUMIF(jr_num,A767,jr_colis))</f>
        <v/>
      </c>
      <c r="K767" s="63" t="str">
        <f>IF(A767="","",SUMIF(jr_num,A767,jr_kg))</f>
        <v/>
      </c>
      <c r="L767" s="64" t="str">
        <f>IF(A767="","",SUMIF(jr_num,A767,jr_val))</f>
        <v/>
      </c>
      <c r="M767" s="60" t="str">
        <f>IF(A767="","",IF(COUNTIFS(jr_num,A767,jr_check,"&lt;&gt;OK")&gt;0,"À vérifier",IF(LEFT(A767,2)="BL",IF(COUNTIFS(jr_num,A767,jr_rel,"&gt;0")&gt;0,"Reliquat en cours",IF(COUNTIFS(jr_num,A767,jr_gap,"&lt;0")&gt;0,"Reliquat livré","Complet")),IF(LEFT(A767,2)="BR",IF(COUNTIFS(jr_num,A767,jr_etat,"Refusé")&gt;0,"Refusé",IF(COUNTIFS(jr_num,A767,jr_etat,"Avec réserves")&gt;0,"Avec réserves",IF(COUNTIFS(jr_num,A767,jr_rel,"&gt;0")&gt;0,"Reliquat en cours",IF(COUNTIFS(jr_num,A767,jr_gap,"&lt;0")+COUNTIFS(jr_num,A767,jr_gap,"&gt;0")&gt;0,"Écart","Conforme")))),IF(COUNTIFS(jr_num,A767,jr_gap,"&lt;0")&gt;0,"Partiel","Sorti")))))</f>
        <v/>
      </c>
      <c r="O767" t="str">
        <f>IFERROR(MATCH(762,jr_grank,0),"")</f>
        <v/>
      </c>
      <c r="R767" s="67" t="str">
        <f>IFERROR(INDEX(jr_num,MATCH("BL762",jr_nkey,0))&amp;"","")</f>
        <v/>
      </c>
      <c r="S767" s="67" t="str">
        <f>IFERROR(INDEX(jr_num,MATCH("BR762",jr_nkey,0))&amp;"","")</f>
        <v/>
      </c>
      <c r="T767" s="67" t="str">
        <f>IFERROR(INDEX(jr_num,MATCH("BS762",jr_nkey,0))&amp;"","")</f>
        <v/>
      </c>
    </row>
    <row r="768">
      <c r="A768" s="60" t="str">
        <f>IF($O768="","",INDEX(jr_num,$O768)&amp;"")</f>
        <v/>
      </c>
      <c r="B768" s="60" t="str">
        <f>IF($O768="","",IF(INDEX(jr_type,$O768)="BL","Livraison",IF(INDEX(jr_type,$O768)="BR","Réception","Sortie")))</f>
        <v/>
      </c>
      <c r="C768" s="65" t="str">
        <f>IF($O768="","",INDEX(jr_date,$O768))</f>
        <v/>
      </c>
      <c r="D768" s="60" t="str">
        <f>IF($O768="","",INDEX(jr_tiers,$O768)&amp;"")</f>
        <v/>
      </c>
      <c r="E768" s="57" t="str">
        <f>IF($O768="","",INDEX(jr_name,$O768)&amp;"")</f>
        <v/>
      </c>
      <c r="F768" s="57" t="str">
        <f>IF($O768="","",INDEX(jr_order,$O768)&amp;"")</f>
        <v/>
      </c>
      <c r="G768" s="57" t="str">
        <f>IF($O768="","",INDEX(jr_ext,$O768)&amp;"")</f>
        <v/>
      </c>
      <c r="H768" s="57" t="str">
        <f>IF($O768="","",INDEX(jr_carrier,$O768)&amp;"")</f>
        <v/>
      </c>
      <c r="I768" s="66" t="str">
        <f>IF(A768="","",COUNTIF(jr_num,A768))</f>
        <v/>
      </c>
      <c r="J768" s="66" t="str">
        <f>IF(A768="","",SUMIF(jr_num,A768,jr_colis))</f>
        <v/>
      </c>
      <c r="K768" s="63" t="str">
        <f>IF(A768="","",SUMIF(jr_num,A768,jr_kg))</f>
        <v/>
      </c>
      <c r="L768" s="64" t="str">
        <f>IF(A768="","",SUMIF(jr_num,A768,jr_val))</f>
        <v/>
      </c>
      <c r="M768" s="60" t="str">
        <f>IF(A768="","",IF(COUNTIFS(jr_num,A768,jr_check,"&lt;&gt;OK")&gt;0,"À vérifier",IF(LEFT(A768,2)="BL",IF(COUNTIFS(jr_num,A768,jr_rel,"&gt;0")&gt;0,"Reliquat en cours",IF(COUNTIFS(jr_num,A768,jr_gap,"&lt;0")&gt;0,"Reliquat livré","Complet")),IF(LEFT(A768,2)="BR",IF(COUNTIFS(jr_num,A768,jr_etat,"Refusé")&gt;0,"Refusé",IF(COUNTIFS(jr_num,A768,jr_etat,"Avec réserves")&gt;0,"Avec réserves",IF(COUNTIFS(jr_num,A768,jr_rel,"&gt;0")&gt;0,"Reliquat en cours",IF(COUNTIFS(jr_num,A768,jr_gap,"&lt;0")+COUNTIFS(jr_num,A768,jr_gap,"&gt;0")&gt;0,"Écart","Conforme")))),IF(COUNTIFS(jr_num,A768,jr_gap,"&lt;0")&gt;0,"Partiel","Sorti")))))</f>
        <v/>
      </c>
      <c r="O768" t="str">
        <f>IFERROR(MATCH(763,jr_grank,0),"")</f>
        <v/>
      </c>
      <c r="R768" s="67" t="str">
        <f>IFERROR(INDEX(jr_num,MATCH("BL763",jr_nkey,0))&amp;"","")</f>
        <v/>
      </c>
      <c r="S768" s="67" t="str">
        <f>IFERROR(INDEX(jr_num,MATCH("BR763",jr_nkey,0))&amp;"","")</f>
        <v/>
      </c>
      <c r="T768" s="67" t="str">
        <f>IFERROR(INDEX(jr_num,MATCH("BS763",jr_nkey,0))&amp;"","")</f>
        <v/>
      </c>
    </row>
    <row r="769">
      <c r="A769" s="60" t="str">
        <f>IF($O769="","",INDEX(jr_num,$O769)&amp;"")</f>
        <v/>
      </c>
      <c r="B769" s="60" t="str">
        <f>IF($O769="","",IF(INDEX(jr_type,$O769)="BL","Livraison",IF(INDEX(jr_type,$O769)="BR","Réception","Sortie")))</f>
        <v/>
      </c>
      <c r="C769" s="65" t="str">
        <f>IF($O769="","",INDEX(jr_date,$O769))</f>
        <v/>
      </c>
      <c r="D769" s="60" t="str">
        <f>IF($O769="","",INDEX(jr_tiers,$O769)&amp;"")</f>
        <v/>
      </c>
      <c r="E769" s="57" t="str">
        <f>IF($O769="","",INDEX(jr_name,$O769)&amp;"")</f>
        <v/>
      </c>
      <c r="F769" s="57" t="str">
        <f>IF($O769="","",INDEX(jr_order,$O769)&amp;"")</f>
        <v/>
      </c>
      <c r="G769" s="57" t="str">
        <f>IF($O769="","",INDEX(jr_ext,$O769)&amp;"")</f>
        <v/>
      </c>
      <c r="H769" s="57" t="str">
        <f>IF($O769="","",INDEX(jr_carrier,$O769)&amp;"")</f>
        <v/>
      </c>
      <c r="I769" s="66" t="str">
        <f>IF(A769="","",COUNTIF(jr_num,A769))</f>
        <v/>
      </c>
      <c r="J769" s="66" t="str">
        <f>IF(A769="","",SUMIF(jr_num,A769,jr_colis))</f>
        <v/>
      </c>
      <c r="K769" s="63" t="str">
        <f>IF(A769="","",SUMIF(jr_num,A769,jr_kg))</f>
        <v/>
      </c>
      <c r="L769" s="64" t="str">
        <f>IF(A769="","",SUMIF(jr_num,A769,jr_val))</f>
        <v/>
      </c>
      <c r="M769" s="60" t="str">
        <f>IF(A769="","",IF(COUNTIFS(jr_num,A769,jr_check,"&lt;&gt;OK")&gt;0,"À vérifier",IF(LEFT(A769,2)="BL",IF(COUNTIFS(jr_num,A769,jr_rel,"&gt;0")&gt;0,"Reliquat en cours",IF(COUNTIFS(jr_num,A769,jr_gap,"&lt;0")&gt;0,"Reliquat livré","Complet")),IF(LEFT(A769,2)="BR",IF(COUNTIFS(jr_num,A769,jr_etat,"Refusé")&gt;0,"Refusé",IF(COUNTIFS(jr_num,A769,jr_etat,"Avec réserves")&gt;0,"Avec réserves",IF(COUNTIFS(jr_num,A769,jr_rel,"&gt;0")&gt;0,"Reliquat en cours",IF(COUNTIFS(jr_num,A769,jr_gap,"&lt;0")+COUNTIFS(jr_num,A769,jr_gap,"&gt;0")&gt;0,"Écart","Conforme")))),IF(COUNTIFS(jr_num,A769,jr_gap,"&lt;0")&gt;0,"Partiel","Sorti")))))</f>
        <v/>
      </c>
      <c r="O769" t="str">
        <f>IFERROR(MATCH(764,jr_grank,0),"")</f>
        <v/>
      </c>
      <c r="R769" s="67" t="str">
        <f>IFERROR(INDEX(jr_num,MATCH("BL764",jr_nkey,0))&amp;"","")</f>
        <v/>
      </c>
      <c r="S769" s="67" t="str">
        <f>IFERROR(INDEX(jr_num,MATCH("BR764",jr_nkey,0))&amp;"","")</f>
        <v/>
      </c>
      <c r="T769" s="67" t="str">
        <f>IFERROR(INDEX(jr_num,MATCH("BS764",jr_nkey,0))&amp;"","")</f>
        <v/>
      </c>
    </row>
    <row r="770">
      <c r="A770" s="60" t="str">
        <f>IF($O770="","",INDEX(jr_num,$O770)&amp;"")</f>
        <v/>
      </c>
      <c r="B770" s="60" t="str">
        <f>IF($O770="","",IF(INDEX(jr_type,$O770)="BL","Livraison",IF(INDEX(jr_type,$O770)="BR","Réception","Sortie")))</f>
        <v/>
      </c>
      <c r="C770" s="65" t="str">
        <f>IF($O770="","",INDEX(jr_date,$O770))</f>
        <v/>
      </c>
      <c r="D770" s="60" t="str">
        <f>IF($O770="","",INDEX(jr_tiers,$O770)&amp;"")</f>
        <v/>
      </c>
      <c r="E770" s="57" t="str">
        <f>IF($O770="","",INDEX(jr_name,$O770)&amp;"")</f>
        <v/>
      </c>
      <c r="F770" s="57" t="str">
        <f>IF($O770="","",INDEX(jr_order,$O770)&amp;"")</f>
        <v/>
      </c>
      <c r="G770" s="57" t="str">
        <f>IF($O770="","",INDEX(jr_ext,$O770)&amp;"")</f>
        <v/>
      </c>
      <c r="H770" s="57" t="str">
        <f>IF($O770="","",INDEX(jr_carrier,$O770)&amp;"")</f>
        <v/>
      </c>
      <c r="I770" s="66" t="str">
        <f>IF(A770="","",COUNTIF(jr_num,A770))</f>
        <v/>
      </c>
      <c r="J770" s="66" t="str">
        <f>IF(A770="","",SUMIF(jr_num,A770,jr_colis))</f>
        <v/>
      </c>
      <c r="K770" s="63" t="str">
        <f>IF(A770="","",SUMIF(jr_num,A770,jr_kg))</f>
        <v/>
      </c>
      <c r="L770" s="64" t="str">
        <f>IF(A770="","",SUMIF(jr_num,A770,jr_val))</f>
        <v/>
      </c>
      <c r="M770" s="60" t="str">
        <f>IF(A770="","",IF(COUNTIFS(jr_num,A770,jr_check,"&lt;&gt;OK")&gt;0,"À vérifier",IF(LEFT(A770,2)="BL",IF(COUNTIFS(jr_num,A770,jr_rel,"&gt;0")&gt;0,"Reliquat en cours",IF(COUNTIFS(jr_num,A770,jr_gap,"&lt;0")&gt;0,"Reliquat livré","Complet")),IF(LEFT(A770,2)="BR",IF(COUNTIFS(jr_num,A770,jr_etat,"Refusé")&gt;0,"Refusé",IF(COUNTIFS(jr_num,A770,jr_etat,"Avec réserves")&gt;0,"Avec réserves",IF(COUNTIFS(jr_num,A770,jr_rel,"&gt;0")&gt;0,"Reliquat en cours",IF(COUNTIFS(jr_num,A770,jr_gap,"&lt;0")+COUNTIFS(jr_num,A770,jr_gap,"&gt;0")&gt;0,"Écart","Conforme")))),IF(COUNTIFS(jr_num,A770,jr_gap,"&lt;0")&gt;0,"Partiel","Sorti")))))</f>
        <v/>
      </c>
      <c r="O770" t="str">
        <f>IFERROR(MATCH(765,jr_grank,0),"")</f>
        <v/>
      </c>
      <c r="R770" s="67" t="str">
        <f>IFERROR(INDEX(jr_num,MATCH("BL765",jr_nkey,0))&amp;"","")</f>
        <v/>
      </c>
      <c r="S770" s="67" t="str">
        <f>IFERROR(INDEX(jr_num,MATCH("BR765",jr_nkey,0))&amp;"","")</f>
        <v/>
      </c>
      <c r="T770" s="67" t="str">
        <f>IFERROR(INDEX(jr_num,MATCH("BS765",jr_nkey,0))&amp;"","")</f>
        <v/>
      </c>
    </row>
    <row r="771">
      <c r="A771" s="60" t="str">
        <f>IF($O771="","",INDEX(jr_num,$O771)&amp;"")</f>
        <v/>
      </c>
      <c r="B771" s="60" t="str">
        <f>IF($O771="","",IF(INDEX(jr_type,$O771)="BL","Livraison",IF(INDEX(jr_type,$O771)="BR","Réception","Sortie")))</f>
        <v/>
      </c>
      <c r="C771" s="65" t="str">
        <f>IF($O771="","",INDEX(jr_date,$O771))</f>
        <v/>
      </c>
      <c r="D771" s="60" t="str">
        <f>IF($O771="","",INDEX(jr_tiers,$O771)&amp;"")</f>
        <v/>
      </c>
      <c r="E771" s="57" t="str">
        <f>IF($O771="","",INDEX(jr_name,$O771)&amp;"")</f>
        <v/>
      </c>
      <c r="F771" s="57" t="str">
        <f>IF($O771="","",INDEX(jr_order,$O771)&amp;"")</f>
        <v/>
      </c>
      <c r="G771" s="57" t="str">
        <f>IF($O771="","",INDEX(jr_ext,$O771)&amp;"")</f>
        <v/>
      </c>
      <c r="H771" s="57" t="str">
        <f>IF($O771="","",INDEX(jr_carrier,$O771)&amp;"")</f>
        <v/>
      </c>
      <c r="I771" s="66" t="str">
        <f>IF(A771="","",COUNTIF(jr_num,A771))</f>
        <v/>
      </c>
      <c r="J771" s="66" t="str">
        <f>IF(A771="","",SUMIF(jr_num,A771,jr_colis))</f>
        <v/>
      </c>
      <c r="K771" s="63" t="str">
        <f>IF(A771="","",SUMIF(jr_num,A771,jr_kg))</f>
        <v/>
      </c>
      <c r="L771" s="64" t="str">
        <f>IF(A771="","",SUMIF(jr_num,A771,jr_val))</f>
        <v/>
      </c>
      <c r="M771" s="60" t="str">
        <f>IF(A771="","",IF(COUNTIFS(jr_num,A771,jr_check,"&lt;&gt;OK")&gt;0,"À vérifier",IF(LEFT(A771,2)="BL",IF(COUNTIFS(jr_num,A771,jr_rel,"&gt;0")&gt;0,"Reliquat en cours",IF(COUNTIFS(jr_num,A771,jr_gap,"&lt;0")&gt;0,"Reliquat livré","Complet")),IF(LEFT(A771,2)="BR",IF(COUNTIFS(jr_num,A771,jr_etat,"Refusé")&gt;0,"Refusé",IF(COUNTIFS(jr_num,A771,jr_etat,"Avec réserves")&gt;0,"Avec réserves",IF(COUNTIFS(jr_num,A771,jr_rel,"&gt;0")&gt;0,"Reliquat en cours",IF(COUNTIFS(jr_num,A771,jr_gap,"&lt;0")+COUNTIFS(jr_num,A771,jr_gap,"&gt;0")&gt;0,"Écart","Conforme")))),IF(COUNTIFS(jr_num,A771,jr_gap,"&lt;0")&gt;0,"Partiel","Sorti")))))</f>
        <v/>
      </c>
      <c r="O771" t="str">
        <f>IFERROR(MATCH(766,jr_grank,0),"")</f>
        <v/>
      </c>
      <c r="R771" s="67" t="str">
        <f>IFERROR(INDEX(jr_num,MATCH("BL766",jr_nkey,0))&amp;"","")</f>
        <v/>
      </c>
      <c r="S771" s="67" t="str">
        <f>IFERROR(INDEX(jr_num,MATCH("BR766",jr_nkey,0))&amp;"","")</f>
        <v/>
      </c>
      <c r="T771" s="67" t="str">
        <f>IFERROR(INDEX(jr_num,MATCH("BS766",jr_nkey,0))&amp;"","")</f>
        <v/>
      </c>
    </row>
    <row r="772">
      <c r="A772" s="60" t="str">
        <f>IF($O772="","",INDEX(jr_num,$O772)&amp;"")</f>
        <v/>
      </c>
      <c r="B772" s="60" t="str">
        <f>IF($O772="","",IF(INDEX(jr_type,$O772)="BL","Livraison",IF(INDEX(jr_type,$O772)="BR","Réception","Sortie")))</f>
        <v/>
      </c>
      <c r="C772" s="65" t="str">
        <f>IF($O772="","",INDEX(jr_date,$O772))</f>
        <v/>
      </c>
      <c r="D772" s="60" t="str">
        <f>IF($O772="","",INDEX(jr_tiers,$O772)&amp;"")</f>
        <v/>
      </c>
      <c r="E772" s="57" t="str">
        <f>IF($O772="","",INDEX(jr_name,$O772)&amp;"")</f>
        <v/>
      </c>
      <c r="F772" s="57" t="str">
        <f>IF($O772="","",INDEX(jr_order,$O772)&amp;"")</f>
        <v/>
      </c>
      <c r="G772" s="57" t="str">
        <f>IF($O772="","",INDEX(jr_ext,$O772)&amp;"")</f>
        <v/>
      </c>
      <c r="H772" s="57" t="str">
        <f>IF($O772="","",INDEX(jr_carrier,$O772)&amp;"")</f>
        <v/>
      </c>
      <c r="I772" s="66" t="str">
        <f>IF(A772="","",COUNTIF(jr_num,A772))</f>
        <v/>
      </c>
      <c r="J772" s="66" t="str">
        <f>IF(A772="","",SUMIF(jr_num,A772,jr_colis))</f>
        <v/>
      </c>
      <c r="K772" s="63" t="str">
        <f>IF(A772="","",SUMIF(jr_num,A772,jr_kg))</f>
        <v/>
      </c>
      <c r="L772" s="64" t="str">
        <f>IF(A772="","",SUMIF(jr_num,A772,jr_val))</f>
        <v/>
      </c>
      <c r="M772" s="60" t="str">
        <f>IF(A772="","",IF(COUNTIFS(jr_num,A772,jr_check,"&lt;&gt;OK")&gt;0,"À vérifier",IF(LEFT(A772,2)="BL",IF(COUNTIFS(jr_num,A772,jr_rel,"&gt;0")&gt;0,"Reliquat en cours",IF(COUNTIFS(jr_num,A772,jr_gap,"&lt;0")&gt;0,"Reliquat livré","Complet")),IF(LEFT(A772,2)="BR",IF(COUNTIFS(jr_num,A772,jr_etat,"Refusé")&gt;0,"Refusé",IF(COUNTIFS(jr_num,A772,jr_etat,"Avec réserves")&gt;0,"Avec réserves",IF(COUNTIFS(jr_num,A772,jr_rel,"&gt;0")&gt;0,"Reliquat en cours",IF(COUNTIFS(jr_num,A772,jr_gap,"&lt;0")+COUNTIFS(jr_num,A772,jr_gap,"&gt;0")&gt;0,"Écart","Conforme")))),IF(COUNTIFS(jr_num,A772,jr_gap,"&lt;0")&gt;0,"Partiel","Sorti")))))</f>
        <v/>
      </c>
      <c r="O772" t="str">
        <f>IFERROR(MATCH(767,jr_grank,0),"")</f>
        <v/>
      </c>
      <c r="R772" s="67" t="str">
        <f>IFERROR(INDEX(jr_num,MATCH("BL767",jr_nkey,0))&amp;"","")</f>
        <v/>
      </c>
      <c r="S772" s="67" t="str">
        <f>IFERROR(INDEX(jr_num,MATCH("BR767",jr_nkey,0))&amp;"","")</f>
        <v/>
      </c>
      <c r="T772" s="67" t="str">
        <f>IFERROR(INDEX(jr_num,MATCH("BS767",jr_nkey,0))&amp;"","")</f>
        <v/>
      </c>
    </row>
    <row r="773">
      <c r="A773" s="60" t="str">
        <f>IF($O773="","",INDEX(jr_num,$O773)&amp;"")</f>
        <v/>
      </c>
      <c r="B773" s="60" t="str">
        <f>IF($O773="","",IF(INDEX(jr_type,$O773)="BL","Livraison",IF(INDEX(jr_type,$O773)="BR","Réception","Sortie")))</f>
        <v/>
      </c>
      <c r="C773" s="65" t="str">
        <f>IF($O773="","",INDEX(jr_date,$O773))</f>
        <v/>
      </c>
      <c r="D773" s="60" t="str">
        <f>IF($O773="","",INDEX(jr_tiers,$O773)&amp;"")</f>
        <v/>
      </c>
      <c r="E773" s="57" t="str">
        <f>IF($O773="","",INDEX(jr_name,$O773)&amp;"")</f>
        <v/>
      </c>
      <c r="F773" s="57" t="str">
        <f>IF($O773="","",INDEX(jr_order,$O773)&amp;"")</f>
        <v/>
      </c>
      <c r="G773" s="57" t="str">
        <f>IF($O773="","",INDEX(jr_ext,$O773)&amp;"")</f>
        <v/>
      </c>
      <c r="H773" s="57" t="str">
        <f>IF($O773="","",INDEX(jr_carrier,$O773)&amp;"")</f>
        <v/>
      </c>
      <c r="I773" s="66" t="str">
        <f>IF(A773="","",COUNTIF(jr_num,A773))</f>
        <v/>
      </c>
      <c r="J773" s="66" t="str">
        <f>IF(A773="","",SUMIF(jr_num,A773,jr_colis))</f>
        <v/>
      </c>
      <c r="K773" s="63" t="str">
        <f>IF(A773="","",SUMIF(jr_num,A773,jr_kg))</f>
        <v/>
      </c>
      <c r="L773" s="64" t="str">
        <f>IF(A773="","",SUMIF(jr_num,A773,jr_val))</f>
        <v/>
      </c>
      <c r="M773" s="60" t="str">
        <f>IF(A773="","",IF(COUNTIFS(jr_num,A773,jr_check,"&lt;&gt;OK")&gt;0,"À vérifier",IF(LEFT(A773,2)="BL",IF(COUNTIFS(jr_num,A773,jr_rel,"&gt;0")&gt;0,"Reliquat en cours",IF(COUNTIFS(jr_num,A773,jr_gap,"&lt;0")&gt;0,"Reliquat livré","Complet")),IF(LEFT(A773,2)="BR",IF(COUNTIFS(jr_num,A773,jr_etat,"Refusé")&gt;0,"Refusé",IF(COUNTIFS(jr_num,A773,jr_etat,"Avec réserves")&gt;0,"Avec réserves",IF(COUNTIFS(jr_num,A773,jr_rel,"&gt;0")&gt;0,"Reliquat en cours",IF(COUNTIFS(jr_num,A773,jr_gap,"&lt;0")+COUNTIFS(jr_num,A773,jr_gap,"&gt;0")&gt;0,"Écart","Conforme")))),IF(COUNTIFS(jr_num,A773,jr_gap,"&lt;0")&gt;0,"Partiel","Sorti")))))</f>
        <v/>
      </c>
      <c r="O773" t="str">
        <f>IFERROR(MATCH(768,jr_grank,0),"")</f>
        <v/>
      </c>
      <c r="R773" s="67" t="str">
        <f>IFERROR(INDEX(jr_num,MATCH("BL768",jr_nkey,0))&amp;"","")</f>
        <v/>
      </c>
      <c r="S773" s="67" t="str">
        <f>IFERROR(INDEX(jr_num,MATCH("BR768",jr_nkey,0))&amp;"","")</f>
        <v/>
      </c>
      <c r="T773" s="67" t="str">
        <f>IFERROR(INDEX(jr_num,MATCH("BS768",jr_nkey,0))&amp;"","")</f>
        <v/>
      </c>
    </row>
    <row r="774">
      <c r="A774" s="60" t="str">
        <f>IF($O774="","",INDEX(jr_num,$O774)&amp;"")</f>
        <v/>
      </c>
      <c r="B774" s="60" t="str">
        <f>IF($O774="","",IF(INDEX(jr_type,$O774)="BL","Livraison",IF(INDEX(jr_type,$O774)="BR","Réception","Sortie")))</f>
        <v/>
      </c>
      <c r="C774" s="65" t="str">
        <f>IF($O774="","",INDEX(jr_date,$O774))</f>
        <v/>
      </c>
      <c r="D774" s="60" t="str">
        <f>IF($O774="","",INDEX(jr_tiers,$O774)&amp;"")</f>
        <v/>
      </c>
      <c r="E774" s="57" t="str">
        <f>IF($O774="","",INDEX(jr_name,$O774)&amp;"")</f>
        <v/>
      </c>
      <c r="F774" s="57" t="str">
        <f>IF($O774="","",INDEX(jr_order,$O774)&amp;"")</f>
        <v/>
      </c>
      <c r="G774" s="57" t="str">
        <f>IF($O774="","",INDEX(jr_ext,$O774)&amp;"")</f>
        <v/>
      </c>
      <c r="H774" s="57" t="str">
        <f>IF($O774="","",INDEX(jr_carrier,$O774)&amp;"")</f>
        <v/>
      </c>
      <c r="I774" s="66" t="str">
        <f>IF(A774="","",COUNTIF(jr_num,A774))</f>
        <v/>
      </c>
      <c r="J774" s="66" t="str">
        <f>IF(A774="","",SUMIF(jr_num,A774,jr_colis))</f>
        <v/>
      </c>
      <c r="K774" s="63" t="str">
        <f>IF(A774="","",SUMIF(jr_num,A774,jr_kg))</f>
        <v/>
      </c>
      <c r="L774" s="64" t="str">
        <f>IF(A774="","",SUMIF(jr_num,A774,jr_val))</f>
        <v/>
      </c>
      <c r="M774" s="60" t="str">
        <f>IF(A774="","",IF(COUNTIFS(jr_num,A774,jr_check,"&lt;&gt;OK")&gt;0,"À vérifier",IF(LEFT(A774,2)="BL",IF(COUNTIFS(jr_num,A774,jr_rel,"&gt;0")&gt;0,"Reliquat en cours",IF(COUNTIFS(jr_num,A774,jr_gap,"&lt;0")&gt;0,"Reliquat livré","Complet")),IF(LEFT(A774,2)="BR",IF(COUNTIFS(jr_num,A774,jr_etat,"Refusé")&gt;0,"Refusé",IF(COUNTIFS(jr_num,A774,jr_etat,"Avec réserves")&gt;0,"Avec réserves",IF(COUNTIFS(jr_num,A774,jr_rel,"&gt;0")&gt;0,"Reliquat en cours",IF(COUNTIFS(jr_num,A774,jr_gap,"&lt;0")+COUNTIFS(jr_num,A774,jr_gap,"&gt;0")&gt;0,"Écart","Conforme")))),IF(COUNTIFS(jr_num,A774,jr_gap,"&lt;0")&gt;0,"Partiel","Sorti")))))</f>
        <v/>
      </c>
      <c r="O774" t="str">
        <f>IFERROR(MATCH(769,jr_grank,0),"")</f>
        <v/>
      </c>
      <c r="R774" s="67" t="str">
        <f>IFERROR(INDEX(jr_num,MATCH("BL769",jr_nkey,0))&amp;"","")</f>
        <v/>
      </c>
      <c r="S774" s="67" t="str">
        <f>IFERROR(INDEX(jr_num,MATCH("BR769",jr_nkey,0))&amp;"","")</f>
        <v/>
      </c>
      <c r="T774" s="67" t="str">
        <f>IFERROR(INDEX(jr_num,MATCH("BS769",jr_nkey,0))&amp;"","")</f>
        <v/>
      </c>
    </row>
    <row r="775">
      <c r="A775" s="60" t="str">
        <f>IF($O775="","",INDEX(jr_num,$O775)&amp;"")</f>
        <v/>
      </c>
      <c r="B775" s="60" t="str">
        <f>IF($O775="","",IF(INDEX(jr_type,$O775)="BL","Livraison",IF(INDEX(jr_type,$O775)="BR","Réception","Sortie")))</f>
        <v/>
      </c>
      <c r="C775" s="65" t="str">
        <f>IF($O775="","",INDEX(jr_date,$O775))</f>
        <v/>
      </c>
      <c r="D775" s="60" t="str">
        <f>IF($O775="","",INDEX(jr_tiers,$O775)&amp;"")</f>
        <v/>
      </c>
      <c r="E775" s="57" t="str">
        <f>IF($O775="","",INDEX(jr_name,$O775)&amp;"")</f>
        <v/>
      </c>
      <c r="F775" s="57" t="str">
        <f>IF($O775="","",INDEX(jr_order,$O775)&amp;"")</f>
        <v/>
      </c>
      <c r="G775" s="57" t="str">
        <f>IF($O775="","",INDEX(jr_ext,$O775)&amp;"")</f>
        <v/>
      </c>
      <c r="H775" s="57" t="str">
        <f>IF($O775="","",INDEX(jr_carrier,$O775)&amp;"")</f>
        <v/>
      </c>
      <c r="I775" s="66" t="str">
        <f>IF(A775="","",COUNTIF(jr_num,A775))</f>
        <v/>
      </c>
      <c r="J775" s="66" t="str">
        <f>IF(A775="","",SUMIF(jr_num,A775,jr_colis))</f>
        <v/>
      </c>
      <c r="K775" s="63" t="str">
        <f>IF(A775="","",SUMIF(jr_num,A775,jr_kg))</f>
        <v/>
      </c>
      <c r="L775" s="64" t="str">
        <f>IF(A775="","",SUMIF(jr_num,A775,jr_val))</f>
        <v/>
      </c>
      <c r="M775" s="60" t="str">
        <f>IF(A775="","",IF(COUNTIFS(jr_num,A775,jr_check,"&lt;&gt;OK")&gt;0,"À vérifier",IF(LEFT(A775,2)="BL",IF(COUNTIFS(jr_num,A775,jr_rel,"&gt;0")&gt;0,"Reliquat en cours",IF(COUNTIFS(jr_num,A775,jr_gap,"&lt;0")&gt;0,"Reliquat livré","Complet")),IF(LEFT(A775,2)="BR",IF(COUNTIFS(jr_num,A775,jr_etat,"Refusé")&gt;0,"Refusé",IF(COUNTIFS(jr_num,A775,jr_etat,"Avec réserves")&gt;0,"Avec réserves",IF(COUNTIFS(jr_num,A775,jr_rel,"&gt;0")&gt;0,"Reliquat en cours",IF(COUNTIFS(jr_num,A775,jr_gap,"&lt;0")+COUNTIFS(jr_num,A775,jr_gap,"&gt;0")&gt;0,"Écart","Conforme")))),IF(COUNTIFS(jr_num,A775,jr_gap,"&lt;0")&gt;0,"Partiel","Sorti")))))</f>
        <v/>
      </c>
      <c r="O775" t="str">
        <f>IFERROR(MATCH(770,jr_grank,0),"")</f>
        <v/>
      </c>
      <c r="R775" s="67" t="str">
        <f>IFERROR(INDEX(jr_num,MATCH("BL770",jr_nkey,0))&amp;"","")</f>
        <v/>
      </c>
      <c r="S775" s="67" t="str">
        <f>IFERROR(INDEX(jr_num,MATCH("BR770",jr_nkey,0))&amp;"","")</f>
        <v/>
      </c>
      <c r="T775" s="67" t="str">
        <f>IFERROR(INDEX(jr_num,MATCH("BS770",jr_nkey,0))&amp;"","")</f>
        <v/>
      </c>
    </row>
    <row r="776">
      <c r="A776" s="60" t="str">
        <f>IF($O776="","",INDEX(jr_num,$O776)&amp;"")</f>
        <v/>
      </c>
      <c r="B776" s="60" t="str">
        <f>IF($O776="","",IF(INDEX(jr_type,$O776)="BL","Livraison",IF(INDEX(jr_type,$O776)="BR","Réception","Sortie")))</f>
        <v/>
      </c>
      <c r="C776" s="65" t="str">
        <f>IF($O776="","",INDEX(jr_date,$O776))</f>
        <v/>
      </c>
      <c r="D776" s="60" t="str">
        <f>IF($O776="","",INDEX(jr_tiers,$O776)&amp;"")</f>
        <v/>
      </c>
      <c r="E776" s="57" t="str">
        <f>IF($O776="","",INDEX(jr_name,$O776)&amp;"")</f>
        <v/>
      </c>
      <c r="F776" s="57" t="str">
        <f>IF($O776="","",INDEX(jr_order,$O776)&amp;"")</f>
        <v/>
      </c>
      <c r="G776" s="57" t="str">
        <f>IF($O776="","",INDEX(jr_ext,$O776)&amp;"")</f>
        <v/>
      </c>
      <c r="H776" s="57" t="str">
        <f>IF($O776="","",INDEX(jr_carrier,$O776)&amp;"")</f>
        <v/>
      </c>
      <c r="I776" s="66" t="str">
        <f>IF(A776="","",COUNTIF(jr_num,A776))</f>
        <v/>
      </c>
      <c r="J776" s="66" t="str">
        <f>IF(A776="","",SUMIF(jr_num,A776,jr_colis))</f>
        <v/>
      </c>
      <c r="K776" s="63" t="str">
        <f>IF(A776="","",SUMIF(jr_num,A776,jr_kg))</f>
        <v/>
      </c>
      <c r="L776" s="64" t="str">
        <f>IF(A776="","",SUMIF(jr_num,A776,jr_val))</f>
        <v/>
      </c>
      <c r="M776" s="60" t="str">
        <f>IF(A776="","",IF(COUNTIFS(jr_num,A776,jr_check,"&lt;&gt;OK")&gt;0,"À vérifier",IF(LEFT(A776,2)="BL",IF(COUNTIFS(jr_num,A776,jr_rel,"&gt;0")&gt;0,"Reliquat en cours",IF(COUNTIFS(jr_num,A776,jr_gap,"&lt;0")&gt;0,"Reliquat livré","Complet")),IF(LEFT(A776,2)="BR",IF(COUNTIFS(jr_num,A776,jr_etat,"Refusé")&gt;0,"Refusé",IF(COUNTIFS(jr_num,A776,jr_etat,"Avec réserves")&gt;0,"Avec réserves",IF(COUNTIFS(jr_num,A776,jr_rel,"&gt;0")&gt;0,"Reliquat en cours",IF(COUNTIFS(jr_num,A776,jr_gap,"&lt;0")+COUNTIFS(jr_num,A776,jr_gap,"&gt;0")&gt;0,"Écart","Conforme")))),IF(COUNTIFS(jr_num,A776,jr_gap,"&lt;0")&gt;0,"Partiel","Sorti")))))</f>
        <v/>
      </c>
      <c r="O776" t="str">
        <f>IFERROR(MATCH(771,jr_grank,0),"")</f>
        <v/>
      </c>
      <c r="R776" s="67" t="str">
        <f>IFERROR(INDEX(jr_num,MATCH("BL771",jr_nkey,0))&amp;"","")</f>
        <v/>
      </c>
      <c r="S776" s="67" t="str">
        <f>IFERROR(INDEX(jr_num,MATCH("BR771",jr_nkey,0))&amp;"","")</f>
        <v/>
      </c>
      <c r="T776" s="67" t="str">
        <f>IFERROR(INDEX(jr_num,MATCH("BS771",jr_nkey,0))&amp;"","")</f>
        <v/>
      </c>
    </row>
    <row r="777">
      <c r="A777" s="60" t="str">
        <f>IF($O777="","",INDEX(jr_num,$O777)&amp;"")</f>
        <v/>
      </c>
      <c r="B777" s="60" t="str">
        <f>IF($O777="","",IF(INDEX(jr_type,$O777)="BL","Livraison",IF(INDEX(jr_type,$O777)="BR","Réception","Sortie")))</f>
        <v/>
      </c>
      <c r="C777" s="65" t="str">
        <f>IF($O777="","",INDEX(jr_date,$O777))</f>
        <v/>
      </c>
      <c r="D777" s="60" t="str">
        <f>IF($O777="","",INDEX(jr_tiers,$O777)&amp;"")</f>
        <v/>
      </c>
      <c r="E777" s="57" t="str">
        <f>IF($O777="","",INDEX(jr_name,$O777)&amp;"")</f>
        <v/>
      </c>
      <c r="F777" s="57" t="str">
        <f>IF($O777="","",INDEX(jr_order,$O777)&amp;"")</f>
        <v/>
      </c>
      <c r="G777" s="57" t="str">
        <f>IF($O777="","",INDEX(jr_ext,$O777)&amp;"")</f>
        <v/>
      </c>
      <c r="H777" s="57" t="str">
        <f>IF($O777="","",INDEX(jr_carrier,$O777)&amp;"")</f>
        <v/>
      </c>
      <c r="I777" s="66" t="str">
        <f>IF(A777="","",COUNTIF(jr_num,A777))</f>
        <v/>
      </c>
      <c r="J777" s="66" t="str">
        <f>IF(A777="","",SUMIF(jr_num,A777,jr_colis))</f>
        <v/>
      </c>
      <c r="K777" s="63" t="str">
        <f>IF(A777="","",SUMIF(jr_num,A777,jr_kg))</f>
        <v/>
      </c>
      <c r="L777" s="64" t="str">
        <f>IF(A777="","",SUMIF(jr_num,A777,jr_val))</f>
        <v/>
      </c>
      <c r="M777" s="60" t="str">
        <f>IF(A777="","",IF(COUNTIFS(jr_num,A777,jr_check,"&lt;&gt;OK")&gt;0,"À vérifier",IF(LEFT(A777,2)="BL",IF(COUNTIFS(jr_num,A777,jr_rel,"&gt;0")&gt;0,"Reliquat en cours",IF(COUNTIFS(jr_num,A777,jr_gap,"&lt;0")&gt;0,"Reliquat livré","Complet")),IF(LEFT(A777,2)="BR",IF(COUNTIFS(jr_num,A777,jr_etat,"Refusé")&gt;0,"Refusé",IF(COUNTIFS(jr_num,A777,jr_etat,"Avec réserves")&gt;0,"Avec réserves",IF(COUNTIFS(jr_num,A777,jr_rel,"&gt;0")&gt;0,"Reliquat en cours",IF(COUNTIFS(jr_num,A777,jr_gap,"&lt;0")+COUNTIFS(jr_num,A777,jr_gap,"&gt;0")&gt;0,"Écart","Conforme")))),IF(COUNTIFS(jr_num,A777,jr_gap,"&lt;0")&gt;0,"Partiel","Sorti")))))</f>
        <v/>
      </c>
      <c r="O777" t="str">
        <f>IFERROR(MATCH(772,jr_grank,0),"")</f>
        <v/>
      </c>
      <c r="R777" s="67" t="str">
        <f>IFERROR(INDEX(jr_num,MATCH("BL772",jr_nkey,0))&amp;"","")</f>
        <v/>
      </c>
      <c r="S777" s="67" t="str">
        <f>IFERROR(INDEX(jr_num,MATCH("BR772",jr_nkey,0))&amp;"","")</f>
        <v/>
      </c>
      <c r="T777" s="67" t="str">
        <f>IFERROR(INDEX(jr_num,MATCH("BS772",jr_nkey,0))&amp;"","")</f>
        <v/>
      </c>
    </row>
    <row r="778">
      <c r="A778" s="60" t="str">
        <f>IF($O778="","",INDEX(jr_num,$O778)&amp;"")</f>
        <v/>
      </c>
      <c r="B778" s="60" t="str">
        <f>IF($O778="","",IF(INDEX(jr_type,$O778)="BL","Livraison",IF(INDEX(jr_type,$O778)="BR","Réception","Sortie")))</f>
        <v/>
      </c>
      <c r="C778" s="65" t="str">
        <f>IF($O778="","",INDEX(jr_date,$O778))</f>
        <v/>
      </c>
      <c r="D778" s="60" t="str">
        <f>IF($O778="","",INDEX(jr_tiers,$O778)&amp;"")</f>
        <v/>
      </c>
      <c r="E778" s="57" t="str">
        <f>IF($O778="","",INDEX(jr_name,$O778)&amp;"")</f>
        <v/>
      </c>
      <c r="F778" s="57" t="str">
        <f>IF($O778="","",INDEX(jr_order,$O778)&amp;"")</f>
        <v/>
      </c>
      <c r="G778" s="57" t="str">
        <f>IF($O778="","",INDEX(jr_ext,$O778)&amp;"")</f>
        <v/>
      </c>
      <c r="H778" s="57" t="str">
        <f>IF($O778="","",INDEX(jr_carrier,$O778)&amp;"")</f>
        <v/>
      </c>
      <c r="I778" s="66" t="str">
        <f>IF(A778="","",COUNTIF(jr_num,A778))</f>
        <v/>
      </c>
      <c r="J778" s="66" t="str">
        <f>IF(A778="","",SUMIF(jr_num,A778,jr_colis))</f>
        <v/>
      </c>
      <c r="K778" s="63" t="str">
        <f>IF(A778="","",SUMIF(jr_num,A778,jr_kg))</f>
        <v/>
      </c>
      <c r="L778" s="64" t="str">
        <f>IF(A778="","",SUMIF(jr_num,A778,jr_val))</f>
        <v/>
      </c>
      <c r="M778" s="60" t="str">
        <f>IF(A778="","",IF(COUNTIFS(jr_num,A778,jr_check,"&lt;&gt;OK")&gt;0,"À vérifier",IF(LEFT(A778,2)="BL",IF(COUNTIFS(jr_num,A778,jr_rel,"&gt;0")&gt;0,"Reliquat en cours",IF(COUNTIFS(jr_num,A778,jr_gap,"&lt;0")&gt;0,"Reliquat livré","Complet")),IF(LEFT(A778,2)="BR",IF(COUNTIFS(jr_num,A778,jr_etat,"Refusé")&gt;0,"Refusé",IF(COUNTIFS(jr_num,A778,jr_etat,"Avec réserves")&gt;0,"Avec réserves",IF(COUNTIFS(jr_num,A778,jr_rel,"&gt;0")&gt;0,"Reliquat en cours",IF(COUNTIFS(jr_num,A778,jr_gap,"&lt;0")+COUNTIFS(jr_num,A778,jr_gap,"&gt;0")&gt;0,"Écart","Conforme")))),IF(COUNTIFS(jr_num,A778,jr_gap,"&lt;0")&gt;0,"Partiel","Sorti")))))</f>
        <v/>
      </c>
      <c r="O778" t="str">
        <f>IFERROR(MATCH(773,jr_grank,0),"")</f>
        <v/>
      </c>
      <c r="R778" s="67" t="str">
        <f>IFERROR(INDEX(jr_num,MATCH("BL773",jr_nkey,0))&amp;"","")</f>
        <v/>
      </c>
      <c r="S778" s="67" t="str">
        <f>IFERROR(INDEX(jr_num,MATCH("BR773",jr_nkey,0))&amp;"","")</f>
        <v/>
      </c>
      <c r="T778" s="67" t="str">
        <f>IFERROR(INDEX(jr_num,MATCH("BS773",jr_nkey,0))&amp;"","")</f>
        <v/>
      </c>
    </row>
    <row r="779">
      <c r="A779" s="60" t="str">
        <f>IF($O779="","",INDEX(jr_num,$O779)&amp;"")</f>
        <v/>
      </c>
      <c r="B779" s="60" t="str">
        <f>IF($O779="","",IF(INDEX(jr_type,$O779)="BL","Livraison",IF(INDEX(jr_type,$O779)="BR","Réception","Sortie")))</f>
        <v/>
      </c>
      <c r="C779" s="65" t="str">
        <f>IF($O779="","",INDEX(jr_date,$O779))</f>
        <v/>
      </c>
      <c r="D779" s="60" t="str">
        <f>IF($O779="","",INDEX(jr_tiers,$O779)&amp;"")</f>
        <v/>
      </c>
      <c r="E779" s="57" t="str">
        <f>IF($O779="","",INDEX(jr_name,$O779)&amp;"")</f>
        <v/>
      </c>
      <c r="F779" s="57" t="str">
        <f>IF($O779="","",INDEX(jr_order,$O779)&amp;"")</f>
        <v/>
      </c>
      <c r="G779" s="57" t="str">
        <f>IF($O779="","",INDEX(jr_ext,$O779)&amp;"")</f>
        <v/>
      </c>
      <c r="H779" s="57" t="str">
        <f>IF($O779="","",INDEX(jr_carrier,$O779)&amp;"")</f>
        <v/>
      </c>
      <c r="I779" s="66" t="str">
        <f>IF(A779="","",COUNTIF(jr_num,A779))</f>
        <v/>
      </c>
      <c r="J779" s="66" t="str">
        <f>IF(A779="","",SUMIF(jr_num,A779,jr_colis))</f>
        <v/>
      </c>
      <c r="K779" s="63" t="str">
        <f>IF(A779="","",SUMIF(jr_num,A779,jr_kg))</f>
        <v/>
      </c>
      <c r="L779" s="64" t="str">
        <f>IF(A779="","",SUMIF(jr_num,A779,jr_val))</f>
        <v/>
      </c>
      <c r="M779" s="60" t="str">
        <f>IF(A779="","",IF(COUNTIFS(jr_num,A779,jr_check,"&lt;&gt;OK")&gt;0,"À vérifier",IF(LEFT(A779,2)="BL",IF(COUNTIFS(jr_num,A779,jr_rel,"&gt;0")&gt;0,"Reliquat en cours",IF(COUNTIFS(jr_num,A779,jr_gap,"&lt;0")&gt;0,"Reliquat livré","Complet")),IF(LEFT(A779,2)="BR",IF(COUNTIFS(jr_num,A779,jr_etat,"Refusé")&gt;0,"Refusé",IF(COUNTIFS(jr_num,A779,jr_etat,"Avec réserves")&gt;0,"Avec réserves",IF(COUNTIFS(jr_num,A779,jr_rel,"&gt;0")&gt;0,"Reliquat en cours",IF(COUNTIFS(jr_num,A779,jr_gap,"&lt;0")+COUNTIFS(jr_num,A779,jr_gap,"&gt;0")&gt;0,"Écart","Conforme")))),IF(COUNTIFS(jr_num,A779,jr_gap,"&lt;0")&gt;0,"Partiel","Sorti")))))</f>
        <v/>
      </c>
      <c r="O779" t="str">
        <f>IFERROR(MATCH(774,jr_grank,0),"")</f>
        <v/>
      </c>
      <c r="R779" s="67" t="str">
        <f>IFERROR(INDEX(jr_num,MATCH("BL774",jr_nkey,0))&amp;"","")</f>
        <v/>
      </c>
      <c r="S779" s="67" t="str">
        <f>IFERROR(INDEX(jr_num,MATCH("BR774",jr_nkey,0))&amp;"","")</f>
        <v/>
      </c>
      <c r="T779" s="67" t="str">
        <f>IFERROR(INDEX(jr_num,MATCH("BS774",jr_nkey,0))&amp;"","")</f>
        <v/>
      </c>
    </row>
    <row r="780">
      <c r="A780" s="60" t="str">
        <f>IF($O780="","",INDEX(jr_num,$O780)&amp;"")</f>
        <v/>
      </c>
      <c r="B780" s="60" t="str">
        <f>IF($O780="","",IF(INDEX(jr_type,$O780)="BL","Livraison",IF(INDEX(jr_type,$O780)="BR","Réception","Sortie")))</f>
        <v/>
      </c>
      <c r="C780" s="65" t="str">
        <f>IF($O780="","",INDEX(jr_date,$O780))</f>
        <v/>
      </c>
      <c r="D780" s="60" t="str">
        <f>IF($O780="","",INDEX(jr_tiers,$O780)&amp;"")</f>
        <v/>
      </c>
      <c r="E780" s="57" t="str">
        <f>IF($O780="","",INDEX(jr_name,$O780)&amp;"")</f>
        <v/>
      </c>
      <c r="F780" s="57" t="str">
        <f>IF($O780="","",INDEX(jr_order,$O780)&amp;"")</f>
        <v/>
      </c>
      <c r="G780" s="57" t="str">
        <f>IF($O780="","",INDEX(jr_ext,$O780)&amp;"")</f>
        <v/>
      </c>
      <c r="H780" s="57" t="str">
        <f>IF($O780="","",INDEX(jr_carrier,$O780)&amp;"")</f>
        <v/>
      </c>
      <c r="I780" s="66" t="str">
        <f>IF(A780="","",COUNTIF(jr_num,A780))</f>
        <v/>
      </c>
      <c r="J780" s="66" t="str">
        <f>IF(A780="","",SUMIF(jr_num,A780,jr_colis))</f>
        <v/>
      </c>
      <c r="K780" s="63" t="str">
        <f>IF(A780="","",SUMIF(jr_num,A780,jr_kg))</f>
        <v/>
      </c>
      <c r="L780" s="64" t="str">
        <f>IF(A780="","",SUMIF(jr_num,A780,jr_val))</f>
        <v/>
      </c>
      <c r="M780" s="60" t="str">
        <f>IF(A780="","",IF(COUNTIFS(jr_num,A780,jr_check,"&lt;&gt;OK")&gt;0,"À vérifier",IF(LEFT(A780,2)="BL",IF(COUNTIFS(jr_num,A780,jr_rel,"&gt;0")&gt;0,"Reliquat en cours",IF(COUNTIFS(jr_num,A780,jr_gap,"&lt;0")&gt;0,"Reliquat livré","Complet")),IF(LEFT(A780,2)="BR",IF(COUNTIFS(jr_num,A780,jr_etat,"Refusé")&gt;0,"Refusé",IF(COUNTIFS(jr_num,A780,jr_etat,"Avec réserves")&gt;0,"Avec réserves",IF(COUNTIFS(jr_num,A780,jr_rel,"&gt;0")&gt;0,"Reliquat en cours",IF(COUNTIFS(jr_num,A780,jr_gap,"&lt;0")+COUNTIFS(jr_num,A780,jr_gap,"&gt;0")&gt;0,"Écart","Conforme")))),IF(COUNTIFS(jr_num,A780,jr_gap,"&lt;0")&gt;0,"Partiel","Sorti")))))</f>
        <v/>
      </c>
      <c r="O780" t="str">
        <f>IFERROR(MATCH(775,jr_grank,0),"")</f>
        <v/>
      </c>
      <c r="R780" s="67" t="str">
        <f>IFERROR(INDEX(jr_num,MATCH("BL775",jr_nkey,0))&amp;"","")</f>
        <v/>
      </c>
      <c r="S780" s="67" t="str">
        <f>IFERROR(INDEX(jr_num,MATCH("BR775",jr_nkey,0))&amp;"","")</f>
        <v/>
      </c>
      <c r="T780" s="67" t="str">
        <f>IFERROR(INDEX(jr_num,MATCH("BS775",jr_nkey,0))&amp;"","")</f>
        <v/>
      </c>
    </row>
    <row r="781">
      <c r="A781" s="60" t="str">
        <f>IF($O781="","",INDEX(jr_num,$O781)&amp;"")</f>
        <v/>
      </c>
      <c r="B781" s="60" t="str">
        <f>IF($O781="","",IF(INDEX(jr_type,$O781)="BL","Livraison",IF(INDEX(jr_type,$O781)="BR","Réception","Sortie")))</f>
        <v/>
      </c>
      <c r="C781" s="65" t="str">
        <f>IF($O781="","",INDEX(jr_date,$O781))</f>
        <v/>
      </c>
      <c r="D781" s="60" t="str">
        <f>IF($O781="","",INDEX(jr_tiers,$O781)&amp;"")</f>
        <v/>
      </c>
      <c r="E781" s="57" t="str">
        <f>IF($O781="","",INDEX(jr_name,$O781)&amp;"")</f>
        <v/>
      </c>
      <c r="F781" s="57" t="str">
        <f>IF($O781="","",INDEX(jr_order,$O781)&amp;"")</f>
        <v/>
      </c>
      <c r="G781" s="57" t="str">
        <f>IF($O781="","",INDEX(jr_ext,$O781)&amp;"")</f>
        <v/>
      </c>
      <c r="H781" s="57" t="str">
        <f>IF($O781="","",INDEX(jr_carrier,$O781)&amp;"")</f>
        <v/>
      </c>
      <c r="I781" s="66" t="str">
        <f>IF(A781="","",COUNTIF(jr_num,A781))</f>
        <v/>
      </c>
      <c r="J781" s="66" t="str">
        <f>IF(A781="","",SUMIF(jr_num,A781,jr_colis))</f>
        <v/>
      </c>
      <c r="K781" s="63" t="str">
        <f>IF(A781="","",SUMIF(jr_num,A781,jr_kg))</f>
        <v/>
      </c>
      <c r="L781" s="64" t="str">
        <f>IF(A781="","",SUMIF(jr_num,A781,jr_val))</f>
        <v/>
      </c>
      <c r="M781" s="60" t="str">
        <f>IF(A781="","",IF(COUNTIFS(jr_num,A781,jr_check,"&lt;&gt;OK")&gt;0,"À vérifier",IF(LEFT(A781,2)="BL",IF(COUNTIFS(jr_num,A781,jr_rel,"&gt;0")&gt;0,"Reliquat en cours",IF(COUNTIFS(jr_num,A781,jr_gap,"&lt;0")&gt;0,"Reliquat livré","Complet")),IF(LEFT(A781,2)="BR",IF(COUNTIFS(jr_num,A781,jr_etat,"Refusé")&gt;0,"Refusé",IF(COUNTIFS(jr_num,A781,jr_etat,"Avec réserves")&gt;0,"Avec réserves",IF(COUNTIFS(jr_num,A781,jr_rel,"&gt;0")&gt;0,"Reliquat en cours",IF(COUNTIFS(jr_num,A781,jr_gap,"&lt;0")+COUNTIFS(jr_num,A781,jr_gap,"&gt;0")&gt;0,"Écart","Conforme")))),IF(COUNTIFS(jr_num,A781,jr_gap,"&lt;0")&gt;0,"Partiel","Sorti")))))</f>
        <v/>
      </c>
      <c r="O781" t="str">
        <f>IFERROR(MATCH(776,jr_grank,0),"")</f>
        <v/>
      </c>
      <c r="R781" s="67" t="str">
        <f>IFERROR(INDEX(jr_num,MATCH("BL776",jr_nkey,0))&amp;"","")</f>
        <v/>
      </c>
      <c r="S781" s="67" t="str">
        <f>IFERROR(INDEX(jr_num,MATCH("BR776",jr_nkey,0))&amp;"","")</f>
        <v/>
      </c>
      <c r="T781" s="67" t="str">
        <f>IFERROR(INDEX(jr_num,MATCH("BS776",jr_nkey,0))&amp;"","")</f>
        <v/>
      </c>
    </row>
    <row r="782">
      <c r="A782" s="60" t="str">
        <f>IF($O782="","",INDEX(jr_num,$O782)&amp;"")</f>
        <v/>
      </c>
      <c r="B782" s="60" t="str">
        <f>IF($O782="","",IF(INDEX(jr_type,$O782)="BL","Livraison",IF(INDEX(jr_type,$O782)="BR","Réception","Sortie")))</f>
        <v/>
      </c>
      <c r="C782" s="65" t="str">
        <f>IF($O782="","",INDEX(jr_date,$O782))</f>
        <v/>
      </c>
      <c r="D782" s="60" t="str">
        <f>IF($O782="","",INDEX(jr_tiers,$O782)&amp;"")</f>
        <v/>
      </c>
      <c r="E782" s="57" t="str">
        <f>IF($O782="","",INDEX(jr_name,$O782)&amp;"")</f>
        <v/>
      </c>
      <c r="F782" s="57" t="str">
        <f>IF($O782="","",INDEX(jr_order,$O782)&amp;"")</f>
        <v/>
      </c>
      <c r="G782" s="57" t="str">
        <f>IF($O782="","",INDEX(jr_ext,$O782)&amp;"")</f>
        <v/>
      </c>
      <c r="H782" s="57" t="str">
        <f>IF($O782="","",INDEX(jr_carrier,$O782)&amp;"")</f>
        <v/>
      </c>
      <c r="I782" s="66" t="str">
        <f>IF(A782="","",COUNTIF(jr_num,A782))</f>
        <v/>
      </c>
      <c r="J782" s="66" t="str">
        <f>IF(A782="","",SUMIF(jr_num,A782,jr_colis))</f>
        <v/>
      </c>
      <c r="K782" s="63" t="str">
        <f>IF(A782="","",SUMIF(jr_num,A782,jr_kg))</f>
        <v/>
      </c>
      <c r="L782" s="64" t="str">
        <f>IF(A782="","",SUMIF(jr_num,A782,jr_val))</f>
        <v/>
      </c>
      <c r="M782" s="60" t="str">
        <f>IF(A782="","",IF(COUNTIFS(jr_num,A782,jr_check,"&lt;&gt;OK")&gt;0,"À vérifier",IF(LEFT(A782,2)="BL",IF(COUNTIFS(jr_num,A782,jr_rel,"&gt;0")&gt;0,"Reliquat en cours",IF(COUNTIFS(jr_num,A782,jr_gap,"&lt;0")&gt;0,"Reliquat livré","Complet")),IF(LEFT(A782,2)="BR",IF(COUNTIFS(jr_num,A782,jr_etat,"Refusé")&gt;0,"Refusé",IF(COUNTIFS(jr_num,A782,jr_etat,"Avec réserves")&gt;0,"Avec réserves",IF(COUNTIFS(jr_num,A782,jr_rel,"&gt;0")&gt;0,"Reliquat en cours",IF(COUNTIFS(jr_num,A782,jr_gap,"&lt;0")+COUNTIFS(jr_num,A782,jr_gap,"&gt;0")&gt;0,"Écart","Conforme")))),IF(COUNTIFS(jr_num,A782,jr_gap,"&lt;0")&gt;0,"Partiel","Sorti")))))</f>
        <v/>
      </c>
      <c r="O782" t="str">
        <f>IFERROR(MATCH(777,jr_grank,0),"")</f>
        <v/>
      </c>
      <c r="R782" s="67" t="str">
        <f>IFERROR(INDEX(jr_num,MATCH("BL777",jr_nkey,0))&amp;"","")</f>
        <v/>
      </c>
      <c r="S782" s="67" t="str">
        <f>IFERROR(INDEX(jr_num,MATCH("BR777",jr_nkey,0))&amp;"","")</f>
        <v/>
      </c>
      <c r="T782" s="67" t="str">
        <f>IFERROR(INDEX(jr_num,MATCH("BS777",jr_nkey,0))&amp;"","")</f>
        <v/>
      </c>
    </row>
    <row r="783">
      <c r="A783" s="60" t="str">
        <f>IF($O783="","",INDEX(jr_num,$O783)&amp;"")</f>
        <v/>
      </c>
      <c r="B783" s="60" t="str">
        <f>IF($O783="","",IF(INDEX(jr_type,$O783)="BL","Livraison",IF(INDEX(jr_type,$O783)="BR","Réception","Sortie")))</f>
        <v/>
      </c>
      <c r="C783" s="65" t="str">
        <f>IF($O783="","",INDEX(jr_date,$O783))</f>
        <v/>
      </c>
      <c r="D783" s="60" t="str">
        <f>IF($O783="","",INDEX(jr_tiers,$O783)&amp;"")</f>
        <v/>
      </c>
      <c r="E783" s="57" t="str">
        <f>IF($O783="","",INDEX(jr_name,$O783)&amp;"")</f>
        <v/>
      </c>
      <c r="F783" s="57" t="str">
        <f>IF($O783="","",INDEX(jr_order,$O783)&amp;"")</f>
        <v/>
      </c>
      <c r="G783" s="57" t="str">
        <f>IF($O783="","",INDEX(jr_ext,$O783)&amp;"")</f>
        <v/>
      </c>
      <c r="H783" s="57" t="str">
        <f>IF($O783="","",INDEX(jr_carrier,$O783)&amp;"")</f>
        <v/>
      </c>
      <c r="I783" s="66" t="str">
        <f>IF(A783="","",COUNTIF(jr_num,A783))</f>
        <v/>
      </c>
      <c r="J783" s="66" t="str">
        <f>IF(A783="","",SUMIF(jr_num,A783,jr_colis))</f>
        <v/>
      </c>
      <c r="K783" s="63" t="str">
        <f>IF(A783="","",SUMIF(jr_num,A783,jr_kg))</f>
        <v/>
      </c>
      <c r="L783" s="64" t="str">
        <f>IF(A783="","",SUMIF(jr_num,A783,jr_val))</f>
        <v/>
      </c>
      <c r="M783" s="60" t="str">
        <f>IF(A783="","",IF(COUNTIFS(jr_num,A783,jr_check,"&lt;&gt;OK")&gt;0,"À vérifier",IF(LEFT(A783,2)="BL",IF(COUNTIFS(jr_num,A783,jr_rel,"&gt;0")&gt;0,"Reliquat en cours",IF(COUNTIFS(jr_num,A783,jr_gap,"&lt;0")&gt;0,"Reliquat livré","Complet")),IF(LEFT(A783,2)="BR",IF(COUNTIFS(jr_num,A783,jr_etat,"Refusé")&gt;0,"Refusé",IF(COUNTIFS(jr_num,A783,jr_etat,"Avec réserves")&gt;0,"Avec réserves",IF(COUNTIFS(jr_num,A783,jr_rel,"&gt;0")&gt;0,"Reliquat en cours",IF(COUNTIFS(jr_num,A783,jr_gap,"&lt;0")+COUNTIFS(jr_num,A783,jr_gap,"&gt;0")&gt;0,"Écart","Conforme")))),IF(COUNTIFS(jr_num,A783,jr_gap,"&lt;0")&gt;0,"Partiel","Sorti")))))</f>
        <v/>
      </c>
      <c r="O783" t="str">
        <f>IFERROR(MATCH(778,jr_grank,0),"")</f>
        <v/>
      </c>
      <c r="R783" s="67" t="str">
        <f>IFERROR(INDEX(jr_num,MATCH("BL778",jr_nkey,0))&amp;"","")</f>
        <v/>
      </c>
      <c r="S783" s="67" t="str">
        <f>IFERROR(INDEX(jr_num,MATCH("BR778",jr_nkey,0))&amp;"","")</f>
        <v/>
      </c>
      <c r="T783" s="67" t="str">
        <f>IFERROR(INDEX(jr_num,MATCH("BS778",jr_nkey,0))&amp;"","")</f>
        <v/>
      </c>
    </row>
    <row r="784">
      <c r="A784" s="60" t="str">
        <f>IF($O784="","",INDEX(jr_num,$O784)&amp;"")</f>
        <v/>
      </c>
      <c r="B784" s="60" t="str">
        <f>IF($O784="","",IF(INDEX(jr_type,$O784)="BL","Livraison",IF(INDEX(jr_type,$O784)="BR","Réception","Sortie")))</f>
        <v/>
      </c>
      <c r="C784" s="65" t="str">
        <f>IF($O784="","",INDEX(jr_date,$O784))</f>
        <v/>
      </c>
      <c r="D784" s="60" t="str">
        <f>IF($O784="","",INDEX(jr_tiers,$O784)&amp;"")</f>
        <v/>
      </c>
      <c r="E784" s="57" t="str">
        <f>IF($O784="","",INDEX(jr_name,$O784)&amp;"")</f>
        <v/>
      </c>
      <c r="F784" s="57" t="str">
        <f>IF($O784="","",INDEX(jr_order,$O784)&amp;"")</f>
        <v/>
      </c>
      <c r="G784" s="57" t="str">
        <f>IF($O784="","",INDEX(jr_ext,$O784)&amp;"")</f>
        <v/>
      </c>
      <c r="H784" s="57" t="str">
        <f>IF($O784="","",INDEX(jr_carrier,$O784)&amp;"")</f>
        <v/>
      </c>
      <c r="I784" s="66" t="str">
        <f>IF(A784="","",COUNTIF(jr_num,A784))</f>
        <v/>
      </c>
      <c r="J784" s="66" t="str">
        <f>IF(A784="","",SUMIF(jr_num,A784,jr_colis))</f>
        <v/>
      </c>
      <c r="K784" s="63" t="str">
        <f>IF(A784="","",SUMIF(jr_num,A784,jr_kg))</f>
        <v/>
      </c>
      <c r="L784" s="64" t="str">
        <f>IF(A784="","",SUMIF(jr_num,A784,jr_val))</f>
        <v/>
      </c>
      <c r="M784" s="60" t="str">
        <f>IF(A784="","",IF(COUNTIFS(jr_num,A784,jr_check,"&lt;&gt;OK")&gt;0,"À vérifier",IF(LEFT(A784,2)="BL",IF(COUNTIFS(jr_num,A784,jr_rel,"&gt;0")&gt;0,"Reliquat en cours",IF(COUNTIFS(jr_num,A784,jr_gap,"&lt;0")&gt;0,"Reliquat livré","Complet")),IF(LEFT(A784,2)="BR",IF(COUNTIFS(jr_num,A784,jr_etat,"Refusé")&gt;0,"Refusé",IF(COUNTIFS(jr_num,A784,jr_etat,"Avec réserves")&gt;0,"Avec réserves",IF(COUNTIFS(jr_num,A784,jr_rel,"&gt;0")&gt;0,"Reliquat en cours",IF(COUNTIFS(jr_num,A784,jr_gap,"&lt;0")+COUNTIFS(jr_num,A784,jr_gap,"&gt;0")&gt;0,"Écart","Conforme")))),IF(COUNTIFS(jr_num,A784,jr_gap,"&lt;0")&gt;0,"Partiel","Sorti")))))</f>
        <v/>
      </c>
      <c r="O784" t="str">
        <f>IFERROR(MATCH(779,jr_grank,0),"")</f>
        <v/>
      </c>
      <c r="R784" s="67" t="str">
        <f>IFERROR(INDEX(jr_num,MATCH("BL779",jr_nkey,0))&amp;"","")</f>
        <v/>
      </c>
      <c r="S784" s="67" t="str">
        <f>IFERROR(INDEX(jr_num,MATCH("BR779",jr_nkey,0))&amp;"","")</f>
        <v/>
      </c>
      <c r="T784" s="67" t="str">
        <f>IFERROR(INDEX(jr_num,MATCH("BS779",jr_nkey,0))&amp;"","")</f>
        <v/>
      </c>
    </row>
    <row r="785">
      <c r="A785" s="60" t="str">
        <f>IF($O785="","",INDEX(jr_num,$O785)&amp;"")</f>
        <v/>
      </c>
      <c r="B785" s="60" t="str">
        <f>IF($O785="","",IF(INDEX(jr_type,$O785)="BL","Livraison",IF(INDEX(jr_type,$O785)="BR","Réception","Sortie")))</f>
        <v/>
      </c>
      <c r="C785" s="65" t="str">
        <f>IF($O785="","",INDEX(jr_date,$O785))</f>
        <v/>
      </c>
      <c r="D785" s="60" t="str">
        <f>IF($O785="","",INDEX(jr_tiers,$O785)&amp;"")</f>
        <v/>
      </c>
      <c r="E785" s="57" t="str">
        <f>IF($O785="","",INDEX(jr_name,$O785)&amp;"")</f>
        <v/>
      </c>
      <c r="F785" s="57" t="str">
        <f>IF($O785="","",INDEX(jr_order,$O785)&amp;"")</f>
        <v/>
      </c>
      <c r="G785" s="57" t="str">
        <f>IF($O785="","",INDEX(jr_ext,$O785)&amp;"")</f>
        <v/>
      </c>
      <c r="H785" s="57" t="str">
        <f>IF($O785="","",INDEX(jr_carrier,$O785)&amp;"")</f>
        <v/>
      </c>
      <c r="I785" s="66" t="str">
        <f>IF(A785="","",COUNTIF(jr_num,A785))</f>
        <v/>
      </c>
      <c r="J785" s="66" t="str">
        <f>IF(A785="","",SUMIF(jr_num,A785,jr_colis))</f>
        <v/>
      </c>
      <c r="K785" s="63" t="str">
        <f>IF(A785="","",SUMIF(jr_num,A785,jr_kg))</f>
        <v/>
      </c>
      <c r="L785" s="64" t="str">
        <f>IF(A785="","",SUMIF(jr_num,A785,jr_val))</f>
        <v/>
      </c>
      <c r="M785" s="60" t="str">
        <f>IF(A785="","",IF(COUNTIFS(jr_num,A785,jr_check,"&lt;&gt;OK")&gt;0,"À vérifier",IF(LEFT(A785,2)="BL",IF(COUNTIFS(jr_num,A785,jr_rel,"&gt;0")&gt;0,"Reliquat en cours",IF(COUNTIFS(jr_num,A785,jr_gap,"&lt;0")&gt;0,"Reliquat livré","Complet")),IF(LEFT(A785,2)="BR",IF(COUNTIFS(jr_num,A785,jr_etat,"Refusé")&gt;0,"Refusé",IF(COUNTIFS(jr_num,A785,jr_etat,"Avec réserves")&gt;0,"Avec réserves",IF(COUNTIFS(jr_num,A785,jr_rel,"&gt;0")&gt;0,"Reliquat en cours",IF(COUNTIFS(jr_num,A785,jr_gap,"&lt;0")+COUNTIFS(jr_num,A785,jr_gap,"&gt;0")&gt;0,"Écart","Conforme")))),IF(COUNTIFS(jr_num,A785,jr_gap,"&lt;0")&gt;0,"Partiel","Sorti")))))</f>
        <v/>
      </c>
      <c r="O785" t="str">
        <f>IFERROR(MATCH(780,jr_grank,0),"")</f>
        <v/>
      </c>
      <c r="R785" s="67" t="str">
        <f>IFERROR(INDEX(jr_num,MATCH("BL780",jr_nkey,0))&amp;"","")</f>
        <v/>
      </c>
      <c r="S785" s="67" t="str">
        <f>IFERROR(INDEX(jr_num,MATCH("BR780",jr_nkey,0))&amp;"","")</f>
        <v/>
      </c>
      <c r="T785" s="67" t="str">
        <f>IFERROR(INDEX(jr_num,MATCH("BS780",jr_nkey,0))&amp;"","")</f>
        <v/>
      </c>
    </row>
    <row r="786">
      <c r="A786" s="60" t="str">
        <f>IF($O786="","",INDEX(jr_num,$O786)&amp;"")</f>
        <v/>
      </c>
      <c r="B786" s="60" t="str">
        <f>IF($O786="","",IF(INDEX(jr_type,$O786)="BL","Livraison",IF(INDEX(jr_type,$O786)="BR","Réception","Sortie")))</f>
        <v/>
      </c>
      <c r="C786" s="65" t="str">
        <f>IF($O786="","",INDEX(jr_date,$O786))</f>
        <v/>
      </c>
      <c r="D786" s="60" t="str">
        <f>IF($O786="","",INDEX(jr_tiers,$O786)&amp;"")</f>
        <v/>
      </c>
      <c r="E786" s="57" t="str">
        <f>IF($O786="","",INDEX(jr_name,$O786)&amp;"")</f>
        <v/>
      </c>
      <c r="F786" s="57" t="str">
        <f>IF($O786="","",INDEX(jr_order,$O786)&amp;"")</f>
        <v/>
      </c>
      <c r="G786" s="57" t="str">
        <f>IF($O786="","",INDEX(jr_ext,$O786)&amp;"")</f>
        <v/>
      </c>
      <c r="H786" s="57" t="str">
        <f>IF($O786="","",INDEX(jr_carrier,$O786)&amp;"")</f>
        <v/>
      </c>
      <c r="I786" s="66" t="str">
        <f>IF(A786="","",COUNTIF(jr_num,A786))</f>
        <v/>
      </c>
      <c r="J786" s="66" t="str">
        <f>IF(A786="","",SUMIF(jr_num,A786,jr_colis))</f>
        <v/>
      </c>
      <c r="K786" s="63" t="str">
        <f>IF(A786="","",SUMIF(jr_num,A786,jr_kg))</f>
        <v/>
      </c>
      <c r="L786" s="64" t="str">
        <f>IF(A786="","",SUMIF(jr_num,A786,jr_val))</f>
        <v/>
      </c>
      <c r="M786" s="60" t="str">
        <f>IF(A786="","",IF(COUNTIFS(jr_num,A786,jr_check,"&lt;&gt;OK")&gt;0,"À vérifier",IF(LEFT(A786,2)="BL",IF(COUNTIFS(jr_num,A786,jr_rel,"&gt;0")&gt;0,"Reliquat en cours",IF(COUNTIFS(jr_num,A786,jr_gap,"&lt;0")&gt;0,"Reliquat livré","Complet")),IF(LEFT(A786,2)="BR",IF(COUNTIFS(jr_num,A786,jr_etat,"Refusé")&gt;0,"Refusé",IF(COUNTIFS(jr_num,A786,jr_etat,"Avec réserves")&gt;0,"Avec réserves",IF(COUNTIFS(jr_num,A786,jr_rel,"&gt;0")&gt;0,"Reliquat en cours",IF(COUNTIFS(jr_num,A786,jr_gap,"&lt;0")+COUNTIFS(jr_num,A786,jr_gap,"&gt;0")&gt;0,"Écart","Conforme")))),IF(COUNTIFS(jr_num,A786,jr_gap,"&lt;0")&gt;0,"Partiel","Sorti")))))</f>
        <v/>
      </c>
      <c r="O786" t="str">
        <f>IFERROR(MATCH(781,jr_grank,0),"")</f>
        <v/>
      </c>
      <c r="R786" s="67" t="str">
        <f>IFERROR(INDEX(jr_num,MATCH("BL781",jr_nkey,0))&amp;"","")</f>
        <v/>
      </c>
      <c r="S786" s="67" t="str">
        <f>IFERROR(INDEX(jr_num,MATCH("BR781",jr_nkey,0))&amp;"","")</f>
        <v/>
      </c>
      <c r="T786" s="67" t="str">
        <f>IFERROR(INDEX(jr_num,MATCH("BS781",jr_nkey,0))&amp;"","")</f>
        <v/>
      </c>
    </row>
    <row r="787">
      <c r="A787" s="60" t="str">
        <f>IF($O787="","",INDEX(jr_num,$O787)&amp;"")</f>
        <v/>
      </c>
      <c r="B787" s="60" t="str">
        <f>IF($O787="","",IF(INDEX(jr_type,$O787)="BL","Livraison",IF(INDEX(jr_type,$O787)="BR","Réception","Sortie")))</f>
        <v/>
      </c>
      <c r="C787" s="65" t="str">
        <f>IF($O787="","",INDEX(jr_date,$O787))</f>
        <v/>
      </c>
      <c r="D787" s="60" t="str">
        <f>IF($O787="","",INDEX(jr_tiers,$O787)&amp;"")</f>
        <v/>
      </c>
      <c r="E787" s="57" t="str">
        <f>IF($O787="","",INDEX(jr_name,$O787)&amp;"")</f>
        <v/>
      </c>
      <c r="F787" s="57" t="str">
        <f>IF($O787="","",INDEX(jr_order,$O787)&amp;"")</f>
        <v/>
      </c>
      <c r="G787" s="57" t="str">
        <f>IF($O787="","",INDEX(jr_ext,$O787)&amp;"")</f>
        <v/>
      </c>
      <c r="H787" s="57" t="str">
        <f>IF($O787="","",INDEX(jr_carrier,$O787)&amp;"")</f>
        <v/>
      </c>
      <c r="I787" s="66" t="str">
        <f>IF(A787="","",COUNTIF(jr_num,A787))</f>
        <v/>
      </c>
      <c r="J787" s="66" t="str">
        <f>IF(A787="","",SUMIF(jr_num,A787,jr_colis))</f>
        <v/>
      </c>
      <c r="K787" s="63" t="str">
        <f>IF(A787="","",SUMIF(jr_num,A787,jr_kg))</f>
        <v/>
      </c>
      <c r="L787" s="64" t="str">
        <f>IF(A787="","",SUMIF(jr_num,A787,jr_val))</f>
        <v/>
      </c>
      <c r="M787" s="60" t="str">
        <f>IF(A787="","",IF(COUNTIFS(jr_num,A787,jr_check,"&lt;&gt;OK")&gt;0,"À vérifier",IF(LEFT(A787,2)="BL",IF(COUNTIFS(jr_num,A787,jr_rel,"&gt;0")&gt;0,"Reliquat en cours",IF(COUNTIFS(jr_num,A787,jr_gap,"&lt;0")&gt;0,"Reliquat livré","Complet")),IF(LEFT(A787,2)="BR",IF(COUNTIFS(jr_num,A787,jr_etat,"Refusé")&gt;0,"Refusé",IF(COUNTIFS(jr_num,A787,jr_etat,"Avec réserves")&gt;0,"Avec réserves",IF(COUNTIFS(jr_num,A787,jr_rel,"&gt;0")&gt;0,"Reliquat en cours",IF(COUNTIFS(jr_num,A787,jr_gap,"&lt;0")+COUNTIFS(jr_num,A787,jr_gap,"&gt;0")&gt;0,"Écart","Conforme")))),IF(COUNTIFS(jr_num,A787,jr_gap,"&lt;0")&gt;0,"Partiel","Sorti")))))</f>
        <v/>
      </c>
      <c r="O787" t="str">
        <f>IFERROR(MATCH(782,jr_grank,0),"")</f>
        <v/>
      </c>
      <c r="R787" s="67" t="str">
        <f>IFERROR(INDEX(jr_num,MATCH("BL782",jr_nkey,0))&amp;"","")</f>
        <v/>
      </c>
      <c r="S787" s="67" t="str">
        <f>IFERROR(INDEX(jr_num,MATCH("BR782",jr_nkey,0))&amp;"","")</f>
        <v/>
      </c>
      <c r="T787" s="67" t="str">
        <f>IFERROR(INDEX(jr_num,MATCH("BS782",jr_nkey,0))&amp;"","")</f>
        <v/>
      </c>
    </row>
    <row r="788">
      <c r="A788" s="60" t="str">
        <f>IF($O788="","",INDEX(jr_num,$O788)&amp;"")</f>
        <v/>
      </c>
      <c r="B788" s="60" t="str">
        <f>IF($O788="","",IF(INDEX(jr_type,$O788)="BL","Livraison",IF(INDEX(jr_type,$O788)="BR","Réception","Sortie")))</f>
        <v/>
      </c>
      <c r="C788" s="65" t="str">
        <f>IF($O788="","",INDEX(jr_date,$O788))</f>
        <v/>
      </c>
      <c r="D788" s="60" t="str">
        <f>IF($O788="","",INDEX(jr_tiers,$O788)&amp;"")</f>
        <v/>
      </c>
      <c r="E788" s="57" t="str">
        <f>IF($O788="","",INDEX(jr_name,$O788)&amp;"")</f>
        <v/>
      </c>
      <c r="F788" s="57" t="str">
        <f>IF($O788="","",INDEX(jr_order,$O788)&amp;"")</f>
        <v/>
      </c>
      <c r="G788" s="57" t="str">
        <f>IF($O788="","",INDEX(jr_ext,$O788)&amp;"")</f>
        <v/>
      </c>
      <c r="H788" s="57" t="str">
        <f>IF($O788="","",INDEX(jr_carrier,$O788)&amp;"")</f>
        <v/>
      </c>
      <c r="I788" s="66" t="str">
        <f>IF(A788="","",COUNTIF(jr_num,A788))</f>
        <v/>
      </c>
      <c r="J788" s="66" t="str">
        <f>IF(A788="","",SUMIF(jr_num,A788,jr_colis))</f>
        <v/>
      </c>
      <c r="K788" s="63" t="str">
        <f>IF(A788="","",SUMIF(jr_num,A788,jr_kg))</f>
        <v/>
      </c>
      <c r="L788" s="64" t="str">
        <f>IF(A788="","",SUMIF(jr_num,A788,jr_val))</f>
        <v/>
      </c>
      <c r="M788" s="60" t="str">
        <f>IF(A788="","",IF(COUNTIFS(jr_num,A788,jr_check,"&lt;&gt;OK")&gt;0,"À vérifier",IF(LEFT(A788,2)="BL",IF(COUNTIFS(jr_num,A788,jr_rel,"&gt;0")&gt;0,"Reliquat en cours",IF(COUNTIFS(jr_num,A788,jr_gap,"&lt;0")&gt;0,"Reliquat livré","Complet")),IF(LEFT(A788,2)="BR",IF(COUNTIFS(jr_num,A788,jr_etat,"Refusé")&gt;0,"Refusé",IF(COUNTIFS(jr_num,A788,jr_etat,"Avec réserves")&gt;0,"Avec réserves",IF(COUNTIFS(jr_num,A788,jr_rel,"&gt;0")&gt;0,"Reliquat en cours",IF(COUNTIFS(jr_num,A788,jr_gap,"&lt;0")+COUNTIFS(jr_num,A788,jr_gap,"&gt;0")&gt;0,"Écart","Conforme")))),IF(COUNTIFS(jr_num,A788,jr_gap,"&lt;0")&gt;0,"Partiel","Sorti")))))</f>
        <v/>
      </c>
      <c r="O788" t="str">
        <f>IFERROR(MATCH(783,jr_grank,0),"")</f>
        <v/>
      </c>
      <c r="R788" s="67" t="str">
        <f>IFERROR(INDEX(jr_num,MATCH("BL783",jr_nkey,0))&amp;"","")</f>
        <v/>
      </c>
      <c r="S788" s="67" t="str">
        <f>IFERROR(INDEX(jr_num,MATCH("BR783",jr_nkey,0))&amp;"","")</f>
        <v/>
      </c>
      <c r="T788" s="67" t="str">
        <f>IFERROR(INDEX(jr_num,MATCH("BS783",jr_nkey,0))&amp;"","")</f>
        <v/>
      </c>
    </row>
    <row r="789">
      <c r="A789" s="60" t="str">
        <f>IF($O789="","",INDEX(jr_num,$O789)&amp;"")</f>
        <v/>
      </c>
      <c r="B789" s="60" t="str">
        <f>IF($O789="","",IF(INDEX(jr_type,$O789)="BL","Livraison",IF(INDEX(jr_type,$O789)="BR","Réception","Sortie")))</f>
        <v/>
      </c>
      <c r="C789" s="65" t="str">
        <f>IF($O789="","",INDEX(jr_date,$O789))</f>
        <v/>
      </c>
      <c r="D789" s="60" t="str">
        <f>IF($O789="","",INDEX(jr_tiers,$O789)&amp;"")</f>
        <v/>
      </c>
      <c r="E789" s="57" t="str">
        <f>IF($O789="","",INDEX(jr_name,$O789)&amp;"")</f>
        <v/>
      </c>
      <c r="F789" s="57" t="str">
        <f>IF($O789="","",INDEX(jr_order,$O789)&amp;"")</f>
        <v/>
      </c>
      <c r="G789" s="57" t="str">
        <f>IF($O789="","",INDEX(jr_ext,$O789)&amp;"")</f>
        <v/>
      </c>
      <c r="H789" s="57" t="str">
        <f>IF($O789="","",INDEX(jr_carrier,$O789)&amp;"")</f>
        <v/>
      </c>
      <c r="I789" s="66" t="str">
        <f>IF(A789="","",COUNTIF(jr_num,A789))</f>
        <v/>
      </c>
      <c r="J789" s="66" t="str">
        <f>IF(A789="","",SUMIF(jr_num,A789,jr_colis))</f>
        <v/>
      </c>
      <c r="K789" s="63" t="str">
        <f>IF(A789="","",SUMIF(jr_num,A789,jr_kg))</f>
        <v/>
      </c>
      <c r="L789" s="64" t="str">
        <f>IF(A789="","",SUMIF(jr_num,A789,jr_val))</f>
        <v/>
      </c>
      <c r="M789" s="60" t="str">
        <f>IF(A789="","",IF(COUNTIFS(jr_num,A789,jr_check,"&lt;&gt;OK")&gt;0,"À vérifier",IF(LEFT(A789,2)="BL",IF(COUNTIFS(jr_num,A789,jr_rel,"&gt;0")&gt;0,"Reliquat en cours",IF(COUNTIFS(jr_num,A789,jr_gap,"&lt;0")&gt;0,"Reliquat livré","Complet")),IF(LEFT(A789,2)="BR",IF(COUNTIFS(jr_num,A789,jr_etat,"Refusé")&gt;0,"Refusé",IF(COUNTIFS(jr_num,A789,jr_etat,"Avec réserves")&gt;0,"Avec réserves",IF(COUNTIFS(jr_num,A789,jr_rel,"&gt;0")&gt;0,"Reliquat en cours",IF(COUNTIFS(jr_num,A789,jr_gap,"&lt;0")+COUNTIFS(jr_num,A789,jr_gap,"&gt;0")&gt;0,"Écart","Conforme")))),IF(COUNTIFS(jr_num,A789,jr_gap,"&lt;0")&gt;0,"Partiel","Sorti")))))</f>
        <v/>
      </c>
      <c r="O789" t="str">
        <f>IFERROR(MATCH(784,jr_grank,0),"")</f>
        <v/>
      </c>
      <c r="R789" s="67" t="str">
        <f>IFERROR(INDEX(jr_num,MATCH("BL784",jr_nkey,0))&amp;"","")</f>
        <v/>
      </c>
      <c r="S789" s="67" t="str">
        <f>IFERROR(INDEX(jr_num,MATCH("BR784",jr_nkey,0))&amp;"","")</f>
        <v/>
      </c>
      <c r="T789" s="67" t="str">
        <f>IFERROR(INDEX(jr_num,MATCH("BS784",jr_nkey,0))&amp;"","")</f>
        <v/>
      </c>
    </row>
    <row r="790">
      <c r="A790" s="60" t="str">
        <f>IF($O790="","",INDEX(jr_num,$O790)&amp;"")</f>
        <v/>
      </c>
      <c r="B790" s="60" t="str">
        <f>IF($O790="","",IF(INDEX(jr_type,$O790)="BL","Livraison",IF(INDEX(jr_type,$O790)="BR","Réception","Sortie")))</f>
        <v/>
      </c>
      <c r="C790" s="65" t="str">
        <f>IF($O790="","",INDEX(jr_date,$O790))</f>
        <v/>
      </c>
      <c r="D790" s="60" t="str">
        <f>IF($O790="","",INDEX(jr_tiers,$O790)&amp;"")</f>
        <v/>
      </c>
      <c r="E790" s="57" t="str">
        <f>IF($O790="","",INDEX(jr_name,$O790)&amp;"")</f>
        <v/>
      </c>
      <c r="F790" s="57" t="str">
        <f>IF($O790="","",INDEX(jr_order,$O790)&amp;"")</f>
        <v/>
      </c>
      <c r="G790" s="57" t="str">
        <f>IF($O790="","",INDEX(jr_ext,$O790)&amp;"")</f>
        <v/>
      </c>
      <c r="H790" s="57" t="str">
        <f>IF($O790="","",INDEX(jr_carrier,$O790)&amp;"")</f>
        <v/>
      </c>
      <c r="I790" s="66" t="str">
        <f>IF(A790="","",COUNTIF(jr_num,A790))</f>
        <v/>
      </c>
      <c r="J790" s="66" t="str">
        <f>IF(A790="","",SUMIF(jr_num,A790,jr_colis))</f>
        <v/>
      </c>
      <c r="K790" s="63" t="str">
        <f>IF(A790="","",SUMIF(jr_num,A790,jr_kg))</f>
        <v/>
      </c>
      <c r="L790" s="64" t="str">
        <f>IF(A790="","",SUMIF(jr_num,A790,jr_val))</f>
        <v/>
      </c>
      <c r="M790" s="60" t="str">
        <f>IF(A790="","",IF(COUNTIFS(jr_num,A790,jr_check,"&lt;&gt;OK")&gt;0,"À vérifier",IF(LEFT(A790,2)="BL",IF(COUNTIFS(jr_num,A790,jr_rel,"&gt;0")&gt;0,"Reliquat en cours",IF(COUNTIFS(jr_num,A790,jr_gap,"&lt;0")&gt;0,"Reliquat livré","Complet")),IF(LEFT(A790,2)="BR",IF(COUNTIFS(jr_num,A790,jr_etat,"Refusé")&gt;0,"Refusé",IF(COUNTIFS(jr_num,A790,jr_etat,"Avec réserves")&gt;0,"Avec réserves",IF(COUNTIFS(jr_num,A790,jr_rel,"&gt;0")&gt;0,"Reliquat en cours",IF(COUNTIFS(jr_num,A790,jr_gap,"&lt;0")+COUNTIFS(jr_num,A790,jr_gap,"&gt;0")&gt;0,"Écart","Conforme")))),IF(COUNTIFS(jr_num,A790,jr_gap,"&lt;0")&gt;0,"Partiel","Sorti")))))</f>
        <v/>
      </c>
      <c r="O790" t="str">
        <f>IFERROR(MATCH(785,jr_grank,0),"")</f>
        <v/>
      </c>
      <c r="R790" s="67" t="str">
        <f>IFERROR(INDEX(jr_num,MATCH("BL785",jr_nkey,0))&amp;"","")</f>
        <v/>
      </c>
      <c r="S790" s="67" t="str">
        <f>IFERROR(INDEX(jr_num,MATCH("BR785",jr_nkey,0))&amp;"","")</f>
        <v/>
      </c>
      <c r="T790" s="67" t="str">
        <f>IFERROR(INDEX(jr_num,MATCH("BS785",jr_nkey,0))&amp;"","")</f>
        <v/>
      </c>
    </row>
    <row r="791">
      <c r="A791" s="60" t="str">
        <f>IF($O791="","",INDEX(jr_num,$O791)&amp;"")</f>
        <v/>
      </c>
      <c r="B791" s="60" t="str">
        <f>IF($O791="","",IF(INDEX(jr_type,$O791)="BL","Livraison",IF(INDEX(jr_type,$O791)="BR","Réception","Sortie")))</f>
        <v/>
      </c>
      <c r="C791" s="65" t="str">
        <f>IF($O791="","",INDEX(jr_date,$O791))</f>
        <v/>
      </c>
      <c r="D791" s="60" t="str">
        <f>IF($O791="","",INDEX(jr_tiers,$O791)&amp;"")</f>
        <v/>
      </c>
      <c r="E791" s="57" t="str">
        <f>IF($O791="","",INDEX(jr_name,$O791)&amp;"")</f>
        <v/>
      </c>
      <c r="F791" s="57" t="str">
        <f>IF($O791="","",INDEX(jr_order,$O791)&amp;"")</f>
        <v/>
      </c>
      <c r="G791" s="57" t="str">
        <f>IF($O791="","",INDEX(jr_ext,$O791)&amp;"")</f>
        <v/>
      </c>
      <c r="H791" s="57" t="str">
        <f>IF($O791="","",INDEX(jr_carrier,$O791)&amp;"")</f>
        <v/>
      </c>
      <c r="I791" s="66" t="str">
        <f>IF(A791="","",COUNTIF(jr_num,A791))</f>
        <v/>
      </c>
      <c r="J791" s="66" t="str">
        <f>IF(A791="","",SUMIF(jr_num,A791,jr_colis))</f>
        <v/>
      </c>
      <c r="K791" s="63" t="str">
        <f>IF(A791="","",SUMIF(jr_num,A791,jr_kg))</f>
        <v/>
      </c>
      <c r="L791" s="64" t="str">
        <f>IF(A791="","",SUMIF(jr_num,A791,jr_val))</f>
        <v/>
      </c>
      <c r="M791" s="60" t="str">
        <f>IF(A791="","",IF(COUNTIFS(jr_num,A791,jr_check,"&lt;&gt;OK")&gt;0,"À vérifier",IF(LEFT(A791,2)="BL",IF(COUNTIFS(jr_num,A791,jr_rel,"&gt;0")&gt;0,"Reliquat en cours",IF(COUNTIFS(jr_num,A791,jr_gap,"&lt;0")&gt;0,"Reliquat livré","Complet")),IF(LEFT(A791,2)="BR",IF(COUNTIFS(jr_num,A791,jr_etat,"Refusé")&gt;0,"Refusé",IF(COUNTIFS(jr_num,A791,jr_etat,"Avec réserves")&gt;0,"Avec réserves",IF(COUNTIFS(jr_num,A791,jr_rel,"&gt;0")&gt;0,"Reliquat en cours",IF(COUNTIFS(jr_num,A791,jr_gap,"&lt;0")+COUNTIFS(jr_num,A791,jr_gap,"&gt;0")&gt;0,"Écart","Conforme")))),IF(COUNTIFS(jr_num,A791,jr_gap,"&lt;0")&gt;0,"Partiel","Sorti")))))</f>
        <v/>
      </c>
      <c r="O791" t="str">
        <f>IFERROR(MATCH(786,jr_grank,0),"")</f>
        <v/>
      </c>
      <c r="R791" s="67" t="str">
        <f>IFERROR(INDEX(jr_num,MATCH("BL786",jr_nkey,0))&amp;"","")</f>
        <v/>
      </c>
      <c r="S791" s="67" t="str">
        <f>IFERROR(INDEX(jr_num,MATCH("BR786",jr_nkey,0))&amp;"","")</f>
        <v/>
      </c>
      <c r="T791" s="67" t="str">
        <f>IFERROR(INDEX(jr_num,MATCH("BS786",jr_nkey,0))&amp;"","")</f>
        <v/>
      </c>
    </row>
    <row r="792">
      <c r="A792" s="60" t="str">
        <f>IF($O792="","",INDEX(jr_num,$O792)&amp;"")</f>
        <v/>
      </c>
      <c r="B792" s="60" t="str">
        <f>IF($O792="","",IF(INDEX(jr_type,$O792)="BL","Livraison",IF(INDEX(jr_type,$O792)="BR","Réception","Sortie")))</f>
        <v/>
      </c>
      <c r="C792" s="65" t="str">
        <f>IF($O792="","",INDEX(jr_date,$O792))</f>
        <v/>
      </c>
      <c r="D792" s="60" t="str">
        <f>IF($O792="","",INDEX(jr_tiers,$O792)&amp;"")</f>
        <v/>
      </c>
      <c r="E792" s="57" t="str">
        <f>IF($O792="","",INDEX(jr_name,$O792)&amp;"")</f>
        <v/>
      </c>
      <c r="F792" s="57" t="str">
        <f>IF($O792="","",INDEX(jr_order,$O792)&amp;"")</f>
        <v/>
      </c>
      <c r="G792" s="57" t="str">
        <f>IF($O792="","",INDEX(jr_ext,$O792)&amp;"")</f>
        <v/>
      </c>
      <c r="H792" s="57" t="str">
        <f>IF($O792="","",INDEX(jr_carrier,$O792)&amp;"")</f>
        <v/>
      </c>
      <c r="I792" s="66" t="str">
        <f>IF(A792="","",COUNTIF(jr_num,A792))</f>
        <v/>
      </c>
      <c r="J792" s="66" t="str">
        <f>IF(A792="","",SUMIF(jr_num,A792,jr_colis))</f>
        <v/>
      </c>
      <c r="K792" s="63" t="str">
        <f>IF(A792="","",SUMIF(jr_num,A792,jr_kg))</f>
        <v/>
      </c>
      <c r="L792" s="64" t="str">
        <f>IF(A792="","",SUMIF(jr_num,A792,jr_val))</f>
        <v/>
      </c>
      <c r="M792" s="60" t="str">
        <f>IF(A792="","",IF(COUNTIFS(jr_num,A792,jr_check,"&lt;&gt;OK")&gt;0,"À vérifier",IF(LEFT(A792,2)="BL",IF(COUNTIFS(jr_num,A792,jr_rel,"&gt;0")&gt;0,"Reliquat en cours",IF(COUNTIFS(jr_num,A792,jr_gap,"&lt;0")&gt;0,"Reliquat livré","Complet")),IF(LEFT(A792,2)="BR",IF(COUNTIFS(jr_num,A792,jr_etat,"Refusé")&gt;0,"Refusé",IF(COUNTIFS(jr_num,A792,jr_etat,"Avec réserves")&gt;0,"Avec réserves",IF(COUNTIFS(jr_num,A792,jr_rel,"&gt;0")&gt;0,"Reliquat en cours",IF(COUNTIFS(jr_num,A792,jr_gap,"&lt;0")+COUNTIFS(jr_num,A792,jr_gap,"&gt;0")&gt;0,"Écart","Conforme")))),IF(COUNTIFS(jr_num,A792,jr_gap,"&lt;0")&gt;0,"Partiel","Sorti")))))</f>
        <v/>
      </c>
      <c r="O792" t="str">
        <f>IFERROR(MATCH(787,jr_grank,0),"")</f>
        <v/>
      </c>
      <c r="R792" s="67" t="str">
        <f>IFERROR(INDEX(jr_num,MATCH("BL787",jr_nkey,0))&amp;"","")</f>
        <v/>
      </c>
      <c r="S792" s="67" t="str">
        <f>IFERROR(INDEX(jr_num,MATCH("BR787",jr_nkey,0))&amp;"","")</f>
        <v/>
      </c>
      <c r="T792" s="67" t="str">
        <f>IFERROR(INDEX(jr_num,MATCH("BS787",jr_nkey,0))&amp;"","")</f>
        <v/>
      </c>
    </row>
    <row r="793">
      <c r="A793" s="60" t="str">
        <f>IF($O793="","",INDEX(jr_num,$O793)&amp;"")</f>
        <v/>
      </c>
      <c r="B793" s="60" t="str">
        <f>IF($O793="","",IF(INDEX(jr_type,$O793)="BL","Livraison",IF(INDEX(jr_type,$O793)="BR","Réception","Sortie")))</f>
        <v/>
      </c>
      <c r="C793" s="65" t="str">
        <f>IF($O793="","",INDEX(jr_date,$O793))</f>
        <v/>
      </c>
      <c r="D793" s="60" t="str">
        <f>IF($O793="","",INDEX(jr_tiers,$O793)&amp;"")</f>
        <v/>
      </c>
      <c r="E793" s="57" t="str">
        <f>IF($O793="","",INDEX(jr_name,$O793)&amp;"")</f>
        <v/>
      </c>
      <c r="F793" s="57" t="str">
        <f>IF($O793="","",INDEX(jr_order,$O793)&amp;"")</f>
        <v/>
      </c>
      <c r="G793" s="57" t="str">
        <f>IF($O793="","",INDEX(jr_ext,$O793)&amp;"")</f>
        <v/>
      </c>
      <c r="H793" s="57" t="str">
        <f>IF($O793="","",INDEX(jr_carrier,$O793)&amp;"")</f>
        <v/>
      </c>
      <c r="I793" s="66" t="str">
        <f>IF(A793="","",COUNTIF(jr_num,A793))</f>
        <v/>
      </c>
      <c r="J793" s="66" t="str">
        <f>IF(A793="","",SUMIF(jr_num,A793,jr_colis))</f>
        <v/>
      </c>
      <c r="K793" s="63" t="str">
        <f>IF(A793="","",SUMIF(jr_num,A793,jr_kg))</f>
        <v/>
      </c>
      <c r="L793" s="64" t="str">
        <f>IF(A793="","",SUMIF(jr_num,A793,jr_val))</f>
        <v/>
      </c>
      <c r="M793" s="60" t="str">
        <f>IF(A793="","",IF(COUNTIFS(jr_num,A793,jr_check,"&lt;&gt;OK")&gt;0,"À vérifier",IF(LEFT(A793,2)="BL",IF(COUNTIFS(jr_num,A793,jr_rel,"&gt;0")&gt;0,"Reliquat en cours",IF(COUNTIFS(jr_num,A793,jr_gap,"&lt;0")&gt;0,"Reliquat livré","Complet")),IF(LEFT(A793,2)="BR",IF(COUNTIFS(jr_num,A793,jr_etat,"Refusé")&gt;0,"Refusé",IF(COUNTIFS(jr_num,A793,jr_etat,"Avec réserves")&gt;0,"Avec réserves",IF(COUNTIFS(jr_num,A793,jr_rel,"&gt;0")&gt;0,"Reliquat en cours",IF(COUNTIFS(jr_num,A793,jr_gap,"&lt;0")+COUNTIFS(jr_num,A793,jr_gap,"&gt;0")&gt;0,"Écart","Conforme")))),IF(COUNTIFS(jr_num,A793,jr_gap,"&lt;0")&gt;0,"Partiel","Sorti")))))</f>
        <v/>
      </c>
      <c r="O793" t="str">
        <f>IFERROR(MATCH(788,jr_grank,0),"")</f>
        <v/>
      </c>
      <c r="R793" s="67" t="str">
        <f>IFERROR(INDEX(jr_num,MATCH("BL788",jr_nkey,0))&amp;"","")</f>
        <v/>
      </c>
      <c r="S793" s="67" t="str">
        <f>IFERROR(INDEX(jr_num,MATCH("BR788",jr_nkey,0))&amp;"","")</f>
        <v/>
      </c>
      <c r="T793" s="67" t="str">
        <f>IFERROR(INDEX(jr_num,MATCH("BS788",jr_nkey,0))&amp;"","")</f>
        <v/>
      </c>
    </row>
    <row r="794">
      <c r="A794" s="60" t="str">
        <f>IF($O794="","",INDEX(jr_num,$O794)&amp;"")</f>
        <v/>
      </c>
      <c r="B794" s="60" t="str">
        <f>IF($O794="","",IF(INDEX(jr_type,$O794)="BL","Livraison",IF(INDEX(jr_type,$O794)="BR","Réception","Sortie")))</f>
        <v/>
      </c>
      <c r="C794" s="65" t="str">
        <f>IF($O794="","",INDEX(jr_date,$O794))</f>
        <v/>
      </c>
      <c r="D794" s="60" t="str">
        <f>IF($O794="","",INDEX(jr_tiers,$O794)&amp;"")</f>
        <v/>
      </c>
      <c r="E794" s="57" t="str">
        <f>IF($O794="","",INDEX(jr_name,$O794)&amp;"")</f>
        <v/>
      </c>
      <c r="F794" s="57" t="str">
        <f>IF($O794="","",INDEX(jr_order,$O794)&amp;"")</f>
        <v/>
      </c>
      <c r="G794" s="57" t="str">
        <f>IF($O794="","",INDEX(jr_ext,$O794)&amp;"")</f>
        <v/>
      </c>
      <c r="H794" s="57" t="str">
        <f>IF($O794="","",INDEX(jr_carrier,$O794)&amp;"")</f>
        <v/>
      </c>
      <c r="I794" s="66" t="str">
        <f>IF(A794="","",COUNTIF(jr_num,A794))</f>
        <v/>
      </c>
      <c r="J794" s="66" t="str">
        <f>IF(A794="","",SUMIF(jr_num,A794,jr_colis))</f>
        <v/>
      </c>
      <c r="K794" s="63" t="str">
        <f>IF(A794="","",SUMIF(jr_num,A794,jr_kg))</f>
        <v/>
      </c>
      <c r="L794" s="64" t="str">
        <f>IF(A794="","",SUMIF(jr_num,A794,jr_val))</f>
        <v/>
      </c>
      <c r="M794" s="60" t="str">
        <f>IF(A794="","",IF(COUNTIFS(jr_num,A794,jr_check,"&lt;&gt;OK")&gt;0,"À vérifier",IF(LEFT(A794,2)="BL",IF(COUNTIFS(jr_num,A794,jr_rel,"&gt;0")&gt;0,"Reliquat en cours",IF(COUNTIFS(jr_num,A794,jr_gap,"&lt;0")&gt;0,"Reliquat livré","Complet")),IF(LEFT(A794,2)="BR",IF(COUNTIFS(jr_num,A794,jr_etat,"Refusé")&gt;0,"Refusé",IF(COUNTIFS(jr_num,A794,jr_etat,"Avec réserves")&gt;0,"Avec réserves",IF(COUNTIFS(jr_num,A794,jr_rel,"&gt;0")&gt;0,"Reliquat en cours",IF(COUNTIFS(jr_num,A794,jr_gap,"&lt;0")+COUNTIFS(jr_num,A794,jr_gap,"&gt;0")&gt;0,"Écart","Conforme")))),IF(COUNTIFS(jr_num,A794,jr_gap,"&lt;0")&gt;0,"Partiel","Sorti")))))</f>
        <v/>
      </c>
      <c r="O794" t="str">
        <f>IFERROR(MATCH(789,jr_grank,0),"")</f>
        <v/>
      </c>
      <c r="R794" s="67" t="str">
        <f>IFERROR(INDEX(jr_num,MATCH("BL789",jr_nkey,0))&amp;"","")</f>
        <v/>
      </c>
      <c r="S794" s="67" t="str">
        <f>IFERROR(INDEX(jr_num,MATCH("BR789",jr_nkey,0))&amp;"","")</f>
        <v/>
      </c>
      <c r="T794" s="67" t="str">
        <f>IFERROR(INDEX(jr_num,MATCH("BS789",jr_nkey,0))&amp;"","")</f>
        <v/>
      </c>
    </row>
    <row r="795">
      <c r="A795" s="60" t="str">
        <f>IF($O795="","",INDEX(jr_num,$O795)&amp;"")</f>
        <v/>
      </c>
      <c r="B795" s="60" t="str">
        <f>IF($O795="","",IF(INDEX(jr_type,$O795)="BL","Livraison",IF(INDEX(jr_type,$O795)="BR","Réception","Sortie")))</f>
        <v/>
      </c>
      <c r="C795" s="65" t="str">
        <f>IF($O795="","",INDEX(jr_date,$O795))</f>
        <v/>
      </c>
      <c r="D795" s="60" t="str">
        <f>IF($O795="","",INDEX(jr_tiers,$O795)&amp;"")</f>
        <v/>
      </c>
      <c r="E795" s="57" t="str">
        <f>IF($O795="","",INDEX(jr_name,$O795)&amp;"")</f>
        <v/>
      </c>
      <c r="F795" s="57" t="str">
        <f>IF($O795="","",INDEX(jr_order,$O795)&amp;"")</f>
        <v/>
      </c>
      <c r="G795" s="57" t="str">
        <f>IF($O795="","",INDEX(jr_ext,$O795)&amp;"")</f>
        <v/>
      </c>
      <c r="H795" s="57" t="str">
        <f>IF($O795="","",INDEX(jr_carrier,$O795)&amp;"")</f>
        <v/>
      </c>
      <c r="I795" s="66" t="str">
        <f>IF(A795="","",COUNTIF(jr_num,A795))</f>
        <v/>
      </c>
      <c r="J795" s="66" t="str">
        <f>IF(A795="","",SUMIF(jr_num,A795,jr_colis))</f>
        <v/>
      </c>
      <c r="K795" s="63" t="str">
        <f>IF(A795="","",SUMIF(jr_num,A795,jr_kg))</f>
        <v/>
      </c>
      <c r="L795" s="64" t="str">
        <f>IF(A795="","",SUMIF(jr_num,A795,jr_val))</f>
        <v/>
      </c>
      <c r="M795" s="60" t="str">
        <f>IF(A795="","",IF(COUNTIFS(jr_num,A795,jr_check,"&lt;&gt;OK")&gt;0,"À vérifier",IF(LEFT(A795,2)="BL",IF(COUNTIFS(jr_num,A795,jr_rel,"&gt;0")&gt;0,"Reliquat en cours",IF(COUNTIFS(jr_num,A795,jr_gap,"&lt;0")&gt;0,"Reliquat livré","Complet")),IF(LEFT(A795,2)="BR",IF(COUNTIFS(jr_num,A795,jr_etat,"Refusé")&gt;0,"Refusé",IF(COUNTIFS(jr_num,A795,jr_etat,"Avec réserves")&gt;0,"Avec réserves",IF(COUNTIFS(jr_num,A795,jr_rel,"&gt;0")&gt;0,"Reliquat en cours",IF(COUNTIFS(jr_num,A795,jr_gap,"&lt;0")+COUNTIFS(jr_num,A795,jr_gap,"&gt;0")&gt;0,"Écart","Conforme")))),IF(COUNTIFS(jr_num,A795,jr_gap,"&lt;0")&gt;0,"Partiel","Sorti")))))</f>
        <v/>
      </c>
      <c r="O795" t="str">
        <f>IFERROR(MATCH(790,jr_grank,0),"")</f>
        <v/>
      </c>
      <c r="R795" s="67" t="str">
        <f>IFERROR(INDEX(jr_num,MATCH("BL790",jr_nkey,0))&amp;"","")</f>
        <v/>
      </c>
      <c r="S795" s="67" t="str">
        <f>IFERROR(INDEX(jr_num,MATCH("BR790",jr_nkey,0))&amp;"","")</f>
        <v/>
      </c>
      <c r="T795" s="67" t="str">
        <f>IFERROR(INDEX(jr_num,MATCH("BS790",jr_nkey,0))&amp;"","")</f>
        <v/>
      </c>
    </row>
    <row r="796">
      <c r="A796" s="60" t="str">
        <f>IF($O796="","",INDEX(jr_num,$O796)&amp;"")</f>
        <v/>
      </c>
      <c r="B796" s="60" t="str">
        <f>IF($O796="","",IF(INDEX(jr_type,$O796)="BL","Livraison",IF(INDEX(jr_type,$O796)="BR","Réception","Sortie")))</f>
        <v/>
      </c>
      <c r="C796" s="65" t="str">
        <f>IF($O796="","",INDEX(jr_date,$O796))</f>
        <v/>
      </c>
      <c r="D796" s="60" t="str">
        <f>IF($O796="","",INDEX(jr_tiers,$O796)&amp;"")</f>
        <v/>
      </c>
      <c r="E796" s="57" t="str">
        <f>IF($O796="","",INDEX(jr_name,$O796)&amp;"")</f>
        <v/>
      </c>
      <c r="F796" s="57" t="str">
        <f>IF($O796="","",INDEX(jr_order,$O796)&amp;"")</f>
        <v/>
      </c>
      <c r="G796" s="57" t="str">
        <f>IF($O796="","",INDEX(jr_ext,$O796)&amp;"")</f>
        <v/>
      </c>
      <c r="H796" s="57" t="str">
        <f>IF($O796="","",INDEX(jr_carrier,$O796)&amp;"")</f>
        <v/>
      </c>
      <c r="I796" s="66" t="str">
        <f>IF(A796="","",COUNTIF(jr_num,A796))</f>
        <v/>
      </c>
      <c r="J796" s="66" t="str">
        <f>IF(A796="","",SUMIF(jr_num,A796,jr_colis))</f>
        <v/>
      </c>
      <c r="K796" s="63" t="str">
        <f>IF(A796="","",SUMIF(jr_num,A796,jr_kg))</f>
        <v/>
      </c>
      <c r="L796" s="64" t="str">
        <f>IF(A796="","",SUMIF(jr_num,A796,jr_val))</f>
        <v/>
      </c>
      <c r="M796" s="60" t="str">
        <f>IF(A796="","",IF(COUNTIFS(jr_num,A796,jr_check,"&lt;&gt;OK")&gt;0,"À vérifier",IF(LEFT(A796,2)="BL",IF(COUNTIFS(jr_num,A796,jr_rel,"&gt;0")&gt;0,"Reliquat en cours",IF(COUNTIFS(jr_num,A796,jr_gap,"&lt;0")&gt;0,"Reliquat livré","Complet")),IF(LEFT(A796,2)="BR",IF(COUNTIFS(jr_num,A796,jr_etat,"Refusé")&gt;0,"Refusé",IF(COUNTIFS(jr_num,A796,jr_etat,"Avec réserves")&gt;0,"Avec réserves",IF(COUNTIFS(jr_num,A796,jr_rel,"&gt;0")&gt;0,"Reliquat en cours",IF(COUNTIFS(jr_num,A796,jr_gap,"&lt;0")+COUNTIFS(jr_num,A796,jr_gap,"&gt;0")&gt;0,"Écart","Conforme")))),IF(COUNTIFS(jr_num,A796,jr_gap,"&lt;0")&gt;0,"Partiel","Sorti")))))</f>
        <v/>
      </c>
      <c r="O796" t="str">
        <f>IFERROR(MATCH(791,jr_grank,0),"")</f>
        <v/>
      </c>
      <c r="R796" s="67" t="str">
        <f>IFERROR(INDEX(jr_num,MATCH("BL791",jr_nkey,0))&amp;"","")</f>
        <v/>
      </c>
      <c r="S796" s="67" t="str">
        <f>IFERROR(INDEX(jr_num,MATCH("BR791",jr_nkey,0))&amp;"","")</f>
        <v/>
      </c>
      <c r="T796" s="67" t="str">
        <f>IFERROR(INDEX(jr_num,MATCH("BS791",jr_nkey,0))&amp;"","")</f>
        <v/>
      </c>
    </row>
    <row r="797">
      <c r="A797" s="60" t="str">
        <f>IF($O797="","",INDEX(jr_num,$O797)&amp;"")</f>
        <v/>
      </c>
      <c r="B797" s="60" t="str">
        <f>IF($O797="","",IF(INDEX(jr_type,$O797)="BL","Livraison",IF(INDEX(jr_type,$O797)="BR","Réception","Sortie")))</f>
        <v/>
      </c>
      <c r="C797" s="65" t="str">
        <f>IF($O797="","",INDEX(jr_date,$O797))</f>
        <v/>
      </c>
      <c r="D797" s="60" t="str">
        <f>IF($O797="","",INDEX(jr_tiers,$O797)&amp;"")</f>
        <v/>
      </c>
      <c r="E797" s="57" t="str">
        <f>IF($O797="","",INDEX(jr_name,$O797)&amp;"")</f>
        <v/>
      </c>
      <c r="F797" s="57" t="str">
        <f>IF($O797="","",INDEX(jr_order,$O797)&amp;"")</f>
        <v/>
      </c>
      <c r="G797" s="57" t="str">
        <f>IF($O797="","",INDEX(jr_ext,$O797)&amp;"")</f>
        <v/>
      </c>
      <c r="H797" s="57" t="str">
        <f>IF($O797="","",INDEX(jr_carrier,$O797)&amp;"")</f>
        <v/>
      </c>
      <c r="I797" s="66" t="str">
        <f>IF(A797="","",COUNTIF(jr_num,A797))</f>
        <v/>
      </c>
      <c r="J797" s="66" t="str">
        <f>IF(A797="","",SUMIF(jr_num,A797,jr_colis))</f>
        <v/>
      </c>
      <c r="K797" s="63" t="str">
        <f>IF(A797="","",SUMIF(jr_num,A797,jr_kg))</f>
        <v/>
      </c>
      <c r="L797" s="64" t="str">
        <f>IF(A797="","",SUMIF(jr_num,A797,jr_val))</f>
        <v/>
      </c>
      <c r="M797" s="60" t="str">
        <f>IF(A797="","",IF(COUNTIFS(jr_num,A797,jr_check,"&lt;&gt;OK")&gt;0,"À vérifier",IF(LEFT(A797,2)="BL",IF(COUNTIFS(jr_num,A797,jr_rel,"&gt;0")&gt;0,"Reliquat en cours",IF(COUNTIFS(jr_num,A797,jr_gap,"&lt;0")&gt;0,"Reliquat livré","Complet")),IF(LEFT(A797,2)="BR",IF(COUNTIFS(jr_num,A797,jr_etat,"Refusé")&gt;0,"Refusé",IF(COUNTIFS(jr_num,A797,jr_etat,"Avec réserves")&gt;0,"Avec réserves",IF(COUNTIFS(jr_num,A797,jr_rel,"&gt;0")&gt;0,"Reliquat en cours",IF(COUNTIFS(jr_num,A797,jr_gap,"&lt;0")+COUNTIFS(jr_num,A797,jr_gap,"&gt;0")&gt;0,"Écart","Conforme")))),IF(COUNTIFS(jr_num,A797,jr_gap,"&lt;0")&gt;0,"Partiel","Sorti")))))</f>
        <v/>
      </c>
      <c r="O797" t="str">
        <f>IFERROR(MATCH(792,jr_grank,0),"")</f>
        <v/>
      </c>
      <c r="R797" s="67" t="str">
        <f>IFERROR(INDEX(jr_num,MATCH("BL792",jr_nkey,0))&amp;"","")</f>
        <v/>
      </c>
      <c r="S797" s="67" t="str">
        <f>IFERROR(INDEX(jr_num,MATCH("BR792",jr_nkey,0))&amp;"","")</f>
        <v/>
      </c>
      <c r="T797" s="67" t="str">
        <f>IFERROR(INDEX(jr_num,MATCH("BS792",jr_nkey,0))&amp;"","")</f>
        <v/>
      </c>
    </row>
    <row r="798">
      <c r="A798" s="60" t="str">
        <f>IF($O798="","",INDEX(jr_num,$O798)&amp;"")</f>
        <v/>
      </c>
      <c r="B798" s="60" t="str">
        <f>IF($O798="","",IF(INDEX(jr_type,$O798)="BL","Livraison",IF(INDEX(jr_type,$O798)="BR","Réception","Sortie")))</f>
        <v/>
      </c>
      <c r="C798" s="65" t="str">
        <f>IF($O798="","",INDEX(jr_date,$O798))</f>
        <v/>
      </c>
      <c r="D798" s="60" t="str">
        <f>IF($O798="","",INDEX(jr_tiers,$O798)&amp;"")</f>
        <v/>
      </c>
      <c r="E798" s="57" t="str">
        <f>IF($O798="","",INDEX(jr_name,$O798)&amp;"")</f>
        <v/>
      </c>
      <c r="F798" s="57" t="str">
        <f>IF($O798="","",INDEX(jr_order,$O798)&amp;"")</f>
        <v/>
      </c>
      <c r="G798" s="57" t="str">
        <f>IF($O798="","",INDEX(jr_ext,$O798)&amp;"")</f>
        <v/>
      </c>
      <c r="H798" s="57" t="str">
        <f>IF($O798="","",INDEX(jr_carrier,$O798)&amp;"")</f>
        <v/>
      </c>
      <c r="I798" s="66" t="str">
        <f>IF(A798="","",COUNTIF(jr_num,A798))</f>
        <v/>
      </c>
      <c r="J798" s="66" t="str">
        <f>IF(A798="","",SUMIF(jr_num,A798,jr_colis))</f>
        <v/>
      </c>
      <c r="K798" s="63" t="str">
        <f>IF(A798="","",SUMIF(jr_num,A798,jr_kg))</f>
        <v/>
      </c>
      <c r="L798" s="64" t="str">
        <f>IF(A798="","",SUMIF(jr_num,A798,jr_val))</f>
        <v/>
      </c>
      <c r="M798" s="60" t="str">
        <f>IF(A798="","",IF(COUNTIFS(jr_num,A798,jr_check,"&lt;&gt;OK")&gt;0,"À vérifier",IF(LEFT(A798,2)="BL",IF(COUNTIFS(jr_num,A798,jr_rel,"&gt;0")&gt;0,"Reliquat en cours",IF(COUNTIFS(jr_num,A798,jr_gap,"&lt;0")&gt;0,"Reliquat livré","Complet")),IF(LEFT(A798,2)="BR",IF(COUNTIFS(jr_num,A798,jr_etat,"Refusé")&gt;0,"Refusé",IF(COUNTIFS(jr_num,A798,jr_etat,"Avec réserves")&gt;0,"Avec réserves",IF(COUNTIFS(jr_num,A798,jr_rel,"&gt;0")&gt;0,"Reliquat en cours",IF(COUNTIFS(jr_num,A798,jr_gap,"&lt;0")+COUNTIFS(jr_num,A798,jr_gap,"&gt;0")&gt;0,"Écart","Conforme")))),IF(COUNTIFS(jr_num,A798,jr_gap,"&lt;0")&gt;0,"Partiel","Sorti")))))</f>
        <v/>
      </c>
      <c r="O798" t="str">
        <f>IFERROR(MATCH(793,jr_grank,0),"")</f>
        <v/>
      </c>
      <c r="R798" s="67" t="str">
        <f>IFERROR(INDEX(jr_num,MATCH("BL793",jr_nkey,0))&amp;"","")</f>
        <v/>
      </c>
      <c r="S798" s="67" t="str">
        <f>IFERROR(INDEX(jr_num,MATCH("BR793",jr_nkey,0))&amp;"","")</f>
        <v/>
      </c>
      <c r="T798" s="67" t="str">
        <f>IFERROR(INDEX(jr_num,MATCH("BS793",jr_nkey,0))&amp;"","")</f>
        <v/>
      </c>
    </row>
    <row r="799">
      <c r="A799" s="60" t="str">
        <f>IF($O799="","",INDEX(jr_num,$O799)&amp;"")</f>
        <v/>
      </c>
      <c r="B799" s="60" t="str">
        <f>IF($O799="","",IF(INDEX(jr_type,$O799)="BL","Livraison",IF(INDEX(jr_type,$O799)="BR","Réception","Sortie")))</f>
        <v/>
      </c>
      <c r="C799" s="65" t="str">
        <f>IF($O799="","",INDEX(jr_date,$O799))</f>
        <v/>
      </c>
      <c r="D799" s="60" t="str">
        <f>IF($O799="","",INDEX(jr_tiers,$O799)&amp;"")</f>
        <v/>
      </c>
      <c r="E799" s="57" t="str">
        <f>IF($O799="","",INDEX(jr_name,$O799)&amp;"")</f>
        <v/>
      </c>
      <c r="F799" s="57" t="str">
        <f>IF($O799="","",INDEX(jr_order,$O799)&amp;"")</f>
        <v/>
      </c>
      <c r="G799" s="57" t="str">
        <f>IF($O799="","",INDEX(jr_ext,$O799)&amp;"")</f>
        <v/>
      </c>
      <c r="H799" s="57" t="str">
        <f>IF($O799="","",INDEX(jr_carrier,$O799)&amp;"")</f>
        <v/>
      </c>
      <c r="I799" s="66" t="str">
        <f>IF(A799="","",COUNTIF(jr_num,A799))</f>
        <v/>
      </c>
      <c r="J799" s="66" t="str">
        <f>IF(A799="","",SUMIF(jr_num,A799,jr_colis))</f>
        <v/>
      </c>
      <c r="K799" s="63" t="str">
        <f>IF(A799="","",SUMIF(jr_num,A799,jr_kg))</f>
        <v/>
      </c>
      <c r="L799" s="64" t="str">
        <f>IF(A799="","",SUMIF(jr_num,A799,jr_val))</f>
        <v/>
      </c>
      <c r="M799" s="60" t="str">
        <f>IF(A799="","",IF(COUNTIFS(jr_num,A799,jr_check,"&lt;&gt;OK")&gt;0,"À vérifier",IF(LEFT(A799,2)="BL",IF(COUNTIFS(jr_num,A799,jr_rel,"&gt;0")&gt;0,"Reliquat en cours",IF(COUNTIFS(jr_num,A799,jr_gap,"&lt;0")&gt;0,"Reliquat livré","Complet")),IF(LEFT(A799,2)="BR",IF(COUNTIFS(jr_num,A799,jr_etat,"Refusé")&gt;0,"Refusé",IF(COUNTIFS(jr_num,A799,jr_etat,"Avec réserves")&gt;0,"Avec réserves",IF(COUNTIFS(jr_num,A799,jr_rel,"&gt;0")&gt;0,"Reliquat en cours",IF(COUNTIFS(jr_num,A799,jr_gap,"&lt;0")+COUNTIFS(jr_num,A799,jr_gap,"&gt;0")&gt;0,"Écart","Conforme")))),IF(COUNTIFS(jr_num,A799,jr_gap,"&lt;0")&gt;0,"Partiel","Sorti")))))</f>
        <v/>
      </c>
      <c r="O799" t="str">
        <f>IFERROR(MATCH(794,jr_grank,0),"")</f>
        <v/>
      </c>
      <c r="R799" s="67" t="str">
        <f>IFERROR(INDEX(jr_num,MATCH("BL794",jr_nkey,0))&amp;"","")</f>
        <v/>
      </c>
      <c r="S799" s="67" t="str">
        <f>IFERROR(INDEX(jr_num,MATCH("BR794",jr_nkey,0))&amp;"","")</f>
        <v/>
      </c>
      <c r="T799" s="67" t="str">
        <f>IFERROR(INDEX(jr_num,MATCH("BS794",jr_nkey,0))&amp;"","")</f>
        <v/>
      </c>
    </row>
    <row r="800">
      <c r="A800" s="60" t="str">
        <f>IF($O800="","",INDEX(jr_num,$O800)&amp;"")</f>
        <v/>
      </c>
      <c r="B800" s="60" t="str">
        <f>IF($O800="","",IF(INDEX(jr_type,$O800)="BL","Livraison",IF(INDEX(jr_type,$O800)="BR","Réception","Sortie")))</f>
        <v/>
      </c>
      <c r="C800" s="65" t="str">
        <f>IF($O800="","",INDEX(jr_date,$O800))</f>
        <v/>
      </c>
      <c r="D800" s="60" t="str">
        <f>IF($O800="","",INDEX(jr_tiers,$O800)&amp;"")</f>
        <v/>
      </c>
      <c r="E800" s="57" t="str">
        <f>IF($O800="","",INDEX(jr_name,$O800)&amp;"")</f>
        <v/>
      </c>
      <c r="F800" s="57" t="str">
        <f>IF($O800="","",INDEX(jr_order,$O800)&amp;"")</f>
        <v/>
      </c>
      <c r="G800" s="57" t="str">
        <f>IF($O800="","",INDEX(jr_ext,$O800)&amp;"")</f>
        <v/>
      </c>
      <c r="H800" s="57" t="str">
        <f>IF($O800="","",INDEX(jr_carrier,$O800)&amp;"")</f>
        <v/>
      </c>
      <c r="I800" s="66" t="str">
        <f>IF(A800="","",COUNTIF(jr_num,A800))</f>
        <v/>
      </c>
      <c r="J800" s="66" t="str">
        <f>IF(A800="","",SUMIF(jr_num,A800,jr_colis))</f>
        <v/>
      </c>
      <c r="K800" s="63" t="str">
        <f>IF(A800="","",SUMIF(jr_num,A800,jr_kg))</f>
        <v/>
      </c>
      <c r="L800" s="64" t="str">
        <f>IF(A800="","",SUMIF(jr_num,A800,jr_val))</f>
        <v/>
      </c>
      <c r="M800" s="60" t="str">
        <f>IF(A800="","",IF(COUNTIFS(jr_num,A800,jr_check,"&lt;&gt;OK")&gt;0,"À vérifier",IF(LEFT(A800,2)="BL",IF(COUNTIFS(jr_num,A800,jr_rel,"&gt;0")&gt;0,"Reliquat en cours",IF(COUNTIFS(jr_num,A800,jr_gap,"&lt;0")&gt;0,"Reliquat livré","Complet")),IF(LEFT(A800,2)="BR",IF(COUNTIFS(jr_num,A800,jr_etat,"Refusé")&gt;0,"Refusé",IF(COUNTIFS(jr_num,A800,jr_etat,"Avec réserves")&gt;0,"Avec réserves",IF(COUNTIFS(jr_num,A800,jr_rel,"&gt;0")&gt;0,"Reliquat en cours",IF(COUNTIFS(jr_num,A800,jr_gap,"&lt;0")+COUNTIFS(jr_num,A800,jr_gap,"&gt;0")&gt;0,"Écart","Conforme")))),IF(COUNTIFS(jr_num,A800,jr_gap,"&lt;0")&gt;0,"Partiel","Sorti")))))</f>
        <v/>
      </c>
      <c r="O800" t="str">
        <f>IFERROR(MATCH(795,jr_grank,0),"")</f>
        <v/>
      </c>
      <c r="R800" s="67" t="str">
        <f>IFERROR(INDEX(jr_num,MATCH("BL795",jr_nkey,0))&amp;"","")</f>
        <v/>
      </c>
      <c r="S800" s="67" t="str">
        <f>IFERROR(INDEX(jr_num,MATCH("BR795",jr_nkey,0))&amp;"","")</f>
        <v/>
      </c>
      <c r="T800" s="67" t="str">
        <f>IFERROR(INDEX(jr_num,MATCH("BS795",jr_nkey,0))&amp;"","")</f>
        <v/>
      </c>
    </row>
    <row r="801">
      <c r="A801" s="60" t="str">
        <f>IF($O801="","",INDEX(jr_num,$O801)&amp;"")</f>
        <v/>
      </c>
      <c r="B801" s="60" t="str">
        <f>IF($O801="","",IF(INDEX(jr_type,$O801)="BL","Livraison",IF(INDEX(jr_type,$O801)="BR","Réception","Sortie")))</f>
        <v/>
      </c>
      <c r="C801" s="65" t="str">
        <f>IF($O801="","",INDEX(jr_date,$O801))</f>
        <v/>
      </c>
      <c r="D801" s="60" t="str">
        <f>IF($O801="","",INDEX(jr_tiers,$O801)&amp;"")</f>
        <v/>
      </c>
      <c r="E801" s="57" t="str">
        <f>IF($O801="","",INDEX(jr_name,$O801)&amp;"")</f>
        <v/>
      </c>
      <c r="F801" s="57" t="str">
        <f>IF($O801="","",INDEX(jr_order,$O801)&amp;"")</f>
        <v/>
      </c>
      <c r="G801" s="57" t="str">
        <f>IF($O801="","",INDEX(jr_ext,$O801)&amp;"")</f>
        <v/>
      </c>
      <c r="H801" s="57" t="str">
        <f>IF($O801="","",INDEX(jr_carrier,$O801)&amp;"")</f>
        <v/>
      </c>
      <c r="I801" s="66" t="str">
        <f>IF(A801="","",COUNTIF(jr_num,A801))</f>
        <v/>
      </c>
      <c r="J801" s="66" t="str">
        <f>IF(A801="","",SUMIF(jr_num,A801,jr_colis))</f>
        <v/>
      </c>
      <c r="K801" s="63" t="str">
        <f>IF(A801="","",SUMIF(jr_num,A801,jr_kg))</f>
        <v/>
      </c>
      <c r="L801" s="64" t="str">
        <f>IF(A801="","",SUMIF(jr_num,A801,jr_val))</f>
        <v/>
      </c>
      <c r="M801" s="60" t="str">
        <f>IF(A801="","",IF(COUNTIFS(jr_num,A801,jr_check,"&lt;&gt;OK")&gt;0,"À vérifier",IF(LEFT(A801,2)="BL",IF(COUNTIFS(jr_num,A801,jr_rel,"&gt;0")&gt;0,"Reliquat en cours",IF(COUNTIFS(jr_num,A801,jr_gap,"&lt;0")&gt;0,"Reliquat livré","Complet")),IF(LEFT(A801,2)="BR",IF(COUNTIFS(jr_num,A801,jr_etat,"Refusé")&gt;0,"Refusé",IF(COUNTIFS(jr_num,A801,jr_etat,"Avec réserves")&gt;0,"Avec réserves",IF(COUNTIFS(jr_num,A801,jr_rel,"&gt;0")&gt;0,"Reliquat en cours",IF(COUNTIFS(jr_num,A801,jr_gap,"&lt;0")+COUNTIFS(jr_num,A801,jr_gap,"&gt;0")&gt;0,"Écart","Conforme")))),IF(COUNTIFS(jr_num,A801,jr_gap,"&lt;0")&gt;0,"Partiel","Sorti")))))</f>
        <v/>
      </c>
      <c r="O801" t="str">
        <f>IFERROR(MATCH(796,jr_grank,0),"")</f>
        <v/>
      </c>
      <c r="R801" s="67" t="str">
        <f>IFERROR(INDEX(jr_num,MATCH("BL796",jr_nkey,0))&amp;"","")</f>
        <v/>
      </c>
      <c r="S801" s="67" t="str">
        <f>IFERROR(INDEX(jr_num,MATCH("BR796",jr_nkey,0))&amp;"","")</f>
        <v/>
      </c>
      <c r="T801" s="67" t="str">
        <f>IFERROR(INDEX(jr_num,MATCH("BS796",jr_nkey,0))&amp;"","")</f>
        <v/>
      </c>
    </row>
    <row r="802">
      <c r="A802" s="60" t="str">
        <f>IF($O802="","",INDEX(jr_num,$O802)&amp;"")</f>
        <v/>
      </c>
      <c r="B802" s="60" t="str">
        <f>IF($O802="","",IF(INDEX(jr_type,$O802)="BL","Livraison",IF(INDEX(jr_type,$O802)="BR","Réception","Sortie")))</f>
        <v/>
      </c>
      <c r="C802" s="65" t="str">
        <f>IF($O802="","",INDEX(jr_date,$O802))</f>
        <v/>
      </c>
      <c r="D802" s="60" t="str">
        <f>IF($O802="","",INDEX(jr_tiers,$O802)&amp;"")</f>
        <v/>
      </c>
      <c r="E802" s="57" t="str">
        <f>IF($O802="","",INDEX(jr_name,$O802)&amp;"")</f>
        <v/>
      </c>
      <c r="F802" s="57" t="str">
        <f>IF($O802="","",INDEX(jr_order,$O802)&amp;"")</f>
        <v/>
      </c>
      <c r="G802" s="57" t="str">
        <f>IF($O802="","",INDEX(jr_ext,$O802)&amp;"")</f>
        <v/>
      </c>
      <c r="H802" s="57" t="str">
        <f>IF($O802="","",INDEX(jr_carrier,$O802)&amp;"")</f>
        <v/>
      </c>
      <c r="I802" s="66" t="str">
        <f>IF(A802="","",COUNTIF(jr_num,A802))</f>
        <v/>
      </c>
      <c r="J802" s="66" t="str">
        <f>IF(A802="","",SUMIF(jr_num,A802,jr_colis))</f>
        <v/>
      </c>
      <c r="K802" s="63" t="str">
        <f>IF(A802="","",SUMIF(jr_num,A802,jr_kg))</f>
        <v/>
      </c>
      <c r="L802" s="64" t="str">
        <f>IF(A802="","",SUMIF(jr_num,A802,jr_val))</f>
        <v/>
      </c>
      <c r="M802" s="60" t="str">
        <f>IF(A802="","",IF(COUNTIFS(jr_num,A802,jr_check,"&lt;&gt;OK")&gt;0,"À vérifier",IF(LEFT(A802,2)="BL",IF(COUNTIFS(jr_num,A802,jr_rel,"&gt;0")&gt;0,"Reliquat en cours",IF(COUNTIFS(jr_num,A802,jr_gap,"&lt;0")&gt;0,"Reliquat livré","Complet")),IF(LEFT(A802,2)="BR",IF(COUNTIFS(jr_num,A802,jr_etat,"Refusé")&gt;0,"Refusé",IF(COUNTIFS(jr_num,A802,jr_etat,"Avec réserves")&gt;0,"Avec réserves",IF(COUNTIFS(jr_num,A802,jr_rel,"&gt;0")&gt;0,"Reliquat en cours",IF(COUNTIFS(jr_num,A802,jr_gap,"&lt;0")+COUNTIFS(jr_num,A802,jr_gap,"&gt;0")&gt;0,"Écart","Conforme")))),IF(COUNTIFS(jr_num,A802,jr_gap,"&lt;0")&gt;0,"Partiel","Sorti")))))</f>
        <v/>
      </c>
      <c r="O802" t="str">
        <f>IFERROR(MATCH(797,jr_grank,0),"")</f>
        <v/>
      </c>
      <c r="R802" s="67" t="str">
        <f>IFERROR(INDEX(jr_num,MATCH("BL797",jr_nkey,0))&amp;"","")</f>
        <v/>
      </c>
      <c r="S802" s="67" t="str">
        <f>IFERROR(INDEX(jr_num,MATCH("BR797",jr_nkey,0))&amp;"","")</f>
        <v/>
      </c>
      <c r="T802" s="67" t="str">
        <f>IFERROR(INDEX(jr_num,MATCH("BS797",jr_nkey,0))&amp;"","")</f>
        <v/>
      </c>
    </row>
    <row r="803">
      <c r="A803" s="60" t="str">
        <f>IF($O803="","",INDEX(jr_num,$O803)&amp;"")</f>
        <v/>
      </c>
      <c r="B803" s="60" t="str">
        <f>IF($O803="","",IF(INDEX(jr_type,$O803)="BL","Livraison",IF(INDEX(jr_type,$O803)="BR","Réception","Sortie")))</f>
        <v/>
      </c>
      <c r="C803" s="65" t="str">
        <f>IF($O803="","",INDEX(jr_date,$O803))</f>
        <v/>
      </c>
      <c r="D803" s="60" t="str">
        <f>IF($O803="","",INDEX(jr_tiers,$O803)&amp;"")</f>
        <v/>
      </c>
      <c r="E803" s="57" t="str">
        <f>IF($O803="","",INDEX(jr_name,$O803)&amp;"")</f>
        <v/>
      </c>
      <c r="F803" s="57" t="str">
        <f>IF($O803="","",INDEX(jr_order,$O803)&amp;"")</f>
        <v/>
      </c>
      <c r="G803" s="57" t="str">
        <f>IF($O803="","",INDEX(jr_ext,$O803)&amp;"")</f>
        <v/>
      </c>
      <c r="H803" s="57" t="str">
        <f>IF($O803="","",INDEX(jr_carrier,$O803)&amp;"")</f>
        <v/>
      </c>
      <c r="I803" s="66" t="str">
        <f>IF(A803="","",COUNTIF(jr_num,A803))</f>
        <v/>
      </c>
      <c r="J803" s="66" t="str">
        <f>IF(A803="","",SUMIF(jr_num,A803,jr_colis))</f>
        <v/>
      </c>
      <c r="K803" s="63" t="str">
        <f>IF(A803="","",SUMIF(jr_num,A803,jr_kg))</f>
        <v/>
      </c>
      <c r="L803" s="64" t="str">
        <f>IF(A803="","",SUMIF(jr_num,A803,jr_val))</f>
        <v/>
      </c>
      <c r="M803" s="60" t="str">
        <f>IF(A803="","",IF(COUNTIFS(jr_num,A803,jr_check,"&lt;&gt;OK")&gt;0,"À vérifier",IF(LEFT(A803,2)="BL",IF(COUNTIFS(jr_num,A803,jr_rel,"&gt;0")&gt;0,"Reliquat en cours",IF(COUNTIFS(jr_num,A803,jr_gap,"&lt;0")&gt;0,"Reliquat livré","Complet")),IF(LEFT(A803,2)="BR",IF(COUNTIFS(jr_num,A803,jr_etat,"Refusé")&gt;0,"Refusé",IF(COUNTIFS(jr_num,A803,jr_etat,"Avec réserves")&gt;0,"Avec réserves",IF(COUNTIFS(jr_num,A803,jr_rel,"&gt;0")&gt;0,"Reliquat en cours",IF(COUNTIFS(jr_num,A803,jr_gap,"&lt;0")+COUNTIFS(jr_num,A803,jr_gap,"&gt;0")&gt;0,"Écart","Conforme")))),IF(COUNTIFS(jr_num,A803,jr_gap,"&lt;0")&gt;0,"Partiel","Sorti")))))</f>
        <v/>
      </c>
      <c r="O803" t="str">
        <f>IFERROR(MATCH(798,jr_grank,0),"")</f>
        <v/>
      </c>
      <c r="R803" s="67" t="str">
        <f>IFERROR(INDEX(jr_num,MATCH("BL798",jr_nkey,0))&amp;"","")</f>
        <v/>
      </c>
      <c r="S803" s="67" t="str">
        <f>IFERROR(INDEX(jr_num,MATCH("BR798",jr_nkey,0))&amp;"","")</f>
        <v/>
      </c>
      <c r="T803" s="67" t="str">
        <f>IFERROR(INDEX(jr_num,MATCH("BS798",jr_nkey,0))&amp;"","")</f>
        <v/>
      </c>
    </row>
    <row r="804">
      <c r="A804" s="60" t="str">
        <f>IF($O804="","",INDEX(jr_num,$O804)&amp;"")</f>
        <v/>
      </c>
      <c r="B804" s="60" t="str">
        <f>IF($O804="","",IF(INDEX(jr_type,$O804)="BL","Livraison",IF(INDEX(jr_type,$O804)="BR","Réception","Sortie")))</f>
        <v/>
      </c>
      <c r="C804" s="65" t="str">
        <f>IF($O804="","",INDEX(jr_date,$O804))</f>
        <v/>
      </c>
      <c r="D804" s="60" t="str">
        <f>IF($O804="","",INDEX(jr_tiers,$O804)&amp;"")</f>
        <v/>
      </c>
      <c r="E804" s="57" t="str">
        <f>IF($O804="","",INDEX(jr_name,$O804)&amp;"")</f>
        <v/>
      </c>
      <c r="F804" s="57" t="str">
        <f>IF($O804="","",INDEX(jr_order,$O804)&amp;"")</f>
        <v/>
      </c>
      <c r="G804" s="57" t="str">
        <f>IF($O804="","",INDEX(jr_ext,$O804)&amp;"")</f>
        <v/>
      </c>
      <c r="H804" s="57" t="str">
        <f>IF($O804="","",INDEX(jr_carrier,$O804)&amp;"")</f>
        <v/>
      </c>
      <c r="I804" s="66" t="str">
        <f>IF(A804="","",COUNTIF(jr_num,A804))</f>
        <v/>
      </c>
      <c r="J804" s="66" t="str">
        <f>IF(A804="","",SUMIF(jr_num,A804,jr_colis))</f>
        <v/>
      </c>
      <c r="K804" s="63" t="str">
        <f>IF(A804="","",SUMIF(jr_num,A804,jr_kg))</f>
        <v/>
      </c>
      <c r="L804" s="64" t="str">
        <f>IF(A804="","",SUMIF(jr_num,A804,jr_val))</f>
        <v/>
      </c>
      <c r="M804" s="60" t="str">
        <f>IF(A804="","",IF(COUNTIFS(jr_num,A804,jr_check,"&lt;&gt;OK")&gt;0,"À vérifier",IF(LEFT(A804,2)="BL",IF(COUNTIFS(jr_num,A804,jr_rel,"&gt;0")&gt;0,"Reliquat en cours",IF(COUNTIFS(jr_num,A804,jr_gap,"&lt;0")&gt;0,"Reliquat livré","Complet")),IF(LEFT(A804,2)="BR",IF(COUNTIFS(jr_num,A804,jr_etat,"Refusé")&gt;0,"Refusé",IF(COUNTIFS(jr_num,A804,jr_etat,"Avec réserves")&gt;0,"Avec réserves",IF(COUNTIFS(jr_num,A804,jr_rel,"&gt;0")&gt;0,"Reliquat en cours",IF(COUNTIFS(jr_num,A804,jr_gap,"&lt;0")+COUNTIFS(jr_num,A804,jr_gap,"&gt;0")&gt;0,"Écart","Conforme")))),IF(COUNTIFS(jr_num,A804,jr_gap,"&lt;0")&gt;0,"Partiel","Sorti")))))</f>
        <v/>
      </c>
      <c r="O804" t="str">
        <f>IFERROR(MATCH(799,jr_grank,0),"")</f>
        <v/>
      </c>
      <c r="R804" s="67" t="str">
        <f>IFERROR(INDEX(jr_num,MATCH("BL799",jr_nkey,0))&amp;"","")</f>
        <v/>
      </c>
      <c r="S804" s="67" t="str">
        <f>IFERROR(INDEX(jr_num,MATCH("BR799",jr_nkey,0))&amp;"","")</f>
        <v/>
      </c>
      <c r="T804" s="67" t="str">
        <f>IFERROR(INDEX(jr_num,MATCH("BS799",jr_nkey,0))&amp;"","")</f>
        <v/>
      </c>
    </row>
    <row r="805">
      <c r="A805" s="60" t="str">
        <f>IF($O805="","",INDEX(jr_num,$O805)&amp;"")</f>
        <v/>
      </c>
      <c r="B805" s="60" t="str">
        <f>IF($O805="","",IF(INDEX(jr_type,$O805)="BL","Livraison",IF(INDEX(jr_type,$O805)="BR","Réception","Sortie")))</f>
        <v/>
      </c>
      <c r="C805" s="65" t="str">
        <f>IF($O805="","",INDEX(jr_date,$O805))</f>
        <v/>
      </c>
      <c r="D805" s="60" t="str">
        <f>IF($O805="","",INDEX(jr_tiers,$O805)&amp;"")</f>
        <v/>
      </c>
      <c r="E805" s="57" t="str">
        <f>IF($O805="","",INDEX(jr_name,$O805)&amp;"")</f>
        <v/>
      </c>
      <c r="F805" s="57" t="str">
        <f>IF($O805="","",INDEX(jr_order,$O805)&amp;"")</f>
        <v/>
      </c>
      <c r="G805" s="57" t="str">
        <f>IF($O805="","",INDEX(jr_ext,$O805)&amp;"")</f>
        <v/>
      </c>
      <c r="H805" s="57" t="str">
        <f>IF($O805="","",INDEX(jr_carrier,$O805)&amp;"")</f>
        <v/>
      </c>
      <c r="I805" s="66" t="str">
        <f>IF(A805="","",COUNTIF(jr_num,A805))</f>
        <v/>
      </c>
      <c r="J805" s="66" t="str">
        <f>IF(A805="","",SUMIF(jr_num,A805,jr_colis))</f>
        <v/>
      </c>
      <c r="K805" s="63" t="str">
        <f>IF(A805="","",SUMIF(jr_num,A805,jr_kg))</f>
        <v/>
      </c>
      <c r="L805" s="64" t="str">
        <f>IF(A805="","",SUMIF(jr_num,A805,jr_val))</f>
        <v/>
      </c>
      <c r="M805" s="60" t="str">
        <f>IF(A805="","",IF(COUNTIFS(jr_num,A805,jr_check,"&lt;&gt;OK")&gt;0,"À vérifier",IF(LEFT(A805,2)="BL",IF(COUNTIFS(jr_num,A805,jr_rel,"&gt;0")&gt;0,"Reliquat en cours",IF(COUNTIFS(jr_num,A805,jr_gap,"&lt;0")&gt;0,"Reliquat livré","Complet")),IF(LEFT(A805,2)="BR",IF(COUNTIFS(jr_num,A805,jr_etat,"Refusé")&gt;0,"Refusé",IF(COUNTIFS(jr_num,A805,jr_etat,"Avec réserves")&gt;0,"Avec réserves",IF(COUNTIFS(jr_num,A805,jr_rel,"&gt;0")&gt;0,"Reliquat en cours",IF(COUNTIFS(jr_num,A805,jr_gap,"&lt;0")+COUNTIFS(jr_num,A805,jr_gap,"&gt;0")&gt;0,"Écart","Conforme")))),IF(COUNTIFS(jr_num,A805,jr_gap,"&lt;0")&gt;0,"Partiel","Sorti")))))</f>
        <v/>
      </c>
      <c r="O805" t="str">
        <f>IFERROR(MATCH(800,jr_grank,0),"")</f>
        <v/>
      </c>
      <c r="R805" s="67" t="str">
        <f>IFERROR(INDEX(jr_num,MATCH("BL800",jr_nkey,0))&amp;"","")</f>
        <v/>
      </c>
      <c r="S805" s="67" t="str">
        <f>IFERROR(INDEX(jr_num,MATCH("BR800",jr_nkey,0))&amp;"","")</f>
        <v/>
      </c>
      <c r="T805" s="67" t="str">
        <f>IFERROR(INDEX(jr_num,MATCH("BS800",jr_nkey,0))&amp;"","")</f>
        <v/>
      </c>
    </row>
    <row r="806">
      <c r="A806" s="60" t="str">
        <f>IF($O806="","",INDEX(jr_num,$O806)&amp;"")</f>
        <v/>
      </c>
      <c r="B806" s="60" t="str">
        <f>IF($O806="","",IF(INDEX(jr_type,$O806)="BL","Livraison",IF(INDEX(jr_type,$O806)="BR","Réception","Sortie")))</f>
        <v/>
      </c>
      <c r="C806" s="65" t="str">
        <f>IF($O806="","",INDEX(jr_date,$O806))</f>
        <v/>
      </c>
      <c r="D806" s="60" t="str">
        <f>IF($O806="","",INDEX(jr_tiers,$O806)&amp;"")</f>
        <v/>
      </c>
      <c r="E806" s="57" t="str">
        <f>IF($O806="","",INDEX(jr_name,$O806)&amp;"")</f>
        <v/>
      </c>
      <c r="F806" s="57" t="str">
        <f>IF($O806="","",INDEX(jr_order,$O806)&amp;"")</f>
        <v/>
      </c>
      <c r="G806" s="57" t="str">
        <f>IF($O806="","",INDEX(jr_ext,$O806)&amp;"")</f>
        <v/>
      </c>
      <c r="H806" s="57" t="str">
        <f>IF($O806="","",INDEX(jr_carrier,$O806)&amp;"")</f>
        <v/>
      </c>
      <c r="I806" s="66" t="str">
        <f>IF(A806="","",COUNTIF(jr_num,A806))</f>
        <v/>
      </c>
      <c r="J806" s="66" t="str">
        <f>IF(A806="","",SUMIF(jr_num,A806,jr_colis))</f>
        <v/>
      </c>
      <c r="K806" s="63" t="str">
        <f>IF(A806="","",SUMIF(jr_num,A806,jr_kg))</f>
        <v/>
      </c>
      <c r="L806" s="64" t="str">
        <f>IF(A806="","",SUMIF(jr_num,A806,jr_val))</f>
        <v/>
      </c>
      <c r="M806" s="60" t="str">
        <f>IF(A806="","",IF(COUNTIFS(jr_num,A806,jr_check,"&lt;&gt;OK")&gt;0,"À vérifier",IF(LEFT(A806,2)="BL",IF(COUNTIFS(jr_num,A806,jr_rel,"&gt;0")&gt;0,"Reliquat en cours",IF(COUNTIFS(jr_num,A806,jr_gap,"&lt;0")&gt;0,"Reliquat livré","Complet")),IF(LEFT(A806,2)="BR",IF(COUNTIFS(jr_num,A806,jr_etat,"Refusé")&gt;0,"Refusé",IF(COUNTIFS(jr_num,A806,jr_etat,"Avec réserves")&gt;0,"Avec réserves",IF(COUNTIFS(jr_num,A806,jr_rel,"&gt;0")&gt;0,"Reliquat en cours",IF(COUNTIFS(jr_num,A806,jr_gap,"&lt;0")+COUNTIFS(jr_num,A806,jr_gap,"&gt;0")&gt;0,"Écart","Conforme")))),IF(COUNTIFS(jr_num,A806,jr_gap,"&lt;0")&gt;0,"Partiel","Sorti")))))</f>
        <v/>
      </c>
      <c r="O806" t="str">
        <f>IFERROR(MATCH(801,jr_grank,0),"")</f>
        <v/>
      </c>
      <c r="R806" s="67" t="str">
        <f>IFERROR(INDEX(jr_num,MATCH("BL801",jr_nkey,0))&amp;"","")</f>
        <v/>
      </c>
      <c r="S806" s="67" t="str">
        <f>IFERROR(INDEX(jr_num,MATCH("BR801",jr_nkey,0))&amp;"","")</f>
        <v/>
      </c>
      <c r="T806" s="67" t="str">
        <f>IFERROR(INDEX(jr_num,MATCH("BS801",jr_nkey,0))&amp;"","")</f>
        <v/>
      </c>
    </row>
    <row r="807">
      <c r="A807" s="60" t="str">
        <f>IF($O807="","",INDEX(jr_num,$O807)&amp;"")</f>
        <v/>
      </c>
      <c r="B807" s="60" t="str">
        <f>IF($O807="","",IF(INDEX(jr_type,$O807)="BL","Livraison",IF(INDEX(jr_type,$O807)="BR","Réception","Sortie")))</f>
        <v/>
      </c>
      <c r="C807" s="65" t="str">
        <f>IF($O807="","",INDEX(jr_date,$O807))</f>
        <v/>
      </c>
      <c r="D807" s="60" t="str">
        <f>IF($O807="","",INDEX(jr_tiers,$O807)&amp;"")</f>
        <v/>
      </c>
      <c r="E807" s="57" t="str">
        <f>IF($O807="","",INDEX(jr_name,$O807)&amp;"")</f>
        <v/>
      </c>
      <c r="F807" s="57" t="str">
        <f>IF($O807="","",INDEX(jr_order,$O807)&amp;"")</f>
        <v/>
      </c>
      <c r="G807" s="57" t="str">
        <f>IF($O807="","",INDEX(jr_ext,$O807)&amp;"")</f>
        <v/>
      </c>
      <c r="H807" s="57" t="str">
        <f>IF($O807="","",INDEX(jr_carrier,$O807)&amp;"")</f>
        <v/>
      </c>
      <c r="I807" s="66" t="str">
        <f>IF(A807="","",COUNTIF(jr_num,A807))</f>
        <v/>
      </c>
      <c r="J807" s="66" t="str">
        <f>IF(A807="","",SUMIF(jr_num,A807,jr_colis))</f>
        <v/>
      </c>
      <c r="K807" s="63" t="str">
        <f>IF(A807="","",SUMIF(jr_num,A807,jr_kg))</f>
        <v/>
      </c>
      <c r="L807" s="64" t="str">
        <f>IF(A807="","",SUMIF(jr_num,A807,jr_val))</f>
        <v/>
      </c>
      <c r="M807" s="60" t="str">
        <f>IF(A807="","",IF(COUNTIFS(jr_num,A807,jr_check,"&lt;&gt;OK")&gt;0,"À vérifier",IF(LEFT(A807,2)="BL",IF(COUNTIFS(jr_num,A807,jr_rel,"&gt;0")&gt;0,"Reliquat en cours",IF(COUNTIFS(jr_num,A807,jr_gap,"&lt;0")&gt;0,"Reliquat livré","Complet")),IF(LEFT(A807,2)="BR",IF(COUNTIFS(jr_num,A807,jr_etat,"Refusé")&gt;0,"Refusé",IF(COUNTIFS(jr_num,A807,jr_etat,"Avec réserves")&gt;0,"Avec réserves",IF(COUNTIFS(jr_num,A807,jr_rel,"&gt;0")&gt;0,"Reliquat en cours",IF(COUNTIFS(jr_num,A807,jr_gap,"&lt;0")+COUNTIFS(jr_num,A807,jr_gap,"&gt;0")&gt;0,"Écart","Conforme")))),IF(COUNTIFS(jr_num,A807,jr_gap,"&lt;0")&gt;0,"Partiel","Sorti")))))</f>
        <v/>
      </c>
      <c r="O807" t="str">
        <f>IFERROR(MATCH(802,jr_grank,0),"")</f>
        <v/>
      </c>
      <c r="R807" s="67" t="str">
        <f>IFERROR(INDEX(jr_num,MATCH("BL802",jr_nkey,0))&amp;"","")</f>
        <v/>
      </c>
      <c r="S807" s="67" t="str">
        <f>IFERROR(INDEX(jr_num,MATCH("BR802",jr_nkey,0))&amp;"","")</f>
        <v/>
      </c>
      <c r="T807" s="67" t="str">
        <f>IFERROR(INDEX(jr_num,MATCH("BS802",jr_nkey,0))&amp;"","")</f>
        <v/>
      </c>
    </row>
    <row r="808">
      <c r="A808" s="60" t="str">
        <f>IF($O808="","",INDEX(jr_num,$O808)&amp;"")</f>
        <v/>
      </c>
      <c r="B808" s="60" t="str">
        <f>IF($O808="","",IF(INDEX(jr_type,$O808)="BL","Livraison",IF(INDEX(jr_type,$O808)="BR","Réception","Sortie")))</f>
        <v/>
      </c>
      <c r="C808" s="65" t="str">
        <f>IF($O808="","",INDEX(jr_date,$O808))</f>
        <v/>
      </c>
      <c r="D808" s="60" t="str">
        <f>IF($O808="","",INDEX(jr_tiers,$O808)&amp;"")</f>
        <v/>
      </c>
      <c r="E808" s="57" t="str">
        <f>IF($O808="","",INDEX(jr_name,$O808)&amp;"")</f>
        <v/>
      </c>
      <c r="F808" s="57" t="str">
        <f>IF($O808="","",INDEX(jr_order,$O808)&amp;"")</f>
        <v/>
      </c>
      <c r="G808" s="57" t="str">
        <f>IF($O808="","",INDEX(jr_ext,$O808)&amp;"")</f>
        <v/>
      </c>
      <c r="H808" s="57" t="str">
        <f>IF($O808="","",INDEX(jr_carrier,$O808)&amp;"")</f>
        <v/>
      </c>
      <c r="I808" s="66" t="str">
        <f>IF(A808="","",COUNTIF(jr_num,A808))</f>
        <v/>
      </c>
      <c r="J808" s="66" t="str">
        <f>IF(A808="","",SUMIF(jr_num,A808,jr_colis))</f>
        <v/>
      </c>
      <c r="K808" s="63" t="str">
        <f>IF(A808="","",SUMIF(jr_num,A808,jr_kg))</f>
        <v/>
      </c>
      <c r="L808" s="64" t="str">
        <f>IF(A808="","",SUMIF(jr_num,A808,jr_val))</f>
        <v/>
      </c>
      <c r="M808" s="60" t="str">
        <f>IF(A808="","",IF(COUNTIFS(jr_num,A808,jr_check,"&lt;&gt;OK")&gt;0,"À vérifier",IF(LEFT(A808,2)="BL",IF(COUNTIFS(jr_num,A808,jr_rel,"&gt;0")&gt;0,"Reliquat en cours",IF(COUNTIFS(jr_num,A808,jr_gap,"&lt;0")&gt;0,"Reliquat livré","Complet")),IF(LEFT(A808,2)="BR",IF(COUNTIFS(jr_num,A808,jr_etat,"Refusé")&gt;0,"Refusé",IF(COUNTIFS(jr_num,A808,jr_etat,"Avec réserves")&gt;0,"Avec réserves",IF(COUNTIFS(jr_num,A808,jr_rel,"&gt;0")&gt;0,"Reliquat en cours",IF(COUNTIFS(jr_num,A808,jr_gap,"&lt;0")+COUNTIFS(jr_num,A808,jr_gap,"&gt;0")&gt;0,"Écart","Conforme")))),IF(COUNTIFS(jr_num,A808,jr_gap,"&lt;0")&gt;0,"Partiel","Sorti")))))</f>
        <v/>
      </c>
      <c r="O808" t="str">
        <f>IFERROR(MATCH(803,jr_grank,0),"")</f>
        <v/>
      </c>
      <c r="R808" s="67" t="str">
        <f>IFERROR(INDEX(jr_num,MATCH("BL803",jr_nkey,0))&amp;"","")</f>
        <v/>
      </c>
      <c r="S808" s="67" t="str">
        <f>IFERROR(INDEX(jr_num,MATCH("BR803",jr_nkey,0))&amp;"","")</f>
        <v/>
      </c>
      <c r="T808" s="67" t="str">
        <f>IFERROR(INDEX(jr_num,MATCH("BS803",jr_nkey,0))&amp;"","")</f>
        <v/>
      </c>
    </row>
    <row r="809">
      <c r="A809" s="60" t="str">
        <f>IF($O809="","",INDEX(jr_num,$O809)&amp;"")</f>
        <v/>
      </c>
      <c r="B809" s="60" t="str">
        <f>IF($O809="","",IF(INDEX(jr_type,$O809)="BL","Livraison",IF(INDEX(jr_type,$O809)="BR","Réception","Sortie")))</f>
        <v/>
      </c>
      <c r="C809" s="65" t="str">
        <f>IF($O809="","",INDEX(jr_date,$O809))</f>
        <v/>
      </c>
      <c r="D809" s="60" t="str">
        <f>IF($O809="","",INDEX(jr_tiers,$O809)&amp;"")</f>
        <v/>
      </c>
      <c r="E809" s="57" t="str">
        <f>IF($O809="","",INDEX(jr_name,$O809)&amp;"")</f>
        <v/>
      </c>
      <c r="F809" s="57" t="str">
        <f>IF($O809="","",INDEX(jr_order,$O809)&amp;"")</f>
        <v/>
      </c>
      <c r="G809" s="57" t="str">
        <f>IF($O809="","",INDEX(jr_ext,$O809)&amp;"")</f>
        <v/>
      </c>
      <c r="H809" s="57" t="str">
        <f>IF($O809="","",INDEX(jr_carrier,$O809)&amp;"")</f>
        <v/>
      </c>
      <c r="I809" s="66" t="str">
        <f>IF(A809="","",COUNTIF(jr_num,A809))</f>
        <v/>
      </c>
      <c r="J809" s="66" t="str">
        <f>IF(A809="","",SUMIF(jr_num,A809,jr_colis))</f>
        <v/>
      </c>
      <c r="K809" s="63" t="str">
        <f>IF(A809="","",SUMIF(jr_num,A809,jr_kg))</f>
        <v/>
      </c>
      <c r="L809" s="64" t="str">
        <f>IF(A809="","",SUMIF(jr_num,A809,jr_val))</f>
        <v/>
      </c>
      <c r="M809" s="60" t="str">
        <f>IF(A809="","",IF(COUNTIFS(jr_num,A809,jr_check,"&lt;&gt;OK")&gt;0,"À vérifier",IF(LEFT(A809,2)="BL",IF(COUNTIFS(jr_num,A809,jr_rel,"&gt;0")&gt;0,"Reliquat en cours",IF(COUNTIFS(jr_num,A809,jr_gap,"&lt;0")&gt;0,"Reliquat livré","Complet")),IF(LEFT(A809,2)="BR",IF(COUNTIFS(jr_num,A809,jr_etat,"Refusé")&gt;0,"Refusé",IF(COUNTIFS(jr_num,A809,jr_etat,"Avec réserves")&gt;0,"Avec réserves",IF(COUNTIFS(jr_num,A809,jr_rel,"&gt;0")&gt;0,"Reliquat en cours",IF(COUNTIFS(jr_num,A809,jr_gap,"&lt;0")+COUNTIFS(jr_num,A809,jr_gap,"&gt;0")&gt;0,"Écart","Conforme")))),IF(COUNTIFS(jr_num,A809,jr_gap,"&lt;0")&gt;0,"Partiel","Sorti")))))</f>
        <v/>
      </c>
      <c r="O809" t="str">
        <f>IFERROR(MATCH(804,jr_grank,0),"")</f>
        <v/>
      </c>
      <c r="R809" s="67" t="str">
        <f>IFERROR(INDEX(jr_num,MATCH("BL804",jr_nkey,0))&amp;"","")</f>
        <v/>
      </c>
      <c r="S809" s="67" t="str">
        <f>IFERROR(INDEX(jr_num,MATCH("BR804",jr_nkey,0))&amp;"","")</f>
        <v/>
      </c>
      <c r="T809" s="67" t="str">
        <f>IFERROR(INDEX(jr_num,MATCH("BS804",jr_nkey,0))&amp;"","")</f>
        <v/>
      </c>
    </row>
    <row r="810">
      <c r="A810" s="60" t="str">
        <f>IF($O810="","",INDEX(jr_num,$O810)&amp;"")</f>
        <v/>
      </c>
      <c r="B810" s="60" t="str">
        <f>IF($O810="","",IF(INDEX(jr_type,$O810)="BL","Livraison",IF(INDEX(jr_type,$O810)="BR","Réception","Sortie")))</f>
        <v/>
      </c>
      <c r="C810" s="65" t="str">
        <f>IF($O810="","",INDEX(jr_date,$O810))</f>
        <v/>
      </c>
      <c r="D810" s="60" t="str">
        <f>IF($O810="","",INDEX(jr_tiers,$O810)&amp;"")</f>
        <v/>
      </c>
      <c r="E810" s="57" t="str">
        <f>IF($O810="","",INDEX(jr_name,$O810)&amp;"")</f>
        <v/>
      </c>
      <c r="F810" s="57" t="str">
        <f>IF($O810="","",INDEX(jr_order,$O810)&amp;"")</f>
        <v/>
      </c>
      <c r="G810" s="57" t="str">
        <f>IF($O810="","",INDEX(jr_ext,$O810)&amp;"")</f>
        <v/>
      </c>
      <c r="H810" s="57" t="str">
        <f>IF($O810="","",INDEX(jr_carrier,$O810)&amp;"")</f>
        <v/>
      </c>
      <c r="I810" s="66" t="str">
        <f>IF(A810="","",COUNTIF(jr_num,A810))</f>
        <v/>
      </c>
      <c r="J810" s="66" t="str">
        <f>IF(A810="","",SUMIF(jr_num,A810,jr_colis))</f>
        <v/>
      </c>
      <c r="K810" s="63" t="str">
        <f>IF(A810="","",SUMIF(jr_num,A810,jr_kg))</f>
        <v/>
      </c>
      <c r="L810" s="64" t="str">
        <f>IF(A810="","",SUMIF(jr_num,A810,jr_val))</f>
        <v/>
      </c>
      <c r="M810" s="60" t="str">
        <f>IF(A810="","",IF(COUNTIFS(jr_num,A810,jr_check,"&lt;&gt;OK")&gt;0,"À vérifier",IF(LEFT(A810,2)="BL",IF(COUNTIFS(jr_num,A810,jr_rel,"&gt;0")&gt;0,"Reliquat en cours",IF(COUNTIFS(jr_num,A810,jr_gap,"&lt;0")&gt;0,"Reliquat livré","Complet")),IF(LEFT(A810,2)="BR",IF(COUNTIFS(jr_num,A810,jr_etat,"Refusé")&gt;0,"Refusé",IF(COUNTIFS(jr_num,A810,jr_etat,"Avec réserves")&gt;0,"Avec réserves",IF(COUNTIFS(jr_num,A810,jr_rel,"&gt;0")&gt;0,"Reliquat en cours",IF(COUNTIFS(jr_num,A810,jr_gap,"&lt;0")+COUNTIFS(jr_num,A810,jr_gap,"&gt;0")&gt;0,"Écart","Conforme")))),IF(COUNTIFS(jr_num,A810,jr_gap,"&lt;0")&gt;0,"Partiel","Sorti")))))</f>
        <v/>
      </c>
      <c r="O810" t="str">
        <f>IFERROR(MATCH(805,jr_grank,0),"")</f>
        <v/>
      </c>
      <c r="R810" s="67" t="str">
        <f>IFERROR(INDEX(jr_num,MATCH("BL805",jr_nkey,0))&amp;"","")</f>
        <v/>
      </c>
      <c r="S810" s="67" t="str">
        <f>IFERROR(INDEX(jr_num,MATCH("BR805",jr_nkey,0))&amp;"","")</f>
        <v/>
      </c>
      <c r="T810" s="67" t="str">
        <f>IFERROR(INDEX(jr_num,MATCH("BS805",jr_nkey,0))&amp;"","")</f>
        <v/>
      </c>
    </row>
    <row r="811">
      <c r="A811" s="60" t="str">
        <f>IF($O811="","",INDEX(jr_num,$O811)&amp;"")</f>
        <v/>
      </c>
      <c r="B811" s="60" t="str">
        <f>IF($O811="","",IF(INDEX(jr_type,$O811)="BL","Livraison",IF(INDEX(jr_type,$O811)="BR","Réception","Sortie")))</f>
        <v/>
      </c>
      <c r="C811" s="65" t="str">
        <f>IF($O811="","",INDEX(jr_date,$O811))</f>
        <v/>
      </c>
      <c r="D811" s="60" t="str">
        <f>IF($O811="","",INDEX(jr_tiers,$O811)&amp;"")</f>
        <v/>
      </c>
      <c r="E811" s="57" t="str">
        <f>IF($O811="","",INDEX(jr_name,$O811)&amp;"")</f>
        <v/>
      </c>
      <c r="F811" s="57" t="str">
        <f>IF($O811="","",INDEX(jr_order,$O811)&amp;"")</f>
        <v/>
      </c>
      <c r="G811" s="57" t="str">
        <f>IF($O811="","",INDEX(jr_ext,$O811)&amp;"")</f>
        <v/>
      </c>
      <c r="H811" s="57" t="str">
        <f>IF($O811="","",INDEX(jr_carrier,$O811)&amp;"")</f>
        <v/>
      </c>
      <c r="I811" s="66" t="str">
        <f>IF(A811="","",COUNTIF(jr_num,A811))</f>
        <v/>
      </c>
      <c r="J811" s="66" t="str">
        <f>IF(A811="","",SUMIF(jr_num,A811,jr_colis))</f>
        <v/>
      </c>
      <c r="K811" s="63" t="str">
        <f>IF(A811="","",SUMIF(jr_num,A811,jr_kg))</f>
        <v/>
      </c>
      <c r="L811" s="64" t="str">
        <f>IF(A811="","",SUMIF(jr_num,A811,jr_val))</f>
        <v/>
      </c>
      <c r="M811" s="60" t="str">
        <f>IF(A811="","",IF(COUNTIFS(jr_num,A811,jr_check,"&lt;&gt;OK")&gt;0,"À vérifier",IF(LEFT(A811,2)="BL",IF(COUNTIFS(jr_num,A811,jr_rel,"&gt;0")&gt;0,"Reliquat en cours",IF(COUNTIFS(jr_num,A811,jr_gap,"&lt;0")&gt;0,"Reliquat livré","Complet")),IF(LEFT(A811,2)="BR",IF(COUNTIFS(jr_num,A811,jr_etat,"Refusé")&gt;0,"Refusé",IF(COUNTIFS(jr_num,A811,jr_etat,"Avec réserves")&gt;0,"Avec réserves",IF(COUNTIFS(jr_num,A811,jr_rel,"&gt;0")&gt;0,"Reliquat en cours",IF(COUNTIFS(jr_num,A811,jr_gap,"&lt;0")+COUNTIFS(jr_num,A811,jr_gap,"&gt;0")&gt;0,"Écart","Conforme")))),IF(COUNTIFS(jr_num,A811,jr_gap,"&lt;0")&gt;0,"Partiel","Sorti")))))</f>
        <v/>
      </c>
      <c r="O811" t="str">
        <f>IFERROR(MATCH(806,jr_grank,0),"")</f>
        <v/>
      </c>
      <c r="R811" s="67" t="str">
        <f>IFERROR(INDEX(jr_num,MATCH("BL806",jr_nkey,0))&amp;"","")</f>
        <v/>
      </c>
      <c r="S811" s="67" t="str">
        <f>IFERROR(INDEX(jr_num,MATCH("BR806",jr_nkey,0))&amp;"","")</f>
        <v/>
      </c>
      <c r="T811" s="67" t="str">
        <f>IFERROR(INDEX(jr_num,MATCH("BS806",jr_nkey,0))&amp;"","")</f>
        <v/>
      </c>
    </row>
    <row r="812">
      <c r="A812" s="60" t="str">
        <f>IF($O812="","",INDEX(jr_num,$O812)&amp;"")</f>
        <v/>
      </c>
      <c r="B812" s="60" t="str">
        <f>IF($O812="","",IF(INDEX(jr_type,$O812)="BL","Livraison",IF(INDEX(jr_type,$O812)="BR","Réception","Sortie")))</f>
        <v/>
      </c>
      <c r="C812" s="65" t="str">
        <f>IF($O812="","",INDEX(jr_date,$O812))</f>
        <v/>
      </c>
      <c r="D812" s="60" t="str">
        <f>IF($O812="","",INDEX(jr_tiers,$O812)&amp;"")</f>
        <v/>
      </c>
      <c r="E812" s="57" t="str">
        <f>IF($O812="","",INDEX(jr_name,$O812)&amp;"")</f>
        <v/>
      </c>
      <c r="F812" s="57" t="str">
        <f>IF($O812="","",INDEX(jr_order,$O812)&amp;"")</f>
        <v/>
      </c>
      <c r="G812" s="57" t="str">
        <f>IF($O812="","",INDEX(jr_ext,$O812)&amp;"")</f>
        <v/>
      </c>
      <c r="H812" s="57" t="str">
        <f>IF($O812="","",INDEX(jr_carrier,$O812)&amp;"")</f>
        <v/>
      </c>
      <c r="I812" s="66" t="str">
        <f>IF(A812="","",COUNTIF(jr_num,A812))</f>
        <v/>
      </c>
      <c r="J812" s="66" t="str">
        <f>IF(A812="","",SUMIF(jr_num,A812,jr_colis))</f>
        <v/>
      </c>
      <c r="K812" s="63" t="str">
        <f>IF(A812="","",SUMIF(jr_num,A812,jr_kg))</f>
        <v/>
      </c>
      <c r="L812" s="64" t="str">
        <f>IF(A812="","",SUMIF(jr_num,A812,jr_val))</f>
        <v/>
      </c>
      <c r="M812" s="60" t="str">
        <f>IF(A812="","",IF(COUNTIFS(jr_num,A812,jr_check,"&lt;&gt;OK")&gt;0,"À vérifier",IF(LEFT(A812,2)="BL",IF(COUNTIFS(jr_num,A812,jr_rel,"&gt;0")&gt;0,"Reliquat en cours",IF(COUNTIFS(jr_num,A812,jr_gap,"&lt;0")&gt;0,"Reliquat livré","Complet")),IF(LEFT(A812,2)="BR",IF(COUNTIFS(jr_num,A812,jr_etat,"Refusé")&gt;0,"Refusé",IF(COUNTIFS(jr_num,A812,jr_etat,"Avec réserves")&gt;0,"Avec réserves",IF(COUNTIFS(jr_num,A812,jr_rel,"&gt;0")&gt;0,"Reliquat en cours",IF(COUNTIFS(jr_num,A812,jr_gap,"&lt;0")+COUNTIFS(jr_num,A812,jr_gap,"&gt;0")&gt;0,"Écart","Conforme")))),IF(COUNTIFS(jr_num,A812,jr_gap,"&lt;0")&gt;0,"Partiel","Sorti")))))</f>
        <v/>
      </c>
      <c r="O812" t="str">
        <f>IFERROR(MATCH(807,jr_grank,0),"")</f>
        <v/>
      </c>
      <c r="R812" s="67" t="str">
        <f>IFERROR(INDEX(jr_num,MATCH("BL807",jr_nkey,0))&amp;"","")</f>
        <v/>
      </c>
      <c r="S812" s="67" t="str">
        <f>IFERROR(INDEX(jr_num,MATCH("BR807",jr_nkey,0))&amp;"","")</f>
        <v/>
      </c>
      <c r="T812" s="67" t="str">
        <f>IFERROR(INDEX(jr_num,MATCH("BS807",jr_nkey,0))&amp;"","")</f>
        <v/>
      </c>
    </row>
    <row r="813">
      <c r="A813" s="60" t="str">
        <f>IF($O813="","",INDEX(jr_num,$O813)&amp;"")</f>
        <v/>
      </c>
      <c r="B813" s="60" t="str">
        <f>IF($O813="","",IF(INDEX(jr_type,$O813)="BL","Livraison",IF(INDEX(jr_type,$O813)="BR","Réception","Sortie")))</f>
        <v/>
      </c>
      <c r="C813" s="65" t="str">
        <f>IF($O813="","",INDEX(jr_date,$O813))</f>
        <v/>
      </c>
      <c r="D813" s="60" t="str">
        <f>IF($O813="","",INDEX(jr_tiers,$O813)&amp;"")</f>
        <v/>
      </c>
      <c r="E813" s="57" t="str">
        <f>IF($O813="","",INDEX(jr_name,$O813)&amp;"")</f>
        <v/>
      </c>
      <c r="F813" s="57" t="str">
        <f>IF($O813="","",INDEX(jr_order,$O813)&amp;"")</f>
        <v/>
      </c>
      <c r="G813" s="57" t="str">
        <f>IF($O813="","",INDEX(jr_ext,$O813)&amp;"")</f>
        <v/>
      </c>
      <c r="H813" s="57" t="str">
        <f>IF($O813="","",INDEX(jr_carrier,$O813)&amp;"")</f>
        <v/>
      </c>
      <c r="I813" s="66" t="str">
        <f>IF(A813="","",COUNTIF(jr_num,A813))</f>
        <v/>
      </c>
      <c r="J813" s="66" t="str">
        <f>IF(A813="","",SUMIF(jr_num,A813,jr_colis))</f>
        <v/>
      </c>
      <c r="K813" s="63" t="str">
        <f>IF(A813="","",SUMIF(jr_num,A813,jr_kg))</f>
        <v/>
      </c>
      <c r="L813" s="64" t="str">
        <f>IF(A813="","",SUMIF(jr_num,A813,jr_val))</f>
        <v/>
      </c>
      <c r="M813" s="60" t="str">
        <f>IF(A813="","",IF(COUNTIFS(jr_num,A813,jr_check,"&lt;&gt;OK")&gt;0,"À vérifier",IF(LEFT(A813,2)="BL",IF(COUNTIFS(jr_num,A813,jr_rel,"&gt;0")&gt;0,"Reliquat en cours",IF(COUNTIFS(jr_num,A813,jr_gap,"&lt;0")&gt;0,"Reliquat livré","Complet")),IF(LEFT(A813,2)="BR",IF(COUNTIFS(jr_num,A813,jr_etat,"Refusé")&gt;0,"Refusé",IF(COUNTIFS(jr_num,A813,jr_etat,"Avec réserves")&gt;0,"Avec réserves",IF(COUNTIFS(jr_num,A813,jr_rel,"&gt;0")&gt;0,"Reliquat en cours",IF(COUNTIFS(jr_num,A813,jr_gap,"&lt;0")+COUNTIFS(jr_num,A813,jr_gap,"&gt;0")&gt;0,"Écart","Conforme")))),IF(COUNTIFS(jr_num,A813,jr_gap,"&lt;0")&gt;0,"Partiel","Sorti")))))</f>
        <v/>
      </c>
      <c r="O813" t="str">
        <f>IFERROR(MATCH(808,jr_grank,0),"")</f>
        <v/>
      </c>
      <c r="R813" s="67" t="str">
        <f>IFERROR(INDEX(jr_num,MATCH("BL808",jr_nkey,0))&amp;"","")</f>
        <v/>
      </c>
      <c r="S813" s="67" t="str">
        <f>IFERROR(INDEX(jr_num,MATCH("BR808",jr_nkey,0))&amp;"","")</f>
        <v/>
      </c>
      <c r="T813" s="67" t="str">
        <f>IFERROR(INDEX(jr_num,MATCH("BS808",jr_nkey,0))&amp;"","")</f>
        <v/>
      </c>
    </row>
    <row r="814">
      <c r="A814" s="60" t="str">
        <f>IF($O814="","",INDEX(jr_num,$O814)&amp;"")</f>
        <v/>
      </c>
      <c r="B814" s="60" t="str">
        <f>IF($O814="","",IF(INDEX(jr_type,$O814)="BL","Livraison",IF(INDEX(jr_type,$O814)="BR","Réception","Sortie")))</f>
        <v/>
      </c>
      <c r="C814" s="65" t="str">
        <f>IF($O814="","",INDEX(jr_date,$O814))</f>
        <v/>
      </c>
      <c r="D814" s="60" t="str">
        <f>IF($O814="","",INDEX(jr_tiers,$O814)&amp;"")</f>
        <v/>
      </c>
      <c r="E814" s="57" t="str">
        <f>IF($O814="","",INDEX(jr_name,$O814)&amp;"")</f>
        <v/>
      </c>
      <c r="F814" s="57" t="str">
        <f>IF($O814="","",INDEX(jr_order,$O814)&amp;"")</f>
        <v/>
      </c>
      <c r="G814" s="57" t="str">
        <f>IF($O814="","",INDEX(jr_ext,$O814)&amp;"")</f>
        <v/>
      </c>
      <c r="H814" s="57" t="str">
        <f>IF($O814="","",INDEX(jr_carrier,$O814)&amp;"")</f>
        <v/>
      </c>
      <c r="I814" s="66" t="str">
        <f>IF(A814="","",COUNTIF(jr_num,A814))</f>
        <v/>
      </c>
      <c r="J814" s="66" t="str">
        <f>IF(A814="","",SUMIF(jr_num,A814,jr_colis))</f>
        <v/>
      </c>
      <c r="K814" s="63" t="str">
        <f>IF(A814="","",SUMIF(jr_num,A814,jr_kg))</f>
        <v/>
      </c>
      <c r="L814" s="64" t="str">
        <f>IF(A814="","",SUMIF(jr_num,A814,jr_val))</f>
        <v/>
      </c>
      <c r="M814" s="60" t="str">
        <f>IF(A814="","",IF(COUNTIFS(jr_num,A814,jr_check,"&lt;&gt;OK")&gt;0,"À vérifier",IF(LEFT(A814,2)="BL",IF(COUNTIFS(jr_num,A814,jr_rel,"&gt;0")&gt;0,"Reliquat en cours",IF(COUNTIFS(jr_num,A814,jr_gap,"&lt;0")&gt;0,"Reliquat livré","Complet")),IF(LEFT(A814,2)="BR",IF(COUNTIFS(jr_num,A814,jr_etat,"Refusé")&gt;0,"Refusé",IF(COUNTIFS(jr_num,A814,jr_etat,"Avec réserves")&gt;0,"Avec réserves",IF(COUNTIFS(jr_num,A814,jr_rel,"&gt;0")&gt;0,"Reliquat en cours",IF(COUNTIFS(jr_num,A814,jr_gap,"&lt;0")+COUNTIFS(jr_num,A814,jr_gap,"&gt;0")&gt;0,"Écart","Conforme")))),IF(COUNTIFS(jr_num,A814,jr_gap,"&lt;0")&gt;0,"Partiel","Sorti")))))</f>
        <v/>
      </c>
      <c r="O814" t="str">
        <f>IFERROR(MATCH(809,jr_grank,0),"")</f>
        <v/>
      </c>
      <c r="R814" s="67" t="str">
        <f>IFERROR(INDEX(jr_num,MATCH("BL809",jr_nkey,0))&amp;"","")</f>
        <v/>
      </c>
      <c r="S814" s="67" t="str">
        <f>IFERROR(INDEX(jr_num,MATCH("BR809",jr_nkey,0))&amp;"","")</f>
        <v/>
      </c>
      <c r="T814" s="67" t="str">
        <f>IFERROR(INDEX(jr_num,MATCH("BS809",jr_nkey,0))&amp;"","")</f>
        <v/>
      </c>
    </row>
    <row r="815">
      <c r="A815" s="60" t="str">
        <f>IF($O815="","",INDEX(jr_num,$O815)&amp;"")</f>
        <v/>
      </c>
      <c r="B815" s="60" t="str">
        <f>IF($O815="","",IF(INDEX(jr_type,$O815)="BL","Livraison",IF(INDEX(jr_type,$O815)="BR","Réception","Sortie")))</f>
        <v/>
      </c>
      <c r="C815" s="65" t="str">
        <f>IF($O815="","",INDEX(jr_date,$O815))</f>
        <v/>
      </c>
      <c r="D815" s="60" t="str">
        <f>IF($O815="","",INDEX(jr_tiers,$O815)&amp;"")</f>
        <v/>
      </c>
      <c r="E815" s="57" t="str">
        <f>IF($O815="","",INDEX(jr_name,$O815)&amp;"")</f>
        <v/>
      </c>
      <c r="F815" s="57" t="str">
        <f>IF($O815="","",INDEX(jr_order,$O815)&amp;"")</f>
        <v/>
      </c>
      <c r="G815" s="57" t="str">
        <f>IF($O815="","",INDEX(jr_ext,$O815)&amp;"")</f>
        <v/>
      </c>
      <c r="H815" s="57" t="str">
        <f>IF($O815="","",INDEX(jr_carrier,$O815)&amp;"")</f>
        <v/>
      </c>
      <c r="I815" s="66" t="str">
        <f>IF(A815="","",COUNTIF(jr_num,A815))</f>
        <v/>
      </c>
      <c r="J815" s="66" t="str">
        <f>IF(A815="","",SUMIF(jr_num,A815,jr_colis))</f>
        <v/>
      </c>
      <c r="K815" s="63" t="str">
        <f>IF(A815="","",SUMIF(jr_num,A815,jr_kg))</f>
        <v/>
      </c>
      <c r="L815" s="64" t="str">
        <f>IF(A815="","",SUMIF(jr_num,A815,jr_val))</f>
        <v/>
      </c>
      <c r="M815" s="60" t="str">
        <f>IF(A815="","",IF(COUNTIFS(jr_num,A815,jr_check,"&lt;&gt;OK")&gt;0,"À vérifier",IF(LEFT(A815,2)="BL",IF(COUNTIFS(jr_num,A815,jr_rel,"&gt;0")&gt;0,"Reliquat en cours",IF(COUNTIFS(jr_num,A815,jr_gap,"&lt;0")&gt;0,"Reliquat livré","Complet")),IF(LEFT(A815,2)="BR",IF(COUNTIFS(jr_num,A815,jr_etat,"Refusé")&gt;0,"Refusé",IF(COUNTIFS(jr_num,A815,jr_etat,"Avec réserves")&gt;0,"Avec réserves",IF(COUNTIFS(jr_num,A815,jr_rel,"&gt;0")&gt;0,"Reliquat en cours",IF(COUNTIFS(jr_num,A815,jr_gap,"&lt;0")+COUNTIFS(jr_num,A815,jr_gap,"&gt;0")&gt;0,"Écart","Conforme")))),IF(COUNTIFS(jr_num,A815,jr_gap,"&lt;0")&gt;0,"Partiel","Sorti")))))</f>
        <v/>
      </c>
      <c r="O815" t="str">
        <f>IFERROR(MATCH(810,jr_grank,0),"")</f>
        <v/>
      </c>
      <c r="R815" s="67" t="str">
        <f>IFERROR(INDEX(jr_num,MATCH("BL810",jr_nkey,0))&amp;"","")</f>
        <v/>
      </c>
      <c r="S815" s="67" t="str">
        <f>IFERROR(INDEX(jr_num,MATCH("BR810",jr_nkey,0))&amp;"","")</f>
        <v/>
      </c>
      <c r="T815" s="67" t="str">
        <f>IFERROR(INDEX(jr_num,MATCH("BS810",jr_nkey,0))&amp;"","")</f>
        <v/>
      </c>
    </row>
    <row r="816">
      <c r="A816" s="60" t="str">
        <f>IF($O816="","",INDEX(jr_num,$O816)&amp;"")</f>
        <v/>
      </c>
      <c r="B816" s="60" t="str">
        <f>IF($O816="","",IF(INDEX(jr_type,$O816)="BL","Livraison",IF(INDEX(jr_type,$O816)="BR","Réception","Sortie")))</f>
        <v/>
      </c>
      <c r="C816" s="65" t="str">
        <f>IF($O816="","",INDEX(jr_date,$O816))</f>
        <v/>
      </c>
      <c r="D816" s="60" t="str">
        <f>IF($O816="","",INDEX(jr_tiers,$O816)&amp;"")</f>
        <v/>
      </c>
      <c r="E816" s="57" t="str">
        <f>IF($O816="","",INDEX(jr_name,$O816)&amp;"")</f>
        <v/>
      </c>
      <c r="F816" s="57" t="str">
        <f>IF($O816="","",INDEX(jr_order,$O816)&amp;"")</f>
        <v/>
      </c>
      <c r="G816" s="57" t="str">
        <f>IF($O816="","",INDEX(jr_ext,$O816)&amp;"")</f>
        <v/>
      </c>
      <c r="H816" s="57" t="str">
        <f>IF($O816="","",INDEX(jr_carrier,$O816)&amp;"")</f>
        <v/>
      </c>
      <c r="I816" s="66" t="str">
        <f>IF(A816="","",COUNTIF(jr_num,A816))</f>
        <v/>
      </c>
      <c r="J816" s="66" t="str">
        <f>IF(A816="","",SUMIF(jr_num,A816,jr_colis))</f>
        <v/>
      </c>
      <c r="K816" s="63" t="str">
        <f>IF(A816="","",SUMIF(jr_num,A816,jr_kg))</f>
        <v/>
      </c>
      <c r="L816" s="64" t="str">
        <f>IF(A816="","",SUMIF(jr_num,A816,jr_val))</f>
        <v/>
      </c>
      <c r="M816" s="60" t="str">
        <f>IF(A816="","",IF(COUNTIFS(jr_num,A816,jr_check,"&lt;&gt;OK")&gt;0,"À vérifier",IF(LEFT(A816,2)="BL",IF(COUNTIFS(jr_num,A816,jr_rel,"&gt;0")&gt;0,"Reliquat en cours",IF(COUNTIFS(jr_num,A816,jr_gap,"&lt;0")&gt;0,"Reliquat livré","Complet")),IF(LEFT(A816,2)="BR",IF(COUNTIFS(jr_num,A816,jr_etat,"Refusé")&gt;0,"Refusé",IF(COUNTIFS(jr_num,A816,jr_etat,"Avec réserves")&gt;0,"Avec réserves",IF(COUNTIFS(jr_num,A816,jr_rel,"&gt;0")&gt;0,"Reliquat en cours",IF(COUNTIFS(jr_num,A816,jr_gap,"&lt;0")+COUNTIFS(jr_num,A816,jr_gap,"&gt;0")&gt;0,"Écart","Conforme")))),IF(COUNTIFS(jr_num,A816,jr_gap,"&lt;0")&gt;0,"Partiel","Sorti")))))</f>
        <v/>
      </c>
      <c r="O816" t="str">
        <f>IFERROR(MATCH(811,jr_grank,0),"")</f>
        <v/>
      </c>
      <c r="R816" s="67" t="str">
        <f>IFERROR(INDEX(jr_num,MATCH("BL811",jr_nkey,0))&amp;"","")</f>
        <v/>
      </c>
      <c r="S816" s="67" t="str">
        <f>IFERROR(INDEX(jr_num,MATCH("BR811",jr_nkey,0))&amp;"","")</f>
        <v/>
      </c>
      <c r="T816" s="67" t="str">
        <f>IFERROR(INDEX(jr_num,MATCH("BS811",jr_nkey,0))&amp;"","")</f>
        <v/>
      </c>
    </row>
    <row r="817">
      <c r="A817" s="60" t="str">
        <f>IF($O817="","",INDEX(jr_num,$O817)&amp;"")</f>
        <v/>
      </c>
      <c r="B817" s="60" t="str">
        <f>IF($O817="","",IF(INDEX(jr_type,$O817)="BL","Livraison",IF(INDEX(jr_type,$O817)="BR","Réception","Sortie")))</f>
        <v/>
      </c>
      <c r="C817" s="65" t="str">
        <f>IF($O817="","",INDEX(jr_date,$O817))</f>
        <v/>
      </c>
      <c r="D817" s="60" t="str">
        <f>IF($O817="","",INDEX(jr_tiers,$O817)&amp;"")</f>
        <v/>
      </c>
      <c r="E817" s="57" t="str">
        <f>IF($O817="","",INDEX(jr_name,$O817)&amp;"")</f>
        <v/>
      </c>
      <c r="F817" s="57" t="str">
        <f>IF($O817="","",INDEX(jr_order,$O817)&amp;"")</f>
        <v/>
      </c>
      <c r="G817" s="57" t="str">
        <f>IF($O817="","",INDEX(jr_ext,$O817)&amp;"")</f>
        <v/>
      </c>
      <c r="H817" s="57" t="str">
        <f>IF($O817="","",INDEX(jr_carrier,$O817)&amp;"")</f>
        <v/>
      </c>
      <c r="I817" s="66" t="str">
        <f>IF(A817="","",COUNTIF(jr_num,A817))</f>
        <v/>
      </c>
      <c r="J817" s="66" t="str">
        <f>IF(A817="","",SUMIF(jr_num,A817,jr_colis))</f>
        <v/>
      </c>
      <c r="K817" s="63" t="str">
        <f>IF(A817="","",SUMIF(jr_num,A817,jr_kg))</f>
        <v/>
      </c>
      <c r="L817" s="64" t="str">
        <f>IF(A817="","",SUMIF(jr_num,A817,jr_val))</f>
        <v/>
      </c>
      <c r="M817" s="60" t="str">
        <f>IF(A817="","",IF(COUNTIFS(jr_num,A817,jr_check,"&lt;&gt;OK")&gt;0,"À vérifier",IF(LEFT(A817,2)="BL",IF(COUNTIFS(jr_num,A817,jr_rel,"&gt;0")&gt;0,"Reliquat en cours",IF(COUNTIFS(jr_num,A817,jr_gap,"&lt;0")&gt;0,"Reliquat livré","Complet")),IF(LEFT(A817,2)="BR",IF(COUNTIFS(jr_num,A817,jr_etat,"Refusé")&gt;0,"Refusé",IF(COUNTIFS(jr_num,A817,jr_etat,"Avec réserves")&gt;0,"Avec réserves",IF(COUNTIFS(jr_num,A817,jr_rel,"&gt;0")&gt;0,"Reliquat en cours",IF(COUNTIFS(jr_num,A817,jr_gap,"&lt;0")+COUNTIFS(jr_num,A817,jr_gap,"&gt;0")&gt;0,"Écart","Conforme")))),IF(COUNTIFS(jr_num,A817,jr_gap,"&lt;0")&gt;0,"Partiel","Sorti")))))</f>
        <v/>
      </c>
      <c r="O817" t="str">
        <f>IFERROR(MATCH(812,jr_grank,0),"")</f>
        <v/>
      </c>
      <c r="R817" s="67" t="str">
        <f>IFERROR(INDEX(jr_num,MATCH("BL812",jr_nkey,0))&amp;"","")</f>
        <v/>
      </c>
      <c r="S817" s="67" t="str">
        <f>IFERROR(INDEX(jr_num,MATCH("BR812",jr_nkey,0))&amp;"","")</f>
        <v/>
      </c>
      <c r="T817" s="67" t="str">
        <f>IFERROR(INDEX(jr_num,MATCH("BS812",jr_nkey,0))&amp;"","")</f>
        <v/>
      </c>
    </row>
    <row r="818">
      <c r="A818" s="60" t="str">
        <f>IF($O818="","",INDEX(jr_num,$O818)&amp;"")</f>
        <v/>
      </c>
      <c r="B818" s="60" t="str">
        <f>IF($O818="","",IF(INDEX(jr_type,$O818)="BL","Livraison",IF(INDEX(jr_type,$O818)="BR","Réception","Sortie")))</f>
        <v/>
      </c>
      <c r="C818" s="65" t="str">
        <f>IF($O818="","",INDEX(jr_date,$O818))</f>
        <v/>
      </c>
      <c r="D818" s="60" t="str">
        <f>IF($O818="","",INDEX(jr_tiers,$O818)&amp;"")</f>
        <v/>
      </c>
      <c r="E818" s="57" t="str">
        <f>IF($O818="","",INDEX(jr_name,$O818)&amp;"")</f>
        <v/>
      </c>
      <c r="F818" s="57" t="str">
        <f>IF($O818="","",INDEX(jr_order,$O818)&amp;"")</f>
        <v/>
      </c>
      <c r="G818" s="57" t="str">
        <f>IF($O818="","",INDEX(jr_ext,$O818)&amp;"")</f>
        <v/>
      </c>
      <c r="H818" s="57" t="str">
        <f>IF($O818="","",INDEX(jr_carrier,$O818)&amp;"")</f>
        <v/>
      </c>
      <c r="I818" s="66" t="str">
        <f>IF(A818="","",COUNTIF(jr_num,A818))</f>
        <v/>
      </c>
      <c r="J818" s="66" t="str">
        <f>IF(A818="","",SUMIF(jr_num,A818,jr_colis))</f>
        <v/>
      </c>
      <c r="K818" s="63" t="str">
        <f>IF(A818="","",SUMIF(jr_num,A818,jr_kg))</f>
        <v/>
      </c>
      <c r="L818" s="64" t="str">
        <f>IF(A818="","",SUMIF(jr_num,A818,jr_val))</f>
        <v/>
      </c>
      <c r="M818" s="60" t="str">
        <f>IF(A818="","",IF(COUNTIFS(jr_num,A818,jr_check,"&lt;&gt;OK")&gt;0,"À vérifier",IF(LEFT(A818,2)="BL",IF(COUNTIFS(jr_num,A818,jr_rel,"&gt;0")&gt;0,"Reliquat en cours",IF(COUNTIFS(jr_num,A818,jr_gap,"&lt;0")&gt;0,"Reliquat livré","Complet")),IF(LEFT(A818,2)="BR",IF(COUNTIFS(jr_num,A818,jr_etat,"Refusé")&gt;0,"Refusé",IF(COUNTIFS(jr_num,A818,jr_etat,"Avec réserves")&gt;0,"Avec réserves",IF(COUNTIFS(jr_num,A818,jr_rel,"&gt;0")&gt;0,"Reliquat en cours",IF(COUNTIFS(jr_num,A818,jr_gap,"&lt;0")+COUNTIFS(jr_num,A818,jr_gap,"&gt;0")&gt;0,"Écart","Conforme")))),IF(COUNTIFS(jr_num,A818,jr_gap,"&lt;0")&gt;0,"Partiel","Sorti")))))</f>
        <v/>
      </c>
      <c r="O818" t="str">
        <f>IFERROR(MATCH(813,jr_grank,0),"")</f>
        <v/>
      </c>
      <c r="R818" s="67" t="str">
        <f>IFERROR(INDEX(jr_num,MATCH("BL813",jr_nkey,0))&amp;"","")</f>
        <v/>
      </c>
      <c r="S818" s="67" t="str">
        <f>IFERROR(INDEX(jr_num,MATCH("BR813",jr_nkey,0))&amp;"","")</f>
        <v/>
      </c>
      <c r="T818" s="67" t="str">
        <f>IFERROR(INDEX(jr_num,MATCH("BS813",jr_nkey,0))&amp;"","")</f>
        <v/>
      </c>
    </row>
    <row r="819">
      <c r="A819" s="60" t="str">
        <f>IF($O819="","",INDEX(jr_num,$O819)&amp;"")</f>
        <v/>
      </c>
      <c r="B819" s="60" t="str">
        <f>IF($O819="","",IF(INDEX(jr_type,$O819)="BL","Livraison",IF(INDEX(jr_type,$O819)="BR","Réception","Sortie")))</f>
        <v/>
      </c>
      <c r="C819" s="65" t="str">
        <f>IF($O819="","",INDEX(jr_date,$O819))</f>
        <v/>
      </c>
      <c r="D819" s="60" t="str">
        <f>IF($O819="","",INDEX(jr_tiers,$O819)&amp;"")</f>
        <v/>
      </c>
      <c r="E819" s="57" t="str">
        <f>IF($O819="","",INDEX(jr_name,$O819)&amp;"")</f>
        <v/>
      </c>
      <c r="F819" s="57" t="str">
        <f>IF($O819="","",INDEX(jr_order,$O819)&amp;"")</f>
        <v/>
      </c>
      <c r="G819" s="57" t="str">
        <f>IF($O819="","",INDEX(jr_ext,$O819)&amp;"")</f>
        <v/>
      </c>
      <c r="H819" s="57" t="str">
        <f>IF($O819="","",INDEX(jr_carrier,$O819)&amp;"")</f>
        <v/>
      </c>
      <c r="I819" s="66" t="str">
        <f>IF(A819="","",COUNTIF(jr_num,A819))</f>
        <v/>
      </c>
      <c r="J819" s="66" t="str">
        <f>IF(A819="","",SUMIF(jr_num,A819,jr_colis))</f>
        <v/>
      </c>
      <c r="K819" s="63" t="str">
        <f>IF(A819="","",SUMIF(jr_num,A819,jr_kg))</f>
        <v/>
      </c>
      <c r="L819" s="64" t="str">
        <f>IF(A819="","",SUMIF(jr_num,A819,jr_val))</f>
        <v/>
      </c>
      <c r="M819" s="60" t="str">
        <f>IF(A819="","",IF(COUNTIFS(jr_num,A819,jr_check,"&lt;&gt;OK")&gt;0,"À vérifier",IF(LEFT(A819,2)="BL",IF(COUNTIFS(jr_num,A819,jr_rel,"&gt;0")&gt;0,"Reliquat en cours",IF(COUNTIFS(jr_num,A819,jr_gap,"&lt;0")&gt;0,"Reliquat livré","Complet")),IF(LEFT(A819,2)="BR",IF(COUNTIFS(jr_num,A819,jr_etat,"Refusé")&gt;0,"Refusé",IF(COUNTIFS(jr_num,A819,jr_etat,"Avec réserves")&gt;0,"Avec réserves",IF(COUNTIFS(jr_num,A819,jr_rel,"&gt;0")&gt;0,"Reliquat en cours",IF(COUNTIFS(jr_num,A819,jr_gap,"&lt;0")+COUNTIFS(jr_num,A819,jr_gap,"&gt;0")&gt;0,"Écart","Conforme")))),IF(COUNTIFS(jr_num,A819,jr_gap,"&lt;0")&gt;0,"Partiel","Sorti")))))</f>
        <v/>
      </c>
      <c r="O819" t="str">
        <f>IFERROR(MATCH(814,jr_grank,0),"")</f>
        <v/>
      </c>
      <c r="R819" s="67" t="str">
        <f>IFERROR(INDEX(jr_num,MATCH("BL814",jr_nkey,0))&amp;"","")</f>
        <v/>
      </c>
      <c r="S819" s="67" t="str">
        <f>IFERROR(INDEX(jr_num,MATCH("BR814",jr_nkey,0))&amp;"","")</f>
        <v/>
      </c>
      <c r="T819" s="67" t="str">
        <f>IFERROR(INDEX(jr_num,MATCH("BS814",jr_nkey,0))&amp;"","")</f>
        <v/>
      </c>
    </row>
    <row r="820">
      <c r="A820" s="60" t="str">
        <f>IF($O820="","",INDEX(jr_num,$O820)&amp;"")</f>
        <v/>
      </c>
      <c r="B820" s="60" t="str">
        <f>IF($O820="","",IF(INDEX(jr_type,$O820)="BL","Livraison",IF(INDEX(jr_type,$O820)="BR","Réception","Sortie")))</f>
        <v/>
      </c>
      <c r="C820" s="65" t="str">
        <f>IF($O820="","",INDEX(jr_date,$O820))</f>
        <v/>
      </c>
      <c r="D820" s="60" t="str">
        <f>IF($O820="","",INDEX(jr_tiers,$O820)&amp;"")</f>
        <v/>
      </c>
      <c r="E820" s="57" t="str">
        <f>IF($O820="","",INDEX(jr_name,$O820)&amp;"")</f>
        <v/>
      </c>
      <c r="F820" s="57" t="str">
        <f>IF($O820="","",INDEX(jr_order,$O820)&amp;"")</f>
        <v/>
      </c>
      <c r="G820" s="57" t="str">
        <f>IF($O820="","",INDEX(jr_ext,$O820)&amp;"")</f>
        <v/>
      </c>
      <c r="H820" s="57" t="str">
        <f>IF($O820="","",INDEX(jr_carrier,$O820)&amp;"")</f>
        <v/>
      </c>
      <c r="I820" s="66" t="str">
        <f>IF(A820="","",COUNTIF(jr_num,A820))</f>
        <v/>
      </c>
      <c r="J820" s="66" t="str">
        <f>IF(A820="","",SUMIF(jr_num,A820,jr_colis))</f>
        <v/>
      </c>
      <c r="K820" s="63" t="str">
        <f>IF(A820="","",SUMIF(jr_num,A820,jr_kg))</f>
        <v/>
      </c>
      <c r="L820" s="64" t="str">
        <f>IF(A820="","",SUMIF(jr_num,A820,jr_val))</f>
        <v/>
      </c>
      <c r="M820" s="60" t="str">
        <f>IF(A820="","",IF(COUNTIFS(jr_num,A820,jr_check,"&lt;&gt;OK")&gt;0,"À vérifier",IF(LEFT(A820,2)="BL",IF(COUNTIFS(jr_num,A820,jr_rel,"&gt;0")&gt;0,"Reliquat en cours",IF(COUNTIFS(jr_num,A820,jr_gap,"&lt;0")&gt;0,"Reliquat livré","Complet")),IF(LEFT(A820,2)="BR",IF(COUNTIFS(jr_num,A820,jr_etat,"Refusé")&gt;0,"Refusé",IF(COUNTIFS(jr_num,A820,jr_etat,"Avec réserves")&gt;0,"Avec réserves",IF(COUNTIFS(jr_num,A820,jr_rel,"&gt;0")&gt;0,"Reliquat en cours",IF(COUNTIFS(jr_num,A820,jr_gap,"&lt;0")+COUNTIFS(jr_num,A820,jr_gap,"&gt;0")&gt;0,"Écart","Conforme")))),IF(COUNTIFS(jr_num,A820,jr_gap,"&lt;0")&gt;0,"Partiel","Sorti")))))</f>
        <v/>
      </c>
      <c r="O820" t="str">
        <f>IFERROR(MATCH(815,jr_grank,0),"")</f>
        <v/>
      </c>
      <c r="R820" s="67" t="str">
        <f>IFERROR(INDEX(jr_num,MATCH("BL815",jr_nkey,0))&amp;"","")</f>
        <v/>
      </c>
      <c r="S820" s="67" t="str">
        <f>IFERROR(INDEX(jr_num,MATCH("BR815",jr_nkey,0))&amp;"","")</f>
        <v/>
      </c>
      <c r="T820" s="67" t="str">
        <f>IFERROR(INDEX(jr_num,MATCH("BS815",jr_nkey,0))&amp;"","")</f>
        <v/>
      </c>
    </row>
    <row r="821">
      <c r="A821" s="60" t="str">
        <f>IF($O821="","",INDEX(jr_num,$O821)&amp;"")</f>
        <v/>
      </c>
      <c r="B821" s="60" t="str">
        <f>IF($O821="","",IF(INDEX(jr_type,$O821)="BL","Livraison",IF(INDEX(jr_type,$O821)="BR","Réception","Sortie")))</f>
        <v/>
      </c>
      <c r="C821" s="65" t="str">
        <f>IF($O821="","",INDEX(jr_date,$O821))</f>
        <v/>
      </c>
      <c r="D821" s="60" t="str">
        <f>IF($O821="","",INDEX(jr_tiers,$O821)&amp;"")</f>
        <v/>
      </c>
      <c r="E821" s="57" t="str">
        <f>IF($O821="","",INDEX(jr_name,$O821)&amp;"")</f>
        <v/>
      </c>
      <c r="F821" s="57" t="str">
        <f>IF($O821="","",INDEX(jr_order,$O821)&amp;"")</f>
        <v/>
      </c>
      <c r="G821" s="57" t="str">
        <f>IF($O821="","",INDEX(jr_ext,$O821)&amp;"")</f>
        <v/>
      </c>
      <c r="H821" s="57" t="str">
        <f>IF($O821="","",INDEX(jr_carrier,$O821)&amp;"")</f>
        <v/>
      </c>
      <c r="I821" s="66" t="str">
        <f>IF(A821="","",COUNTIF(jr_num,A821))</f>
        <v/>
      </c>
      <c r="J821" s="66" t="str">
        <f>IF(A821="","",SUMIF(jr_num,A821,jr_colis))</f>
        <v/>
      </c>
      <c r="K821" s="63" t="str">
        <f>IF(A821="","",SUMIF(jr_num,A821,jr_kg))</f>
        <v/>
      </c>
      <c r="L821" s="64" t="str">
        <f>IF(A821="","",SUMIF(jr_num,A821,jr_val))</f>
        <v/>
      </c>
      <c r="M821" s="60" t="str">
        <f>IF(A821="","",IF(COUNTIFS(jr_num,A821,jr_check,"&lt;&gt;OK")&gt;0,"À vérifier",IF(LEFT(A821,2)="BL",IF(COUNTIFS(jr_num,A821,jr_rel,"&gt;0")&gt;0,"Reliquat en cours",IF(COUNTIFS(jr_num,A821,jr_gap,"&lt;0")&gt;0,"Reliquat livré","Complet")),IF(LEFT(A821,2)="BR",IF(COUNTIFS(jr_num,A821,jr_etat,"Refusé")&gt;0,"Refusé",IF(COUNTIFS(jr_num,A821,jr_etat,"Avec réserves")&gt;0,"Avec réserves",IF(COUNTIFS(jr_num,A821,jr_rel,"&gt;0")&gt;0,"Reliquat en cours",IF(COUNTIFS(jr_num,A821,jr_gap,"&lt;0")+COUNTIFS(jr_num,A821,jr_gap,"&gt;0")&gt;0,"Écart","Conforme")))),IF(COUNTIFS(jr_num,A821,jr_gap,"&lt;0")&gt;0,"Partiel","Sorti")))))</f>
        <v/>
      </c>
      <c r="O821" t="str">
        <f>IFERROR(MATCH(816,jr_grank,0),"")</f>
        <v/>
      </c>
      <c r="R821" s="67" t="str">
        <f>IFERROR(INDEX(jr_num,MATCH("BL816",jr_nkey,0))&amp;"","")</f>
        <v/>
      </c>
      <c r="S821" s="67" t="str">
        <f>IFERROR(INDEX(jr_num,MATCH("BR816",jr_nkey,0))&amp;"","")</f>
        <v/>
      </c>
      <c r="T821" s="67" t="str">
        <f>IFERROR(INDEX(jr_num,MATCH("BS816",jr_nkey,0))&amp;"","")</f>
        <v/>
      </c>
    </row>
    <row r="822">
      <c r="A822" s="60" t="str">
        <f>IF($O822="","",INDEX(jr_num,$O822)&amp;"")</f>
        <v/>
      </c>
      <c r="B822" s="60" t="str">
        <f>IF($O822="","",IF(INDEX(jr_type,$O822)="BL","Livraison",IF(INDEX(jr_type,$O822)="BR","Réception","Sortie")))</f>
        <v/>
      </c>
      <c r="C822" s="65" t="str">
        <f>IF($O822="","",INDEX(jr_date,$O822))</f>
        <v/>
      </c>
      <c r="D822" s="60" t="str">
        <f>IF($O822="","",INDEX(jr_tiers,$O822)&amp;"")</f>
        <v/>
      </c>
      <c r="E822" s="57" t="str">
        <f>IF($O822="","",INDEX(jr_name,$O822)&amp;"")</f>
        <v/>
      </c>
      <c r="F822" s="57" t="str">
        <f>IF($O822="","",INDEX(jr_order,$O822)&amp;"")</f>
        <v/>
      </c>
      <c r="G822" s="57" t="str">
        <f>IF($O822="","",INDEX(jr_ext,$O822)&amp;"")</f>
        <v/>
      </c>
      <c r="H822" s="57" t="str">
        <f>IF($O822="","",INDEX(jr_carrier,$O822)&amp;"")</f>
        <v/>
      </c>
      <c r="I822" s="66" t="str">
        <f>IF(A822="","",COUNTIF(jr_num,A822))</f>
        <v/>
      </c>
      <c r="J822" s="66" t="str">
        <f>IF(A822="","",SUMIF(jr_num,A822,jr_colis))</f>
        <v/>
      </c>
      <c r="K822" s="63" t="str">
        <f>IF(A822="","",SUMIF(jr_num,A822,jr_kg))</f>
        <v/>
      </c>
      <c r="L822" s="64" t="str">
        <f>IF(A822="","",SUMIF(jr_num,A822,jr_val))</f>
        <v/>
      </c>
      <c r="M822" s="60" t="str">
        <f>IF(A822="","",IF(COUNTIFS(jr_num,A822,jr_check,"&lt;&gt;OK")&gt;0,"À vérifier",IF(LEFT(A822,2)="BL",IF(COUNTIFS(jr_num,A822,jr_rel,"&gt;0")&gt;0,"Reliquat en cours",IF(COUNTIFS(jr_num,A822,jr_gap,"&lt;0")&gt;0,"Reliquat livré","Complet")),IF(LEFT(A822,2)="BR",IF(COUNTIFS(jr_num,A822,jr_etat,"Refusé")&gt;0,"Refusé",IF(COUNTIFS(jr_num,A822,jr_etat,"Avec réserves")&gt;0,"Avec réserves",IF(COUNTIFS(jr_num,A822,jr_rel,"&gt;0")&gt;0,"Reliquat en cours",IF(COUNTIFS(jr_num,A822,jr_gap,"&lt;0")+COUNTIFS(jr_num,A822,jr_gap,"&gt;0")&gt;0,"Écart","Conforme")))),IF(COUNTIFS(jr_num,A822,jr_gap,"&lt;0")&gt;0,"Partiel","Sorti")))))</f>
        <v/>
      </c>
      <c r="O822" t="str">
        <f>IFERROR(MATCH(817,jr_grank,0),"")</f>
        <v/>
      </c>
      <c r="R822" s="67" t="str">
        <f>IFERROR(INDEX(jr_num,MATCH("BL817",jr_nkey,0))&amp;"","")</f>
        <v/>
      </c>
      <c r="S822" s="67" t="str">
        <f>IFERROR(INDEX(jr_num,MATCH("BR817",jr_nkey,0))&amp;"","")</f>
        <v/>
      </c>
      <c r="T822" s="67" t="str">
        <f>IFERROR(INDEX(jr_num,MATCH("BS817",jr_nkey,0))&amp;"","")</f>
        <v/>
      </c>
    </row>
    <row r="823">
      <c r="A823" s="60" t="str">
        <f>IF($O823="","",INDEX(jr_num,$O823)&amp;"")</f>
        <v/>
      </c>
      <c r="B823" s="60" t="str">
        <f>IF($O823="","",IF(INDEX(jr_type,$O823)="BL","Livraison",IF(INDEX(jr_type,$O823)="BR","Réception","Sortie")))</f>
        <v/>
      </c>
      <c r="C823" s="65" t="str">
        <f>IF($O823="","",INDEX(jr_date,$O823))</f>
        <v/>
      </c>
      <c r="D823" s="60" t="str">
        <f>IF($O823="","",INDEX(jr_tiers,$O823)&amp;"")</f>
        <v/>
      </c>
      <c r="E823" s="57" t="str">
        <f>IF($O823="","",INDEX(jr_name,$O823)&amp;"")</f>
        <v/>
      </c>
      <c r="F823" s="57" t="str">
        <f>IF($O823="","",INDEX(jr_order,$O823)&amp;"")</f>
        <v/>
      </c>
      <c r="G823" s="57" t="str">
        <f>IF($O823="","",INDEX(jr_ext,$O823)&amp;"")</f>
        <v/>
      </c>
      <c r="H823" s="57" t="str">
        <f>IF($O823="","",INDEX(jr_carrier,$O823)&amp;"")</f>
        <v/>
      </c>
      <c r="I823" s="66" t="str">
        <f>IF(A823="","",COUNTIF(jr_num,A823))</f>
        <v/>
      </c>
      <c r="J823" s="66" t="str">
        <f>IF(A823="","",SUMIF(jr_num,A823,jr_colis))</f>
        <v/>
      </c>
      <c r="K823" s="63" t="str">
        <f>IF(A823="","",SUMIF(jr_num,A823,jr_kg))</f>
        <v/>
      </c>
      <c r="L823" s="64" t="str">
        <f>IF(A823="","",SUMIF(jr_num,A823,jr_val))</f>
        <v/>
      </c>
      <c r="M823" s="60" t="str">
        <f>IF(A823="","",IF(COUNTIFS(jr_num,A823,jr_check,"&lt;&gt;OK")&gt;0,"À vérifier",IF(LEFT(A823,2)="BL",IF(COUNTIFS(jr_num,A823,jr_rel,"&gt;0")&gt;0,"Reliquat en cours",IF(COUNTIFS(jr_num,A823,jr_gap,"&lt;0")&gt;0,"Reliquat livré","Complet")),IF(LEFT(A823,2)="BR",IF(COUNTIFS(jr_num,A823,jr_etat,"Refusé")&gt;0,"Refusé",IF(COUNTIFS(jr_num,A823,jr_etat,"Avec réserves")&gt;0,"Avec réserves",IF(COUNTIFS(jr_num,A823,jr_rel,"&gt;0")&gt;0,"Reliquat en cours",IF(COUNTIFS(jr_num,A823,jr_gap,"&lt;0")+COUNTIFS(jr_num,A823,jr_gap,"&gt;0")&gt;0,"Écart","Conforme")))),IF(COUNTIFS(jr_num,A823,jr_gap,"&lt;0")&gt;0,"Partiel","Sorti")))))</f>
        <v/>
      </c>
      <c r="O823" t="str">
        <f>IFERROR(MATCH(818,jr_grank,0),"")</f>
        <v/>
      </c>
      <c r="R823" s="67" t="str">
        <f>IFERROR(INDEX(jr_num,MATCH("BL818",jr_nkey,0))&amp;"","")</f>
        <v/>
      </c>
      <c r="S823" s="67" t="str">
        <f>IFERROR(INDEX(jr_num,MATCH("BR818",jr_nkey,0))&amp;"","")</f>
        <v/>
      </c>
      <c r="T823" s="67" t="str">
        <f>IFERROR(INDEX(jr_num,MATCH("BS818",jr_nkey,0))&amp;"","")</f>
        <v/>
      </c>
    </row>
    <row r="824">
      <c r="A824" s="60" t="str">
        <f>IF($O824="","",INDEX(jr_num,$O824)&amp;"")</f>
        <v/>
      </c>
      <c r="B824" s="60" t="str">
        <f>IF($O824="","",IF(INDEX(jr_type,$O824)="BL","Livraison",IF(INDEX(jr_type,$O824)="BR","Réception","Sortie")))</f>
        <v/>
      </c>
      <c r="C824" s="65" t="str">
        <f>IF($O824="","",INDEX(jr_date,$O824))</f>
        <v/>
      </c>
      <c r="D824" s="60" t="str">
        <f>IF($O824="","",INDEX(jr_tiers,$O824)&amp;"")</f>
        <v/>
      </c>
      <c r="E824" s="57" t="str">
        <f>IF($O824="","",INDEX(jr_name,$O824)&amp;"")</f>
        <v/>
      </c>
      <c r="F824" s="57" t="str">
        <f>IF($O824="","",INDEX(jr_order,$O824)&amp;"")</f>
        <v/>
      </c>
      <c r="G824" s="57" t="str">
        <f>IF($O824="","",INDEX(jr_ext,$O824)&amp;"")</f>
        <v/>
      </c>
      <c r="H824" s="57" t="str">
        <f>IF($O824="","",INDEX(jr_carrier,$O824)&amp;"")</f>
        <v/>
      </c>
      <c r="I824" s="66" t="str">
        <f>IF(A824="","",COUNTIF(jr_num,A824))</f>
        <v/>
      </c>
      <c r="J824" s="66" t="str">
        <f>IF(A824="","",SUMIF(jr_num,A824,jr_colis))</f>
        <v/>
      </c>
      <c r="K824" s="63" t="str">
        <f>IF(A824="","",SUMIF(jr_num,A824,jr_kg))</f>
        <v/>
      </c>
      <c r="L824" s="64" t="str">
        <f>IF(A824="","",SUMIF(jr_num,A824,jr_val))</f>
        <v/>
      </c>
      <c r="M824" s="60" t="str">
        <f>IF(A824="","",IF(COUNTIFS(jr_num,A824,jr_check,"&lt;&gt;OK")&gt;0,"À vérifier",IF(LEFT(A824,2)="BL",IF(COUNTIFS(jr_num,A824,jr_rel,"&gt;0")&gt;0,"Reliquat en cours",IF(COUNTIFS(jr_num,A824,jr_gap,"&lt;0")&gt;0,"Reliquat livré","Complet")),IF(LEFT(A824,2)="BR",IF(COUNTIFS(jr_num,A824,jr_etat,"Refusé")&gt;0,"Refusé",IF(COUNTIFS(jr_num,A824,jr_etat,"Avec réserves")&gt;0,"Avec réserves",IF(COUNTIFS(jr_num,A824,jr_rel,"&gt;0")&gt;0,"Reliquat en cours",IF(COUNTIFS(jr_num,A824,jr_gap,"&lt;0")+COUNTIFS(jr_num,A824,jr_gap,"&gt;0")&gt;0,"Écart","Conforme")))),IF(COUNTIFS(jr_num,A824,jr_gap,"&lt;0")&gt;0,"Partiel","Sorti")))))</f>
        <v/>
      </c>
      <c r="O824" t="str">
        <f>IFERROR(MATCH(819,jr_grank,0),"")</f>
        <v/>
      </c>
      <c r="R824" s="67" t="str">
        <f>IFERROR(INDEX(jr_num,MATCH("BL819",jr_nkey,0))&amp;"","")</f>
        <v/>
      </c>
      <c r="S824" s="67" t="str">
        <f>IFERROR(INDEX(jr_num,MATCH("BR819",jr_nkey,0))&amp;"","")</f>
        <v/>
      </c>
      <c r="T824" s="67" t="str">
        <f>IFERROR(INDEX(jr_num,MATCH("BS819",jr_nkey,0))&amp;"","")</f>
        <v/>
      </c>
    </row>
    <row r="825">
      <c r="A825" s="60" t="str">
        <f>IF($O825="","",INDEX(jr_num,$O825)&amp;"")</f>
        <v/>
      </c>
      <c r="B825" s="60" t="str">
        <f>IF($O825="","",IF(INDEX(jr_type,$O825)="BL","Livraison",IF(INDEX(jr_type,$O825)="BR","Réception","Sortie")))</f>
        <v/>
      </c>
      <c r="C825" s="65" t="str">
        <f>IF($O825="","",INDEX(jr_date,$O825))</f>
        <v/>
      </c>
      <c r="D825" s="60" t="str">
        <f>IF($O825="","",INDEX(jr_tiers,$O825)&amp;"")</f>
        <v/>
      </c>
      <c r="E825" s="57" t="str">
        <f>IF($O825="","",INDEX(jr_name,$O825)&amp;"")</f>
        <v/>
      </c>
      <c r="F825" s="57" t="str">
        <f>IF($O825="","",INDEX(jr_order,$O825)&amp;"")</f>
        <v/>
      </c>
      <c r="G825" s="57" t="str">
        <f>IF($O825="","",INDEX(jr_ext,$O825)&amp;"")</f>
        <v/>
      </c>
      <c r="H825" s="57" t="str">
        <f>IF($O825="","",INDEX(jr_carrier,$O825)&amp;"")</f>
        <v/>
      </c>
      <c r="I825" s="66" t="str">
        <f>IF(A825="","",COUNTIF(jr_num,A825))</f>
        <v/>
      </c>
      <c r="J825" s="66" t="str">
        <f>IF(A825="","",SUMIF(jr_num,A825,jr_colis))</f>
        <v/>
      </c>
      <c r="K825" s="63" t="str">
        <f>IF(A825="","",SUMIF(jr_num,A825,jr_kg))</f>
        <v/>
      </c>
      <c r="L825" s="64" t="str">
        <f>IF(A825="","",SUMIF(jr_num,A825,jr_val))</f>
        <v/>
      </c>
      <c r="M825" s="60" t="str">
        <f>IF(A825="","",IF(COUNTIFS(jr_num,A825,jr_check,"&lt;&gt;OK")&gt;0,"À vérifier",IF(LEFT(A825,2)="BL",IF(COUNTIFS(jr_num,A825,jr_rel,"&gt;0")&gt;0,"Reliquat en cours",IF(COUNTIFS(jr_num,A825,jr_gap,"&lt;0")&gt;0,"Reliquat livré","Complet")),IF(LEFT(A825,2)="BR",IF(COUNTIFS(jr_num,A825,jr_etat,"Refusé")&gt;0,"Refusé",IF(COUNTIFS(jr_num,A825,jr_etat,"Avec réserves")&gt;0,"Avec réserves",IF(COUNTIFS(jr_num,A825,jr_rel,"&gt;0")&gt;0,"Reliquat en cours",IF(COUNTIFS(jr_num,A825,jr_gap,"&lt;0")+COUNTIFS(jr_num,A825,jr_gap,"&gt;0")&gt;0,"Écart","Conforme")))),IF(COUNTIFS(jr_num,A825,jr_gap,"&lt;0")&gt;0,"Partiel","Sorti")))))</f>
        <v/>
      </c>
      <c r="O825" t="str">
        <f>IFERROR(MATCH(820,jr_grank,0),"")</f>
        <v/>
      </c>
      <c r="R825" s="67" t="str">
        <f>IFERROR(INDEX(jr_num,MATCH("BL820",jr_nkey,0))&amp;"","")</f>
        <v/>
      </c>
      <c r="S825" s="67" t="str">
        <f>IFERROR(INDEX(jr_num,MATCH("BR820",jr_nkey,0))&amp;"","")</f>
        <v/>
      </c>
      <c r="T825" s="67" t="str">
        <f>IFERROR(INDEX(jr_num,MATCH("BS820",jr_nkey,0))&amp;"","")</f>
        <v/>
      </c>
    </row>
    <row r="826">
      <c r="A826" s="60" t="str">
        <f>IF($O826="","",INDEX(jr_num,$O826)&amp;"")</f>
        <v/>
      </c>
      <c r="B826" s="60" t="str">
        <f>IF($O826="","",IF(INDEX(jr_type,$O826)="BL","Livraison",IF(INDEX(jr_type,$O826)="BR","Réception","Sortie")))</f>
        <v/>
      </c>
      <c r="C826" s="65" t="str">
        <f>IF($O826="","",INDEX(jr_date,$O826))</f>
        <v/>
      </c>
      <c r="D826" s="60" t="str">
        <f>IF($O826="","",INDEX(jr_tiers,$O826)&amp;"")</f>
        <v/>
      </c>
      <c r="E826" s="57" t="str">
        <f>IF($O826="","",INDEX(jr_name,$O826)&amp;"")</f>
        <v/>
      </c>
      <c r="F826" s="57" t="str">
        <f>IF($O826="","",INDEX(jr_order,$O826)&amp;"")</f>
        <v/>
      </c>
      <c r="G826" s="57" t="str">
        <f>IF($O826="","",INDEX(jr_ext,$O826)&amp;"")</f>
        <v/>
      </c>
      <c r="H826" s="57" t="str">
        <f>IF($O826="","",INDEX(jr_carrier,$O826)&amp;"")</f>
        <v/>
      </c>
      <c r="I826" s="66" t="str">
        <f>IF(A826="","",COUNTIF(jr_num,A826))</f>
        <v/>
      </c>
      <c r="J826" s="66" t="str">
        <f>IF(A826="","",SUMIF(jr_num,A826,jr_colis))</f>
        <v/>
      </c>
      <c r="K826" s="63" t="str">
        <f>IF(A826="","",SUMIF(jr_num,A826,jr_kg))</f>
        <v/>
      </c>
      <c r="L826" s="64" t="str">
        <f>IF(A826="","",SUMIF(jr_num,A826,jr_val))</f>
        <v/>
      </c>
      <c r="M826" s="60" t="str">
        <f>IF(A826="","",IF(COUNTIFS(jr_num,A826,jr_check,"&lt;&gt;OK")&gt;0,"À vérifier",IF(LEFT(A826,2)="BL",IF(COUNTIFS(jr_num,A826,jr_rel,"&gt;0")&gt;0,"Reliquat en cours",IF(COUNTIFS(jr_num,A826,jr_gap,"&lt;0")&gt;0,"Reliquat livré","Complet")),IF(LEFT(A826,2)="BR",IF(COUNTIFS(jr_num,A826,jr_etat,"Refusé")&gt;0,"Refusé",IF(COUNTIFS(jr_num,A826,jr_etat,"Avec réserves")&gt;0,"Avec réserves",IF(COUNTIFS(jr_num,A826,jr_rel,"&gt;0")&gt;0,"Reliquat en cours",IF(COUNTIFS(jr_num,A826,jr_gap,"&lt;0")+COUNTIFS(jr_num,A826,jr_gap,"&gt;0")&gt;0,"Écart","Conforme")))),IF(COUNTIFS(jr_num,A826,jr_gap,"&lt;0")&gt;0,"Partiel","Sorti")))))</f>
        <v/>
      </c>
      <c r="O826" t="str">
        <f>IFERROR(MATCH(821,jr_grank,0),"")</f>
        <v/>
      </c>
      <c r="R826" s="67" t="str">
        <f>IFERROR(INDEX(jr_num,MATCH("BL821",jr_nkey,0))&amp;"","")</f>
        <v/>
      </c>
      <c r="S826" s="67" t="str">
        <f>IFERROR(INDEX(jr_num,MATCH("BR821",jr_nkey,0))&amp;"","")</f>
        <v/>
      </c>
      <c r="T826" s="67" t="str">
        <f>IFERROR(INDEX(jr_num,MATCH("BS821",jr_nkey,0))&amp;"","")</f>
        <v/>
      </c>
    </row>
    <row r="827">
      <c r="A827" s="60" t="str">
        <f>IF($O827="","",INDEX(jr_num,$O827)&amp;"")</f>
        <v/>
      </c>
      <c r="B827" s="60" t="str">
        <f>IF($O827="","",IF(INDEX(jr_type,$O827)="BL","Livraison",IF(INDEX(jr_type,$O827)="BR","Réception","Sortie")))</f>
        <v/>
      </c>
      <c r="C827" s="65" t="str">
        <f>IF($O827="","",INDEX(jr_date,$O827))</f>
        <v/>
      </c>
      <c r="D827" s="60" t="str">
        <f>IF($O827="","",INDEX(jr_tiers,$O827)&amp;"")</f>
        <v/>
      </c>
      <c r="E827" s="57" t="str">
        <f>IF($O827="","",INDEX(jr_name,$O827)&amp;"")</f>
        <v/>
      </c>
      <c r="F827" s="57" t="str">
        <f>IF($O827="","",INDEX(jr_order,$O827)&amp;"")</f>
        <v/>
      </c>
      <c r="G827" s="57" t="str">
        <f>IF($O827="","",INDEX(jr_ext,$O827)&amp;"")</f>
        <v/>
      </c>
      <c r="H827" s="57" t="str">
        <f>IF($O827="","",INDEX(jr_carrier,$O827)&amp;"")</f>
        <v/>
      </c>
      <c r="I827" s="66" t="str">
        <f>IF(A827="","",COUNTIF(jr_num,A827))</f>
        <v/>
      </c>
      <c r="J827" s="66" t="str">
        <f>IF(A827="","",SUMIF(jr_num,A827,jr_colis))</f>
        <v/>
      </c>
      <c r="K827" s="63" t="str">
        <f>IF(A827="","",SUMIF(jr_num,A827,jr_kg))</f>
        <v/>
      </c>
      <c r="L827" s="64" t="str">
        <f>IF(A827="","",SUMIF(jr_num,A827,jr_val))</f>
        <v/>
      </c>
      <c r="M827" s="60" t="str">
        <f>IF(A827="","",IF(COUNTIFS(jr_num,A827,jr_check,"&lt;&gt;OK")&gt;0,"À vérifier",IF(LEFT(A827,2)="BL",IF(COUNTIFS(jr_num,A827,jr_rel,"&gt;0")&gt;0,"Reliquat en cours",IF(COUNTIFS(jr_num,A827,jr_gap,"&lt;0")&gt;0,"Reliquat livré","Complet")),IF(LEFT(A827,2)="BR",IF(COUNTIFS(jr_num,A827,jr_etat,"Refusé")&gt;0,"Refusé",IF(COUNTIFS(jr_num,A827,jr_etat,"Avec réserves")&gt;0,"Avec réserves",IF(COUNTIFS(jr_num,A827,jr_rel,"&gt;0")&gt;0,"Reliquat en cours",IF(COUNTIFS(jr_num,A827,jr_gap,"&lt;0")+COUNTIFS(jr_num,A827,jr_gap,"&gt;0")&gt;0,"Écart","Conforme")))),IF(COUNTIFS(jr_num,A827,jr_gap,"&lt;0")&gt;0,"Partiel","Sorti")))))</f>
        <v/>
      </c>
      <c r="O827" t="str">
        <f>IFERROR(MATCH(822,jr_grank,0),"")</f>
        <v/>
      </c>
      <c r="R827" s="67" t="str">
        <f>IFERROR(INDEX(jr_num,MATCH("BL822",jr_nkey,0))&amp;"","")</f>
        <v/>
      </c>
      <c r="S827" s="67" t="str">
        <f>IFERROR(INDEX(jr_num,MATCH("BR822",jr_nkey,0))&amp;"","")</f>
        <v/>
      </c>
      <c r="T827" s="67" t="str">
        <f>IFERROR(INDEX(jr_num,MATCH("BS822",jr_nkey,0))&amp;"","")</f>
        <v/>
      </c>
    </row>
    <row r="828">
      <c r="A828" s="60" t="str">
        <f>IF($O828="","",INDEX(jr_num,$O828)&amp;"")</f>
        <v/>
      </c>
      <c r="B828" s="60" t="str">
        <f>IF($O828="","",IF(INDEX(jr_type,$O828)="BL","Livraison",IF(INDEX(jr_type,$O828)="BR","Réception","Sortie")))</f>
        <v/>
      </c>
      <c r="C828" s="65" t="str">
        <f>IF($O828="","",INDEX(jr_date,$O828))</f>
        <v/>
      </c>
      <c r="D828" s="60" t="str">
        <f>IF($O828="","",INDEX(jr_tiers,$O828)&amp;"")</f>
        <v/>
      </c>
      <c r="E828" s="57" t="str">
        <f>IF($O828="","",INDEX(jr_name,$O828)&amp;"")</f>
        <v/>
      </c>
      <c r="F828" s="57" t="str">
        <f>IF($O828="","",INDEX(jr_order,$O828)&amp;"")</f>
        <v/>
      </c>
      <c r="G828" s="57" t="str">
        <f>IF($O828="","",INDEX(jr_ext,$O828)&amp;"")</f>
        <v/>
      </c>
      <c r="H828" s="57" t="str">
        <f>IF($O828="","",INDEX(jr_carrier,$O828)&amp;"")</f>
        <v/>
      </c>
      <c r="I828" s="66" t="str">
        <f>IF(A828="","",COUNTIF(jr_num,A828))</f>
        <v/>
      </c>
      <c r="J828" s="66" t="str">
        <f>IF(A828="","",SUMIF(jr_num,A828,jr_colis))</f>
        <v/>
      </c>
      <c r="K828" s="63" t="str">
        <f>IF(A828="","",SUMIF(jr_num,A828,jr_kg))</f>
        <v/>
      </c>
      <c r="L828" s="64" t="str">
        <f>IF(A828="","",SUMIF(jr_num,A828,jr_val))</f>
        <v/>
      </c>
      <c r="M828" s="60" t="str">
        <f>IF(A828="","",IF(COUNTIFS(jr_num,A828,jr_check,"&lt;&gt;OK")&gt;0,"À vérifier",IF(LEFT(A828,2)="BL",IF(COUNTIFS(jr_num,A828,jr_rel,"&gt;0")&gt;0,"Reliquat en cours",IF(COUNTIFS(jr_num,A828,jr_gap,"&lt;0")&gt;0,"Reliquat livré","Complet")),IF(LEFT(A828,2)="BR",IF(COUNTIFS(jr_num,A828,jr_etat,"Refusé")&gt;0,"Refusé",IF(COUNTIFS(jr_num,A828,jr_etat,"Avec réserves")&gt;0,"Avec réserves",IF(COUNTIFS(jr_num,A828,jr_rel,"&gt;0")&gt;0,"Reliquat en cours",IF(COUNTIFS(jr_num,A828,jr_gap,"&lt;0")+COUNTIFS(jr_num,A828,jr_gap,"&gt;0")&gt;0,"Écart","Conforme")))),IF(COUNTIFS(jr_num,A828,jr_gap,"&lt;0")&gt;0,"Partiel","Sorti")))))</f>
        <v/>
      </c>
      <c r="O828" t="str">
        <f>IFERROR(MATCH(823,jr_grank,0),"")</f>
        <v/>
      </c>
      <c r="R828" s="67" t="str">
        <f>IFERROR(INDEX(jr_num,MATCH("BL823",jr_nkey,0))&amp;"","")</f>
        <v/>
      </c>
      <c r="S828" s="67" t="str">
        <f>IFERROR(INDEX(jr_num,MATCH("BR823",jr_nkey,0))&amp;"","")</f>
        <v/>
      </c>
      <c r="T828" s="67" t="str">
        <f>IFERROR(INDEX(jr_num,MATCH("BS823",jr_nkey,0))&amp;"","")</f>
        <v/>
      </c>
    </row>
    <row r="829">
      <c r="A829" s="60" t="str">
        <f>IF($O829="","",INDEX(jr_num,$O829)&amp;"")</f>
        <v/>
      </c>
      <c r="B829" s="60" t="str">
        <f>IF($O829="","",IF(INDEX(jr_type,$O829)="BL","Livraison",IF(INDEX(jr_type,$O829)="BR","Réception","Sortie")))</f>
        <v/>
      </c>
      <c r="C829" s="65" t="str">
        <f>IF($O829="","",INDEX(jr_date,$O829))</f>
        <v/>
      </c>
      <c r="D829" s="60" t="str">
        <f>IF($O829="","",INDEX(jr_tiers,$O829)&amp;"")</f>
        <v/>
      </c>
      <c r="E829" s="57" t="str">
        <f>IF($O829="","",INDEX(jr_name,$O829)&amp;"")</f>
        <v/>
      </c>
      <c r="F829" s="57" t="str">
        <f>IF($O829="","",INDEX(jr_order,$O829)&amp;"")</f>
        <v/>
      </c>
      <c r="G829" s="57" t="str">
        <f>IF($O829="","",INDEX(jr_ext,$O829)&amp;"")</f>
        <v/>
      </c>
      <c r="H829" s="57" t="str">
        <f>IF($O829="","",INDEX(jr_carrier,$O829)&amp;"")</f>
        <v/>
      </c>
      <c r="I829" s="66" t="str">
        <f>IF(A829="","",COUNTIF(jr_num,A829))</f>
        <v/>
      </c>
      <c r="J829" s="66" t="str">
        <f>IF(A829="","",SUMIF(jr_num,A829,jr_colis))</f>
        <v/>
      </c>
      <c r="K829" s="63" t="str">
        <f>IF(A829="","",SUMIF(jr_num,A829,jr_kg))</f>
        <v/>
      </c>
      <c r="L829" s="64" t="str">
        <f>IF(A829="","",SUMIF(jr_num,A829,jr_val))</f>
        <v/>
      </c>
      <c r="M829" s="60" t="str">
        <f>IF(A829="","",IF(COUNTIFS(jr_num,A829,jr_check,"&lt;&gt;OK")&gt;0,"À vérifier",IF(LEFT(A829,2)="BL",IF(COUNTIFS(jr_num,A829,jr_rel,"&gt;0")&gt;0,"Reliquat en cours",IF(COUNTIFS(jr_num,A829,jr_gap,"&lt;0")&gt;0,"Reliquat livré","Complet")),IF(LEFT(A829,2)="BR",IF(COUNTIFS(jr_num,A829,jr_etat,"Refusé")&gt;0,"Refusé",IF(COUNTIFS(jr_num,A829,jr_etat,"Avec réserves")&gt;0,"Avec réserves",IF(COUNTIFS(jr_num,A829,jr_rel,"&gt;0")&gt;0,"Reliquat en cours",IF(COUNTIFS(jr_num,A829,jr_gap,"&lt;0")+COUNTIFS(jr_num,A829,jr_gap,"&gt;0")&gt;0,"Écart","Conforme")))),IF(COUNTIFS(jr_num,A829,jr_gap,"&lt;0")&gt;0,"Partiel","Sorti")))))</f>
        <v/>
      </c>
      <c r="O829" t="str">
        <f>IFERROR(MATCH(824,jr_grank,0),"")</f>
        <v/>
      </c>
      <c r="R829" s="67" t="str">
        <f>IFERROR(INDEX(jr_num,MATCH("BL824",jr_nkey,0))&amp;"","")</f>
        <v/>
      </c>
      <c r="S829" s="67" t="str">
        <f>IFERROR(INDEX(jr_num,MATCH("BR824",jr_nkey,0))&amp;"","")</f>
        <v/>
      </c>
      <c r="T829" s="67" t="str">
        <f>IFERROR(INDEX(jr_num,MATCH("BS824",jr_nkey,0))&amp;"","")</f>
        <v/>
      </c>
    </row>
    <row r="830">
      <c r="A830" s="60" t="str">
        <f>IF($O830="","",INDEX(jr_num,$O830)&amp;"")</f>
        <v/>
      </c>
      <c r="B830" s="60" t="str">
        <f>IF($O830="","",IF(INDEX(jr_type,$O830)="BL","Livraison",IF(INDEX(jr_type,$O830)="BR","Réception","Sortie")))</f>
        <v/>
      </c>
      <c r="C830" s="65" t="str">
        <f>IF($O830="","",INDEX(jr_date,$O830))</f>
        <v/>
      </c>
      <c r="D830" s="60" t="str">
        <f>IF($O830="","",INDEX(jr_tiers,$O830)&amp;"")</f>
        <v/>
      </c>
      <c r="E830" s="57" t="str">
        <f>IF($O830="","",INDEX(jr_name,$O830)&amp;"")</f>
        <v/>
      </c>
      <c r="F830" s="57" t="str">
        <f>IF($O830="","",INDEX(jr_order,$O830)&amp;"")</f>
        <v/>
      </c>
      <c r="G830" s="57" t="str">
        <f>IF($O830="","",INDEX(jr_ext,$O830)&amp;"")</f>
        <v/>
      </c>
      <c r="H830" s="57" t="str">
        <f>IF($O830="","",INDEX(jr_carrier,$O830)&amp;"")</f>
        <v/>
      </c>
      <c r="I830" s="66" t="str">
        <f>IF(A830="","",COUNTIF(jr_num,A830))</f>
        <v/>
      </c>
      <c r="J830" s="66" t="str">
        <f>IF(A830="","",SUMIF(jr_num,A830,jr_colis))</f>
        <v/>
      </c>
      <c r="K830" s="63" t="str">
        <f>IF(A830="","",SUMIF(jr_num,A830,jr_kg))</f>
        <v/>
      </c>
      <c r="L830" s="64" t="str">
        <f>IF(A830="","",SUMIF(jr_num,A830,jr_val))</f>
        <v/>
      </c>
      <c r="M830" s="60" t="str">
        <f>IF(A830="","",IF(COUNTIFS(jr_num,A830,jr_check,"&lt;&gt;OK")&gt;0,"À vérifier",IF(LEFT(A830,2)="BL",IF(COUNTIFS(jr_num,A830,jr_rel,"&gt;0")&gt;0,"Reliquat en cours",IF(COUNTIFS(jr_num,A830,jr_gap,"&lt;0")&gt;0,"Reliquat livré","Complet")),IF(LEFT(A830,2)="BR",IF(COUNTIFS(jr_num,A830,jr_etat,"Refusé")&gt;0,"Refusé",IF(COUNTIFS(jr_num,A830,jr_etat,"Avec réserves")&gt;0,"Avec réserves",IF(COUNTIFS(jr_num,A830,jr_rel,"&gt;0")&gt;0,"Reliquat en cours",IF(COUNTIFS(jr_num,A830,jr_gap,"&lt;0")+COUNTIFS(jr_num,A830,jr_gap,"&gt;0")&gt;0,"Écart","Conforme")))),IF(COUNTIFS(jr_num,A830,jr_gap,"&lt;0")&gt;0,"Partiel","Sorti")))))</f>
        <v/>
      </c>
      <c r="O830" t="str">
        <f>IFERROR(MATCH(825,jr_grank,0),"")</f>
        <v/>
      </c>
      <c r="R830" s="67" t="str">
        <f>IFERROR(INDEX(jr_num,MATCH("BL825",jr_nkey,0))&amp;"","")</f>
        <v/>
      </c>
      <c r="S830" s="67" t="str">
        <f>IFERROR(INDEX(jr_num,MATCH("BR825",jr_nkey,0))&amp;"","")</f>
        <v/>
      </c>
      <c r="T830" s="67" t="str">
        <f>IFERROR(INDEX(jr_num,MATCH("BS825",jr_nkey,0))&amp;"","")</f>
        <v/>
      </c>
    </row>
    <row r="831">
      <c r="A831" s="60" t="str">
        <f>IF($O831="","",INDEX(jr_num,$O831)&amp;"")</f>
        <v/>
      </c>
      <c r="B831" s="60" t="str">
        <f>IF($O831="","",IF(INDEX(jr_type,$O831)="BL","Livraison",IF(INDEX(jr_type,$O831)="BR","Réception","Sortie")))</f>
        <v/>
      </c>
      <c r="C831" s="65" t="str">
        <f>IF($O831="","",INDEX(jr_date,$O831))</f>
        <v/>
      </c>
      <c r="D831" s="60" t="str">
        <f>IF($O831="","",INDEX(jr_tiers,$O831)&amp;"")</f>
        <v/>
      </c>
      <c r="E831" s="57" t="str">
        <f>IF($O831="","",INDEX(jr_name,$O831)&amp;"")</f>
        <v/>
      </c>
      <c r="F831" s="57" t="str">
        <f>IF($O831="","",INDEX(jr_order,$O831)&amp;"")</f>
        <v/>
      </c>
      <c r="G831" s="57" t="str">
        <f>IF($O831="","",INDEX(jr_ext,$O831)&amp;"")</f>
        <v/>
      </c>
      <c r="H831" s="57" t="str">
        <f>IF($O831="","",INDEX(jr_carrier,$O831)&amp;"")</f>
        <v/>
      </c>
      <c r="I831" s="66" t="str">
        <f>IF(A831="","",COUNTIF(jr_num,A831))</f>
        <v/>
      </c>
      <c r="J831" s="66" t="str">
        <f>IF(A831="","",SUMIF(jr_num,A831,jr_colis))</f>
        <v/>
      </c>
      <c r="K831" s="63" t="str">
        <f>IF(A831="","",SUMIF(jr_num,A831,jr_kg))</f>
        <v/>
      </c>
      <c r="L831" s="64" t="str">
        <f>IF(A831="","",SUMIF(jr_num,A831,jr_val))</f>
        <v/>
      </c>
      <c r="M831" s="60" t="str">
        <f>IF(A831="","",IF(COUNTIFS(jr_num,A831,jr_check,"&lt;&gt;OK")&gt;0,"À vérifier",IF(LEFT(A831,2)="BL",IF(COUNTIFS(jr_num,A831,jr_rel,"&gt;0")&gt;0,"Reliquat en cours",IF(COUNTIFS(jr_num,A831,jr_gap,"&lt;0")&gt;0,"Reliquat livré","Complet")),IF(LEFT(A831,2)="BR",IF(COUNTIFS(jr_num,A831,jr_etat,"Refusé")&gt;0,"Refusé",IF(COUNTIFS(jr_num,A831,jr_etat,"Avec réserves")&gt;0,"Avec réserves",IF(COUNTIFS(jr_num,A831,jr_rel,"&gt;0")&gt;0,"Reliquat en cours",IF(COUNTIFS(jr_num,A831,jr_gap,"&lt;0")+COUNTIFS(jr_num,A831,jr_gap,"&gt;0")&gt;0,"Écart","Conforme")))),IF(COUNTIFS(jr_num,A831,jr_gap,"&lt;0")&gt;0,"Partiel","Sorti")))))</f>
        <v/>
      </c>
      <c r="O831" t="str">
        <f>IFERROR(MATCH(826,jr_grank,0),"")</f>
        <v/>
      </c>
      <c r="R831" s="67" t="str">
        <f>IFERROR(INDEX(jr_num,MATCH("BL826",jr_nkey,0))&amp;"","")</f>
        <v/>
      </c>
      <c r="S831" s="67" t="str">
        <f>IFERROR(INDEX(jr_num,MATCH("BR826",jr_nkey,0))&amp;"","")</f>
        <v/>
      </c>
      <c r="T831" s="67" t="str">
        <f>IFERROR(INDEX(jr_num,MATCH("BS826",jr_nkey,0))&amp;"","")</f>
        <v/>
      </c>
    </row>
    <row r="832">
      <c r="A832" s="60" t="str">
        <f>IF($O832="","",INDEX(jr_num,$O832)&amp;"")</f>
        <v/>
      </c>
      <c r="B832" s="60" t="str">
        <f>IF($O832="","",IF(INDEX(jr_type,$O832)="BL","Livraison",IF(INDEX(jr_type,$O832)="BR","Réception","Sortie")))</f>
        <v/>
      </c>
      <c r="C832" s="65" t="str">
        <f>IF($O832="","",INDEX(jr_date,$O832))</f>
        <v/>
      </c>
      <c r="D832" s="60" t="str">
        <f>IF($O832="","",INDEX(jr_tiers,$O832)&amp;"")</f>
        <v/>
      </c>
      <c r="E832" s="57" t="str">
        <f>IF($O832="","",INDEX(jr_name,$O832)&amp;"")</f>
        <v/>
      </c>
      <c r="F832" s="57" t="str">
        <f>IF($O832="","",INDEX(jr_order,$O832)&amp;"")</f>
        <v/>
      </c>
      <c r="G832" s="57" t="str">
        <f>IF($O832="","",INDEX(jr_ext,$O832)&amp;"")</f>
        <v/>
      </c>
      <c r="H832" s="57" t="str">
        <f>IF($O832="","",INDEX(jr_carrier,$O832)&amp;"")</f>
        <v/>
      </c>
      <c r="I832" s="66" t="str">
        <f>IF(A832="","",COUNTIF(jr_num,A832))</f>
        <v/>
      </c>
      <c r="J832" s="66" t="str">
        <f>IF(A832="","",SUMIF(jr_num,A832,jr_colis))</f>
        <v/>
      </c>
      <c r="K832" s="63" t="str">
        <f>IF(A832="","",SUMIF(jr_num,A832,jr_kg))</f>
        <v/>
      </c>
      <c r="L832" s="64" t="str">
        <f>IF(A832="","",SUMIF(jr_num,A832,jr_val))</f>
        <v/>
      </c>
      <c r="M832" s="60" t="str">
        <f>IF(A832="","",IF(COUNTIFS(jr_num,A832,jr_check,"&lt;&gt;OK")&gt;0,"À vérifier",IF(LEFT(A832,2)="BL",IF(COUNTIFS(jr_num,A832,jr_rel,"&gt;0")&gt;0,"Reliquat en cours",IF(COUNTIFS(jr_num,A832,jr_gap,"&lt;0")&gt;0,"Reliquat livré","Complet")),IF(LEFT(A832,2)="BR",IF(COUNTIFS(jr_num,A832,jr_etat,"Refusé")&gt;0,"Refusé",IF(COUNTIFS(jr_num,A832,jr_etat,"Avec réserves")&gt;0,"Avec réserves",IF(COUNTIFS(jr_num,A832,jr_rel,"&gt;0")&gt;0,"Reliquat en cours",IF(COUNTIFS(jr_num,A832,jr_gap,"&lt;0")+COUNTIFS(jr_num,A832,jr_gap,"&gt;0")&gt;0,"Écart","Conforme")))),IF(COUNTIFS(jr_num,A832,jr_gap,"&lt;0")&gt;0,"Partiel","Sorti")))))</f>
        <v/>
      </c>
      <c r="O832" t="str">
        <f>IFERROR(MATCH(827,jr_grank,0),"")</f>
        <v/>
      </c>
      <c r="R832" s="67" t="str">
        <f>IFERROR(INDEX(jr_num,MATCH("BL827",jr_nkey,0))&amp;"","")</f>
        <v/>
      </c>
      <c r="S832" s="67" t="str">
        <f>IFERROR(INDEX(jr_num,MATCH("BR827",jr_nkey,0))&amp;"","")</f>
        <v/>
      </c>
      <c r="T832" s="67" t="str">
        <f>IFERROR(INDEX(jr_num,MATCH("BS827",jr_nkey,0))&amp;"","")</f>
        <v/>
      </c>
    </row>
    <row r="833">
      <c r="A833" s="60" t="str">
        <f>IF($O833="","",INDEX(jr_num,$O833)&amp;"")</f>
        <v/>
      </c>
      <c r="B833" s="60" t="str">
        <f>IF($O833="","",IF(INDEX(jr_type,$O833)="BL","Livraison",IF(INDEX(jr_type,$O833)="BR","Réception","Sortie")))</f>
        <v/>
      </c>
      <c r="C833" s="65" t="str">
        <f>IF($O833="","",INDEX(jr_date,$O833))</f>
        <v/>
      </c>
      <c r="D833" s="60" t="str">
        <f>IF($O833="","",INDEX(jr_tiers,$O833)&amp;"")</f>
        <v/>
      </c>
      <c r="E833" s="57" t="str">
        <f>IF($O833="","",INDEX(jr_name,$O833)&amp;"")</f>
        <v/>
      </c>
      <c r="F833" s="57" t="str">
        <f>IF($O833="","",INDEX(jr_order,$O833)&amp;"")</f>
        <v/>
      </c>
      <c r="G833" s="57" t="str">
        <f>IF($O833="","",INDEX(jr_ext,$O833)&amp;"")</f>
        <v/>
      </c>
      <c r="H833" s="57" t="str">
        <f>IF($O833="","",INDEX(jr_carrier,$O833)&amp;"")</f>
        <v/>
      </c>
      <c r="I833" s="66" t="str">
        <f>IF(A833="","",COUNTIF(jr_num,A833))</f>
        <v/>
      </c>
      <c r="J833" s="66" t="str">
        <f>IF(A833="","",SUMIF(jr_num,A833,jr_colis))</f>
        <v/>
      </c>
      <c r="K833" s="63" t="str">
        <f>IF(A833="","",SUMIF(jr_num,A833,jr_kg))</f>
        <v/>
      </c>
      <c r="L833" s="64" t="str">
        <f>IF(A833="","",SUMIF(jr_num,A833,jr_val))</f>
        <v/>
      </c>
      <c r="M833" s="60" t="str">
        <f>IF(A833="","",IF(COUNTIFS(jr_num,A833,jr_check,"&lt;&gt;OK")&gt;0,"À vérifier",IF(LEFT(A833,2)="BL",IF(COUNTIFS(jr_num,A833,jr_rel,"&gt;0")&gt;0,"Reliquat en cours",IF(COUNTIFS(jr_num,A833,jr_gap,"&lt;0")&gt;0,"Reliquat livré","Complet")),IF(LEFT(A833,2)="BR",IF(COUNTIFS(jr_num,A833,jr_etat,"Refusé")&gt;0,"Refusé",IF(COUNTIFS(jr_num,A833,jr_etat,"Avec réserves")&gt;0,"Avec réserves",IF(COUNTIFS(jr_num,A833,jr_rel,"&gt;0")&gt;0,"Reliquat en cours",IF(COUNTIFS(jr_num,A833,jr_gap,"&lt;0")+COUNTIFS(jr_num,A833,jr_gap,"&gt;0")&gt;0,"Écart","Conforme")))),IF(COUNTIFS(jr_num,A833,jr_gap,"&lt;0")&gt;0,"Partiel","Sorti")))))</f>
        <v/>
      </c>
      <c r="O833" t="str">
        <f>IFERROR(MATCH(828,jr_grank,0),"")</f>
        <v/>
      </c>
      <c r="R833" s="67" t="str">
        <f>IFERROR(INDEX(jr_num,MATCH("BL828",jr_nkey,0))&amp;"","")</f>
        <v/>
      </c>
      <c r="S833" s="67" t="str">
        <f>IFERROR(INDEX(jr_num,MATCH("BR828",jr_nkey,0))&amp;"","")</f>
        <v/>
      </c>
      <c r="T833" s="67" t="str">
        <f>IFERROR(INDEX(jr_num,MATCH("BS828",jr_nkey,0))&amp;"","")</f>
        <v/>
      </c>
    </row>
    <row r="834">
      <c r="A834" s="60" t="str">
        <f>IF($O834="","",INDEX(jr_num,$O834)&amp;"")</f>
        <v/>
      </c>
      <c r="B834" s="60" t="str">
        <f>IF($O834="","",IF(INDEX(jr_type,$O834)="BL","Livraison",IF(INDEX(jr_type,$O834)="BR","Réception","Sortie")))</f>
        <v/>
      </c>
      <c r="C834" s="65" t="str">
        <f>IF($O834="","",INDEX(jr_date,$O834))</f>
        <v/>
      </c>
      <c r="D834" s="60" t="str">
        <f>IF($O834="","",INDEX(jr_tiers,$O834)&amp;"")</f>
        <v/>
      </c>
      <c r="E834" s="57" t="str">
        <f>IF($O834="","",INDEX(jr_name,$O834)&amp;"")</f>
        <v/>
      </c>
      <c r="F834" s="57" t="str">
        <f>IF($O834="","",INDEX(jr_order,$O834)&amp;"")</f>
        <v/>
      </c>
      <c r="G834" s="57" t="str">
        <f>IF($O834="","",INDEX(jr_ext,$O834)&amp;"")</f>
        <v/>
      </c>
      <c r="H834" s="57" t="str">
        <f>IF($O834="","",INDEX(jr_carrier,$O834)&amp;"")</f>
        <v/>
      </c>
      <c r="I834" s="66" t="str">
        <f>IF(A834="","",COUNTIF(jr_num,A834))</f>
        <v/>
      </c>
      <c r="J834" s="66" t="str">
        <f>IF(A834="","",SUMIF(jr_num,A834,jr_colis))</f>
        <v/>
      </c>
      <c r="K834" s="63" t="str">
        <f>IF(A834="","",SUMIF(jr_num,A834,jr_kg))</f>
        <v/>
      </c>
      <c r="L834" s="64" t="str">
        <f>IF(A834="","",SUMIF(jr_num,A834,jr_val))</f>
        <v/>
      </c>
      <c r="M834" s="60" t="str">
        <f>IF(A834="","",IF(COUNTIFS(jr_num,A834,jr_check,"&lt;&gt;OK")&gt;0,"À vérifier",IF(LEFT(A834,2)="BL",IF(COUNTIFS(jr_num,A834,jr_rel,"&gt;0")&gt;0,"Reliquat en cours",IF(COUNTIFS(jr_num,A834,jr_gap,"&lt;0")&gt;0,"Reliquat livré","Complet")),IF(LEFT(A834,2)="BR",IF(COUNTIFS(jr_num,A834,jr_etat,"Refusé")&gt;0,"Refusé",IF(COUNTIFS(jr_num,A834,jr_etat,"Avec réserves")&gt;0,"Avec réserves",IF(COUNTIFS(jr_num,A834,jr_rel,"&gt;0")&gt;0,"Reliquat en cours",IF(COUNTIFS(jr_num,A834,jr_gap,"&lt;0")+COUNTIFS(jr_num,A834,jr_gap,"&gt;0")&gt;0,"Écart","Conforme")))),IF(COUNTIFS(jr_num,A834,jr_gap,"&lt;0")&gt;0,"Partiel","Sorti")))))</f>
        <v/>
      </c>
      <c r="O834" t="str">
        <f>IFERROR(MATCH(829,jr_grank,0),"")</f>
        <v/>
      </c>
      <c r="R834" s="67" t="str">
        <f>IFERROR(INDEX(jr_num,MATCH("BL829",jr_nkey,0))&amp;"","")</f>
        <v/>
      </c>
      <c r="S834" s="67" t="str">
        <f>IFERROR(INDEX(jr_num,MATCH("BR829",jr_nkey,0))&amp;"","")</f>
        <v/>
      </c>
      <c r="T834" s="67" t="str">
        <f>IFERROR(INDEX(jr_num,MATCH("BS829",jr_nkey,0))&amp;"","")</f>
        <v/>
      </c>
    </row>
    <row r="835">
      <c r="A835" s="60" t="str">
        <f>IF($O835="","",INDEX(jr_num,$O835)&amp;"")</f>
        <v/>
      </c>
      <c r="B835" s="60" t="str">
        <f>IF($O835="","",IF(INDEX(jr_type,$O835)="BL","Livraison",IF(INDEX(jr_type,$O835)="BR","Réception","Sortie")))</f>
        <v/>
      </c>
      <c r="C835" s="65" t="str">
        <f>IF($O835="","",INDEX(jr_date,$O835))</f>
        <v/>
      </c>
      <c r="D835" s="60" t="str">
        <f>IF($O835="","",INDEX(jr_tiers,$O835)&amp;"")</f>
        <v/>
      </c>
      <c r="E835" s="57" t="str">
        <f>IF($O835="","",INDEX(jr_name,$O835)&amp;"")</f>
        <v/>
      </c>
      <c r="F835" s="57" t="str">
        <f>IF($O835="","",INDEX(jr_order,$O835)&amp;"")</f>
        <v/>
      </c>
      <c r="G835" s="57" t="str">
        <f>IF($O835="","",INDEX(jr_ext,$O835)&amp;"")</f>
        <v/>
      </c>
      <c r="H835" s="57" t="str">
        <f>IF($O835="","",INDEX(jr_carrier,$O835)&amp;"")</f>
        <v/>
      </c>
      <c r="I835" s="66" t="str">
        <f>IF(A835="","",COUNTIF(jr_num,A835))</f>
        <v/>
      </c>
      <c r="J835" s="66" t="str">
        <f>IF(A835="","",SUMIF(jr_num,A835,jr_colis))</f>
        <v/>
      </c>
      <c r="K835" s="63" t="str">
        <f>IF(A835="","",SUMIF(jr_num,A835,jr_kg))</f>
        <v/>
      </c>
      <c r="L835" s="64" t="str">
        <f>IF(A835="","",SUMIF(jr_num,A835,jr_val))</f>
        <v/>
      </c>
      <c r="M835" s="60" t="str">
        <f>IF(A835="","",IF(COUNTIFS(jr_num,A835,jr_check,"&lt;&gt;OK")&gt;0,"À vérifier",IF(LEFT(A835,2)="BL",IF(COUNTIFS(jr_num,A835,jr_rel,"&gt;0")&gt;0,"Reliquat en cours",IF(COUNTIFS(jr_num,A835,jr_gap,"&lt;0")&gt;0,"Reliquat livré","Complet")),IF(LEFT(A835,2)="BR",IF(COUNTIFS(jr_num,A835,jr_etat,"Refusé")&gt;0,"Refusé",IF(COUNTIFS(jr_num,A835,jr_etat,"Avec réserves")&gt;0,"Avec réserves",IF(COUNTIFS(jr_num,A835,jr_rel,"&gt;0")&gt;0,"Reliquat en cours",IF(COUNTIFS(jr_num,A835,jr_gap,"&lt;0")+COUNTIFS(jr_num,A835,jr_gap,"&gt;0")&gt;0,"Écart","Conforme")))),IF(COUNTIFS(jr_num,A835,jr_gap,"&lt;0")&gt;0,"Partiel","Sorti")))))</f>
        <v/>
      </c>
      <c r="O835" t="str">
        <f>IFERROR(MATCH(830,jr_grank,0),"")</f>
        <v/>
      </c>
      <c r="R835" s="67" t="str">
        <f>IFERROR(INDEX(jr_num,MATCH("BL830",jr_nkey,0))&amp;"","")</f>
        <v/>
      </c>
      <c r="S835" s="67" t="str">
        <f>IFERROR(INDEX(jr_num,MATCH("BR830",jr_nkey,0))&amp;"","")</f>
        <v/>
      </c>
      <c r="T835" s="67" t="str">
        <f>IFERROR(INDEX(jr_num,MATCH("BS830",jr_nkey,0))&amp;"","")</f>
        <v/>
      </c>
    </row>
    <row r="836">
      <c r="A836" s="60" t="str">
        <f>IF($O836="","",INDEX(jr_num,$O836)&amp;"")</f>
        <v/>
      </c>
      <c r="B836" s="60" t="str">
        <f>IF($O836="","",IF(INDEX(jr_type,$O836)="BL","Livraison",IF(INDEX(jr_type,$O836)="BR","Réception","Sortie")))</f>
        <v/>
      </c>
      <c r="C836" s="65" t="str">
        <f>IF($O836="","",INDEX(jr_date,$O836))</f>
        <v/>
      </c>
      <c r="D836" s="60" t="str">
        <f>IF($O836="","",INDEX(jr_tiers,$O836)&amp;"")</f>
        <v/>
      </c>
      <c r="E836" s="57" t="str">
        <f>IF($O836="","",INDEX(jr_name,$O836)&amp;"")</f>
        <v/>
      </c>
      <c r="F836" s="57" t="str">
        <f>IF($O836="","",INDEX(jr_order,$O836)&amp;"")</f>
        <v/>
      </c>
      <c r="G836" s="57" t="str">
        <f>IF($O836="","",INDEX(jr_ext,$O836)&amp;"")</f>
        <v/>
      </c>
      <c r="H836" s="57" t="str">
        <f>IF($O836="","",INDEX(jr_carrier,$O836)&amp;"")</f>
        <v/>
      </c>
      <c r="I836" s="66" t="str">
        <f>IF(A836="","",COUNTIF(jr_num,A836))</f>
        <v/>
      </c>
      <c r="J836" s="66" t="str">
        <f>IF(A836="","",SUMIF(jr_num,A836,jr_colis))</f>
        <v/>
      </c>
      <c r="K836" s="63" t="str">
        <f>IF(A836="","",SUMIF(jr_num,A836,jr_kg))</f>
        <v/>
      </c>
      <c r="L836" s="64" t="str">
        <f>IF(A836="","",SUMIF(jr_num,A836,jr_val))</f>
        <v/>
      </c>
      <c r="M836" s="60" t="str">
        <f>IF(A836="","",IF(COUNTIFS(jr_num,A836,jr_check,"&lt;&gt;OK")&gt;0,"À vérifier",IF(LEFT(A836,2)="BL",IF(COUNTIFS(jr_num,A836,jr_rel,"&gt;0")&gt;0,"Reliquat en cours",IF(COUNTIFS(jr_num,A836,jr_gap,"&lt;0")&gt;0,"Reliquat livré","Complet")),IF(LEFT(A836,2)="BR",IF(COUNTIFS(jr_num,A836,jr_etat,"Refusé")&gt;0,"Refusé",IF(COUNTIFS(jr_num,A836,jr_etat,"Avec réserves")&gt;0,"Avec réserves",IF(COUNTIFS(jr_num,A836,jr_rel,"&gt;0")&gt;0,"Reliquat en cours",IF(COUNTIFS(jr_num,A836,jr_gap,"&lt;0")+COUNTIFS(jr_num,A836,jr_gap,"&gt;0")&gt;0,"Écart","Conforme")))),IF(COUNTIFS(jr_num,A836,jr_gap,"&lt;0")&gt;0,"Partiel","Sorti")))))</f>
        <v/>
      </c>
      <c r="O836" t="str">
        <f>IFERROR(MATCH(831,jr_grank,0),"")</f>
        <v/>
      </c>
      <c r="R836" s="67" t="str">
        <f>IFERROR(INDEX(jr_num,MATCH("BL831",jr_nkey,0))&amp;"","")</f>
        <v/>
      </c>
      <c r="S836" s="67" t="str">
        <f>IFERROR(INDEX(jr_num,MATCH("BR831",jr_nkey,0))&amp;"","")</f>
        <v/>
      </c>
      <c r="T836" s="67" t="str">
        <f>IFERROR(INDEX(jr_num,MATCH("BS831",jr_nkey,0))&amp;"","")</f>
        <v/>
      </c>
    </row>
    <row r="837">
      <c r="A837" s="60" t="str">
        <f>IF($O837="","",INDEX(jr_num,$O837)&amp;"")</f>
        <v/>
      </c>
      <c r="B837" s="60" t="str">
        <f>IF($O837="","",IF(INDEX(jr_type,$O837)="BL","Livraison",IF(INDEX(jr_type,$O837)="BR","Réception","Sortie")))</f>
        <v/>
      </c>
      <c r="C837" s="65" t="str">
        <f>IF($O837="","",INDEX(jr_date,$O837))</f>
        <v/>
      </c>
      <c r="D837" s="60" t="str">
        <f>IF($O837="","",INDEX(jr_tiers,$O837)&amp;"")</f>
        <v/>
      </c>
      <c r="E837" s="57" t="str">
        <f>IF($O837="","",INDEX(jr_name,$O837)&amp;"")</f>
        <v/>
      </c>
      <c r="F837" s="57" t="str">
        <f>IF($O837="","",INDEX(jr_order,$O837)&amp;"")</f>
        <v/>
      </c>
      <c r="G837" s="57" t="str">
        <f>IF($O837="","",INDEX(jr_ext,$O837)&amp;"")</f>
        <v/>
      </c>
      <c r="H837" s="57" t="str">
        <f>IF($O837="","",INDEX(jr_carrier,$O837)&amp;"")</f>
        <v/>
      </c>
      <c r="I837" s="66" t="str">
        <f>IF(A837="","",COUNTIF(jr_num,A837))</f>
        <v/>
      </c>
      <c r="J837" s="66" t="str">
        <f>IF(A837="","",SUMIF(jr_num,A837,jr_colis))</f>
        <v/>
      </c>
      <c r="K837" s="63" t="str">
        <f>IF(A837="","",SUMIF(jr_num,A837,jr_kg))</f>
        <v/>
      </c>
      <c r="L837" s="64" t="str">
        <f>IF(A837="","",SUMIF(jr_num,A837,jr_val))</f>
        <v/>
      </c>
      <c r="M837" s="60" t="str">
        <f>IF(A837="","",IF(COUNTIFS(jr_num,A837,jr_check,"&lt;&gt;OK")&gt;0,"À vérifier",IF(LEFT(A837,2)="BL",IF(COUNTIFS(jr_num,A837,jr_rel,"&gt;0")&gt;0,"Reliquat en cours",IF(COUNTIFS(jr_num,A837,jr_gap,"&lt;0")&gt;0,"Reliquat livré","Complet")),IF(LEFT(A837,2)="BR",IF(COUNTIFS(jr_num,A837,jr_etat,"Refusé")&gt;0,"Refusé",IF(COUNTIFS(jr_num,A837,jr_etat,"Avec réserves")&gt;0,"Avec réserves",IF(COUNTIFS(jr_num,A837,jr_rel,"&gt;0")&gt;0,"Reliquat en cours",IF(COUNTIFS(jr_num,A837,jr_gap,"&lt;0")+COUNTIFS(jr_num,A837,jr_gap,"&gt;0")&gt;0,"Écart","Conforme")))),IF(COUNTIFS(jr_num,A837,jr_gap,"&lt;0")&gt;0,"Partiel","Sorti")))))</f>
        <v/>
      </c>
      <c r="O837" t="str">
        <f>IFERROR(MATCH(832,jr_grank,0),"")</f>
        <v/>
      </c>
      <c r="R837" s="67" t="str">
        <f>IFERROR(INDEX(jr_num,MATCH("BL832",jr_nkey,0))&amp;"","")</f>
        <v/>
      </c>
      <c r="S837" s="67" t="str">
        <f>IFERROR(INDEX(jr_num,MATCH("BR832",jr_nkey,0))&amp;"","")</f>
        <v/>
      </c>
      <c r="T837" s="67" t="str">
        <f>IFERROR(INDEX(jr_num,MATCH("BS832",jr_nkey,0))&amp;"","")</f>
        <v/>
      </c>
    </row>
    <row r="838">
      <c r="A838" s="60" t="str">
        <f>IF($O838="","",INDEX(jr_num,$O838)&amp;"")</f>
        <v/>
      </c>
      <c r="B838" s="60" t="str">
        <f>IF($O838="","",IF(INDEX(jr_type,$O838)="BL","Livraison",IF(INDEX(jr_type,$O838)="BR","Réception","Sortie")))</f>
        <v/>
      </c>
      <c r="C838" s="65" t="str">
        <f>IF($O838="","",INDEX(jr_date,$O838))</f>
        <v/>
      </c>
      <c r="D838" s="60" t="str">
        <f>IF($O838="","",INDEX(jr_tiers,$O838)&amp;"")</f>
        <v/>
      </c>
      <c r="E838" s="57" t="str">
        <f>IF($O838="","",INDEX(jr_name,$O838)&amp;"")</f>
        <v/>
      </c>
      <c r="F838" s="57" t="str">
        <f>IF($O838="","",INDEX(jr_order,$O838)&amp;"")</f>
        <v/>
      </c>
      <c r="G838" s="57" t="str">
        <f>IF($O838="","",INDEX(jr_ext,$O838)&amp;"")</f>
        <v/>
      </c>
      <c r="H838" s="57" t="str">
        <f>IF($O838="","",INDEX(jr_carrier,$O838)&amp;"")</f>
        <v/>
      </c>
      <c r="I838" s="66" t="str">
        <f>IF(A838="","",COUNTIF(jr_num,A838))</f>
        <v/>
      </c>
      <c r="J838" s="66" t="str">
        <f>IF(A838="","",SUMIF(jr_num,A838,jr_colis))</f>
        <v/>
      </c>
      <c r="K838" s="63" t="str">
        <f>IF(A838="","",SUMIF(jr_num,A838,jr_kg))</f>
        <v/>
      </c>
      <c r="L838" s="64" t="str">
        <f>IF(A838="","",SUMIF(jr_num,A838,jr_val))</f>
        <v/>
      </c>
      <c r="M838" s="60" t="str">
        <f>IF(A838="","",IF(COUNTIFS(jr_num,A838,jr_check,"&lt;&gt;OK")&gt;0,"À vérifier",IF(LEFT(A838,2)="BL",IF(COUNTIFS(jr_num,A838,jr_rel,"&gt;0")&gt;0,"Reliquat en cours",IF(COUNTIFS(jr_num,A838,jr_gap,"&lt;0")&gt;0,"Reliquat livré","Complet")),IF(LEFT(A838,2)="BR",IF(COUNTIFS(jr_num,A838,jr_etat,"Refusé")&gt;0,"Refusé",IF(COUNTIFS(jr_num,A838,jr_etat,"Avec réserves")&gt;0,"Avec réserves",IF(COUNTIFS(jr_num,A838,jr_rel,"&gt;0")&gt;0,"Reliquat en cours",IF(COUNTIFS(jr_num,A838,jr_gap,"&lt;0")+COUNTIFS(jr_num,A838,jr_gap,"&gt;0")&gt;0,"Écart","Conforme")))),IF(COUNTIFS(jr_num,A838,jr_gap,"&lt;0")&gt;0,"Partiel","Sorti")))))</f>
        <v/>
      </c>
      <c r="O838" t="str">
        <f>IFERROR(MATCH(833,jr_grank,0),"")</f>
        <v/>
      </c>
      <c r="R838" s="67" t="str">
        <f>IFERROR(INDEX(jr_num,MATCH("BL833",jr_nkey,0))&amp;"","")</f>
        <v/>
      </c>
      <c r="S838" s="67" t="str">
        <f>IFERROR(INDEX(jr_num,MATCH("BR833",jr_nkey,0))&amp;"","")</f>
        <v/>
      </c>
      <c r="T838" s="67" t="str">
        <f>IFERROR(INDEX(jr_num,MATCH("BS833",jr_nkey,0))&amp;"","")</f>
        <v/>
      </c>
    </row>
    <row r="839">
      <c r="A839" s="60" t="str">
        <f>IF($O839="","",INDEX(jr_num,$O839)&amp;"")</f>
        <v/>
      </c>
      <c r="B839" s="60" t="str">
        <f>IF($O839="","",IF(INDEX(jr_type,$O839)="BL","Livraison",IF(INDEX(jr_type,$O839)="BR","Réception","Sortie")))</f>
        <v/>
      </c>
      <c r="C839" s="65" t="str">
        <f>IF($O839="","",INDEX(jr_date,$O839))</f>
        <v/>
      </c>
      <c r="D839" s="60" t="str">
        <f>IF($O839="","",INDEX(jr_tiers,$O839)&amp;"")</f>
        <v/>
      </c>
      <c r="E839" s="57" t="str">
        <f>IF($O839="","",INDEX(jr_name,$O839)&amp;"")</f>
        <v/>
      </c>
      <c r="F839" s="57" t="str">
        <f>IF($O839="","",INDEX(jr_order,$O839)&amp;"")</f>
        <v/>
      </c>
      <c r="G839" s="57" t="str">
        <f>IF($O839="","",INDEX(jr_ext,$O839)&amp;"")</f>
        <v/>
      </c>
      <c r="H839" s="57" t="str">
        <f>IF($O839="","",INDEX(jr_carrier,$O839)&amp;"")</f>
        <v/>
      </c>
      <c r="I839" s="66" t="str">
        <f>IF(A839="","",COUNTIF(jr_num,A839))</f>
        <v/>
      </c>
      <c r="J839" s="66" t="str">
        <f>IF(A839="","",SUMIF(jr_num,A839,jr_colis))</f>
        <v/>
      </c>
      <c r="K839" s="63" t="str">
        <f>IF(A839="","",SUMIF(jr_num,A839,jr_kg))</f>
        <v/>
      </c>
      <c r="L839" s="64" t="str">
        <f>IF(A839="","",SUMIF(jr_num,A839,jr_val))</f>
        <v/>
      </c>
      <c r="M839" s="60" t="str">
        <f>IF(A839="","",IF(COUNTIFS(jr_num,A839,jr_check,"&lt;&gt;OK")&gt;0,"À vérifier",IF(LEFT(A839,2)="BL",IF(COUNTIFS(jr_num,A839,jr_rel,"&gt;0")&gt;0,"Reliquat en cours",IF(COUNTIFS(jr_num,A839,jr_gap,"&lt;0")&gt;0,"Reliquat livré","Complet")),IF(LEFT(A839,2)="BR",IF(COUNTIFS(jr_num,A839,jr_etat,"Refusé")&gt;0,"Refusé",IF(COUNTIFS(jr_num,A839,jr_etat,"Avec réserves")&gt;0,"Avec réserves",IF(COUNTIFS(jr_num,A839,jr_rel,"&gt;0")&gt;0,"Reliquat en cours",IF(COUNTIFS(jr_num,A839,jr_gap,"&lt;0")+COUNTIFS(jr_num,A839,jr_gap,"&gt;0")&gt;0,"Écart","Conforme")))),IF(COUNTIFS(jr_num,A839,jr_gap,"&lt;0")&gt;0,"Partiel","Sorti")))))</f>
        <v/>
      </c>
      <c r="O839" t="str">
        <f>IFERROR(MATCH(834,jr_grank,0),"")</f>
        <v/>
      </c>
      <c r="R839" s="67" t="str">
        <f>IFERROR(INDEX(jr_num,MATCH("BL834",jr_nkey,0))&amp;"","")</f>
        <v/>
      </c>
      <c r="S839" s="67" t="str">
        <f>IFERROR(INDEX(jr_num,MATCH("BR834",jr_nkey,0))&amp;"","")</f>
        <v/>
      </c>
      <c r="T839" s="67" t="str">
        <f>IFERROR(INDEX(jr_num,MATCH("BS834",jr_nkey,0))&amp;"","")</f>
        <v/>
      </c>
    </row>
    <row r="840">
      <c r="A840" s="60" t="str">
        <f>IF($O840="","",INDEX(jr_num,$O840)&amp;"")</f>
        <v/>
      </c>
      <c r="B840" s="60" t="str">
        <f>IF($O840="","",IF(INDEX(jr_type,$O840)="BL","Livraison",IF(INDEX(jr_type,$O840)="BR","Réception","Sortie")))</f>
        <v/>
      </c>
      <c r="C840" s="65" t="str">
        <f>IF($O840="","",INDEX(jr_date,$O840))</f>
        <v/>
      </c>
      <c r="D840" s="60" t="str">
        <f>IF($O840="","",INDEX(jr_tiers,$O840)&amp;"")</f>
        <v/>
      </c>
      <c r="E840" s="57" t="str">
        <f>IF($O840="","",INDEX(jr_name,$O840)&amp;"")</f>
        <v/>
      </c>
      <c r="F840" s="57" t="str">
        <f>IF($O840="","",INDEX(jr_order,$O840)&amp;"")</f>
        <v/>
      </c>
      <c r="G840" s="57" t="str">
        <f>IF($O840="","",INDEX(jr_ext,$O840)&amp;"")</f>
        <v/>
      </c>
      <c r="H840" s="57" t="str">
        <f>IF($O840="","",INDEX(jr_carrier,$O840)&amp;"")</f>
        <v/>
      </c>
      <c r="I840" s="66" t="str">
        <f>IF(A840="","",COUNTIF(jr_num,A840))</f>
        <v/>
      </c>
      <c r="J840" s="66" t="str">
        <f>IF(A840="","",SUMIF(jr_num,A840,jr_colis))</f>
        <v/>
      </c>
      <c r="K840" s="63" t="str">
        <f>IF(A840="","",SUMIF(jr_num,A840,jr_kg))</f>
        <v/>
      </c>
      <c r="L840" s="64" t="str">
        <f>IF(A840="","",SUMIF(jr_num,A840,jr_val))</f>
        <v/>
      </c>
      <c r="M840" s="60" t="str">
        <f>IF(A840="","",IF(COUNTIFS(jr_num,A840,jr_check,"&lt;&gt;OK")&gt;0,"À vérifier",IF(LEFT(A840,2)="BL",IF(COUNTIFS(jr_num,A840,jr_rel,"&gt;0")&gt;0,"Reliquat en cours",IF(COUNTIFS(jr_num,A840,jr_gap,"&lt;0")&gt;0,"Reliquat livré","Complet")),IF(LEFT(A840,2)="BR",IF(COUNTIFS(jr_num,A840,jr_etat,"Refusé")&gt;0,"Refusé",IF(COUNTIFS(jr_num,A840,jr_etat,"Avec réserves")&gt;0,"Avec réserves",IF(COUNTIFS(jr_num,A840,jr_rel,"&gt;0")&gt;0,"Reliquat en cours",IF(COUNTIFS(jr_num,A840,jr_gap,"&lt;0")+COUNTIFS(jr_num,A840,jr_gap,"&gt;0")&gt;0,"Écart","Conforme")))),IF(COUNTIFS(jr_num,A840,jr_gap,"&lt;0")&gt;0,"Partiel","Sorti")))))</f>
        <v/>
      </c>
      <c r="O840" t="str">
        <f>IFERROR(MATCH(835,jr_grank,0),"")</f>
        <v/>
      </c>
      <c r="R840" s="67" t="str">
        <f>IFERROR(INDEX(jr_num,MATCH("BL835",jr_nkey,0))&amp;"","")</f>
        <v/>
      </c>
      <c r="S840" s="67" t="str">
        <f>IFERROR(INDEX(jr_num,MATCH("BR835",jr_nkey,0))&amp;"","")</f>
        <v/>
      </c>
      <c r="T840" s="67" t="str">
        <f>IFERROR(INDEX(jr_num,MATCH("BS835",jr_nkey,0))&amp;"","")</f>
        <v/>
      </c>
    </row>
    <row r="841">
      <c r="A841" s="60" t="str">
        <f>IF($O841="","",INDEX(jr_num,$O841)&amp;"")</f>
        <v/>
      </c>
      <c r="B841" s="60" t="str">
        <f>IF($O841="","",IF(INDEX(jr_type,$O841)="BL","Livraison",IF(INDEX(jr_type,$O841)="BR","Réception","Sortie")))</f>
        <v/>
      </c>
      <c r="C841" s="65" t="str">
        <f>IF($O841="","",INDEX(jr_date,$O841))</f>
        <v/>
      </c>
      <c r="D841" s="60" t="str">
        <f>IF($O841="","",INDEX(jr_tiers,$O841)&amp;"")</f>
        <v/>
      </c>
      <c r="E841" s="57" t="str">
        <f>IF($O841="","",INDEX(jr_name,$O841)&amp;"")</f>
        <v/>
      </c>
      <c r="F841" s="57" t="str">
        <f>IF($O841="","",INDEX(jr_order,$O841)&amp;"")</f>
        <v/>
      </c>
      <c r="G841" s="57" t="str">
        <f>IF($O841="","",INDEX(jr_ext,$O841)&amp;"")</f>
        <v/>
      </c>
      <c r="H841" s="57" t="str">
        <f>IF($O841="","",INDEX(jr_carrier,$O841)&amp;"")</f>
        <v/>
      </c>
      <c r="I841" s="66" t="str">
        <f>IF(A841="","",COUNTIF(jr_num,A841))</f>
        <v/>
      </c>
      <c r="J841" s="66" t="str">
        <f>IF(A841="","",SUMIF(jr_num,A841,jr_colis))</f>
        <v/>
      </c>
      <c r="K841" s="63" t="str">
        <f>IF(A841="","",SUMIF(jr_num,A841,jr_kg))</f>
        <v/>
      </c>
      <c r="L841" s="64" t="str">
        <f>IF(A841="","",SUMIF(jr_num,A841,jr_val))</f>
        <v/>
      </c>
      <c r="M841" s="60" t="str">
        <f>IF(A841="","",IF(COUNTIFS(jr_num,A841,jr_check,"&lt;&gt;OK")&gt;0,"À vérifier",IF(LEFT(A841,2)="BL",IF(COUNTIFS(jr_num,A841,jr_rel,"&gt;0")&gt;0,"Reliquat en cours",IF(COUNTIFS(jr_num,A841,jr_gap,"&lt;0")&gt;0,"Reliquat livré","Complet")),IF(LEFT(A841,2)="BR",IF(COUNTIFS(jr_num,A841,jr_etat,"Refusé")&gt;0,"Refusé",IF(COUNTIFS(jr_num,A841,jr_etat,"Avec réserves")&gt;0,"Avec réserves",IF(COUNTIFS(jr_num,A841,jr_rel,"&gt;0")&gt;0,"Reliquat en cours",IF(COUNTIFS(jr_num,A841,jr_gap,"&lt;0")+COUNTIFS(jr_num,A841,jr_gap,"&gt;0")&gt;0,"Écart","Conforme")))),IF(COUNTIFS(jr_num,A841,jr_gap,"&lt;0")&gt;0,"Partiel","Sorti")))))</f>
        <v/>
      </c>
      <c r="O841" t="str">
        <f>IFERROR(MATCH(836,jr_grank,0),"")</f>
        <v/>
      </c>
      <c r="R841" s="67" t="str">
        <f>IFERROR(INDEX(jr_num,MATCH("BL836",jr_nkey,0))&amp;"","")</f>
        <v/>
      </c>
      <c r="S841" s="67" t="str">
        <f>IFERROR(INDEX(jr_num,MATCH("BR836",jr_nkey,0))&amp;"","")</f>
        <v/>
      </c>
      <c r="T841" s="67" t="str">
        <f>IFERROR(INDEX(jr_num,MATCH("BS836",jr_nkey,0))&amp;"","")</f>
        <v/>
      </c>
    </row>
    <row r="842">
      <c r="A842" s="60" t="str">
        <f>IF($O842="","",INDEX(jr_num,$O842)&amp;"")</f>
        <v/>
      </c>
      <c r="B842" s="60" t="str">
        <f>IF($O842="","",IF(INDEX(jr_type,$O842)="BL","Livraison",IF(INDEX(jr_type,$O842)="BR","Réception","Sortie")))</f>
        <v/>
      </c>
      <c r="C842" s="65" t="str">
        <f>IF($O842="","",INDEX(jr_date,$O842))</f>
        <v/>
      </c>
      <c r="D842" s="60" t="str">
        <f>IF($O842="","",INDEX(jr_tiers,$O842)&amp;"")</f>
        <v/>
      </c>
      <c r="E842" s="57" t="str">
        <f>IF($O842="","",INDEX(jr_name,$O842)&amp;"")</f>
        <v/>
      </c>
      <c r="F842" s="57" t="str">
        <f>IF($O842="","",INDEX(jr_order,$O842)&amp;"")</f>
        <v/>
      </c>
      <c r="G842" s="57" t="str">
        <f>IF($O842="","",INDEX(jr_ext,$O842)&amp;"")</f>
        <v/>
      </c>
      <c r="H842" s="57" t="str">
        <f>IF($O842="","",INDEX(jr_carrier,$O842)&amp;"")</f>
        <v/>
      </c>
      <c r="I842" s="66" t="str">
        <f>IF(A842="","",COUNTIF(jr_num,A842))</f>
        <v/>
      </c>
      <c r="J842" s="66" t="str">
        <f>IF(A842="","",SUMIF(jr_num,A842,jr_colis))</f>
        <v/>
      </c>
      <c r="K842" s="63" t="str">
        <f>IF(A842="","",SUMIF(jr_num,A842,jr_kg))</f>
        <v/>
      </c>
      <c r="L842" s="64" t="str">
        <f>IF(A842="","",SUMIF(jr_num,A842,jr_val))</f>
        <v/>
      </c>
      <c r="M842" s="60" t="str">
        <f>IF(A842="","",IF(COUNTIFS(jr_num,A842,jr_check,"&lt;&gt;OK")&gt;0,"À vérifier",IF(LEFT(A842,2)="BL",IF(COUNTIFS(jr_num,A842,jr_rel,"&gt;0")&gt;0,"Reliquat en cours",IF(COUNTIFS(jr_num,A842,jr_gap,"&lt;0")&gt;0,"Reliquat livré","Complet")),IF(LEFT(A842,2)="BR",IF(COUNTIFS(jr_num,A842,jr_etat,"Refusé")&gt;0,"Refusé",IF(COUNTIFS(jr_num,A842,jr_etat,"Avec réserves")&gt;0,"Avec réserves",IF(COUNTIFS(jr_num,A842,jr_rel,"&gt;0")&gt;0,"Reliquat en cours",IF(COUNTIFS(jr_num,A842,jr_gap,"&lt;0")+COUNTIFS(jr_num,A842,jr_gap,"&gt;0")&gt;0,"Écart","Conforme")))),IF(COUNTIFS(jr_num,A842,jr_gap,"&lt;0")&gt;0,"Partiel","Sorti")))))</f>
        <v/>
      </c>
      <c r="O842" t="str">
        <f>IFERROR(MATCH(837,jr_grank,0),"")</f>
        <v/>
      </c>
      <c r="R842" s="67" t="str">
        <f>IFERROR(INDEX(jr_num,MATCH("BL837",jr_nkey,0))&amp;"","")</f>
        <v/>
      </c>
      <c r="S842" s="67" t="str">
        <f>IFERROR(INDEX(jr_num,MATCH("BR837",jr_nkey,0))&amp;"","")</f>
        <v/>
      </c>
      <c r="T842" s="67" t="str">
        <f>IFERROR(INDEX(jr_num,MATCH("BS837",jr_nkey,0))&amp;"","")</f>
        <v/>
      </c>
    </row>
    <row r="843">
      <c r="A843" s="60" t="str">
        <f>IF($O843="","",INDEX(jr_num,$O843)&amp;"")</f>
        <v/>
      </c>
      <c r="B843" s="60" t="str">
        <f>IF($O843="","",IF(INDEX(jr_type,$O843)="BL","Livraison",IF(INDEX(jr_type,$O843)="BR","Réception","Sortie")))</f>
        <v/>
      </c>
      <c r="C843" s="65" t="str">
        <f>IF($O843="","",INDEX(jr_date,$O843))</f>
        <v/>
      </c>
      <c r="D843" s="60" t="str">
        <f>IF($O843="","",INDEX(jr_tiers,$O843)&amp;"")</f>
        <v/>
      </c>
      <c r="E843" s="57" t="str">
        <f>IF($O843="","",INDEX(jr_name,$O843)&amp;"")</f>
        <v/>
      </c>
      <c r="F843" s="57" t="str">
        <f>IF($O843="","",INDEX(jr_order,$O843)&amp;"")</f>
        <v/>
      </c>
      <c r="G843" s="57" t="str">
        <f>IF($O843="","",INDEX(jr_ext,$O843)&amp;"")</f>
        <v/>
      </c>
      <c r="H843" s="57" t="str">
        <f>IF($O843="","",INDEX(jr_carrier,$O843)&amp;"")</f>
        <v/>
      </c>
      <c r="I843" s="66" t="str">
        <f>IF(A843="","",COUNTIF(jr_num,A843))</f>
        <v/>
      </c>
      <c r="J843" s="66" t="str">
        <f>IF(A843="","",SUMIF(jr_num,A843,jr_colis))</f>
        <v/>
      </c>
      <c r="K843" s="63" t="str">
        <f>IF(A843="","",SUMIF(jr_num,A843,jr_kg))</f>
        <v/>
      </c>
      <c r="L843" s="64" t="str">
        <f>IF(A843="","",SUMIF(jr_num,A843,jr_val))</f>
        <v/>
      </c>
      <c r="M843" s="60" t="str">
        <f>IF(A843="","",IF(COUNTIFS(jr_num,A843,jr_check,"&lt;&gt;OK")&gt;0,"À vérifier",IF(LEFT(A843,2)="BL",IF(COUNTIFS(jr_num,A843,jr_rel,"&gt;0")&gt;0,"Reliquat en cours",IF(COUNTIFS(jr_num,A843,jr_gap,"&lt;0")&gt;0,"Reliquat livré","Complet")),IF(LEFT(A843,2)="BR",IF(COUNTIFS(jr_num,A843,jr_etat,"Refusé")&gt;0,"Refusé",IF(COUNTIFS(jr_num,A843,jr_etat,"Avec réserves")&gt;0,"Avec réserves",IF(COUNTIFS(jr_num,A843,jr_rel,"&gt;0")&gt;0,"Reliquat en cours",IF(COUNTIFS(jr_num,A843,jr_gap,"&lt;0")+COUNTIFS(jr_num,A843,jr_gap,"&gt;0")&gt;0,"Écart","Conforme")))),IF(COUNTIFS(jr_num,A843,jr_gap,"&lt;0")&gt;0,"Partiel","Sorti")))))</f>
        <v/>
      </c>
      <c r="O843" t="str">
        <f>IFERROR(MATCH(838,jr_grank,0),"")</f>
        <v/>
      </c>
      <c r="R843" s="67" t="str">
        <f>IFERROR(INDEX(jr_num,MATCH("BL838",jr_nkey,0))&amp;"","")</f>
        <v/>
      </c>
      <c r="S843" s="67" t="str">
        <f>IFERROR(INDEX(jr_num,MATCH("BR838",jr_nkey,0))&amp;"","")</f>
        <v/>
      </c>
      <c r="T843" s="67" t="str">
        <f>IFERROR(INDEX(jr_num,MATCH("BS838",jr_nkey,0))&amp;"","")</f>
        <v/>
      </c>
    </row>
    <row r="844">
      <c r="A844" s="60" t="str">
        <f>IF($O844="","",INDEX(jr_num,$O844)&amp;"")</f>
        <v/>
      </c>
      <c r="B844" s="60" t="str">
        <f>IF($O844="","",IF(INDEX(jr_type,$O844)="BL","Livraison",IF(INDEX(jr_type,$O844)="BR","Réception","Sortie")))</f>
        <v/>
      </c>
      <c r="C844" s="65" t="str">
        <f>IF($O844="","",INDEX(jr_date,$O844))</f>
        <v/>
      </c>
      <c r="D844" s="60" t="str">
        <f>IF($O844="","",INDEX(jr_tiers,$O844)&amp;"")</f>
        <v/>
      </c>
      <c r="E844" s="57" t="str">
        <f>IF($O844="","",INDEX(jr_name,$O844)&amp;"")</f>
        <v/>
      </c>
      <c r="F844" s="57" t="str">
        <f>IF($O844="","",INDEX(jr_order,$O844)&amp;"")</f>
        <v/>
      </c>
      <c r="G844" s="57" t="str">
        <f>IF($O844="","",INDEX(jr_ext,$O844)&amp;"")</f>
        <v/>
      </c>
      <c r="H844" s="57" t="str">
        <f>IF($O844="","",INDEX(jr_carrier,$O844)&amp;"")</f>
        <v/>
      </c>
      <c r="I844" s="66" t="str">
        <f>IF(A844="","",COUNTIF(jr_num,A844))</f>
        <v/>
      </c>
      <c r="J844" s="66" t="str">
        <f>IF(A844="","",SUMIF(jr_num,A844,jr_colis))</f>
        <v/>
      </c>
      <c r="K844" s="63" t="str">
        <f>IF(A844="","",SUMIF(jr_num,A844,jr_kg))</f>
        <v/>
      </c>
      <c r="L844" s="64" t="str">
        <f>IF(A844="","",SUMIF(jr_num,A844,jr_val))</f>
        <v/>
      </c>
      <c r="M844" s="60" t="str">
        <f>IF(A844="","",IF(COUNTIFS(jr_num,A844,jr_check,"&lt;&gt;OK")&gt;0,"À vérifier",IF(LEFT(A844,2)="BL",IF(COUNTIFS(jr_num,A844,jr_rel,"&gt;0")&gt;0,"Reliquat en cours",IF(COUNTIFS(jr_num,A844,jr_gap,"&lt;0")&gt;0,"Reliquat livré","Complet")),IF(LEFT(A844,2)="BR",IF(COUNTIFS(jr_num,A844,jr_etat,"Refusé")&gt;0,"Refusé",IF(COUNTIFS(jr_num,A844,jr_etat,"Avec réserves")&gt;0,"Avec réserves",IF(COUNTIFS(jr_num,A844,jr_rel,"&gt;0")&gt;0,"Reliquat en cours",IF(COUNTIFS(jr_num,A844,jr_gap,"&lt;0")+COUNTIFS(jr_num,A844,jr_gap,"&gt;0")&gt;0,"Écart","Conforme")))),IF(COUNTIFS(jr_num,A844,jr_gap,"&lt;0")&gt;0,"Partiel","Sorti")))))</f>
        <v/>
      </c>
      <c r="O844" t="str">
        <f>IFERROR(MATCH(839,jr_grank,0),"")</f>
        <v/>
      </c>
      <c r="R844" s="67" t="str">
        <f>IFERROR(INDEX(jr_num,MATCH("BL839",jr_nkey,0))&amp;"","")</f>
        <v/>
      </c>
      <c r="S844" s="67" t="str">
        <f>IFERROR(INDEX(jr_num,MATCH("BR839",jr_nkey,0))&amp;"","")</f>
        <v/>
      </c>
      <c r="T844" s="67" t="str">
        <f>IFERROR(INDEX(jr_num,MATCH("BS839",jr_nkey,0))&amp;"","")</f>
        <v/>
      </c>
    </row>
    <row r="845">
      <c r="A845" s="60" t="str">
        <f>IF($O845="","",INDEX(jr_num,$O845)&amp;"")</f>
        <v/>
      </c>
      <c r="B845" s="60" t="str">
        <f>IF($O845="","",IF(INDEX(jr_type,$O845)="BL","Livraison",IF(INDEX(jr_type,$O845)="BR","Réception","Sortie")))</f>
        <v/>
      </c>
      <c r="C845" s="65" t="str">
        <f>IF($O845="","",INDEX(jr_date,$O845))</f>
        <v/>
      </c>
      <c r="D845" s="60" t="str">
        <f>IF($O845="","",INDEX(jr_tiers,$O845)&amp;"")</f>
        <v/>
      </c>
      <c r="E845" s="57" t="str">
        <f>IF($O845="","",INDEX(jr_name,$O845)&amp;"")</f>
        <v/>
      </c>
      <c r="F845" s="57" t="str">
        <f>IF($O845="","",INDEX(jr_order,$O845)&amp;"")</f>
        <v/>
      </c>
      <c r="G845" s="57" t="str">
        <f>IF($O845="","",INDEX(jr_ext,$O845)&amp;"")</f>
        <v/>
      </c>
      <c r="H845" s="57" t="str">
        <f>IF($O845="","",INDEX(jr_carrier,$O845)&amp;"")</f>
        <v/>
      </c>
      <c r="I845" s="66" t="str">
        <f>IF(A845="","",COUNTIF(jr_num,A845))</f>
        <v/>
      </c>
      <c r="J845" s="66" t="str">
        <f>IF(A845="","",SUMIF(jr_num,A845,jr_colis))</f>
        <v/>
      </c>
      <c r="K845" s="63" t="str">
        <f>IF(A845="","",SUMIF(jr_num,A845,jr_kg))</f>
        <v/>
      </c>
      <c r="L845" s="64" t="str">
        <f>IF(A845="","",SUMIF(jr_num,A845,jr_val))</f>
        <v/>
      </c>
      <c r="M845" s="60" t="str">
        <f>IF(A845="","",IF(COUNTIFS(jr_num,A845,jr_check,"&lt;&gt;OK")&gt;0,"À vérifier",IF(LEFT(A845,2)="BL",IF(COUNTIFS(jr_num,A845,jr_rel,"&gt;0")&gt;0,"Reliquat en cours",IF(COUNTIFS(jr_num,A845,jr_gap,"&lt;0")&gt;0,"Reliquat livré","Complet")),IF(LEFT(A845,2)="BR",IF(COUNTIFS(jr_num,A845,jr_etat,"Refusé")&gt;0,"Refusé",IF(COUNTIFS(jr_num,A845,jr_etat,"Avec réserves")&gt;0,"Avec réserves",IF(COUNTIFS(jr_num,A845,jr_rel,"&gt;0")&gt;0,"Reliquat en cours",IF(COUNTIFS(jr_num,A845,jr_gap,"&lt;0")+COUNTIFS(jr_num,A845,jr_gap,"&gt;0")&gt;0,"Écart","Conforme")))),IF(COUNTIFS(jr_num,A845,jr_gap,"&lt;0")&gt;0,"Partiel","Sorti")))))</f>
        <v/>
      </c>
      <c r="O845" t="str">
        <f>IFERROR(MATCH(840,jr_grank,0),"")</f>
        <v/>
      </c>
      <c r="R845" s="67" t="str">
        <f>IFERROR(INDEX(jr_num,MATCH("BL840",jr_nkey,0))&amp;"","")</f>
        <v/>
      </c>
      <c r="S845" s="67" t="str">
        <f>IFERROR(INDEX(jr_num,MATCH("BR840",jr_nkey,0))&amp;"","")</f>
        <v/>
      </c>
      <c r="T845" s="67" t="str">
        <f>IFERROR(INDEX(jr_num,MATCH("BS840",jr_nkey,0))&amp;"","")</f>
        <v/>
      </c>
    </row>
    <row r="846">
      <c r="A846" s="60" t="str">
        <f>IF($O846="","",INDEX(jr_num,$O846)&amp;"")</f>
        <v/>
      </c>
      <c r="B846" s="60" t="str">
        <f>IF($O846="","",IF(INDEX(jr_type,$O846)="BL","Livraison",IF(INDEX(jr_type,$O846)="BR","Réception","Sortie")))</f>
        <v/>
      </c>
      <c r="C846" s="65" t="str">
        <f>IF($O846="","",INDEX(jr_date,$O846))</f>
        <v/>
      </c>
      <c r="D846" s="60" t="str">
        <f>IF($O846="","",INDEX(jr_tiers,$O846)&amp;"")</f>
        <v/>
      </c>
      <c r="E846" s="57" t="str">
        <f>IF($O846="","",INDEX(jr_name,$O846)&amp;"")</f>
        <v/>
      </c>
      <c r="F846" s="57" t="str">
        <f>IF($O846="","",INDEX(jr_order,$O846)&amp;"")</f>
        <v/>
      </c>
      <c r="G846" s="57" t="str">
        <f>IF($O846="","",INDEX(jr_ext,$O846)&amp;"")</f>
        <v/>
      </c>
      <c r="H846" s="57" t="str">
        <f>IF($O846="","",INDEX(jr_carrier,$O846)&amp;"")</f>
        <v/>
      </c>
      <c r="I846" s="66" t="str">
        <f>IF(A846="","",COUNTIF(jr_num,A846))</f>
        <v/>
      </c>
      <c r="J846" s="66" t="str">
        <f>IF(A846="","",SUMIF(jr_num,A846,jr_colis))</f>
        <v/>
      </c>
      <c r="K846" s="63" t="str">
        <f>IF(A846="","",SUMIF(jr_num,A846,jr_kg))</f>
        <v/>
      </c>
      <c r="L846" s="64" t="str">
        <f>IF(A846="","",SUMIF(jr_num,A846,jr_val))</f>
        <v/>
      </c>
      <c r="M846" s="60" t="str">
        <f>IF(A846="","",IF(COUNTIFS(jr_num,A846,jr_check,"&lt;&gt;OK")&gt;0,"À vérifier",IF(LEFT(A846,2)="BL",IF(COUNTIFS(jr_num,A846,jr_rel,"&gt;0")&gt;0,"Reliquat en cours",IF(COUNTIFS(jr_num,A846,jr_gap,"&lt;0")&gt;0,"Reliquat livré","Complet")),IF(LEFT(A846,2)="BR",IF(COUNTIFS(jr_num,A846,jr_etat,"Refusé")&gt;0,"Refusé",IF(COUNTIFS(jr_num,A846,jr_etat,"Avec réserves")&gt;0,"Avec réserves",IF(COUNTIFS(jr_num,A846,jr_rel,"&gt;0")&gt;0,"Reliquat en cours",IF(COUNTIFS(jr_num,A846,jr_gap,"&lt;0")+COUNTIFS(jr_num,A846,jr_gap,"&gt;0")&gt;0,"Écart","Conforme")))),IF(COUNTIFS(jr_num,A846,jr_gap,"&lt;0")&gt;0,"Partiel","Sorti")))))</f>
        <v/>
      </c>
      <c r="O846" t="str">
        <f>IFERROR(MATCH(841,jr_grank,0),"")</f>
        <v/>
      </c>
      <c r="R846" s="67" t="str">
        <f>IFERROR(INDEX(jr_num,MATCH("BL841",jr_nkey,0))&amp;"","")</f>
        <v/>
      </c>
      <c r="S846" s="67" t="str">
        <f>IFERROR(INDEX(jr_num,MATCH("BR841",jr_nkey,0))&amp;"","")</f>
        <v/>
      </c>
      <c r="T846" s="67" t="str">
        <f>IFERROR(INDEX(jr_num,MATCH("BS841",jr_nkey,0))&amp;"","")</f>
        <v/>
      </c>
    </row>
    <row r="847">
      <c r="A847" s="60" t="str">
        <f>IF($O847="","",INDEX(jr_num,$O847)&amp;"")</f>
        <v/>
      </c>
      <c r="B847" s="60" t="str">
        <f>IF($O847="","",IF(INDEX(jr_type,$O847)="BL","Livraison",IF(INDEX(jr_type,$O847)="BR","Réception","Sortie")))</f>
        <v/>
      </c>
      <c r="C847" s="65" t="str">
        <f>IF($O847="","",INDEX(jr_date,$O847))</f>
        <v/>
      </c>
      <c r="D847" s="60" t="str">
        <f>IF($O847="","",INDEX(jr_tiers,$O847)&amp;"")</f>
        <v/>
      </c>
      <c r="E847" s="57" t="str">
        <f>IF($O847="","",INDEX(jr_name,$O847)&amp;"")</f>
        <v/>
      </c>
      <c r="F847" s="57" t="str">
        <f>IF($O847="","",INDEX(jr_order,$O847)&amp;"")</f>
        <v/>
      </c>
      <c r="G847" s="57" t="str">
        <f>IF($O847="","",INDEX(jr_ext,$O847)&amp;"")</f>
        <v/>
      </c>
      <c r="H847" s="57" t="str">
        <f>IF($O847="","",INDEX(jr_carrier,$O847)&amp;"")</f>
        <v/>
      </c>
      <c r="I847" s="66" t="str">
        <f>IF(A847="","",COUNTIF(jr_num,A847))</f>
        <v/>
      </c>
      <c r="J847" s="66" t="str">
        <f>IF(A847="","",SUMIF(jr_num,A847,jr_colis))</f>
        <v/>
      </c>
      <c r="K847" s="63" t="str">
        <f>IF(A847="","",SUMIF(jr_num,A847,jr_kg))</f>
        <v/>
      </c>
      <c r="L847" s="64" t="str">
        <f>IF(A847="","",SUMIF(jr_num,A847,jr_val))</f>
        <v/>
      </c>
      <c r="M847" s="60" t="str">
        <f>IF(A847="","",IF(COUNTIFS(jr_num,A847,jr_check,"&lt;&gt;OK")&gt;0,"À vérifier",IF(LEFT(A847,2)="BL",IF(COUNTIFS(jr_num,A847,jr_rel,"&gt;0")&gt;0,"Reliquat en cours",IF(COUNTIFS(jr_num,A847,jr_gap,"&lt;0")&gt;0,"Reliquat livré","Complet")),IF(LEFT(A847,2)="BR",IF(COUNTIFS(jr_num,A847,jr_etat,"Refusé")&gt;0,"Refusé",IF(COUNTIFS(jr_num,A847,jr_etat,"Avec réserves")&gt;0,"Avec réserves",IF(COUNTIFS(jr_num,A847,jr_rel,"&gt;0")&gt;0,"Reliquat en cours",IF(COUNTIFS(jr_num,A847,jr_gap,"&lt;0")+COUNTIFS(jr_num,A847,jr_gap,"&gt;0")&gt;0,"Écart","Conforme")))),IF(COUNTIFS(jr_num,A847,jr_gap,"&lt;0")&gt;0,"Partiel","Sorti")))))</f>
        <v/>
      </c>
      <c r="O847" t="str">
        <f>IFERROR(MATCH(842,jr_grank,0),"")</f>
        <v/>
      </c>
      <c r="R847" s="67" t="str">
        <f>IFERROR(INDEX(jr_num,MATCH("BL842",jr_nkey,0))&amp;"","")</f>
        <v/>
      </c>
      <c r="S847" s="67" t="str">
        <f>IFERROR(INDEX(jr_num,MATCH("BR842",jr_nkey,0))&amp;"","")</f>
        <v/>
      </c>
      <c r="T847" s="67" t="str">
        <f>IFERROR(INDEX(jr_num,MATCH("BS842",jr_nkey,0))&amp;"","")</f>
        <v/>
      </c>
    </row>
    <row r="848">
      <c r="A848" s="60" t="str">
        <f>IF($O848="","",INDEX(jr_num,$O848)&amp;"")</f>
        <v/>
      </c>
      <c r="B848" s="60" t="str">
        <f>IF($O848="","",IF(INDEX(jr_type,$O848)="BL","Livraison",IF(INDEX(jr_type,$O848)="BR","Réception","Sortie")))</f>
        <v/>
      </c>
      <c r="C848" s="65" t="str">
        <f>IF($O848="","",INDEX(jr_date,$O848))</f>
        <v/>
      </c>
      <c r="D848" s="60" t="str">
        <f>IF($O848="","",INDEX(jr_tiers,$O848)&amp;"")</f>
        <v/>
      </c>
      <c r="E848" s="57" t="str">
        <f>IF($O848="","",INDEX(jr_name,$O848)&amp;"")</f>
        <v/>
      </c>
      <c r="F848" s="57" t="str">
        <f>IF($O848="","",INDEX(jr_order,$O848)&amp;"")</f>
        <v/>
      </c>
      <c r="G848" s="57" t="str">
        <f>IF($O848="","",INDEX(jr_ext,$O848)&amp;"")</f>
        <v/>
      </c>
      <c r="H848" s="57" t="str">
        <f>IF($O848="","",INDEX(jr_carrier,$O848)&amp;"")</f>
        <v/>
      </c>
      <c r="I848" s="66" t="str">
        <f>IF(A848="","",COUNTIF(jr_num,A848))</f>
        <v/>
      </c>
      <c r="J848" s="66" t="str">
        <f>IF(A848="","",SUMIF(jr_num,A848,jr_colis))</f>
        <v/>
      </c>
      <c r="K848" s="63" t="str">
        <f>IF(A848="","",SUMIF(jr_num,A848,jr_kg))</f>
        <v/>
      </c>
      <c r="L848" s="64" t="str">
        <f>IF(A848="","",SUMIF(jr_num,A848,jr_val))</f>
        <v/>
      </c>
      <c r="M848" s="60" t="str">
        <f>IF(A848="","",IF(COUNTIFS(jr_num,A848,jr_check,"&lt;&gt;OK")&gt;0,"À vérifier",IF(LEFT(A848,2)="BL",IF(COUNTIFS(jr_num,A848,jr_rel,"&gt;0")&gt;0,"Reliquat en cours",IF(COUNTIFS(jr_num,A848,jr_gap,"&lt;0")&gt;0,"Reliquat livré","Complet")),IF(LEFT(A848,2)="BR",IF(COUNTIFS(jr_num,A848,jr_etat,"Refusé")&gt;0,"Refusé",IF(COUNTIFS(jr_num,A848,jr_etat,"Avec réserves")&gt;0,"Avec réserves",IF(COUNTIFS(jr_num,A848,jr_rel,"&gt;0")&gt;0,"Reliquat en cours",IF(COUNTIFS(jr_num,A848,jr_gap,"&lt;0")+COUNTIFS(jr_num,A848,jr_gap,"&gt;0")&gt;0,"Écart","Conforme")))),IF(COUNTIFS(jr_num,A848,jr_gap,"&lt;0")&gt;0,"Partiel","Sorti")))))</f>
        <v/>
      </c>
      <c r="O848" t="str">
        <f>IFERROR(MATCH(843,jr_grank,0),"")</f>
        <v/>
      </c>
      <c r="R848" s="67" t="str">
        <f>IFERROR(INDEX(jr_num,MATCH("BL843",jr_nkey,0))&amp;"","")</f>
        <v/>
      </c>
      <c r="S848" s="67" t="str">
        <f>IFERROR(INDEX(jr_num,MATCH("BR843",jr_nkey,0))&amp;"","")</f>
        <v/>
      </c>
      <c r="T848" s="67" t="str">
        <f>IFERROR(INDEX(jr_num,MATCH("BS843",jr_nkey,0))&amp;"","")</f>
        <v/>
      </c>
    </row>
    <row r="849">
      <c r="A849" s="60" t="str">
        <f>IF($O849="","",INDEX(jr_num,$O849)&amp;"")</f>
        <v/>
      </c>
      <c r="B849" s="60" t="str">
        <f>IF($O849="","",IF(INDEX(jr_type,$O849)="BL","Livraison",IF(INDEX(jr_type,$O849)="BR","Réception","Sortie")))</f>
        <v/>
      </c>
      <c r="C849" s="65" t="str">
        <f>IF($O849="","",INDEX(jr_date,$O849))</f>
        <v/>
      </c>
      <c r="D849" s="60" t="str">
        <f>IF($O849="","",INDEX(jr_tiers,$O849)&amp;"")</f>
        <v/>
      </c>
      <c r="E849" s="57" t="str">
        <f>IF($O849="","",INDEX(jr_name,$O849)&amp;"")</f>
        <v/>
      </c>
      <c r="F849" s="57" t="str">
        <f>IF($O849="","",INDEX(jr_order,$O849)&amp;"")</f>
        <v/>
      </c>
      <c r="G849" s="57" t="str">
        <f>IF($O849="","",INDEX(jr_ext,$O849)&amp;"")</f>
        <v/>
      </c>
      <c r="H849" s="57" t="str">
        <f>IF($O849="","",INDEX(jr_carrier,$O849)&amp;"")</f>
        <v/>
      </c>
      <c r="I849" s="66" t="str">
        <f>IF(A849="","",COUNTIF(jr_num,A849))</f>
        <v/>
      </c>
      <c r="J849" s="66" t="str">
        <f>IF(A849="","",SUMIF(jr_num,A849,jr_colis))</f>
        <v/>
      </c>
      <c r="K849" s="63" t="str">
        <f>IF(A849="","",SUMIF(jr_num,A849,jr_kg))</f>
        <v/>
      </c>
      <c r="L849" s="64" t="str">
        <f>IF(A849="","",SUMIF(jr_num,A849,jr_val))</f>
        <v/>
      </c>
      <c r="M849" s="60" t="str">
        <f>IF(A849="","",IF(COUNTIFS(jr_num,A849,jr_check,"&lt;&gt;OK")&gt;0,"À vérifier",IF(LEFT(A849,2)="BL",IF(COUNTIFS(jr_num,A849,jr_rel,"&gt;0")&gt;0,"Reliquat en cours",IF(COUNTIFS(jr_num,A849,jr_gap,"&lt;0")&gt;0,"Reliquat livré","Complet")),IF(LEFT(A849,2)="BR",IF(COUNTIFS(jr_num,A849,jr_etat,"Refusé")&gt;0,"Refusé",IF(COUNTIFS(jr_num,A849,jr_etat,"Avec réserves")&gt;0,"Avec réserves",IF(COUNTIFS(jr_num,A849,jr_rel,"&gt;0")&gt;0,"Reliquat en cours",IF(COUNTIFS(jr_num,A849,jr_gap,"&lt;0")+COUNTIFS(jr_num,A849,jr_gap,"&gt;0")&gt;0,"Écart","Conforme")))),IF(COUNTIFS(jr_num,A849,jr_gap,"&lt;0")&gt;0,"Partiel","Sorti")))))</f>
        <v/>
      </c>
      <c r="O849" t="str">
        <f>IFERROR(MATCH(844,jr_grank,0),"")</f>
        <v/>
      </c>
      <c r="R849" s="67" t="str">
        <f>IFERROR(INDEX(jr_num,MATCH("BL844",jr_nkey,0))&amp;"","")</f>
        <v/>
      </c>
      <c r="S849" s="67" t="str">
        <f>IFERROR(INDEX(jr_num,MATCH("BR844",jr_nkey,0))&amp;"","")</f>
        <v/>
      </c>
      <c r="T849" s="67" t="str">
        <f>IFERROR(INDEX(jr_num,MATCH("BS844",jr_nkey,0))&amp;"","")</f>
        <v/>
      </c>
    </row>
    <row r="850">
      <c r="A850" s="60" t="str">
        <f>IF($O850="","",INDEX(jr_num,$O850)&amp;"")</f>
        <v/>
      </c>
      <c r="B850" s="60" t="str">
        <f>IF($O850="","",IF(INDEX(jr_type,$O850)="BL","Livraison",IF(INDEX(jr_type,$O850)="BR","Réception","Sortie")))</f>
        <v/>
      </c>
      <c r="C850" s="65" t="str">
        <f>IF($O850="","",INDEX(jr_date,$O850))</f>
        <v/>
      </c>
      <c r="D850" s="60" t="str">
        <f>IF($O850="","",INDEX(jr_tiers,$O850)&amp;"")</f>
        <v/>
      </c>
      <c r="E850" s="57" t="str">
        <f>IF($O850="","",INDEX(jr_name,$O850)&amp;"")</f>
        <v/>
      </c>
      <c r="F850" s="57" t="str">
        <f>IF($O850="","",INDEX(jr_order,$O850)&amp;"")</f>
        <v/>
      </c>
      <c r="G850" s="57" t="str">
        <f>IF($O850="","",INDEX(jr_ext,$O850)&amp;"")</f>
        <v/>
      </c>
      <c r="H850" s="57" t="str">
        <f>IF($O850="","",INDEX(jr_carrier,$O850)&amp;"")</f>
        <v/>
      </c>
      <c r="I850" s="66" t="str">
        <f>IF(A850="","",COUNTIF(jr_num,A850))</f>
        <v/>
      </c>
      <c r="J850" s="66" t="str">
        <f>IF(A850="","",SUMIF(jr_num,A850,jr_colis))</f>
        <v/>
      </c>
      <c r="K850" s="63" t="str">
        <f>IF(A850="","",SUMIF(jr_num,A850,jr_kg))</f>
        <v/>
      </c>
      <c r="L850" s="64" t="str">
        <f>IF(A850="","",SUMIF(jr_num,A850,jr_val))</f>
        <v/>
      </c>
      <c r="M850" s="60" t="str">
        <f>IF(A850="","",IF(COUNTIFS(jr_num,A850,jr_check,"&lt;&gt;OK")&gt;0,"À vérifier",IF(LEFT(A850,2)="BL",IF(COUNTIFS(jr_num,A850,jr_rel,"&gt;0")&gt;0,"Reliquat en cours",IF(COUNTIFS(jr_num,A850,jr_gap,"&lt;0")&gt;0,"Reliquat livré","Complet")),IF(LEFT(A850,2)="BR",IF(COUNTIFS(jr_num,A850,jr_etat,"Refusé")&gt;0,"Refusé",IF(COUNTIFS(jr_num,A850,jr_etat,"Avec réserves")&gt;0,"Avec réserves",IF(COUNTIFS(jr_num,A850,jr_rel,"&gt;0")&gt;0,"Reliquat en cours",IF(COUNTIFS(jr_num,A850,jr_gap,"&lt;0")+COUNTIFS(jr_num,A850,jr_gap,"&gt;0")&gt;0,"Écart","Conforme")))),IF(COUNTIFS(jr_num,A850,jr_gap,"&lt;0")&gt;0,"Partiel","Sorti")))))</f>
        <v/>
      </c>
      <c r="O850" t="str">
        <f>IFERROR(MATCH(845,jr_grank,0),"")</f>
        <v/>
      </c>
      <c r="R850" s="67" t="str">
        <f>IFERROR(INDEX(jr_num,MATCH("BL845",jr_nkey,0))&amp;"","")</f>
        <v/>
      </c>
      <c r="S850" s="67" t="str">
        <f>IFERROR(INDEX(jr_num,MATCH("BR845",jr_nkey,0))&amp;"","")</f>
        <v/>
      </c>
      <c r="T850" s="67" t="str">
        <f>IFERROR(INDEX(jr_num,MATCH("BS845",jr_nkey,0))&amp;"","")</f>
        <v/>
      </c>
    </row>
    <row r="851">
      <c r="A851" s="60" t="str">
        <f>IF($O851="","",INDEX(jr_num,$O851)&amp;"")</f>
        <v/>
      </c>
      <c r="B851" s="60" t="str">
        <f>IF($O851="","",IF(INDEX(jr_type,$O851)="BL","Livraison",IF(INDEX(jr_type,$O851)="BR","Réception","Sortie")))</f>
        <v/>
      </c>
      <c r="C851" s="65" t="str">
        <f>IF($O851="","",INDEX(jr_date,$O851))</f>
        <v/>
      </c>
      <c r="D851" s="60" t="str">
        <f>IF($O851="","",INDEX(jr_tiers,$O851)&amp;"")</f>
        <v/>
      </c>
      <c r="E851" s="57" t="str">
        <f>IF($O851="","",INDEX(jr_name,$O851)&amp;"")</f>
        <v/>
      </c>
      <c r="F851" s="57" t="str">
        <f>IF($O851="","",INDEX(jr_order,$O851)&amp;"")</f>
        <v/>
      </c>
      <c r="G851" s="57" t="str">
        <f>IF($O851="","",INDEX(jr_ext,$O851)&amp;"")</f>
        <v/>
      </c>
      <c r="H851" s="57" t="str">
        <f>IF($O851="","",INDEX(jr_carrier,$O851)&amp;"")</f>
        <v/>
      </c>
      <c r="I851" s="66" t="str">
        <f>IF(A851="","",COUNTIF(jr_num,A851))</f>
        <v/>
      </c>
      <c r="J851" s="66" t="str">
        <f>IF(A851="","",SUMIF(jr_num,A851,jr_colis))</f>
        <v/>
      </c>
      <c r="K851" s="63" t="str">
        <f>IF(A851="","",SUMIF(jr_num,A851,jr_kg))</f>
        <v/>
      </c>
      <c r="L851" s="64" t="str">
        <f>IF(A851="","",SUMIF(jr_num,A851,jr_val))</f>
        <v/>
      </c>
      <c r="M851" s="60" t="str">
        <f>IF(A851="","",IF(COUNTIFS(jr_num,A851,jr_check,"&lt;&gt;OK")&gt;0,"À vérifier",IF(LEFT(A851,2)="BL",IF(COUNTIFS(jr_num,A851,jr_rel,"&gt;0")&gt;0,"Reliquat en cours",IF(COUNTIFS(jr_num,A851,jr_gap,"&lt;0")&gt;0,"Reliquat livré","Complet")),IF(LEFT(A851,2)="BR",IF(COUNTIFS(jr_num,A851,jr_etat,"Refusé")&gt;0,"Refusé",IF(COUNTIFS(jr_num,A851,jr_etat,"Avec réserves")&gt;0,"Avec réserves",IF(COUNTIFS(jr_num,A851,jr_rel,"&gt;0")&gt;0,"Reliquat en cours",IF(COUNTIFS(jr_num,A851,jr_gap,"&lt;0")+COUNTIFS(jr_num,A851,jr_gap,"&gt;0")&gt;0,"Écart","Conforme")))),IF(COUNTIFS(jr_num,A851,jr_gap,"&lt;0")&gt;0,"Partiel","Sorti")))))</f>
        <v/>
      </c>
      <c r="O851" t="str">
        <f>IFERROR(MATCH(846,jr_grank,0),"")</f>
        <v/>
      </c>
      <c r="R851" s="67" t="str">
        <f>IFERROR(INDEX(jr_num,MATCH("BL846",jr_nkey,0))&amp;"","")</f>
        <v/>
      </c>
      <c r="S851" s="67" t="str">
        <f>IFERROR(INDEX(jr_num,MATCH("BR846",jr_nkey,0))&amp;"","")</f>
        <v/>
      </c>
      <c r="T851" s="67" t="str">
        <f>IFERROR(INDEX(jr_num,MATCH("BS846",jr_nkey,0))&amp;"","")</f>
        <v/>
      </c>
    </row>
    <row r="852">
      <c r="A852" s="60" t="str">
        <f>IF($O852="","",INDEX(jr_num,$O852)&amp;"")</f>
        <v/>
      </c>
      <c r="B852" s="60" t="str">
        <f>IF($O852="","",IF(INDEX(jr_type,$O852)="BL","Livraison",IF(INDEX(jr_type,$O852)="BR","Réception","Sortie")))</f>
        <v/>
      </c>
      <c r="C852" s="65" t="str">
        <f>IF($O852="","",INDEX(jr_date,$O852))</f>
        <v/>
      </c>
      <c r="D852" s="60" t="str">
        <f>IF($O852="","",INDEX(jr_tiers,$O852)&amp;"")</f>
        <v/>
      </c>
      <c r="E852" s="57" t="str">
        <f>IF($O852="","",INDEX(jr_name,$O852)&amp;"")</f>
        <v/>
      </c>
      <c r="F852" s="57" t="str">
        <f>IF($O852="","",INDEX(jr_order,$O852)&amp;"")</f>
        <v/>
      </c>
      <c r="G852" s="57" t="str">
        <f>IF($O852="","",INDEX(jr_ext,$O852)&amp;"")</f>
        <v/>
      </c>
      <c r="H852" s="57" t="str">
        <f>IF($O852="","",INDEX(jr_carrier,$O852)&amp;"")</f>
        <v/>
      </c>
      <c r="I852" s="66" t="str">
        <f>IF(A852="","",COUNTIF(jr_num,A852))</f>
        <v/>
      </c>
      <c r="J852" s="66" t="str">
        <f>IF(A852="","",SUMIF(jr_num,A852,jr_colis))</f>
        <v/>
      </c>
      <c r="K852" s="63" t="str">
        <f>IF(A852="","",SUMIF(jr_num,A852,jr_kg))</f>
        <v/>
      </c>
      <c r="L852" s="64" t="str">
        <f>IF(A852="","",SUMIF(jr_num,A852,jr_val))</f>
        <v/>
      </c>
      <c r="M852" s="60" t="str">
        <f>IF(A852="","",IF(COUNTIFS(jr_num,A852,jr_check,"&lt;&gt;OK")&gt;0,"À vérifier",IF(LEFT(A852,2)="BL",IF(COUNTIFS(jr_num,A852,jr_rel,"&gt;0")&gt;0,"Reliquat en cours",IF(COUNTIFS(jr_num,A852,jr_gap,"&lt;0")&gt;0,"Reliquat livré","Complet")),IF(LEFT(A852,2)="BR",IF(COUNTIFS(jr_num,A852,jr_etat,"Refusé")&gt;0,"Refusé",IF(COUNTIFS(jr_num,A852,jr_etat,"Avec réserves")&gt;0,"Avec réserves",IF(COUNTIFS(jr_num,A852,jr_rel,"&gt;0")&gt;0,"Reliquat en cours",IF(COUNTIFS(jr_num,A852,jr_gap,"&lt;0")+COUNTIFS(jr_num,A852,jr_gap,"&gt;0")&gt;0,"Écart","Conforme")))),IF(COUNTIFS(jr_num,A852,jr_gap,"&lt;0")&gt;0,"Partiel","Sorti")))))</f>
        <v/>
      </c>
      <c r="O852" t="str">
        <f>IFERROR(MATCH(847,jr_grank,0),"")</f>
        <v/>
      </c>
      <c r="R852" s="67" t="str">
        <f>IFERROR(INDEX(jr_num,MATCH("BL847",jr_nkey,0))&amp;"","")</f>
        <v/>
      </c>
      <c r="S852" s="67" t="str">
        <f>IFERROR(INDEX(jr_num,MATCH("BR847",jr_nkey,0))&amp;"","")</f>
        <v/>
      </c>
      <c r="T852" s="67" t="str">
        <f>IFERROR(INDEX(jr_num,MATCH("BS847",jr_nkey,0))&amp;"","")</f>
        <v/>
      </c>
    </row>
    <row r="853">
      <c r="A853" s="60" t="str">
        <f>IF($O853="","",INDEX(jr_num,$O853)&amp;"")</f>
        <v/>
      </c>
      <c r="B853" s="60" t="str">
        <f>IF($O853="","",IF(INDEX(jr_type,$O853)="BL","Livraison",IF(INDEX(jr_type,$O853)="BR","Réception","Sortie")))</f>
        <v/>
      </c>
      <c r="C853" s="65" t="str">
        <f>IF($O853="","",INDEX(jr_date,$O853))</f>
        <v/>
      </c>
      <c r="D853" s="60" t="str">
        <f>IF($O853="","",INDEX(jr_tiers,$O853)&amp;"")</f>
        <v/>
      </c>
      <c r="E853" s="57" t="str">
        <f>IF($O853="","",INDEX(jr_name,$O853)&amp;"")</f>
        <v/>
      </c>
      <c r="F853" s="57" t="str">
        <f>IF($O853="","",INDEX(jr_order,$O853)&amp;"")</f>
        <v/>
      </c>
      <c r="G853" s="57" t="str">
        <f>IF($O853="","",INDEX(jr_ext,$O853)&amp;"")</f>
        <v/>
      </c>
      <c r="H853" s="57" t="str">
        <f>IF($O853="","",INDEX(jr_carrier,$O853)&amp;"")</f>
        <v/>
      </c>
      <c r="I853" s="66" t="str">
        <f>IF(A853="","",COUNTIF(jr_num,A853))</f>
        <v/>
      </c>
      <c r="J853" s="66" t="str">
        <f>IF(A853="","",SUMIF(jr_num,A853,jr_colis))</f>
        <v/>
      </c>
      <c r="K853" s="63" t="str">
        <f>IF(A853="","",SUMIF(jr_num,A853,jr_kg))</f>
        <v/>
      </c>
      <c r="L853" s="64" t="str">
        <f>IF(A853="","",SUMIF(jr_num,A853,jr_val))</f>
        <v/>
      </c>
      <c r="M853" s="60" t="str">
        <f>IF(A853="","",IF(COUNTIFS(jr_num,A853,jr_check,"&lt;&gt;OK")&gt;0,"À vérifier",IF(LEFT(A853,2)="BL",IF(COUNTIFS(jr_num,A853,jr_rel,"&gt;0")&gt;0,"Reliquat en cours",IF(COUNTIFS(jr_num,A853,jr_gap,"&lt;0")&gt;0,"Reliquat livré","Complet")),IF(LEFT(A853,2)="BR",IF(COUNTIFS(jr_num,A853,jr_etat,"Refusé")&gt;0,"Refusé",IF(COUNTIFS(jr_num,A853,jr_etat,"Avec réserves")&gt;0,"Avec réserves",IF(COUNTIFS(jr_num,A853,jr_rel,"&gt;0")&gt;0,"Reliquat en cours",IF(COUNTIFS(jr_num,A853,jr_gap,"&lt;0")+COUNTIFS(jr_num,A853,jr_gap,"&gt;0")&gt;0,"Écart","Conforme")))),IF(COUNTIFS(jr_num,A853,jr_gap,"&lt;0")&gt;0,"Partiel","Sorti")))))</f>
        <v/>
      </c>
      <c r="O853" t="str">
        <f>IFERROR(MATCH(848,jr_grank,0),"")</f>
        <v/>
      </c>
      <c r="R853" s="67" t="str">
        <f>IFERROR(INDEX(jr_num,MATCH("BL848",jr_nkey,0))&amp;"","")</f>
        <v/>
      </c>
      <c r="S853" s="67" t="str">
        <f>IFERROR(INDEX(jr_num,MATCH("BR848",jr_nkey,0))&amp;"","")</f>
        <v/>
      </c>
      <c r="T853" s="67" t="str">
        <f>IFERROR(INDEX(jr_num,MATCH("BS848",jr_nkey,0))&amp;"","")</f>
        <v/>
      </c>
    </row>
    <row r="854">
      <c r="A854" s="60" t="str">
        <f>IF($O854="","",INDEX(jr_num,$O854)&amp;"")</f>
        <v/>
      </c>
      <c r="B854" s="60" t="str">
        <f>IF($O854="","",IF(INDEX(jr_type,$O854)="BL","Livraison",IF(INDEX(jr_type,$O854)="BR","Réception","Sortie")))</f>
        <v/>
      </c>
      <c r="C854" s="65" t="str">
        <f>IF($O854="","",INDEX(jr_date,$O854))</f>
        <v/>
      </c>
      <c r="D854" s="60" t="str">
        <f>IF($O854="","",INDEX(jr_tiers,$O854)&amp;"")</f>
        <v/>
      </c>
      <c r="E854" s="57" t="str">
        <f>IF($O854="","",INDEX(jr_name,$O854)&amp;"")</f>
        <v/>
      </c>
      <c r="F854" s="57" t="str">
        <f>IF($O854="","",INDEX(jr_order,$O854)&amp;"")</f>
        <v/>
      </c>
      <c r="G854" s="57" t="str">
        <f>IF($O854="","",INDEX(jr_ext,$O854)&amp;"")</f>
        <v/>
      </c>
      <c r="H854" s="57" t="str">
        <f>IF($O854="","",INDEX(jr_carrier,$O854)&amp;"")</f>
        <v/>
      </c>
      <c r="I854" s="66" t="str">
        <f>IF(A854="","",COUNTIF(jr_num,A854))</f>
        <v/>
      </c>
      <c r="J854" s="66" t="str">
        <f>IF(A854="","",SUMIF(jr_num,A854,jr_colis))</f>
        <v/>
      </c>
      <c r="K854" s="63" t="str">
        <f>IF(A854="","",SUMIF(jr_num,A854,jr_kg))</f>
        <v/>
      </c>
      <c r="L854" s="64" t="str">
        <f>IF(A854="","",SUMIF(jr_num,A854,jr_val))</f>
        <v/>
      </c>
      <c r="M854" s="60" t="str">
        <f>IF(A854="","",IF(COUNTIFS(jr_num,A854,jr_check,"&lt;&gt;OK")&gt;0,"À vérifier",IF(LEFT(A854,2)="BL",IF(COUNTIFS(jr_num,A854,jr_rel,"&gt;0")&gt;0,"Reliquat en cours",IF(COUNTIFS(jr_num,A854,jr_gap,"&lt;0")&gt;0,"Reliquat livré","Complet")),IF(LEFT(A854,2)="BR",IF(COUNTIFS(jr_num,A854,jr_etat,"Refusé")&gt;0,"Refusé",IF(COUNTIFS(jr_num,A854,jr_etat,"Avec réserves")&gt;0,"Avec réserves",IF(COUNTIFS(jr_num,A854,jr_rel,"&gt;0")&gt;0,"Reliquat en cours",IF(COUNTIFS(jr_num,A854,jr_gap,"&lt;0")+COUNTIFS(jr_num,A854,jr_gap,"&gt;0")&gt;0,"Écart","Conforme")))),IF(COUNTIFS(jr_num,A854,jr_gap,"&lt;0")&gt;0,"Partiel","Sorti")))))</f>
        <v/>
      </c>
      <c r="O854" t="str">
        <f>IFERROR(MATCH(849,jr_grank,0),"")</f>
        <v/>
      </c>
      <c r="R854" s="67" t="str">
        <f>IFERROR(INDEX(jr_num,MATCH("BL849",jr_nkey,0))&amp;"","")</f>
        <v/>
      </c>
      <c r="S854" s="67" t="str">
        <f>IFERROR(INDEX(jr_num,MATCH("BR849",jr_nkey,0))&amp;"","")</f>
        <v/>
      </c>
      <c r="T854" s="67" t="str">
        <f>IFERROR(INDEX(jr_num,MATCH("BS849",jr_nkey,0))&amp;"","")</f>
        <v/>
      </c>
    </row>
    <row r="855">
      <c r="A855" s="60" t="str">
        <f>IF($O855="","",INDEX(jr_num,$O855)&amp;"")</f>
        <v/>
      </c>
      <c r="B855" s="60" t="str">
        <f>IF($O855="","",IF(INDEX(jr_type,$O855)="BL","Livraison",IF(INDEX(jr_type,$O855)="BR","Réception","Sortie")))</f>
        <v/>
      </c>
      <c r="C855" s="65" t="str">
        <f>IF($O855="","",INDEX(jr_date,$O855))</f>
        <v/>
      </c>
      <c r="D855" s="60" t="str">
        <f>IF($O855="","",INDEX(jr_tiers,$O855)&amp;"")</f>
        <v/>
      </c>
      <c r="E855" s="57" t="str">
        <f>IF($O855="","",INDEX(jr_name,$O855)&amp;"")</f>
        <v/>
      </c>
      <c r="F855" s="57" t="str">
        <f>IF($O855="","",INDEX(jr_order,$O855)&amp;"")</f>
        <v/>
      </c>
      <c r="G855" s="57" t="str">
        <f>IF($O855="","",INDEX(jr_ext,$O855)&amp;"")</f>
        <v/>
      </c>
      <c r="H855" s="57" t="str">
        <f>IF($O855="","",INDEX(jr_carrier,$O855)&amp;"")</f>
        <v/>
      </c>
      <c r="I855" s="66" t="str">
        <f>IF(A855="","",COUNTIF(jr_num,A855))</f>
        <v/>
      </c>
      <c r="J855" s="66" t="str">
        <f>IF(A855="","",SUMIF(jr_num,A855,jr_colis))</f>
        <v/>
      </c>
      <c r="K855" s="63" t="str">
        <f>IF(A855="","",SUMIF(jr_num,A855,jr_kg))</f>
        <v/>
      </c>
      <c r="L855" s="64" t="str">
        <f>IF(A855="","",SUMIF(jr_num,A855,jr_val))</f>
        <v/>
      </c>
      <c r="M855" s="60" t="str">
        <f>IF(A855="","",IF(COUNTIFS(jr_num,A855,jr_check,"&lt;&gt;OK")&gt;0,"À vérifier",IF(LEFT(A855,2)="BL",IF(COUNTIFS(jr_num,A855,jr_rel,"&gt;0")&gt;0,"Reliquat en cours",IF(COUNTIFS(jr_num,A855,jr_gap,"&lt;0")&gt;0,"Reliquat livré","Complet")),IF(LEFT(A855,2)="BR",IF(COUNTIFS(jr_num,A855,jr_etat,"Refusé")&gt;0,"Refusé",IF(COUNTIFS(jr_num,A855,jr_etat,"Avec réserves")&gt;0,"Avec réserves",IF(COUNTIFS(jr_num,A855,jr_rel,"&gt;0")&gt;0,"Reliquat en cours",IF(COUNTIFS(jr_num,A855,jr_gap,"&lt;0")+COUNTIFS(jr_num,A855,jr_gap,"&gt;0")&gt;0,"Écart","Conforme")))),IF(COUNTIFS(jr_num,A855,jr_gap,"&lt;0")&gt;0,"Partiel","Sorti")))))</f>
        <v/>
      </c>
      <c r="O855" t="str">
        <f>IFERROR(MATCH(850,jr_grank,0),"")</f>
        <v/>
      </c>
      <c r="R855" s="67" t="str">
        <f>IFERROR(INDEX(jr_num,MATCH("BL850",jr_nkey,0))&amp;"","")</f>
        <v/>
      </c>
      <c r="S855" s="67" t="str">
        <f>IFERROR(INDEX(jr_num,MATCH("BR850",jr_nkey,0))&amp;"","")</f>
        <v/>
      </c>
      <c r="T855" s="67" t="str">
        <f>IFERROR(INDEX(jr_num,MATCH("BS850",jr_nkey,0))&amp;"","")</f>
        <v/>
      </c>
    </row>
    <row r="856">
      <c r="A856" s="60" t="str">
        <f>IF($O856="","",INDEX(jr_num,$O856)&amp;"")</f>
        <v/>
      </c>
      <c r="B856" s="60" t="str">
        <f>IF($O856="","",IF(INDEX(jr_type,$O856)="BL","Livraison",IF(INDEX(jr_type,$O856)="BR","Réception","Sortie")))</f>
        <v/>
      </c>
      <c r="C856" s="65" t="str">
        <f>IF($O856="","",INDEX(jr_date,$O856))</f>
        <v/>
      </c>
      <c r="D856" s="60" t="str">
        <f>IF($O856="","",INDEX(jr_tiers,$O856)&amp;"")</f>
        <v/>
      </c>
      <c r="E856" s="57" t="str">
        <f>IF($O856="","",INDEX(jr_name,$O856)&amp;"")</f>
        <v/>
      </c>
      <c r="F856" s="57" t="str">
        <f>IF($O856="","",INDEX(jr_order,$O856)&amp;"")</f>
        <v/>
      </c>
      <c r="G856" s="57" t="str">
        <f>IF($O856="","",INDEX(jr_ext,$O856)&amp;"")</f>
        <v/>
      </c>
      <c r="H856" s="57" t="str">
        <f>IF($O856="","",INDEX(jr_carrier,$O856)&amp;"")</f>
        <v/>
      </c>
      <c r="I856" s="66" t="str">
        <f>IF(A856="","",COUNTIF(jr_num,A856))</f>
        <v/>
      </c>
      <c r="J856" s="66" t="str">
        <f>IF(A856="","",SUMIF(jr_num,A856,jr_colis))</f>
        <v/>
      </c>
      <c r="K856" s="63" t="str">
        <f>IF(A856="","",SUMIF(jr_num,A856,jr_kg))</f>
        <v/>
      </c>
      <c r="L856" s="64" t="str">
        <f>IF(A856="","",SUMIF(jr_num,A856,jr_val))</f>
        <v/>
      </c>
      <c r="M856" s="60" t="str">
        <f>IF(A856="","",IF(COUNTIFS(jr_num,A856,jr_check,"&lt;&gt;OK")&gt;0,"À vérifier",IF(LEFT(A856,2)="BL",IF(COUNTIFS(jr_num,A856,jr_rel,"&gt;0")&gt;0,"Reliquat en cours",IF(COUNTIFS(jr_num,A856,jr_gap,"&lt;0")&gt;0,"Reliquat livré","Complet")),IF(LEFT(A856,2)="BR",IF(COUNTIFS(jr_num,A856,jr_etat,"Refusé")&gt;0,"Refusé",IF(COUNTIFS(jr_num,A856,jr_etat,"Avec réserves")&gt;0,"Avec réserves",IF(COUNTIFS(jr_num,A856,jr_rel,"&gt;0")&gt;0,"Reliquat en cours",IF(COUNTIFS(jr_num,A856,jr_gap,"&lt;0")+COUNTIFS(jr_num,A856,jr_gap,"&gt;0")&gt;0,"Écart","Conforme")))),IF(COUNTIFS(jr_num,A856,jr_gap,"&lt;0")&gt;0,"Partiel","Sorti")))))</f>
        <v/>
      </c>
      <c r="O856" t="str">
        <f>IFERROR(MATCH(851,jr_grank,0),"")</f>
        <v/>
      </c>
      <c r="R856" s="67" t="str">
        <f>IFERROR(INDEX(jr_num,MATCH("BL851",jr_nkey,0))&amp;"","")</f>
        <v/>
      </c>
      <c r="S856" s="67" t="str">
        <f>IFERROR(INDEX(jr_num,MATCH("BR851",jr_nkey,0))&amp;"","")</f>
        <v/>
      </c>
      <c r="T856" s="67" t="str">
        <f>IFERROR(INDEX(jr_num,MATCH("BS851",jr_nkey,0))&amp;"","")</f>
        <v/>
      </c>
    </row>
    <row r="857">
      <c r="A857" s="60" t="str">
        <f>IF($O857="","",INDEX(jr_num,$O857)&amp;"")</f>
        <v/>
      </c>
      <c r="B857" s="60" t="str">
        <f>IF($O857="","",IF(INDEX(jr_type,$O857)="BL","Livraison",IF(INDEX(jr_type,$O857)="BR","Réception","Sortie")))</f>
        <v/>
      </c>
      <c r="C857" s="65" t="str">
        <f>IF($O857="","",INDEX(jr_date,$O857))</f>
        <v/>
      </c>
      <c r="D857" s="60" t="str">
        <f>IF($O857="","",INDEX(jr_tiers,$O857)&amp;"")</f>
        <v/>
      </c>
      <c r="E857" s="57" t="str">
        <f>IF($O857="","",INDEX(jr_name,$O857)&amp;"")</f>
        <v/>
      </c>
      <c r="F857" s="57" t="str">
        <f>IF($O857="","",INDEX(jr_order,$O857)&amp;"")</f>
        <v/>
      </c>
      <c r="G857" s="57" t="str">
        <f>IF($O857="","",INDEX(jr_ext,$O857)&amp;"")</f>
        <v/>
      </c>
      <c r="H857" s="57" t="str">
        <f>IF($O857="","",INDEX(jr_carrier,$O857)&amp;"")</f>
        <v/>
      </c>
      <c r="I857" s="66" t="str">
        <f>IF(A857="","",COUNTIF(jr_num,A857))</f>
        <v/>
      </c>
      <c r="J857" s="66" t="str">
        <f>IF(A857="","",SUMIF(jr_num,A857,jr_colis))</f>
        <v/>
      </c>
      <c r="K857" s="63" t="str">
        <f>IF(A857="","",SUMIF(jr_num,A857,jr_kg))</f>
        <v/>
      </c>
      <c r="L857" s="64" t="str">
        <f>IF(A857="","",SUMIF(jr_num,A857,jr_val))</f>
        <v/>
      </c>
      <c r="M857" s="60" t="str">
        <f>IF(A857="","",IF(COUNTIFS(jr_num,A857,jr_check,"&lt;&gt;OK")&gt;0,"À vérifier",IF(LEFT(A857,2)="BL",IF(COUNTIFS(jr_num,A857,jr_rel,"&gt;0")&gt;0,"Reliquat en cours",IF(COUNTIFS(jr_num,A857,jr_gap,"&lt;0")&gt;0,"Reliquat livré","Complet")),IF(LEFT(A857,2)="BR",IF(COUNTIFS(jr_num,A857,jr_etat,"Refusé")&gt;0,"Refusé",IF(COUNTIFS(jr_num,A857,jr_etat,"Avec réserves")&gt;0,"Avec réserves",IF(COUNTIFS(jr_num,A857,jr_rel,"&gt;0")&gt;0,"Reliquat en cours",IF(COUNTIFS(jr_num,A857,jr_gap,"&lt;0")+COUNTIFS(jr_num,A857,jr_gap,"&gt;0")&gt;0,"Écart","Conforme")))),IF(COUNTIFS(jr_num,A857,jr_gap,"&lt;0")&gt;0,"Partiel","Sorti")))))</f>
        <v/>
      </c>
      <c r="O857" t="str">
        <f>IFERROR(MATCH(852,jr_grank,0),"")</f>
        <v/>
      </c>
      <c r="R857" s="67" t="str">
        <f>IFERROR(INDEX(jr_num,MATCH("BL852",jr_nkey,0))&amp;"","")</f>
        <v/>
      </c>
      <c r="S857" s="67" t="str">
        <f>IFERROR(INDEX(jr_num,MATCH("BR852",jr_nkey,0))&amp;"","")</f>
        <v/>
      </c>
      <c r="T857" s="67" t="str">
        <f>IFERROR(INDEX(jr_num,MATCH("BS852",jr_nkey,0))&amp;"","")</f>
        <v/>
      </c>
    </row>
    <row r="858">
      <c r="A858" s="60" t="str">
        <f>IF($O858="","",INDEX(jr_num,$O858)&amp;"")</f>
        <v/>
      </c>
      <c r="B858" s="60" t="str">
        <f>IF($O858="","",IF(INDEX(jr_type,$O858)="BL","Livraison",IF(INDEX(jr_type,$O858)="BR","Réception","Sortie")))</f>
        <v/>
      </c>
      <c r="C858" s="65" t="str">
        <f>IF($O858="","",INDEX(jr_date,$O858))</f>
        <v/>
      </c>
      <c r="D858" s="60" t="str">
        <f>IF($O858="","",INDEX(jr_tiers,$O858)&amp;"")</f>
        <v/>
      </c>
      <c r="E858" s="57" t="str">
        <f>IF($O858="","",INDEX(jr_name,$O858)&amp;"")</f>
        <v/>
      </c>
      <c r="F858" s="57" t="str">
        <f>IF($O858="","",INDEX(jr_order,$O858)&amp;"")</f>
        <v/>
      </c>
      <c r="G858" s="57" t="str">
        <f>IF($O858="","",INDEX(jr_ext,$O858)&amp;"")</f>
        <v/>
      </c>
      <c r="H858" s="57" t="str">
        <f>IF($O858="","",INDEX(jr_carrier,$O858)&amp;"")</f>
        <v/>
      </c>
      <c r="I858" s="66" t="str">
        <f>IF(A858="","",COUNTIF(jr_num,A858))</f>
        <v/>
      </c>
      <c r="J858" s="66" t="str">
        <f>IF(A858="","",SUMIF(jr_num,A858,jr_colis))</f>
        <v/>
      </c>
      <c r="K858" s="63" t="str">
        <f>IF(A858="","",SUMIF(jr_num,A858,jr_kg))</f>
        <v/>
      </c>
      <c r="L858" s="64" t="str">
        <f>IF(A858="","",SUMIF(jr_num,A858,jr_val))</f>
        <v/>
      </c>
      <c r="M858" s="60" t="str">
        <f>IF(A858="","",IF(COUNTIFS(jr_num,A858,jr_check,"&lt;&gt;OK")&gt;0,"À vérifier",IF(LEFT(A858,2)="BL",IF(COUNTIFS(jr_num,A858,jr_rel,"&gt;0")&gt;0,"Reliquat en cours",IF(COUNTIFS(jr_num,A858,jr_gap,"&lt;0")&gt;0,"Reliquat livré","Complet")),IF(LEFT(A858,2)="BR",IF(COUNTIFS(jr_num,A858,jr_etat,"Refusé")&gt;0,"Refusé",IF(COUNTIFS(jr_num,A858,jr_etat,"Avec réserves")&gt;0,"Avec réserves",IF(COUNTIFS(jr_num,A858,jr_rel,"&gt;0")&gt;0,"Reliquat en cours",IF(COUNTIFS(jr_num,A858,jr_gap,"&lt;0")+COUNTIFS(jr_num,A858,jr_gap,"&gt;0")&gt;0,"Écart","Conforme")))),IF(COUNTIFS(jr_num,A858,jr_gap,"&lt;0")&gt;0,"Partiel","Sorti")))))</f>
        <v/>
      </c>
      <c r="O858" t="str">
        <f>IFERROR(MATCH(853,jr_grank,0),"")</f>
        <v/>
      </c>
      <c r="R858" s="67" t="str">
        <f>IFERROR(INDEX(jr_num,MATCH("BL853",jr_nkey,0))&amp;"","")</f>
        <v/>
      </c>
      <c r="S858" s="67" t="str">
        <f>IFERROR(INDEX(jr_num,MATCH("BR853",jr_nkey,0))&amp;"","")</f>
        <v/>
      </c>
      <c r="T858" s="67" t="str">
        <f>IFERROR(INDEX(jr_num,MATCH("BS853",jr_nkey,0))&amp;"","")</f>
        <v/>
      </c>
    </row>
    <row r="859">
      <c r="A859" s="60" t="str">
        <f>IF($O859="","",INDEX(jr_num,$O859)&amp;"")</f>
        <v/>
      </c>
      <c r="B859" s="60" t="str">
        <f>IF($O859="","",IF(INDEX(jr_type,$O859)="BL","Livraison",IF(INDEX(jr_type,$O859)="BR","Réception","Sortie")))</f>
        <v/>
      </c>
      <c r="C859" s="65" t="str">
        <f>IF($O859="","",INDEX(jr_date,$O859))</f>
        <v/>
      </c>
      <c r="D859" s="60" t="str">
        <f>IF($O859="","",INDEX(jr_tiers,$O859)&amp;"")</f>
        <v/>
      </c>
      <c r="E859" s="57" t="str">
        <f>IF($O859="","",INDEX(jr_name,$O859)&amp;"")</f>
        <v/>
      </c>
      <c r="F859" s="57" t="str">
        <f>IF($O859="","",INDEX(jr_order,$O859)&amp;"")</f>
        <v/>
      </c>
      <c r="G859" s="57" t="str">
        <f>IF($O859="","",INDEX(jr_ext,$O859)&amp;"")</f>
        <v/>
      </c>
      <c r="H859" s="57" t="str">
        <f>IF($O859="","",INDEX(jr_carrier,$O859)&amp;"")</f>
        <v/>
      </c>
      <c r="I859" s="66" t="str">
        <f>IF(A859="","",COUNTIF(jr_num,A859))</f>
        <v/>
      </c>
      <c r="J859" s="66" t="str">
        <f>IF(A859="","",SUMIF(jr_num,A859,jr_colis))</f>
        <v/>
      </c>
      <c r="K859" s="63" t="str">
        <f>IF(A859="","",SUMIF(jr_num,A859,jr_kg))</f>
        <v/>
      </c>
      <c r="L859" s="64" t="str">
        <f>IF(A859="","",SUMIF(jr_num,A859,jr_val))</f>
        <v/>
      </c>
      <c r="M859" s="60" t="str">
        <f>IF(A859="","",IF(COUNTIFS(jr_num,A859,jr_check,"&lt;&gt;OK")&gt;0,"À vérifier",IF(LEFT(A859,2)="BL",IF(COUNTIFS(jr_num,A859,jr_rel,"&gt;0")&gt;0,"Reliquat en cours",IF(COUNTIFS(jr_num,A859,jr_gap,"&lt;0")&gt;0,"Reliquat livré","Complet")),IF(LEFT(A859,2)="BR",IF(COUNTIFS(jr_num,A859,jr_etat,"Refusé")&gt;0,"Refusé",IF(COUNTIFS(jr_num,A859,jr_etat,"Avec réserves")&gt;0,"Avec réserves",IF(COUNTIFS(jr_num,A859,jr_rel,"&gt;0")&gt;0,"Reliquat en cours",IF(COUNTIFS(jr_num,A859,jr_gap,"&lt;0")+COUNTIFS(jr_num,A859,jr_gap,"&gt;0")&gt;0,"Écart","Conforme")))),IF(COUNTIFS(jr_num,A859,jr_gap,"&lt;0")&gt;0,"Partiel","Sorti")))))</f>
        <v/>
      </c>
      <c r="O859" t="str">
        <f>IFERROR(MATCH(854,jr_grank,0),"")</f>
        <v/>
      </c>
      <c r="R859" s="67" t="str">
        <f>IFERROR(INDEX(jr_num,MATCH("BL854",jr_nkey,0))&amp;"","")</f>
        <v/>
      </c>
      <c r="S859" s="67" t="str">
        <f>IFERROR(INDEX(jr_num,MATCH("BR854",jr_nkey,0))&amp;"","")</f>
        <v/>
      </c>
      <c r="T859" s="67" t="str">
        <f>IFERROR(INDEX(jr_num,MATCH("BS854",jr_nkey,0))&amp;"","")</f>
        <v/>
      </c>
    </row>
    <row r="860">
      <c r="A860" s="60" t="str">
        <f>IF($O860="","",INDEX(jr_num,$O860)&amp;"")</f>
        <v/>
      </c>
      <c r="B860" s="60" t="str">
        <f>IF($O860="","",IF(INDEX(jr_type,$O860)="BL","Livraison",IF(INDEX(jr_type,$O860)="BR","Réception","Sortie")))</f>
        <v/>
      </c>
      <c r="C860" s="65" t="str">
        <f>IF($O860="","",INDEX(jr_date,$O860))</f>
        <v/>
      </c>
      <c r="D860" s="60" t="str">
        <f>IF($O860="","",INDEX(jr_tiers,$O860)&amp;"")</f>
        <v/>
      </c>
      <c r="E860" s="57" t="str">
        <f>IF($O860="","",INDEX(jr_name,$O860)&amp;"")</f>
        <v/>
      </c>
      <c r="F860" s="57" t="str">
        <f>IF($O860="","",INDEX(jr_order,$O860)&amp;"")</f>
        <v/>
      </c>
      <c r="G860" s="57" t="str">
        <f>IF($O860="","",INDEX(jr_ext,$O860)&amp;"")</f>
        <v/>
      </c>
      <c r="H860" s="57" t="str">
        <f>IF($O860="","",INDEX(jr_carrier,$O860)&amp;"")</f>
        <v/>
      </c>
      <c r="I860" s="66" t="str">
        <f>IF(A860="","",COUNTIF(jr_num,A860))</f>
        <v/>
      </c>
      <c r="J860" s="66" t="str">
        <f>IF(A860="","",SUMIF(jr_num,A860,jr_colis))</f>
        <v/>
      </c>
      <c r="K860" s="63" t="str">
        <f>IF(A860="","",SUMIF(jr_num,A860,jr_kg))</f>
        <v/>
      </c>
      <c r="L860" s="64" t="str">
        <f>IF(A860="","",SUMIF(jr_num,A860,jr_val))</f>
        <v/>
      </c>
      <c r="M860" s="60" t="str">
        <f>IF(A860="","",IF(COUNTIFS(jr_num,A860,jr_check,"&lt;&gt;OK")&gt;0,"À vérifier",IF(LEFT(A860,2)="BL",IF(COUNTIFS(jr_num,A860,jr_rel,"&gt;0")&gt;0,"Reliquat en cours",IF(COUNTIFS(jr_num,A860,jr_gap,"&lt;0")&gt;0,"Reliquat livré","Complet")),IF(LEFT(A860,2)="BR",IF(COUNTIFS(jr_num,A860,jr_etat,"Refusé")&gt;0,"Refusé",IF(COUNTIFS(jr_num,A860,jr_etat,"Avec réserves")&gt;0,"Avec réserves",IF(COUNTIFS(jr_num,A860,jr_rel,"&gt;0")&gt;0,"Reliquat en cours",IF(COUNTIFS(jr_num,A860,jr_gap,"&lt;0")+COUNTIFS(jr_num,A860,jr_gap,"&gt;0")&gt;0,"Écart","Conforme")))),IF(COUNTIFS(jr_num,A860,jr_gap,"&lt;0")&gt;0,"Partiel","Sorti")))))</f>
        <v/>
      </c>
      <c r="O860" t="str">
        <f>IFERROR(MATCH(855,jr_grank,0),"")</f>
        <v/>
      </c>
      <c r="R860" s="67" t="str">
        <f>IFERROR(INDEX(jr_num,MATCH("BL855",jr_nkey,0))&amp;"","")</f>
        <v/>
      </c>
      <c r="S860" s="67" t="str">
        <f>IFERROR(INDEX(jr_num,MATCH("BR855",jr_nkey,0))&amp;"","")</f>
        <v/>
      </c>
      <c r="T860" s="67" t="str">
        <f>IFERROR(INDEX(jr_num,MATCH("BS855",jr_nkey,0))&amp;"","")</f>
        <v/>
      </c>
    </row>
    <row r="861">
      <c r="A861" s="60" t="str">
        <f>IF($O861="","",INDEX(jr_num,$O861)&amp;"")</f>
        <v/>
      </c>
      <c r="B861" s="60" t="str">
        <f>IF($O861="","",IF(INDEX(jr_type,$O861)="BL","Livraison",IF(INDEX(jr_type,$O861)="BR","Réception","Sortie")))</f>
        <v/>
      </c>
      <c r="C861" s="65" t="str">
        <f>IF($O861="","",INDEX(jr_date,$O861))</f>
        <v/>
      </c>
      <c r="D861" s="60" t="str">
        <f>IF($O861="","",INDEX(jr_tiers,$O861)&amp;"")</f>
        <v/>
      </c>
      <c r="E861" s="57" t="str">
        <f>IF($O861="","",INDEX(jr_name,$O861)&amp;"")</f>
        <v/>
      </c>
      <c r="F861" s="57" t="str">
        <f>IF($O861="","",INDEX(jr_order,$O861)&amp;"")</f>
        <v/>
      </c>
      <c r="G861" s="57" t="str">
        <f>IF($O861="","",INDEX(jr_ext,$O861)&amp;"")</f>
        <v/>
      </c>
      <c r="H861" s="57" t="str">
        <f>IF($O861="","",INDEX(jr_carrier,$O861)&amp;"")</f>
        <v/>
      </c>
      <c r="I861" s="66" t="str">
        <f>IF(A861="","",COUNTIF(jr_num,A861))</f>
        <v/>
      </c>
      <c r="J861" s="66" t="str">
        <f>IF(A861="","",SUMIF(jr_num,A861,jr_colis))</f>
        <v/>
      </c>
      <c r="K861" s="63" t="str">
        <f>IF(A861="","",SUMIF(jr_num,A861,jr_kg))</f>
        <v/>
      </c>
      <c r="L861" s="64" t="str">
        <f>IF(A861="","",SUMIF(jr_num,A861,jr_val))</f>
        <v/>
      </c>
      <c r="M861" s="60" t="str">
        <f>IF(A861="","",IF(COUNTIFS(jr_num,A861,jr_check,"&lt;&gt;OK")&gt;0,"À vérifier",IF(LEFT(A861,2)="BL",IF(COUNTIFS(jr_num,A861,jr_rel,"&gt;0")&gt;0,"Reliquat en cours",IF(COUNTIFS(jr_num,A861,jr_gap,"&lt;0")&gt;0,"Reliquat livré","Complet")),IF(LEFT(A861,2)="BR",IF(COUNTIFS(jr_num,A861,jr_etat,"Refusé")&gt;0,"Refusé",IF(COUNTIFS(jr_num,A861,jr_etat,"Avec réserves")&gt;0,"Avec réserves",IF(COUNTIFS(jr_num,A861,jr_rel,"&gt;0")&gt;0,"Reliquat en cours",IF(COUNTIFS(jr_num,A861,jr_gap,"&lt;0")+COUNTIFS(jr_num,A861,jr_gap,"&gt;0")&gt;0,"Écart","Conforme")))),IF(COUNTIFS(jr_num,A861,jr_gap,"&lt;0")&gt;0,"Partiel","Sorti")))))</f>
        <v/>
      </c>
      <c r="O861" t="str">
        <f>IFERROR(MATCH(856,jr_grank,0),"")</f>
        <v/>
      </c>
      <c r="R861" s="67" t="str">
        <f>IFERROR(INDEX(jr_num,MATCH("BL856",jr_nkey,0))&amp;"","")</f>
        <v/>
      </c>
      <c r="S861" s="67" t="str">
        <f>IFERROR(INDEX(jr_num,MATCH("BR856",jr_nkey,0))&amp;"","")</f>
        <v/>
      </c>
      <c r="T861" s="67" t="str">
        <f>IFERROR(INDEX(jr_num,MATCH("BS856",jr_nkey,0))&amp;"","")</f>
        <v/>
      </c>
    </row>
    <row r="862">
      <c r="A862" s="60" t="str">
        <f>IF($O862="","",INDEX(jr_num,$O862)&amp;"")</f>
        <v/>
      </c>
      <c r="B862" s="60" t="str">
        <f>IF($O862="","",IF(INDEX(jr_type,$O862)="BL","Livraison",IF(INDEX(jr_type,$O862)="BR","Réception","Sortie")))</f>
        <v/>
      </c>
      <c r="C862" s="65" t="str">
        <f>IF($O862="","",INDEX(jr_date,$O862))</f>
        <v/>
      </c>
      <c r="D862" s="60" t="str">
        <f>IF($O862="","",INDEX(jr_tiers,$O862)&amp;"")</f>
        <v/>
      </c>
      <c r="E862" s="57" t="str">
        <f>IF($O862="","",INDEX(jr_name,$O862)&amp;"")</f>
        <v/>
      </c>
      <c r="F862" s="57" t="str">
        <f>IF($O862="","",INDEX(jr_order,$O862)&amp;"")</f>
        <v/>
      </c>
      <c r="G862" s="57" t="str">
        <f>IF($O862="","",INDEX(jr_ext,$O862)&amp;"")</f>
        <v/>
      </c>
      <c r="H862" s="57" t="str">
        <f>IF($O862="","",INDEX(jr_carrier,$O862)&amp;"")</f>
        <v/>
      </c>
      <c r="I862" s="66" t="str">
        <f>IF(A862="","",COUNTIF(jr_num,A862))</f>
        <v/>
      </c>
      <c r="J862" s="66" t="str">
        <f>IF(A862="","",SUMIF(jr_num,A862,jr_colis))</f>
        <v/>
      </c>
      <c r="K862" s="63" t="str">
        <f>IF(A862="","",SUMIF(jr_num,A862,jr_kg))</f>
        <v/>
      </c>
      <c r="L862" s="64" t="str">
        <f>IF(A862="","",SUMIF(jr_num,A862,jr_val))</f>
        <v/>
      </c>
      <c r="M862" s="60" t="str">
        <f>IF(A862="","",IF(COUNTIFS(jr_num,A862,jr_check,"&lt;&gt;OK")&gt;0,"À vérifier",IF(LEFT(A862,2)="BL",IF(COUNTIFS(jr_num,A862,jr_rel,"&gt;0")&gt;0,"Reliquat en cours",IF(COUNTIFS(jr_num,A862,jr_gap,"&lt;0")&gt;0,"Reliquat livré","Complet")),IF(LEFT(A862,2)="BR",IF(COUNTIFS(jr_num,A862,jr_etat,"Refusé")&gt;0,"Refusé",IF(COUNTIFS(jr_num,A862,jr_etat,"Avec réserves")&gt;0,"Avec réserves",IF(COUNTIFS(jr_num,A862,jr_rel,"&gt;0")&gt;0,"Reliquat en cours",IF(COUNTIFS(jr_num,A862,jr_gap,"&lt;0")+COUNTIFS(jr_num,A862,jr_gap,"&gt;0")&gt;0,"Écart","Conforme")))),IF(COUNTIFS(jr_num,A862,jr_gap,"&lt;0")&gt;0,"Partiel","Sorti")))))</f>
        <v/>
      </c>
      <c r="O862" t="str">
        <f>IFERROR(MATCH(857,jr_grank,0),"")</f>
        <v/>
      </c>
      <c r="R862" s="67" t="str">
        <f>IFERROR(INDEX(jr_num,MATCH("BL857",jr_nkey,0))&amp;"","")</f>
        <v/>
      </c>
      <c r="S862" s="67" t="str">
        <f>IFERROR(INDEX(jr_num,MATCH("BR857",jr_nkey,0))&amp;"","")</f>
        <v/>
      </c>
      <c r="T862" s="67" t="str">
        <f>IFERROR(INDEX(jr_num,MATCH("BS857",jr_nkey,0))&amp;"","")</f>
        <v/>
      </c>
    </row>
    <row r="863">
      <c r="A863" s="60" t="str">
        <f>IF($O863="","",INDEX(jr_num,$O863)&amp;"")</f>
        <v/>
      </c>
      <c r="B863" s="60" t="str">
        <f>IF($O863="","",IF(INDEX(jr_type,$O863)="BL","Livraison",IF(INDEX(jr_type,$O863)="BR","Réception","Sortie")))</f>
        <v/>
      </c>
      <c r="C863" s="65" t="str">
        <f>IF($O863="","",INDEX(jr_date,$O863))</f>
        <v/>
      </c>
      <c r="D863" s="60" t="str">
        <f>IF($O863="","",INDEX(jr_tiers,$O863)&amp;"")</f>
        <v/>
      </c>
      <c r="E863" s="57" t="str">
        <f>IF($O863="","",INDEX(jr_name,$O863)&amp;"")</f>
        <v/>
      </c>
      <c r="F863" s="57" t="str">
        <f>IF($O863="","",INDEX(jr_order,$O863)&amp;"")</f>
        <v/>
      </c>
      <c r="G863" s="57" t="str">
        <f>IF($O863="","",INDEX(jr_ext,$O863)&amp;"")</f>
        <v/>
      </c>
      <c r="H863" s="57" t="str">
        <f>IF($O863="","",INDEX(jr_carrier,$O863)&amp;"")</f>
        <v/>
      </c>
      <c r="I863" s="66" t="str">
        <f>IF(A863="","",COUNTIF(jr_num,A863))</f>
        <v/>
      </c>
      <c r="J863" s="66" t="str">
        <f>IF(A863="","",SUMIF(jr_num,A863,jr_colis))</f>
        <v/>
      </c>
      <c r="K863" s="63" t="str">
        <f>IF(A863="","",SUMIF(jr_num,A863,jr_kg))</f>
        <v/>
      </c>
      <c r="L863" s="64" t="str">
        <f>IF(A863="","",SUMIF(jr_num,A863,jr_val))</f>
        <v/>
      </c>
      <c r="M863" s="60" t="str">
        <f>IF(A863="","",IF(COUNTIFS(jr_num,A863,jr_check,"&lt;&gt;OK")&gt;0,"À vérifier",IF(LEFT(A863,2)="BL",IF(COUNTIFS(jr_num,A863,jr_rel,"&gt;0")&gt;0,"Reliquat en cours",IF(COUNTIFS(jr_num,A863,jr_gap,"&lt;0")&gt;0,"Reliquat livré","Complet")),IF(LEFT(A863,2)="BR",IF(COUNTIFS(jr_num,A863,jr_etat,"Refusé")&gt;0,"Refusé",IF(COUNTIFS(jr_num,A863,jr_etat,"Avec réserves")&gt;0,"Avec réserves",IF(COUNTIFS(jr_num,A863,jr_rel,"&gt;0")&gt;0,"Reliquat en cours",IF(COUNTIFS(jr_num,A863,jr_gap,"&lt;0")+COUNTIFS(jr_num,A863,jr_gap,"&gt;0")&gt;0,"Écart","Conforme")))),IF(COUNTIFS(jr_num,A863,jr_gap,"&lt;0")&gt;0,"Partiel","Sorti")))))</f>
        <v/>
      </c>
      <c r="O863" t="str">
        <f>IFERROR(MATCH(858,jr_grank,0),"")</f>
        <v/>
      </c>
      <c r="R863" s="67" t="str">
        <f>IFERROR(INDEX(jr_num,MATCH("BL858",jr_nkey,0))&amp;"","")</f>
        <v/>
      </c>
      <c r="S863" s="67" t="str">
        <f>IFERROR(INDEX(jr_num,MATCH("BR858",jr_nkey,0))&amp;"","")</f>
        <v/>
      </c>
      <c r="T863" s="67" t="str">
        <f>IFERROR(INDEX(jr_num,MATCH("BS858",jr_nkey,0))&amp;"","")</f>
        <v/>
      </c>
    </row>
    <row r="864">
      <c r="A864" s="60" t="str">
        <f>IF($O864="","",INDEX(jr_num,$O864)&amp;"")</f>
        <v/>
      </c>
      <c r="B864" s="60" t="str">
        <f>IF($O864="","",IF(INDEX(jr_type,$O864)="BL","Livraison",IF(INDEX(jr_type,$O864)="BR","Réception","Sortie")))</f>
        <v/>
      </c>
      <c r="C864" s="65" t="str">
        <f>IF($O864="","",INDEX(jr_date,$O864))</f>
        <v/>
      </c>
      <c r="D864" s="60" t="str">
        <f>IF($O864="","",INDEX(jr_tiers,$O864)&amp;"")</f>
        <v/>
      </c>
      <c r="E864" s="57" t="str">
        <f>IF($O864="","",INDEX(jr_name,$O864)&amp;"")</f>
        <v/>
      </c>
      <c r="F864" s="57" t="str">
        <f>IF($O864="","",INDEX(jr_order,$O864)&amp;"")</f>
        <v/>
      </c>
      <c r="G864" s="57" t="str">
        <f>IF($O864="","",INDEX(jr_ext,$O864)&amp;"")</f>
        <v/>
      </c>
      <c r="H864" s="57" t="str">
        <f>IF($O864="","",INDEX(jr_carrier,$O864)&amp;"")</f>
        <v/>
      </c>
      <c r="I864" s="66" t="str">
        <f>IF(A864="","",COUNTIF(jr_num,A864))</f>
        <v/>
      </c>
      <c r="J864" s="66" t="str">
        <f>IF(A864="","",SUMIF(jr_num,A864,jr_colis))</f>
        <v/>
      </c>
      <c r="K864" s="63" t="str">
        <f>IF(A864="","",SUMIF(jr_num,A864,jr_kg))</f>
        <v/>
      </c>
      <c r="L864" s="64" t="str">
        <f>IF(A864="","",SUMIF(jr_num,A864,jr_val))</f>
        <v/>
      </c>
      <c r="M864" s="60" t="str">
        <f>IF(A864="","",IF(COUNTIFS(jr_num,A864,jr_check,"&lt;&gt;OK")&gt;0,"À vérifier",IF(LEFT(A864,2)="BL",IF(COUNTIFS(jr_num,A864,jr_rel,"&gt;0")&gt;0,"Reliquat en cours",IF(COUNTIFS(jr_num,A864,jr_gap,"&lt;0")&gt;0,"Reliquat livré","Complet")),IF(LEFT(A864,2)="BR",IF(COUNTIFS(jr_num,A864,jr_etat,"Refusé")&gt;0,"Refusé",IF(COUNTIFS(jr_num,A864,jr_etat,"Avec réserves")&gt;0,"Avec réserves",IF(COUNTIFS(jr_num,A864,jr_rel,"&gt;0")&gt;0,"Reliquat en cours",IF(COUNTIFS(jr_num,A864,jr_gap,"&lt;0")+COUNTIFS(jr_num,A864,jr_gap,"&gt;0")&gt;0,"Écart","Conforme")))),IF(COUNTIFS(jr_num,A864,jr_gap,"&lt;0")&gt;0,"Partiel","Sorti")))))</f>
        <v/>
      </c>
      <c r="O864" t="str">
        <f>IFERROR(MATCH(859,jr_grank,0),"")</f>
        <v/>
      </c>
      <c r="R864" s="67" t="str">
        <f>IFERROR(INDEX(jr_num,MATCH("BL859",jr_nkey,0))&amp;"","")</f>
        <v/>
      </c>
      <c r="S864" s="67" t="str">
        <f>IFERROR(INDEX(jr_num,MATCH("BR859",jr_nkey,0))&amp;"","")</f>
        <v/>
      </c>
      <c r="T864" s="67" t="str">
        <f>IFERROR(INDEX(jr_num,MATCH("BS859",jr_nkey,0))&amp;"","")</f>
        <v/>
      </c>
    </row>
    <row r="865">
      <c r="A865" s="60" t="str">
        <f>IF($O865="","",INDEX(jr_num,$O865)&amp;"")</f>
        <v/>
      </c>
      <c r="B865" s="60" t="str">
        <f>IF($O865="","",IF(INDEX(jr_type,$O865)="BL","Livraison",IF(INDEX(jr_type,$O865)="BR","Réception","Sortie")))</f>
        <v/>
      </c>
      <c r="C865" s="65" t="str">
        <f>IF($O865="","",INDEX(jr_date,$O865))</f>
        <v/>
      </c>
      <c r="D865" s="60" t="str">
        <f>IF($O865="","",INDEX(jr_tiers,$O865)&amp;"")</f>
        <v/>
      </c>
      <c r="E865" s="57" t="str">
        <f>IF($O865="","",INDEX(jr_name,$O865)&amp;"")</f>
        <v/>
      </c>
      <c r="F865" s="57" t="str">
        <f>IF($O865="","",INDEX(jr_order,$O865)&amp;"")</f>
        <v/>
      </c>
      <c r="G865" s="57" t="str">
        <f>IF($O865="","",INDEX(jr_ext,$O865)&amp;"")</f>
        <v/>
      </c>
      <c r="H865" s="57" t="str">
        <f>IF($O865="","",INDEX(jr_carrier,$O865)&amp;"")</f>
        <v/>
      </c>
      <c r="I865" s="66" t="str">
        <f>IF(A865="","",COUNTIF(jr_num,A865))</f>
        <v/>
      </c>
      <c r="J865" s="66" t="str">
        <f>IF(A865="","",SUMIF(jr_num,A865,jr_colis))</f>
        <v/>
      </c>
      <c r="K865" s="63" t="str">
        <f>IF(A865="","",SUMIF(jr_num,A865,jr_kg))</f>
        <v/>
      </c>
      <c r="L865" s="64" t="str">
        <f>IF(A865="","",SUMIF(jr_num,A865,jr_val))</f>
        <v/>
      </c>
      <c r="M865" s="60" t="str">
        <f>IF(A865="","",IF(COUNTIFS(jr_num,A865,jr_check,"&lt;&gt;OK")&gt;0,"À vérifier",IF(LEFT(A865,2)="BL",IF(COUNTIFS(jr_num,A865,jr_rel,"&gt;0")&gt;0,"Reliquat en cours",IF(COUNTIFS(jr_num,A865,jr_gap,"&lt;0")&gt;0,"Reliquat livré","Complet")),IF(LEFT(A865,2)="BR",IF(COUNTIFS(jr_num,A865,jr_etat,"Refusé")&gt;0,"Refusé",IF(COUNTIFS(jr_num,A865,jr_etat,"Avec réserves")&gt;0,"Avec réserves",IF(COUNTIFS(jr_num,A865,jr_rel,"&gt;0")&gt;0,"Reliquat en cours",IF(COUNTIFS(jr_num,A865,jr_gap,"&lt;0")+COUNTIFS(jr_num,A865,jr_gap,"&gt;0")&gt;0,"Écart","Conforme")))),IF(COUNTIFS(jr_num,A865,jr_gap,"&lt;0")&gt;0,"Partiel","Sorti")))))</f>
        <v/>
      </c>
      <c r="O865" t="str">
        <f>IFERROR(MATCH(860,jr_grank,0),"")</f>
        <v/>
      </c>
      <c r="R865" s="67" t="str">
        <f>IFERROR(INDEX(jr_num,MATCH("BL860",jr_nkey,0))&amp;"","")</f>
        <v/>
      </c>
      <c r="S865" s="67" t="str">
        <f>IFERROR(INDEX(jr_num,MATCH("BR860",jr_nkey,0))&amp;"","")</f>
        <v/>
      </c>
      <c r="T865" s="67" t="str">
        <f>IFERROR(INDEX(jr_num,MATCH("BS860",jr_nkey,0))&amp;"","")</f>
        <v/>
      </c>
    </row>
    <row r="866">
      <c r="A866" s="60" t="str">
        <f>IF($O866="","",INDEX(jr_num,$O866)&amp;"")</f>
        <v/>
      </c>
      <c r="B866" s="60" t="str">
        <f>IF($O866="","",IF(INDEX(jr_type,$O866)="BL","Livraison",IF(INDEX(jr_type,$O866)="BR","Réception","Sortie")))</f>
        <v/>
      </c>
      <c r="C866" s="65" t="str">
        <f>IF($O866="","",INDEX(jr_date,$O866))</f>
        <v/>
      </c>
      <c r="D866" s="60" t="str">
        <f>IF($O866="","",INDEX(jr_tiers,$O866)&amp;"")</f>
        <v/>
      </c>
      <c r="E866" s="57" t="str">
        <f>IF($O866="","",INDEX(jr_name,$O866)&amp;"")</f>
        <v/>
      </c>
      <c r="F866" s="57" t="str">
        <f>IF($O866="","",INDEX(jr_order,$O866)&amp;"")</f>
        <v/>
      </c>
      <c r="G866" s="57" t="str">
        <f>IF($O866="","",INDEX(jr_ext,$O866)&amp;"")</f>
        <v/>
      </c>
      <c r="H866" s="57" t="str">
        <f>IF($O866="","",INDEX(jr_carrier,$O866)&amp;"")</f>
        <v/>
      </c>
      <c r="I866" s="66" t="str">
        <f>IF(A866="","",COUNTIF(jr_num,A866))</f>
        <v/>
      </c>
      <c r="J866" s="66" t="str">
        <f>IF(A866="","",SUMIF(jr_num,A866,jr_colis))</f>
        <v/>
      </c>
      <c r="K866" s="63" t="str">
        <f>IF(A866="","",SUMIF(jr_num,A866,jr_kg))</f>
        <v/>
      </c>
      <c r="L866" s="64" t="str">
        <f>IF(A866="","",SUMIF(jr_num,A866,jr_val))</f>
        <v/>
      </c>
      <c r="M866" s="60" t="str">
        <f>IF(A866="","",IF(COUNTIFS(jr_num,A866,jr_check,"&lt;&gt;OK")&gt;0,"À vérifier",IF(LEFT(A866,2)="BL",IF(COUNTIFS(jr_num,A866,jr_rel,"&gt;0")&gt;0,"Reliquat en cours",IF(COUNTIFS(jr_num,A866,jr_gap,"&lt;0")&gt;0,"Reliquat livré","Complet")),IF(LEFT(A866,2)="BR",IF(COUNTIFS(jr_num,A866,jr_etat,"Refusé")&gt;0,"Refusé",IF(COUNTIFS(jr_num,A866,jr_etat,"Avec réserves")&gt;0,"Avec réserves",IF(COUNTIFS(jr_num,A866,jr_rel,"&gt;0")&gt;0,"Reliquat en cours",IF(COUNTIFS(jr_num,A866,jr_gap,"&lt;0")+COUNTIFS(jr_num,A866,jr_gap,"&gt;0")&gt;0,"Écart","Conforme")))),IF(COUNTIFS(jr_num,A866,jr_gap,"&lt;0")&gt;0,"Partiel","Sorti")))))</f>
        <v/>
      </c>
      <c r="O866" t="str">
        <f>IFERROR(MATCH(861,jr_grank,0),"")</f>
        <v/>
      </c>
      <c r="R866" s="67" t="str">
        <f>IFERROR(INDEX(jr_num,MATCH("BL861",jr_nkey,0))&amp;"","")</f>
        <v/>
      </c>
      <c r="S866" s="67" t="str">
        <f>IFERROR(INDEX(jr_num,MATCH("BR861",jr_nkey,0))&amp;"","")</f>
        <v/>
      </c>
      <c r="T866" s="67" t="str">
        <f>IFERROR(INDEX(jr_num,MATCH("BS861",jr_nkey,0))&amp;"","")</f>
        <v/>
      </c>
    </row>
    <row r="867">
      <c r="A867" s="60" t="str">
        <f>IF($O867="","",INDEX(jr_num,$O867)&amp;"")</f>
        <v/>
      </c>
      <c r="B867" s="60" t="str">
        <f>IF($O867="","",IF(INDEX(jr_type,$O867)="BL","Livraison",IF(INDEX(jr_type,$O867)="BR","Réception","Sortie")))</f>
        <v/>
      </c>
      <c r="C867" s="65" t="str">
        <f>IF($O867="","",INDEX(jr_date,$O867))</f>
        <v/>
      </c>
      <c r="D867" s="60" t="str">
        <f>IF($O867="","",INDEX(jr_tiers,$O867)&amp;"")</f>
        <v/>
      </c>
      <c r="E867" s="57" t="str">
        <f>IF($O867="","",INDEX(jr_name,$O867)&amp;"")</f>
        <v/>
      </c>
      <c r="F867" s="57" t="str">
        <f>IF($O867="","",INDEX(jr_order,$O867)&amp;"")</f>
        <v/>
      </c>
      <c r="G867" s="57" t="str">
        <f>IF($O867="","",INDEX(jr_ext,$O867)&amp;"")</f>
        <v/>
      </c>
      <c r="H867" s="57" t="str">
        <f>IF($O867="","",INDEX(jr_carrier,$O867)&amp;"")</f>
        <v/>
      </c>
      <c r="I867" s="66" t="str">
        <f>IF(A867="","",COUNTIF(jr_num,A867))</f>
        <v/>
      </c>
      <c r="J867" s="66" t="str">
        <f>IF(A867="","",SUMIF(jr_num,A867,jr_colis))</f>
        <v/>
      </c>
      <c r="K867" s="63" t="str">
        <f>IF(A867="","",SUMIF(jr_num,A867,jr_kg))</f>
        <v/>
      </c>
      <c r="L867" s="64" t="str">
        <f>IF(A867="","",SUMIF(jr_num,A867,jr_val))</f>
        <v/>
      </c>
      <c r="M867" s="60" t="str">
        <f>IF(A867="","",IF(COUNTIFS(jr_num,A867,jr_check,"&lt;&gt;OK")&gt;0,"À vérifier",IF(LEFT(A867,2)="BL",IF(COUNTIFS(jr_num,A867,jr_rel,"&gt;0")&gt;0,"Reliquat en cours",IF(COUNTIFS(jr_num,A867,jr_gap,"&lt;0")&gt;0,"Reliquat livré","Complet")),IF(LEFT(A867,2)="BR",IF(COUNTIFS(jr_num,A867,jr_etat,"Refusé")&gt;0,"Refusé",IF(COUNTIFS(jr_num,A867,jr_etat,"Avec réserves")&gt;0,"Avec réserves",IF(COUNTIFS(jr_num,A867,jr_rel,"&gt;0")&gt;0,"Reliquat en cours",IF(COUNTIFS(jr_num,A867,jr_gap,"&lt;0")+COUNTIFS(jr_num,A867,jr_gap,"&gt;0")&gt;0,"Écart","Conforme")))),IF(COUNTIFS(jr_num,A867,jr_gap,"&lt;0")&gt;0,"Partiel","Sorti")))))</f>
        <v/>
      </c>
      <c r="O867" t="str">
        <f>IFERROR(MATCH(862,jr_grank,0),"")</f>
        <v/>
      </c>
      <c r="R867" s="67" t="str">
        <f>IFERROR(INDEX(jr_num,MATCH("BL862",jr_nkey,0))&amp;"","")</f>
        <v/>
      </c>
      <c r="S867" s="67" t="str">
        <f>IFERROR(INDEX(jr_num,MATCH("BR862",jr_nkey,0))&amp;"","")</f>
        <v/>
      </c>
      <c r="T867" s="67" t="str">
        <f>IFERROR(INDEX(jr_num,MATCH("BS862",jr_nkey,0))&amp;"","")</f>
        <v/>
      </c>
    </row>
    <row r="868">
      <c r="A868" s="60" t="str">
        <f>IF($O868="","",INDEX(jr_num,$O868)&amp;"")</f>
        <v/>
      </c>
      <c r="B868" s="60" t="str">
        <f>IF($O868="","",IF(INDEX(jr_type,$O868)="BL","Livraison",IF(INDEX(jr_type,$O868)="BR","Réception","Sortie")))</f>
        <v/>
      </c>
      <c r="C868" s="65" t="str">
        <f>IF($O868="","",INDEX(jr_date,$O868))</f>
        <v/>
      </c>
      <c r="D868" s="60" t="str">
        <f>IF($O868="","",INDEX(jr_tiers,$O868)&amp;"")</f>
        <v/>
      </c>
      <c r="E868" s="57" t="str">
        <f>IF($O868="","",INDEX(jr_name,$O868)&amp;"")</f>
        <v/>
      </c>
      <c r="F868" s="57" t="str">
        <f>IF($O868="","",INDEX(jr_order,$O868)&amp;"")</f>
        <v/>
      </c>
      <c r="G868" s="57" t="str">
        <f>IF($O868="","",INDEX(jr_ext,$O868)&amp;"")</f>
        <v/>
      </c>
      <c r="H868" s="57" t="str">
        <f>IF($O868="","",INDEX(jr_carrier,$O868)&amp;"")</f>
        <v/>
      </c>
      <c r="I868" s="66" t="str">
        <f>IF(A868="","",COUNTIF(jr_num,A868))</f>
        <v/>
      </c>
      <c r="J868" s="66" t="str">
        <f>IF(A868="","",SUMIF(jr_num,A868,jr_colis))</f>
        <v/>
      </c>
      <c r="K868" s="63" t="str">
        <f>IF(A868="","",SUMIF(jr_num,A868,jr_kg))</f>
        <v/>
      </c>
      <c r="L868" s="64" t="str">
        <f>IF(A868="","",SUMIF(jr_num,A868,jr_val))</f>
        <v/>
      </c>
      <c r="M868" s="60" t="str">
        <f>IF(A868="","",IF(COUNTIFS(jr_num,A868,jr_check,"&lt;&gt;OK")&gt;0,"À vérifier",IF(LEFT(A868,2)="BL",IF(COUNTIFS(jr_num,A868,jr_rel,"&gt;0")&gt;0,"Reliquat en cours",IF(COUNTIFS(jr_num,A868,jr_gap,"&lt;0")&gt;0,"Reliquat livré","Complet")),IF(LEFT(A868,2)="BR",IF(COUNTIFS(jr_num,A868,jr_etat,"Refusé")&gt;0,"Refusé",IF(COUNTIFS(jr_num,A868,jr_etat,"Avec réserves")&gt;0,"Avec réserves",IF(COUNTIFS(jr_num,A868,jr_rel,"&gt;0")&gt;0,"Reliquat en cours",IF(COUNTIFS(jr_num,A868,jr_gap,"&lt;0")+COUNTIFS(jr_num,A868,jr_gap,"&gt;0")&gt;0,"Écart","Conforme")))),IF(COUNTIFS(jr_num,A868,jr_gap,"&lt;0")&gt;0,"Partiel","Sorti")))))</f>
        <v/>
      </c>
      <c r="O868" t="str">
        <f>IFERROR(MATCH(863,jr_grank,0),"")</f>
        <v/>
      </c>
      <c r="R868" s="67" t="str">
        <f>IFERROR(INDEX(jr_num,MATCH("BL863",jr_nkey,0))&amp;"","")</f>
        <v/>
      </c>
      <c r="S868" s="67" t="str">
        <f>IFERROR(INDEX(jr_num,MATCH("BR863",jr_nkey,0))&amp;"","")</f>
        <v/>
      </c>
      <c r="T868" s="67" t="str">
        <f>IFERROR(INDEX(jr_num,MATCH("BS863",jr_nkey,0))&amp;"","")</f>
        <v/>
      </c>
    </row>
    <row r="869">
      <c r="A869" s="60" t="str">
        <f>IF($O869="","",INDEX(jr_num,$O869)&amp;"")</f>
        <v/>
      </c>
      <c r="B869" s="60" t="str">
        <f>IF($O869="","",IF(INDEX(jr_type,$O869)="BL","Livraison",IF(INDEX(jr_type,$O869)="BR","Réception","Sortie")))</f>
        <v/>
      </c>
      <c r="C869" s="65" t="str">
        <f>IF($O869="","",INDEX(jr_date,$O869))</f>
        <v/>
      </c>
      <c r="D869" s="60" t="str">
        <f>IF($O869="","",INDEX(jr_tiers,$O869)&amp;"")</f>
        <v/>
      </c>
      <c r="E869" s="57" t="str">
        <f>IF($O869="","",INDEX(jr_name,$O869)&amp;"")</f>
        <v/>
      </c>
      <c r="F869" s="57" t="str">
        <f>IF($O869="","",INDEX(jr_order,$O869)&amp;"")</f>
        <v/>
      </c>
      <c r="G869" s="57" t="str">
        <f>IF($O869="","",INDEX(jr_ext,$O869)&amp;"")</f>
        <v/>
      </c>
      <c r="H869" s="57" t="str">
        <f>IF($O869="","",INDEX(jr_carrier,$O869)&amp;"")</f>
        <v/>
      </c>
      <c r="I869" s="66" t="str">
        <f>IF(A869="","",COUNTIF(jr_num,A869))</f>
        <v/>
      </c>
      <c r="J869" s="66" t="str">
        <f>IF(A869="","",SUMIF(jr_num,A869,jr_colis))</f>
        <v/>
      </c>
      <c r="K869" s="63" t="str">
        <f>IF(A869="","",SUMIF(jr_num,A869,jr_kg))</f>
        <v/>
      </c>
      <c r="L869" s="64" t="str">
        <f>IF(A869="","",SUMIF(jr_num,A869,jr_val))</f>
        <v/>
      </c>
      <c r="M869" s="60" t="str">
        <f>IF(A869="","",IF(COUNTIFS(jr_num,A869,jr_check,"&lt;&gt;OK")&gt;0,"À vérifier",IF(LEFT(A869,2)="BL",IF(COUNTIFS(jr_num,A869,jr_rel,"&gt;0")&gt;0,"Reliquat en cours",IF(COUNTIFS(jr_num,A869,jr_gap,"&lt;0")&gt;0,"Reliquat livré","Complet")),IF(LEFT(A869,2)="BR",IF(COUNTIFS(jr_num,A869,jr_etat,"Refusé")&gt;0,"Refusé",IF(COUNTIFS(jr_num,A869,jr_etat,"Avec réserves")&gt;0,"Avec réserves",IF(COUNTIFS(jr_num,A869,jr_rel,"&gt;0")&gt;0,"Reliquat en cours",IF(COUNTIFS(jr_num,A869,jr_gap,"&lt;0")+COUNTIFS(jr_num,A869,jr_gap,"&gt;0")&gt;0,"Écart","Conforme")))),IF(COUNTIFS(jr_num,A869,jr_gap,"&lt;0")&gt;0,"Partiel","Sorti")))))</f>
        <v/>
      </c>
      <c r="O869" t="str">
        <f>IFERROR(MATCH(864,jr_grank,0),"")</f>
        <v/>
      </c>
      <c r="R869" s="67" t="str">
        <f>IFERROR(INDEX(jr_num,MATCH("BL864",jr_nkey,0))&amp;"","")</f>
        <v/>
      </c>
      <c r="S869" s="67" t="str">
        <f>IFERROR(INDEX(jr_num,MATCH("BR864",jr_nkey,0))&amp;"","")</f>
        <v/>
      </c>
      <c r="T869" s="67" t="str">
        <f>IFERROR(INDEX(jr_num,MATCH("BS864",jr_nkey,0))&amp;"","")</f>
        <v/>
      </c>
    </row>
    <row r="870">
      <c r="A870" s="60" t="str">
        <f>IF($O870="","",INDEX(jr_num,$O870)&amp;"")</f>
        <v/>
      </c>
      <c r="B870" s="60" t="str">
        <f>IF($O870="","",IF(INDEX(jr_type,$O870)="BL","Livraison",IF(INDEX(jr_type,$O870)="BR","Réception","Sortie")))</f>
        <v/>
      </c>
      <c r="C870" s="65" t="str">
        <f>IF($O870="","",INDEX(jr_date,$O870))</f>
        <v/>
      </c>
      <c r="D870" s="60" t="str">
        <f>IF($O870="","",INDEX(jr_tiers,$O870)&amp;"")</f>
        <v/>
      </c>
      <c r="E870" s="57" t="str">
        <f>IF($O870="","",INDEX(jr_name,$O870)&amp;"")</f>
        <v/>
      </c>
      <c r="F870" s="57" t="str">
        <f>IF($O870="","",INDEX(jr_order,$O870)&amp;"")</f>
        <v/>
      </c>
      <c r="G870" s="57" t="str">
        <f>IF($O870="","",INDEX(jr_ext,$O870)&amp;"")</f>
        <v/>
      </c>
      <c r="H870" s="57" t="str">
        <f>IF($O870="","",INDEX(jr_carrier,$O870)&amp;"")</f>
        <v/>
      </c>
      <c r="I870" s="66" t="str">
        <f>IF(A870="","",COUNTIF(jr_num,A870))</f>
        <v/>
      </c>
      <c r="J870" s="66" t="str">
        <f>IF(A870="","",SUMIF(jr_num,A870,jr_colis))</f>
        <v/>
      </c>
      <c r="K870" s="63" t="str">
        <f>IF(A870="","",SUMIF(jr_num,A870,jr_kg))</f>
        <v/>
      </c>
      <c r="L870" s="64" t="str">
        <f>IF(A870="","",SUMIF(jr_num,A870,jr_val))</f>
        <v/>
      </c>
      <c r="M870" s="60" t="str">
        <f>IF(A870="","",IF(COUNTIFS(jr_num,A870,jr_check,"&lt;&gt;OK")&gt;0,"À vérifier",IF(LEFT(A870,2)="BL",IF(COUNTIFS(jr_num,A870,jr_rel,"&gt;0")&gt;0,"Reliquat en cours",IF(COUNTIFS(jr_num,A870,jr_gap,"&lt;0")&gt;0,"Reliquat livré","Complet")),IF(LEFT(A870,2)="BR",IF(COUNTIFS(jr_num,A870,jr_etat,"Refusé")&gt;0,"Refusé",IF(COUNTIFS(jr_num,A870,jr_etat,"Avec réserves")&gt;0,"Avec réserves",IF(COUNTIFS(jr_num,A870,jr_rel,"&gt;0")&gt;0,"Reliquat en cours",IF(COUNTIFS(jr_num,A870,jr_gap,"&lt;0")+COUNTIFS(jr_num,A870,jr_gap,"&gt;0")&gt;0,"Écart","Conforme")))),IF(COUNTIFS(jr_num,A870,jr_gap,"&lt;0")&gt;0,"Partiel","Sorti")))))</f>
        <v/>
      </c>
      <c r="O870" t="str">
        <f>IFERROR(MATCH(865,jr_grank,0),"")</f>
        <v/>
      </c>
      <c r="R870" s="67" t="str">
        <f>IFERROR(INDEX(jr_num,MATCH("BL865",jr_nkey,0))&amp;"","")</f>
        <v/>
      </c>
      <c r="S870" s="67" t="str">
        <f>IFERROR(INDEX(jr_num,MATCH("BR865",jr_nkey,0))&amp;"","")</f>
        <v/>
      </c>
      <c r="T870" s="67" t="str">
        <f>IFERROR(INDEX(jr_num,MATCH("BS865",jr_nkey,0))&amp;"","")</f>
        <v/>
      </c>
    </row>
    <row r="871">
      <c r="A871" s="60" t="str">
        <f>IF($O871="","",INDEX(jr_num,$O871)&amp;"")</f>
        <v/>
      </c>
      <c r="B871" s="60" t="str">
        <f>IF($O871="","",IF(INDEX(jr_type,$O871)="BL","Livraison",IF(INDEX(jr_type,$O871)="BR","Réception","Sortie")))</f>
        <v/>
      </c>
      <c r="C871" s="65" t="str">
        <f>IF($O871="","",INDEX(jr_date,$O871))</f>
        <v/>
      </c>
      <c r="D871" s="60" t="str">
        <f>IF($O871="","",INDEX(jr_tiers,$O871)&amp;"")</f>
        <v/>
      </c>
      <c r="E871" s="57" t="str">
        <f>IF($O871="","",INDEX(jr_name,$O871)&amp;"")</f>
        <v/>
      </c>
      <c r="F871" s="57" t="str">
        <f>IF($O871="","",INDEX(jr_order,$O871)&amp;"")</f>
        <v/>
      </c>
      <c r="G871" s="57" t="str">
        <f>IF($O871="","",INDEX(jr_ext,$O871)&amp;"")</f>
        <v/>
      </c>
      <c r="H871" s="57" t="str">
        <f>IF($O871="","",INDEX(jr_carrier,$O871)&amp;"")</f>
        <v/>
      </c>
      <c r="I871" s="66" t="str">
        <f>IF(A871="","",COUNTIF(jr_num,A871))</f>
        <v/>
      </c>
      <c r="J871" s="66" t="str">
        <f>IF(A871="","",SUMIF(jr_num,A871,jr_colis))</f>
        <v/>
      </c>
      <c r="K871" s="63" t="str">
        <f>IF(A871="","",SUMIF(jr_num,A871,jr_kg))</f>
        <v/>
      </c>
      <c r="L871" s="64" t="str">
        <f>IF(A871="","",SUMIF(jr_num,A871,jr_val))</f>
        <v/>
      </c>
      <c r="M871" s="60" t="str">
        <f>IF(A871="","",IF(COUNTIFS(jr_num,A871,jr_check,"&lt;&gt;OK")&gt;0,"À vérifier",IF(LEFT(A871,2)="BL",IF(COUNTIFS(jr_num,A871,jr_rel,"&gt;0")&gt;0,"Reliquat en cours",IF(COUNTIFS(jr_num,A871,jr_gap,"&lt;0")&gt;0,"Reliquat livré","Complet")),IF(LEFT(A871,2)="BR",IF(COUNTIFS(jr_num,A871,jr_etat,"Refusé")&gt;0,"Refusé",IF(COUNTIFS(jr_num,A871,jr_etat,"Avec réserves")&gt;0,"Avec réserves",IF(COUNTIFS(jr_num,A871,jr_rel,"&gt;0")&gt;0,"Reliquat en cours",IF(COUNTIFS(jr_num,A871,jr_gap,"&lt;0")+COUNTIFS(jr_num,A871,jr_gap,"&gt;0")&gt;0,"Écart","Conforme")))),IF(COUNTIFS(jr_num,A871,jr_gap,"&lt;0")&gt;0,"Partiel","Sorti")))))</f>
        <v/>
      </c>
      <c r="O871" t="str">
        <f>IFERROR(MATCH(866,jr_grank,0),"")</f>
        <v/>
      </c>
      <c r="R871" s="67" t="str">
        <f>IFERROR(INDEX(jr_num,MATCH("BL866",jr_nkey,0))&amp;"","")</f>
        <v/>
      </c>
      <c r="S871" s="67" t="str">
        <f>IFERROR(INDEX(jr_num,MATCH("BR866",jr_nkey,0))&amp;"","")</f>
        <v/>
      </c>
      <c r="T871" s="67" t="str">
        <f>IFERROR(INDEX(jr_num,MATCH("BS866",jr_nkey,0))&amp;"","")</f>
        <v/>
      </c>
    </row>
    <row r="872">
      <c r="A872" s="60" t="str">
        <f>IF($O872="","",INDEX(jr_num,$O872)&amp;"")</f>
        <v/>
      </c>
      <c r="B872" s="60" t="str">
        <f>IF($O872="","",IF(INDEX(jr_type,$O872)="BL","Livraison",IF(INDEX(jr_type,$O872)="BR","Réception","Sortie")))</f>
        <v/>
      </c>
      <c r="C872" s="65" t="str">
        <f>IF($O872="","",INDEX(jr_date,$O872))</f>
        <v/>
      </c>
      <c r="D872" s="60" t="str">
        <f>IF($O872="","",INDEX(jr_tiers,$O872)&amp;"")</f>
        <v/>
      </c>
      <c r="E872" s="57" t="str">
        <f>IF($O872="","",INDEX(jr_name,$O872)&amp;"")</f>
        <v/>
      </c>
      <c r="F872" s="57" t="str">
        <f>IF($O872="","",INDEX(jr_order,$O872)&amp;"")</f>
        <v/>
      </c>
      <c r="G872" s="57" t="str">
        <f>IF($O872="","",INDEX(jr_ext,$O872)&amp;"")</f>
        <v/>
      </c>
      <c r="H872" s="57" t="str">
        <f>IF($O872="","",INDEX(jr_carrier,$O872)&amp;"")</f>
        <v/>
      </c>
      <c r="I872" s="66" t="str">
        <f>IF(A872="","",COUNTIF(jr_num,A872))</f>
        <v/>
      </c>
      <c r="J872" s="66" t="str">
        <f>IF(A872="","",SUMIF(jr_num,A872,jr_colis))</f>
        <v/>
      </c>
      <c r="K872" s="63" t="str">
        <f>IF(A872="","",SUMIF(jr_num,A872,jr_kg))</f>
        <v/>
      </c>
      <c r="L872" s="64" t="str">
        <f>IF(A872="","",SUMIF(jr_num,A872,jr_val))</f>
        <v/>
      </c>
      <c r="M872" s="60" t="str">
        <f>IF(A872="","",IF(COUNTIFS(jr_num,A872,jr_check,"&lt;&gt;OK")&gt;0,"À vérifier",IF(LEFT(A872,2)="BL",IF(COUNTIFS(jr_num,A872,jr_rel,"&gt;0")&gt;0,"Reliquat en cours",IF(COUNTIFS(jr_num,A872,jr_gap,"&lt;0")&gt;0,"Reliquat livré","Complet")),IF(LEFT(A872,2)="BR",IF(COUNTIFS(jr_num,A872,jr_etat,"Refusé")&gt;0,"Refusé",IF(COUNTIFS(jr_num,A872,jr_etat,"Avec réserves")&gt;0,"Avec réserves",IF(COUNTIFS(jr_num,A872,jr_rel,"&gt;0")&gt;0,"Reliquat en cours",IF(COUNTIFS(jr_num,A872,jr_gap,"&lt;0")+COUNTIFS(jr_num,A872,jr_gap,"&gt;0")&gt;0,"Écart","Conforme")))),IF(COUNTIFS(jr_num,A872,jr_gap,"&lt;0")&gt;0,"Partiel","Sorti")))))</f>
        <v/>
      </c>
      <c r="O872" t="str">
        <f>IFERROR(MATCH(867,jr_grank,0),"")</f>
        <v/>
      </c>
      <c r="R872" s="67" t="str">
        <f>IFERROR(INDEX(jr_num,MATCH("BL867",jr_nkey,0))&amp;"","")</f>
        <v/>
      </c>
      <c r="S872" s="67" t="str">
        <f>IFERROR(INDEX(jr_num,MATCH("BR867",jr_nkey,0))&amp;"","")</f>
        <v/>
      </c>
      <c r="T872" s="67" t="str">
        <f>IFERROR(INDEX(jr_num,MATCH("BS867",jr_nkey,0))&amp;"","")</f>
        <v/>
      </c>
    </row>
    <row r="873">
      <c r="A873" s="60" t="str">
        <f>IF($O873="","",INDEX(jr_num,$O873)&amp;"")</f>
        <v/>
      </c>
      <c r="B873" s="60" t="str">
        <f>IF($O873="","",IF(INDEX(jr_type,$O873)="BL","Livraison",IF(INDEX(jr_type,$O873)="BR","Réception","Sortie")))</f>
        <v/>
      </c>
      <c r="C873" s="65" t="str">
        <f>IF($O873="","",INDEX(jr_date,$O873))</f>
        <v/>
      </c>
      <c r="D873" s="60" t="str">
        <f>IF($O873="","",INDEX(jr_tiers,$O873)&amp;"")</f>
        <v/>
      </c>
      <c r="E873" s="57" t="str">
        <f>IF($O873="","",INDEX(jr_name,$O873)&amp;"")</f>
        <v/>
      </c>
      <c r="F873" s="57" t="str">
        <f>IF($O873="","",INDEX(jr_order,$O873)&amp;"")</f>
        <v/>
      </c>
      <c r="G873" s="57" t="str">
        <f>IF($O873="","",INDEX(jr_ext,$O873)&amp;"")</f>
        <v/>
      </c>
      <c r="H873" s="57" t="str">
        <f>IF($O873="","",INDEX(jr_carrier,$O873)&amp;"")</f>
        <v/>
      </c>
      <c r="I873" s="66" t="str">
        <f>IF(A873="","",COUNTIF(jr_num,A873))</f>
        <v/>
      </c>
      <c r="J873" s="66" t="str">
        <f>IF(A873="","",SUMIF(jr_num,A873,jr_colis))</f>
        <v/>
      </c>
      <c r="K873" s="63" t="str">
        <f>IF(A873="","",SUMIF(jr_num,A873,jr_kg))</f>
        <v/>
      </c>
      <c r="L873" s="64" t="str">
        <f>IF(A873="","",SUMIF(jr_num,A873,jr_val))</f>
        <v/>
      </c>
      <c r="M873" s="60" t="str">
        <f>IF(A873="","",IF(COUNTIFS(jr_num,A873,jr_check,"&lt;&gt;OK")&gt;0,"À vérifier",IF(LEFT(A873,2)="BL",IF(COUNTIFS(jr_num,A873,jr_rel,"&gt;0")&gt;0,"Reliquat en cours",IF(COUNTIFS(jr_num,A873,jr_gap,"&lt;0")&gt;0,"Reliquat livré","Complet")),IF(LEFT(A873,2)="BR",IF(COUNTIFS(jr_num,A873,jr_etat,"Refusé")&gt;0,"Refusé",IF(COUNTIFS(jr_num,A873,jr_etat,"Avec réserves")&gt;0,"Avec réserves",IF(COUNTIFS(jr_num,A873,jr_rel,"&gt;0")&gt;0,"Reliquat en cours",IF(COUNTIFS(jr_num,A873,jr_gap,"&lt;0")+COUNTIFS(jr_num,A873,jr_gap,"&gt;0")&gt;0,"Écart","Conforme")))),IF(COUNTIFS(jr_num,A873,jr_gap,"&lt;0")&gt;0,"Partiel","Sorti")))))</f>
        <v/>
      </c>
      <c r="O873" t="str">
        <f>IFERROR(MATCH(868,jr_grank,0),"")</f>
        <v/>
      </c>
      <c r="R873" s="67" t="str">
        <f>IFERROR(INDEX(jr_num,MATCH("BL868",jr_nkey,0))&amp;"","")</f>
        <v/>
      </c>
      <c r="S873" s="67" t="str">
        <f>IFERROR(INDEX(jr_num,MATCH("BR868",jr_nkey,0))&amp;"","")</f>
        <v/>
      </c>
      <c r="T873" s="67" t="str">
        <f>IFERROR(INDEX(jr_num,MATCH("BS868",jr_nkey,0))&amp;"","")</f>
        <v/>
      </c>
    </row>
    <row r="874">
      <c r="A874" s="60" t="str">
        <f>IF($O874="","",INDEX(jr_num,$O874)&amp;"")</f>
        <v/>
      </c>
      <c r="B874" s="60" t="str">
        <f>IF($O874="","",IF(INDEX(jr_type,$O874)="BL","Livraison",IF(INDEX(jr_type,$O874)="BR","Réception","Sortie")))</f>
        <v/>
      </c>
      <c r="C874" s="65" t="str">
        <f>IF($O874="","",INDEX(jr_date,$O874))</f>
        <v/>
      </c>
      <c r="D874" s="60" t="str">
        <f>IF($O874="","",INDEX(jr_tiers,$O874)&amp;"")</f>
        <v/>
      </c>
      <c r="E874" s="57" t="str">
        <f>IF($O874="","",INDEX(jr_name,$O874)&amp;"")</f>
        <v/>
      </c>
      <c r="F874" s="57" t="str">
        <f>IF($O874="","",INDEX(jr_order,$O874)&amp;"")</f>
        <v/>
      </c>
      <c r="G874" s="57" t="str">
        <f>IF($O874="","",INDEX(jr_ext,$O874)&amp;"")</f>
        <v/>
      </c>
      <c r="H874" s="57" t="str">
        <f>IF($O874="","",INDEX(jr_carrier,$O874)&amp;"")</f>
        <v/>
      </c>
      <c r="I874" s="66" t="str">
        <f>IF(A874="","",COUNTIF(jr_num,A874))</f>
        <v/>
      </c>
      <c r="J874" s="66" t="str">
        <f>IF(A874="","",SUMIF(jr_num,A874,jr_colis))</f>
        <v/>
      </c>
      <c r="K874" s="63" t="str">
        <f>IF(A874="","",SUMIF(jr_num,A874,jr_kg))</f>
        <v/>
      </c>
      <c r="L874" s="64" t="str">
        <f>IF(A874="","",SUMIF(jr_num,A874,jr_val))</f>
        <v/>
      </c>
      <c r="M874" s="60" t="str">
        <f>IF(A874="","",IF(COUNTIFS(jr_num,A874,jr_check,"&lt;&gt;OK")&gt;0,"À vérifier",IF(LEFT(A874,2)="BL",IF(COUNTIFS(jr_num,A874,jr_rel,"&gt;0")&gt;0,"Reliquat en cours",IF(COUNTIFS(jr_num,A874,jr_gap,"&lt;0")&gt;0,"Reliquat livré","Complet")),IF(LEFT(A874,2)="BR",IF(COUNTIFS(jr_num,A874,jr_etat,"Refusé")&gt;0,"Refusé",IF(COUNTIFS(jr_num,A874,jr_etat,"Avec réserves")&gt;0,"Avec réserves",IF(COUNTIFS(jr_num,A874,jr_rel,"&gt;0")&gt;0,"Reliquat en cours",IF(COUNTIFS(jr_num,A874,jr_gap,"&lt;0")+COUNTIFS(jr_num,A874,jr_gap,"&gt;0")&gt;0,"Écart","Conforme")))),IF(COUNTIFS(jr_num,A874,jr_gap,"&lt;0")&gt;0,"Partiel","Sorti")))))</f>
        <v/>
      </c>
      <c r="O874" t="str">
        <f>IFERROR(MATCH(869,jr_grank,0),"")</f>
        <v/>
      </c>
      <c r="R874" s="67" t="str">
        <f>IFERROR(INDEX(jr_num,MATCH("BL869",jr_nkey,0))&amp;"","")</f>
        <v/>
      </c>
      <c r="S874" s="67" t="str">
        <f>IFERROR(INDEX(jr_num,MATCH("BR869",jr_nkey,0))&amp;"","")</f>
        <v/>
      </c>
      <c r="T874" s="67" t="str">
        <f>IFERROR(INDEX(jr_num,MATCH("BS869",jr_nkey,0))&amp;"","")</f>
        <v/>
      </c>
    </row>
    <row r="875">
      <c r="A875" s="60" t="str">
        <f>IF($O875="","",INDEX(jr_num,$O875)&amp;"")</f>
        <v/>
      </c>
      <c r="B875" s="60" t="str">
        <f>IF($O875="","",IF(INDEX(jr_type,$O875)="BL","Livraison",IF(INDEX(jr_type,$O875)="BR","Réception","Sortie")))</f>
        <v/>
      </c>
      <c r="C875" s="65" t="str">
        <f>IF($O875="","",INDEX(jr_date,$O875))</f>
        <v/>
      </c>
      <c r="D875" s="60" t="str">
        <f>IF($O875="","",INDEX(jr_tiers,$O875)&amp;"")</f>
        <v/>
      </c>
      <c r="E875" s="57" t="str">
        <f>IF($O875="","",INDEX(jr_name,$O875)&amp;"")</f>
        <v/>
      </c>
      <c r="F875" s="57" t="str">
        <f>IF($O875="","",INDEX(jr_order,$O875)&amp;"")</f>
        <v/>
      </c>
      <c r="G875" s="57" t="str">
        <f>IF($O875="","",INDEX(jr_ext,$O875)&amp;"")</f>
        <v/>
      </c>
      <c r="H875" s="57" t="str">
        <f>IF($O875="","",INDEX(jr_carrier,$O875)&amp;"")</f>
        <v/>
      </c>
      <c r="I875" s="66" t="str">
        <f>IF(A875="","",COUNTIF(jr_num,A875))</f>
        <v/>
      </c>
      <c r="J875" s="66" t="str">
        <f>IF(A875="","",SUMIF(jr_num,A875,jr_colis))</f>
        <v/>
      </c>
      <c r="K875" s="63" t="str">
        <f>IF(A875="","",SUMIF(jr_num,A875,jr_kg))</f>
        <v/>
      </c>
      <c r="L875" s="64" t="str">
        <f>IF(A875="","",SUMIF(jr_num,A875,jr_val))</f>
        <v/>
      </c>
      <c r="M875" s="60" t="str">
        <f>IF(A875="","",IF(COUNTIFS(jr_num,A875,jr_check,"&lt;&gt;OK")&gt;0,"À vérifier",IF(LEFT(A875,2)="BL",IF(COUNTIFS(jr_num,A875,jr_rel,"&gt;0")&gt;0,"Reliquat en cours",IF(COUNTIFS(jr_num,A875,jr_gap,"&lt;0")&gt;0,"Reliquat livré","Complet")),IF(LEFT(A875,2)="BR",IF(COUNTIFS(jr_num,A875,jr_etat,"Refusé")&gt;0,"Refusé",IF(COUNTIFS(jr_num,A875,jr_etat,"Avec réserves")&gt;0,"Avec réserves",IF(COUNTIFS(jr_num,A875,jr_rel,"&gt;0")&gt;0,"Reliquat en cours",IF(COUNTIFS(jr_num,A875,jr_gap,"&lt;0")+COUNTIFS(jr_num,A875,jr_gap,"&gt;0")&gt;0,"Écart","Conforme")))),IF(COUNTIFS(jr_num,A875,jr_gap,"&lt;0")&gt;0,"Partiel","Sorti")))))</f>
        <v/>
      </c>
      <c r="O875" t="str">
        <f>IFERROR(MATCH(870,jr_grank,0),"")</f>
        <v/>
      </c>
      <c r="R875" s="67" t="str">
        <f>IFERROR(INDEX(jr_num,MATCH("BL870",jr_nkey,0))&amp;"","")</f>
        <v/>
      </c>
      <c r="S875" s="67" t="str">
        <f>IFERROR(INDEX(jr_num,MATCH("BR870",jr_nkey,0))&amp;"","")</f>
        <v/>
      </c>
      <c r="T875" s="67" t="str">
        <f>IFERROR(INDEX(jr_num,MATCH("BS870",jr_nkey,0))&amp;"","")</f>
        <v/>
      </c>
    </row>
    <row r="876">
      <c r="A876" s="60" t="str">
        <f>IF($O876="","",INDEX(jr_num,$O876)&amp;"")</f>
        <v/>
      </c>
      <c r="B876" s="60" t="str">
        <f>IF($O876="","",IF(INDEX(jr_type,$O876)="BL","Livraison",IF(INDEX(jr_type,$O876)="BR","Réception","Sortie")))</f>
        <v/>
      </c>
      <c r="C876" s="65" t="str">
        <f>IF($O876="","",INDEX(jr_date,$O876))</f>
        <v/>
      </c>
      <c r="D876" s="60" t="str">
        <f>IF($O876="","",INDEX(jr_tiers,$O876)&amp;"")</f>
        <v/>
      </c>
      <c r="E876" s="57" t="str">
        <f>IF($O876="","",INDEX(jr_name,$O876)&amp;"")</f>
        <v/>
      </c>
      <c r="F876" s="57" t="str">
        <f>IF($O876="","",INDEX(jr_order,$O876)&amp;"")</f>
        <v/>
      </c>
      <c r="G876" s="57" t="str">
        <f>IF($O876="","",INDEX(jr_ext,$O876)&amp;"")</f>
        <v/>
      </c>
      <c r="H876" s="57" t="str">
        <f>IF($O876="","",INDEX(jr_carrier,$O876)&amp;"")</f>
        <v/>
      </c>
      <c r="I876" s="66" t="str">
        <f>IF(A876="","",COUNTIF(jr_num,A876))</f>
        <v/>
      </c>
      <c r="J876" s="66" t="str">
        <f>IF(A876="","",SUMIF(jr_num,A876,jr_colis))</f>
        <v/>
      </c>
      <c r="K876" s="63" t="str">
        <f>IF(A876="","",SUMIF(jr_num,A876,jr_kg))</f>
        <v/>
      </c>
      <c r="L876" s="64" t="str">
        <f>IF(A876="","",SUMIF(jr_num,A876,jr_val))</f>
        <v/>
      </c>
      <c r="M876" s="60" t="str">
        <f>IF(A876="","",IF(COUNTIFS(jr_num,A876,jr_check,"&lt;&gt;OK")&gt;0,"À vérifier",IF(LEFT(A876,2)="BL",IF(COUNTIFS(jr_num,A876,jr_rel,"&gt;0")&gt;0,"Reliquat en cours",IF(COUNTIFS(jr_num,A876,jr_gap,"&lt;0")&gt;0,"Reliquat livré","Complet")),IF(LEFT(A876,2)="BR",IF(COUNTIFS(jr_num,A876,jr_etat,"Refusé")&gt;0,"Refusé",IF(COUNTIFS(jr_num,A876,jr_etat,"Avec réserves")&gt;0,"Avec réserves",IF(COUNTIFS(jr_num,A876,jr_rel,"&gt;0")&gt;0,"Reliquat en cours",IF(COUNTIFS(jr_num,A876,jr_gap,"&lt;0")+COUNTIFS(jr_num,A876,jr_gap,"&gt;0")&gt;0,"Écart","Conforme")))),IF(COUNTIFS(jr_num,A876,jr_gap,"&lt;0")&gt;0,"Partiel","Sorti")))))</f>
        <v/>
      </c>
      <c r="O876" t="str">
        <f>IFERROR(MATCH(871,jr_grank,0),"")</f>
        <v/>
      </c>
      <c r="R876" s="67" t="str">
        <f>IFERROR(INDEX(jr_num,MATCH("BL871",jr_nkey,0))&amp;"","")</f>
        <v/>
      </c>
      <c r="S876" s="67" t="str">
        <f>IFERROR(INDEX(jr_num,MATCH("BR871",jr_nkey,0))&amp;"","")</f>
        <v/>
      </c>
      <c r="T876" s="67" t="str">
        <f>IFERROR(INDEX(jr_num,MATCH("BS871",jr_nkey,0))&amp;"","")</f>
        <v/>
      </c>
    </row>
    <row r="877">
      <c r="A877" s="60" t="str">
        <f>IF($O877="","",INDEX(jr_num,$O877)&amp;"")</f>
        <v/>
      </c>
      <c r="B877" s="60" t="str">
        <f>IF($O877="","",IF(INDEX(jr_type,$O877)="BL","Livraison",IF(INDEX(jr_type,$O877)="BR","Réception","Sortie")))</f>
        <v/>
      </c>
      <c r="C877" s="65" t="str">
        <f>IF($O877="","",INDEX(jr_date,$O877))</f>
        <v/>
      </c>
      <c r="D877" s="60" t="str">
        <f>IF($O877="","",INDEX(jr_tiers,$O877)&amp;"")</f>
        <v/>
      </c>
      <c r="E877" s="57" t="str">
        <f>IF($O877="","",INDEX(jr_name,$O877)&amp;"")</f>
        <v/>
      </c>
      <c r="F877" s="57" t="str">
        <f>IF($O877="","",INDEX(jr_order,$O877)&amp;"")</f>
        <v/>
      </c>
      <c r="G877" s="57" t="str">
        <f>IF($O877="","",INDEX(jr_ext,$O877)&amp;"")</f>
        <v/>
      </c>
      <c r="H877" s="57" t="str">
        <f>IF($O877="","",INDEX(jr_carrier,$O877)&amp;"")</f>
        <v/>
      </c>
      <c r="I877" s="66" t="str">
        <f>IF(A877="","",COUNTIF(jr_num,A877))</f>
        <v/>
      </c>
      <c r="J877" s="66" t="str">
        <f>IF(A877="","",SUMIF(jr_num,A877,jr_colis))</f>
        <v/>
      </c>
      <c r="K877" s="63" t="str">
        <f>IF(A877="","",SUMIF(jr_num,A877,jr_kg))</f>
        <v/>
      </c>
      <c r="L877" s="64" t="str">
        <f>IF(A877="","",SUMIF(jr_num,A877,jr_val))</f>
        <v/>
      </c>
      <c r="M877" s="60" t="str">
        <f>IF(A877="","",IF(COUNTIFS(jr_num,A877,jr_check,"&lt;&gt;OK")&gt;0,"À vérifier",IF(LEFT(A877,2)="BL",IF(COUNTIFS(jr_num,A877,jr_rel,"&gt;0")&gt;0,"Reliquat en cours",IF(COUNTIFS(jr_num,A877,jr_gap,"&lt;0")&gt;0,"Reliquat livré","Complet")),IF(LEFT(A877,2)="BR",IF(COUNTIFS(jr_num,A877,jr_etat,"Refusé")&gt;0,"Refusé",IF(COUNTIFS(jr_num,A877,jr_etat,"Avec réserves")&gt;0,"Avec réserves",IF(COUNTIFS(jr_num,A877,jr_rel,"&gt;0")&gt;0,"Reliquat en cours",IF(COUNTIFS(jr_num,A877,jr_gap,"&lt;0")+COUNTIFS(jr_num,A877,jr_gap,"&gt;0")&gt;0,"Écart","Conforme")))),IF(COUNTIFS(jr_num,A877,jr_gap,"&lt;0")&gt;0,"Partiel","Sorti")))))</f>
        <v/>
      </c>
      <c r="O877" t="str">
        <f>IFERROR(MATCH(872,jr_grank,0),"")</f>
        <v/>
      </c>
      <c r="R877" s="67" t="str">
        <f>IFERROR(INDEX(jr_num,MATCH("BL872",jr_nkey,0))&amp;"","")</f>
        <v/>
      </c>
      <c r="S877" s="67" t="str">
        <f>IFERROR(INDEX(jr_num,MATCH("BR872",jr_nkey,0))&amp;"","")</f>
        <v/>
      </c>
      <c r="T877" s="67" t="str">
        <f>IFERROR(INDEX(jr_num,MATCH("BS872",jr_nkey,0))&amp;"","")</f>
        <v/>
      </c>
    </row>
    <row r="878">
      <c r="A878" s="60" t="str">
        <f>IF($O878="","",INDEX(jr_num,$O878)&amp;"")</f>
        <v/>
      </c>
      <c r="B878" s="60" t="str">
        <f>IF($O878="","",IF(INDEX(jr_type,$O878)="BL","Livraison",IF(INDEX(jr_type,$O878)="BR","Réception","Sortie")))</f>
        <v/>
      </c>
      <c r="C878" s="65" t="str">
        <f>IF($O878="","",INDEX(jr_date,$O878))</f>
        <v/>
      </c>
      <c r="D878" s="60" t="str">
        <f>IF($O878="","",INDEX(jr_tiers,$O878)&amp;"")</f>
        <v/>
      </c>
      <c r="E878" s="57" t="str">
        <f>IF($O878="","",INDEX(jr_name,$O878)&amp;"")</f>
        <v/>
      </c>
      <c r="F878" s="57" t="str">
        <f>IF($O878="","",INDEX(jr_order,$O878)&amp;"")</f>
        <v/>
      </c>
      <c r="G878" s="57" t="str">
        <f>IF($O878="","",INDEX(jr_ext,$O878)&amp;"")</f>
        <v/>
      </c>
      <c r="H878" s="57" t="str">
        <f>IF($O878="","",INDEX(jr_carrier,$O878)&amp;"")</f>
        <v/>
      </c>
      <c r="I878" s="66" t="str">
        <f>IF(A878="","",COUNTIF(jr_num,A878))</f>
        <v/>
      </c>
      <c r="J878" s="66" t="str">
        <f>IF(A878="","",SUMIF(jr_num,A878,jr_colis))</f>
        <v/>
      </c>
      <c r="K878" s="63" t="str">
        <f>IF(A878="","",SUMIF(jr_num,A878,jr_kg))</f>
        <v/>
      </c>
      <c r="L878" s="64" t="str">
        <f>IF(A878="","",SUMIF(jr_num,A878,jr_val))</f>
        <v/>
      </c>
      <c r="M878" s="60" t="str">
        <f>IF(A878="","",IF(COUNTIFS(jr_num,A878,jr_check,"&lt;&gt;OK")&gt;0,"À vérifier",IF(LEFT(A878,2)="BL",IF(COUNTIFS(jr_num,A878,jr_rel,"&gt;0")&gt;0,"Reliquat en cours",IF(COUNTIFS(jr_num,A878,jr_gap,"&lt;0")&gt;0,"Reliquat livré","Complet")),IF(LEFT(A878,2)="BR",IF(COUNTIFS(jr_num,A878,jr_etat,"Refusé")&gt;0,"Refusé",IF(COUNTIFS(jr_num,A878,jr_etat,"Avec réserves")&gt;0,"Avec réserves",IF(COUNTIFS(jr_num,A878,jr_rel,"&gt;0")&gt;0,"Reliquat en cours",IF(COUNTIFS(jr_num,A878,jr_gap,"&lt;0")+COUNTIFS(jr_num,A878,jr_gap,"&gt;0")&gt;0,"Écart","Conforme")))),IF(COUNTIFS(jr_num,A878,jr_gap,"&lt;0")&gt;0,"Partiel","Sorti")))))</f>
        <v/>
      </c>
      <c r="O878" t="str">
        <f>IFERROR(MATCH(873,jr_grank,0),"")</f>
        <v/>
      </c>
      <c r="R878" s="67" t="str">
        <f>IFERROR(INDEX(jr_num,MATCH("BL873",jr_nkey,0))&amp;"","")</f>
        <v/>
      </c>
      <c r="S878" s="67" t="str">
        <f>IFERROR(INDEX(jr_num,MATCH("BR873",jr_nkey,0))&amp;"","")</f>
        <v/>
      </c>
      <c r="T878" s="67" t="str">
        <f>IFERROR(INDEX(jr_num,MATCH("BS873",jr_nkey,0))&amp;"","")</f>
        <v/>
      </c>
    </row>
    <row r="879">
      <c r="A879" s="60" t="str">
        <f>IF($O879="","",INDEX(jr_num,$O879)&amp;"")</f>
        <v/>
      </c>
      <c r="B879" s="60" t="str">
        <f>IF($O879="","",IF(INDEX(jr_type,$O879)="BL","Livraison",IF(INDEX(jr_type,$O879)="BR","Réception","Sortie")))</f>
        <v/>
      </c>
      <c r="C879" s="65" t="str">
        <f>IF($O879="","",INDEX(jr_date,$O879))</f>
        <v/>
      </c>
      <c r="D879" s="60" t="str">
        <f>IF($O879="","",INDEX(jr_tiers,$O879)&amp;"")</f>
        <v/>
      </c>
      <c r="E879" s="57" t="str">
        <f>IF($O879="","",INDEX(jr_name,$O879)&amp;"")</f>
        <v/>
      </c>
      <c r="F879" s="57" t="str">
        <f>IF($O879="","",INDEX(jr_order,$O879)&amp;"")</f>
        <v/>
      </c>
      <c r="G879" s="57" t="str">
        <f>IF($O879="","",INDEX(jr_ext,$O879)&amp;"")</f>
        <v/>
      </c>
      <c r="H879" s="57" t="str">
        <f>IF($O879="","",INDEX(jr_carrier,$O879)&amp;"")</f>
        <v/>
      </c>
      <c r="I879" s="66" t="str">
        <f>IF(A879="","",COUNTIF(jr_num,A879))</f>
        <v/>
      </c>
      <c r="J879" s="66" t="str">
        <f>IF(A879="","",SUMIF(jr_num,A879,jr_colis))</f>
        <v/>
      </c>
      <c r="K879" s="63" t="str">
        <f>IF(A879="","",SUMIF(jr_num,A879,jr_kg))</f>
        <v/>
      </c>
      <c r="L879" s="64" t="str">
        <f>IF(A879="","",SUMIF(jr_num,A879,jr_val))</f>
        <v/>
      </c>
      <c r="M879" s="60" t="str">
        <f>IF(A879="","",IF(COUNTIFS(jr_num,A879,jr_check,"&lt;&gt;OK")&gt;0,"À vérifier",IF(LEFT(A879,2)="BL",IF(COUNTIFS(jr_num,A879,jr_rel,"&gt;0")&gt;0,"Reliquat en cours",IF(COUNTIFS(jr_num,A879,jr_gap,"&lt;0")&gt;0,"Reliquat livré","Complet")),IF(LEFT(A879,2)="BR",IF(COUNTIFS(jr_num,A879,jr_etat,"Refusé")&gt;0,"Refusé",IF(COUNTIFS(jr_num,A879,jr_etat,"Avec réserves")&gt;0,"Avec réserves",IF(COUNTIFS(jr_num,A879,jr_rel,"&gt;0")&gt;0,"Reliquat en cours",IF(COUNTIFS(jr_num,A879,jr_gap,"&lt;0")+COUNTIFS(jr_num,A879,jr_gap,"&gt;0")&gt;0,"Écart","Conforme")))),IF(COUNTIFS(jr_num,A879,jr_gap,"&lt;0")&gt;0,"Partiel","Sorti")))))</f>
        <v/>
      </c>
      <c r="O879" t="str">
        <f>IFERROR(MATCH(874,jr_grank,0),"")</f>
        <v/>
      </c>
      <c r="R879" s="67" t="str">
        <f>IFERROR(INDEX(jr_num,MATCH("BL874",jr_nkey,0))&amp;"","")</f>
        <v/>
      </c>
      <c r="S879" s="67" t="str">
        <f>IFERROR(INDEX(jr_num,MATCH("BR874",jr_nkey,0))&amp;"","")</f>
        <v/>
      </c>
      <c r="T879" s="67" t="str">
        <f>IFERROR(INDEX(jr_num,MATCH("BS874",jr_nkey,0))&amp;"","")</f>
        <v/>
      </c>
    </row>
    <row r="880">
      <c r="A880" s="60" t="str">
        <f>IF($O880="","",INDEX(jr_num,$O880)&amp;"")</f>
        <v/>
      </c>
      <c r="B880" s="60" t="str">
        <f>IF($O880="","",IF(INDEX(jr_type,$O880)="BL","Livraison",IF(INDEX(jr_type,$O880)="BR","Réception","Sortie")))</f>
        <v/>
      </c>
      <c r="C880" s="65" t="str">
        <f>IF($O880="","",INDEX(jr_date,$O880))</f>
        <v/>
      </c>
      <c r="D880" s="60" t="str">
        <f>IF($O880="","",INDEX(jr_tiers,$O880)&amp;"")</f>
        <v/>
      </c>
      <c r="E880" s="57" t="str">
        <f>IF($O880="","",INDEX(jr_name,$O880)&amp;"")</f>
        <v/>
      </c>
      <c r="F880" s="57" t="str">
        <f>IF($O880="","",INDEX(jr_order,$O880)&amp;"")</f>
        <v/>
      </c>
      <c r="G880" s="57" t="str">
        <f>IF($O880="","",INDEX(jr_ext,$O880)&amp;"")</f>
        <v/>
      </c>
      <c r="H880" s="57" t="str">
        <f>IF($O880="","",INDEX(jr_carrier,$O880)&amp;"")</f>
        <v/>
      </c>
      <c r="I880" s="66" t="str">
        <f>IF(A880="","",COUNTIF(jr_num,A880))</f>
        <v/>
      </c>
      <c r="J880" s="66" t="str">
        <f>IF(A880="","",SUMIF(jr_num,A880,jr_colis))</f>
        <v/>
      </c>
      <c r="K880" s="63" t="str">
        <f>IF(A880="","",SUMIF(jr_num,A880,jr_kg))</f>
        <v/>
      </c>
      <c r="L880" s="64" t="str">
        <f>IF(A880="","",SUMIF(jr_num,A880,jr_val))</f>
        <v/>
      </c>
      <c r="M880" s="60" t="str">
        <f>IF(A880="","",IF(COUNTIFS(jr_num,A880,jr_check,"&lt;&gt;OK")&gt;0,"À vérifier",IF(LEFT(A880,2)="BL",IF(COUNTIFS(jr_num,A880,jr_rel,"&gt;0")&gt;0,"Reliquat en cours",IF(COUNTIFS(jr_num,A880,jr_gap,"&lt;0")&gt;0,"Reliquat livré","Complet")),IF(LEFT(A880,2)="BR",IF(COUNTIFS(jr_num,A880,jr_etat,"Refusé")&gt;0,"Refusé",IF(COUNTIFS(jr_num,A880,jr_etat,"Avec réserves")&gt;0,"Avec réserves",IF(COUNTIFS(jr_num,A880,jr_rel,"&gt;0")&gt;0,"Reliquat en cours",IF(COUNTIFS(jr_num,A880,jr_gap,"&lt;0")+COUNTIFS(jr_num,A880,jr_gap,"&gt;0")&gt;0,"Écart","Conforme")))),IF(COUNTIFS(jr_num,A880,jr_gap,"&lt;0")&gt;0,"Partiel","Sorti")))))</f>
        <v/>
      </c>
      <c r="O880" t="str">
        <f>IFERROR(MATCH(875,jr_grank,0),"")</f>
        <v/>
      </c>
      <c r="R880" s="67" t="str">
        <f>IFERROR(INDEX(jr_num,MATCH("BL875",jr_nkey,0))&amp;"","")</f>
        <v/>
      </c>
      <c r="S880" s="67" t="str">
        <f>IFERROR(INDEX(jr_num,MATCH("BR875",jr_nkey,0))&amp;"","")</f>
        <v/>
      </c>
      <c r="T880" s="67" t="str">
        <f>IFERROR(INDEX(jr_num,MATCH("BS875",jr_nkey,0))&amp;"","")</f>
        <v/>
      </c>
    </row>
    <row r="881">
      <c r="A881" s="60" t="str">
        <f>IF($O881="","",INDEX(jr_num,$O881)&amp;"")</f>
        <v/>
      </c>
      <c r="B881" s="60" t="str">
        <f>IF($O881="","",IF(INDEX(jr_type,$O881)="BL","Livraison",IF(INDEX(jr_type,$O881)="BR","Réception","Sortie")))</f>
        <v/>
      </c>
      <c r="C881" s="65" t="str">
        <f>IF($O881="","",INDEX(jr_date,$O881))</f>
        <v/>
      </c>
      <c r="D881" s="60" t="str">
        <f>IF($O881="","",INDEX(jr_tiers,$O881)&amp;"")</f>
        <v/>
      </c>
      <c r="E881" s="57" t="str">
        <f>IF($O881="","",INDEX(jr_name,$O881)&amp;"")</f>
        <v/>
      </c>
      <c r="F881" s="57" t="str">
        <f>IF($O881="","",INDEX(jr_order,$O881)&amp;"")</f>
        <v/>
      </c>
      <c r="G881" s="57" t="str">
        <f>IF($O881="","",INDEX(jr_ext,$O881)&amp;"")</f>
        <v/>
      </c>
      <c r="H881" s="57" t="str">
        <f>IF($O881="","",INDEX(jr_carrier,$O881)&amp;"")</f>
        <v/>
      </c>
      <c r="I881" s="66" t="str">
        <f>IF(A881="","",COUNTIF(jr_num,A881))</f>
        <v/>
      </c>
      <c r="J881" s="66" t="str">
        <f>IF(A881="","",SUMIF(jr_num,A881,jr_colis))</f>
        <v/>
      </c>
      <c r="K881" s="63" t="str">
        <f>IF(A881="","",SUMIF(jr_num,A881,jr_kg))</f>
        <v/>
      </c>
      <c r="L881" s="64" t="str">
        <f>IF(A881="","",SUMIF(jr_num,A881,jr_val))</f>
        <v/>
      </c>
      <c r="M881" s="60" t="str">
        <f>IF(A881="","",IF(COUNTIFS(jr_num,A881,jr_check,"&lt;&gt;OK")&gt;0,"À vérifier",IF(LEFT(A881,2)="BL",IF(COUNTIFS(jr_num,A881,jr_rel,"&gt;0")&gt;0,"Reliquat en cours",IF(COUNTIFS(jr_num,A881,jr_gap,"&lt;0")&gt;0,"Reliquat livré","Complet")),IF(LEFT(A881,2)="BR",IF(COUNTIFS(jr_num,A881,jr_etat,"Refusé")&gt;0,"Refusé",IF(COUNTIFS(jr_num,A881,jr_etat,"Avec réserves")&gt;0,"Avec réserves",IF(COUNTIFS(jr_num,A881,jr_rel,"&gt;0")&gt;0,"Reliquat en cours",IF(COUNTIFS(jr_num,A881,jr_gap,"&lt;0")+COUNTIFS(jr_num,A881,jr_gap,"&gt;0")&gt;0,"Écart","Conforme")))),IF(COUNTIFS(jr_num,A881,jr_gap,"&lt;0")&gt;0,"Partiel","Sorti")))))</f>
        <v/>
      </c>
      <c r="O881" t="str">
        <f>IFERROR(MATCH(876,jr_grank,0),"")</f>
        <v/>
      </c>
      <c r="R881" s="67" t="str">
        <f>IFERROR(INDEX(jr_num,MATCH("BL876",jr_nkey,0))&amp;"","")</f>
        <v/>
      </c>
      <c r="S881" s="67" t="str">
        <f>IFERROR(INDEX(jr_num,MATCH("BR876",jr_nkey,0))&amp;"","")</f>
        <v/>
      </c>
      <c r="T881" s="67" t="str">
        <f>IFERROR(INDEX(jr_num,MATCH("BS876",jr_nkey,0))&amp;"","")</f>
        <v/>
      </c>
    </row>
    <row r="882">
      <c r="A882" s="60" t="str">
        <f>IF($O882="","",INDEX(jr_num,$O882)&amp;"")</f>
        <v/>
      </c>
      <c r="B882" s="60" t="str">
        <f>IF($O882="","",IF(INDEX(jr_type,$O882)="BL","Livraison",IF(INDEX(jr_type,$O882)="BR","Réception","Sortie")))</f>
        <v/>
      </c>
      <c r="C882" s="65" t="str">
        <f>IF($O882="","",INDEX(jr_date,$O882))</f>
        <v/>
      </c>
      <c r="D882" s="60" t="str">
        <f>IF($O882="","",INDEX(jr_tiers,$O882)&amp;"")</f>
        <v/>
      </c>
      <c r="E882" s="57" t="str">
        <f>IF($O882="","",INDEX(jr_name,$O882)&amp;"")</f>
        <v/>
      </c>
      <c r="F882" s="57" t="str">
        <f>IF($O882="","",INDEX(jr_order,$O882)&amp;"")</f>
        <v/>
      </c>
      <c r="G882" s="57" t="str">
        <f>IF($O882="","",INDEX(jr_ext,$O882)&amp;"")</f>
        <v/>
      </c>
      <c r="H882" s="57" t="str">
        <f>IF($O882="","",INDEX(jr_carrier,$O882)&amp;"")</f>
        <v/>
      </c>
      <c r="I882" s="66" t="str">
        <f>IF(A882="","",COUNTIF(jr_num,A882))</f>
        <v/>
      </c>
      <c r="J882" s="66" t="str">
        <f>IF(A882="","",SUMIF(jr_num,A882,jr_colis))</f>
        <v/>
      </c>
      <c r="K882" s="63" t="str">
        <f>IF(A882="","",SUMIF(jr_num,A882,jr_kg))</f>
        <v/>
      </c>
      <c r="L882" s="64" t="str">
        <f>IF(A882="","",SUMIF(jr_num,A882,jr_val))</f>
        <v/>
      </c>
      <c r="M882" s="60" t="str">
        <f>IF(A882="","",IF(COUNTIFS(jr_num,A882,jr_check,"&lt;&gt;OK")&gt;0,"À vérifier",IF(LEFT(A882,2)="BL",IF(COUNTIFS(jr_num,A882,jr_rel,"&gt;0")&gt;0,"Reliquat en cours",IF(COUNTIFS(jr_num,A882,jr_gap,"&lt;0")&gt;0,"Reliquat livré","Complet")),IF(LEFT(A882,2)="BR",IF(COUNTIFS(jr_num,A882,jr_etat,"Refusé")&gt;0,"Refusé",IF(COUNTIFS(jr_num,A882,jr_etat,"Avec réserves")&gt;0,"Avec réserves",IF(COUNTIFS(jr_num,A882,jr_rel,"&gt;0")&gt;0,"Reliquat en cours",IF(COUNTIFS(jr_num,A882,jr_gap,"&lt;0")+COUNTIFS(jr_num,A882,jr_gap,"&gt;0")&gt;0,"Écart","Conforme")))),IF(COUNTIFS(jr_num,A882,jr_gap,"&lt;0")&gt;0,"Partiel","Sorti")))))</f>
        <v/>
      </c>
      <c r="O882" t="str">
        <f>IFERROR(MATCH(877,jr_grank,0),"")</f>
        <v/>
      </c>
      <c r="R882" s="67" t="str">
        <f>IFERROR(INDEX(jr_num,MATCH("BL877",jr_nkey,0))&amp;"","")</f>
        <v/>
      </c>
      <c r="S882" s="67" t="str">
        <f>IFERROR(INDEX(jr_num,MATCH("BR877",jr_nkey,0))&amp;"","")</f>
        <v/>
      </c>
      <c r="T882" s="67" t="str">
        <f>IFERROR(INDEX(jr_num,MATCH("BS877",jr_nkey,0))&amp;"","")</f>
        <v/>
      </c>
    </row>
    <row r="883">
      <c r="A883" s="60" t="str">
        <f>IF($O883="","",INDEX(jr_num,$O883)&amp;"")</f>
        <v/>
      </c>
      <c r="B883" s="60" t="str">
        <f>IF($O883="","",IF(INDEX(jr_type,$O883)="BL","Livraison",IF(INDEX(jr_type,$O883)="BR","Réception","Sortie")))</f>
        <v/>
      </c>
      <c r="C883" s="65" t="str">
        <f>IF($O883="","",INDEX(jr_date,$O883))</f>
        <v/>
      </c>
      <c r="D883" s="60" t="str">
        <f>IF($O883="","",INDEX(jr_tiers,$O883)&amp;"")</f>
        <v/>
      </c>
      <c r="E883" s="57" t="str">
        <f>IF($O883="","",INDEX(jr_name,$O883)&amp;"")</f>
        <v/>
      </c>
      <c r="F883" s="57" t="str">
        <f>IF($O883="","",INDEX(jr_order,$O883)&amp;"")</f>
        <v/>
      </c>
      <c r="G883" s="57" t="str">
        <f>IF($O883="","",INDEX(jr_ext,$O883)&amp;"")</f>
        <v/>
      </c>
      <c r="H883" s="57" t="str">
        <f>IF($O883="","",INDEX(jr_carrier,$O883)&amp;"")</f>
        <v/>
      </c>
      <c r="I883" s="66" t="str">
        <f>IF(A883="","",COUNTIF(jr_num,A883))</f>
        <v/>
      </c>
      <c r="J883" s="66" t="str">
        <f>IF(A883="","",SUMIF(jr_num,A883,jr_colis))</f>
        <v/>
      </c>
      <c r="K883" s="63" t="str">
        <f>IF(A883="","",SUMIF(jr_num,A883,jr_kg))</f>
        <v/>
      </c>
      <c r="L883" s="64" t="str">
        <f>IF(A883="","",SUMIF(jr_num,A883,jr_val))</f>
        <v/>
      </c>
      <c r="M883" s="60" t="str">
        <f>IF(A883="","",IF(COUNTIFS(jr_num,A883,jr_check,"&lt;&gt;OK")&gt;0,"À vérifier",IF(LEFT(A883,2)="BL",IF(COUNTIFS(jr_num,A883,jr_rel,"&gt;0")&gt;0,"Reliquat en cours",IF(COUNTIFS(jr_num,A883,jr_gap,"&lt;0")&gt;0,"Reliquat livré","Complet")),IF(LEFT(A883,2)="BR",IF(COUNTIFS(jr_num,A883,jr_etat,"Refusé")&gt;0,"Refusé",IF(COUNTIFS(jr_num,A883,jr_etat,"Avec réserves")&gt;0,"Avec réserves",IF(COUNTIFS(jr_num,A883,jr_rel,"&gt;0")&gt;0,"Reliquat en cours",IF(COUNTIFS(jr_num,A883,jr_gap,"&lt;0")+COUNTIFS(jr_num,A883,jr_gap,"&gt;0")&gt;0,"Écart","Conforme")))),IF(COUNTIFS(jr_num,A883,jr_gap,"&lt;0")&gt;0,"Partiel","Sorti")))))</f>
        <v/>
      </c>
      <c r="O883" t="str">
        <f>IFERROR(MATCH(878,jr_grank,0),"")</f>
        <v/>
      </c>
      <c r="R883" s="67" t="str">
        <f>IFERROR(INDEX(jr_num,MATCH("BL878",jr_nkey,0))&amp;"","")</f>
        <v/>
      </c>
      <c r="S883" s="67" t="str">
        <f>IFERROR(INDEX(jr_num,MATCH("BR878",jr_nkey,0))&amp;"","")</f>
        <v/>
      </c>
      <c r="T883" s="67" t="str">
        <f>IFERROR(INDEX(jr_num,MATCH("BS878",jr_nkey,0))&amp;"","")</f>
        <v/>
      </c>
    </row>
    <row r="884">
      <c r="A884" s="60" t="str">
        <f>IF($O884="","",INDEX(jr_num,$O884)&amp;"")</f>
        <v/>
      </c>
      <c r="B884" s="60" t="str">
        <f>IF($O884="","",IF(INDEX(jr_type,$O884)="BL","Livraison",IF(INDEX(jr_type,$O884)="BR","Réception","Sortie")))</f>
        <v/>
      </c>
      <c r="C884" s="65" t="str">
        <f>IF($O884="","",INDEX(jr_date,$O884))</f>
        <v/>
      </c>
      <c r="D884" s="60" t="str">
        <f>IF($O884="","",INDEX(jr_tiers,$O884)&amp;"")</f>
        <v/>
      </c>
      <c r="E884" s="57" t="str">
        <f>IF($O884="","",INDEX(jr_name,$O884)&amp;"")</f>
        <v/>
      </c>
      <c r="F884" s="57" t="str">
        <f>IF($O884="","",INDEX(jr_order,$O884)&amp;"")</f>
        <v/>
      </c>
      <c r="G884" s="57" t="str">
        <f>IF($O884="","",INDEX(jr_ext,$O884)&amp;"")</f>
        <v/>
      </c>
      <c r="H884" s="57" t="str">
        <f>IF($O884="","",INDEX(jr_carrier,$O884)&amp;"")</f>
        <v/>
      </c>
      <c r="I884" s="66" t="str">
        <f>IF(A884="","",COUNTIF(jr_num,A884))</f>
        <v/>
      </c>
      <c r="J884" s="66" t="str">
        <f>IF(A884="","",SUMIF(jr_num,A884,jr_colis))</f>
        <v/>
      </c>
      <c r="K884" s="63" t="str">
        <f>IF(A884="","",SUMIF(jr_num,A884,jr_kg))</f>
        <v/>
      </c>
      <c r="L884" s="64" t="str">
        <f>IF(A884="","",SUMIF(jr_num,A884,jr_val))</f>
        <v/>
      </c>
      <c r="M884" s="60" t="str">
        <f>IF(A884="","",IF(COUNTIFS(jr_num,A884,jr_check,"&lt;&gt;OK")&gt;0,"À vérifier",IF(LEFT(A884,2)="BL",IF(COUNTIFS(jr_num,A884,jr_rel,"&gt;0")&gt;0,"Reliquat en cours",IF(COUNTIFS(jr_num,A884,jr_gap,"&lt;0")&gt;0,"Reliquat livré","Complet")),IF(LEFT(A884,2)="BR",IF(COUNTIFS(jr_num,A884,jr_etat,"Refusé")&gt;0,"Refusé",IF(COUNTIFS(jr_num,A884,jr_etat,"Avec réserves")&gt;0,"Avec réserves",IF(COUNTIFS(jr_num,A884,jr_rel,"&gt;0")&gt;0,"Reliquat en cours",IF(COUNTIFS(jr_num,A884,jr_gap,"&lt;0")+COUNTIFS(jr_num,A884,jr_gap,"&gt;0")&gt;0,"Écart","Conforme")))),IF(COUNTIFS(jr_num,A884,jr_gap,"&lt;0")&gt;0,"Partiel","Sorti")))))</f>
        <v/>
      </c>
      <c r="O884" t="str">
        <f>IFERROR(MATCH(879,jr_grank,0),"")</f>
        <v/>
      </c>
      <c r="R884" s="67" t="str">
        <f>IFERROR(INDEX(jr_num,MATCH("BL879",jr_nkey,0))&amp;"","")</f>
        <v/>
      </c>
      <c r="S884" s="67" t="str">
        <f>IFERROR(INDEX(jr_num,MATCH("BR879",jr_nkey,0))&amp;"","")</f>
        <v/>
      </c>
      <c r="T884" s="67" t="str">
        <f>IFERROR(INDEX(jr_num,MATCH("BS879",jr_nkey,0))&amp;"","")</f>
        <v/>
      </c>
    </row>
    <row r="885">
      <c r="A885" s="60" t="str">
        <f>IF($O885="","",INDEX(jr_num,$O885)&amp;"")</f>
        <v/>
      </c>
      <c r="B885" s="60" t="str">
        <f>IF($O885="","",IF(INDEX(jr_type,$O885)="BL","Livraison",IF(INDEX(jr_type,$O885)="BR","Réception","Sortie")))</f>
        <v/>
      </c>
      <c r="C885" s="65" t="str">
        <f>IF($O885="","",INDEX(jr_date,$O885))</f>
        <v/>
      </c>
      <c r="D885" s="60" t="str">
        <f>IF($O885="","",INDEX(jr_tiers,$O885)&amp;"")</f>
        <v/>
      </c>
      <c r="E885" s="57" t="str">
        <f>IF($O885="","",INDEX(jr_name,$O885)&amp;"")</f>
        <v/>
      </c>
      <c r="F885" s="57" t="str">
        <f>IF($O885="","",INDEX(jr_order,$O885)&amp;"")</f>
        <v/>
      </c>
      <c r="G885" s="57" t="str">
        <f>IF($O885="","",INDEX(jr_ext,$O885)&amp;"")</f>
        <v/>
      </c>
      <c r="H885" s="57" t="str">
        <f>IF($O885="","",INDEX(jr_carrier,$O885)&amp;"")</f>
        <v/>
      </c>
      <c r="I885" s="66" t="str">
        <f>IF(A885="","",COUNTIF(jr_num,A885))</f>
        <v/>
      </c>
      <c r="J885" s="66" t="str">
        <f>IF(A885="","",SUMIF(jr_num,A885,jr_colis))</f>
        <v/>
      </c>
      <c r="K885" s="63" t="str">
        <f>IF(A885="","",SUMIF(jr_num,A885,jr_kg))</f>
        <v/>
      </c>
      <c r="L885" s="64" t="str">
        <f>IF(A885="","",SUMIF(jr_num,A885,jr_val))</f>
        <v/>
      </c>
      <c r="M885" s="60" t="str">
        <f>IF(A885="","",IF(COUNTIFS(jr_num,A885,jr_check,"&lt;&gt;OK")&gt;0,"À vérifier",IF(LEFT(A885,2)="BL",IF(COUNTIFS(jr_num,A885,jr_rel,"&gt;0")&gt;0,"Reliquat en cours",IF(COUNTIFS(jr_num,A885,jr_gap,"&lt;0")&gt;0,"Reliquat livré","Complet")),IF(LEFT(A885,2)="BR",IF(COUNTIFS(jr_num,A885,jr_etat,"Refusé")&gt;0,"Refusé",IF(COUNTIFS(jr_num,A885,jr_etat,"Avec réserves")&gt;0,"Avec réserves",IF(COUNTIFS(jr_num,A885,jr_rel,"&gt;0")&gt;0,"Reliquat en cours",IF(COUNTIFS(jr_num,A885,jr_gap,"&lt;0")+COUNTIFS(jr_num,A885,jr_gap,"&gt;0")&gt;0,"Écart","Conforme")))),IF(COUNTIFS(jr_num,A885,jr_gap,"&lt;0")&gt;0,"Partiel","Sorti")))))</f>
        <v/>
      </c>
      <c r="O885" t="str">
        <f>IFERROR(MATCH(880,jr_grank,0),"")</f>
        <v/>
      </c>
      <c r="R885" s="67" t="str">
        <f>IFERROR(INDEX(jr_num,MATCH("BL880",jr_nkey,0))&amp;"","")</f>
        <v/>
      </c>
      <c r="S885" s="67" t="str">
        <f>IFERROR(INDEX(jr_num,MATCH("BR880",jr_nkey,0))&amp;"","")</f>
        <v/>
      </c>
      <c r="T885" s="67" t="str">
        <f>IFERROR(INDEX(jr_num,MATCH("BS880",jr_nkey,0))&amp;"","")</f>
        <v/>
      </c>
    </row>
    <row r="886">
      <c r="A886" s="60" t="str">
        <f>IF($O886="","",INDEX(jr_num,$O886)&amp;"")</f>
        <v/>
      </c>
      <c r="B886" s="60" t="str">
        <f>IF($O886="","",IF(INDEX(jr_type,$O886)="BL","Livraison",IF(INDEX(jr_type,$O886)="BR","Réception","Sortie")))</f>
        <v/>
      </c>
      <c r="C886" s="65" t="str">
        <f>IF($O886="","",INDEX(jr_date,$O886))</f>
        <v/>
      </c>
      <c r="D886" s="60" t="str">
        <f>IF($O886="","",INDEX(jr_tiers,$O886)&amp;"")</f>
        <v/>
      </c>
      <c r="E886" s="57" t="str">
        <f>IF($O886="","",INDEX(jr_name,$O886)&amp;"")</f>
        <v/>
      </c>
      <c r="F886" s="57" t="str">
        <f>IF($O886="","",INDEX(jr_order,$O886)&amp;"")</f>
        <v/>
      </c>
      <c r="G886" s="57" t="str">
        <f>IF($O886="","",INDEX(jr_ext,$O886)&amp;"")</f>
        <v/>
      </c>
      <c r="H886" s="57" t="str">
        <f>IF($O886="","",INDEX(jr_carrier,$O886)&amp;"")</f>
        <v/>
      </c>
      <c r="I886" s="66" t="str">
        <f>IF(A886="","",COUNTIF(jr_num,A886))</f>
        <v/>
      </c>
      <c r="J886" s="66" t="str">
        <f>IF(A886="","",SUMIF(jr_num,A886,jr_colis))</f>
        <v/>
      </c>
      <c r="K886" s="63" t="str">
        <f>IF(A886="","",SUMIF(jr_num,A886,jr_kg))</f>
        <v/>
      </c>
      <c r="L886" s="64" t="str">
        <f>IF(A886="","",SUMIF(jr_num,A886,jr_val))</f>
        <v/>
      </c>
      <c r="M886" s="60" t="str">
        <f>IF(A886="","",IF(COUNTIFS(jr_num,A886,jr_check,"&lt;&gt;OK")&gt;0,"À vérifier",IF(LEFT(A886,2)="BL",IF(COUNTIFS(jr_num,A886,jr_rel,"&gt;0")&gt;0,"Reliquat en cours",IF(COUNTIFS(jr_num,A886,jr_gap,"&lt;0")&gt;0,"Reliquat livré","Complet")),IF(LEFT(A886,2)="BR",IF(COUNTIFS(jr_num,A886,jr_etat,"Refusé")&gt;0,"Refusé",IF(COUNTIFS(jr_num,A886,jr_etat,"Avec réserves")&gt;0,"Avec réserves",IF(COUNTIFS(jr_num,A886,jr_rel,"&gt;0")&gt;0,"Reliquat en cours",IF(COUNTIFS(jr_num,A886,jr_gap,"&lt;0")+COUNTIFS(jr_num,A886,jr_gap,"&gt;0")&gt;0,"Écart","Conforme")))),IF(COUNTIFS(jr_num,A886,jr_gap,"&lt;0")&gt;0,"Partiel","Sorti")))))</f>
        <v/>
      </c>
      <c r="O886" t="str">
        <f>IFERROR(MATCH(881,jr_grank,0),"")</f>
        <v/>
      </c>
      <c r="R886" s="67" t="str">
        <f>IFERROR(INDEX(jr_num,MATCH("BL881",jr_nkey,0))&amp;"","")</f>
        <v/>
      </c>
      <c r="S886" s="67" t="str">
        <f>IFERROR(INDEX(jr_num,MATCH("BR881",jr_nkey,0))&amp;"","")</f>
        <v/>
      </c>
      <c r="T886" s="67" t="str">
        <f>IFERROR(INDEX(jr_num,MATCH("BS881",jr_nkey,0))&amp;"","")</f>
        <v/>
      </c>
    </row>
    <row r="887">
      <c r="A887" s="60" t="str">
        <f>IF($O887="","",INDEX(jr_num,$O887)&amp;"")</f>
        <v/>
      </c>
      <c r="B887" s="60" t="str">
        <f>IF($O887="","",IF(INDEX(jr_type,$O887)="BL","Livraison",IF(INDEX(jr_type,$O887)="BR","Réception","Sortie")))</f>
        <v/>
      </c>
      <c r="C887" s="65" t="str">
        <f>IF($O887="","",INDEX(jr_date,$O887))</f>
        <v/>
      </c>
      <c r="D887" s="60" t="str">
        <f>IF($O887="","",INDEX(jr_tiers,$O887)&amp;"")</f>
        <v/>
      </c>
      <c r="E887" s="57" t="str">
        <f>IF($O887="","",INDEX(jr_name,$O887)&amp;"")</f>
        <v/>
      </c>
      <c r="F887" s="57" t="str">
        <f>IF($O887="","",INDEX(jr_order,$O887)&amp;"")</f>
        <v/>
      </c>
      <c r="G887" s="57" t="str">
        <f>IF($O887="","",INDEX(jr_ext,$O887)&amp;"")</f>
        <v/>
      </c>
      <c r="H887" s="57" t="str">
        <f>IF($O887="","",INDEX(jr_carrier,$O887)&amp;"")</f>
        <v/>
      </c>
      <c r="I887" s="66" t="str">
        <f>IF(A887="","",COUNTIF(jr_num,A887))</f>
        <v/>
      </c>
      <c r="J887" s="66" t="str">
        <f>IF(A887="","",SUMIF(jr_num,A887,jr_colis))</f>
        <v/>
      </c>
      <c r="K887" s="63" t="str">
        <f>IF(A887="","",SUMIF(jr_num,A887,jr_kg))</f>
        <v/>
      </c>
      <c r="L887" s="64" t="str">
        <f>IF(A887="","",SUMIF(jr_num,A887,jr_val))</f>
        <v/>
      </c>
      <c r="M887" s="60" t="str">
        <f>IF(A887="","",IF(COUNTIFS(jr_num,A887,jr_check,"&lt;&gt;OK")&gt;0,"À vérifier",IF(LEFT(A887,2)="BL",IF(COUNTIFS(jr_num,A887,jr_rel,"&gt;0")&gt;0,"Reliquat en cours",IF(COUNTIFS(jr_num,A887,jr_gap,"&lt;0")&gt;0,"Reliquat livré","Complet")),IF(LEFT(A887,2)="BR",IF(COUNTIFS(jr_num,A887,jr_etat,"Refusé")&gt;0,"Refusé",IF(COUNTIFS(jr_num,A887,jr_etat,"Avec réserves")&gt;0,"Avec réserves",IF(COUNTIFS(jr_num,A887,jr_rel,"&gt;0")&gt;0,"Reliquat en cours",IF(COUNTIFS(jr_num,A887,jr_gap,"&lt;0")+COUNTIFS(jr_num,A887,jr_gap,"&gt;0")&gt;0,"Écart","Conforme")))),IF(COUNTIFS(jr_num,A887,jr_gap,"&lt;0")&gt;0,"Partiel","Sorti")))))</f>
        <v/>
      </c>
      <c r="O887" t="str">
        <f>IFERROR(MATCH(882,jr_grank,0),"")</f>
        <v/>
      </c>
      <c r="R887" s="67" t="str">
        <f>IFERROR(INDEX(jr_num,MATCH("BL882",jr_nkey,0))&amp;"","")</f>
        <v/>
      </c>
      <c r="S887" s="67" t="str">
        <f>IFERROR(INDEX(jr_num,MATCH("BR882",jr_nkey,0))&amp;"","")</f>
        <v/>
      </c>
      <c r="T887" s="67" t="str">
        <f>IFERROR(INDEX(jr_num,MATCH("BS882",jr_nkey,0))&amp;"","")</f>
        <v/>
      </c>
    </row>
    <row r="888">
      <c r="A888" s="60" t="str">
        <f>IF($O888="","",INDEX(jr_num,$O888)&amp;"")</f>
        <v/>
      </c>
      <c r="B888" s="60" t="str">
        <f>IF($O888="","",IF(INDEX(jr_type,$O888)="BL","Livraison",IF(INDEX(jr_type,$O888)="BR","Réception","Sortie")))</f>
        <v/>
      </c>
      <c r="C888" s="65" t="str">
        <f>IF($O888="","",INDEX(jr_date,$O888))</f>
        <v/>
      </c>
      <c r="D888" s="60" t="str">
        <f>IF($O888="","",INDEX(jr_tiers,$O888)&amp;"")</f>
        <v/>
      </c>
      <c r="E888" s="57" t="str">
        <f>IF($O888="","",INDEX(jr_name,$O888)&amp;"")</f>
        <v/>
      </c>
      <c r="F888" s="57" t="str">
        <f>IF($O888="","",INDEX(jr_order,$O888)&amp;"")</f>
        <v/>
      </c>
      <c r="G888" s="57" t="str">
        <f>IF($O888="","",INDEX(jr_ext,$O888)&amp;"")</f>
        <v/>
      </c>
      <c r="H888" s="57" t="str">
        <f>IF($O888="","",INDEX(jr_carrier,$O888)&amp;"")</f>
        <v/>
      </c>
      <c r="I888" s="66" t="str">
        <f>IF(A888="","",COUNTIF(jr_num,A888))</f>
        <v/>
      </c>
      <c r="J888" s="66" t="str">
        <f>IF(A888="","",SUMIF(jr_num,A888,jr_colis))</f>
        <v/>
      </c>
      <c r="K888" s="63" t="str">
        <f>IF(A888="","",SUMIF(jr_num,A888,jr_kg))</f>
        <v/>
      </c>
      <c r="L888" s="64" t="str">
        <f>IF(A888="","",SUMIF(jr_num,A888,jr_val))</f>
        <v/>
      </c>
      <c r="M888" s="60" t="str">
        <f>IF(A888="","",IF(COUNTIFS(jr_num,A888,jr_check,"&lt;&gt;OK")&gt;0,"À vérifier",IF(LEFT(A888,2)="BL",IF(COUNTIFS(jr_num,A888,jr_rel,"&gt;0")&gt;0,"Reliquat en cours",IF(COUNTIFS(jr_num,A888,jr_gap,"&lt;0")&gt;0,"Reliquat livré","Complet")),IF(LEFT(A888,2)="BR",IF(COUNTIFS(jr_num,A888,jr_etat,"Refusé")&gt;0,"Refusé",IF(COUNTIFS(jr_num,A888,jr_etat,"Avec réserves")&gt;0,"Avec réserves",IF(COUNTIFS(jr_num,A888,jr_rel,"&gt;0")&gt;0,"Reliquat en cours",IF(COUNTIFS(jr_num,A888,jr_gap,"&lt;0")+COUNTIFS(jr_num,A888,jr_gap,"&gt;0")&gt;0,"Écart","Conforme")))),IF(COUNTIFS(jr_num,A888,jr_gap,"&lt;0")&gt;0,"Partiel","Sorti")))))</f>
        <v/>
      </c>
      <c r="O888" t="str">
        <f>IFERROR(MATCH(883,jr_grank,0),"")</f>
        <v/>
      </c>
      <c r="R888" s="67" t="str">
        <f>IFERROR(INDEX(jr_num,MATCH("BL883",jr_nkey,0))&amp;"","")</f>
        <v/>
      </c>
      <c r="S888" s="67" t="str">
        <f>IFERROR(INDEX(jr_num,MATCH("BR883",jr_nkey,0))&amp;"","")</f>
        <v/>
      </c>
      <c r="T888" s="67" t="str">
        <f>IFERROR(INDEX(jr_num,MATCH("BS883",jr_nkey,0))&amp;"","")</f>
        <v/>
      </c>
    </row>
    <row r="889">
      <c r="A889" s="60" t="str">
        <f>IF($O889="","",INDEX(jr_num,$O889)&amp;"")</f>
        <v/>
      </c>
      <c r="B889" s="60" t="str">
        <f>IF($O889="","",IF(INDEX(jr_type,$O889)="BL","Livraison",IF(INDEX(jr_type,$O889)="BR","Réception","Sortie")))</f>
        <v/>
      </c>
      <c r="C889" s="65" t="str">
        <f>IF($O889="","",INDEX(jr_date,$O889))</f>
        <v/>
      </c>
      <c r="D889" s="60" t="str">
        <f>IF($O889="","",INDEX(jr_tiers,$O889)&amp;"")</f>
        <v/>
      </c>
      <c r="E889" s="57" t="str">
        <f>IF($O889="","",INDEX(jr_name,$O889)&amp;"")</f>
        <v/>
      </c>
      <c r="F889" s="57" t="str">
        <f>IF($O889="","",INDEX(jr_order,$O889)&amp;"")</f>
        <v/>
      </c>
      <c r="G889" s="57" t="str">
        <f>IF($O889="","",INDEX(jr_ext,$O889)&amp;"")</f>
        <v/>
      </c>
      <c r="H889" s="57" t="str">
        <f>IF($O889="","",INDEX(jr_carrier,$O889)&amp;"")</f>
        <v/>
      </c>
      <c r="I889" s="66" t="str">
        <f>IF(A889="","",COUNTIF(jr_num,A889))</f>
        <v/>
      </c>
      <c r="J889" s="66" t="str">
        <f>IF(A889="","",SUMIF(jr_num,A889,jr_colis))</f>
        <v/>
      </c>
      <c r="K889" s="63" t="str">
        <f>IF(A889="","",SUMIF(jr_num,A889,jr_kg))</f>
        <v/>
      </c>
      <c r="L889" s="64" t="str">
        <f>IF(A889="","",SUMIF(jr_num,A889,jr_val))</f>
        <v/>
      </c>
      <c r="M889" s="60" t="str">
        <f>IF(A889="","",IF(COUNTIFS(jr_num,A889,jr_check,"&lt;&gt;OK")&gt;0,"À vérifier",IF(LEFT(A889,2)="BL",IF(COUNTIFS(jr_num,A889,jr_rel,"&gt;0")&gt;0,"Reliquat en cours",IF(COUNTIFS(jr_num,A889,jr_gap,"&lt;0")&gt;0,"Reliquat livré","Complet")),IF(LEFT(A889,2)="BR",IF(COUNTIFS(jr_num,A889,jr_etat,"Refusé")&gt;0,"Refusé",IF(COUNTIFS(jr_num,A889,jr_etat,"Avec réserves")&gt;0,"Avec réserves",IF(COUNTIFS(jr_num,A889,jr_rel,"&gt;0")&gt;0,"Reliquat en cours",IF(COUNTIFS(jr_num,A889,jr_gap,"&lt;0")+COUNTIFS(jr_num,A889,jr_gap,"&gt;0")&gt;0,"Écart","Conforme")))),IF(COUNTIFS(jr_num,A889,jr_gap,"&lt;0")&gt;0,"Partiel","Sorti")))))</f>
        <v/>
      </c>
      <c r="O889" t="str">
        <f>IFERROR(MATCH(884,jr_grank,0),"")</f>
        <v/>
      </c>
      <c r="R889" s="67" t="str">
        <f>IFERROR(INDEX(jr_num,MATCH("BL884",jr_nkey,0))&amp;"","")</f>
        <v/>
      </c>
      <c r="S889" s="67" t="str">
        <f>IFERROR(INDEX(jr_num,MATCH("BR884",jr_nkey,0))&amp;"","")</f>
        <v/>
      </c>
      <c r="T889" s="67" t="str">
        <f>IFERROR(INDEX(jr_num,MATCH("BS884",jr_nkey,0))&amp;"","")</f>
        <v/>
      </c>
    </row>
    <row r="890">
      <c r="A890" s="60" t="str">
        <f>IF($O890="","",INDEX(jr_num,$O890)&amp;"")</f>
        <v/>
      </c>
      <c r="B890" s="60" t="str">
        <f>IF($O890="","",IF(INDEX(jr_type,$O890)="BL","Livraison",IF(INDEX(jr_type,$O890)="BR","Réception","Sortie")))</f>
        <v/>
      </c>
      <c r="C890" s="65" t="str">
        <f>IF($O890="","",INDEX(jr_date,$O890))</f>
        <v/>
      </c>
      <c r="D890" s="60" t="str">
        <f>IF($O890="","",INDEX(jr_tiers,$O890)&amp;"")</f>
        <v/>
      </c>
      <c r="E890" s="57" t="str">
        <f>IF($O890="","",INDEX(jr_name,$O890)&amp;"")</f>
        <v/>
      </c>
      <c r="F890" s="57" t="str">
        <f>IF($O890="","",INDEX(jr_order,$O890)&amp;"")</f>
        <v/>
      </c>
      <c r="G890" s="57" t="str">
        <f>IF($O890="","",INDEX(jr_ext,$O890)&amp;"")</f>
        <v/>
      </c>
      <c r="H890" s="57" t="str">
        <f>IF($O890="","",INDEX(jr_carrier,$O890)&amp;"")</f>
        <v/>
      </c>
      <c r="I890" s="66" t="str">
        <f>IF(A890="","",COUNTIF(jr_num,A890))</f>
        <v/>
      </c>
      <c r="J890" s="66" t="str">
        <f>IF(A890="","",SUMIF(jr_num,A890,jr_colis))</f>
        <v/>
      </c>
      <c r="K890" s="63" t="str">
        <f>IF(A890="","",SUMIF(jr_num,A890,jr_kg))</f>
        <v/>
      </c>
      <c r="L890" s="64" t="str">
        <f>IF(A890="","",SUMIF(jr_num,A890,jr_val))</f>
        <v/>
      </c>
      <c r="M890" s="60" t="str">
        <f>IF(A890="","",IF(COUNTIFS(jr_num,A890,jr_check,"&lt;&gt;OK")&gt;0,"À vérifier",IF(LEFT(A890,2)="BL",IF(COUNTIFS(jr_num,A890,jr_rel,"&gt;0")&gt;0,"Reliquat en cours",IF(COUNTIFS(jr_num,A890,jr_gap,"&lt;0")&gt;0,"Reliquat livré","Complet")),IF(LEFT(A890,2)="BR",IF(COUNTIFS(jr_num,A890,jr_etat,"Refusé")&gt;0,"Refusé",IF(COUNTIFS(jr_num,A890,jr_etat,"Avec réserves")&gt;0,"Avec réserves",IF(COUNTIFS(jr_num,A890,jr_rel,"&gt;0")&gt;0,"Reliquat en cours",IF(COUNTIFS(jr_num,A890,jr_gap,"&lt;0")+COUNTIFS(jr_num,A890,jr_gap,"&gt;0")&gt;0,"Écart","Conforme")))),IF(COUNTIFS(jr_num,A890,jr_gap,"&lt;0")&gt;0,"Partiel","Sorti")))))</f>
        <v/>
      </c>
      <c r="O890" t="str">
        <f>IFERROR(MATCH(885,jr_grank,0),"")</f>
        <v/>
      </c>
      <c r="R890" s="67" t="str">
        <f>IFERROR(INDEX(jr_num,MATCH("BL885",jr_nkey,0))&amp;"","")</f>
        <v/>
      </c>
      <c r="S890" s="67" t="str">
        <f>IFERROR(INDEX(jr_num,MATCH("BR885",jr_nkey,0))&amp;"","")</f>
        <v/>
      </c>
      <c r="T890" s="67" t="str">
        <f>IFERROR(INDEX(jr_num,MATCH("BS885",jr_nkey,0))&amp;"","")</f>
        <v/>
      </c>
    </row>
    <row r="891">
      <c r="A891" s="60" t="str">
        <f>IF($O891="","",INDEX(jr_num,$O891)&amp;"")</f>
        <v/>
      </c>
      <c r="B891" s="60" t="str">
        <f>IF($O891="","",IF(INDEX(jr_type,$O891)="BL","Livraison",IF(INDEX(jr_type,$O891)="BR","Réception","Sortie")))</f>
        <v/>
      </c>
      <c r="C891" s="65" t="str">
        <f>IF($O891="","",INDEX(jr_date,$O891))</f>
        <v/>
      </c>
      <c r="D891" s="60" t="str">
        <f>IF($O891="","",INDEX(jr_tiers,$O891)&amp;"")</f>
        <v/>
      </c>
      <c r="E891" s="57" t="str">
        <f>IF($O891="","",INDEX(jr_name,$O891)&amp;"")</f>
        <v/>
      </c>
      <c r="F891" s="57" t="str">
        <f>IF($O891="","",INDEX(jr_order,$O891)&amp;"")</f>
        <v/>
      </c>
      <c r="G891" s="57" t="str">
        <f>IF($O891="","",INDEX(jr_ext,$O891)&amp;"")</f>
        <v/>
      </c>
      <c r="H891" s="57" t="str">
        <f>IF($O891="","",INDEX(jr_carrier,$O891)&amp;"")</f>
        <v/>
      </c>
      <c r="I891" s="66" t="str">
        <f>IF(A891="","",COUNTIF(jr_num,A891))</f>
        <v/>
      </c>
      <c r="J891" s="66" t="str">
        <f>IF(A891="","",SUMIF(jr_num,A891,jr_colis))</f>
        <v/>
      </c>
      <c r="K891" s="63" t="str">
        <f>IF(A891="","",SUMIF(jr_num,A891,jr_kg))</f>
        <v/>
      </c>
      <c r="L891" s="64" t="str">
        <f>IF(A891="","",SUMIF(jr_num,A891,jr_val))</f>
        <v/>
      </c>
      <c r="M891" s="60" t="str">
        <f>IF(A891="","",IF(COUNTIFS(jr_num,A891,jr_check,"&lt;&gt;OK")&gt;0,"À vérifier",IF(LEFT(A891,2)="BL",IF(COUNTIFS(jr_num,A891,jr_rel,"&gt;0")&gt;0,"Reliquat en cours",IF(COUNTIFS(jr_num,A891,jr_gap,"&lt;0")&gt;0,"Reliquat livré","Complet")),IF(LEFT(A891,2)="BR",IF(COUNTIFS(jr_num,A891,jr_etat,"Refusé")&gt;0,"Refusé",IF(COUNTIFS(jr_num,A891,jr_etat,"Avec réserves")&gt;0,"Avec réserves",IF(COUNTIFS(jr_num,A891,jr_rel,"&gt;0")&gt;0,"Reliquat en cours",IF(COUNTIFS(jr_num,A891,jr_gap,"&lt;0")+COUNTIFS(jr_num,A891,jr_gap,"&gt;0")&gt;0,"Écart","Conforme")))),IF(COUNTIFS(jr_num,A891,jr_gap,"&lt;0")&gt;0,"Partiel","Sorti")))))</f>
        <v/>
      </c>
      <c r="O891" t="str">
        <f>IFERROR(MATCH(886,jr_grank,0),"")</f>
        <v/>
      </c>
      <c r="R891" s="67" t="str">
        <f>IFERROR(INDEX(jr_num,MATCH("BL886",jr_nkey,0))&amp;"","")</f>
        <v/>
      </c>
      <c r="S891" s="67" t="str">
        <f>IFERROR(INDEX(jr_num,MATCH("BR886",jr_nkey,0))&amp;"","")</f>
        <v/>
      </c>
      <c r="T891" s="67" t="str">
        <f>IFERROR(INDEX(jr_num,MATCH("BS886",jr_nkey,0))&amp;"","")</f>
        <v/>
      </c>
    </row>
    <row r="892">
      <c r="A892" s="60" t="str">
        <f>IF($O892="","",INDEX(jr_num,$O892)&amp;"")</f>
        <v/>
      </c>
      <c r="B892" s="60" t="str">
        <f>IF($O892="","",IF(INDEX(jr_type,$O892)="BL","Livraison",IF(INDEX(jr_type,$O892)="BR","Réception","Sortie")))</f>
        <v/>
      </c>
      <c r="C892" s="65" t="str">
        <f>IF($O892="","",INDEX(jr_date,$O892))</f>
        <v/>
      </c>
      <c r="D892" s="60" t="str">
        <f>IF($O892="","",INDEX(jr_tiers,$O892)&amp;"")</f>
        <v/>
      </c>
      <c r="E892" s="57" t="str">
        <f>IF($O892="","",INDEX(jr_name,$O892)&amp;"")</f>
        <v/>
      </c>
      <c r="F892" s="57" t="str">
        <f>IF($O892="","",INDEX(jr_order,$O892)&amp;"")</f>
        <v/>
      </c>
      <c r="G892" s="57" t="str">
        <f>IF($O892="","",INDEX(jr_ext,$O892)&amp;"")</f>
        <v/>
      </c>
      <c r="H892" s="57" t="str">
        <f>IF($O892="","",INDEX(jr_carrier,$O892)&amp;"")</f>
        <v/>
      </c>
      <c r="I892" s="66" t="str">
        <f>IF(A892="","",COUNTIF(jr_num,A892))</f>
        <v/>
      </c>
      <c r="J892" s="66" t="str">
        <f>IF(A892="","",SUMIF(jr_num,A892,jr_colis))</f>
        <v/>
      </c>
      <c r="K892" s="63" t="str">
        <f>IF(A892="","",SUMIF(jr_num,A892,jr_kg))</f>
        <v/>
      </c>
      <c r="L892" s="64" t="str">
        <f>IF(A892="","",SUMIF(jr_num,A892,jr_val))</f>
        <v/>
      </c>
      <c r="M892" s="60" t="str">
        <f>IF(A892="","",IF(COUNTIFS(jr_num,A892,jr_check,"&lt;&gt;OK")&gt;0,"À vérifier",IF(LEFT(A892,2)="BL",IF(COUNTIFS(jr_num,A892,jr_rel,"&gt;0")&gt;0,"Reliquat en cours",IF(COUNTIFS(jr_num,A892,jr_gap,"&lt;0")&gt;0,"Reliquat livré","Complet")),IF(LEFT(A892,2)="BR",IF(COUNTIFS(jr_num,A892,jr_etat,"Refusé")&gt;0,"Refusé",IF(COUNTIFS(jr_num,A892,jr_etat,"Avec réserves")&gt;0,"Avec réserves",IF(COUNTIFS(jr_num,A892,jr_rel,"&gt;0")&gt;0,"Reliquat en cours",IF(COUNTIFS(jr_num,A892,jr_gap,"&lt;0")+COUNTIFS(jr_num,A892,jr_gap,"&gt;0")&gt;0,"Écart","Conforme")))),IF(COUNTIFS(jr_num,A892,jr_gap,"&lt;0")&gt;0,"Partiel","Sorti")))))</f>
        <v/>
      </c>
      <c r="O892" t="str">
        <f>IFERROR(MATCH(887,jr_grank,0),"")</f>
        <v/>
      </c>
      <c r="R892" s="67" t="str">
        <f>IFERROR(INDEX(jr_num,MATCH("BL887",jr_nkey,0))&amp;"","")</f>
        <v/>
      </c>
      <c r="S892" s="67" t="str">
        <f>IFERROR(INDEX(jr_num,MATCH("BR887",jr_nkey,0))&amp;"","")</f>
        <v/>
      </c>
      <c r="T892" s="67" t="str">
        <f>IFERROR(INDEX(jr_num,MATCH("BS887",jr_nkey,0))&amp;"","")</f>
        <v/>
      </c>
    </row>
    <row r="893">
      <c r="A893" s="60" t="str">
        <f>IF($O893="","",INDEX(jr_num,$O893)&amp;"")</f>
        <v/>
      </c>
      <c r="B893" s="60" t="str">
        <f>IF($O893="","",IF(INDEX(jr_type,$O893)="BL","Livraison",IF(INDEX(jr_type,$O893)="BR","Réception","Sortie")))</f>
        <v/>
      </c>
      <c r="C893" s="65" t="str">
        <f>IF($O893="","",INDEX(jr_date,$O893))</f>
        <v/>
      </c>
      <c r="D893" s="60" t="str">
        <f>IF($O893="","",INDEX(jr_tiers,$O893)&amp;"")</f>
        <v/>
      </c>
      <c r="E893" s="57" t="str">
        <f>IF($O893="","",INDEX(jr_name,$O893)&amp;"")</f>
        <v/>
      </c>
      <c r="F893" s="57" t="str">
        <f>IF($O893="","",INDEX(jr_order,$O893)&amp;"")</f>
        <v/>
      </c>
      <c r="G893" s="57" t="str">
        <f>IF($O893="","",INDEX(jr_ext,$O893)&amp;"")</f>
        <v/>
      </c>
      <c r="H893" s="57" t="str">
        <f>IF($O893="","",INDEX(jr_carrier,$O893)&amp;"")</f>
        <v/>
      </c>
      <c r="I893" s="66" t="str">
        <f>IF(A893="","",COUNTIF(jr_num,A893))</f>
        <v/>
      </c>
      <c r="J893" s="66" t="str">
        <f>IF(A893="","",SUMIF(jr_num,A893,jr_colis))</f>
        <v/>
      </c>
      <c r="K893" s="63" t="str">
        <f>IF(A893="","",SUMIF(jr_num,A893,jr_kg))</f>
        <v/>
      </c>
      <c r="L893" s="64" t="str">
        <f>IF(A893="","",SUMIF(jr_num,A893,jr_val))</f>
        <v/>
      </c>
      <c r="M893" s="60" t="str">
        <f>IF(A893="","",IF(COUNTIFS(jr_num,A893,jr_check,"&lt;&gt;OK")&gt;0,"À vérifier",IF(LEFT(A893,2)="BL",IF(COUNTIFS(jr_num,A893,jr_rel,"&gt;0")&gt;0,"Reliquat en cours",IF(COUNTIFS(jr_num,A893,jr_gap,"&lt;0")&gt;0,"Reliquat livré","Complet")),IF(LEFT(A893,2)="BR",IF(COUNTIFS(jr_num,A893,jr_etat,"Refusé")&gt;0,"Refusé",IF(COUNTIFS(jr_num,A893,jr_etat,"Avec réserves")&gt;0,"Avec réserves",IF(COUNTIFS(jr_num,A893,jr_rel,"&gt;0")&gt;0,"Reliquat en cours",IF(COUNTIFS(jr_num,A893,jr_gap,"&lt;0")+COUNTIFS(jr_num,A893,jr_gap,"&gt;0")&gt;0,"Écart","Conforme")))),IF(COUNTIFS(jr_num,A893,jr_gap,"&lt;0")&gt;0,"Partiel","Sorti")))))</f>
        <v/>
      </c>
      <c r="O893" t="str">
        <f>IFERROR(MATCH(888,jr_grank,0),"")</f>
        <v/>
      </c>
      <c r="R893" s="67" t="str">
        <f>IFERROR(INDEX(jr_num,MATCH("BL888",jr_nkey,0))&amp;"","")</f>
        <v/>
      </c>
      <c r="S893" s="67" t="str">
        <f>IFERROR(INDEX(jr_num,MATCH("BR888",jr_nkey,0))&amp;"","")</f>
        <v/>
      </c>
      <c r="T893" s="67" t="str">
        <f>IFERROR(INDEX(jr_num,MATCH("BS888",jr_nkey,0))&amp;"","")</f>
        <v/>
      </c>
    </row>
    <row r="894">
      <c r="A894" s="60" t="str">
        <f>IF($O894="","",INDEX(jr_num,$O894)&amp;"")</f>
        <v/>
      </c>
      <c r="B894" s="60" t="str">
        <f>IF($O894="","",IF(INDEX(jr_type,$O894)="BL","Livraison",IF(INDEX(jr_type,$O894)="BR","Réception","Sortie")))</f>
        <v/>
      </c>
      <c r="C894" s="65" t="str">
        <f>IF($O894="","",INDEX(jr_date,$O894))</f>
        <v/>
      </c>
      <c r="D894" s="60" t="str">
        <f>IF($O894="","",INDEX(jr_tiers,$O894)&amp;"")</f>
        <v/>
      </c>
      <c r="E894" s="57" t="str">
        <f>IF($O894="","",INDEX(jr_name,$O894)&amp;"")</f>
        <v/>
      </c>
      <c r="F894" s="57" t="str">
        <f>IF($O894="","",INDEX(jr_order,$O894)&amp;"")</f>
        <v/>
      </c>
      <c r="G894" s="57" t="str">
        <f>IF($O894="","",INDEX(jr_ext,$O894)&amp;"")</f>
        <v/>
      </c>
      <c r="H894" s="57" t="str">
        <f>IF($O894="","",INDEX(jr_carrier,$O894)&amp;"")</f>
        <v/>
      </c>
      <c r="I894" s="66" t="str">
        <f>IF(A894="","",COUNTIF(jr_num,A894))</f>
        <v/>
      </c>
      <c r="J894" s="66" t="str">
        <f>IF(A894="","",SUMIF(jr_num,A894,jr_colis))</f>
        <v/>
      </c>
      <c r="K894" s="63" t="str">
        <f>IF(A894="","",SUMIF(jr_num,A894,jr_kg))</f>
        <v/>
      </c>
      <c r="L894" s="64" t="str">
        <f>IF(A894="","",SUMIF(jr_num,A894,jr_val))</f>
        <v/>
      </c>
      <c r="M894" s="60" t="str">
        <f>IF(A894="","",IF(COUNTIFS(jr_num,A894,jr_check,"&lt;&gt;OK")&gt;0,"À vérifier",IF(LEFT(A894,2)="BL",IF(COUNTIFS(jr_num,A894,jr_rel,"&gt;0")&gt;0,"Reliquat en cours",IF(COUNTIFS(jr_num,A894,jr_gap,"&lt;0")&gt;0,"Reliquat livré","Complet")),IF(LEFT(A894,2)="BR",IF(COUNTIFS(jr_num,A894,jr_etat,"Refusé")&gt;0,"Refusé",IF(COUNTIFS(jr_num,A894,jr_etat,"Avec réserves")&gt;0,"Avec réserves",IF(COUNTIFS(jr_num,A894,jr_rel,"&gt;0")&gt;0,"Reliquat en cours",IF(COUNTIFS(jr_num,A894,jr_gap,"&lt;0")+COUNTIFS(jr_num,A894,jr_gap,"&gt;0")&gt;0,"Écart","Conforme")))),IF(COUNTIFS(jr_num,A894,jr_gap,"&lt;0")&gt;0,"Partiel","Sorti")))))</f>
        <v/>
      </c>
      <c r="O894" t="str">
        <f>IFERROR(MATCH(889,jr_grank,0),"")</f>
        <v/>
      </c>
      <c r="R894" s="67" t="str">
        <f>IFERROR(INDEX(jr_num,MATCH("BL889",jr_nkey,0))&amp;"","")</f>
        <v/>
      </c>
      <c r="S894" s="67" t="str">
        <f>IFERROR(INDEX(jr_num,MATCH("BR889",jr_nkey,0))&amp;"","")</f>
        <v/>
      </c>
      <c r="T894" s="67" t="str">
        <f>IFERROR(INDEX(jr_num,MATCH("BS889",jr_nkey,0))&amp;"","")</f>
        <v/>
      </c>
    </row>
    <row r="895">
      <c r="A895" s="60" t="str">
        <f>IF($O895="","",INDEX(jr_num,$O895)&amp;"")</f>
        <v/>
      </c>
      <c r="B895" s="60" t="str">
        <f>IF($O895="","",IF(INDEX(jr_type,$O895)="BL","Livraison",IF(INDEX(jr_type,$O895)="BR","Réception","Sortie")))</f>
        <v/>
      </c>
      <c r="C895" s="65" t="str">
        <f>IF($O895="","",INDEX(jr_date,$O895))</f>
        <v/>
      </c>
      <c r="D895" s="60" t="str">
        <f>IF($O895="","",INDEX(jr_tiers,$O895)&amp;"")</f>
        <v/>
      </c>
      <c r="E895" s="57" t="str">
        <f>IF($O895="","",INDEX(jr_name,$O895)&amp;"")</f>
        <v/>
      </c>
      <c r="F895" s="57" t="str">
        <f>IF($O895="","",INDEX(jr_order,$O895)&amp;"")</f>
        <v/>
      </c>
      <c r="G895" s="57" t="str">
        <f>IF($O895="","",INDEX(jr_ext,$O895)&amp;"")</f>
        <v/>
      </c>
      <c r="H895" s="57" t="str">
        <f>IF($O895="","",INDEX(jr_carrier,$O895)&amp;"")</f>
        <v/>
      </c>
      <c r="I895" s="66" t="str">
        <f>IF(A895="","",COUNTIF(jr_num,A895))</f>
        <v/>
      </c>
      <c r="J895" s="66" t="str">
        <f>IF(A895="","",SUMIF(jr_num,A895,jr_colis))</f>
        <v/>
      </c>
      <c r="K895" s="63" t="str">
        <f>IF(A895="","",SUMIF(jr_num,A895,jr_kg))</f>
        <v/>
      </c>
      <c r="L895" s="64" t="str">
        <f>IF(A895="","",SUMIF(jr_num,A895,jr_val))</f>
        <v/>
      </c>
      <c r="M895" s="60" t="str">
        <f>IF(A895="","",IF(COUNTIFS(jr_num,A895,jr_check,"&lt;&gt;OK")&gt;0,"À vérifier",IF(LEFT(A895,2)="BL",IF(COUNTIFS(jr_num,A895,jr_rel,"&gt;0")&gt;0,"Reliquat en cours",IF(COUNTIFS(jr_num,A895,jr_gap,"&lt;0")&gt;0,"Reliquat livré","Complet")),IF(LEFT(A895,2)="BR",IF(COUNTIFS(jr_num,A895,jr_etat,"Refusé")&gt;0,"Refusé",IF(COUNTIFS(jr_num,A895,jr_etat,"Avec réserves")&gt;0,"Avec réserves",IF(COUNTIFS(jr_num,A895,jr_rel,"&gt;0")&gt;0,"Reliquat en cours",IF(COUNTIFS(jr_num,A895,jr_gap,"&lt;0")+COUNTIFS(jr_num,A895,jr_gap,"&gt;0")&gt;0,"Écart","Conforme")))),IF(COUNTIFS(jr_num,A895,jr_gap,"&lt;0")&gt;0,"Partiel","Sorti")))))</f>
        <v/>
      </c>
      <c r="O895" t="str">
        <f>IFERROR(MATCH(890,jr_grank,0),"")</f>
        <v/>
      </c>
      <c r="R895" s="67" t="str">
        <f>IFERROR(INDEX(jr_num,MATCH("BL890",jr_nkey,0))&amp;"","")</f>
        <v/>
      </c>
      <c r="S895" s="67" t="str">
        <f>IFERROR(INDEX(jr_num,MATCH("BR890",jr_nkey,0))&amp;"","")</f>
        <v/>
      </c>
      <c r="T895" s="67" t="str">
        <f>IFERROR(INDEX(jr_num,MATCH("BS890",jr_nkey,0))&amp;"","")</f>
        <v/>
      </c>
    </row>
    <row r="896">
      <c r="A896" s="60" t="str">
        <f>IF($O896="","",INDEX(jr_num,$O896)&amp;"")</f>
        <v/>
      </c>
      <c r="B896" s="60" t="str">
        <f>IF($O896="","",IF(INDEX(jr_type,$O896)="BL","Livraison",IF(INDEX(jr_type,$O896)="BR","Réception","Sortie")))</f>
        <v/>
      </c>
      <c r="C896" s="65" t="str">
        <f>IF($O896="","",INDEX(jr_date,$O896))</f>
        <v/>
      </c>
      <c r="D896" s="60" t="str">
        <f>IF($O896="","",INDEX(jr_tiers,$O896)&amp;"")</f>
        <v/>
      </c>
      <c r="E896" s="57" t="str">
        <f>IF($O896="","",INDEX(jr_name,$O896)&amp;"")</f>
        <v/>
      </c>
      <c r="F896" s="57" t="str">
        <f>IF($O896="","",INDEX(jr_order,$O896)&amp;"")</f>
        <v/>
      </c>
      <c r="G896" s="57" t="str">
        <f>IF($O896="","",INDEX(jr_ext,$O896)&amp;"")</f>
        <v/>
      </c>
      <c r="H896" s="57" t="str">
        <f>IF($O896="","",INDEX(jr_carrier,$O896)&amp;"")</f>
        <v/>
      </c>
      <c r="I896" s="66" t="str">
        <f>IF(A896="","",COUNTIF(jr_num,A896))</f>
        <v/>
      </c>
      <c r="J896" s="66" t="str">
        <f>IF(A896="","",SUMIF(jr_num,A896,jr_colis))</f>
        <v/>
      </c>
      <c r="K896" s="63" t="str">
        <f>IF(A896="","",SUMIF(jr_num,A896,jr_kg))</f>
        <v/>
      </c>
      <c r="L896" s="64" t="str">
        <f>IF(A896="","",SUMIF(jr_num,A896,jr_val))</f>
        <v/>
      </c>
      <c r="M896" s="60" t="str">
        <f>IF(A896="","",IF(COUNTIFS(jr_num,A896,jr_check,"&lt;&gt;OK")&gt;0,"À vérifier",IF(LEFT(A896,2)="BL",IF(COUNTIFS(jr_num,A896,jr_rel,"&gt;0")&gt;0,"Reliquat en cours",IF(COUNTIFS(jr_num,A896,jr_gap,"&lt;0")&gt;0,"Reliquat livré","Complet")),IF(LEFT(A896,2)="BR",IF(COUNTIFS(jr_num,A896,jr_etat,"Refusé")&gt;0,"Refusé",IF(COUNTIFS(jr_num,A896,jr_etat,"Avec réserves")&gt;0,"Avec réserves",IF(COUNTIFS(jr_num,A896,jr_rel,"&gt;0")&gt;0,"Reliquat en cours",IF(COUNTIFS(jr_num,A896,jr_gap,"&lt;0")+COUNTIFS(jr_num,A896,jr_gap,"&gt;0")&gt;0,"Écart","Conforme")))),IF(COUNTIFS(jr_num,A896,jr_gap,"&lt;0")&gt;0,"Partiel","Sorti")))))</f>
        <v/>
      </c>
      <c r="O896" t="str">
        <f>IFERROR(MATCH(891,jr_grank,0),"")</f>
        <v/>
      </c>
      <c r="R896" s="67" t="str">
        <f>IFERROR(INDEX(jr_num,MATCH("BL891",jr_nkey,0))&amp;"","")</f>
        <v/>
      </c>
      <c r="S896" s="67" t="str">
        <f>IFERROR(INDEX(jr_num,MATCH("BR891",jr_nkey,0))&amp;"","")</f>
        <v/>
      </c>
      <c r="T896" s="67" t="str">
        <f>IFERROR(INDEX(jr_num,MATCH("BS891",jr_nkey,0))&amp;"","")</f>
        <v/>
      </c>
    </row>
    <row r="897">
      <c r="A897" s="60" t="str">
        <f>IF($O897="","",INDEX(jr_num,$O897)&amp;"")</f>
        <v/>
      </c>
      <c r="B897" s="60" t="str">
        <f>IF($O897="","",IF(INDEX(jr_type,$O897)="BL","Livraison",IF(INDEX(jr_type,$O897)="BR","Réception","Sortie")))</f>
        <v/>
      </c>
      <c r="C897" s="65" t="str">
        <f>IF($O897="","",INDEX(jr_date,$O897))</f>
        <v/>
      </c>
      <c r="D897" s="60" t="str">
        <f>IF($O897="","",INDEX(jr_tiers,$O897)&amp;"")</f>
        <v/>
      </c>
      <c r="E897" s="57" t="str">
        <f>IF($O897="","",INDEX(jr_name,$O897)&amp;"")</f>
        <v/>
      </c>
      <c r="F897" s="57" t="str">
        <f>IF($O897="","",INDEX(jr_order,$O897)&amp;"")</f>
        <v/>
      </c>
      <c r="G897" s="57" t="str">
        <f>IF($O897="","",INDEX(jr_ext,$O897)&amp;"")</f>
        <v/>
      </c>
      <c r="H897" s="57" t="str">
        <f>IF($O897="","",INDEX(jr_carrier,$O897)&amp;"")</f>
        <v/>
      </c>
      <c r="I897" s="66" t="str">
        <f>IF(A897="","",COUNTIF(jr_num,A897))</f>
        <v/>
      </c>
      <c r="J897" s="66" t="str">
        <f>IF(A897="","",SUMIF(jr_num,A897,jr_colis))</f>
        <v/>
      </c>
      <c r="K897" s="63" t="str">
        <f>IF(A897="","",SUMIF(jr_num,A897,jr_kg))</f>
        <v/>
      </c>
      <c r="L897" s="64" t="str">
        <f>IF(A897="","",SUMIF(jr_num,A897,jr_val))</f>
        <v/>
      </c>
      <c r="M897" s="60" t="str">
        <f>IF(A897="","",IF(COUNTIFS(jr_num,A897,jr_check,"&lt;&gt;OK")&gt;0,"À vérifier",IF(LEFT(A897,2)="BL",IF(COUNTIFS(jr_num,A897,jr_rel,"&gt;0")&gt;0,"Reliquat en cours",IF(COUNTIFS(jr_num,A897,jr_gap,"&lt;0")&gt;0,"Reliquat livré","Complet")),IF(LEFT(A897,2)="BR",IF(COUNTIFS(jr_num,A897,jr_etat,"Refusé")&gt;0,"Refusé",IF(COUNTIFS(jr_num,A897,jr_etat,"Avec réserves")&gt;0,"Avec réserves",IF(COUNTIFS(jr_num,A897,jr_rel,"&gt;0")&gt;0,"Reliquat en cours",IF(COUNTIFS(jr_num,A897,jr_gap,"&lt;0")+COUNTIFS(jr_num,A897,jr_gap,"&gt;0")&gt;0,"Écart","Conforme")))),IF(COUNTIFS(jr_num,A897,jr_gap,"&lt;0")&gt;0,"Partiel","Sorti")))))</f>
        <v/>
      </c>
      <c r="O897" t="str">
        <f>IFERROR(MATCH(892,jr_grank,0),"")</f>
        <v/>
      </c>
      <c r="R897" s="67" t="str">
        <f>IFERROR(INDEX(jr_num,MATCH("BL892",jr_nkey,0))&amp;"","")</f>
        <v/>
      </c>
      <c r="S897" s="67" t="str">
        <f>IFERROR(INDEX(jr_num,MATCH("BR892",jr_nkey,0))&amp;"","")</f>
        <v/>
      </c>
      <c r="T897" s="67" t="str">
        <f>IFERROR(INDEX(jr_num,MATCH("BS892",jr_nkey,0))&amp;"","")</f>
        <v/>
      </c>
    </row>
    <row r="898">
      <c r="A898" s="60" t="str">
        <f>IF($O898="","",INDEX(jr_num,$O898)&amp;"")</f>
        <v/>
      </c>
      <c r="B898" s="60" t="str">
        <f>IF($O898="","",IF(INDEX(jr_type,$O898)="BL","Livraison",IF(INDEX(jr_type,$O898)="BR","Réception","Sortie")))</f>
        <v/>
      </c>
      <c r="C898" s="65" t="str">
        <f>IF($O898="","",INDEX(jr_date,$O898))</f>
        <v/>
      </c>
      <c r="D898" s="60" t="str">
        <f>IF($O898="","",INDEX(jr_tiers,$O898)&amp;"")</f>
        <v/>
      </c>
      <c r="E898" s="57" t="str">
        <f>IF($O898="","",INDEX(jr_name,$O898)&amp;"")</f>
        <v/>
      </c>
      <c r="F898" s="57" t="str">
        <f>IF($O898="","",INDEX(jr_order,$O898)&amp;"")</f>
        <v/>
      </c>
      <c r="G898" s="57" t="str">
        <f>IF($O898="","",INDEX(jr_ext,$O898)&amp;"")</f>
        <v/>
      </c>
      <c r="H898" s="57" t="str">
        <f>IF($O898="","",INDEX(jr_carrier,$O898)&amp;"")</f>
        <v/>
      </c>
      <c r="I898" s="66" t="str">
        <f>IF(A898="","",COUNTIF(jr_num,A898))</f>
        <v/>
      </c>
      <c r="J898" s="66" t="str">
        <f>IF(A898="","",SUMIF(jr_num,A898,jr_colis))</f>
        <v/>
      </c>
      <c r="K898" s="63" t="str">
        <f>IF(A898="","",SUMIF(jr_num,A898,jr_kg))</f>
        <v/>
      </c>
      <c r="L898" s="64" t="str">
        <f>IF(A898="","",SUMIF(jr_num,A898,jr_val))</f>
        <v/>
      </c>
      <c r="M898" s="60" t="str">
        <f>IF(A898="","",IF(COUNTIFS(jr_num,A898,jr_check,"&lt;&gt;OK")&gt;0,"À vérifier",IF(LEFT(A898,2)="BL",IF(COUNTIFS(jr_num,A898,jr_rel,"&gt;0")&gt;0,"Reliquat en cours",IF(COUNTIFS(jr_num,A898,jr_gap,"&lt;0")&gt;0,"Reliquat livré","Complet")),IF(LEFT(A898,2)="BR",IF(COUNTIFS(jr_num,A898,jr_etat,"Refusé")&gt;0,"Refusé",IF(COUNTIFS(jr_num,A898,jr_etat,"Avec réserves")&gt;0,"Avec réserves",IF(COUNTIFS(jr_num,A898,jr_rel,"&gt;0")&gt;0,"Reliquat en cours",IF(COUNTIFS(jr_num,A898,jr_gap,"&lt;0")+COUNTIFS(jr_num,A898,jr_gap,"&gt;0")&gt;0,"Écart","Conforme")))),IF(COUNTIFS(jr_num,A898,jr_gap,"&lt;0")&gt;0,"Partiel","Sorti")))))</f>
        <v/>
      </c>
      <c r="O898" t="str">
        <f>IFERROR(MATCH(893,jr_grank,0),"")</f>
        <v/>
      </c>
      <c r="R898" s="67" t="str">
        <f>IFERROR(INDEX(jr_num,MATCH("BL893",jr_nkey,0))&amp;"","")</f>
        <v/>
      </c>
      <c r="S898" s="67" t="str">
        <f>IFERROR(INDEX(jr_num,MATCH("BR893",jr_nkey,0))&amp;"","")</f>
        <v/>
      </c>
      <c r="T898" s="67" t="str">
        <f>IFERROR(INDEX(jr_num,MATCH("BS893",jr_nkey,0))&amp;"","")</f>
        <v/>
      </c>
    </row>
    <row r="899">
      <c r="A899" s="60" t="str">
        <f>IF($O899="","",INDEX(jr_num,$O899)&amp;"")</f>
        <v/>
      </c>
      <c r="B899" s="60" t="str">
        <f>IF($O899="","",IF(INDEX(jr_type,$O899)="BL","Livraison",IF(INDEX(jr_type,$O899)="BR","Réception","Sortie")))</f>
        <v/>
      </c>
      <c r="C899" s="65" t="str">
        <f>IF($O899="","",INDEX(jr_date,$O899))</f>
        <v/>
      </c>
      <c r="D899" s="60" t="str">
        <f>IF($O899="","",INDEX(jr_tiers,$O899)&amp;"")</f>
        <v/>
      </c>
      <c r="E899" s="57" t="str">
        <f>IF($O899="","",INDEX(jr_name,$O899)&amp;"")</f>
        <v/>
      </c>
      <c r="F899" s="57" t="str">
        <f>IF($O899="","",INDEX(jr_order,$O899)&amp;"")</f>
        <v/>
      </c>
      <c r="G899" s="57" t="str">
        <f>IF($O899="","",INDEX(jr_ext,$O899)&amp;"")</f>
        <v/>
      </c>
      <c r="H899" s="57" t="str">
        <f>IF($O899="","",INDEX(jr_carrier,$O899)&amp;"")</f>
        <v/>
      </c>
      <c r="I899" s="66" t="str">
        <f>IF(A899="","",COUNTIF(jr_num,A899))</f>
        <v/>
      </c>
      <c r="J899" s="66" t="str">
        <f>IF(A899="","",SUMIF(jr_num,A899,jr_colis))</f>
        <v/>
      </c>
      <c r="K899" s="63" t="str">
        <f>IF(A899="","",SUMIF(jr_num,A899,jr_kg))</f>
        <v/>
      </c>
      <c r="L899" s="64" t="str">
        <f>IF(A899="","",SUMIF(jr_num,A899,jr_val))</f>
        <v/>
      </c>
      <c r="M899" s="60" t="str">
        <f>IF(A899="","",IF(COUNTIFS(jr_num,A899,jr_check,"&lt;&gt;OK")&gt;0,"À vérifier",IF(LEFT(A899,2)="BL",IF(COUNTIFS(jr_num,A899,jr_rel,"&gt;0")&gt;0,"Reliquat en cours",IF(COUNTIFS(jr_num,A899,jr_gap,"&lt;0")&gt;0,"Reliquat livré","Complet")),IF(LEFT(A899,2)="BR",IF(COUNTIFS(jr_num,A899,jr_etat,"Refusé")&gt;0,"Refusé",IF(COUNTIFS(jr_num,A899,jr_etat,"Avec réserves")&gt;0,"Avec réserves",IF(COUNTIFS(jr_num,A899,jr_rel,"&gt;0")&gt;0,"Reliquat en cours",IF(COUNTIFS(jr_num,A899,jr_gap,"&lt;0")+COUNTIFS(jr_num,A899,jr_gap,"&gt;0")&gt;0,"Écart","Conforme")))),IF(COUNTIFS(jr_num,A899,jr_gap,"&lt;0")&gt;0,"Partiel","Sorti")))))</f>
        <v/>
      </c>
      <c r="O899" t="str">
        <f>IFERROR(MATCH(894,jr_grank,0),"")</f>
        <v/>
      </c>
      <c r="R899" s="67" t="str">
        <f>IFERROR(INDEX(jr_num,MATCH("BL894",jr_nkey,0))&amp;"","")</f>
        <v/>
      </c>
      <c r="S899" s="67" t="str">
        <f>IFERROR(INDEX(jr_num,MATCH("BR894",jr_nkey,0))&amp;"","")</f>
        <v/>
      </c>
      <c r="T899" s="67" t="str">
        <f>IFERROR(INDEX(jr_num,MATCH("BS894",jr_nkey,0))&amp;"","")</f>
        <v/>
      </c>
    </row>
    <row r="900">
      <c r="A900" s="60" t="str">
        <f>IF($O900="","",INDEX(jr_num,$O900)&amp;"")</f>
        <v/>
      </c>
      <c r="B900" s="60" t="str">
        <f>IF($O900="","",IF(INDEX(jr_type,$O900)="BL","Livraison",IF(INDEX(jr_type,$O900)="BR","Réception","Sortie")))</f>
        <v/>
      </c>
      <c r="C900" s="65" t="str">
        <f>IF($O900="","",INDEX(jr_date,$O900))</f>
        <v/>
      </c>
      <c r="D900" s="60" t="str">
        <f>IF($O900="","",INDEX(jr_tiers,$O900)&amp;"")</f>
        <v/>
      </c>
      <c r="E900" s="57" t="str">
        <f>IF($O900="","",INDEX(jr_name,$O900)&amp;"")</f>
        <v/>
      </c>
      <c r="F900" s="57" t="str">
        <f>IF($O900="","",INDEX(jr_order,$O900)&amp;"")</f>
        <v/>
      </c>
      <c r="G900" s="57" t="str">
        <f>IF($O900="","",INDEX(jr_ext,$O900)&amp;"")</f>
        <v/>
      </c>
      <c r="H900" s="57" t="str">
        <f>IF($O900="","",INDEX(jr_carrier,$O900)&amp;"")</f>
        <v/>
      </c>
      <c r="I900" s="66" t="str">
        <f>IF(A900="","",COUNTIF(jr_num,A900))</f>
        <v/>
      </c>
      <c r="J900" s="66" t="str">
        <f>IF(A900="","",SUMIF(jr_num,A900,jr_colis))</f>
        <v/>
      </c>
      <c r="K900" s="63" t="str">
        <f>IF(A900="","",SUMIF(jr_num,A900,jr_kg))</f>
        <v/>
      </c>
      <c r="L900" s="64" t="str">
        <f>IF(A900="","",SUMIF(jr_num,A900,jr_val))</f>
        <v/>
      </c>
      <c r="M900" s="60" t="str">
        <f>IF(A900="","",IF(COUNTIFS(jr_num,A900,jr_check,"&lt;&gt;OK")&gt;0,"À vérifier",IF(LEFT(A900,2)="BL",IF(COUNTIFS(jr_num,A900,jr_rel,"&gt;0")&gt;0,"Reliquat en cours",IF(COUNTIFS(jr_num,A900,jr_gap,"&lt;0")&gt;0,"Reliquat livré","Complet")),IF(LEFT(A900,2)="BR",IF(COUNTIFS(jr_num,A900,jr_etat,"Refusé")&gt;0,"Refusé",IF(COUNTIFS(jr_num,A900,jr_etat,"Avec réserves")&gt;0,"Avec réserves",IF(COUNTIFS(jr_num,A900,jr_rel,"&gt;0")&gt;0,"Reliquat en cours",IF(COUNTIFS(jr_num,A900,jr_gap,"&lt;0")+COUNTIFS(jr_num,A900,jr_gap,"&gt;0")&gt;0,"Écart","Conforme")))),IF(COUNTIFS(jr_num,A900,jr_gap,"&lt;0")&gt;0,"Partiel","Sorti")))))</f>
        <v/>
      </c>
      <c r="O900" t="str">
        <f>IFERROR(MATCH(895,jr_grank,0),"")</f>
        <v/>
      </c>
      <c r="R900" s="67" t="str">
        <f>IFERROR(INDEX(jr_num,MATCH("BL895",jr_nkey,0))&amp;"","")</f>
        <v/>
      </c>
      <c r="S900" s="67" t="str">
        <f>IFERROR(INDEX(jr_num,MATCH("BR895",jr_nkey,0))&amp;"","")</f>
        <v/>
      </c>
      <c r="T900" s="67" t="str">
        <f>IFERROR(INDEX(jr_num,MATCH("BS895",jr_nkey,0))&amp;"","")</f>
        <v/>
      </c>
    </row>
    <row r="901">
      <c r="A901" s="60" t="str">
        <f>IF($O901="","",INDEX(jr_num,$O901)&amp;"")</f>
        <v/>
      </c>
      <c r="B901" s="60" t="str">
        <f>IF($O901="","",IF(INDEX(jr_type,$O901)="BL","Livraison",IF(INDEX(jr_type,$O901)="BR","Réception","Sortie")))</f>
        <v/>
      </c>
      <c r="C901" s="65" t="str">
        <f>IF($O901="","",INDEX(jr_date,$O901))</f>
        <v/>
      </c>
      <c r="D901" s="60" t="str">
        <f>IF($O901="","",INDEX(jr_tiers,$O901)&amp;"")</f>
        <v/>
      </c>
      <c r="E901" s="57" t="str">
        <f>IF($O901="","",INDEX(jr_name,$O901)&amp;"")</f>
        <v/>
      </c>
      <c r="F901" s="57" t="str">
        <f>IF($O901="","",INDEX(jr_order,$O901)&amp;"")</f>
        <v/>
      </c>
      <c r="G901" s="57" t="str">
        <f>IF($O901="","",INDEX(jr_ext,$O901)&amp;"")</f>
        <v/>
      </c>
      <c r="H901" s="57" t="str">
        <f>IF($O901="","",INDEX(jr_carrier,$O901)&amp;"")</f>
        <v/>
      </c>
      <c r="I901" s="66" t="str">
        <f>IF(A901="","",COUNTIF(jr_num,A901))</f>
        <v/>
      </c>
      <c r="J901" s="66" t="str">
        <f>IF(A901="","",SUMIF(jr_num,A901,jr_colis))</f>
        <v/>
      </c>
      <c r="K901" s="63" t="str">
        <f>IF(A901="","",SUMIF(jr_num,A901,jr_kg))</f>
        <v/>
      </c>
      <c r="L901" s="64" t="str">
        <f>IF(A901="","",SUMIF(jr_num,A901,jr_val))</f>
        <v/>
      </c>
      <c r="M901" s="60" t="str">
        <f>IF(A901="","",IF(COUNTIFS(jr_num,A901,jr_check,"&lt;&gt;OK")&gt;0,"À vérifier",IF(LEFT(A901,2)="BL",IF(COUNTIFS(jr_num,A901,jr_rel,"&gt;0")&gt;0,"Reliquat en cours",IF(COUNTIFS(jr_num,A901,jr_gap,"&lt;0")&gt;0,"Reliquat livré","Complet")),IF(LEFT(A901,2)="BR",IF(COUNTIFS(jr_num,A901,jr_etat,"Refusé")&gt;0,"Refusé",IF(COUNTIFS(jr_num,A901,jr_etat,"Avec réserves")&gt;0,"Avec réserves",IF(COUNTIFS(jr_num,A901,jr_rel,"&gt;0")&gt;0,"Reliquat en cours",IF(COUNTIFS(jr_num,A901,jr_gap,"&lt;0")+COUNTIFS(jr_num,A901,jr_gap,"&gt;0")&gt;0,"Écart","Conforme")))),IF(COUNTIFS(jr_num,A901,jr_gap,"&lt;0")&gt;0,"Partiel","Sorti")))))</f>
        <v/>
      </c>
      <c r="O901" t="str">
        <f>IFERROR(MATCH(896,jr_grank,0),"")</f>
        <v/>
      </c>
      <c r="R901" s="67" t="str">
        <f>IFERROR(INDEX(jr_num,MATCH("BL896",jr_nkey,0))&amp;"","")</f>
        <v/>
      </c>
      <c r="S901" s="67" t="str">
        <f>IFERROR(INDEX(jr_num,MATCH("BR896",jr_nkey,0))&amp;"","")</f>
        <v/>
      </c>
      <c r="T901" s="67" t="str">
        <f>IFERROR(INDEX(jr_num,MATCH("BS896",jr_nkey,0))&amp;"","")</f>
        <v/>
      </c>
    </row>
    <row r="902">
      <c r="A902" s="60" t="str">
        <f>IF($O902="","",INDEX(jr_num,$O902)&amp;"")</f>
        <v/>
      </c>
      <c r="B902" s="60" t="str">
        <f>IF($O902="","",IF(INDEX(jr_type,$O902)="BL","Livraison",IF(INDEX(jr_type,$O902)="BR","Réception","Sortie")))</f>
        <v/>
      </c>
      <c r="C902" s="65" t="str">
        <f>IF($O902="","",INDEX(jr_date,$O902))</f>
        <v/>
      </c>
      <c r="D902" s="60" t="str">
        <f>IF($O902="","",INDEX(jr_tiers,$O902)&amp;"")</f>
        <v/>
      </c>
      <c r="E902" s="57" t="str">
        <f>IF($O902="","",INDEX(jr_name,$O902)&amp;"")</f>
        <v/>
      </c>
      <c r="F902" s="57" t="str">
        <f>IF($O902="","",INDEX(jr_order,$O902)&amp;"")</f>
        <v/>
      </c>
      <c r="G902" s="57" t="str">
        <f>IF($O902="","",INDEX(jr_ext,$O902)&amp;"")</f>
        <v/>
      </c>
      <c r="H902" s="57" t="str">
        <f>IF($O902="","",INDEX(jr_carrier,$O902)&amp;"")</f>
        <v/>
      </c>
      <c r="I902" s="66" t="str">
        <f>IF(A902="","",COUNTIF(jr_num,A902))</f>
        <v/>
      </c>
      <c r="J902" s="66" t="str">
        <f>IF(A902="","",SUMIF(jr_num,A902,jr_colis))</f>
        <v/>
      </c>
      <c r="K902" s="63" t="str">
        <f>IF(A902="","",SUMIF(jr_num,A902,jr_kg))</f>
        <v/>
      </c>
      <c r="L902" s="64" t="str">
        <f>IF(A902="","",SUMIF(jr_num,A902,jr_val))</f>
        <v/>
      </c>
      <c r="M902" s="60" t="str">
        <f>IF(A902="","",IF(COUNTIFS(jr_num,A902,jr_check,"&lt;&gt;OK")&gt;0,"À vérifier",IF(LEFT(A902,2)="BL",IF(COUNTIFS(jr_num,A902,jr_rel,"&gt;0")&gt;0,"Reliquat en cours",IF(COUNTIFS(jr_num,A902,jr_gap,"&lt;0")&gt;0,"Reliquat livré","Complet")),IF(LEFT(A902,2)="BR",IF(COUNTIFS(jr_num,A902,jr_etat,"Refusé")&gt;0,"Refusé",IF(COUNTIFS(jr_num,A902,jr_etat,"Avec réserves")&gt;0,"Avec réserves",IF(COUNTIFS(jr_num,A902,jr_rel,"&gt;0")&gt;0,"Reliquat en cours",IF(COUNTIFS(jr_num,A902,jr_gap,"&lt;0")+COUNTIFS(jr_num,A902,jr_gap,"&gt;0")&gt;0,"Écart","Conforme")))),IF(COUNTIFS(jr_num,A902,jr_gap,"&lt;0")&gt;0,"Partiel","Sorti")))))</f>
        <v/>
      </c>
      <c r="O902" t="str">
        <f>IFERROR(MATCH(897,jr_grank,0),"")</f>
        <v/>
      </c>
      <c r="R902" s="67" t="str">
        <f>IFERROR(INDEX(jr_num,MATCH("BL897",jr_nkey,0))&amp;"","")</f>
        <v/>
      </c>
      <c r="S902" s="67" t="str">
        <f>IFERROR(INDEX(jr_num,MATCH("BR897",jr_nkey,0))&amp;"","")</f>
        <v/>
      </c>
      <c r="T902" s="67" t="str">
        <f>IFERROR(INDEX(jr_num,MATCH("BS897",jr_nkey,0))&amp;"","")</f>
        <v/>
      </c>
    </row>
    <row r="903">
      <c r="A903" s="60" t="str">
        <f>IF($O903="","",INDEX(jr_num,$O903)&amp;"")</f>
        <v/>
      </c>
      <c r="B903" s="60" t="str">
        <f>IF($O903="","",IF(INDEX(jr_type,$O903)="BL","Livraison",IF(INDEX(jr_type,$O903)="BR","Réception","Sortie")))</f>
        <v/>
      </c>
      <c r="C903" s="65" t="str">
        <f>IF($O903="","",INDEX(jr_date,$O903))</f>
        <v/>
      </c>
      <c r="D903" s="60" t="str">
        <f>IF($O903="","",INDEX(jr_tiers,$O903)&amp;"")</f>
        <v/>
      </c>
      <c r="E903" s="57" t="str">
        <f>IF($O903="","",INDEX(jr_name,$O903)&amp;"")</f>
        <v/>
      </c>
      <c r="F903" s="57" t="str">
        <f>IF($O903="","",INDEX(jr_order,$O903)&amp;"")</f>
        <v/>
      </c>
      <c r="G903" s="57" t="str">
        <f>IF($O903="","",INDEX(jr_ext,$O903)&amp;"")</f>
        <v/>
      </c>
      <c r="H903" s="57" t="str">
        <f>IF($O903="","",INDEX(jr_carrier,$O903)&amp;"")</f>
        <v/>
      </c>
      <c r="I903" s="66" t="str">
        <f>IF(A903="","",COUNTIF(jr_num,A903))</f>
        <v/>
      </c>
      <c r="J903" s="66" t="str">
        <f>IF(A903="","",SUMIF(jr_num,A903,jr_colis))</f>
        <v/>
      </c>
      <c r="K903" s="63" t="str">
        <f>IF(A903="","",SUMIF(jr_num,A903,jr_kg))</f>
        <v/>
      </c>
      <c r="L903" s="64" t="str">
        <f>IF(A903="","",SUMIF(jr_num,A903,jr_val))</f>
        <v/>
      </c>
      <c r="M903" s="60" t="str">
        <f>IF(A903="","",IF(COUNTIFS(jr_num,A903,jr_check,"&lt;&gt;OK")&gt;0,"À vérifier",IF(LEFT(A903,2)="BL",IF(COUNTIFS(jr_num,A903,jr_rel,"&gt;0")&gt;0,"Reliquat en cours",IF(COUNTIFS(jr_num,A903,jr_gap,"&lt;0")&gt;0,"Reliquat livré","Complet")),IF(LEFT(A903,2)="BR",IF(COUNTIFS(jr_num,A903,jr_etat,"Refusé")&gt;0,"Refusé",IF(COUNTIFS(jr_num,A903,jr_etat,"Avec réserves")&gt;0,"Avec réserves",IF(COUNTIFS(jr_num,A903,jr_rel,"&gt;0")&gt;0,"Reliquat en cours",IF(COUNTIFS(jr_num,A903,jr_gap,"&lt;0")+COUNTIFS(jr_num,A903,jr_gap,"&gt;0")&gt;0,"Écart","Conforme")))),IF(COUNTIFS(jr_num,A903,jr_gap,"&lt;0")&gt;0,"Partiel","Sorti")))))</f>
        <v/>
      </c>
      <c r="O903" t="str">
        <f>IFERROR(MATCH(898,jr_grank,0),"")</f>
        <v/>
      </c>
      <c r="R903" s="67" t="str">
        <f>IFERROR(INDEX(jr_num,MATCH("BL898",jr_nkey,0))&amp;"","")</f>
        <v/>
      </c>
      <c r="S903" s="67" t="str">
        <f>IFERROR(INDEX(jr_num,MATCH("BR898",jr_nkey,0))&amp;"","")</f>
        <v/>
      </c>
      <c r="T903" s="67" t="str">
        <f>IFERROR(INDEX(jr_num,MATCH("BS898",jr_nkey,0))&amp;"","")</f>
        <v/>
      </c>
    </row>
    <row r="904">
      <c r="A904" s="60" t="str">
        <f>IF($O904="","",INDEX(jr_num,$O904)&amp;"")</f>
        <v/>
      </c>
      <c r="B904" s="60" t="str">
        <f>IF($O904="","",IF(INDEX(jr_type,$O904)="BL","Livraison",IF(INDEX(jr_type,$O904)="BR","Réception","Sortie")))</f>
        <v/>
      </c>
      <c r="C904" s="65" t="str">
        <f>IF($O904="","",INDEX(jr_date,$O904))</f>
        <v/>
      </c>
      <c r="D904" s="60" t="str">
        <f>IF($O904="","",INDEX(jr_tiers,$O904)&amp;"")</f>
        <v/>
      </c>
      <c r="E904" s="57" t="str">
        <f>IF($O904="","",INDEX(jr_name,$O904)&amp;"")</f>
        <v/>
      </c>
      <c r="F904" s="57" t="str">
        <f>IF($O904="","",INDEX(jr_order,$O904)&amp;"")</f>
        <v/>
      </c>
      <c r="G904" s="57" t="str">
        <f>IF($O904="","",INDEX(jr_ext,$O904)&amp;"")</f>
        <v/>
      </c>
      <c r="H904" s="57" t="str">
        <f>IF($O904="","",INDEX(jr_carrier,$O904)&amp;"")</f>
        <v/>
      </c>
      <c r="I904" s="66" t="str">
        <f>IF(A904="","",COUNTIF(jr_num,A904))</f>
        <v/>
      </c>
      <c r="J904" s="66" t="str">
        <f>IF(A904="","",SUMIF(jr_num,A904,jr_colis))</f>
        <v/>
      </c>
      <c r="K904" s="63" t="str">
        <f>IF(A904="","",SUMIF(jr_num,A904,jr_kg))</f>
        <v/>
      </c>
      <c r="L904" s="64" t="str">
        <f>IF(A904="","",SUMIF(jr_num,A904,jr_val))</f>
        <v/>
      </c>
      <c r="M904" s="60" t="str">
        <f>IF(A904="","",IF(COUNTIFS(jr_num,A904,jr_check,"&lt;&gt;OK")&gt;0,"À vérifier",IF(LEFT(A904,2)="BL",IF(COUNTIFS(jr_num,A904,jr_rel,"&gt;0")&gt;0,"Reliquat en cours",IF(COUNTIFS(jr_num,A904,jr_gap,"&lt;0")&gt;0,"Reliquat livré","Complet")),IF(LEFT(A904,2)="BR",IF(COUNTIFS(jr_num,A904,jr_etat,"Refusé")&gt;0,"Refusé",IF(COUNTIFS(jr_num,A904,jr_etat,"Avec réserves")&gt;0,"Avec réserves",IF(COUNTIFS(jr_num,A904,jr_rel,"&gt;0")&gt;0,"Reliquat en cours",IF(COUNTIFS(jr_num,A904,jr_gap,"&lt;0")+COUNTIFS(jr_num,A904,jr_gap,"&gt;0")&gt;0,"Écart","Conforme")))),IF(COUNTIFS(jr_num,A904,jr_gap,"&lt;0")&gt;0,"Partiel","Sorti")))))</f>
        <v/>
      </c>
      <c r="O904" t="str">
        <f>IFERROR(MATCH(899,jr_grank,0),"")</f>
        <v/>
      </c>
      <c r="R904" s="67" t="str">
        <f>IFERROR(INDEX(jr_num,MATCH("BL899",jr_nkey,0))&amp;"","")</f>
        <v/>
      </c>
      <c r="S904" s="67" t="str">
        <f>IFERROR(INDEX(jr_num,MATCH("BR899",jr_nkey,0))&amp;"","")</f>
        <v/>
      </c>
      <c r="T904" s="67" t="str">
        <f>IFERROR(INDEX(jr_num,MATCH("BS899",jr_nkey,0))&amp;"","")</f>
        <v/>
      </c>
    </row>
    <row r="905">
      <c r="A905" s="60" t="str">
        <f>IF($O905="","",INDEX(jr_num,$O905)&amp;"")</f>
        <v/>
      </c>
      <c r="B905" s="60" t="str">
        <f>IF($O905="","",IF(INDEX(jr_type,$O905)="BL","Livraison",IF(INDEX(jr_type,$O905)="BR","Réception","Sortie")))</f>
        <v/>
      </c>
      <c r="C905" s="65" t="str">
        <f>IF($O905="","",INDEX(jr_date,$O905))</f>
        <v/>
      </c>
      <c r="D905" s="60" t="str">
        <f>IF($O905="","",INDEX(jr_tiers,$O905)&amp;"")</f>
        <v/>
      </c>
      <c r="E905" s="57" t="str">
        <f>IF($O905="","",INDEX(jr_name,$O905)&amp;"")</f>
        <v/>
      </c>
      <c r="F905" s="57" t="str">
        <f>IF($O905="","",INDEX(jr_order,$O905)&amp;"")</f>
        <v/>
      </c>
      <c r="G905" s="57" t="str">
        <f>IF($O905="","",INDEX(jr_ext,$O905)&amp;"")</f>
        <v/>
      </c>
      <c r="H905" s="57" t="str">
        <f>IF($O905="","",INDEX(jr_carrier,$O905)&amp;"")</f>
        <v/>
      </c>
      <c r="I905" s="66" t="str">
        <f>IF(A905="","",COUNTIF(jr_num,A905))</f>
        <v/>
      </c>
      <c r="J905" s="66" t="str">
        <f>IF(A905="","",SUMIF(jr_num,A905,jr_colis))</f>
        <v/>
      </c>
      <c r="K905" s="63" t="str">
        <f>IF(A905="","",SUMIF(jr_num,A905,jr_kg))</f>
        <v/>
      </c>
      <c r="L905" s="64" t="str">
        <f>IF(A905="","",SUMIF(jr_num,A905,jr_val))</f>
        <v/>
      </c>
      <c r="M905" s="60" t="str">
        <f>IF(A905="","",IF(COUNTIFS(jr_num,A905,jr_check,"&lt;&gt;OK")&gt;0,"À vérifier",IF(LEFT(A905,2)="BL",IF(COUNTIFS(jr_num,A905,jr_rel,"&gt;0")&gt;0,"Reliquat en cours",IF(COUNTIFS(jr_num,A905,jr_gap,"&lt;0")&gt;0,"Reliquat livré","Complet")),IF(LEFT(A905,2)="BR",IF(COUNTIFS(jr_num,A905,jr_etat,"Refusé")&gt;0,"Refusé",IF(COUNTIFS(jr_num,A905,jr_etat,"Avec réserves")&gt;0,"Avec réserves",IF(COUNTIFS(jr_num,A905,jr_rel,"&gt;0")&gt;0,"Reliquat en cours",IF(COUNTIFS(jr_num,A905,jr_gap,"&lt;0")+COUNTIFS(jr_num,A905,jr_gap,"&gt;0")&gt;0,"Écart","Conforme")))),IF(COUNTIFS(jr_num,A905,jr_gap,"&lt;0")&gt;0,"Partiel","Sorti")))))</f>
        <v/>
      </c>
      <c r="O905" t="str">
        <f>IFERROR(MATCH(900,jr_grank,0),"")</f>
        <v/>
      </c>
      <c r="R905" s="67" t="str">
        <f>IFERROR(INDEX(jr_num,MATCH("BL900",jr_nkey,0))&amp;"","")</f>
        <v/>
      </c>
      <c r="S905" s="67" t="str">
        <f>IFERROR(INDEX(jr_num,MATCH("BR900",jr_nkey,0))&amp;"","")</f>
        <v/>
      </c>
      <c r="T905" s="67" t="str">
        <f>IFERROR(INDEX(jr_num,MATCH("BS900",jr_nkey,0))&amp;"","")</f>
        <v/>
      </c>
    </row>
    <row r="906">
      <c r="A906" s="60" t="str">
        <f>IF($O906="","",INDEX(jr_num,$O906)&amp;"")</f>
        <v/>
      </c>
      <c r="B906" s="60" t="str">
        <f>IF($O906="","",IF(INDEX(jr_type,$O906)="BL","Livraison",IF(INDEX(jr_type,$O906)="BR","Réception","Sortie")))</f>
        <v/>
      </c>
      <c r="C906" s="65" t="str">
        <f>IF($O906="","",INDEX(jr_date,$O906))</f>
        <v/>
      </c>
      <c r="D906" s="60" t="str">
        <f>IF($O906="","",INDEX(jr_tiers,$O906)&amp;"")</f>
        <v/>
      </c>
      <c r="E906" s="57" t="str">
        <f>IF($O906="","",INDEX(jr_name,$O906)&amp;"")</f>
        <v/>
      </c>
      <c r="F906" s="57" t="str">
        <f>IF($O906="","",INDEX(jr_order,$O906)&amp;"")</f>
        <v/>
      </c>
      <c r="G906" s="57" t="str">
        <f>IF($O906="","",INDEX(jr_ext,$O906)&amp;"")</f>
        <v/>
      </c>
      <c r="H906" s="57" t="str">
        <f>IF($O906="","",INDEX(jr_carrier,$O906)&amp;"")</f>
        <v/>
      </c>
      <c r="I906" s="66" t="str">
        <f>IF(A906="","",COUNTIF(jr_num,A906))</f>
        <v/>
      </c>
      <c r="J906" s="66" t="str">
        <f>IF(A906="","",SUMIF(jr_num,A906,jr_colis))</f>
        <v/>
      </c>
      <c r="K906" s="63" t="str">
        <f>IF(A906="","",SUMIF(jr_num,A906,jr_kg))</f>
        <v/>
      </c>
      <c r="L906" s="64" t="str">
        <f>IF(A906="","",SUMIF(jr_num,A906,jr_val))</f>
        <v/>
      </c>
      <c r="M906" s="60" t="str">
        <f>IF(A906="","",IF(COUNTIFS(jr_num,A906,jr_check,"&lt;&gt;OK")&gt;0,"À vérifier",IF(LEFT(A906,2)="BL",IF(COUNTIFS(jr_num,A906,jr_rel,"&gt;0")&gt;0,"Reliquat en cours",IF(COUNTIFS(jr_num,A906,jr_gap,"&lt;0")&gt;0,"Reliquat livré","Complet")),IF(LEFT(A906,2)="BR",IF(COUNTIFS(jr_num,A906,jr_etat,"Refusé")&gt;0,"Refusé",IF(COUNTIFS(jr_num,A906,jr_etat,"Avec réserves")&gt;0,"Avec réserves",IF(COUNTIFS(jr_num,A906,jr_rel,"&gt;0")&gt;0,"Reliquat en cours",IF(COUNTIFS(jr_num,A906,jr_gap,"&lt;0")+COUNTIFS(jr_num,A906,jr_gap,"&gt;0")&gt;0,"Écart","Conforme")))),IF(COUNTIFS(jr_num,A906,jr_gap,"&lt;0")&gt;0,"Partiel","Sorti")))))</f>
        <v/>
      </c>
      <c r="O906" t="str">
        <f>IFERROR(MATCH(901,jr_grank,0),"")</f>
        <v/>
      </c>
      <c r="R906" s="67" t="str">
        <f>IFERROR(INDEX(jr_num,MATCH("BL901",jr_nkey,0))&amp;"","")</f>
        <v/>
      </c>
      <c r="S906" s="67" t="str">
        <f>IFERROR(INDEX(jr_num,MATCH("BR901",jr_nkey,0))&amp;"","")</f>
        <v/>
      </c>
      <c r="T906" s="67" t="str">
        <f>IFERROR(INDEX(jr_num,MATCH("BS901",jr_nkey,0))&amp;"","")</f>
        <v/>
      </c>
    </row>
    <row r="907">
      <c r="A907" s="60" t="str">
        <f>IF($O907="","",INDEX(jr_num,$O907)&amp;"")</f>
        <v/>
      </c>
      <c r="B907" s="60" t="str">
        <f>IF($O907="","",IF(INDEX(jr_type,$O907)="BL","Livraison",IF(INDEX(jr_type,$O907)="BR","Réception","Sortie")))</f>
        <v/>
      </c>
      <c r="C907" s="65" t="str">
        <f>IF($O907="","",INDEX(jr_date,$O907))</f>
        <v/>
      </c>
      <c r="D907" s="60" t="str">
        <f>IF($O907="","",INDEX(jr_tiers,$O907)&amp;"")</f>
        <v/>
      </c>
      <c r="E907" s="57" t="str">
        <f>IF($O907="","",INDEX(jr_name,$O907)&amp;"")</f>
        <v/>
      </c>
      <c r="F907" s="57" t="str">
        <f>IF($O907="","",INDEX(jr_order,$O907)&amp;"")</f>
        <v/>
      </c>
      <c r="G907" s="57" t="str">
        <f>IF($O907="","",INDEX(jr_ext,$O907)&amp;"")</f>
        <v/>
      </c>
      <c r="H907" s="57" t="str">
        <f>IF($O907="","",INDEX(jr_carrier,$O907)&amp;"")</f>
        <v/>
      </c>
      <c r="I907" s="66" t="str">
        <f>IF(A907="","",COUNTIF(jr_num,A907))</f>
        <v/>
      </c>
      <c r="J907" s="66" t="str">
        <f>IF(A907="","",SUMIF(jr_num,A907,jr_colis))</f>
        <v/>
      </c>
      <c r="K907" s="63" t="str">
        <f>IF(A907="","",SUMIF(jr_num,A907,jr_kg))</f>
        <v/>
      </c>
      <c r="L907" s="64" t="str">
        <f>IF(A907="","",SUMIF(jr_num,A907,jr_val))</f>
        <v/>
      </c>
      <c r="M907" s="60" t="str">
        <f>IF(A907="","",IF(COUNTIFS(jr_num,A907,jr_check,"&lt;&gt;OK")&gt;0,"À vérifier",IF(LEFT(A907,2)="BL",IF(COUNTIFS(jr_num,A907,jr_rel,"&gt;0")&gt;0,"Reliquat en cours",IF(COUNTIFS(jr_num,A907,jr_gap,"&lt;0")&gt;0,"Reliquat livré","Complet")),IF(LEFT(A907,2)="BR",IF(COUNTIFS(jr_num,A907,jr_etat,"Refusé")&gt;0,"Refusé",IF(COUNTIFS(jr_num,A907,jr_etat,"Avec réserves")&gt;0,"Avec réserves",IF(COUNTIFS(jr_num,A907,jr_rel,"&gt;0")&gt;0,"Reliquat en cours",IF(COUNTIFS(jr_num,A907,jr_gap,"&lt;0")+COUNTIFS(jr_num,A907,jr_gap,"&gt;0")&gt;0,"Écart","Conforme")))),IF(COUNTIFS(jr_num,A907,jr_gap,"&lt;0")&gt;0,"Partiel","Sorti")))))</f>
        <v/>
      </c>
      <c r="O907" t="str">
        <f>IFERROR(MATCH(902,jr_grank,0),"")</f>
        <v/>
      </c>
      <c r="R907" s="67" t="str">
        <f>IFERROR(INDEX(jr_num,MATCH("BL902",jr_nkey,0))&amp;"","")</f>
        <v/>
      </c>
      <c r="S907" s="67" t="str">
        <f>IFERROR(INDEX(jr_num,MATCH("BR902",jr_nkey,0))&amp;"","")</f>
        <v/>
      </c>
      <c r="T907" s="67" t="str">
        <f>IFERROR(INDEX(jr_num,MATCH("BS902",jr_nkey,0))&amp;"","")</f>
        <v/>
      </c>
    </row>
    <row r="908">
      <c r="A908" s="60" t="str">
        <f>IF($O908="","",INDEX(jr_num,$O908)&amp;"")</f>
        <v/>
      </c>
      <c r="B908" s="60" t="str">
        <f>IF($O908="","",IF(INDEX(jr_type,$O908)="BL","Livraison",IF(INDEX(jr_type,$O908)="BR","Réception","Sortie")))</f>
        <v/>
      </c>
      <c r="C908" s="65" t="str">
        <f>IF($O908="","",INDEX(jr_date,$O908))</f>
        <v/>
      </c>
      <c r="D908" s="60" t="str">
        <f>IF($O908="","",INDEX(jr_tiers,$O908)&amp;"")</f>
        <v/>
      </c>
      <c r="E908" s="57" t="str">
        <f>IF($O908="","",INDEX(jr_name,$O908)&amp;"")</f>
        <v/>
      </c>
      <c r="F908" s="57" t="str">
        <f>IF($O908="","",INDEX(jr_order,$O908)&amp;"")</f>
        <v/>
      </c>
      <c r="G908" s="57" t="str">
        <f>IF($O908="","",INDEX(jr_ext,$O908)&amp;"")</f>
        <v/>
      </c>
      <c r="H908" s="57" t="str">
        <f>IF($O908="","",INDEX(jr_carrier,$O908)&amp;"")</f>
        <v/>
      </c>
      <c r="I908" s="66" t="str">
        <f>IF(A908="","",COUNTIF(jr_num,A908))</f>
        <v/>
      </c>
      <c r="J908" s="66" t="str">
        <f>IF(A908="","",SUMIF(jr_num,A908,jr_colis))</f>
        <v/>
      </c>
      <c r="K908" s="63" t="str">
        <f>IF(A908="","",SUMIF(jr_num,A908,jr_kg))</f>
        <v/>
      </c>
      <c r="L908" s="64" t="str">
        <f>IF(A908="","",SUMIF(jr_num,A908,jr_val))</f>
        <v/>
      </c>
      <c r="M908" s="60" t="str">
        <f>IF(A908="","",IF(COUNTIFS(jr_num,A908,jr_check,"&lt;&gt;OK")&gt;0,"À vérifier",IF(LEFT(A908,2)="BL",IF(COUNTIFS(jr_num,A908,jr_rel,"&gt;0")&gt;0,"Reliquat en cours",IF(COUNTIFS(jr_num,A908,jr_gap,"&lt;0")&gt;0,"Reliquat livré","Complet")),IF(LEFT(A908,2)="BR",IF(COUNTIFS(jr_num,A908,jr_etat,"Refusé")&gt;0,"Refusé",IF(COUNTIFS(jr_num,A908,jr_etat,"Avec réserves")&gt;0,"Avec réserves",IF(COUNTIFS(jr_num,A908,jr_rel,"&gt;0")&gt;0,"Reliquat en cours",IF(COUNTIFS(jr_num,A908,jr_gap,"&lt;0")+COUNTIFS(jr_num,A908,jr_gap,"&gt;0")&gt;0,"Écart","Conforme")))),IF(COUNTIFS(jr_num,A908,jr_gap,"&lt;0")&gt;0,"Partiel","Sorti")))))</f>
        <v/>
      </c>
      <c r="O908" t="str">
        <f>IFERROR(MATCH(903,jr_grank,0),"")</f>
        <v/>
      </c>
      <c r="R908" s="67" t="str">
        <f>IFERROR(INDEX(jr_num,MATCH("BL903",jr_nkey,0))&amp;"","")</f>
        <v/>
      </c>
      <c r="S908" s="67" t="str">
        <f>IFERROR(INDEX(jr_num,MATCH("BR903",jr_nkey,0))&amp;"","")</f>
        <v/>
      </c>
      <c r="T908" s="67" t="str">
        <f>IFERROR(INDEX(jr_num,MATCH("BS903",jr_nkey,0))&amp;"","")</f>
        <v/>
      </c>
    </row>
    <row r="909">
      <c r="A909" s="60" t="str">
        <f>IF($O909="","",INDEX(jr_num,$O909)&amp;"")</f>
        <v/>
      </c>
      <c r="B909" s="60" t="str">
        <f>IF($O909="","",IF(INDEX(jr_type,$O909)="BL","Livraison",IF(INDEX(jr_type,$O909)="BR","Réception","Sortie")))</f>
        <v/>
      </c>
      <c r="C909" s="65" t="str">
        <f>IF($O909="","",INDEX(jr_date,$O909))</f>
        <v/>
      </c>
      <c r="D909" s="60" t="str">
        <f>IF($O909="","",INDEX(jr_tiers,$O909)&amp;"")</f>
        <v/>
      </c>
      <c r="E909" s="57" t="str">
        <f>IF($O909="","",INDEX(jr_name,$O909)&amp;"")</f>
        <v/>
      </c>
      <c r="F909" s="57" t="str">
        <f>IF($O909="","",INDEX(jr_order,$O909)&amp;"")</f>
        <v/>
      </c>
      <c r="G909" s="57" t="str">
        <f>IF($O909="","",INDEX(jr_ext,$O909)&amp;"")</f>
        <v/>
      </c>
      <c r="H909" s="57" t="str">
        <f>IF($O909="","",INDEX(jr_carrier,$O909)&amp;"")</f>
        <v/>
      </c>
      <c r="I909" s="66" t="str">
        <f>IF(A909="","",COUNTIF(jr_num,A909))</f>
        <v/>
      </c>
      <c r="J909" s="66" t="str">
        <f>IF(A909="","",SUMIF(jr_num,A909,jr_colis))</f>
        <v/>
      </c>
      <c r="K909" s="63" t="str">
        <f>IF(A909="","",SUMIF(jr_num,A909,jr_kg))</f>
        <v/>
      </c>
      <c r="L909" s="64" t="str">
        <f>IF(A909="","",SUMIF(jr_num,A909,jr_val))</f>
        <v/>
      </c>
      <c r="M909" s="60" t="str">
        <f>IF(A909="","",IF(COUNTIFS(jr_num,A909,jr_check,"&lt;&gt;OK")&gt;0,"À vérifier",IF(LEFT(A909,2)="BL",IF(COUNTIFS(jr_num,A909,jr_rel,"&gt;0")&gt;0,"Reliquat en cours",IF(COUNTIFS(jr_num,A909,jr_gap,"&lt;0")&gt;0,"Reliquat livré","Complet")),IF(LEFT(A909,2)="BR",IF(COUNTIFS(jr_num,A909,jr_etat,"Refusé")&gt;0,"Refusé",IF(COUNTIFS(jr_num,A909,jr_etat,"Avec réserves")&gt;0,"Avec réserves",IF(COUNTIFS(jr_num,A909,jr_rel,"&gt;0")&gt;0,"Reliquat en cours",IF(COUNTIFS(jr_num,A909,jr_gap,"&lt;0")+COUNTIFS(jr_num,A909,jr_gap,"&gt;0")&gt;0,"Écart","Conforme")))),IF(COUNTIFS(jr_num,A909,jr_gap,"&lt;0")&gt;0,"Partiel","Sorti")))))</f>
        <v/>
      </c>
      <c r="O909" t="str">
        <f>IFERROR(MATCH(904,jr_grank,0),"")</f>
        <v/>
      </c>
      <c r="R909" s="67" t="str">
        <f>IFERROR(INDEX(jr_num,MATCH("BL904",jr_nkey,0))&amp;"","")</f>
        <v/>
      </c>
      <c r="S909" s="67" t="str">
        <f>IFERROR(INDEX(jr_num,MATCH("BR904",jr_nkey,0))&amp;"","")</f>
        <v/>
      </c>
      <c r="T909" s="67" t="str">
        <f>IFERROR(INDEX(jr_num,MATCH("BS904",jr_nkey,0))&amp;"","")</f>
        <v/>
      </c>
    </row>
    <row r="910">
      <c r="A910" s="60" t="str">
        <f>IF($O910="","",INDEX(jr_num,$O910)&amp;"")</f>
        <v/>
      </c>
      <c r="B910" s="60" t="str">
        <f>IF($O910="","",IF(INDEX(jr_type,$O910)="BL","Livraison",IF(INDEX(jr_type,$O910)="BR","Réception","Sortie")))</f>
        <v/>
      </c>
      <c r="C910" s="65" t="str">
        <f>IF($O910="","",INDEX(jr_date,$O910))</f>
        <v/>
      </c>
      <c r="D910" s="60" t="str">
        <f>IF($O910="","",INDEX(jr_tiers,$O910)&amp;"")</f>
        <v/>
      </c>
      <c r="E910" s="57" t="str">
        <f>IF($O910="","",INDEX(jr_name,$O910)&amp;"")</f>
        <v/>
      </c>
      <c r="F910" s="57" t="str">
        <f>IF($O910="","",INDEX(jr_order,$O910)&amp;"")</f>
        <v/>
      </c>
      <c r="G910" s="57" t="str">
        <f>IF($O910="","",INDEX(jr_ext,$O910)&amp;"")</f>
        <v/>
      </c>
      <c r="H910" s="57" t="str">
        <f>IF($O910="","",INDEX(jr_carrier,$O910)&amp;"")</f>
        <v/>
      </c>
      <c r="I910" s="66" t="str">
        <f>IF(A910="","",COUNTIF(jr_num,A910))</f>
        <v/>
      </c>
      <c r="J910" s="66" t="str">
        <f>IF(A910="","",SUMIF(jr_num,A910,jr_colis))</f>
        <v/>
      </c>
      <c r="K910" s="63" t="str">
        <f>IF(A910="","",SUMIF(jr_num,A910,jr_kg))</f>
        <v/>
      </c>
      <c r="L910" s="64" t="str">
        <f>IF(A910="","",SUMIF(jr_num,A910,jr_val))</f>
        <v/>
      </c>
      <c r="M910" s="60" t="str">
        <f>IF(A910="","",IF(COUNTIFS(jr_num,A910,jr_check,"&lt;&gt;OK")&gt;0,"À vérifier",IF(LEFT(A910,2)="BL",IF(COUNTIFS(jr_num,A910,jr_rel,"&gt;0")&gt;0,"Reliquat en cours",IF(COUNTIFS(jr_num,A910,jr_gap,"&lt;0")&gt;0,"Reliquat livré","Complet")),IF(LEFT(A910,2)="BR",IF(COUNTIFS(jr_num,A910,jr_etat,"Refusé")&gt;0,"Refusé",IF(COUNTIFS(jr_num,A910,jr_etat,"Avec réserves")&gt;0,"Avec réserves",IF(COUNTIFS(jr_num,A910,jr_rel,"&gt;0")&gt;0,"Reliquat en cours",IF(COUNTIFS(jr_num,A910,jr_gap,"&lt;0")+COUNTIFS(jr_num,A910,jr_gap,"&gt;0")&gt;0,"Écart","Conforme")))),IF(COUNTIFS(jr_num,A910,jr_gap,"&lt;0")&gt;0,"Partiel","Sorti")))))</f>
        <v/>
      </c>
      <c r="O910" t="str">
        <f>IFERROR(MATCH(905,jr_grank,0),"")</f>
        <v/>
      </c>
      <c r="R910" s="67" t="str">
        <f>IFERROR(INDEX(jr_num,MATCH("BL905",jr_nkey,0))&amp;"","")</f>
        <v/>
      </c>
      <c r="S910" s="67" t="str">
        <f>IFERROR(INDEX(jr_num,MATCH("BR905",jr_nkey,0))&amp;"","")</f>
        <v/>
      </c>
      <c r="T910" s="67" t="str">
        <f>IFERROR(INDEX(jr_num,MATCH("BS905",jr_nkey,0))&amp;"","")</f>
        <v/>
      </c>
    </row>
    <row r="911">
      <c r="A911" s="60" t="str">
        <f>IF($O911="","",INDEX(jr_num,$O911)&amp;"")</f>
        <v/>
      </c>
      <c r="B911" s="60" t="str">
        <f>IF($O911="","",IF(INDEX(jr_type,$O911)="BL","Livraison",IF(INDEX(jr_type,$O911)="BR","Réception","Sortie")))</f>
        <v/>
      </c>
      <c r="C911" s="65" t="str">
        <f>IF($O911="","",INDEX(jr_date,$O911))</f>
        <v/>
      </c>
      <c r="D911" s="60" t="str">
        <f>IF($O911="","",INDEX(jr_tiers,$O911)&amp;"")</f>
        <v/>
      </c>
      <c r="E911" s="57" t="str">
        <f>IF($O911="","",INDEX(jr_name,$O911)&amp;"")</f>
        <v/>
      </c>
      <c r="F911" s="57" t="str">
        <f>IF($O911="","",INDEX(jr_order,$O911)&amp;"")</f>
        <v/>
      </c>
      <c r="G911" s="57" t="str">
        <f>IF($O911="","",INDEX(jr_ext,$O911)&amp;"")</f>
        <v/>
      </c>
      <c r="H911" s="57" t="str">
        <f>IF($O911="","",INDEX(jr_carrier,$O911)&amp;"")</f>
        <v/>
      </c>
      <c r="I911" s="66" t="str">
        <f>IF(A911="","",COUNTIF(jr_num,A911))</f>
        <v/>
      </c>
      <c r="J911" s="66" t="str">
        <f>IF(A911="","",SUMIF(jr_num,A911,jr_colis))</f>
        <v/>
      </c>
      <c r="K911" s="63" t="str">
        <f>IF(A911="","",SUMIF(jr_num,A911,jr_kg))</f>
        <v/>
      </c>
      <c r="L911" s="64" t="str">
        <f>IF(A911="","",SUMIF(jr_num,A911,jr_val))</f>
        <v/>
      </c>
      <c r="M911" s="60" t="str">
        <f>IF(A911="","",IF(COUNTIFS(jr_num,A911,jr_check,"&lt;&gt;OK")&gt;0,"À vérifier",IF(LEFT(A911,2)="BL",IF(COUNTIFS(jr_num,A911,jr_rel,"&gt;0")&gt;0,"Reliquat en cours",IF(COUNTIFS(jr_num,A911,jr_gap,"&lt;0")&gt;0,"Reliquat livré","Complet")),IF(LEFT(A911,2)="BR",IF(COUNTIFS(jr_num,A911,jr_etat,"Refusé")&gt;0,"Refusé",IF(COUNTIFS(jr_num,A911,jr_etat,"Avec réserves")&gt;0,"Avec réserves",IF(COUNTIFS(jr_num,A911,jr_rel,"&gt;0")&gt;0,"Reliquat en cours",IF(COUNTIFS(jr_num,A911,jr_gap,"&lt;0")+COUNTIFS(jr_num,A911,jr_gap,"&gt;0")&gt;0,"Écart","Conforme")))),IF(COUNTIFS(jr_num,A911,jr_gap,"&lt;0")&gt;0,"Partiel","Sorti")))))</f>
        <v/>
      </c>
      <c r="O911" t="str">
        <f>IFERROR(MATCH(906,jr_grank,0),"")</f>
        <v/>
      </c>
      <c r="R911" s="67" t="str">
        <f>IFERROR(INDEX(jr_num,MATCH("BL906",jr_nkey,0))&amp;"","")</f>
        <v/>
      </c>
      <c r="S911" s="67" t="str">
        <f>IFERROR(INDEX(jr_num,MATCH("BR906",jr_nkey,0))&amp;"","")</f>
        <v/>
      </c>
      <c r="T911" s="67" t="str">
        <f>IFERROR(INDEX(jr_num,MATCH("BS906",jr_nkey,0))&amp;"","")</f>
        <v/>
      </c>
    </row>
    <row r="912">
      <c r="A912" s="60" t="str">
        <f>IF($O912="","",INDEX(jr_num,$O912)&amp;"")</f>
        <v/>
      </c>
      <c r="B912" s="60" t="str">
        <f>IF($O912="","",IF(INDEX(jr_type,$O912)="BL","Livraison",IF(INDEX(jr_type,$O912)="BR","Réception","Sortie")))</f>
        <v/>
      </c>
      <c r="C912" s="65" t="str">
        <f>IF($O912="","",INDEX(jr_date,$O912))</f>
        <v/>
      </c>
      <c r="D912" s="60" t="str">
        <f>IF($O912="","",INDEX(jr_tiers,$O912)&amp;"")</f>
        <v/>
      </c>
      <c r="E912" s="57" t="str">
        <f>IF($O912="","",INDEX(jr_name,$O912)&amp;"")</f>
        <v/>
      </c>
      <c r="F912" s="57" t="str">
        <f>IF($O912="","",INDEX(jr_order,$O912)&amp;"")</f>
        <v/>
      </c>
      <c r="G912" s="57" t="str">
        <f>IF($O912="","",INDEX(jr_ext,$O912)&amp;"")</f>
        <v/>
      </c>
      <c r="H912" s="57" t="str">
        <f>IF($O912="","",INDEX(jr_carrier,$O912)&amp;"")</f>
        <v/>
      </c>
      <c r="I912" s="66" t="str">
        <f>IF(A912="","",COUNTIF(jr_num,A912))</f>
        <v/>
      </c>
      <c r="J912" s="66" t="str">
        <f>IF(A912="","",SUMIF(jr_num,A912,jr_colis))</f>
        <v/>
      </c>
      <c r="K912" s="63" t="str">
        <f>IF(A912="","",SUMIF(jr_num,A912,jr_kg))</f>
        <v/>
      </c>
      <c r="L912" s="64" t="str">
        <f>IF(A912="","",SUMIF(jr_num,A912,jr_val))</f>
        <v/>
      </c>
      <c r="M912" s="60" t="str">
        <f>IF(A912="","",IF(COUNTIFS(jr_num,A912,jr_check,"&lt;&gt;OK")&gt;0,"À vérifier",IF(LEFT(A912,2)="BL",IF(COUNTIFS(jr_num,A912,jr_rel,"&gt;0")&gt;0,"Reliquat en cours",IF(COUNTIFS(jr_num,A912,jr_gap,"&lt;0")&gt;0,"Reliquat livré","Complet")),IF(LEFT(A912,2)="BR",IF(COUNTIFS(jr_num,A912,jr_etat,"Refusé")&gt;0,"Refusé",IF(COUNTIFS(jr_num,A912,jr_etat,"Avec réserves")&gt;0,"Avec réserves",IF(COUNTIFS(jr_num,A912,jr_rel,"&gt;0")&gt;0,"Reliquat en cours",IF(COUNTIFS(jr_num,A912,jr_gap,"&lt;0")+COUNTIFS(jr_num,A912,jr_gap,"&gt;0")&gt;0,"Écart","Conforme")))),IF(COUNTIFS(jr_num,A912,jr_gap,"&lt;0")&gt;0,"Partiel","Sorti")))))</f>
        <v/>
      </c>
      <c r="O912" t="str">
        <f>IFERROR(MATCH(907,jr_grank,0),"")</f>
        <v/>
      </c>
      <c r="R912" s="67" t="str">
        <f>IFERROR(INDEX(jr_num,MATCH("BL907",jr_nkey,0))&amp;"","")</f>
        <v/>
      </c>
      <c r="S912" s="67" t="str">
        <f>IFERROR(INDEX(jr_num,MATCH("BR907",jr_nkey,0))&amp;"","")</f>
        <v/>
      </c>
      <c r="T912" s="67" t="str">
        <f>IFERROR(INDEX(jr_num,MATCH("BS907",jr_nkey,0))&amp;"","")</f>
        <v/>
      </c>
    </row>
    <row r="913">
      <c r="A913" s="60" t="str">
        <f>IF($O913="","",INDEX(jr_num,$O913)&amp;"")</f>
        <v/>
      </c>
      <c r="B913" s="60" t="str">
        <f>IF($O913="","",IF(INDEX(jr_type,$O913)="BL","Livraison",IF(INDEX(jr_type,$O913)="BR","Réception","Sortie")))</f>
        <v/>
      </c>
      <c r="C913" s="65" t="str">
        <f>IF($O913="","",INDEX(jr_date,$O913))</f>
        <v/>
      </c>
      <c r="D913" s="60" t="str">
        <f>IF($O913="","",INDEX(jr_tiers,$O913)&amp;"")</f>
        <v/>
      </c>
      <c r="E913" s="57" t="str">
        <f>IF($O913="","",INDEX(jr_name,$O913)&amp;"")</f>
        <v/>
      </c>
      <c r="F913" s="57" t="str">
        <f>IF($O913="","",INDEX(jr_order,$O913)&amp;"")</f>
        <v/>
      </c>
      <c r="G913" s="57" t="str">
        <f>IF($O913="","",INDEX(jr_ext,$O913)&amp;"")</f>
        <v/>
      </c>
      <c r="H913" s="57" t="str">
        <f>IF($O913="","",INDEX(jr_carrier,$O913)&amp;"")</f>
        <v/>
      </c>
      <c r="I913" s="66" t="str">
        <f>IF(A913="","",COUNTIF(jr_num,A913))</f>
        <v/>
      </c>
      <c r="J913" s="66" t="str">
        <f>IF(A913="","",SUMIF(jr_num,A913,jr_colis))</f>
        <v/>
      </c>
      <c r="K913" s="63" t="str">
        <f>IF(A913="","",SUMIF(jr_num,A913,jr_kg))</f>
        <v/>
      </c>
      <c r="L913" s="64" t="str">
        <f>IF(A913="","",SUMIF(jr_num,A913,jr_val))</f>
        <v/>
      </c>
      <c r="M913" s="60" t="str">
        <f>IF(A913="","",IF(COUNTIFS(jr_num,A913,jr_check,"&lt;&gt;OK")&gt;0,"À vérifier",IF(LEFT(A913,2)="BL",IF(COUNTIFS(jr_num,A913,jr_rel,"&gt;0")&gt;0,"Reliquat en cours",IF(COUNTIFS(jr_num,A913,jr_gap,"&lt;0")&gt;0,"Reliquat livré","Complet")),IF(LEFT(A913,2)="BR",IF(COUNTIFS(jr_num,A913,jr_etat,"Refusé")&gt;0,"Refusé",IF(COUNTIFS(jr_num,A913,jr_etat,"Avec réserves")&gt;0,"Avec réserves",IF(COUNTIFS(jr_num,A913,jr_rel,"&gt;0")&gt;0,"Reliquat en cours",IF(COUNTIFS(jr_num,A913,jr_gap,"&lt;0")+COUNTIFS(jr_num,A913,jr_gap,"&gt;0")&gt;0,"Écart","Conforme")))),IF(COUNTIFS(jr_num,A913,jr_gap,"&lt;0")&gt;0,"Partiel","Sorti")))))</f>
        <v/>
      </c>
      <c r="O913" t="str">
        <f>IFERROR(MATCH(908,jr_grank,0),"")</f>
        <v/>
      </c>
      <c r="R913" s="67" t="str">
        <f>IFERROR(INDEX(jr_num,MATCH("BL908",jr_nkey,0))&amp;"","")</f>
        <v/>
      </c>
      <c r="S913" s="67" t="str">
        <f>IFERROR(INDEX(jr_num,MATCH("BR908",jr_nkey,0))&amp;"","")</f>
        <v/>
      </c>
      <c r="T913" s="67" t="str">
        <f>IFERROR(INDEX(jr_num,MATCH("BS908",jr_nkey,0))&amp;"","")</f>
        <v/>
      </c>
    </row>
    <row r="914">
      <c r="A914" s="60" t="str">
        <f>IF($O914="","",INDEX(jr_num,$O914)&amp;"")</f>
        <v/>
      </c>
      <c r="B914" s="60" t="str">
        <f>IF($O914="","",IF(INDEX(jr_type,$O914)="BL","Livraison",IF(INDEX(jr_type,$O914)="BR","Réception","Sortie")))</f>
        <v/>
      </c>
      <c r="C914" s="65" t="str">
        <f>IF($O914="","",INDEX(jr_date,$O914))</f>
        <v/>
      </c>
      <c r="D914" s="60" t="str">
        <f>IF($O914="","",INDEX(jr_tiers,$O914)&amp;"")</f>
        <v/>
      </c>
      <c r="E914" s="57" t="str">
        <f>IF($O914="","",INDEX(jr_name,$O914)&amp;"")</f>
        <v/>
      </c>
      <c r="F914" s="57" t="str">
        <f>IF($O914="","",INDEX(jr_order,$O914)&amp;"")</f>
        <v/>
      </c>
      <c r="G914" s="57" t="str">
        <f>IF($O914="","",INDEX(jr_ext,$O914)&amp;"")</f>
        <v/>
      </c>
      <c r="H914" s="57" t="str">
        <f>IF($O914="","",INDEX(jr_carrier,$O914)&amp;"")</f>
        <v/>
      </c>
      <c r="I914" s="66" t="str">
        <f>IF(A914="","",COUNTIF(jr_num,A914))</f>
        <v/>
      </c>
      <c r="J914" s="66" t="str">
        <f>IF(A914="","",SUMIF(jr_num,A914,jr_colis))</f>
        <v/>
      </c>
      <c r="K914" s="63" t="str">
        <f>IF(A914="","",SUMIF(jr_num,A914,jr_kg))</f>
        <v/>
      </c>
      <c r="L914" s="64" t="str">
        <f>IF(A914="","",SUMIF(jr_num,A914,jr_val))</f>
        <v/>
      </c>
      <c r="M914" s="60" t="str">
        <f>IF(A914="","",IF(COUNTIFS(jr_num,A914,jr_check,"&lt;&gt;OK")&gt;0,"À vérifier",IF(LEFT(A914,2)="BL",IF(COUNTIFS(jr_num,A914,jr_rel,"&gt;0")&gt;0,"Reliquat en cours",IF(COUNTIFS(jr_num,A914,jr_gap,"&lt;0")&gt;0,"Reliquat livré","Complet")),IF(LEFT(A914,2)="BR",IF(COUNTIFS(jr_num,A914,jr_etat,"Refusé")&gt;0,"Refusé",IF(COUNTIFS(jr_num,A914,jr_etat,"Avec réserves")&gt;0,"Avec réserves",IF(COUNTIFS(jr_num,A914,jr_rel,"&gt;0")&gt;0,"Reliquat en cours",IF(COUNTIFS(jr_num,A914,jr_gap,"&lt;0")+COUNTIFS(jr_num,A914,jr_gap,"&gt;0")&gt;0,"Écart","Conforme")))),IF(COUNTIFS(jr_num,A914,jr_gap,"&lt;0")&gt;0,"Partiel","Sorti")))))</f>
        <v/>
      </c>
      <c r="O914" t="str">
        <f>IFERROR(MATCH(909,jr_grank,0),"")</f>
        <v/>
      </c>
      <c r="R914" s="67" t="str">
        <f>IFERROR(INDEX(jr_num,MATCH("BL909",jr_nkey,0))&amp;"","")</f>
        <v/>
      </c>
      <c r="S914" s="67" t="str">
        <f>IFERROR(INDEX(jr_num,MATCH("BR909",jr_nkey,0))&amp;"","")</f>
        <v/>
      </c>
      <c r="T914" s="67" t="str">
        <f>IFERROR(INDEX(jr_num,MATCH("BS909",jr_nkey,0))&amp;"","")</f>
        <v/>
      </c>
    </row>
    <row r="915">
      <c r="A915" s="60" t="str">
        <f>IF($O915="","",INDEX(jr_num,$O915)&amp;"")</f>
        <v/>
      </c>
      <c r="B915" s="60" t="str">
        <f>IF($O915="","",IF(INDEX(jr_type,$O915)="BL","Livraison",IF(INDEX(jr_type,$O915)="BR","Réception","Sortie")))</f>
        <v/>
      </c>
      <c r="C915" s="65" t="str">
        <f>IF($O915="","",INDEX(jr_date,$O915))</f>
        <v/>
      </c>
      <c r="D915" s="60" t="str">
        <f>IF($O915="","",INDEX(jr_tiers,$O915)&amp;"")</f>
        <v/>
      </c>
      <c r="E915" s="57" t="str">
        <f>IF($O915="","",INDEX(jr_name,$O915)&amp;"")</f>
        <v/>
      </c>
      <c r="F915" s="57" t="str">
        <f>IF($O915="","",INDEX(jr_order,$O915)&amp;"")</f>
        <v/>
      </c>
      <c r="G915" s="57" t="str">
        <f>IF($O915="","",INDEX(jr_ext,$O915)&amp;"")</f>
        <v/>
      </c>
      <c r="H915" s="57" t="str">
        <f>IF($O915="","",INDEX(jr_carrier,$O915)&amp;"")</f>
        <v/>
      </c>
      <c r="I915" s="66" t="str">
        <f>IF(A915="","",COUNTIF(jr_num,A915))</f>
        <v/>
      </c>
      <c r="J915" s="66" t="str">
        <f>IF(A915="","",SUMIF(jr_num,A915,jr_colis))</f>
        <v/>
      </c>
      <c r="K915" s="63" t="str">
        <f>IF(A915="","",SUMIF(jr_num,A915,jr_kg))</f>
        <v/>
      </c>
      <c r="L915" s="64" t="str">
        <f>IF(A915="","",SUMIF(jr_num,A915,jr_val))</f>
        <v/>
      </c>
      <c r="M915" s="60" t="str">
        <f>IF(A915="","",IF(COUNTIFS(jr_num,A915,jr_check,"&lt;&gt;OK")&gt;0,"À vérifier",IF(LEFT(A915,2)="BL",IF(COUNTIFS(jr_num,A915,jr_rel,"&gt;0")&gt;0,"Reliquat en cours",IF(COUNTIFS(jr_num,A915,jr_gap,"&lt;0")&gt;0,"Reliquat livré","Complet")),IF(LEFT(A915,2)="BR",IF(COUNTIFS(jr_num,A915,jr_etat,"Refusé")&gt;0,"Refusé",IF(COUNTIFS(jr_num,A915,jr_etat,"Avec réserves")&gt;0,"Avec réserves",IF(COUNTIFS(jr_num,A915,jr_rel,"&gt;0")&gt;0,"Reliquat en cours",IF(COUNTIFS(jr_num,A915,jr_gap,"&lt;0")+COUNTIFS(jr_num,A915,jr_gap,"&gt;0")&gt;0,"Écart","Conforme")))),IF(COUNTIFS(jr_num,A915,jr_gap,"&lt;0")&gt;0,"Partiel","Sorti")))))</f>
        <v/>
      </c>
      <c r="O915" t="str">
        <f>IFERROR(MATCH(910,jr_grank,0),"")</f>
        <v/>
      </c>
      <c r="R915" s="67" t="str">
        <f>IFERROR(INDEX(jr_num,MATCH("BL910",jr_nkey,0))&amp;"","")</f>
        <v/>
      </c>
      <c r="S915" s="67" t="str">
        <f>IFERROR(INDEX(jr_num,MATCH("BR910",jr_nkey,0))&amp;"","")</f>
        <v/>
      </c>
      <c r="T915" s="67" t="str">
        <f>IFERROR(INDEX(jr_num,MATCH("BS910",jr_nkey,0))&amp;"","")</f>
        <v/>
      </c>
    </row>
    <row r="916">
      <c r="A916" s="60" t="str">
        <f>IF($O916="","",INDEX(jr_num,$O916)&amp;"")</f>
        <v/>
      </c>
      <c r="B916" s="60" t="str">
        <f>IF($O916="","",IF(INDEX(jr_type,$O916)="BL","Livraison",IF(INDEX(jr_type,$O916)="BR","Réception","Sortie")))</f>
        <v/>
      </c>
      <c r="C916" s="65" t="str">
        <f>IF($O916="","",INDEX(jr_date,$O916))</f>
        <v/>
      </c>
      <c r="D916" s="60" t="str">
        <f>IF($O916="","",INDEX(jr_tiers,$O916)&amp;"")</f>
        <v/>
      </c>
      <c r="E916" s="57" t="str">
        <f>IF($O916="","",INDEX(jr_name,$O916)&amp;"")</f>
        <v/>
      </c>
      <c r="F916" s="57" t="str">
        <f>IF($O916="","",INDEX(jr_order,$O916)&amp;"")</f>
        <v/>
      </c>
      <c r="G916" s="57" t="str">
        <f>IF($O916="","",INDEX(jr_ext,$O916)&amp;"")</f>
        <v/>
      </c>
      <c r="H916" s="57" t="str">
        <f>IF($O916="","",INDEX(jr_carrier,$O916)&amp;"")</f>
        <v/>
      </c>
      <c r="I916" s="66" t="str">
        <f>IF(A916="","",COUNTIF(jr_num,A916))</f>
        <v/>
      </c>
      <c r="J916" s="66" t="str">
        <f>IF(A916="","",SUMIF(jr_num,A916,jr_colis))</f>
        <v/>
      </c>
      <c r="K916" s="63" t="str">
        <f>IF(A916="","",SUMIF(jr_num,A916,jr_kg))</f>
        <v/>
      </c>
      <c r="L916" s="64" t="str">
        <f>IF(A916="","",SUMIF(jr_num,A916,jr_val))</f>
        <v/>
      </c>
      <c r="M916" s="60" t="str">
        <f>IF(A916="","",IF(COUNTIFS(jr_num,A916,jr_check,"&lt;&gt;OK")&gt;0,"À vérifier",IF(LEFT(A916,2)="BL",IF(COUNTIFS(jr_num,A916,jr_rel,"&gt;0")&gt;0,"Reliquat en cours",IF(COUNTIFS(jr_num,A916,jr_gap,"&lt;0")&gt;0,"Reliquat livré","Complet")),IF(LEFT(A916,2)="BR",IF(COUNTIFS(jr_num,A916,jr_etat,"Refusé")&gt;0,"Refusé",IF(COUNTIFS(jr_num,A916,jr_etat,"Avec réserves")&gt;0,"Avec réserves",IF(COUNTIFS(jr_num,A916,jr_rel,"&gt;0")&gt;0,"Reliquat en cours",IF(COUNTIFS(jr_num,A916,jr_gap,"&lt;0")+COUNTIFS(jr_num,A916,jr_gap,"&gt;0")&gt;0,"Écart","Conforme")))),IF(COUNTIFS(jr_num,A916,jr_gap,"&lt;0")&gt;0,"Partiel","Sorti")))))</f>
        <v/>
      </c>
      <c r="O916" t="str">
        <f>IFERROR(MATCH(911,jr_grank,0),"")</f>
        <v/>
      </c>
      <c r="R916" s="67" t="str">
        <f>IFERROR(INDEX(jr_num,MATCH("BL911",jr_nkey,0))&amp;"","")</f>
        <v/>
      </c>
      <c r="S916" s="67" t="str">
        <f>IFERROR(INDEX(jr_num,MATCH("BR911",jr_nkey,0))&amp;"","")</f>
        <v/>
      </c>
      <c r="T916" s="67" t="str">
        <f>IFERROR(INDEX(jr_num,MATCH("BS911",jr_nkey,0))&amp;"","")</f>
        <v/>
      </c>
    </row>
    <row r="917">
      <c r="A917" s="60" t="str">
        <f>IF($O917="","",INDEX(jr_num,$O917)&amp;"")</f>
        <v/>
      </c>
      <c r="B917" s="60" t="str">
        <f>IF($O917="","",IF(INDEX(jr_type,$O917)="BL","Livraison",IF(INDEX(jr_type,$O917)="BR","Réception","Sortie")))</f>
        <v/>
      </c>
      <c r="C917" s="65" t="str">
        <f>IF($O917="","",INDEX(jr_date,$O917))</f>
        <v/>
      </c>
      <c r="D917" s="60" t="str">
        <f>IF($O917="","",INDEX(jr_tiers,$O917)&amp;"")</f>
        <v/>
      </c>
      <c r="E917" s="57" t="str">
        <f>IF($O917="","",INDEX(jr_name,$O917)&amp;"")</f>
        <v/>
      </c>
      <c r="F917" s="57" t="str">
        <f>IF($O917="","",INDEX(jr_order,$O917)&amp;"")</f>
        <v/>
      </c>
      <c r="G917" s="57" t="str">
        <f>IF($O917="","",INDEX(jr_ext,$O917)&amp;"")</f>
        <v/>
      </c>
      <c r="H917" s="57" t="str">
        <f>IF($O917="","",INDEX(jr_carrier,$O917)&amp;"")</f>
        <v/>
      </c>
      <c r="I917" s="66" t="str">
        <f>IF(A917="","",COUNTIF(jr_num,A917))</f>
        <v/>
      </c>
      <c r="J917" s="66" t="str">
        <f>IF(A917="","",SUMIF(jr_num,A917,jr_colis))</f>
        <v/>
      </c>
      <c r="K917" s="63" t="str">
        <f>IF(A917="","",SUMIF(jr_num,A917,jr_kg))</f>
        <v/>
      </c>
      <c r="L917" s="64" t="str">
        <f>IF(A917="","",SUMIF(jr_num,A917,jr_val))</f>
        <v/>
      </c>
      <c r="M917" s="60" t="str">
        <f>IF(A917="","",IF(COUNTIFS(jr_num,A917,jr_check,"&lt;&gt;OK")&gt;0,"À vérifier",IF(LEFT(A917,2)="BL",IF(COUNTIFS(jr_num,A917,jr_rel,"&gt;0")&gt;0,"Reliquat en cours",IF(COUNTIFS(jr_num,A917,jr_gap,"&lt;0")&gt;0,"Reliquat livré","Complet")),IF(LEFT(A917,2)="BR",IF(COUNTIFS(jr_num,A917,jr_etat,"Refusé")&gt;0,"Refusé",IF(COUNTIFS(jr_num,A917,jr_etat,"Avec réserves")&gt;0,"Avec réserves",IF(COUNTIFS(jr_num,A917,jr_rel,"&gt;0")&gt;0,"Reliquat en cours",IF(COUNTIFS(jr_num,A917,jr_gap,"&lt;0")+COUNTIFS(jr_num,A917,jr_gap,"&gt;0")&gt;0,"Écart","Conforme")))),IF(COUNTIFS(jr_num,A917,jr_gap,"&lt;0")&gt;0,"Partiel","Sorti")))))</f>
        <v/>
      </c>
      <c r="O917" t="str">
        <f>IFERROR(MATCH(912,jr_grank,0),"")</f>
        <v/>
      </c>
      <c r="R917" s="67" t="str">
        <f>IFERROR(INDEX(jr_num,MATCH("BL912",jr_nkey,0))&amp;"","")</f>
        <v/>
      </c>
      <c r="S917" s="67" t="str">
        <f>IFERROR(INDEX(jr_num,MATCH("BR912",jr_nkey,0))&amp;"","")</f>
        <v/>
      </c>
      <c r="T917" s="67" t="str">
        <f>IFERROR(INDEX(jr_num,MATCH("BS912",jr_nkey,0))&amp;"","")</f>
        <v/>
      </c>
    </row>
    <row r="918">
      <c r="A918" s="60" t="str">
        <f>IF($O918="","",INDEX(jr_num,$O918)&amp;"")</f>
        <v/>
      </c>
      <c r="B918" s="60" t="str">
        <f>IF($O918="","",IF(INDEX(jr_type,$O918)="BL","Livraison",IF(INDEX(jr_type,$O918)="BR","Réception","Sortie")))</f>
        <v/>
      </c>
      <c r="C918" s="65" t="str">
        <f>IF($O918="","",INDEX(jr_date,$O918))</f>
        <v/>
      </c>
      <c r="D918" s="60" t="str">
        <f>IF($O918="","",INDEX(jr_tiers,$O918)&amp;"")</f>
        <v/>
      </c>
      <c r="E918" s="57" t="str">
        <f>IF($O918="","",INDEX(jr_name,$O918)&amp;"")</f>
        <v/>
      </c>
      <c r="F918" s="57" t="str">
        <f>IF($O918="","",INDEX(jr_order,$O918)&amp;"")</f>
        <v/>
      </c>
      <c r="G918" s="57" t="str">
        <f>IF($O918="","",INDEX(jr_ext,$O918)&amp;"")</f>
        <v/>
      </c>
      <c r="H918" s="57" t="str">
        <f>IF($O918="","",INDEX(jr_carrier,$O918)&amp;"")</f>
        <v/>
      </c>
      <c r="I918" s="66" t="str">
        <f>IF(A918="","",COUNTIF(jr_num,A918))</f>
        <v/>
      </c>
      <c r="J918" s="66" t="str">
        <f>IF(A918="","",SUMIF(jr_num,A918,jr_colis))</f>
        <v/>
      </c>
      <c r="K918" s="63" t="str">
        <f>IF(A918="","",SUMIF(jr_num,A918,jr_kg))</f>
        <v/>
      </c>
      <c r="L918" s="64" t="str">
        <f>IF(A918="","",SUMIF(jr_num,A918,jr_val))</f>
        <v/>
      </c>
      <c r="M918" s="60" t="str">
        <f>IF(A918="","",IF(COUNTIFS(jr_num,A918,jr_check,"&lt;&gt;OK")&gt;0,"À vérifier",IF(LEFT(A918,2)="BL",IF(COUNTIFS(jr_num,A918,jr_rel,"&gt;0")&gt;0,"Reliquat en cours",IF(COUNTIFS(jr_num,A918,jr_gap,"&lt;0")&gt;0,"Reliquat livré","Complet")),IF(LEFT(A918,2)="BR",IF(COUNTIFS(jr_num,A918,jr_etat,"Refusé")&gt;0,"Refusé",IF(COUNTIFS(jr_num,A918,jr_etat,"Avec réserves")&gt;0,"Avec réserves",IF(COUNTIFS(jr_num,A918,jr_rel,"&gt;0")&gt;0,"Reliquat en cours",IF(COUNTIFS(jr_num,A918,jr_gap,"&lt;0")+COUNTIFS(jr_num,A918,jr_gap,"&gt;0")&gt;0,"Écart","Conforme")))),IF(COUNTIFS(jr_num,A918,jr_gap,"&lt;0")&gt;0,"Partiel","Sorti")))))</f>
        <v/>
      </c>
      <c r="O918" t="str">
        <f>IFERROR(MATCH(913,jr_grank,0),"")</f>
        <v/>
      </c>
      <c r="R918" s="67" t="str">
        <f>IFERROR(INDEX(jr_num,MATCH("BL913",jr_nkey,0))&amp;"","")</f>
        <v/>
      </c>
      <c r="S918" s="67" t="str">
        <f>IFERROR(INDEX(jr_num,MATCH("BR913",jr_nkey,0))&amp;"","")</f>
        <v/>
      </c>
      <c r="T918" s="67" t="str">
        <f>IFERROR(INDEX(jr_num,MATCH("BS913",jr_nkey,0))&amp;"","")</f>
        <v/>
      </c>
    </row>
    <row r="919">
      <c r="A919" s="60" t="str">
        <f>IF($O919="","",INDEX(jr_num,$O919)&amp;"")</f>
        <v/>
      </c>
      <c r="B919" s="60" t="str">
        <f>IF($O919="","",IF(INDEX(jr_type,$O919)="BL","Livraison",IF(INDEX(jr_type,$O919)="BR","Réception","Sortie")))</f>
        <v/>
      </c>
      <c r="C919" s="65" t="str">
        <f>IF($O919="","",INDEX(jr_date,$O919))</f>
        <v/>
      </c>
      <c r="D919" s="60" t="str">
        <f>IF($O919="","",INDEX(jr_tiers,$O919)&amp;"")</f>
        <v/>
      </c>
      <c r="E919" s="57" t="str">
        <f>IF($O919="","",INDEX(jr_name,$O919)&amp;"")</f>
        <v/>
      </c>
      <c r="F919" s="57" t="str">
        <f>IF($O919="","",INDEX(jr_order,$O919)&amp;"")</f>
        <v/>
      </c>
      <c r="G919" s="57" t="str">
        <f>IF($O919="","",INDEX(jr_ext,$O919)&amp;"")</f>
        <v/>
      </c>
      <c r="H919" s="57" t="str">
        <f>IF($O919="","",INDEX(jr_carrier,$O919)&amp;"")</f>
        <v/>
      </c>
      <c r="I919" s="66" t="str">
        <f>IF(A919="","",COUNTIF(jr_num,A919))</f>
        <v/>
      </c>
      <c r="J919" s="66" t="str">
        <f>IF(A919="","",SUMIF(jr_num,A919,jr_colis))</f>
        <v/>
      </c>
      <c r="K919" s="63" t="str">
        <f>IF(A919="","",SUMIF(jr_num,A919,jr_kg))</f>
        <v/>
      </c>
      <c r="L919" s="64" t="str">
        <f>IF(A919="","",SUMIF(jr_num,A919,jr_val))</f>
        <v/>
      </c>
      <c r="M919" s="60" t="str">
        <f>IF(A919="","",IF(COUNTIFS(jr_num,A919,jr_check,"&lt;&gt;OK")&gt;0,"À vérifier",IF(LEFT(A919,2)="BL",IF(COUNTIFS(jr_num,A919,jr_rel,"&gt;0")&gt;0,"Reliquat en cours",IF(COUNTIFS(jr_num,A919,jr_gap,"&lt;0")&gt;0,"Reliquat livré","Complet")),IF(LEFT(A919,2)="BR",IF(COUNTIFS(jr_num,A919,jr_etat,"Refusé")&gt;0,"Refusé",IF(COUNTIFS(jr_num,A919,jr_etat,"Avec réserves")&gt;0,"Avec réserves",IF(COUNTIFS(jr_num,A919,jr_rel,"&gt;0")&gt;0,"Reliquat en cours",IF(COUNTIFS(jr_num,A919,jr_gap,"&lt;0")+COUNTIFS(jr_num,A919,jr_gap,"&gt;0")&gt;0,"Écart","Conforme")))),IF(COUNTIFS(jr_num,A919,jr_gap,"&lt;0")&gt;0,"Partiel","Sorti")))))</f>
        <v/>
      </c>
      <c r="O919" t="str">
        <f>IFERROR(MATCH(914,jr_grank,0),"")</f>
        <v/>
      </c>
      <c r="R919" s="67" t="str">
        <f>IFERROR(INDEX(jr_num,MATCH("BL914",jr_nkey,0))&amp;"","")</f>
        <v/>
      </c>
      <c r="S919" s="67" t="str">
        <f>IFERROR(INDEX(jr_num,MATCH("BR914",jr_nkey,0))&amp;"","")</f>
        <v/>
      </c>
      <c r="T919" s="67" t="str">
        <f>IFERROR(INDEX(jr_num,MATCH("BS914",jr_nkey,0))&amp;"","")</f>
        <v/>
      </c>
    </row>
    <row r="920">
      <c r="A920" s="60" t="str">
        <f>IF($O920="","",INDEX(jr_num,$O920)&amp;"")</f>
        <v/>
      </c>
      <c r="B920" s="60" t="str">
        <f>IF($O920="","",IF(INDEX(jr_type,$O920)="BL","Livraison",IF(INDEX(jr_type,$O920)="BR","Réception","Sortie")))</f>
        <v/>
      </c>
      <c r="C920" s="65" t="str">
        <f>IF($O920="","",INDEX(jr_date,$O920))</f>
        <v/>
      </c>
      <c r="D920" s="60" t="str">
        <f>IF($O920="","",INDEX(jr_tiers,$O920)&amp;"")</f>
        <v/>
      </c>
      <c r="E920" s="57" t="str">
        <f>IF($O920="","",INDEX(jr_name,$O920)&amp;"")</f>
        <v/>
      </c>
      <c r="F920" s="57" t="str">
        <f>IF($O920="","",INDEX(jr_order,$O920)&amp;"")</f>
        <v/>
      </c>
      <c r="G920" s="57" t="str">
        <f>IF($O920="","",INDEX(jr_ext,$O920)&amp;"")</f>
        <v/>
      </c>
      <c r="H920" s="57" t="str">
        <f>IF($O920="","",INDEX(jr_carrier,$O920)&amp;"")</f>
        <v/>
      </c>
      <c r="I920" s="66" t="str">
        <f>IF(A920="","",COUNTIF(jr_num,A920))</f>
        <v/>
      </c>
      <c r="J920" s="66" t="str">
        <f>IF(A920="","",SUMIF(jr_num,A920,jr_colis))</f>
        <v/>
      </c>
      <c r="K920" s="63" t="str">
        <f>IF(A920="","",SUMIF(jr_num,A920,jr_kg))</f>
        <v/>
      </c>
      <c r="L920" s="64" t="str">
        <f>IF(A920="","",SUMIF(jr_num,A920,jr_val))</f>
        <v/>
      </c>
      <c r="M920" s="60" t="str">
        <f>IF(A920="","",IF(COUNTIFS(jr_num,A920,jr_check,"&lt;&gt;OK")&gt;0,"À vérifier",IF(LEFT(A920,2)="BL",IF(COUNTIFS(jr_num,A920,jr_rel,"&gt;0")&gt;0,"Reliquat en cours",IF(COUNTIFS(jr_num,A920,jr_gap,"&lt;0")&gt;0,"Reliquat livré","Complet")),IF(LEFT(A920,2)="BR",IF(COUNTIFS(jr_num,A920,jr_etat,"Refusé")&gt;0,"Refusé",IF(COUNTIFS(jr_num,A920,jr_etat,"Avec réserves")&gt;0,"Avec réserves",IF(COUNTIFS(jr_num,A920,jr_rel,"&gt;0")&gt;0,"Reliquat en cours",IF(COUNTIFS(jr_num,A920,jr_gap,"&lt;0")+COUNTIFS(jr_num,A920,jr_gap,"&gt;0")&gt;0,"Écart","Conforme")))),IF(COUNTIFS(jr_num,A920,jr_gap,"&lt;0")&gt;0,"Partiel","Sorti")))))</f>
        <v/>
      </c>
      <c r="O920" t="str">
        <f>IFERROR(MATCH(915,jr_grank,0),"")</f>
        <v/>
      </c>
      <c r="R920" s="67" t="str">
        <f>IFERROR(INDEX(jr_num,MATCH("BL915",jr_nkey,0))&amp;"","")</f>
        <v/>
      </c>
      <c r="S920" s="67" t="str">
        <f>IFERROR(INDEX(jr_num,MATCH("BR915",jr_nkey,0))&amp;"","")</f>
        <v/>
      </c>
      <c r="T920" s="67" t="str">
        <f>IFERROR(INDEX(jr_num,MATCH("BS915",jr_nkey,0))&amp;"","")</f>
        <v/>
      </c>
    </row>
    <row r="921">
      <c r="A921" s="60" t="str">
        <f>IF($O921="","",INDEX(jr_num,$O921)&amp;"")</f>
        <v/>
      </c>
      <c r="B921" s="60" t="str">
        <f>IF($O921="","",IF(INDEX(jr_type,$O921)="BL","Livraison",IF(INDEX(jr_type,$O921)="BR","Réception","Sortie")))</f>
        <v/>
      </c>
      <c r="C921" s="65" t="str">
        <f>IF($O921="","",INDEX(jr_date,$O921))</f>
        <v/>
      </c>
      <c r="D921" s="60" t="str">
        <f>IF($O921="","",INDEX(jr_tiers,$O921)&amp;"")</f>
        <v/>
      </c>
      <c r="E921" s="57" t="str">
        <f>IF($O921="","",INDEX(jr_name,$O921)&amp;"")</f>
        <v/>
      </c>
      <c r="F921" s="57" t="str">
        <f>IF($O921="","",INDEX(jr_order,$O921)&amp;"")</f>
        <v/>
      </c>
      <c r="G921" s="57" t="str">
        <f>IF($O921="","",INDEX(jr_ext,$O921)&amp;"")</f>
        <v/>
      </c>
      <c r="H921" s="57" t="str">
        <f>IF($O921="","",INDEX(jr_carrier,$O921)&amp;"")</f>
        <v/>
      </c>
      <c r="I921" s="66" t="str">
        <f>IF(A921="","",COUNTIF(jr_num,A921))</f>
        <v/>
      </c>
      <c r="J921" s="66" t="str">
        <f>IF(A921="","",SUMIF(jr_num,A921,jr_colis))</f>
        <v/>
      </c>
      <c r="K921" s="63" t="str">
        <f>IF(A921="","",SUMIF(jr_num,A921,jr_kg))</f>
        <v/>
      </c>
      <c r="L921" s="64" t="str">
        <f>IF(A921="","",SUMIF(jr_num,A921,jr_val))</f>
        <v/>
      </c>
      <c r="M921" s="60" t="str">
        <f>IF(A921="","",IF(COUNTIFS(jr_num,A921,jr_check,"&lt;&gt;OK")&gt;0,"À vérifier",IF(LEFT(A921,2)="BL",IF(COUNTIFS(jr_num,A921,jr_rel,"&gt;0")&gt;0,"Reliquat en cours",IF(COUNTIFS(jr_num,A921,jr_gap,"&lt;0")&gt;0,"Reliquat livré","Complet")),IF(LEFT(A921,2)="BR",IF(COUNTIFS(jr_num,A921,jr_etat,"Refusé")&gt;0,"Refusé",IF(COUNTIFS(jr_num,A921,jr_etat,"Avec réserves")&gt;0,"Avec réserves",IF(COUNTIFS(jr_num,A921,jr_rel,"&gt;0")&gt;0,"Reliquat en cours",IF(COUNTIFS(jr_num,A921,jr_gap,"&lt;0")+COUNTIFS(jr_num,A921,jr_gap,"&gt;0")&gt;0,"Écart","Conforme")))),IF(COUNTIFS(jr_num,A921,jr_gap,"&lt;0")&gt;0,"Partiel","Sorti")))))</f>
        <v/>
      </c>
      <c r="O921" t="str">
        <f>IFERROR(MATCH(916,jr_grank,0),"")</f>
        <v/>
      </c>
      <c r="R921" s="67" t="str">
        <f>IFERROR(INDEX(jr_num,MATCH("BL916",jr_nkey,0))&amp;"","")</f>
        <v/>
      </c>
      <c r="S921" s="67" t="str">
        <f>IFERROR(INDEX(jr_num,MATCH("BR916",jr_nkey,0))&amp;"","")</f>
        <v/>
      </c>
      <c r="T921" s="67" t="str">
        <f>IFERROR(INDEX(jr_num,MATCH("BS916",jr_nkey,0))&amp;"","")</f>
        <v/>
      </c>
    </row>
    <row r="922">
      <c r="A922" s="60" t="str">
        <f>IF($O922="","",INDEX(jr_num,$O922)&amp;"")</f>
        <v/>
      </c>
      <c r="B922" s="60" t="str">
        <f>IF($O922="","",IF(INDEX(jr_type,$O922)="BL","Livraison",IF(INDEX(jr_type,$O922)="BR","Réception","Sortie")))</f>
        <v/>
      </c>
      <c r="C922" s="65" t="str">
        <f>IF($O922="","",INDEX(jr_date,$O922))</f>
        <v/>
      </c>
      <c r="D922" s="60" t="str">
        <f>IF($O922="","",INDEX(jr_tiers,$O922)&amp;"")</f>
        <v/>
      </c>
      <c r="E922" s="57" t="str">
        <f>IF($O922="","",INDEX(jr_name,$O922)&amp;"")</f>
        <v/>
      </c>
      <c r="F922" s="57" t="str">
        <f>IF($O922="","",INDEX(jr_order,$O922)&amp;"")</f>
        <v/>
      </c>
      <c r="G922" s="57" t="str">
        <f>IF($O922="","",INDEX(jr_ext,$O922)&amp;"")</f>
        <v/>
      </c>
      <c r="H922" s="57" t="str">
        <f>IF($O922="","",INDEX(jr_carrier,$O922)&amp;"")</f>
        <v/>
      </c>
      <c r="I922" s="66" t="str">
        <f>IF(A922="","",COUNTIF(jr_num,A922))</f>
        <v/>
      </c>
      <c r="J922" s="66" t="str">
        <f>IF(A922="","",SUMIF(jr_num,A922,jr_colis))</f>
        <v/>
      </c>
      <c r="K922" s="63" t="str">
        <f>IF(A922="","",SUMIF(jr_num,A922,jr_kg))</f>
        <v/>
      </c>
      <c r="L922" s="64" t="str">
        <f>IF(A922="","",SUMIF(jr_num,A922,jr_val))</f>
        <v/>
      </c>
      <c r="M922" s="60" t="str">
        <f>IF(A922="","",IF(COUNTIFS(jr_num,A922,jr_check,"&lt;&gt;OK")&gt;0,"À vérifier",IF(LEFT(A922,2)="BL",IF(COUNTIFS(jr_num,A922,jr_rel,"&gt;0")&gt;0,"Reliquat en cours",IF(COUNTIFS(jr_num,A922,jr_gap,"&lt;0")&gt;0,"Reliquat livré","Complet")),IF(LEFT(A922,2)="BR",IF(COUNTIFS(jr_num,A922,jr_etat,"Refusé")&gt;0,"Refusé",IF(COUNTIFS(jr_num,A922,jr_etat,"Avec réserves")&gt;0,"Avec réserves",IF(COUNTIFS(jr_num,A922,jr_rel,"&gt;0")&gt;0,"Reliquat en cours",IF(COUNTIFS(jr_num,A922,jr_gap,"&lt;0")+COUNTIFS(jr_num,A922,jr_gap,"&gt;0")&gt;0,"Écart","Conforme")))),IF(COUNTIFS(jr_num,A922,jr_gap,"&lt;0")&gt;0,"Partiel","Sorti")))))</f>
        <v/>
      </c>
      <c r="O922" t="str">
        <f>IFERROR(MATCH(917,jr_grank,0),"")</f>
        <v/>
      </c>
      <c r="R922" s="67" t="str">
        <f>IFERROR(INDEX(jr_num,MATCH("BL917",jr_nkey,0))&amp;"","")</f>
        <v/>
      </c>
      <c r="S922" s="67" t="str">
        <f>IFERROR(INDEX(jr_num,MATCH("BR917",jr_nkey,0))&amp;"","")</f>
        <v/>
      </c>
      <c r="T922" s="67" t="str">
        <f>IFERROR(INDEX(jr_num,MATCH("BS917",jr_nkey,0))&amp;"","")</f>
        <v/>
      </c>
    </row>
    <row r="923">
      <c r="A923" s="60" t="str">
        <f>IF($O923="","",INDEX(jr_num,$O923)&amp;"")</f>
        <v/>
      </c>
      <c r="B923" s="60" t="str">
        <f>IF($O923="","",IF(INDEX(jr_type,$O923)="BL","Livraison",IF(INDEX(jr_type,$O923)="BR","Réception","Sortie")))</f>
        <v/>
      </c>
      <c r="C923" s="65" t="str">
        <f>IF($O923="","",INDEX(jr_date,$O923))</f>
        <v/>
      </c>
      <c r="D923" s="60" t="str">
        <f>IF($O923="","",INDEX(jr_tiers,$O923)&amp;"")</f>
        <v/>
      </c>
      <c r="E923" s="57" t="str">
        <f>IF($O923="","",INDEX(jr_name,$O923)&amp;"")</f>
        <v/>
      </c>
      <c r="F923" s="57" t="str">
        <f>IF($O923="","",INDEX(jr_order,$O923)&amp;"")</f>
        <v/>
      </c>
      <c r="G923" s="57" t="str">
        <f>IF($O923="","",INDEX(jr_ext,$O923)&amp;"")</f>
        <v/>
      </c>
      <c r="H923" s="57" t="str">
        <f>IF($O923="","",INDEX(jr_carrier,$O923)&amp;"")</f>
        <v/>
      </c>
      <c r="I923" s="66" t="str">
        <f>IF(A923="","",COUNTIF(jr_num,A923))</f>
        <v/>
      </c>
      <c r="J923" s="66" t="str">
        <f>IF(A923="","",SUMIF(jr_num,A923,jr_colis))</f>
        <v/>
      </c>
      <c r="K923" s="63" t="str">
        <f>IF(A923="","",SUMIF(jr_num,A923,jr_kg))</f>
        <v/>
      </c>
      <c r="L923" s="64" t="str">
        <f>IF(A923="","",SUMIF(jr_num,A923,jr_val))</f>
        <v/>
      </c>
      <c r="M923" s="60" t="str">
        <f>IF(A923="","",IF(COUNTIFS(jr_num,A923,jr_check,"&lt;&gt;OK")&gt;0,"À vérifier",IF(LEFT(A923,2)="BL",IF(COUNTIFS(jr_num,A923,jr_rel,"&gt;0")&gt;0,"Reliquat en cours",IF(COUNTIFS(jr_num,A923,jr_gap,"&lt;0")&gt;0,"Reliquat livré","Complet")),IF(LEFT(A923,2)="BR",IF(COUNTIFS(jr_num,A923,jr_etat,"Refusé")&gt;0,"Refusé",IF(COUNTIFS(jr_num,A923,jr_etat,"Avec réserves")&gt;0,"Avec réserves",IF(COUNTIFS(jr_num,A923,jr_rel,"&gt;0")&gt;0,"Reliquat en cours",IF(COUNTIFS(jr_num,A923,jr_gap,"&lt;0")+COUNTIFS(jr_num,A923,jr_gap,"&gt;0")&gt;0,"Écart","Conforme")))),IF(COUNTIFS(jr_num,A923,jr_gap,"&lt;0")&gt;0,"Partiel","Sorti")))))</f>
        <v/>
      </c>
      <c r="O923" t="str">
        <f>IFERROR(MATCH(918,jr_grank,0),"")</f>
        <v/>
      </c>
      <c r="R923" s="67" t="str">
        <f>IFERROR(INDEX(jr_num,MATCH("BL918",jr_nkey,0))&amp;"","")</f>
        <v/>
      </c>
      <c r="S923" s="67" t="str">
        <f>IFERROR(INDEX(jr_num,MATCH("BR918",jr_nkey,0))&amp;"","")</f>
        <v/>
      </c>
      <c r="T923" s="67" t="str">
        <f>IFERROR(INDEX(jr_num,MATCH("BS918",jr_nkey,0))&amp;"","")</f>
        <v/>
      </c>
    </row>
    <row r="924">
      <c r="A924" s="60" t="str">
        <f>IF($O924="","",INDEX(jr_num,$O924)&amp;"")</f>
        <v/>
      </c>
      <c r="B924" s="60" t="str">
        <f>IF($O924="","",IF(INDEX(jr_type,$O924)="BL","Livraison",IF(INDEX(jr_type,$O924)="BR","Réception","Sortie")))</f>
        <v/>
      </c>
      <c r="C924" s="65" t="str">
        <f>IF($O924="","",INDEX(jr_date,$O924))</f>
        <v/>
      </c>
      <c r="D924" s="60" t="str">
        <f>IF($O924="","",INDEX(jr_tiers,$O924)&amp;"")</f>
        <v/>
      </c>
      <c r="E924" s="57" t="str">
        <f>IF($O924="","",INDEX(jr_name,$O924)&amp;"")</f>
        <v/>
      </c>
      <c r="F924" s="57" t="str">
        <f>IF($O924="","",INDEX(jr_order,$O924)&amp;"")</f>
        <v/>
      </c>
      <c r="G924" s="57" t="str">
        <f>IF($O924="","",INDEX(jr_ext,$O924)&amp;"")</f>
        <v/>
      </c>
      <c r="H924" s="57" t="str">
        <f>IF($O924="","",INDEX(jr_carrier,$O924)&amp;"")</f>
        <v/>
      </c>
      <c r="I924" s="66" t="str">
        <f>IF(A924="","",COUNTIF(jr_num,A924))</f>
        <v/>
      </c>
      <c r="J924" s="66" t="str">
        <f>IF(A924="","",SUMIF(jr_num,A924,jr_colis))</f>
        <v/>
      </c>
      <c r="K924" s="63" t="str">
        <f>IF(A924="","",SUMIF(jr_num,A924,jr_kg))</f>
        <v/>
      </c>
      <c r="L924" s="64" t="str">
        <f>IF(A924="","",SUMIF(jr_num,A924,jr_val))</f>
        <v/>
      </c>
      <c r="M924" s="60" t="str">
        <f>IF(A924="","",IF(COUNTIFS(jr_num,A924,jr_check,"&lt;&gt;OK")&gt;0,"À vérifier",IF(LEFT(A924,2)="BL",IF(COUNTIFS(jr_num,A924,jr_rel,"&gt;0")&gt;0,"Reliquat en cours",IF(COUNTIFS(jr_num,A924,jr_gap,"&lt;0")&gt;0,"Reliquat livré","Complet")),IF(LEFT(A924,2)="BR",IF(COUNTIFS(jr_num,A924,jr_etat,"Refusé")&gt;0,"Refusé",IF(COUNTIFS(jr_num,A924,jr_etat,"Avec réserves")&gt;0,"Avec réserves",IF(COUNTIFS(jr_num,A924,jr_rel,"&gt;0")&gt;0,"Reliquat en cours",IF(COUNTIFS(jr_num,A924,jr_gap,"&lt;0")+COUNTIFS(jr_num,A924,jr_gap,"&gt;0")&gt;0,"Écart","Conforme")))),IF(COUNTIFS(jr_num,A924,jr_gap,"&lt;0")&gt;0,"Partiel","Sorti")))))</f>
        <v/>
      </c>
      <c r="O924" t="str">
        <f>IFERROR(MATCH(919,jr_grank,0),"")</f>
        <v/>
      </c>
      <c r="R924" s="67" t="str">
        <f>IFERROR(INDEX(jr_num,MATCH("BL919",jr_nkey,0))&amp;"","")</f>
        <v/>
      </c>
      <c r="S924" s="67" t="str">
        <f>IFERROR(INDEX(jr_num,MATCH("BR919",jr_nkey,0))&amp;"","")</f>
        <v/>
      </c>
      <c r="T924" s="67" t="str">
        <f>IFERROR(INDEX(jr_num,MATCH("BS919",jr_nkey,0))&amp;"","")</f>
        <v/>
      </c>
    </row>
    <row r="925">
      <c r="A925" s="60" t="str">
        <f>IF($O925="","",INDEX(jr_num,$O925)&amp;"")</f>
        <v/>
      </c>
      <c r="B925" s="60" t="str">
        <f>IF($O925="","",IF(INDEX(jr_type,$O925)="BL","Livraison",IF(INDEX(jr_type,$O925)="BR","Réception","Sortie")))</f>
        <v/>
      </c>
      <c r="C925" s="65" t="str">
        <f>IF($O925="","",INDEX(jr_date,$O925))</f>
        <v/>
      </c>
      <c r="D925" s="60" t="str">
        <f>IF($O925="","",INDEX(jr_tiers,$O925)&amp;"")</f>
        <v/>
      </c>
      <c r="E925" s="57" t="str">
        <f>IF($O925="","",INDEX(jr_name,$O925)&amp;"")</f>
        <v/>
      </c>
      <c r="F925" s="57" t="str">
        <f>IF($O925="","",INDEX(jr_order,$O925)&amp;"")</f>
        <v/>
      </c>
      <c r="G925" s="57" t="str">
        <f>IF($O925="","",INDEX(jr_ext,$O925)&amp;"")</f>
        <v/>
      </c>
      <c r="H925" s="57" t="str">
        <f>IF($O925="","",INDEX(jr_carrier,$O925)&amp;"")</f>
        <v/>
      </c>
      <c r="I925" s="66" t="str">
        <f>IF(A925="","",COUNTIF(jr_num,A925))</f>
        <v/>
      </c>
      <c r="J925" s="66" t="str">
        <f>IF(A925="","",SUMIF(jr_num,A925,jr_colis))</f>
        <v/>
      </c>
      <c r="K925" s="63" t="str">
        <f>IF(A925="","",SUMIF(jr_num,A925,jr_kg))</f>
        <v/>
      </c>
      <c r="L925" s="64" t="str">
        <f>IF(A925="","",SUMIF(jr_num,A925,jr_val))</f>
        <v/>
      </c>
      <c r="M925" s="60" t="str">
        <f>IF(A925="","",IF(COUNTIFS(jr_num,A925,jr_check,"&lt;&gt;OK")&gt;0,"À vérifier",IF(LEFT(A925,2)="BL",IF(COUNTIFS(jr_num,A925,jr_rel,"&gt;0")&gt;0,"Reliquat en cours",IF(COUNTIFS(jr_num,A925,jr_gap,"&lt;0")&gt;0,"Reliquat livré","Complet")),IF(LEFT(A925,2)="BR",IF(COUNTIFS(jr_num,A925,jr_etat,"Refusé")&gt;0,"Refusé",IF(COUNTIFS(jr_num,A925,jr_etat,"Avec réserves")&gt;0,"Avec réserves",IF(COUNTIFS(jr_num,A925,jr_rel,"&gt;0")&gt;0,"Reliquat en cours",IF(COUNTIFS(jr_num,A925,jr_gap,"&lt;0")+COUNTIFS(jr_num,A925,jr_gap,"&gt;0")&gt;0,"Écart","Conforme")))),IF(COUNTIFS(jr_num,A925,jr_gap,"&lt;0")&gt;0,"Partiel","Sorti")))))</f>
        <v/>
      </c>
      <c r="O925" t="str">
        <f>IFERROR(MATCH(920,jr_grank,0),"")</f>
        <v/>
      </c>
      <c r="R925" s="67" t="str">
        <f>IFERROR(INDEX(jr_num,MATCH("BL920",jr_nkey,0))&amp;"","")</f>
        <v/>
      </c>
      <c r="S925" s="67" t="str">
        <f>IFERROR(INDEX(jr_num,MATCH("BR920",jr_nkey,0))&amp;"","")</f>
        <v/>
      </c>
      <c r="T925" s="67" t="str">
        <f>IFERROR(INDEX(jr_num,MATCH("BS920",jr_nkey,0))&amp;"","")</f>
        <v/>
      </c>
    </row>
    <row r="926">
      <c r="A926" s="60" t="str">
        <f>IF($O926="","",INDEX(jr_num,$O926)&amp;"")</f>
        <v/>
      </c>
      <c r="B926" s="60" t="str">
        <f>IF($O926="","",IF(INDEX(jr_type,$O926)="BL","Livraison",IF(INDEX(jr_type,$O926)="BR","Réception","Sortie")))</f>
        <v/>
      </c>
      <c r="C926" s="65" t="str">
        <f>IF($O926="","",INDEX(jr_date,$O926))</f>
        <v/>
      </c>
      <c r="D926" s="60" t="str">
        <f>IF($O926="","",INDEX(jr_tiers,$O926)&amp;"")</f>
        <v/>
      </c>
      <c r="E926" s="57" t="str">
        <f>IF($O926="","",INDEX(jr_name,$O926)&amp;"")</f>
        <v/>
      </c>
      <c r="F926" s="57" t="str">
        <f>IF($O926="","",INDEX(jr_order,$O926)&amp;"")</f>
        <v/>
      </c>
      <c r="G926" s="57" t="str">
        <f>IF($O926="","",INDEX(jr_ext,$O926)&amp;"")</f>
        <v/>
      </c>
      <c r="H926" s="57" t="str">
        <f>IF($O926="","",INDEX(jr_carrier,$O926)&amp;"")</f>
        <v/>
      </c>
      <c r="I926" s="66" t="str">
        <f>IF(A926="","",COUNTIF(jr_num,A926))</f>
        <v/>
      </c>
      <c r="J926" s="66" t="str">
        <f>IF(A926="","",SUMIF(jr_num,A926,jr_colis))</f>
        <v/>
      </c>
      <c r="K926" s="63" t="str">
        <f>IF(A926="","",SUMIF(jr_num,A926,jr_kg))</f>
        <v/>
      </c>
      <c r="L926" s="64" t="str">
        <f>IF(A926="","",SUMIF(jr_num,A926,jr_val))</f>
        <v/>
      </c>
      <c r="M926" s="60" t="str">
        <f>IF(A926="","",IF(COUNTIFS(jr_num,A926,jr_check,"&lt;&gt;OK")&gt;0,"À vérifier",IF(LEFT(A926,2)="BL",IF(COUNTIFS(jr_num,A926,jr_rel,"&gt;0")&gt;0,"Reliquat en cours",IF(COUNTIFS(jr_num,A926,jr_gap,"&lt;0")&gt;0,"Reliquat livré","Complet")),IF(LEFT(A926,2)="BR",IF(COUNTIFS(jr_num,A926,jr_etat,"Refusé")&gt;0,"Refusé",IF(COUNTIFS(jr_num,A926,jr_etat,"Avec réserves")&gt;0,"Avec réserves",IF(COUNTIFS(jr_num,A926,jr_rel,"&gt;0")&gt;0,"Reliquat en cours",IF(COUNTIFS(jr_num,A926,jr_gap,"&lt;0")+COUNTIFS(jr_num,A926,jr_gap,"&gt;0")&gt;0,"Écart","Conforme")))),IF(COUNTIFS(jr_num,A926,jr_gap,"&lt;0")&gt;0,"Partiel","Sorti")))))</f>
        <v/>
      </c>
      <c r="O926" t="str">
        <f>IFERROR(MATCH(921,jr_grank,0),"")</f>
        <v/>
      </c>
      <c r="R926" s="67" t="str">
        <f>IFERROR(INDEX(jr_num,MATCH("BL921",jr_nkey,0))&amp;"","")</f>
        <v/>
      </c>
      <c r="S926" s="67" t="str">
        <f>IFERROR(INDEX(jr_num,MATCH("BR921",jr_nkey,0))&amp;"","")</f>
        <v/>
      </c>
      <c r="T926" s="67" t="str">
        <f>IFERROR(INDEX(jr_num,MATCH("BS921",jr_nkey,0))&amp;"","")</f>
        <v/>
      </c>
    </row>
    <row r="927">
      <c r="A927" s="60" t="str">
        <f>IF($O927="","",INDEX(jr_num,$O927)&amp;"")</f>
        <v/>
      </c>
      <c r="B927" s="60" t="str">
        <f>IF($O927="","",IF(INDEX(jr_type,$O927)="BL","Livraison",IF(INDEX(jr_type,$O927)="BR","Réception","Sortie")))</f>
        <v/>
      </c>
      <c r="C927" s="65" t="str">
        <f>IF($O927="","",INDEX(jr_date,$O927))</f>
        <v/>
      </c>
      <c r="D927" s="60" t="str">
        <f>IF($O927="","",INDEX(jr_tiers,$O927)&amp;"")</f>
        <v/>
      </c>
      <c r="E927" s="57" t="str">
        <f>IF($O927="","",INDEX(jr_name,$O927)&amp;"")</f>
        <v/>
      </c>
      <c r="F927" s="57" t="str">
        <f>IF($O927="","",INDEX(jr_order,$O927)&amp;"")</f>
        <v/>
      </c>
      <c r="G927" s="57" t="str">
        <f>IF($O927="","",INDEX(jr_ext,$O927)&amp;"")</f>
        <v/>
      </c>
      <c r="H927" s="57" t="str">
        <f>IF($O927="","",INDEX(jr_carrier,$O927)&amp;"")</f>
        <v/>
      </c>
      <c r="I927" s="66" t="str">
        <f>IF(A927="","",COUNTIF(jr_num,A927))</f>
        <v/>
      </c>
      <c r="J927" s="66" t="str">
        <f>IF(A927="","",SUMIF(jr_num,A927,jr_colis))</f>
        <v/>
      </c>
      <c r="K927" s="63" t="str">
        <f>IF(A927="","",SUMIF(jr_num,A927,jr_kg))</f>
        <v/>
      </c>
      <c r="L927" s="64" t="str">
        <f>IF(A927="","",SUMIF(jr_num,A927,jr_val))</f>
        <v/>
      </c>
      <c r="M927" s="60" t="str">
        <f>IF(A927="","",IF(COUNTIFS(jr_num,A927,jr_check,"&lt;&gt;OK")&gt;0,"À vérifier",IF(LEFT(A927,2)="BL",IF(COUNTIFS(jr_num,A927,jr_rel,"&gt;0")&gt;0,"Reliquat en cours",IF(COUNTIFS(jr_num,A927,jr_gap,"&lt;0")&gt;0,"Reliquat livré","Complet")),IF(LEFT(A927,2)="BR",IF(COUNTIFS(jr_num,A927,jr_etat,"Refusé")&gt;0,"Refusé",IF(COUNTIFS(jr_num,A927,jr_etat,"Avec réserves")&gt;0,"Avec réserves",IF(COUNTIFS(jr_num,A927,jr_rel,"&gt;0")&gt;0,"Reliquat en cours",IF(COUNTIFS(jr_num,A927,jr_gap,"&lt;0")+COUNTIFS(jr_num,A927,jr_gap,"&gt;0")&gt;0,"Écart","Conforme")))),IF(COUNTIFS(jr_num,A927,jr_gap,"&lt;0")&gt;0,"Partiel","Sorti")))))</f>
        <v/>
      </c>
      <c r="O927" t="str">
        <f>IFERROR(MATCH(922,jr_grank,0),"")</f>
        <v/>
      </c>
      <c r="R927" s="67" t="str">
        <f>IFERROR(INDEX(jr_num,MATCH("BL922",jr_nkey,0))&amp;"","")</f>
        <v/>
      </c>
      <c r="S927" s="67" t="str">
        <f>IFERROR(INDEX(jr_num,MATCH("BR922",jr_nkey,0))&amp;"","")</f>
        <v/>
      </c>
      <c r="T927" s="67" t="str">
        <f>IFERROR(INDEX(jr_num,MATCH("BS922",jr_nkey,0))&amp;"","")</f>
        <v/>
      </c>
    </row>
    <row r="928">
      <c r="A928" s="60" t="str">
        <f>IF($O928="","",INDEX(jr_num,$O928)&amp;"")</f>
        <v/>
      </c>
      <c r="B928" s="60" t="str">
        <f>IF($O928="","",IF(INDEX(jr_type,$O928)="BL","Livraison",IF(INDEX(jr_type,$O928)="BR","Réception","Sortie")))</f>
        <v/>
      </c>
      <c r="C928" s="65" t="str">
        <f>IF($O928="","",INDEX(jr_date,$O928))</f>
        <v/>
      </c>
      <c r="D928" s="60" t="str">
        <f>IF($O928="","",INDEX(jr_tiers,$O928)&amp;"")</f>
        <v/>
      </c>
      <c r="E928" s="57" t="str">
        <f>IF($O928="","",INDEX(jr_name,$O928)&amp;"")</f>
        <v/>
      </c>
      <c r="F928" s="57" t="str">
        <f>IF($O928="","",INDEX(jr_order,$O928)&amp;"")</f>
        <v/>
      </c>
      <c r="G928" s="57" t="str">
        <f>IF($O928="","",INDEX(jr_ext,$O928)&amp;"")</f>
        <v/>
      </c>
      <c r="H928" s="57" t="str">
        <f>IF($O928="","",INDEX(jr_carrier,$O928)&amp;"")</f>
        <v/>
      </c>
      <c r="I928" s="66" t="str">
        <f>IF(A928="","",COUNTIF(jr_num,A928))</f>
        <v/>
      </c>
      <c r="J928" s="66" t="str">
        <f>IF(A928="","",SUMIF(jr_num,A928,jr_colis))</f>
        <v/>
      </c>
      <c r="K928" s="63" t="str">
        <f>IF(A928="","",SUMIF(jr_num,A928,jr_kg))</f>
        <v/>
      </c>
      <c r="L928" s="64" t="str">
        <f>IF(A928="","",SUMIF(jr_num,A928,jr_val))</f>
        <v/>
      </c>
      <c r="M928" s="60" t="str">
        <f>IF(A928="","",IF(COUNTIFS(jr_num,A928,jr_check,"&lt;&gt;OK")&gt;0,"À vérifier",IF(LEFT(A928,2)="BL",IF(COUNTIFS(jr_num,A928,jr_rel,"&gt;0")&gt;0,"Reliquat en cours",IF(COUNTIFS(jr_num,A928,jr_gap,"&lt;0")&gt;0,"Reliquat livré","Complet")),IF(LEFT(A928,2)="BR",IF(COUNTIFS(jr_num,A928,jr_etat,"Refusé")&gt;0,"Refusé",IF(COUNTIFS(jr_num,A928,jr_etat,"Avec réserves")&gt;0,"Avec réserves",IF(COUNTIFS(jr_num,A928,jr_rel,"&gt;0")&gt;0,"Reliquat en cours",IF(COUNTIFS(jr_num,A928,jr_gap,"&lt;0")+COUNTIFS(jr_num,A928,jr_gap,"&gt;0")&gt;0,"Écart","Conforme")))),IF(COUNTIFS(jr_num,A928,jr_gap,"&lt;0")&gt;0,"Partiel","Sorti")))))</f>
        <v/>
      </c>
      <c r="O928" t="str">
        <f>IFERROR(MATCH(923,jr_grank,0),"")</f>
        <v/>
      </c>
      <c r="R928" s="67" t="str">
        <f>IFERROR(INDEX(jr_num,MATCH("BL923",jr_nkey,0))&amp;"","")</f>
        <v/>
      </c>
      <c r="S928" s="67" t="str">
        <f>IFERROR(INDEX(jr_num,MATCH("BR923",jr_nkey,0))&amp;"","")</f>
        <v/>
      </c>
      <c r="T928" s="67" t="str">
        <f>IFERROR(INDEX(jr_num,MATCH("BS923",jr_nkey,0))&amp;"","")</f>
        <v/>
      </c>
    </row>
    <row r="929">
      <c r="A929" s="60" t="str">
        <f>IF($O929="","",INDEX(jr_num,$O929)&amp;"")</f>
        <v/>
      </c>
      <c r="B929" s="60" t="str">
        <f>IF($O929="","",IF(INDEX(jr_type,$O929)="BL","Livraison",IF(INDEX(jr_type,$O929)="BR","Réception","Sortie")))</f>
        <v/>
      </c>
      <c r="C929" s="65" t="str">
        <f>IF($O929="","",INDEX(jr_date,$O929))</f>
        <v/>
      </c>
      <c r="D929" s="60" t="str">
        <f>IF($O929="","",INDEX(jr_tiers,$O929)&amp;"")</f>
        <v/>
      </c>
      <c r="E929" s="57" t="str">
        <f>IF($O929="","",INDEX(jr_name,$O929)&amp;"")</f>
        <v/>
      </c>
      <c r="F929" s="57" t="str">
        <f>IF($O929="","",INDEX(jr_order,$O929)&amp;"")</f>
        <v/>
      </c>
      <c r="G929" s="57" t="str">
        <f>IF($O929="","",INDEX(jr_ext,$O929)&amp;"")</f>
        <v/>
      </c>
      <c r="H929" s="57" t="str">
        <f>IF($O929="","",INDEX(jr_carrier,$O929)&amp;"")</f>
        <v/>
      </c>
      <c r="I929" s="66" t="str">
        <f>IF(A929="","",COUNTIF(jr_num,A929))</f>
        <v/>
      </c>
      <c r="J929" s="66" t="str">
        <f>IF(A929="","",SUMIF(jr_num,A929,jr_colis))</f>
        <v/>
      </c>
      <c r="K929" s="63" t="str">
        <f>IF(A929="","",SUMIF(jr_num,A929,jr_kg))</f>
        <v/>
      </c>
      <c r="L929" s="64" t="str">
        <f>IF(A929="","",SUMIF(jr_num,A929,jr_val))</f>
        <v/>
      </c>
      <c r="M929" s="60" t="str">
        <f>IF(A929="","",IF(COUNTIFS(jr_num,A929,jr_check,"&lt;&gt;OK")&gt;0,"À vérifier",IF(LEFT(A929,2)="BL",IF(COUNTIFS(jr_num,A929,jr_rel,"&gt;0")&gt;0,"Reliquat en cours",IF(COUNTIFS(jr_num,A929,jr_gap,"&lt;0")&gt;0,"Reliquat livré","Complet")),IF(LEFT(A929,2)="BR",IF(COUNTIFS(jr_num,A929,jr_etat,"Refusé")&gt;0,"Refusé",IF(COUNTIFS(jr_num,A929,jr_etat,"Avec réserves")&gt;0,"Avec réserves",IF(COUNTIFS(jr_num,A929,jr_rel,"&gt;0")&gt;0,"Reliquat en cours",IF(COUNTIFS(jr_num,A929,jr_gap,"&lt;0")+COUNTIFS(jr_num,A929,jr_gap,"&gt;0")&gt;0,"Écart","Conforme")))),IF(COUNTIFS(jr_num,A929,jr_gap,"&lt;0")&gt;0,"Partiel","Sorti")))))</f>
        <v/>
      </c>
      <c r="O929" t="str">
        <f>IFERROR(MATCH(924,jr_grank,0),"")</f>
        <v/>
      </c>
      <c r="R929" s="67" t="str">
        <f>IFERROR(INDEX(jr_num,MATCH("BL924",jr_nkey,0))&amp;"","")</f>
        <v/>
      </c>
      <c r="S929" s="67" t="str">
        <f>IFERROR(INDEX(jr_num,MATCH("BR924",jr_nkey,0))&amp;"","")</f>
        <v/>
      </c>
      <c r="T929" s="67" t="str">
        <f>IFERROR(INDEX(jr_num,MATCH("BS924",jr_nkey,0))&amp;"","")</f>
        <v/>
      </c>
    </row>
    <row r="930">
      <c r="A930" s="60" t="str">
        <f>IF($O930="","",INDEX(jr_num,$O930)&amp;"")</f>
        <v/>
      </c>
      <c r="B930" s="60" t="str">
        <f>IF($O930="","",IF(INDEX(jr_type,$O930)="BL","Livraison",IF(INDEX(jr_type,$O930)="BR","Réception","Sortie")))</f>
        <v/>
      </c>
      <c r="C930" s="65" t="str">
        <f>IF($O930="","",INDEX(jr_date,$O930))</f>
        <v/>
      </c>
      <c r="D930" s="60" t="str">
        <f>IF($O930="","",INDEX(jr_tiers,$O930)&amp;"")</f>
        <v/>
      </c>
      <c r="E930" s="57" t="str">
        <f>IF($O930="","",INDEX(jr_name,$O930)&amp;"")</f>
        <v/>
      </c>
      <c r="F930" s="57" t="str">
        <f>IF($O930="","",INDEX(jr_order,$O930)&amp;"")</f>
        <v/>
      </c>
      <c r="G930" s="57" t="str">
        <f>IF($O930="","",INDEX(jr_ext,$O930)&amp;"")</f>
        <v/>
      </c>
      <c r="H930" s="57" t="str">
        <f>IF($O930="","",INDEX(jr_carrier,$O930)&amp;"")</f>
        <v/>
      </c>
      <c r="I930" s="66" t="str">
        <f>IF(A930="","",COUNTIF(jr_num,A930))</f>
        <v/>
      </c>
      <c r="J930" s="66" t="str">
        <f>IF(A930="","",SUMIF(jr_num,A930,jr_colis))</f>
        <v/>
      </c>
      <c r="K930" s="63" t="str">
        <f>IF(A930="","",SUMIF(jr_num,A930,jr_kg))</f>
        <v/>
      </c>
      <c r="L930" s="64" t="str">
        <f>IF(A930="","",SUMIF(jr_num,A930,jr_val))</f>
        <v/>
      </c>
      <c r="M930" s="60" t="str">
        <f>IF(A930="","",IF(COUNTIFS(jr_num,A930,jr_check,"&lt;&gt;OK")&gt;0,"À vérifier",IF(LEFT(A930,2)="BL",IF(COUNTIFS(jr_num,A930,jr_rel,"&gt;0")&gt;0,"Reliquat en cours",IF(COUNTIFS(jr_num,A930,jr_gap,"&lt;0")&gt;0,"Reliquat livré","Complet")),IF(LEFT(A930,2)="BR",IF(COUNTIFS(jr_num,A930,jr_etat,"Refusé")&gt;0,"Refusé",IF(COUNTIFS(jr_num,A930,jr_etat,"Avec réserves")&gt;0,"Avec réserves",IF(COUNTIFS(jr_num,A930,jr_rel,"&gt;0")&gt;0,"Reliquat en cours",IF(COUNTIFS(jr_num,A930,jr_gap,"&lt;0")+COUNTIFS(jr_num,A930,jr_gap,"&gt;0")&gt;0,"Écart","Conforme")))),IF(COUNTIFS(jr_num,A930,jr_gap,"&lt;0")&gt;0,"Partiel","Sorti")))))</f>
        <v/>
      </c>
      <c r="O930" t="str">
        <f>IFERROR(MATCH(925,jr_grank,0),"")</f>
        <v/>
      </c>
      <c r="R930" s="67" t="str">
        <f>IFERROR(INDEX(jr_num,MATCH("BL925",jr_nkey,0))&amp;"","")</f>
        <v/>
      </c>
      <c r="S930" s="67" t="str">
        <f>IFERROR(INDEX(jr_num,MATCH("BR925",jr_nkey,0))&amp;"","")</f>
        <v/>
      </c>
      <c r="T930" s="67" t="str">
        <f>IFERROR(INDEX(jr_num,MATCH("BS925",jr_nkey,0))&amp;"","")</f>
        <v/>
      </c>
    </row>
    <row r="931">
      <c r="A931" s="60" t="str">
        <f>IF($O931="","",INDEX(jr_num,$O931)&amp;"")</f>
        <v/>
      </c>
      <c r="B931" s="60" t="str">
        <f>IF($O931="","",IF(INDEX(jr_type,$O931)="BL","Livraison",IF(INDEX(jr_type,$O931)="BR","Réception","Sortie")))</f>
        <v/>
      </c>
      <c r="C931" s="65" t="str">
        <f>IF($O931="","",INDEX(jr_date,$O931))</f>
        <v/>
      </c>
      <c r="D931" s="60" t="str">
        <f>IF($O931="","",INDEX(jr_tiers,$O931)&amp;"")</f>
        <v/>
      </c>
      <c r="E931" s="57" t="str">
        <f>IF($O931="","",INDEX(jr_name,$O931)&amp;"")</f>
        <v/>
      </c>
      <c r="F931" s="57" t="str">
        <f>IF($O931="","",INDEX(jr_order,$O931)&amp;"")</f>
        <v/>
      </c>
      <c r="G931" s="57" t="str">
        <f>IF($O931="","",INDEX(jr_ext,$O931)&amp;"")</f>
        <v/>
      </c>
      <c r="H931" s="57" t="str">
        <f>IF($O931="","",INDEX(jr_carrier,$O931)&amp;"")</f>
        <v/>
      </c>
      <c r="I931" s="66" t="str">
        <f>IF(A931="","",COUNTIF(jr_num,A931))</f>
        <v/>
      </c>
      <c r="J931" s="66" t="str">
        <f>IF(A931="","",SUMIF(jr_num,A931,jr_colis))</f>
        <v/>
      </c>
      <c r="K931" s="63" t="str">
        <f>IF(A931="","",SUMIF(jr_num,A931,jr_kg))</f>
        <v/>
      </c>
      <c r="L931" s="64" t="str">
        <f>IF(A931="","",SUMIF(jr_num,A931,jr_val))</f>
        <v/>
      </c>
      <c r="M931" s="60" t="str">
        <f>IF(A931="","",IF(COUNTIFS(jr_num,A931,jr_check,"&lt;&gt;OK")&gt;0,"À vérifier",IF(LEFT(A931,2)="BL",IF(COUNTIFS(jr_num,A931,jr_rel,"&gt;0")&gt;0,"Reliquat en cours",IF(COUNTIFS(jr_num,A931,jr_gap,"&lt;0")&gt;0,"Reliquat livré","Complet")),IF(LEFT(A931,2)="BR",IF(COUNTIFS(jr_num,A931,jr_etat,"Refusé")&gt;0,"Refusé",IF(COUNTIFS(jr_num,A931,jr_etat,"Avec réserves")&gt;0,"Avec réserves",IF(COUNTIFS(jr_num,A931,jr_rel,"&gt;0")&gt;0,"Reliquat en cours",IF(COUNTIFS(jr_num,A931,jr_gap,"&lt;0")+COUNTIFS(jr_num,A931,jr_gap,"&gt;0")&gt;0,"Écart","Conforme")))),IF(COUNTIFS(jr_num,A931,jr_gap,"&lt;0")&gt;0,"Partiel","Sorti")))))</f>
        <v/>
      </c>
      <c r="O931" t="str">
        <f>IFERROR(MATCH(926,jr_grank,0),"")</f>
        <v/>
      </c>
      <c r="R931" s="67" t="str">
        <f>IFERROR(INDEX(jr_num,MATCH("BL926",jr_nkey,0))&amp;"","")</f>
        <v/>
      </c>
      <c r="S931" s="67" t="str">
        <f>IFERROR(INDEX(jr_num,MATCH("BR926",jr_nkey,0))&amp;"","")</f>
        <v/>
      </c>
      <c r="T931" s="67" t="str">
        <f>IFERROR(INDEX(jr_num,MATCH("BS926",jr_nkey,0))&amp;"","")</f>
        <v/>
      </c>
    </row>
    <row r="932">
      <c r="A932" s="60" t="str">
        <f>IF($O932="","",INDEX(jr_num,$O932)&amp;"")</f>
        <v/>
      </c>
      <c r="B932" s="60" t="str">
        <f>IF($O932="","",IF(INDEX(jr_type,$O932)="BL","Livraison",IF(INDEX(jr_type,$O932)="BR","Réception","Sortie")))</f>
        <v/>
      </c>
      <c r="C932" s="65" t="str">
        <f>IF($O932="","",INDEX(jr_date,$O932))</f>
        <v/>
      </c>
      <c r="D932" s="60" t="str">
        <f>IF($O932="","",INDEX(jr_tiers,$O932)&amp;"")</f>
        <v/>
      </c>
      <c r="E932" s="57" t="str">
        <f>IF($O932="","",INDEX(jr_name,$O932)&amp;"")</f>
        <v/>
      </c>
      <c r="F932" s="57" t="str">
        <f>IF($O932="","",INDEX(jr_order,$O932)&amp;"")</f>
        <v/>
      </c>
      <c r="G932" s="57" t="str">
        <f>IF($O932="","",INDEX(jr_ext,$O932)&amp;"")</f>
        <v/>
      </c>
      <c r="H932" s="57" t="str">
        <f>IF($O932="","",INDEX(jr_carrier,$O932)&amp;"")</f>
        <v/>
      </c>
      <c r="I932" s="66" t="str">
        <f>IF(A932="","",COUNTIF(jr_num,A932))</f>
        <v/>
      </c>
      <c r="J932" s="66" t="str">
        <f>IF(A932="","",SUMIF(jr_num,A932,jr_colis))</f>
        <v/>
      </c>
      <c r="K932" s="63" t="str">
        <f>IF(A932="","",SUMIF(jr_num,A932,jr_kg))</f>
        <v/>
      </c>
      <c r="L932" s="64" t="str">
        <f>IF(A932="","",SUMIF(jr_num,A932,jr_val))</f>
        <v/>
      </c>
      <c r="M932" s="60" t="str">
        <f>IF(A932="","",IF(COUNTIFS(jr_num,A932,jr_check,"&lt;&gt;OK")&gt;0,"À vérifier",IF(LEFT(A932,2)="BL",IF(COUNTIFS(jr_num,A932,jr_rel,"&gt;0")&gt;0,"Reliquat en cours",IF(COUNTIFS(jr_num,A932,jr_gap,"&lt;0")&gt;0,"Reliquat livré","Complet")),IF(LEFT(A932,2)="BR",IF(COUNTIFS(jr_num,A932,jr_etat,"Refusé")&gt;0,"Refusé",IF(COUNTIFS(jr_num,A932,jr_etat,"Avec réserves")&gt;0,"Avec réserves",IF(COUNTIFS(jr_num,A932,jr_rel,"&gt;0")&gt;0,"Reliquat en cours",IF(COUNTIFS(jr_num,A932,jr_gap,"&lt;0")+COUNTIFS(jr_num,A932,jr_gap,"&gt;0")&gt;0,"Écart","Conforme")))),IF(COUNTIFS(jr_num,A932,jr_gap,"&lt;0")&gt;0,"Partiel","Sorti")))))</f>
        <v/>
      </c>
      <c r="O932" t="str">
        <f>IFERROR(MATCH(927,jr_grank,0),"")</f>
        <v/>
      </c>
      <c r="R932" s="67" t="str">
        <f>IFERROR(INDEX(jr_num,MATCH("BL927",jr_nkey,0))&amp;"","")</f>
        <v/>
      </c>
      <c r="S932" s="67" t="str">
        <f>IFERROR(INDEX(jr_num,MATCH("BR927",jr_nkey,0))&amp;"","")</f>
        <v/>
      </c>
      <c r="T932" s="67" t="str">
        <f>IFERROR(INDEX(jr_num,MATCH("BS927",jr_nkey,0))&amp;"","")</f>
        <v/>
      </c>
    </row>
    <row r="933">
      <c r="A933" s="60" t="str">
        <f>IF($O933="","",INDEX(jr_num,$O933)&amp;"")</f>
        <v/>
      </c>
      <c r="B933" s="60" t="str">
        <f>IF($O933="","",IF(INDEX(jr_type,$O933)="BL","Livraison",IF(INDEX(jr_type,$O933)="BR","Réception","Sortie")))</f>
        <v/>
      </c>
      <c r="C933" s="65" t="str">
        <f>IF($O933="","",INDEX(jr_date,$O933))</f>
        <v/>
      </c>
      <c r="D933" s="60" t="str">
        <f>IF($O933="","",INDEX(jr_tiers,$O933)&amp;"")</f>
        <v/>
      </c>
      <c r="E933" s="57" t="str">
        <f>IF($O933="","",INDEX(jr_name,$O933)&amp;"")</f>
        <v/>
      </c>
      <c r="F933" s="57" t="str">
        <f>IF($O933="","",INDEX(jr_order,$O933)&amp;"")</f>
        <v/>
      </c>
      <c r="G933" s="57" t="str">
        <f>IF($O933="","",INDEX(jr_ext,$O933)&amp;"")</f>
        <v/>
      </c>
      <c r="H933" s="57" t="str">
        <f>IF($O933="","",INDEX(jr_carrier,$O933)&amp;"")</f>
        <v/>
      </c>
      <c r="I933" s="66" t="str">
        <f>IF(A933="","",COUNTIF(jr_num,A933))</f>
        <v/>
      </c>
      <c r="J933" s="66" t="str">
        <f>IF(A933="","",SUMIF(jr_num,A933,jr_colis))</f>
        <v/>
      </c>
      <c r="K933" s="63" t="str">
        <f>IF(A933="","",SUMIF(jr_num,A933,jr_kg))</f>
        <v/>
      </c>
      <c r="L933" s="64" t="str">
        <f>IF(A933="","",SUMIF(jr_num,A933,jr_val))</f>
        <v/>
      </c>
      <c r="M933" s="60" t="str">
        <f>IF(A933="","",IF(COUNTIFS(jr_num,A933,jr_check,"&lt;&gt;OK")&gt;0,"À vérifier",IF(LEFT(A933,2)="BL",IF(COUNTIFS(jr_num,A933,jr_rel,"&gt;0")&gt;0,"Reliquat en cours",IF(COUNTIFS(jr_num,A933,jr_gap,"&lt;0")&gt;0,"Reliquat livré","Complet")),IF(LEFT(A933,2)="BR",IF(COUNTIFS(jr_num,A933,jr_etat,"Refusé")&gt;0,"Refusé",IF(COUNTIFS(jr_num,A933,jr_etat,"Avec réserves")&gt;0,"Avec réserves",IF(COUNTIFS(jr_num,A933,jr_rel,"&gt;0")&gt;0,"Reliquat en cours",IF(COUNTIFS(jr_num,A933,jr_gap,"&lt;0")+COUNTIFS(jr_num,A933,jr_gap,"&gt;0")&gt;0,"Écart","Conforme")))),IF(COUNTIFS(jr_num,A933,jr_gap,"&lt;0")&gt;0,"Partiel","Sorti")))))</f>
        <v/>
      </c>
      <c r="O933" t="str">
        <f>IFERROR(MATCH(928,jr_grank,0),"")</f>
        <v/>
      </c>
      <c r="R933" s="67" t="str">
        <f>IFERROR(INDEX(jr_num,MATCH("BL928",jr_nkey,0))&amp;"","")</f>
        <v/>
      </c>
      <c r="S933" s="67" t="str">
        <f>IFERROR(INDEX(jr_num,MATCH("BR928",jr_nkey,0))&amp;"","")</f>
        <v/>
      </c>
      <c r="T933" s="67" t="str">
        <f>IFERROR(INDEX(jr_num,MATCH("BS928",jr_nkey,0))&amp;"","")</f>
        <v/>
      </c>
    </row>
    <row r="934">
      <c r="A934" s="60" t="str">
        <f>IF($O934="","",INDEX(jr_num,$O934)&amp;"")</f>
        <v/>
      </c>
      <c r="B934" s="60" t="str">
        <f>IF($O934="","",IF(INDEX(jr_type,$O934)="BL","Livraison",IF(INDEX(jr_type,$O934)="BR","Réception","Sortie")))</f>
        <v/>
      </c>
      <c r="C934" s="65" t="str">
        <f>IF($O934="","",INDEX(jr_date,$O934))</f>
        <v/>
      </c>
      <c r="D934" s="60" t="str">
        <f>IF($O934="","",INDEX(jr_tiers,$O934)&amp;"")</f>
        <v/>
      </c>
      <c r="E934" s="57" t="str">
        <f>IF($O934="","",INDEX(jr_name,$O934)&amp;"")</f>
        <v/>
      </c>
      <c r="F934" s="57" t="str">
        <f>IF($O934="","",INDEX(jr_order,$O934)&amp;"")</f>
        <v/>
      </c>
      <c r="G934" s="57" t="str">
        <f>IF($O934="","",INDEX(jr_ext,$O934)&amp;"")</f>
        <v/>
      </c>
      <c r="H934" s="57" t="str">
        <f>IF($O934="","",INDEX(jr_carrier,$O934)&amp;"")</f>
        <v/>
      </c>
      <c r="I934" s="66" t="str">
        <f>IF(A934="","",COUNTIF(jr_num,A934))</f>
        <v/>
      </c>
      <c r="J934" s="66" t="str">
        <f>IF(A934="","",SUMIF(jr_num,A934,jr_colis))</f>
        <v/>
      </c>
      <c r="K934" s="63" t="str">
        <f>IF(A934="","",SUMIF(jr_num,A934,jr_kg))</f>
        <v/>
      </c>
      <c r="L934" s="64" t="str">
        <f>IF(A934="","",SUMIF(jr_num,A934,jr_val))</f>
        <v/>
      </c>
      <c r="M934" s="60" t="str">
        <f>IF(A934="","",IF(COUNTIFS(jr_num,A934,jr_check,"&lt;&gt;OK")&gt;0,"À vérifier",IF(LEFT(A934,2)="BL",IF(COUNTIFS(jr_num,A934,jr_rel,"&gt;0")&gt;0,"Reliquat en cours",IF(COUNTIFS(jr_num,A934,jr_gap,"&lt;0")&gt;0,"Reliquat livré","Complet")),IF(LEFT(A934,2)="BR",IF(COUNTIFS(jr_num,A934,jr_etat,"Refusé")&gt;0,"Refusé",IF(COUNTIFS(jr_num,A934,jr_etat,"Avec réserves")&gt;0,"Avec réserves",IF(COUNTIFS(jr_num,A934,jr_rel,"&gt;0")&gt;0,"Reliquat en cours",IF(COUNTIFS(jr_num,A934,jr_gap,"&lt;0")+COUNTIFS(jr_num,A934,jr_gap,"&gt;0")&gt;0,"Écart","Conforme")))),IF(COUNTIFS(jr_num,A934,jr_gap,"&lt;0")&gt;0,"Partiel","Sorti")))))</f>
        <v/>
      </c>
      <c r="O934" t="str">
        <f>IFERROR(MATCH(929,jr_grank,0),"")</f>
        <v/>
      </c>
      <c r="R934" s="67" t="str">
        <f>IFERROR(INDEX(jr_num,MATCH("BL929",jr_nkey,0))&amp;"","")</f>
        <v/>
      </c>
      <c r="S934" s="67" t="str">
        <f>IFERROR(INDEX(jr_num,MATCH("BR929",jr_nkey,0))&amp;"","")</f>
        <v/>
      </c>
      <c r="T934" s="67" t="str">
        <f>IFERROR(INDEX(jr_num,MATCH("BS929",jr_nkey,0))&amp;"","")</f>
        <v/>
      </c>
    </row>
    <row r="935">
      <c r="A935" s="60" t="str">
        <f>IF($O935="","",INDEX(jr_num,$O935)&amp;"")</f>
        <v/>
      </c>
      <c r="B935" s="60" t="str">
        <f>IF($O935="","",IF(INDEX(jr_type,$O935)="BL","Livraison",IF(INDEX(jr_type,$O935)="BR","Réception","Sortie")))</f>
        <v/>
      </c>
      <c r="C935" s="65" t="str">
        <f>IF($O935="","",INDEX(jr_date,$O935))</f>
        <v/>
      </c>
      <c r="D935" s="60" t="str">
        <f>IF($O935="","",INDEX(jr_tiers,$O935)&amp;"")</f>
        <v/>
      </c>
      <c r="E935" s="57" t="str">
        <f>IF($O935="","",INDEX(jr_name,$O935)&amp;"")</f>
        <v/>
      </c>
      <c r="F935" s="57" t="str">
        <f>IF($O935="","",INDEX(jr_order,$O935)&amp;"")</f>
        <v/>
      </c>
      <c r="G935" s="57" t="str">
        <f>IF($O935="","",INDEX(jr_ext,$O935)&amp;"")</f>
        <v/>
      </c>
      <c r="H935" s="57" t="str">
        <f>IF($O935="","",INDEX(jr_carrier,$O935)&amp;"")</f>
        <v/>
      </c>
      <c r="I935" s="66" t="str">
        <f>IF(A935="","",COUNTIF(jr_num,A935))</f>
        <v/>
      </c>
      <c r="J935" s="66" t="str">
        <f>IF(A935="","",SUMIF(jr_num,A935,jr_colis))</f>
        <v/>
      </c>
      <c r="K935" s="63" t="str">
        <f>IF(A935="","",SUMIF(jr_num,A935,jr_kg))</f>
        <v/>
      </c>
      <c r="L935" s="64" t="str">
        <f>IF(A935="","",SUMIF(jr_num,A935,jr_val))</f>
        <v/>
      </c>
      <c r="M935" s="60" t="str">
        <f>IF(A935="","",IF(COUNTIFS(jr_num,A935,jr_check,"&lt;&gt;OK")&gt;0,"À vérifier",IF(LEFT(A935,2)="BL",IF(COUNTIFS(jr_num,A935,jr_rel,"&gt;0")&gt;0,"Reliquat en cours",IF(COUNTIFS(jr_num,A935,jr_gap,"&lt;0")&gt;0,"Reliquat livré","Complet")),IF(LEFT(A935,2)="BR",IF(COUNTIFS(jr_num,A935,jr_etat,"Refusé")&gt;0,"Refusé",IF(COUNTIFS(jr_num,A935,jr_etat,"Avec réserves")&gt;0,"Avec réserves",IF(COUNTIFS(jr_num,A935,jr_rel,"&gt;0")&gt;0,"Reliquat en cours",IF(COUNTIFS(jr_num,A935,jr_gap,"&lt;0")+COUNTIFS(jr_num,A935,jr_gap,"&gt;0")&gt;0,"Écart","Conforme")))),IF(COUNTIFS(jr_num,A935,jr_gap,"&lt;0")&gt;0,"Partiel","Sorti")))))</f>
        <v/>
      </c>
      <c r="O935" t="str">
        <f>IFERROR(MATCH(930,jr_grank,0),"")</f>
        <v/>
      </c>
      <c r="R935" s="67" t="str">
        <f>IFERROR(INDEX(jr_num,MATCH("BL930",jr_nkey,0))&amp;"","")</f>
        <v/>
      </c>
      <c r="S935" s="67" t="str">
        <f>IFERROR(INDEX(jr_num,MATCH("BR930",jr_nkey,0))&amp;"","")</f>
        <v/>
      </c>
      <c r="T935" s="67" t="str">
        <f>IFERROR(INDEX(jr_num,MATCH("BS930",jr_nkey,0))&amp;"","")</f>
        <v/>
      </c>
    </row>
    <row r="936">
      <c r="A936" s="60" t="str">
        <f>IF($O936="","",INDEX(jr_num,$O936)&amp;"")</f>
        <v/>
      </c>
      <c r="B936" s="60" t="str">
        <f>IF($O936="","",IF(INDEX(jr_type,$O936)="BL","Livraison",IF(INDEX(jr_type,$O936)="BR","Réception","Sortie")))</f>
        <v/>
      </c>
      <c r="C936" s="65" t="str">
        <f>IF($O936="","",INDEX(jr_date,$O936))</f>
        <v/>
      </c>
      <c r="D936" s="60" t="str">
        <f>IF($O936="","",INDEX(jr_tiers,$O936)&amp;"")</f>
        <v/>
      </c>
      <c r="E936" s="57" t="str">
        <f>IF($O936="","",INDEX(jr_name,$O936)&amp;"")</f>
        <v/>
      </c>
      <c r="F936" s="57" t="str">
        <f>IF($O936="","",INDEX(jr_order,$O936)&amp;"")</f>
        <v/>
      </c>
      <c r="G936" s="57" t="str">
        <f>IF($O936="","",INDEX(jr_ext,$O936)&amp;"")</f>
        <v/>
      </c>
      <c r="H936" s="57" t="str">
        <f>IF($O936="","",INDEX(jr_carrier,$O936)&amp;"")</f>
        <v/>
      </c>
      <c r="I936" s="66" t="str">
        <f>IF(A936="","",COUNTIF(jr_num,A936))</f>
        <v/>
      </c>
      <c r="J936" s="66" t="str">
        <f>IF(A936="","",SUMIF(jr_num,A936,jr_colis))</f>
        <v/>
      </c>
      <c r="K936" s="63" t="str">
        <f>IF(A936="","",SUMIF(jr_num,A936,jr_kg))</f>
        <v/>
      </c>
      <c r="L936" s="64" t="str">
        <f>IF(A936="","",SUMIF(jr_num,A936,jr_val))</f>
        <v/>
      </c>
      <c r="M936" s="60" t="str">
        <f>IF(A936="","",IF(COUNTIFS(jr_num,A936,jr_check,"&lt;&gt;OK")&gt;0,"À vérifier",IF(LEFT(A936,2)="BL",IF(COUNTIFS(jr_num,A936,jr_rel,"&gt;0")&gt;0,"Reliquat en cours",IF(COUNTIFS(jr_num,A936,jr_gap,"&lt;0")&gt;0,"Reliquat livré","Complet")),IF(LEFT(A936,2)="BR",IF(COUNTIFS(jr_num,A936,jr_etat,"Refusé")&gt;0,"Refusé",IF(COUNTIFS(jr_num,A936,jr_etat,"Avec réserves")&gt;0,"Avec réserves",IF(COUNTIFS(jr_num,A936,jr_rel,"&gt;0")&gt;0,"Reliquat en cours",IF(COUNTIFS(jr_num,A936,jr_gap,"&lt;0")+COUNTIFS(jr_num,A936,jr_gap,"&gt;0")&gt;0,"Écart","Conforme")))),IF(COUNTIFS(jr_num,A936,jr_gap,"&lt;0")&gt;0,"Partiel","Sorti")))))</f>
        <v/>
      </c>
      <c r="O936" t="str">
        <f>IFERROR(MATCH(931,jr_grank,0),"")</f>
        <v/>
      </c>
      <c r="R936" s="67" t="str">
        <f>IFERROR(INDEX(jr_num,MATCH("BL931",jr_nkey,0))&amp;"","")</f>
        <v/>
      </c>
      <c r="S936" s="67" t="str">
        <f>IFERROR(INDEX(jr_num,MATCH("BR931",jr_nkey,0))&amp;"","")</f>
        <v/>
      </c>
      <c r="T936" s="67" t="str">
        <f>IFERROR(INDEX(jr_num,MATCH("BS931",jr_nkey,0))&amp;"","")</f>
        <v/>
      </c>
    </row>
    <row r="937">
      <c r="A937" s="60" t="str">
        <f>IF($O937="","",INDEX(jr_num,$O937)&amp;"")</f>
        <v/>
      </c>
      <c r="B937" s="60" t="str">
        <f>IF($O937="","",IF(INDEX(jr_type,$O937)="BL","Livraison",IF(INDEX(jr_type,$O937)="BR","Réception","Sortie")))</f>
        <v/>
      </c>
      <c r="C937" s="65" t="str">
        <f>IF($O937="","",INDEX(jr_date,$O937))</f>
        <v/>
      </c>
      <c r="D937" s="60" t="str">
        <f>IF($O937="","",INDEX(jr_tiers,$O937)&amp;"")</f>
        <v/>
      </c>
      <c r="E937" s="57" t="str">
        <f>IF($O937="","",INDEX(jr_name,$O937)&amp;"")</f>
        <v/>
      </c>
      <c r="F937" s="57" t="str">
        <f>IF($O937="","",INDEX(jr_order,$O937)&amp;"")</f>
        <v/>
      </c>
      <c r="G937" s="57" t="str">
        <f>IF($O937="","",INDEX(jr_ext,$O937)&amp;"")</f>
        <v/>
      </c>
      <c r="H937" s="57" t="str">
        <f>IF($O937="","",INDEX(jr_carrier,$O937)&amp;"")</f>
        <v/>
      </c>
      <c r="I937" s="66" t="str">
        <f>IF(A937="","",COUNTIF(jr_num,A937))</f>
        <v/>
      </c>
      <c r="J937" s="66" t="str">
        <f>IF(A937="","",SUMIF(jr_num,A937,jr_colis))</f>
        <v/>
      </c>
      <c r="K937" s="63" t="str">
        <f>IF(A937="","",SUMIF(jr_num,A937,jr_kg))</f>
        <v/>
      </c>
      <c r="L937" s="64" t="str">
        <f>IF(A937="","",SUMIF(jr_num,A937,jr_val))</f>
        <v/>
      </c>
      <c r="M937" s="60" t="str">
        <f>IF(A937="","",IF(COUNTIFS(jr_num,A937,jr_check,"&lt;&gt;OK")&gt;0,"À vérifier",IF(LEFT(A937,2)="BL",IF(COUNTIFS(jr_num,A937,jr_rel,"&gt;0")&gt;0,"Reliquat en cours",IF(COUNTIFS(jr_num,A937,jr_gap,"&lt;0")&gt;0,"Reliquat livré","Complet")),IF(LEFT(A937,2)="BR",IF(COUNTIFS(jr_num,A937,jr_etat,"Refusé")&gt;0,"Refusé",IF(COUNTIFS(jr_num,A937,jr_etat,"Avec réserves")&gt;0,"Avec réserves",IF(COUNTIFS(jr_num,A937,jr_rel,"&gt;0")&gt;0,"Reliquat en cours",IF(COUNTIFS(jr_num,A937,jr_gap,"&lt;0")+COUNTIFS(jr_num,A937,jr_gap,"&gt;0")&gt;0,"Écart","Conforme")))),IF(COUNTIFS(jr_num,A937,jr_gap,"&lt;0")&gt;0,"Partiel","Sorti")))))</f>
        <v/>
      </c>
      <c r="O937" t="str">
        <f>IFERROR(MATCH(932,jr_grank,0),"")</f>
        <v/>
      </c>
      <c r="R937" s="67" t="str">
        <f>IFERROR(INDEX(jr_num,MATCH("BL932",jr_nkey,0))&amp;"","")</f>
        <v/>
      </c>
      <c r="S937" s="67" t="str">
        <f>IFERROR(INDEX(jr_num,MATCH("BR932",jr_nkey,0))&amp;"","")</f>
        <v/>
      </c>
      <c r="T937" s="67" t="str">
        <f>IFERROR(INDEX(jr_num,MATCH("BS932",jr_nkey,0))&amp;"","")</f>
        <v/>
      </c>
    </row>
    <row r="938">
      <c r="A938" s="60" t="str">
        <f>IF($O938="","",INDEX(jr_num,$O938)&amp;"")</f>
        <v/>
      </c>
      <c r="B938" s="60" t="str">
        <f>IF($O938="","",IF(INDEX(jr_type,$O938)="BL","Livraison",IF(INDEX(jr_type,$O938)="BR","Réception","Sortie")))</f>
        <v/>
      </c>
      <c r="C938" s="65" t="str">
        <f>IF($O938="","",INDEX(jr_date,$O938))</f>
        <v/>
      </c>
      <c r="D938" s="60" t="str">
        <f>IF($O938="","",INDEX(jr_tiers,$O938)&amp;"")</f>
        <v/>
      </c>
      <c r="E938" s="57" t="str">
        <f>IF($O938="","",INDEX(jr_name,$O938)&amp;"")</f>
        <v/>
      </c>
      <c r="F938" s="57" t="str">
        <f>IF($O938="","",INDEX(jr_order,$O938)&amp;"")</f>
        <v/>
      </c>
      <c r="G938" s="57" t="str">
        <f>IF($O938="","",INDEX(jr_ext,$O938)&amp;"")</f>
        <v/>
      </c>
      <c r="H938" s="57" t="str">
        <f>IF($O938="","",INDEX(jr_carrier,$O938)&amp;"")</f>
        <v/>
      </c>
      <c r="I938" s="66" t="str">
        <f>IF(A938="","",COUNTIF(jr_num,A938))</f>
        <v/>
      </c>
      <c r="J938" s="66" t="str">
        <f>IF(A938="","",SUMIF(jr_num,A938,jr_colis))</f>
        <v/>
      </c>
      <c r="K938" s="63" t="str">
        <f>IF(A938="","",SUMIF(jr_num,A938,jr_kg))</f>
        <v/>
      </c>
      <c r="L938" s="64" t="str">
        <f>IF(A938="","",SUMIF(jr_num,A938,jr_val))</f>
        <v/>
      </c>
      <c r="M938" s="60" t="str">
        <f>IF(A938="","",IF(COUNTIFS(jr_num,A938,jr_check,"&lt;&gt;OK")&gt;0,"À vérifier",IF(LEFT(A938,2)="BL",IF(COUNTIFS(jr_num,A938,jr_rel,"&gt;0")&gt;0,"Reliquat en cours",IF(COUNTIFS(jr_num,A938,jr_gap,"&lt;0")&gt;0,"Reliquat livré","Complet")),IF(LEFT(A938,2)="BR",IF(COUNTIFS(jr_num,A938,jr_etat,"Refusé")&gt;0,"Refusé",IF(COUNTIFS(jr_num,A938,jr_etat,"Avec réserves")&gt;0,"Avec réserves",IF(COUNTIFS(jr_num,A938,jr_rel,"&gt;0")&gt;0,"Reliquat en cours",IF(COUNTIFS(jr_num,A938,jr_gap,"&lt;0")+COUNTIFS(jr_num,A938,jr_gap,"&gt;0")&gt;0,"Écart","Conforme")))),IF(COUNTIFS(jr_num,A938,jr_gap,"&lt;0")&gt;0,"Partiel","Sorti")))))</f>
        <v/>
      </c>
      <c r="O938" t="str">
        <f>IFERROR(MATCH(933,jr_grank,0),"")</f>
        <v/>
      </c>
      <c r="R938" s="67" t="str">
        <f>IFERROR(INDEX(jr_num,MATCH("BL933",jr_nkey,0))&amp;"","")</f>
        <v/>
      </c>
      <c r="S938" s="67" t="str">
        <f>IFERROR(INDEX(jr_num,MATCH("BR933",jr_nkey,0))&amp;"","")</f>
        <v/>
      </c>
      <c r="T938" s="67" t="str">
        <f>IFERROR(INDEX(jr_num,MATCH("BS933",jr_nkey,0))&amp;"","")</f>
        <v/>
      </c>
    </row>
    <row r="939">
      <c r="A939" s="60" t="str">
        <f>IF($O939="","",INDEX(jr_num,$O939)&amp;"")</f>
        <v/>
      </c>
      <c r="B939" s="60" t="str">
        <f>IF($O939="","",IF(INDEX(jr_type,$O939)="BL","Livraison",IF(INDEX(jr_type,$O939)="BR","Réception","Sortie")))</f>
        <v/>
      </c>
      <c r="C939" s="65" t="str">
        <f>IF($O939="","",INDEX(jr_date,$O939))</f>
        <v/>
      </c>
      <c r="D939" s="60" t="str">
        <f>IF($O939="","",INDEX(jr_tiers,$O939)&amp;"")</f>
        <v/>
      </c>
      <c r="E939" s="57" t="str">
        <f>IF($O939="","",INDEX(jr_name,$O939)&amp;"")</f>
        <v/>
      </c>
      <c r="F939" s="57" t="str">
        <f>IF($O939="","",INDEX(jr_order,$O939)&amp;"")</f>
        <v/>
      </c>
      <c r="G939" s="57" t="str">
        <f>IF($O939="","",INDEX(jr_ext,$O939)&amp;"")</f>
        <v/>
      </c>
      <c r="H939" s="57" t="str">
        <f>IF($O939="","",INDEX(jr_carrier,$O939)&amp;"")</f>
        <v/>
      </c>
      <c r="I939" s="66" t="str">
        <f>IF(A939="","",COUNTIF(jr_num,A939))</f>
        <v/>
      </c>
      <c r="J939" s="66" t="str">
        <f>IF(A939="","",SUMIF(jr_num,A939,jr_colis))</f>
        <v/>
      </c>
      <c r="K939" s="63" t="str">
        <f>IF(A939="","",SUMIF(jr_num,A939,jr_kg))</f>
        <v/>
      </c>
      <c r="L939" s="64" t="str">
        <f>IF(A939="","",SUMIF(jr_num,A939,jr_val))</f>
        <v/>
      </c>
      <c r="M939" s="60" t="str">
        <f>IF(A939="","",IF(COUNTIFS(jr_num,A939,jr_check,"&lt;&gt;OK")&gt;0,"À vérifier",IF(LEFT(A939,2)="BL",IF(COUNTIFS(jr_num,A939,jr_rel,"&gt;0")&gt;0,"Reliquat en cours",IF(COUNTIFS(jr_num,A939,jr_gap,"&lt;0")&gt;0,"Reliquat livré","Complet")),IF(LEFT(A939,2)="BR",IF(COUNTIFS(jr_num,A939,jr_etat,"Refusé")&gt;0,"Refusé",IF(COUNTIFS(jr_num,A939,jr_etat,"Avec réserves")&gt;0,"Avec réserves",IF(COUNTIFS(jr_num,A939,jr_rel,"&gt;0")&gt;0,"Reliquat en cours",IF(COUNTIFS(jr_num,A939,jr_gap,"&lt;0")+COUNTIFS(jr_num,A939,jr_gap,"&gt;0")&gt;0,"Écart","Conforme")))),IF(COUNTIFS(jr_num,A939,jr_gap,"&lt;0")&gt;0,"Partiel","Sorti")))))</f>
        <v/>
      </c>
      <c r="O939" t="str">
        <f>IFERROR(MATCH(934,jr_grank,0),"")</f>
        <v/>
      </c>
      <c r="R939" s="67" t="str">
        <f>IFERROR(INDEX(jr_num,MATCH("BL934",jr_nkey,0))&amp;"","")</f>
        <v/>
      </c>
      <c r="S939" s="67" t="str">
        <f>IFERROR(INDEX(jr_num,MATCH("BR934",jr_nkey,0))&amp;"","")</f>
        <v/>
      </c>
      <c r="T939" s="67" t="str">
        <f>IFERROR(INDEX(jr_num,MATCH("BS934",jr_nkey,0))&amp;"","")</f>
        <v/>
      </c>
    </row>
    <row r="940">
      <c r="A940" s="60" t="str">
        <f>IF($O940="","",INDEX(jr_num,$O940)&amp;"")</f>
        <v/>
      </c>
      <c r="B940" s="60" t="str">
        <f>IF($O940="","",IF(INDEX(jr_type,$O940)="BL","Livraison",IF(INDEX(jr_type,$O940)="BR","Réception","Sortie")))</f>
        <v/>
      </c>
      <c r="C940" s="65" t="str">
        <f>IF($O940="","",INDEX(jr_date,$O940))</f>
        <v/>
      </c>
      <c r="D940" s="60" t="str">
        <f>IF($O940="","",INDEX(jr_tiers,$O940)&amp;"")</f>
        <v/>
      </c>
      <c r="E940" s="57" t="str">
        <f>IF($O940="","",INDEX(jr_name,$O940)&amp;"")</f>
        <v/>
      </c>
      <c r="F940" s="57" t="str">
        <f>IF($O940="","",INDEX(jr_order,$O940)&amp;"")</f>
        <v/>
      </c>
      <c r="G940" s="57" t="str">
        <f>IF($O940="","",INDEX(jr_ext,$O940)&amp;"")</f>
        <v/>
      </c>
      <c r="H940" s="57" t="str">
        <f>IF($O940="","",INDEX(jr_carrier,$O940)&amp;"")</f>
        <v/>
      </c>
      <c r="I940" s="66" t="str">
        <f>IF(A940="","",COUNTIF(jr_num,A940))</f>
        <v/>
      </c>
      <c r="J940" s="66" t="str">
        <f>IF(A940="","",SUMIF(jr_num,A940,jr_colis))</f>
        <v/>
      </c>
      <c r="K940" s="63" t="str">
        <f>IF(A940="","",SUMIF(jr_num,A940,jr_kg))</f>
        <v/>
      </c>
      <c r="L940" s="64" t="str">
        <f>IF(A940="","",SUMIF(jr_num,A940,jr_val))</f>
        <v/>
      </c>
      <c r="M940" s="60" t="str">
        <f>IF(A940="","",IF(COUNTIFS(jr_num,A940,jr_check,"&lt;&gt;OK")&gt;0,"À vérifier",IF(LEFT(A940,2)="BL",IF(COUNTIFS(jr_num,A940,jr_rel,"&gt;0")&gt;0,"Reliquat en cours",IF(COUNTIFS(jr_num,A940,jr_gap,"&lt;0")&gt;0,"Reliquat livré","Complet")),IF(LEFT(A940,2)="BR",IF(COUNTIFS(jr_num,A940,jr_etat,"Refusé")&gt;0,"Refusé",IF(COUNTIFS(jr_num,A940,jr_etat,"Avec réserves")&gt;0,"Avec réserves",IF(COUNTIFS(jr_num,A940,jr_rel,"&gt;0")&gt;0,"Reliquat en cours",IF(COUNTIFS(jr_num,A940,jr_gap,"&lt;0")+COUNTIFS(jr_num,A940,jr_gap,"&gt;0")&gt;0,"Écart","Conforme")))),IF(COUNTIFS(jr_num,A940,jr_gap,"&lt;0")&gt;0,"Partiel","Sorti")))))</f>
        <v/>
      </c>
      <c r="O940" t="str">
        <f>IFERROR(MATCH(935,jr_grank,0),"")</f>
        <v/>
      </c>
      <c r="R940" s="67" t="str">
        <f>IFERROR(INDEX(jr_num,MATCH("BL935",jr_nkey,0))&amp;"","")</f>
        <v/>
      </c>
      <c r="S940" s="67" t="str">
        <f>IFERROR(INDEX(jr_num,MATCH("BR935",jr_nkey,0))&amp;"","")</f>
        <v/>
      </c>
      <c r="T940" s="67" t="str">
        <f>IFERROR(INDEX(jr_num,MATCH("BS935",jr_nkey,0))&amp;"","")</f>
        <v/>
      </c>
    </row>
    <row r="941">
      <c r="A941" s="60" t="str">
        <f>IF($O941="","",INDEX(jr_num,$O941)&amp;"")</f>
        <v/>
      </c>
      <c r="B941" s="60" t="str">
        <f>IF($O941="","",IF(INDEX(jr_type,$O941)="BL","Livraison",IF(INDEX(jr_type,$O941)="BR","Réception","Sortie")))</f>
        <v/>
      </c>
      <c r="C941" s="65" t="str">
        <f>IF($O941="","",INDEX(jr_date,$O941))</f>
        <v/>
      </c>
      <c r="D941" s="60" t="str">
        <f>IF($O941="","",INDEX(jr_tiers,$O941)&amp;"")</f>
        <v/>
      </c>
      <c r="E941" s="57" t="str">
        <f>IF($O941="","",INDEX(jr_name,$O941)&amp;"")</f>
        <v/>
      </c>
      <c r="F941" s="57" t="str">
        <f>IF($O941="","",INDEX(jr_order,$O941)&amp;"")</f>
        <v/>
      </c>
      <c r="G941" s="57" t="str">
        <f>IF($O941="","",INDEX(jr_ext,$O941)&amp;"")</f>
        <v/>
      </c>
      <c r="H941" s="57" t="str">
        <f>IF($O941="","",INDEX(jr_carrier,$O941)&amp;"")</f>
        <v/>
      </c>
      <c r="I941" s="66" t="str">
        <f>IF(A941="","",COUNTIF(jr_num,A941))</f>
        <v/>
      </c>
      <c r="J941" s="66" t="str">
        <f>IF(A941="","",SUMIF(jr_num,A941,jr_colis))</f>
        <v/>
      </c>
      <c r="K941" s="63" t="str">
        <f>IF(A941="","",SUMIF(jr_num,A941,jr_kg))</f>
        <v/>
      </c>
      <c r="L941" s="64" t="str">
        <f>IF(A941="","",SUMIF(jr_num,A941,jr_val))</f>
        <v/>
      </c>
      <c r="M941" s="60" t="str">
        <f>IF(A941="","",IF(COUNTIFS(jr_num,A941,jr_check,"&lt;&gt;OK")&gt;0,"À vérifier",IF(LEFT(A941,2)="BL",IF(COUNTIFS(jr_num,A941,jr_rel,"&gt;0")&gt;0,"Reliquat en cours",IF(COUNTIFS(jr_num,A941,jr_gap,"&lt;0")&gt;0,"Reliquat livré","Complet")),IF(LEFT(A941,2)="BR",IF(COUNTIFS(jr_num,A941,jr_etat,"Refusé")&gt;0,"Refusé",IF(COUNTIFS(jr_num,A941,jr_etat,"Avec réserves")&gt;0,"Avec réserves",IF(COUNTIFS(jr_num,A941,jr_rel,"&gt;0")&gt;0,"Reliquat en cours",IF(COUNTIFS(jr_num,A941,jr_gap,"&lt;0")+COUNTIFS(jr_num,A941,jr_gap,"&gt;0")&gt;0,"Écart","Conforme")))),IF(COUNTIFS(jr_num,A941,jr_gap,"&lt;0")&gt;0,"Partiel","Sorti")))))</f>
        <v/>
      </c>
      <c r="O941" t="str">
        <f>IFERROR(MATCH(936,jr_grank,0),"")</f>
        <v/>
      </c>
      <c r="R941" s="67" t="str">
        <f>IFERROR(INDEX(jr_num,MATCH("BL936",jr_nkey,0))&amp;"","")</f>
        <v/>
      </c>
      <c r="S941" s="67" t="str">
        <f>IFERROR(INDEX(jr_num,MATCH("BR936",jr_nkey,0))&amp;"","")</f>
        <v/>
      </c>
      <c r="T941" s="67" t="str">
        <f>IFERROR(INDEX(jr_num,MATCH("BS936",jr_nkey,0))&amp;"","")</f>
        <v/>
      </c>
    </row>
    <row r="942">
      <c r="A942" s="60" t="str">
        <f>IF($O942="","",INDEX(jr_num,$O942)&amp;"")</f>
        <v/>
      </c>
      <c r="B942" s="60" t="str">
        <f>IF($O942="","",IF(INDEX(jr_type,$O942)="BL","Livraison",IF(INDEX(jr_type,$O942)="BR","Réception","Sortie")))</f>
        <v/>
      </c>
      <c r="C942" s="65" t="str">
        <f>IF($O942="","",INDEX(jr_date,$O942))</f>
        <v/>
      </c>
      <c r="D942" s="60" t="str">
        <f>IF($O942="","",INDEX(jr_tiers,$O942)&amp;"")</f>
        <v/>
      </c>
      <c r="E942" s="57" t="str">
        <f>IF($O942="","",INDEX(jr_name,$O942)&amp;"")</f>
        <v/>
      </c>
      <c r="F942" s="57" t="str">
        <f>IF($O942="","",INDEX(jr_order,$O942)&amp;"")</f>
        <v/>
      </c>
      <c r="G942" s="57" t="str">
        <f>IF($O942="","",INDEX(jr_ext,$O942)&amp;"")</f>
        <v/>
      </c>
      <c r="H942" s="57" t="str">
        <f>IF($O942="","",INDEX(jr_carrier,$O942)&amp;"")</f>
        <v/>
      </c>
      <c r="I942" s="66" t="str">
        <f>IF(A942="","",COUNTIF(jr_num,A942))</f>
        <v/>
      </c>
      <c r="J942" s="66" t="str">
        <f>IF(A942="","",SUMIF(jr_num,A942,jr_colis))</f>
        <v/>
      </c>
      <c r="K942" s="63" t="str">
        <f>IF(A942="","",SUMIF(jr_num,A942,jr_kg))</f>
        <v/>
      </c>
      <c r="L942" s="64" t="str">
        <f>IF(A942="","",SUMIF(jr_num,A942,jr_val))</f>
        <v/>
      </c>
      <c r="M942" s="60" t="str">
        <f>IF(A942="","",IF(COUNTIFS(jr_num,A942,jr_check,"&lt;&gt;OK")&gt;0,"À vérifier",IF(LEFT(A942,2)="BL",IF(COUNTIFS(jr_num,A942,jr_rel,"&gt;0")&gt;0,"Reliquat en cours",IF(COUNTIFS(jr_num,A942,jr_gap,"&lt;0")&gt;0,"Reliquat livré","Complet")),IF(LEFT(A942,2)="BR",IF(COUNTIFS(jr_num,A942,jr_etat,"Refusé")&gt;0,"Refusé",IF(COUNTIFS(jr_num,A942,jr_etat,"Avec réserves")&gt;0,"Avec réserves",IF(COUNTIFS(jr_num,A942,jr_rel,"&gt;0")&gt;0,"Reliquat en cours",IF(COUNTIFS(jr_num,A942,jr_gap,"&lt;0")+COUNTIFS(jr_num,A942,jr_gap,"&gt;0")&gt;0,"Écart","Conforme")))),IF(COUNTIFS(jr_num,A942,jr_gap,"&lt;0")&gt;0,"Partiel","Sorti")))))</f>
        <v/>
      </c>
      <c r="O942" t="str">
        <f>IFERROR(MATCH(937,jr_grank,0),"")</f>
        <v/>
      </c>
      <c r="R942" s="67" t="str">
        <f>IFERROR(INDEX(jr_num,MATCH("BL937",jr_nkey,0))&amp;"","")</f>
        <v/>
      </c>
      <c r="S942" s="67" t="str">
        <f>IFERROR(INDEX(jr_num,MATCH("BR937",jr_nkey,0))&amp;"","")</f>
        <v/>
      </c>
      <c r="T942" s="67" t="str">
        <f>IFERROR(INDEX(jr_num,MATCH("BS937",jr_nkey,0))&amp;"","")</f>
        <v/>
      </c>
    </row>
    <row r="943">
      <c r="A943" s="60" t="str">
        <f>IF($O943="","",INDEX(jr_num,$O943)&amp;"")</f>
        <v/>
      </c>
      <c r="B943" s="60" t="str">
        <f>IF($O943="","",IF(INDEX(jr_type,$O943)="BL","Livraison",IF(INDEX(jr_type,$O943)="BR","Réception","Sortie")))</f>
        <v/>
      </c>
      <c r="C943" s="65" t="str">
        <f>IF($O943="","",INDEX(jr_date,$O943))</f>
        <v/>
      </c>
      <c r="D943" s="60" t="str">
        <f>IF($O943="","",INDEX(jr_tiers,$O943)&amp;"")</f>
        <v/>
      </c>
      <c r="E943" s="57" t="str">
        <f>IF($O943="","",INDEX(jr_name,$O943)&amp;"")</f>
        <v/>
      </c>
      <c r="F943" s="57" t="str">
        <f>IF($O943="","",INDEX(jr_order,$O943)&amp;"")</f>
        <v/>
      </c>
      <c r="G943" s="57" t="str">
        <f>IF($O943="","",INDEX(jr_ext,$O943)&amp;"")</f>
        <v/>
      </c>
      <c r="H943" s="57" t="str">
        <f>IF($O943="","",INDEX(jr_carrier,$O943)&amp;"")</f>
        <v/>
      </c>
      <c r="I943" s="66" t="str">
        <f>IF(A943="","",COUNTIF(jr_num,A943))</f>
        <v/>
      </c>
      <c r="J943" s="66" t="str">
        <f>IF(A943="","",SUMIF(jr_num,A943,jr_colis))</f>
        <v/>
      </c>
      <c r="K943" s="63" t="str">
        <f>IF(A943="","",SUMIF(jr_num,A943,jr_kg))</f>
        <v/>
      </c>
      <c r="L943" s="64" t="str">
        <f>IF(A943="","",SUMIF(jr_num,A943,jr_val))</f>
        <v/>
      </c>
      <c r="M943" s="60" t="str">
        <f>IF(A943="","",IF(COUNTIFS(jr_num,A943,jr_check,"&lt;&gt;OK")&gt;0,"À vérifier",IF(LEFT(A943,2)="BL",IF(COUNTIFS(jr_num,A943,jr_rel,"&gt;0")&gt;0,"Reliquat en cours",IF(COUNTIFS(jr_num,A943,jr_gap,"&lt;0")&gt;0,"Reliquat livré","Complet")),IF(LEFT(A943,2)="BR",IF(COUNTIFS(jr_num,A943,jr_etat,"Refusé")&gt;0,"Refusé",IF(COUNTIFS(jr_num,A943,jr_etat,"Avec réserves")&gt;0,"Avec réserves",IF(COUNTIFS(jr_num,A943,jr_rel,"&gt;0")&gt;0,"Reliquat en cours",IF(COUNTIFS(jr_num,A943,jr_gap,"&lt;0")+COUNTIFS(jr_num,A943,jr_gap,"&gt;0")&gt;0,"Écart","Conforme")))),IF(COUNTIFS(jr_num,A943,jr_gap,"&lt;0")&gt;0,"Partiel","Sorti")))))</f>
        <v/>
      </c>
      <c r="O943" t="str">
        <f>IFERROR(MATCH(938,jr_grank,0),"")</f>
        <v/>
      </c>
      <c r="R943" s="67" t="str">
        <f>IFERROR(INDEX(jr_num,MATCH("BL938",jr_nkey,0))&amp;"","")</f>
        <v/>
      </c>
      <c r="S943" s="67" t="str">
        <f>IFERROR(INDEX(jr_num,MATCH("BR938",jr_nkey,0))&amp;"","")</f>
        <v/>
      </c>
      <c r="T943" s="67" t="str">
        <f>IFERROR(INDEX(jr_num,MATCH("BS938",jr_nkey,0))&amp;"","")</f>
        <v/>
      </c>
    </row>
    <row r="944">
      <c r="A944" s="60" t="str">
        <f>IF($O944="","",INDEX(jr_num,$O944)&amp;"")</f>
        <v/>
      </c>
      <c r="B944" s="60" t="str">
        <f>IF($O944="","",IF(INDEX(jr_type,$O944)="BL","Livraison",IF(INDEX(jr_type,$O944)="BR","Réception","Sortie")))</f>
        <v/>
      </c>
      <c r="C944" s="65" t="str">
        <f>IF($O944="","",INDEX(jr_date,$O944))</f>
        <v/>
      </c>
      <c r="D944" s="60" t="str">
        <f>IF($O944="","",INDEX(jr_tiers,$O944)&amp;"")</f>
        <v/>
      </c>
      <c r="E944" s="57" t="str">
        <f>IF($O944="","",INDEX(jr_name,$O944)&amp;"")</f>
        <v/>
      </c>
      <c r="F944" s="57" t="str">
        <f>IF($O944="","",INDEX(jr_order,$O944)&amp;"")</f>
        <v/>
      </c>
      <c r="G944" s="57" t="str">
        <f>IF($O944="","",INDEX(jr_ext,$O944)&amp;"")</f>
        <v/>
      </c>
      <c r="H944" s="57" t="str">
        <f>IF($O944="","",INDEX(jr_carrier,$O944)&amp;"")</f>
        <v/>
      </c>
      <c r="I944" s="66" t="str">
        <f>IF(A944="","",COUNTIF(jr_num,A944))</f>
        <v/>
      </c>
      <c r="J944" s="66" t="str">
        <f>IF(A944="","",SUMIF(jr_num,A944,jr_colis))</f>
        <v/>
      </c>
      <c r="K944" s="63" t="str">
        <f>IF(A944="","",SUMIF(jr_num,A944,jr_kg))</f>
        <v/>
      </c>
      <c r="L944" s="64" t="str">
        <f>IF(A944="","",SUMIF(jr_num,A944,jr_val))</f>
        <v/>
      </c>
      <c r="M944" s="60" t="str">
        <f>IF(A944="","",IF(COUNTIFS(jr_num,A944,jr_check,"&lt;&gt;OK")&gt;0,"À vérifier",IF(LEFT(A944,2)="BL",IF(COUNTIFS(jr_num,A944,jr_rel,"&gt;0")&gt;0,"Reliquat en cours",IF(COUNTIFS(jr_num,A944,jr_gap,"&lt;0")&gt;0,"Reliquat livré","Complet")),IF(LEFT(A944,2)="BR",IF(COUNTIFS(jr_num,A944,jr_etat,"Refusé")&gt;0,"Refusé",IF(COUNTIFS(jr_num,A944,jr_etat,"Avec réserves")&gt;0,"Avec réserves",IF(COUNTIFS(jr_num,A944,jr_rel,"&gt;0")&gt;0,"Reliquat en cours",IF(COUNTIFS(jr_num,A944,jr_gap,"&lt;0")+COUNTIFS(jr_num,A944,jr_gap,"&gt;0")&gt;0,"Écart","Conforme")))),IF(COUNTIFS(jr_num,A944,jr_gap,"&lt;0")&gt;0,"Partiel","Sorti")))))</f>
        <v/>
      </c>
      <c r="O944" t="str">
        <f>IFERROR(MATCH(939,jr_grank,0),"")</f>
        <v/>
      </c>
      <c r="R944" s="67" t="str">
        <f>IFERROR(INDEX(jr_num,MATCH("BL939",jr_nkey,0))&amp;"","")</f>
        <v/>
      </c>
      <c r="S944" s="67" t="str">
        <f>IFERROR(INDEX(jr_num,MATCH("BR939",jr_nkey,0))&amp;"","")</f>
        <v/>
      </c>
      <c r="T944" s="67" t="str">
        <f>IFERROR(INDEX(jr_num,MATCH("BS939",jr_nkey,0))&amp;"","")</f>
        <v/>
      </c>
    </row>
    <row r="945">
      <c r="A945" s="60" t="str">
        <f>IF($O945="","",INDEX(jr_num,$O945)&amp;"")</f>
        <v/>
      </c>
      <c r="B945" s="60" t="str">
        <f>IF($O945="","",IF(INDEX(jr_type,$O945)="BL","Livraison",IF(INDEX(jr_type,$O945)="BR","Réception","Sortie")))</f>
        <v/>
      </c>
      <c r="C945" s="65" t="str">
        <f>IF($O945="","",INDEX(jr_date,$O945))</f>
        <v/>
      </c>
      <c r="D945" s="60" t="str">
        <f>IF($O945="","",INDEX(jr_tiers,$O945)&amp;"")</f>
        <v/>
      </c>
      <c r="E945" s="57" t="str">
        <f>IF($O945="","",INDEX(jr_name,$O945)&amp;"")</f>
        <v/>
      </c>
      <c r="F945" s="57" t="str">
        <f>IF($O945="","",INDEX(jr_order,$O945)&amp;"")</f>
        <v/>
      </c>
      <c r="G945" s="57" t="str">
        <f>IF($O945="","",INDEX(jr_ext,$O945)&amp;"")</f>
        <v/>
      </c>
      <c r="H945" s="57" t="str">
        <f>IF($O945="","",INDEX(jr_carrier,$O945)&amp;"")</f>
        <v/>
      </c>
      <c r="I945" s="66" t="str">
        <f>IF(A945="","",COUNTIF(jr_num,A945))</f>
        <v/>
      </c>
      <c r="J945" s="66" t="str">
        <f>IF(A945="","",SUMIF(jr_num,A945,jr_colis))</f>
        <v/>
      </c>
      <c r="K945" s="63" t="str">
        <f>IF(A945="","",SUMIF(jr_num,A945,jr_kg))</f>
        <v/>
      </c>
      <c r="L945" s="64" t="str">
        <f>IF(A945="","",SUMIF(jr_num,A945,jr_val))</f>
        <v/>
      </c>
      <c r="M945" s="60" t="str">
        <f>IF(A945="","",IF(COUNTIFS(jr_num,A945,jr_check,"&lt;&gt;OK")&gt;0,"À vérifier",IF(LEFT(A945,2)="BL",IF(COUNTIFS(jr_num,A945,jr_rel,"&gt;0")&gt;0,"Reliquat en cours",IF(COUNTIFS(jr_num,A945,jr_gap,"&lt;0")&gt;0,"Reliquat livré","Complet")),IF(LEFT(A945,2)="BR",IF(COUNTIFS(jr_num,A945,jr_etat,"Refusé")&gt;0,"Refusé",IF(COUNTIFS(jr_num,A945,jr_etat,"Avec réserves")&gt;0,"Avec réserves",IF(COUNTIFS(jr_num,A945,jr_rel,"&gt;0")&gt;0,"Reliquat en cours",IF(COUNTIFS(jr_num,A945,jr_gap,"&lt;0")+COUNTIFS(jr_num,A945,jr_gap,"&gt;0")&gt;0,"Écart","Conforme")))),IF(COUNTIFS(jr_num,A945,jr_gap,"&lt;0")&gt;0,"Partiel","Sorti")))))</f>
        <v/>
      </c>
      <c r="O945" t="str">
        <f>IFERROR(MATCH(940,jr_grank,0),"")</f>
        <v/>
      </c>
      <c r="R945" s="67" t="str">
        <f>IFERROR(INDEX(jr_num,MATCH("BL940",jr_nkey,0))&amp;"","")</f>
        <v/>
      </c>
      <c r="S945" s="67" t="str">
        <f>IFERROR(INDEX(jr_num,MATCH("BR940",jr_nkey,0))&amp;"","")</f>
        <v/>
      </c>
      <c r="T945" s="67" t="str">
        <f>IFERROR(INDEX(jr_num,MATCH("BS940",jr_nkey,0))&amp;"","")</f>
        <v/>
      </c>
    </row>
    <row r="946">
      <c r="A946" s="60" t="str">
        <f>IF($O946="","",INDEX(jr_num,$O946)&amp;"")</f>
        <v/>
      </c>
      <c r="B946" s="60" t="str">
        <f>IF($O946="","",IF(INDEX(jr_type,$O946)="BL","Livraison",IF(INDEX(jr_type,$O946)="BR","Réception","Sortie")))</f>
        <v/>
      </c>
      <c r="C946" s="65" t="str">
        <f>IF($O946="","",INDEX(jr_date,$O946))</f>
        <v/>
      </c>
      <c r="D946" s="60" t="str">
        <f>IF($O946="","",INDEX(jr_tiers,$O946)&amp;"")</f>
        <v/>
      </c>
      <c r="E946" s="57" t="str">
        <f>IF($O946="","",INDEX(jr_name,$O946)&amp;"")</f>
        <v/>
      </c>
      <c r="F946" s="57" t="str">
        <f>IF($O946="","",INDEX(jr_order,$O946)&amp;"")</f>
        <v/>
      </c>
      <c r="G946" s="57" t="str">
        <f>IF($O946="","",INDEX(jr_ext,$O946)&amp;"")</f>
        <v/>
      </c>
      <c r="H946" s="57" t="str">
        <f>IF($O946="","",INDEX(jr_carrier,$O946)&amp;"")</f>
        <v/>
      </c>
      <c r="I946" s="66" t="str">
        <f>IF(A946="","",COUNTIF(jr_num,A946))</f>
        <v/>
      </c>
      <c r="J946" s="66" t="str">
        <f>IF(A946="","",SUMIF(jr_num,A946,jr_colis))</f>
        <v/>
      </c>
      <c r="K946" s="63" t="str">
        <f>IF(A946="","",SUMIF(jr_num,A946,jr_kg))</f>
        <v/>
      </c>
      <c r="L946" s="64" t="str">
        <f>IF(A946="","",SUMIF(jr_num,A946,jr_val))</f>
        <v/>
      </c>
      <c r="M946" s="60" t="str">
        <f>IF(A946="","",IF(COUNTIFS(jr_num,A946,jr_check,"&lt;&gt;OK")&gt;0,"À vérifier",IF(LEFT(A946,2)="BL",IF(COUNTIFS(jr_num,A946,jr_rel,"&gt;0")&gt;0,"Reliquat en cours",IF(COUNTIFS(jr_num,A946,jr_gap,"&lt;0")&gt;0,"Reliquat livré","Complet")),IF(LEFT(A946,2)="BR",IF(COUNTIFS(jr_num,A946,jr_etat,"Refusé")&gt;0,"Refusé",IF(COUNTIFS(jr_num,A946,jr_etat,"Avec réserves")&gt;0,"Avec réserves",IF(COUNTIFS(jr_num,A946,jr_rel,"&gt;0")&gt;0,"Reliquat en cours",IF(COUNTIFS(jr_num,A946,jr_gap,"&lt;0")+COUNTIFS(jr_num,A946,jr_gap,"&gt;0")&gt;0,"Écart","Conforme")))),IF(COUNTIFS(jr_num,A946,jr_gap,"&lt;0")&gt;0,"Partiel","Sorti")))))</f>
        <v/>
      </c>
      <c r="O946" t="str">
        <f>IFERROR(MATCH(941,jr_grank,0),"")</f>
        <v/>
      </c>
      <c r="R946" s="67" t="str">
        <f>IFERROR(INDEX(jr_num,MATCH("BL941",jr_nkey,0))&amp;"","")</f>
        <v/>
      </c>
      <c r="S946" s="67" t="str">
        <f>IFERROR(INDEX(jr_num,MATCH("BR941",jr_nkey,0))&amp;"","")</f>
        <v/>
      </c>
      <c r="T946" s="67" t="str">
        <f>IFERROR(INDEX(jr_num,MATCH("BS941",jr_nkey,0))&amp;"","")</f>
        <v/>
      </c>
    </row>
    <row r="947">
      <c r="A947" s="60" t="str">
        <f>IF($O947="","",INDEX(jr_num,$O947)&amp;"")</f>
        <v/>
      </c>
      <c r="B947" s="60" t="str">
        <f>IF($O947="","",IF(INDEX(jr_type,$O947)="BL","Livraison",IF(INDEX(jr_type,$O947)="BR","Réception","Sortie")))</f>
        <v/>
      </c>
      <c r="C947" s="65" t="str">
        <f>IF($O947="","",INDEX(jr_date,$O947))</f>
        <v/>
      </c>
      <c r="D947" s="60" t="str">
        <f>IF($O947="","",INDEX(jr_tiers,$O947)&amp;"")</f>
        <v/>
      </c>
      <c r="E947" s="57" t="str">
        <f>IF($O947="","",INDEX(jr_name,$O947)&amp;"")</f>
        <v/>
      </c>
      <c r="F947" s="57" t="str">
        <f>IF($O947="","",INDEX(jr_order,$O947)&amp;"")</f>
        <v/>
      </c>
      <c r="G947" s="57" t="str">
        <f>IF($O947="","",INDEX(jr_ext,$O947)&amp;"")</f>
        <v/>
      </c>
      <c r="H947" s="57" t="str">
        <f>IF($O947="","",INDEX(jr_carrier,$O947)&amp;"")</f>
        <v/>
      </c>
      <c r="I947" s="66" t="str">
        <f>IF(A947="","",COUNTIF(jr_num,A947))</f>
        <v/>
      </c>
      <c r="J947" s="66" t="str">
        <f>IF(A947="","",SUMIF(jr_num,A947,jr_colis))</f>
        <v/>
      </c>
      <c r="K947" s="63" t="str">
        <f>IF(A947="","",SUMIF(jr_num,A947,jr_kg))</f>
        <v/>
      </c>
      <c r="L947" s="64" t="str">
        <f>IF(A947="","",SUMIF(jr_num,A947,jr_val))</f>
        <v/>
      </c>
      <c r="M947" s="60" t="str">
        <f>IF(A947="","",IF(COUNTIFS(jr_num,A947,jr_check,"&lt;&gt;OK")&gt;0,"À vérifier",IF(LEFT(A947,2)="BL",IF(COUNTIFS(jr_num,A947,jr_rel,"&gt;0")&gt;0,"Reliquat en cours",IF(COUNTIFS(jr_num,A947,jr_gap,"&lt;0")&gt;0,"Reliquat livré","Complet")),IF(LEFT(A947,2)="BR",IF(COUNTIFS(jr_num,A947,jr_etat,"Refusé")&gt;0,"Refusé",IF(COUNTIFS(jr_num,A947,jr_etat,"Avec réserves")&gt;0,"Avec réserves",IF(COUNTIFS(jr_num,A947,jr_rel,"&gt;0")&gt;0,"Reliquat en cours",IF(COUNTIFS(jr_num,A947,jr_gap,"&lt;0")+COUNTIFS(jr_num,A947,jr_gap,"&gt;0")&gt;0,"Écart","Conforme")))),IF(COUNTIFS(jr_num,A947,jr_gap,"&lt;0")&gt;0,"Partiel","Sorti")))))</f>
        <v/>
      </c>
      <c r="O947" t="str">
        <f>IFERROR(MATCH(942,jr_grank,0),"")</f>
        <v/>
      </c>
      <c r="R947" s="67" t="str">
        <f>IFERROR(INDEX(jr_num,MATCH("BL942",jr_nkey,0))&amp;"","")</f>
        <v/>
      </c>
      <c r="S947" s="67" t="str">
        <f>IFERROR(INDEX(jr_num,MATCH("BR942",jr_nkey,0))&amp;"","")</f>
        <v/>
      </c>
      <c r="T947" s="67" t="str">
        <f>IFERROR(INDEX(jr_num,MATCH("BS942",jr_nkey,0))&amp;"","")</f>
        <v/>
      </c>
    </row>
    <row r="948">
      <c r="A948" s="60" t="str">
        <f>IF($O948="","",INDEX(jr_num,$O948)&amp;"")</f>
        <v/>
      </c>
      <c r="B948" s="60" t="str">
        <f>IF($O948="","",IF(INDEX(jr_type,$O948)="BL","Livraison",IF(INDEX(jr_type,$O948)="BR","Réception","Sortie")))</f>
        <v/>
      </c>
      <c r="C948" s="65" t="str">
        <f>IF($O948="","",INDEX(jr_date,$O948))</f>
        <v/>
      </c>
      <c r="D948" s="60" t="str">
        <f>IF($O948="","",INDEX(jr_tiers,$O948)&amp;"")</f>
        <v/>
      </c>
      <c r="E948" s="57" t="str">
        <f>IF($O948="","",INDEX(jr_name,$O948)&amp;"")</f>
        <v/>
      </c>
      <c r="F948" s="57" t="str">
        <f>IF($O948="","",INDEX(jr_order,$O948)&amp;"")</f>
        <v/>
      </c>
      <c r="G948" s="57" t="str">
        <f>IF($O948="","",INDEX(jr_ext,$O948)&amp;"")</f>
        <v/>
      </c>
      <c r="H948" s="57" t="str">
        <f>IF($O948="","",INDEX(jr_carrier,$O948)&amp;"")</f>
        <v/>
      </c>
      <c r="I948" s="66" t="str">
        <f>IF(A948="","",COUNTIF(jr_num,A948))</f>
        <v/>
      </c>
      <c r="J948" s="66" t="str">
        <f>IF(A948="","",SUMIF(jr_num,A948,jr_colis))</f>
        <v/>
      </c>
      <c r="K948" s="63" t="str">
        <f>IF(A948="","",SUMIF(jr_num,A948,jr_kg))</f>
        <v/>
      </c>
      <c r="L948" s="64" t="str">
        <f>IF(A948="","",SUMIF(jr_num,A948,jr_val))</f>
        <v/>
      </c>
      <c r="M948" s="60" t="str">
        <f>IF(A948="","",IF(COUNTIFS(jr_num,A948,jr_check,"&lt;&gt;OK")&gt;0,"À vérifier",IF(LEFT(A948,2)="BL",IF(COUNTIFS(jr_num,A948,jr_rel,"&gt;0")&gt;0,"Reliquat en cours",IF(COUNTIFS(jr_num,A948,jr_gap,"&lt;0")&gt;0,"Reliquat livré","Complet")),IF(LEFT(A948,2)="BR",IF(COUNTIFS(jr_num,A948,jr_etat,"Refusé")&gt;0,"Refusé",IF(COUNTIFS(jr_num,A948,jr_etat,"Avec réserves")&gt;0,"Avec réserves",IF(COUNTIFS(jr_num,A948,jr_rel,"&gt;0")&gt;0,"Reliquat en cours",IF(COUNTIFS(jr_num,A948,jr_gap,"&lt;0")+COUNTIFS(jr_num,A948,jr_gap,"&gt;0")&gt;0,"Écart","Conforme")))),IF(COUNTIFS(jr_num,A948,jr_gap,"&lt;0")&gt;0,"Partiel","Sorti")))))</f>
        <v/>
      </c>
      <c r="O948" t="str">
        <f>IFERROR(MATCH(943,jr_grank,0),"")</f>
        <v/>
      </c>
      <c r="R948" s="67" t="str">
        <f>IFERROR(INDEX(jr_num,MATCH("BL943",jr_nkey,0))&amp;"","")</f>
        <v/>
      </c>
      <c r="S948" s="67" t="str">
        <f>IFERROR(INDEX(jr_num,MATCH("BR943",jr_nkey,0))&amp;"","")</f>
        <v/>
      </c>
      <c r="T948" s="67" t="str">
        <f>IFERROR(INDEX(jr_num,MATCH("BS943",jr_nkey,0))&amp;"","")</f>
        <v/>
      </c>
    </row>
    <row r="949">
      <c r="A949" s="60" t="str">
        <f>IF($O949="","",INDEX(jr_num,$O949)&amp;"")</f>
        <v/>
      </c>
      <c r="B949" s="60" t="str">
        <f>IF($O949="","",IF(INDEX(jr_type,$O949)="BL","Livraison",IF(INDEX(jr_type,$O949)="BR","Réception","Sortie")))</f>
        <v/>
      </c>
      <c r="C949" s="65" t="str">
        <f>IF($O949="","",INDEX(jr_date,$O949))</f>
        <v/>
      </c>
      <c r="D949" s="60" t="str">
        <f>IF($O949="","",INDEX(jr_tiers,$O949)&amp;"")</f>
        <v/>
      </c>
      <c r="E949" s="57" t="str">
        <f>IF($O949="","",INDEX(jr_name,$O949)&amp;"")</f>
        <v/>
      </c>
      <c r="F949" s="57" t="str">
        <f>IF($O949="","",INDEX(jr_order,$O949)&amp;"")</f>
        <v/>
      </c>
      <c r="G949" s="57" t="str">
        <f>IF($O949="","",INDEX(jr_ext,$O949)&amp;"")</f>
        <v/>
      </c>
      <c r="H949" s="57" t="str">
        <f>IF($O949="","",INDEX(jr_carrier,$O949)&amp;"")</f>
        <v/>
      </c>
      <c r="I949" s="66" t="str">
        <f>IF(A949="","",COUNTIF(jr_num,A949))</f>
        <v/>
      </c>
      <c r="J949" s="66" t="str">
        <f>IF(A949="","",SUMIF(jr_num,A949,jr_colis))</f>
        <v/>
      </c>
      <c r="K949" s="63" t="str">
        <f>IF(A949="","",SUMIF(jr_num,A949,jr_kg))</f>
        <v/>
      </c>
      <c r="L949" s="64" t="str">
        <f>IF(A949="","",SUMIF(jr_num,A949,jr_val))</f>
        <v/>
      </c>
      <c r="M949" s="60" t="str">
        <f>IF(A949="","",IF(COUNTIFS(jr_num,A949,jr_check,"&lt;&gt;OK")&gt;0,"À vérifier",IF(LEFT(A949,2)="BL",IF(COUNTIFS(jr_num,A949,jr_rel,"&gt;0")&gt;0,"Reliquat en cours",IF(COUNTIFS(jr_num,A949,jr_gap,"&lt;0")&gt;0,"Reliquat livré","Complet")),IF(LEFT(A949,2)="BR",IF(COUNTIFS(jr_num,A949,jr_etat,"Refusé")&gt;0,"Refusé",IF(COUNTIFS(jr_num,A949,jr_etat,"Avec réserves")&gt;0,"Avec réserves",IF(COUNTIFS(jr_num,A949,jr_rel,"&gt;0")&gt;0,"Reliquat en cours",IF(COUNTIFS(jr_num,A949,jr_gap,"&lt;0")+COUNTIFS(jr_num,A949,jr_gap,"&gt;0")&gt;0,"Écart","Conforme")))),IF(COUNTIFS(jr_num,A949,jr_gap,"&lt;0")&gt;0,"Partiel","Sorti")))))</f>
        <v/>
      </c>
      <c r="O949" t="str">
        <f>IFERROR(MATCH(944,jr_grank,0),"")</f>
        <v/>
      </c>
      <c r="R949" s="67" t="str">
        <f>IFERROR(INDEX(jr_num,MATCH("BL944",jr_nkey,0))&amp;"","")</f>
        <v/>
      </c>
      <c r="S949" s="67" t="str">
        <f>IFERROR(INDEX(jr_num,MATCH("BR944",jr_nkey,0))&amp;"","")</f>
        <v/>
      </c>
      <c r="T949" s="67" t="str">
        <f>IFERROR(INDEX(jr_num,MATCH("BS944",jr_nkey,0))&amp;"","")</f>
        <v/>
      </c>
    </row>
    <row r="950">
      <c r="A950" s="60" t="str">
        <f>IF($O950="","",INDEX(jr_num,$O950)&amp;"")</f>
        <v/>
      </c>
      <c r="B950" s="60" t="str">
        <f>IF($O950="","",IF(INDEX(jr_type,$O950)="BL","Livraison",IF(INDEX(jr_type,$O950)="BR","Réception","Sortie")))</f>
        <v/>
      </c>
      <c r="C950" s="65" t="str">
        <f>IF($O950="","",INDEX(jr_date,$O950))</f>
        <v/>
      </c>
      <c r="D950" s="60" t="str">
        <f>IF($O950="","",INDEX(jr_tiers,$O950)&amp;"")</f>
        <v/>
      </c>
      <c r="E950" s="57" t="str">
        <f>IF($O950="","",INDEX(jr_name,$O950)&amp;"")</f>
        <v/>
      </c>
      <c r="F950" s="57" t="str">
        <f>IF($O950="","",INDEX(jr_order,$O950)&amp;"")</f>
        <v/>
      </c>
      <c r="G950" s="57" t="str">
        <f>IF($O950="","",INDEX(jr_ext,$O950)&amp;"")</f>
        <v/>
      </c>
      <c r="H950" s="57" t="str">
        <f>IF($O950="","",INDEX(jr_carrier,$O950)&amp;"")</f>
        <v/>
      </c>
      <c r="I950" s="66" t="str">
        <f>IF(A950="","",COUNTIF(jr_num,A950))</f>
        <v/>
      </c>
      <c r="J950" s="66" t="str">
        <f>IF(A950="","",SUMIF(jr_num,A950,jr_colis))</f>
        <v/>
      </c>
      <c r="K950" s="63" t="str">
        <f>IF(A950="","",SUMIF(jr_num,A950,jr_kg))</f>
        <v/>
      </c>
      <c r="L950" s="64" t="str">
        <f>IF(A950="","",SUMIF(jr_num,A950,jr_val))</f>
        <v/>
      </c>
      <c r="M950" s="60" t="str">
        <f>IF(A950="","",IF(COUNTIFS(jr_num,A950,jr_check,"&lt;&gt;OK")&gt;0,"À vérifier",IF(LEFT(A950,2)="BL",IF(COUNTIFS(jr_num,A950,jr_rel,"&gt;0")&gt;0,"Reliquat en cours",IF(COUNTIFS(jr_num,A950,jr_gap,"&lt;0")&gt;0,"Reliquat livré","Complet")),IF(LEFT(A950,2)="BR",IF(COUNTIFS(jr_num,A950,jr_etat,"Refusé")&gt;0,"Refusé",IF(COUNTIFS(jr_num,A950,jr_etat,"Avec réserves")&gt;0,"Avec réserves",IF(COUNTIFS(jr_num,A950,jr_rel,"&gt;0")&gt;0,"Reliquat en cours",IF(COUNTIFS(jr_num,A950,jr_gap,"&lt;0")+COUNTIFS(jr_num,A950,jr_gap,"&gt;0")&gt;0,"Écart","Conforme")))),IF(COUNTIFS(jr_num,A950,jr_gap,"&lt;0")&gt;0,"Partiel","Sorti")))))</f>
        <v/>
      </c>
      <c r="O950" t="str">
        <f>IFERROR(MATCH(945,jr_grank,0),"")</f>
        <v/>
      </c>
      <c r="R950" s="67" t="str">
        <f>IFERROR(INDEX(jr_num,MATCH("BL945",jr_nkey,0))&amp;"","")</f>
        <v/>
      </c>
      <c r="S950" s="67" t="str">
        <f>IFERROR(INDEX(jr_num,MATCH("BR945",jr_nkey,0))&amp;"","")</f>
        <v/>
      </c>
      <c r="T950" s="67" t="str">
        <f>IFERROR(INDEX(jr_num,MATCH("BS945",jr_nkey,0))&amp;"","")</f>
        <v/>
      </c>
    </row>
    <row r="951">
      <c r="A951" s="60" t="str">
        <f>IF($O951="","",INDEX(jr_num,$O951)&amp;"")</f>
        <v/>
      </c>
      <c r="B951" s="60" t="str">
        <f>IF($O951="","",IF(INDEX(jr_type,$O951)="BL","Livraison",IF(INDEX(jr_type,$O951)="BR","Réception","Sortie")))</f>
        <v/>
      </c>
      <c r="C951" s="65" t="str">
        <f>IF($O951="","",INDEX(jr_date,$O951))</f>
        <v/>
      </c>
      <c r="D951" s="60" t="str">
        <f>IF($O951="","",INDEX(jr_tiers,$O951)&amp;"")</f>
        <v/>
      </c>
      <c r="E951" s="57" t="str">
        <f>IF($O951="","",INDEX(jr_name,$O951)&amp;"")</f>
        <v/>
      </c>
      <c r="F951" s="57" t="str">
        <f>IF($O951="","",INDEX(jr_order,$O951)&amp;"")</f>
        <v/>
      </c>
      <c r="G951" s="57" t="str">
        <f>IF($O951="","",INDEX(jr_ext,$O951)&amp;"")</f>
        <v/>
      </c>
      <c r="H951" s="57" t="str">
        <f>IF($O951="","",INDEX(jr_carrier,$O951)&amp;"")</f>
        <v/>
      </c>
      <c r="I951" s="66" t="str">
        <f>IF(A951="","",COUNTIF(jr_num,A951))</f>
        <v/>
      </c>
      <c r="J951" s="66" t="str">
        <f>IF(A951="","",SUMIF(jr_num,A951,jr_colis))</f>
        <v/>
      </c>
      <c r="K951" s="63" t="str">
        <f>IF(A951="","",SUMIF(jr_num,A951,jr_kg))</f>
        <v/>
      </c>
      <c r="L951" s="64" t="str">
        <f>IF(A951="","",SUMIF(jr_num,A951,jr_val))</f>
        <v/>
      </c>
      <c r="M951" s="60" t="str">
        <f>IF(A951="","",IF(COUNTIFS(jr_num,A951,jr_check,"&lt;&gt;OK")&gt;0,"À vérifier",IF(LEFT(A951,2)="BL",IF(COUNTIFS(jr_num,A951,jr_rel,"&gt;0")&gt;0,"Reliquat en cours",IF(COUNTIFS(jr_num,A951,jr_gap,"&lt;0")&gt;0,"Reliquat livré","Complet")),IF(LEFT(A951,2)="BR",IF(COUNTIFS(jr_num,A951,jr_etat,"Refusé")&gt;0,"Refusé",IF(COUNTIFS(jr_num,A951,jr_etat,"Avec réserves")&gt;0,"Avec réserves",IF(COUNTIFS(jr_num,A951,jr_rel,"&gt;0")&gt;0,"Reliquat en cours",IF(COUNTIFS(jr_num,A951,jr_gap,"&lt;0")+COUNTIFS(jr_num,A951,jr_gap,"&gt;0")&gt;0,"Écart","Conforme")))),IF(COUNTIFS(jr_num,A951,jr_gap,"&lt;0")&gt;0,"Partiel","Sorti")))))</f>
        <v/>
      </c>
      <c r="O951" t="str">
        <f>IFERROR(MATCH(946,jr_grank,0),"")</f>
        <v/>
      </c>
      <c r="R951" s="67" t="str">
        <f>IFERROR(INDEX(jr_num,MATCH("BL946",jr_nkey,0))&amp;"","")</f>
        <v/>
      </c>
      <c r="S951" s="67" t="str">
        <f>IFERROR(INDEX(jr_num,MATCH("BR946",jr_nkey,0))&amp;"","")</f>
        <v/>
      </c>
      <c r="T951" s="67" t="str">
        <f>IFERROR(INDEX(jr_num,MATCH("BS946",jr_nkey,0))&amp;"","")</f>
        <v/>
      </c>
    </row>
    <row r="952">
      <c r="A952" s="60" t="str">
        <f>IF($O952="","",INDEX(jr_num,$O952)&amp;"")</f>
        <v/>
      </c>
      <c r="B952" s="60" t="str">
        <f>IF($O952="","",IF(INDEX(jr_type,$O952)="BL","Livraison",IF(INDEX(jr_type,$O952)="BR","Réception","Sortie")))</f>
        <v/>
      </c>
      <c r="C952" s="65" t="str">
        <f>IF($O952="","",INDEX(jr_date,$O952))</f>
        <v/>
      </c>
      <c r="D952" s="60" t="str">
        <f>IF($O952="","",INDEX(jr_tiers,$O952)&amp;"")</f>
        <v/>
      </c>
      <c r="E952" s="57" t="str">
        <f>IF($O952="","",INDEX(jr_name,$O952)&amp;"")</f>
        <v/>
      </c>
      <c r="F952" s="57" t="str">
        <f>IF($O952="","",INDEX(jr_order,$O952)&amp;"")</f>
        <v/>
      </c>
      <c r="G952" s="57" t="str">
        <f>IF($O952="","",INDEX(jr_ext,$O952)&amp;"")</f>
        <v/>
      </c>
      <c r="H952" s="57" t="str">
        <f>IF($O952="","",INDEX(jr_carrier,$O952)&amp;"")</f>
        <v/>
      </c>
      <c r="I952" s="66" t="str">
        <f>IF(A952="","",COUNTIF(jr_num,A952))</f>
        <v/>
      </c>
      <c r="J952" s="66" t="str">
        <f>IF(A952="","",SUMIF(jr_num,A952,jr_colis))</f>
        <v/>
      </c>
      <c r="K952" s="63" t="str">
        <f>IF(A952="","",SUMIF(jr_num,A952,jr_kg))</f>
        <v/>
      </c>
      <c r="L952" s="64" t="str">
        <f>IF(A952="","",SUMIF(jr_num,A952,jr_val))</f>
        <v/>
      </c>
      <c r="M952" s="60" t="str">
        <f>IF(A952="","",IF(COUNTIFS(jr_num,A952,jr_check,"&lt;&gt;OK")&gt;0,"À vérifier",IF(LEFT(A952,2)="BL",IF(COUNTIFS(jr_num,A952,jr_rel,"&gt;0")&gt;0,"Reliquat en cours",IF(COUNTIFS(jr_num,A952,jr_gap,"&lt;0")&gt;0,"Reliquat livré","Complet")),IF(LEFT(A952,2)="BR",IF(COUNTIFS(jr_num,A952,jr_etat,"Refusé")&gt;0,"Refusé",IF(COUNTIFS(jr_num,A952,jr_etat,"Avec réserves")&gt;0,"Avec réserves",IF(COUNTIFS(jr_num,A952,jr_rel,"&gt;0")&gt;0,"Reliquat en cours",IF(COUNTIFS(jr_num,A952,jr_gap,"&lt;0")+COUNTIFS(jr_num,A952,jr_gap,"&gt;0")&gt;0,"Écart","Conforme")))),IF(COUNTIFS(jr_num,A952,jr_gap,"&lt;0")&gt;0,"Partiel","Sorti")))))</f>
        <v/>
      </c>
      <c r="O952" t="str">
        <f>IFERROR(MATCH(947,jr_grank,0),"")</f>
        <v/>
      </c>
      <c r="R952" s="67" t="str">
        <f>IFERROR(INDEX(jr_num,MATCH("BL947",jr_nkey,0))&amp;"","")</f>
        <v/>
      </c>
      <c r="S952" s="67" t="str">
        <f>IFERROR(INDEX(jr_num,MATCH("BR947",jr_nkey,0))&amp;"","")</f>
        <v/>
      </c>
      <c r="T952" s="67" t="str">
        <f>IFERROR(INDEX(jr_num,MATCH("BS947",jr_nkey,0))&amp;"","")</f>
        <v/>
      </c>
    </row>
    <row r="953">
      <c r="A953" s="60" t="str">
        <f>IF($O953="","",INDEX(jr_num,$O953)&amp;"")</f>
        <v/>
      </c>
      <c r="B953" s="60" t="str">
        <f>IF($O953="","",IF(INDEX(jr_type,$O953)="BL","Livraison",IF(INDEX(jr_type,$O953)="BR","Réception","Sortie")))</f>
        <v/>
      </c>
      <c r="C953" s="65" t="str">
        <f>IF($O953="","",INDEX(jr_date,$O953))</f>
        <v/>
      </c>
      <c r="D953" s="60" t="str">
        <f>IF($O953="","",INDEX(jr_tiers,$O953)&amp;"")</f>
        <v/>
      </c>
      <c r="E953" s="57" t="str">
        <f>IF($O953="","",INDEX(jr_name,$O953)&amp;"")</f>
        <v/>
      </c>
      <c r="F953" s="57" t="str">
        <f>IF($O953="","",INDEX(jr_order,$O953)&amp;"")</f>
        <v/>
      </c>
      <c r="G953" s="57" t="str">
        <f>IF($O953="","",INDEX(jr_ext,$O953)&amp;"")</f>
        <v/>
      </c>
      <c r="H953" s="57" t="str">
        <f>IF($O953="","",INDEX(jr_carrier,$O953)&amp;"")</f>
        <v/>
      </c>
      <c r="I953" s="66" t="str">
        <f>IF(A953="","",COUNTIF(jr_num,A953))</f>
        <v/>
      </c>
      <c r="J953" s="66" t="str">
        <f>IF(A953="","",SUMIF(jr_num,A953,jr_colis))</f>
        <v/>
      </c>
      <c r="K953" s="63" t="str">
        <f>IF(A953="","",SUMIF(jr_num,A953,jr_kg))</f>
        <v/>
      </c>
      <c r="L953" s="64" t="str">
        <f>IF(A953="","",SUMIF(jr_num,A953,jr_val))</f>
        <v/>
      </c>
      <c r="M953" s="60" t="str">
        <f>IF(A953="","",IF(COUNTIFS(jr_num,A953,jr_check,"&lt;&gt;OK")&gt;0,"À vérifier",IF(LEFT(A953,2)="BL",IF(COUNTIFS(jr_num,A953,jr_rel,"&gt;0")&gt;0,"Reliquat en cours",IF(COUNTIFS(jr_num,A953,jr_gap,"&lt;0")&gt;0,"Reliquat livré","Complet")),IF(LEFT(A953,2)="BR",IF(COUNTIFS(jr_num,A953,jr_etat,"Refusé")&gt;0,"Refusé",IF(COUNTIFS(jr_num,A953,jr_etat,"Avec réserves")&gt;0,"Avec réserves",IF(COUNTIFS(jr_num,A953,jr_rel,"&gt;0")&gt;0,"Reliquat en cours",IF(COUNTIFS(jr_num,A953,jr_gap,"&lt;0")+COUNTIFS(jr_num,A953,jr_gap,"&gt;0")&gt;0,"Écart","Conforme")))),IF(COUNTIFS(jr_num,A953,jr_gap,"&lt;0")&gt;0,"Partiel","Sorti")))))</f>
        <v/>
      </c>
      <c r="O953" t="str">
        <f>IFERROR(MATCH(948,jr_grank,0),"")</f>
        <v/>
      </c>
      <c r="R953" s="67" t="str">
        <f>IFERROR(INDEX(jr_num,MATCH("BL948",jr_nkey,0))&amp;"","")</f>
        <v/>
      </c>
      <c r="S953" s="67" t="str">
        <f>IFERROR(INDEX(jr_num,MATCH("BR948",jr_nkey,0))&amp;"","")</f>
        <v/>
      </c>
      <c r="T953" s="67" t="str">
        <f>IFERROR(INDEX(jr_num,MATCH("BS948",jr_nkey,0))&amp;"","")</f>
        <v/>
      </c>
    </row>
    <row r="954">
      <c r="A954" s="60" t="str">
        <f>IF($O954="","",INDEX(jr_num,$O954)&amp;"")</f>
        <v/>
      </c>
      <c r="B954" s="60" t="str">
        <f>IF($O954="","",IF(INDEX(jr_type,$O954)="BL","Livraison",IF(INDEX(jr_type,$O954)="BR","Réception","Sortie")))</f>
        <v/>
      </c>
      <c r="C954" s="65" t="str">
        <f>IF($O954="","",INDEX(jr_date,$O954))</f>
        <v/>
      </c>
      <c r="D954" s="60" t="str">
        <f>IF($O954="","",INDEX(jr_tiers,$O954)&amp;"")</f>
        <v/>
      </c>
      <c r="E954" s="57" t="str">
        <f>IF($O954="","",INDEX(jr_name,$O954)&amp;"")</f>
        <v/>
      </c>
      <c r="F954" s="57" t="str">
        <f>IF($O954="","",INDEX(jr_order,$O954)&amp;"")</f>
        <v/>
      </c>
      <c r="G954" s="57" t="str">
        <f>IF($O954="","",INDEX(jr_ext,$O954)&amp;"")</f>
        <v/>
      </c>
      <c r="H954" s="57" t="str">
        <f>IF($O954="","",INDEX(jr_carrier,$O954)&amp;"")</f>
        <v/>
      </c>
      <c r="I954" s="66" t="str">
        <f>IF(A954="","",COUNTIF(jr_num,A954))</f>
        <v/>
      </c>
      <c r="J954" s="66" t="str">
        <f>IF(A954="","",SUMIF(jr_num,A954,jr_colis))</f>
        <v/>
      </c>
      <c r="K954" s="63" t="str">
        <f>IF(A954="","",SUMIF(jr_num,A954,jr_kg))</f>
        <v/>
      </c>
      <c r="L954" s="64" t="str">
        <f>IF(A954="","",SUMIF(jr_num,A954,jr_val))</f>
        <v/>
      </c>
      <c r="M954" s="60" t="str">
        <f>IF(A954="","",IF(COUNTIFS(jr_num,A954,jr_check,"&lt;&gt;OK")&gt;0,"À vérifier",IF(LEFT(A954,2)="BL",IF(COUNTIFS(jr_num,A954,jr_rel,"&gt;0")&gt;0,"Reliquat en cours",IF(COUNTIFS(jr_num,A954,jr_gap,"&lt;0")&gt;0,"Reliquat livré","Complet")),IF(LEFT(A954,2)="BR",IF(COUNTIFS(jr_num,A954,jr_etat,"Refusé")&gt;0,"Refusé",IF(COUNTIFS(jr_num,A954,jr_etat,"Avec réserves")&gt;0,"Avec réserves",IF(COUNTIFS(jr_num,A954,jr_rel,"&gt;0")&gt;0,"Reliquat en cours",IF(COUNTIFS(jr_num,A954,jr_gap,"&lt;0")+COUNTIFS(jr_num,A954,jr_gap,"&gt;0")&gt;0,"Écart","Conforme")))),IF(COUNTIFS(jr_num,A954,jr_gap,"&lt;0")&gt;0,"Partiel","Sorti")))))</f>
        <v/>
      </c>
      <c r="O954" t="str">
        <f>IFERROR(MATCH(949,jr_grank,0),"")</f>
        <v/>
      </c>
      <c r="R954" s="67" t="str">
        <f>IFERROR(INDEX(jr_num,MATCH("BL949",jr_nkey,0))&amp;"","")</f>
        <v/>
      </c>
      <c r="S954" s="67" t="str">
        <f>IFERROR(INDEX(jr_num,MATCH("BR949",jr_nkey,0))&amp;"","")</f>
        <v/>
      </c>
      <c r="T954" s="67" t="str">
        <f>IFERROR(INDEX(jr_num,MATCH("BS949",jr_nkey,0))&amp;"","")</f>
        <v/>
      </c>
    </row>
    <row r="955">
      <c r="A955" s="60" t="str">
        <f>IF($O955="","",INDEX(jr_num,$O955)&amp;"")</f>
        <v/>
      </c>
      <c r="B955" s="60" t="str">
        <f>IF($O955="","",IF(INDEX(jr_type,$O955)="BL","Livraison",IF(INDEX(jr_type,$O955)="BR","Réception","Sortie")))</f>
        <v/>
      </c>
      <c r="C955" s="65" t="str">
        <f>IF($O955="","",INDEX(jr_date,$O955))</f>
        <v/>
      </c>
      <c r="D955" s="60" t="str">
        <f>IF($O955="","",INDEX(jr_tiers,$O955)&amp;"")</f>
        <v/>
      </c>
      <c r="E955" s="57" t="str">
        <f>IF($O955="","",INDEX(jr_name,$O955)&amp;"")</f>
        <v/>
      </c>
      <c r="F955" s="57" t="str">
        <f>IF($O955="","",INDEX(jr_order,$O955)&amp;"")</f>
        <v/>
      </c>
      <c r="G955" s="57" t="str">
        <f>IF($O955="","",INDEX(jr_ext,$O955)&amp;"")</f>
        <v/>
      </c>
      <c r="H955" s="57" t="str">
        <f>IF($O955="","",INDEX(jr_carrier,$O955)&amp;"")</f>
        <v/>
      </c>
      <c r="I955" s="66" t="str">
        <f>IF(A955="","",COUNTIF(jr_num,A955))</f>
        <v/>
      </c>
      <c r="J955" s="66" t="str">
        <f>IF(A955="","",SUMIF(jr_num,A955,jr_colis))</f>
        <v/>
      </c>
      <c r="K955" s="63" t="str">
        <f>IF(A955="","",SUMIF(jr_num,A955,jr_kg))</f>
        <v/>
      </c>
      <c r="L955" s="64" t="str">
        <f>IF(A955="","",SUMIF(jr_num,A955,jr_val))</f>
        <v/>
      </c>
      <c r="M955" s="60" t="str">
        <f>IF(A955="","",IF(COUNTIFS(jr_num,A955,jr_check,"&lt;&gt;OK")&gt;0,"À vérifier",IF(LEFT(A955,2)="BL",IF(COUNTIFS(jr_num,A955,jr_rel,"&gt;0")&gt;0,"Reliquat en cours",IF(COUNTIFS(jr_num,A955,jr_gap,"&lt;0")&gt;0,"Reliquat livré","Complet")),IF(LEFT(A955,2)="BR",IF(COUNTIFS(jr_num,A955,jr_etat,"Refusé")&gt;0,"Refusé",IF(COUNTIFS(jr_num,A955,jr_etat,"Avec réserves")&gt;0,"Avec réserves",IF(COUNTIFS(jr_num,A955,jr_rel,"&gt;0")&gt;0,"Reliquat en cours",IF(COUNTIFS(jr_num,A955,jr_gap,"&lt;0")+COUNTIFS(jr_num,A955,jr_gap,"&gt;0")&gt;0,"Écart","Conforme")))),IF(COUNTIFS(jr_num,A955,jr_gap,"&lt;0")&gt;0,"Partiel","Sorti")))))</f>
        <v/>
      </c>
      <c r="O955" t="str">
        <f>IFERROR(MATCH(950,jr_grank,0),"")</f>
        <v/>
      </c>
      <c r="R955" s="67" t="str">
        <f>IFERROR(INDEX(jr_num,MATCH("BL950",jr_nkey,0))&amp;"","")</f>
        <v/>
      </c>
      <c r="S955" s="67" t="str">
        <f>IFERROR(INDEX(jr_num,MATCH("BR950",jr_nkey,0))&amp;"","")</f>
        <v/>
      </c>
      <c r="T955" s="67" t="str">
        <f>IFERROR(INDEX(jr_num,MATCH("BS950",jr_nkey,0))&amp;"","")</f>
        <v/>
      </c>
    </row>
    <row r="956">
      <c r="A956" s="60" t="str">
        <f>IF($O956="","",INDEX(jr_num,$O956)&amp;"")</f>
        <v/>
      </c>
      <c r="B956" s="60" t="str">
        <f>IF($O956="","",IF(INDEX(jr_type,$O956)="BL","Livraison",IF(INDEX(jr_type,$O956)="BR","Réception","Sortie")))</f>
        <v/>
      </c>
      <c r="C956" s="65" t="str">
        <f>IF($O956="","",INDEX(jr_date,$O956))</f>
        <v/>
      </c>
      <c r="D956" s="60" t="str">
        <f>IF($O956="","",INDEX(jr_tiers,$O956)&amp;"")</f>
        <v/>
      </c>
      <c r="E956" s="57" t="str">
        <f>IF($O956="","",INDEX(jr_name,$O956)&amp;"")</f>
        <v/>
      </c>
      <c r="F956" s="57" t="str">
        <f>IF($O956="","",INDEX(jr_order,$O956)&amp;"")</f>
        <v/>
      </c>
      <c r="G956" s="57" t="str">
        <f>IF($O956="","",INDEX(jr_ext,$O956)&amp;"")</f>
        <v/>
      </c>
      <c r="H956" s="57" t="str">
        <f>IF($O956="","",INDEX(jr_carrier,$O956)&amp;"")</f>
        <v/>
      </c>
      <c r="I956" s="66" t="str">
        <f>IF(A956="","",COUNTIF(jr_num,A956))</f>
        <v/>
      </c>
      <c r="J956" s="66" t="str">
        <f>IF(A956="","",SUMIF(jr_num,A956,jr_colis))</f>
        <v/>
      </c>
      <c r="K956" s="63" t="str">
        <f>IF(A956="","",SUMIF(jr_num,A956,jr_kg))</f>
        <v/>
      </c>
      <c r="L956" s="64" t="str">
        <f>IF(A956="","",SUMIF(jr_num,A956,jr_val))</f>
        <v/>
      </c>
      <c r="M956" s="60" t="str">
        <f>IF(A956="","",IF(COUNTIFS(jr_num,A956,jr_check,"&lt;&gt;OK")&gt;0,"À vérifier",IF(LEFT(A956,2)="BL",IF(COUNTIFS(jr_num,A956,jr_rel,"&gt;0")&gt;0,"Reliquat en cours",IF(COUNTIFS(jr_num,A956,jr_gap,"&lt;0")&gt;0,"Reliquat livré","Complet")),IF(LEFT(A956,2)="BR",IF(COUNTIFS(jr_num,A956,jr_etat,"Refusé")&gt;0,"Refusé",IF(COUNTIFS(jr_num,A956,jr_etat,"Avec réserves")&gt;0,"Avec réserves",IF(COUNTIFS(jr_num,A956,jr_rel,"&gt;0")&gt;0,"Reliquat en cours",IF(COUNTIFS(jr_num,A956,jr_gap,"&lt;0")+COUNTIFS(jr_num,A956,jr_gap,"&gt;0")&gt;0,"Écart","Conforme")))),IF(COUNTIFS(jr_num,A956,jr_gap,"&lt;0")&gt;0,"Partiel","Sorti")))))</f>
        <v/>
      </c>
      <c r="O956" t="str">
        <f>IFERROR(MATCH(951,jr_grank,0),"")</f>
        <v/>
      </c>
      <c r="R956" s="67" t="str">
        <f>IFERROR(INDEX(jr_num,MATCH("BL951",jr_nkey,0))&amp;"","")</f>
        <v/>
      </c>
      <c r="S956" s="67" t="str">
        <f>IFERROR(INDEX(jr_num,MATCH("BR951",jr_nkey,0))&amp;"","")</f>
        <v/>
      </c>
      <c r="T956" s="67" t="str">
        <f>IFERROR(INDEX(jr_num,MATCH("BS951",jr_nkey,0))&amp;"","")</f>
        <v/>
      </c>
    </row>
    <row r="957">
      <c r="A957" s="60" t="str">
        <f>IF($O957="","",INDEX(jr_num,$O957)&amp;"")</f>
        <v/>
      </c>
      <c r="B957" s="60" t="str">
        <f>IF($O957="","",IF(INDEX(jr_type,$O957)="BL","Livraison",IF(INDEX(jr_type,$O957)="BR","Réception","Sortie")))</f>
        <v/>
      </c>
      <c r="C957" s="65" t="str">
        <f>IF($O957="","",INDEX(jr_date,$O957))</f>
        <v/>
      </c>
      <c r="D957" s="60" t="str">
        <f>IF($O957="","",INDEX(jr_tiers,$O957)&amp;"")</f>
        <v/>
      </c>
      <c r="E957" s="57" t="str">
        <f>IF($O957="","",INDEX(jr_name,$O957)&amp;"")</f>
        <v/>
      </c>
      <c r="F957" s="57" t="str">
        <f>IF($O957="","",INDEX(jr_order,$O957)&amp;"")</f>
        <v/>
      </c>
      <c r="G957" s="57" t="str">
        <f>IF($O957="","",INDEX(jr_ext,$O957)&amp;"")</f>
        <v/>
      </c>
      <c r="H957" s="57" t="str">
        <f>IF($O957="","",INDEX(jr_carrier,$O957)&amp;"")</f>
        <v/>
      </c>
      <c r="I957" s="66" t="str">
        <f>IF(A957="","",COUNTIF(jr_num,A957))</f>
        <v/>
      </c>
      <c r="J957" s="66" t="str">
        <f>IF(A957="","",SUMIF(jr_num,A957,jr_colis))</f>
        <v/>
      </c>
      <c r="K957" s="63" t="str">
        <f>IF(A957="","",SUMIF(jr_num,A957,jr_kg))</f>
        <v/>
      </c>
      <c r="L957" s="64" t="str">
        <f>IF(A957="","",SUMIF(jr_num,A957,jr_val))</f>
        <v/>
      </c>
      <c r="M957" s="60" t="str">
        <f>IF(A957="","",IF(COUNTIFS(jr_num,A957,jr_check,"&lt;&gt;OK")&gt;0,"À vérifier",IF(LEFT(A957,2)="BL",IF(COUNTIFS(jr_num,A957,jr_rel,"&gt;0")&gt;0,"Reliquat en cours",IF(COUNTIFS(jr_num,A957,jr_gap,"&lt;0")&gt;0,"Reliquat livré","Complet")),IF(LEFT(A957,2)="BR",IF(COUNTIFS(jr_num,A957,jr_etat,"Refusé")&gt;0,"Refusé",IF(COUNTIFS(jr_num,A957,jr_etat,"Avec réserves")&gt;0,"Avec réserves",IF(COUNTIFS(jr_num,A957,jr_rel,"&gt;0")&gt;0,"Reliquat en cours",IF(COUNTIFS(jr_num,A957,jr_gap,"&lt;0")+COUNTIFS(jr_num,A957,jr_gap,"&gt;0")&gt;0,"Écart","Conforme")))),IF(COUNTIFS(jr_num,A957,jr_gap,"&lt;0")&gt;0,"Partiel","Sorti")))))</f>
        <v/>
      </c>
      <c r="O957" t="str">
        <f>IFERROR(MATCH(952,jr_grank,0),"")</f>
        <v/>
      </c>
      <c r="R957" s="67" t="str">
        <f>IFERROR(INDEX(jr_num,MATCH("BL952",jr_nkey,0))&amp;"","")</f>
        <v/>
      </c>
      <c r="S957" s="67" t="str">
        <f>IFERROR(INDEX(jr_num,MATCH("BR952",jr_nkey,0))&amp;"","")</f>
        <v/>
      </c>
      <c r="T957" s="67" t="str">
        <f>IFERROR(INDEX(jr_num,MATCH("BS952",jr_nkey,0))&amp;"","")</f>
        <v/>
      </c>
    </row>
    <row r="958">
      <c r="A958" s="60" t="str">
        <f>IF($O958="","",INDEX(jr_num,$O958)&amp;"")</f>
        <v/>
      </c>
      <c r="B958" s="60" t="str">
        <f>IF($O958="","",IF(INDEX(jr_type,$O958)="BL","Livraison",IF(INDEX(jr_type,$O958)="BR","Réception","Sortie")))</f>
        <v/>
      </c>
      <c r="C958" s="65" t="str">
        <f>IF($O958="","",INDEX(jr_date,$O958))</f>
        <v/>
      </c>
      <c r="D958" s="60" t="str">
        <f>IF($O958="","",INDEX(jr_tiers,$O958)&amp;"")</f>
        <v/>
      </c>
      <c r="E958" s="57" t="str">
        <f>IF($O958="","",INDEX(jr_name,$O958)&amp;"")</f>
        <v/>
      </c>
      <c r="F958" s="57" t="str">
        <f>IF($O958="","",INDEX(jr_order,$O958)&amp;"")</f>
        <v/>
      </c>
      <c r="G958" s="57" t="str">
        <f>IF($O958="","",INDEX(jr_ext,$O958)&amp;"")</f>
        <v/>
      </c>
      <c r="H958" s="57" t="str">
        <f>IF($O958="","",INDEX(jr_carrier,$O958)&amp;"")</f>
        <v/>
      </c>
      <c r="I958" s="66" t="str">
        <f>IF(A958="","",COUNTIF(jr_num,A958))</f>
        <v/>
      </c>
      <c r="J958" s="66" t="str">
        <f>IF(A958="","",SUMIF(jr_num,A958,jr_colis))</f>
        <v/>
      </c>
      <c r="K958" s="63" t="str">
        <f>IF(A958="","",SUMIF(jr_num,A958,jr_kg))</f>
        <v/>
      </c>
      <c r="L958" s="64" t="str">
        <f>IF(A958="","",SUMIF(jr_num,A958,jr_val))</f>
        <v/>
      </c>
      <c r="M958" s="60" t="str">
        <f>IF(A958="","",IF(COUNTIFS(jr_num,A958,jr_check,"&lt;&gt;OK")&gt;0,"À vérifier",IF(LEFT(A958,2)="BL",IF(COUNTIFS(jr_num,A958,jr_rel,"&gt;0")&gt;0,"Reliquat en cours",IF(COUNTIFS(jr_num,A958,jr_gap,"&lt;0")&gt;0,"Reliquat livré","Complet")),IF(LEFT(A958,2)="BR",IF(COUNTIFS(jr_num,A958,jr_etat,"Refusé")&gt;0,"Refusé",IF(COUNTIFS(jr_num,A958,jr_etat,"Avec réserves")&gt;0,"Avec réserves",IF(COUNTIFS(jr_num,A958,jr_rel,"&gt;0")&gt;0,"Reliquat en cours",IF(COUNTIFS(jr_num,A958,jr_gap,"&lt;0")+COUNTIFS(jr_num,A958,jr_gap,"&gt;0")&gt;0,"Écart","Conforme")))),IF(COUNTIFS(jr_num,A958,jr_gap,"&lt;0")&gt;0,"Partiel","Sorti")))))</f>
        <v/>
      </c>
      <c r="O958" t="str">
        <f>IFERROR(MATCH(953,jr_grank,0),"")</f>
        <v/>
      </c>
      <c r="R958" s="67" t="str">
        <f>IFERROR(INDEX(jr_num,MATCH("BL953",jr_nkey,0))&amp;"","")</f>
        <v/>
      </c>
      <c r="S958" s="67" t="str">
        <f>IFERROR(INDEX(jr_num,MATCH("BR953",jr_nkey,0))&amp;"","")</f>
        <v/>
      </c>
      <c r="T958" s="67" t="str">
        <f>IFERROR(INDEX(jr_num,MATCH("BS953",jr_nkey,0))&amp;"","")</f>
        <v/>
      </c>
    </row>
    <row r="959">
      <c r="A959" s="60" t="str">
        <f>IF($O959="","",INDEX(jr_num,$O959)&amp;"")</f>
        <v/>
      </c>
      <c r="B959" s="60" t="str">
        <f>IF($O959="","",IF(INDEX(jr_type,$O959)="BL","Livraison",IF(INDEX(jr_type,$O959)="BR","Réception","Sortie")))</f>
        <v/>
      </c>
      <c r="C959" s="65" t="str">
        <f>IF($O959="","",INDEX(jr_date,$O959))</f>
        <v/>
      </c>
      <c r="D959" s="60" t="str">
        <f>IF($O959="","",INDEX(jr_tiers,$O959)&amp;"")</f>
        <v/>
      </c>
      <c r="E959" s="57" t="str">
        <f>IF($O959="","",INDEX(jr_name,$O959)&amp;"")</f>
        <v/>
      </c>
      <c r="F959" s="57" t="str">
        <f>IF($O959="","",INDEX(jr_order,$O959)&amp;"")</f>
        <v/>
      </c>
      <c r="G959" s="57" t="str">
        <f>IF($O959="","",INDEX(jr_ext,$O959)&amp;"")</f>
        <v/>
      </c>
      <c r="H959" s="57" t="str">
        <f>IF($O959="","",INDEX(jr_carrier,$O959)&amp;"")</f>
        <v/>
      </c>
      <c r="I959" s="66" t="str">
        <f>IF(A959="","",COUNTIF(jr_num,A959))</f>
        <v/>
      </c>
      <c r="J959" s="66" t="str">
        <f>IF(A959="","",SUMIF(jr_num,A959,jr_colis))</f>
        <v/>
      </c>
      <c r="K959" s="63" t="str">
        <f>IF(A959="","",SUMIF(jr_num,A959,jr_kg))</f>
        <v/>
      </c>
      <c r="L959" s="64" t="str">
        <f>IF(A959="","",SUMIF(jr_num,A959,jr_val))</f>
        <v/>
      </c>
      <c r="M959" s="60" t="str">
        <f>IF(A959="","",IF(COUNTIFS(jr_num,A959,jr_check,"&lt;&gt;OK")&gt;0,"À vérifier",IF(LEFT(A959,2)="BL",IF(COUNTIFS(jr_num,A959,jr_rel,"&gt;0")&gt;0,"Reliquat en cours",IF(COUNTIFS(jr_num,A959,jr_gap,"&lt;0")&gt;0,"Reliquat livré","Complet")),IF(LEFT(A959,2)="BR",IF(COUNTIFS(jr_num,A959,jr_etat,"Refusé")&gt;0,"Refusé",IF(COUNTIFS(jr_num,A959,jr_etat,"Avec réserves")&gt;0,"Avec réserves",IF(COUNTIFS(jr_num,A959,jr_rel,"&gt;0")&gt;0,"Reliquat en cours",IF(COUNTIFS(jr_num,A959,jr_gap,"&lt;0")+COUNTIFS(jr_num,A959,jr_gap,"&gt;0")&gt;0,"Écart","Conforme")))),IF(COUNTIFS(jr_num,A959,jr_gap,"&lt;0")&gt;0,"Partiel","Sorti")))))</f>
        <v/>
      </c>
      <c r="O959" t="str">
        <f>IFERROR(MATCH(954,jr_grank,0),"")</f>
        <v/>
      </c>
      <c r="R959" s="67" t="str">
        <f>IFERROR(INDEX(jr_num,MATCH("BL954",jr_nkey,0))&amp;"","")</f>
        <v/>
      </c>
      <c r="S959" s="67" t="str">
        <f>IFERROR(INDEX(jr_num,MATCH("BR954",jr_nkey,0))&amp;"","")</f>
        <v/>
      </c>
      <c r="T959" s="67" t="str">
        <f>IFERROR(INDEX(jr_num,MATCH("BS954",jr_nkey,0))&amp;"","")</f>
        <v/>
      </c>
    </row>
    <row r="960">
      <c r="A960" s="60" t="str">
        <f>IF($O960="","",INDEX(jr_num,$O960)&amp;"")</f>
        <v/>
      </c>
      <c r="B960" s="60" t="str">
        <f>IF($O960="","",IF(INDEX(jr_type,$O960)="BL","Livraison",IF(INDEX(jr_type,$O960)="BR","Réception","Sortie")))</f>
        <v/>
      </c>
      <c r="C960" s="65" t="str">
        <f>IF($O960="","",INDEX(jr_date,$O960))</f>
        <v/>
      </c>
      <c r="D960" s="60" t="str">
        <f>IF($O960="","",INDEX(jr_tiers,$O960)&amp;"")</f>
        <v/>
      </c>
      <c r="E960" s="57" t="str">
        <f>IF($O960="","",INDEX(jr_name,$O960)&amp;"")</f>
        <v/>
      </c>
      <c r="F960" s="57" t="str">
        <f>IF($O960="","",INDEX(jr_order,$O960)&amp;"")</f>
        <v/>
      </c>
      <c r="G960" s="57" t="str">
        <f>IF($O960="","",INDEX(jr_ext,$O960)&amp;"")</f>
        <v/>
      </c>
      <c r="H960" s="57" t="str">
        <f>IF($O960="","",INDEX(jr_carrier,$O960)&amp;"")</f>
        <v/>
      </c>
      <c r="I960" s="66" t="str">
        <f>IF(A960="","",COUNTIF(jr_num,A960))</f>
        <v/>
      </c>
      <c r="J960" s="66" t="str">
        <f>IF(A960="","",SUMIF(jr_num,A960,jr_colis))</f>
        <v/>
      </c>
      <c r="K960" s="63" t="str">
        <f>IF(A960="","",SUMIF(jr_num,A960,jr_kg))</f>
        <v/>
      </c>
      <c r="L960" s="64" t="str">
        <f>IF(A960="","",SUMIF(jr_num,A960,jr_val))</f>
        <v/>
      </c>
      <c r="M960" s="60" t="str">
        <f>IF(A960="","",IF(COUNTIFS(jr_num,A960,jr_check,"&lt;&gt;OK")&gt;0,"À vérifier",IF(LEFT(A960,2)="BL",IF(COUNTIFS(jr_num,A960,jr_rel,"&gt;0")&gt;0,"Reliquat en cours",IF(COUNTIFS(jr_num,A960,jr_gap,"&lt;0")&gt;0,"Reliquat livré","Complet")),IF(LEFT(A960,2)="BR",IF(COUNTIFS(jr_num,A960,jr_etat,"Refusé")&gt;0,"Refusé",IF(COUNTIFS(jr_num,A960,jr_etat,"Avec réserves")&gt;0,"Avec réserves",IF(COUNTIFS(jr_num,A960,jr_rel,"&gt;0")&gt;0,"Reliquat en cours",IF(COUNTIFS(jr_num,A960,jr_gap,"&lt;0")+COUNTIFS(jr_num,A960,jr_gap,"&gt;0")&gt;0,"Écart","Conforme")))),IF(COUNTIFS(jr_num,A960,jr_gap,"&lt;0")&gt;0,"Partiel","Sorti")))))</f>
        <v/>
      </c>
      <c r="O960" t="str">
        <f>IFERROR(MATCH(955,jr_grank,0),"")</f>
        <v/>
      </c>
      <c r="R960" s="67" t="str">
        <f>IFERROR(INDEX(jr_num,MATCH("BL955",jr_nkey,0))&amp;"","")</f>
        <v/>
      </c>
      <c r="S960" s="67" t="str">
        <f>IFERROR(INDEX(jr_num,MATCH("BR955",jr_nkey,0))&amp;"","")</f>
        <v/>
      </c>
      <c r="T960" s="67" t="str">
        <f>IFERROR(INDEX(jr_num,MATCH("BS955",jr_nkey,0))&amp;"","")</f>
        <v/>
      </c>
    </row>
    <row r="961">
      <c r="A961" s="60" t="str">
        <f>IF($O961="","",INDEX(jr_num,$O961)&amp;"")</f>
        <v/>
      </c>
      <c r="B961" s="60" t="str">
        <f>IF($O961="","",IF(INDEX(jr_type,$O961)="BL","Livraison",IF(INDEX(jr_type,$O961)="BR","Réception","Sortie")))</f>
        <v/>
      </c>
      <c r="C961" s="65" t="str">
        <f>IF($O961="","",INDEX(jr_date,$O961))</f>
        <v/>
      </c>
      <c r="D961" s="60" t="str">
        <f>IF($O961="","",INDEX(jr_tiers,$O961)&amp;"")</f>
        <v/>
      </c>
      <c r="E961" s="57" t="str">
        <f>IF($O961="","",INDEX(jr_name,$O961)&amp;"")</f>
        <v/>
      </c>
      <c r="F961" s="57" t="str">
        <f>IF($O961="","",INDEX(jr_order,$O961)&amp;"")</f>
        <v/>
      </c>
      <c r="G961" s="57" t="str">
        <f>IF($O961="","",INDEX(jr_ext,$O961)&amp;"")</f>
        <v/>
      </c>
      <c r="H961" s="57" t="str">
        <f>IF($O961="","",INDEX(jr_carrier,$O961)&amp;"")</f>
        <v/>
      </c>
      <c r="I961" s="66" t="str">
        <f>IF(A961="","",COUNTIF(jr_num,A961))</f>
        <v/>
      </c>
      <c r="J961" s="66" t="str">
        <f>IF(A961="","",SUMIF(jr_num,A961,jr_colis))</f>
        <v/>
      </c>
      <c r="K961" s="63" t="str">
        <f>IF(A961="","",SUMIF(jr_num,A961,jr_kg))</f>
        <v/>
      </c>
      <c r="L961" s="64" t="str">
        <f>IF(A961="","",SUMIF(jr_num,A961,jr_val))</f>
        <v/>
      </c>
      <c r="M961" s="60" t="str">
        <f>IF(A961="","",IF(COUNTIFS(jr_num,A961,jr_check,"&lt;&gt;OK")&gt;0,"À vérifier",IF(LEFT(A961,2)="BL",IF(COUNTIFS(jr_num,A961,jr_rel,"&gt;0")&gt;0,"Reliquat en cours",IF(COUNTIFS(jr_num,A961,jr_gap,"&lt;0")&gt;0,"Reliquat livré","Complet")),IF(LEFT(A961,2)="BR",IF(COUNTIFS(jr_num,A961,jr_etat,"Refusé")&gt;0,"Refusé",IF(COUNTIFS(jr_num,A961,jr_etat,"Avec réserves")&gt;0,"Avec réserves",IF(COUNTIFS(jr_num,A961,jr_rel,"&gt;0")&gt;0,"Reliquat en cours",IF(COUNTIFS(jr_num,A961,jr_gap,"&lt;0")+COUNTIFS(jr_num,A961,jr_gap,"&gt;0")&gt;0,"Écart","Conforme")))),IF(COUNTIFS(jr_num,A961,jr_gap,"&lt;0")&gt;0,"Partiel","Sorti")))))</f>
        <v/>
      </c>
      <c r="O961" t="str">
        <f>IFERROR(MATCH(956,jr_grank,0),"")</f>
        <v/>
      </c>
      <c r="R961" s="67" t="str">
        <f>IFERROR(INDEX(jr_num,MATCH("BL956",jr_nkey,0))&amp;"","")</f>
        <v/>
      </c>
      <c r="S961" s="67" t="str">
        <f>IFERROR(INDEX(jr_num,MATCH("BR956",jr_nkey,0))&amp;"","")</f>
        <v/>
      </c>
      <c r="T961" s="67" t="str">
        <f>IFERROR(INDEX(jr_num,MATCH("BS956",jr_nkey,0))&amp;"","")</f>
        <v/>
      </c>
    </row>
    <row r="962">
      <c r="A962" s="60" t="str">
        <f>IF($O962="","",INDEX(jr_num,$O962)&amp;"")</f>
        <v/>
      </c>
      <c r="B962" s="60" t="str">
        <f>IF($O962="","",IF(INDEX(jr_type,$O962)="BL","Livraison",IF(INDEX(jr_type,$O962)="BR","Réception","Sortie")))</f>
        <v/>
      </c>
      <c r="C962" s="65" t="str">
        <f>IF($O962="","",INDEX(jr_date,$O962))</f>
        <v/>
      </c>
      <c r="D962" s="60" t="str">
        <f>IF($O962="","",INDEX(jr_tiers,$O962)&amp;"")</f>
        <v/>
      </c>
      <c r="E962" s="57" t="str">
        <f>IF($O962="","",INDEX(jr_name,$O962)&amp;"")</f>
        <v/>
      </c>
      <c r="F962" s="57" t="str">
        <f>IF($O962="","",INDEX(jr_order,$O962)&amp;"")</f>
        <v/>
      </c>
      <c r="G962" s="57" t="str">
        <f>IF($O962="","",INDEX(jr_ext,$O962)&amp;"")</f>
        <v/>
      </c>
      <c r="H962" s="57" t="str">
        <f>IF($O962="","",INDEX(jr_carrier,$O962)&amp;"")</f>
        <v/>
      </c>
      <c r="I962" s="66" t="str">
        <f>IF(A962="","",COUNTIF(jr_num,A962))</f>
        <v/>
      </c>
      <c r="J962" s="66" t="str">
        <f>IF(A962="","",SUMIF(jr_num,A962,jr_colis))</f>
        <v/>
      </c>
      <c r="K962" s="63" t="str">
        <f>IF(A962="","",SUMIF(jr_num,A962,jr_kg))</f>
        <v/>
      </c>
      <c r="L962" s="64" t="str">
        <f>IF(A962="","",SUMIF(jr_num,A962,jr_val))</f>
        <v/>
      </c>
      <c r="M962" s="60" t="str">
        <f>IF(A962="","",IF(COUNTIFS(jr_num,A962,jr_check,"&lt;&gt;OK")&gt;0,"À vérifier",IF(LEFT(A962,2)="BL",IF(COUNTIFS(jr_num,A962,jr_rel,"&gt;0")&gt;0,"Reliquat en cours",IF(COUNTIFS(jr_num,A962,jr_gap,"&lt;0")&gt;0,"Reliquat livré","Complet")),IF(LEFT(A962,2)="BR",IF(COUNTIFS(jr_num,A962,jr_etat,"Refusé")&gt;0,"Refusé",IF(COUNTIFS(jr_num,A962,jr_etat,"Avec réserves")&gt;0,"Avec réserves",IF(COUNTIFS(jr_num,A962,jr_rel,"&gt;0")&gt;0,"Reliquat en cours",IF(COUNTIFS(jr_num,A962,jr_gap,"&lt;0")+COUNTIFS(jr_num,A962,jr_gap,"&gt;0")&gt;0,"Écart","Conforme")))),IF(COUNTIFS(jr_num,A962,jr_gap,"&lt;0")&gt;0,"Partiel","Sorti")))))</f>
        <v/>
      </c>
      <c r="O962" t="str">
        <f>IFERROR(MATCH(957,jr_grank,0),"")</f>
        <v/>
      </c>
      <c r="R962" s="67" t="str">
        <f>IFERROR(INDEX(jr_num,MATCH("BL957",jr_nkey,0))&amp;"","")</f>
        <v/>
      </c>
      <c r="S962" s="67" t="str">
        <f>IFERROR(INDEX(jr_num,MATCH("BR957",jr_nkey,0))&amp;"","")</f>
        <v/>
      </c>
      <c r="T962" s="67" t="str">
        <f>IFERROR(INDEX(jr_num,MATCH("BS957",jr_nkey,0))&amp;"","")</f>
        <v/>
      </c>
    </row>
    <row r="963">
      <c r="A963" s="60" t="str">
        <f>IF($O963="","",INDEX(jr_num,$O963)&amp;"")</f>
        <v/>
      </c>
      <c r="B963" s="60" t="str">
        <f>IF($O963="","",IF(INDEX(jr_type,$O963)="BL","Livraison",IF(INDEX(jr_type,$O963)="BR","Réception","Sortie")))</f>
        <v/>
      </c>
      <c r="C963" s="65" t="str">
        <f>IF($O963="","",INDEX(jr_date,$O963))</f>
        <v/>
      </c>
      <c r="D963" s="60" t="str">
        <f>IF($O963="","",INDEX(jr_tiers,$O963)&amp;"")</f>
        <v/>
      </c>
      <c r="E963" s="57" t="str">
        <f>IF($O963="","",INDEX(jr_name,$O963)&amp;"")</f>
        <v/>
      </c>
      <c r="F963" s="57" t="str">
        <f>IF($O963="","",INDEX(jr_order,$O963)&amp;"")</f>
        <v/>
      </c>
      <c r="G963" s="57" t="str">
        <f>IF($O963="","",INDEX(jr_ext,$O963)&amp;"")</f>
        <v/>
      </c>
      <c r="H963" s="57" t="str">
        <f>IF($O963="","",INDEX(jr_carrier,$O963)&amp;"")</f>
        <v/>
      </c>
      <c r="I963" s="66" t="str">
        <f>IF(A963="","",COUNTIF(jr_num,A963))</f>
        <v/>
      </c>
      <c r="J963" s="66" t="str">
        <f>IF(A963="","",SUMIF(jr_num,A963,jr_colis))</f>
        <v/>
      </c>
      <c r="K963" s="63" t="str">
        <f>IF(A963="","",SUMIF(jr_num,A963,jr_kg))</f>
        <v/>
      </c>
      <c r="L963" s="64" t="str">
        <f>IF(A963="","",SUMIF(jr_num,A963,jr_val))</f>
        <v/>
      </c>
      <c r="M963" s="60" t="str">
        <f>IF(A963="","",IF(COUNTIFS(jr_num,A963,jr_check,"&lt;&gt;OK")&gt;0,"À vérifier",IF(LEFT(A963,2)="BL",IF(COUNTIFS(jr_num,A963,jr_rel,"&gt;0")&gt;0,"Reliquat en cours",IF(COUNTIFS(jr_num,A963,jr_gap,"&lt;0")&gt;0,"Reliquat livré","Complet")),IF(LEFT(A963,2)="BR",IF(COUNTIFS(jr_num,A963,jr_etat,"Refusé")&gt;0,"Refusé",IF(COUNTIFS(jr_num,A963,jr_etat,"Avec réserves")&gt;0,"Avec réserves",IF(COUNTIFS(jr_num,A963,jr_rel,"&gt;0")&gt;0,"Reliquat en cours",IF(COUNTIFS(jr_num,A963,jr_gap,"&lt;0")+COUNTIFS(jr_num,A963,jr_gap,"&gt;0")&gt;0,"Écart","Conforme")))),IF(COUNTIFS(jr_num,A963,jr_gap,"&lt;0")&gt;0,"Partiel","Sorti")))))</f>
        <v/>
      </c>
      <c r="O963" t="str">
        <f>IFERROR(MATCH(958,jr_grank,0),"")</f>
        <v/>
      </c>
      <c r="R963" s="67" t="str">
        <f>IFERROR(INDEX(jr_num,MATCH("BL958",jr_nkey,0))&amp;"","")</f>
        <v/>
      </c>
      <c r="S963" s="67" t="str">
        <f>IFERROR(INDEX(jr_num,MATCH("BR958",jr_nkey,0))&amp;"","")</f>
        <v/>
      </c>
      <c r="T963" s="67" t="str">
        <f>IFERROR(INDEX(jr_num,MATCH("BS958",jr_nkey,0))&amp;"","")</f>
        <v/>
      </c>
    </row>
    <row r="964">
      <c r="A964" s="60" t="str">
        <f>IF($O964="","",INDEX(jr_num,$O964)&amp;"")</f>
        <v/>
      </c>
      <c r="B964" s="60" t="str">
        <f>IF($O964="","",IF(INDEX(jr_type,$O964)="BL","Livraison",IF(INDEX(jr_type,$O964)="BR","Réception","Sortie")))</f>
        <v/>
      </c>
      <c r="C964" s="65" t="str">
        <f>IF($O964="","",INDEX(jr_date,$O964))</f>
        <v/>
      </c>
      <c r="D964" s="60" t="str">
        <f>IF($O964="","",INDEX(jr_tiers,$O964)&amp;"")</f>
        <v/>
      </c>
      <c r="E964" s="57" t="str">
        <f>IF($O964="","",INDEX(jr_name,$O964)&amp;"")</f>
        <v/>
      </c>
      <c r="F964" s="57" t="str">
        <f>IF($O964="","",INDEX(jr_order,$O964)&amp;"")</f>
        <v/>
      </c>
      <c r="G964" s="57" t="str">
        <f>IF($O964="","",INDEX(jr_ext,$O964)&amp;"")</f>
        <v/>
      </c>
      <c r="H964" s="57" t="str">
        <f>IF($O964="","",INDEX(jr_carrier,$O964)&amp;"")</f>
        <v/>
      </c>
      <c r="I964" s="66" t="str">
        <f>IF(A964="","",COUNTIF(jr_num,A964))</f>
        <v/>
      </c>
      <c r="J964" s="66" t="str">
        <f>IF(A964="","",SUMIF(jr_num,A964,jr_colis))</f>
        <v/>
      </c>
      <c r="K964" s="63" t="str">
        <f>IF(A964="","",SUMIF(jr_num,A964,jr_kg))</f>
        <v/>
      </c>
      <c r="L964" s="64" t="str">
        <f>IF(A964="","",SUMIF(jr_num,A964,jr_val))</f>
        <v/>
      </c>
      <c r="M964" s="60" t="str">
        <f>IF(A964="","",IF(COUNTIFS(jr_num,A964,jr_check,"&lt;&gt;OK")&gt;0,"À vérifier",IF(LEFT(A964,2)="BL",IF(COUNTIFS(jr_num,A964,jr_rel,"&gt;0")&gt;0,"Reliquat en cours",IF(COUNTIFS(jr_num,A964,jr_gap,"&lt;0")&gt;0,"Reliquat livré","Complet")),IF(LEFT(A964,2)="BR",IF(COUNTIFS(jr_num,A964,jr_etat,"Refusé")&gt;0,"Refusé",IF(COUNTIFS(jr_num,A964,jr_etat,"Avec réserves")&gt;0,"Avec réserves",IF(COUNTIFS(jr_num,A964,jr_rel,"&gt;0")&gt;0,"Reliquat en cours",IF(COUNTIFS(jr_num,A964,jr_gap,"&lt;0")+COUNTIFS(jr_num,A964,jr_gap,"&gt;0")&gt;0,"Écart","Conforme")))),IF(COUNTIFS(jr_num,A964,jr_gap,"&lt;0")&gt;0,"Partiel","Sorti")))))</f>
        <v/>
      </c>
      <c r="O964" t="str">
        <f>IFERROR(MATCH(959,jr_grank,0),"")</f>
        <v/>
      </c>
      <c r="R964" s="67" t="str">
        <f>IFERROR(INDEX(jr_num,MATCH("BL959",jr_nkey,0))&amp;"","")</f>
        <v/>
      </c>
      <c r="S964" s="67" t="str">
        <f>IFERROR(INDEX(jr_num,MATCH("BR959",jr_nkey,0))&amp;"","")</f>
        <v/>
      </c>
      <c r="T964" s="67" t="str">
        <f>IFERROR(INDEX(jr_num,MATCH("BS959",jr_nkey,0))&amp;"","")</f>
        <v/>
      </c>
    </row>
    <row r="965">
      <c r="A965" s="60" t="str">
        <f>IF($O965="","",INDEX(jr_num,$O965)&amp;"")</f>
        <v/>
      </c>
      <c r="B965" s="60" t="str">
        <f>IF($O965="","",IF(INDEX(jr_type,$O965)="BL","Livraison",IF(INDEX(jr_type,$O965)="BR","Réception","Sortie")))</f>
        <v/>
      </c>
      <c r="C965" s="65" t="str">
        <f>IF($O965="","",INDEX(jr_date,$O965))</f>
        <v/>
      </c>
      <c r="D965" s="60" t="str">
        <f>IF($O965="","",INDEX(jr_tiers,$O965)&amp;"")</f>
        <v/>
      </c>
      <c r="E965" s="57" t="str">
        <f>IF($O965="","",INDEX(jr_name,$O965)&amp;"")</f>
        <v/>
      </c>
      <c r="F965" s="57" t="str">
        <f>IF($O965="","",INDEX(jr_order,$O965)&amp;"")</f>
        <v/>
      </c>
      <c r="G965" s="57" t="str">
        <f>IF($O965="","",INDEX(jr_ext,$O965)&amp;"")</f>
        <v/>
      </c>
      <c r="H965" s="57" t="str">
        <f>IF($O965="","",INDEX(jr_carrier,$O965)&amp;"")</f>
        <v/>
      </c>
      <c r="I965" s="66" t="str">
        <f>IF(A965="","",COUNTIF(jr_num,A965))</f>
        <v/>
      </c>
      <c r="J965" s="66" t="str">
        <f>IF(A965="","",SUMIF(jr_num,A965,jr_colis))</f>
        <v/>
      </c>
      <c r="K965" s="63" t="str">
        <f>IF(A965="","",SUMIF(jr_num,A965,jr_kg))</f>
        <v/>
      </c>
      <c r="L965" s="64" t="str">
        <f>IF(A965="","",SUMIF(jr_num,A965,jr_val))</f>
        <v/>
      </c>
      <c r="M965" s="60" t="str">
        <f>IF(A965="","",IF(COUNTIFS(jr_num,A965,jr_check,"&lt;&gt;OK")&gt;0,"À vérifier",IF(LEFT(A965,2)="BL",IF(COUNTIFS(jr_num,A965,jr_rel,"&gt;0")&gt;0,"Reliquat en cours",IF(COUNTIFS(jr_num,A965,jr_gap,"&lt;0")&gt;0,"Reliquat livré","Complet")),IF(LEFT(A965,2)="BR",IF(COUNTIFS(jr_num,A965,jr_etat,"Refusé")&gt;0,"Refusé",IF(COUNTIFS(jr_num,A965,jr_etat,"Avec réserves")&gt;0,"Avec réserves",IF(COUNTIFS(jr_num,A965,jr_rel,"&gt;0")&gt;0,"Reliquat en cours",IF(COUNTIFS(jr_num,A965,jr_gap,"&lt;0")+COUNTIFS(jr_num,A965,jr_gap,"&gt;0")&gt;0,"Écart","Conforme")))),IF(COUNTIFS(jr_num,A965,jr_gap,"&lt;0")&gt;0,"Partiel","Sorti")))))</f>
        <v/>
      </c>
      <c r="O965" t="str">
        <f>IFERROR(MATCH(960,jr_grank,0),"")</f>
        <v/>
      </c>
      <c r="R965" s="67" t="str">
        <f>IFERROR(INDEX(jr_num,MATCH("BL960",jr_nkey,0))&amp;"","")</f>
        <v/>
      </c>
      <c r="S965" s="67" t="str">
        <f>IFERROR(INDEX(jr_num,MATCH("BR960",jr_nkey,0))&amp;"","")</f>
        <v/>
      </c>
      <c r="T965" s="67" t="str">
        <f>IFERROR(INDEX(jr_num,MATCH("BS960",jr_nkey,0))&amp;"","")</f>
        <v/>
      </c>
    </row>
    <row r="966">
      <c r="A966" s="60" t="str">
        <f>IF($O966="","",INDEX(jr_num,$O966)&amp;"")</f>
        <v/>
      </c>
      <c r="B966" s="60" t="str">
        <f>IF($O966="","",IF(INDEX(jr_type,$O966)="BL","Livraison",IF(INDEX(jr_type,$O966)="BR","Réception","Sortie")))</f>
        <v/>
      </c>
      <c r="C966" s="65" t="str">
        <f>IF($O966="","",INDEX(jr_date,$O966))</f>
        <v/>
      </c>
      <c r="D966" s="60" t="str">
        <f>IF($O966="","",INDEX(jr_tiers,$O966)&amp;"")</f>
        <v/>
      </c>
      <c r="E966" s="57" t="str">
        <f>IF($O966="","",INDEX(jr_name,$O966)&amp;"")</f>
        <v/>
      </c>
      <c r="F966" s="57" t="str">
        <f>IF($O966="","",INDEX(jr_order,$O966)&amp;"")</f>
        <v/>
      </c>
      <c r="G966" s="57" t="str">
        <f>IF($O966="","",INDEX(jr_ext,$O966)&amp;"")</f>
        <v/>
      </c>
      <c r="H966" s="57" t="str">
        <f>IF($O966="","",INDEX(jr_carrier,$O966)&amp;"")</f>
        <v/>
      </c>
      <c r="I966" s="66" t="str">
        <f>IF(A966="","",COUNTIF(jr_num,A966))</f>
        <v/>
      </c>
      <c r="J966" s="66" t="str">
        <f>IF(A966="","",SUMIF(jr_num,A966,jr_colis))</f>
        <v/>
      </c>
      <c r="K966" s="63" t="str">
        <f>IF(A966="","",SUMIF(jr_num,A966,jr_kg))</f>
        <v/>
      </c>
      <c r="L966" s="64" t="str">
        <f>IF(A966="","",SUMIF(jr_num,A966,jr_val))</f>
        <v/>
      </c>
      <c r="M966" s="60" t="str">
        <f>IF(A966="","",IF(COUNTIFS(jr_num,A966,jr_check,"&lt;&gt;OK")&gt;0,"À vérifier",IF(LEFT(A966,2)="BL",IF(COUNTIFS(jr_num,A966,jr_rel,"&gt;0")&gt;0,"Reliquat en cours",IF(COUNTIFS(jr_num,A966,jr_gap,"&lt;0")&gt;0,"Reliquat livré","Complet")),IF(LEFT(A966,2)="BR",IF(COUNTIFS(jr_num,A966,jr_etat,"Refusé")&gt;0,"Refusé",IF(COUNTIFS(jr_num,A966,jr_etat,"Avec réserves")&gt;0,"Avec réserves",IF(COUNTIFS(jr_num,A966,jr_rel,"&gt;0")&gt;0,"Reliquat en cours",IF(COUNTIFS(jr_num,A966,jr_gap,"&lt;0")+COUNTIFS(jr_num,A966,jr_gap,"&gt;0")&gt;0,"Écart","Conforme")))),IF(COUNTIFS(jr_num,A966,jr_gap,"&lt;0")&gt;0,"Partiel","Sorti")))))</f>
        <v/>
      </c>
      <c r="O966" t="str">
        <f>IFERROR(MATCH(961,jr_grank,0),"")</f>
        <v/>
      </c>
      <c r="R966" s="67" t="str">
        <f>IFERROR(INDEX(jr_num,MATCH("BL961",jr_nkey,0))&amp;"","")</f>
        <v/>
      </c>
      <c r="S966" s="67" t="str">
        <f>IFERROR(INDEX(jr_num,MATCH("BR961",jr_nkey,0))&amp;"","")</f>
        <v/>
      </c>
      <c r="T966" s="67" t="str">
        <f>IFERROR(INDEX(jr_num,MATCH("BS961",jr_nkey,0))&amp;"","")</f>
        <v/>
      </c>
    </row>
    <row r="967">
      <c r="A967" s="60" t="str">
        <f>IF($O967="","",INDEX(jr_num,$O967)&amp;"")</f>
        <v/>
      </c>
      <c r="B967" s="60" t="str">
        <f>IF($O967="","",IF(INDEX(jr_type,$O967)="BL","Livraison",IF(INDEX(jr_type,$O967)="BR","Réception","Sortie")))</f>
        <v/>
      </c>
      <c r="C967" s="65" t="str">
        <f>IF($O967="","",INDEX(jr_date,$O967))</f>
        <v/>
      </c>
      <c r="D967" s="60" t="str">
        <f>IF($O967="","",INDEX(jr_tiers,$O967)&amp;"")</f>
        <v/>
      </c>
      <c r="E967" s="57" t="str">
        <f>IF($O967="","",INDEX(jr_name,$O967)&amp;"")</f>
        <v/>
      </c>
      <c r="F967" s="57" t="str">
        <f>IF($O967="","",INDEX(jr_order,$O967)&amp;"")</f>
        <v/>
      </c>
      <c r="G967" s="57" t="str">
        <f>IF($O967="","",INDEX(jr_ext,$O967)&amp;"")</f>
        <v/>
      </c>
      <c r="H967" s="57" t="str">
        <f>IF($O967="","",INDEX(jr_carrier,$O967)&amp;"")</f>
        <v/>
      </c>
      <c r="I967" s="66" t="str">
        <f>IF(A967="","",COUNTIF(jr_num,A967))</f>
        <v/>
      </c>
      <c r="J967" s="66" t="str">
        <f>IF(A967="","",SUMIF(jr_num,A967,jr_colis))</f>
        <v/>
      </c>
      <c r="K967" s="63" t="str">
        <f>IF(A967="","",SUMIF(jr_num,A967,jr_kg))</f>
        <v/>
      </c>
      <c r="L967" s="64" t="str">
        <f>IF(A967="","",SUMIF(jr_num,A967,jr_val))</f>
        <v/>
      </c>
      <c r="M967" s="60" t="str">
        <f>IF(A967="","",IF(COUNTIFS(jr_num,A967,jr_check,"&lt;&gt;OK")&gt;0,"À vérifier",IF(LEFT(A967,2)="BL",IF(COUNTIFS(jr_num,A967,jr_rel,"&gt;0")&gt;0,"Reliquat en cours",IF(COUNTIFS(jr_num,A967,jr_gap,"&lt;0")&gt;0,"Reliquat livré","Complet")),IF(LEFT(A967,2)="BR",IF(COUNTIFS(jr_num,A967,jr_etat,"Refusé")&gt;0,"Refusé",IF(COUNTIFS(jr_num,A967,jr_etat,"Avec réserves")&gt;0,"Avec réserves",IF(COUNTIFS(jr_num,A967,jr_rel,"&gt;0")&gt;0,"Reliquat en cours",IF(COUNTIFS(jr_num,A967,jr_gap,"&lt;0")+COUNTIFS(jr_num,A967,jr_gap,"&gt;0")&gt;0,"Écart","Conforme")))),IF(COUNTIFS(jr_num,A967,jr_gap,"&lt;0")&gt;0,"Partiel","Sorti")))))</f>
        <v/>
      </c>
      <c r="O967" t="str">
        <f>IFERROR(MATCH(962,jr_grank,0),"")</f>
        <v/>
      </c>
      <c r="R967" s="67" t="str">
        <f>IFERROR(INDEX(jr_num,MATCH("BL962",jr_nkey,0))&amp;"","")</f>
        <v/>
      </c>
      <c r="S967" s="67" t="str">
        <f>IFERROR(INDEX(jr_num,MATCH("BR962",jr_nkey,0))&amp;"","")</f>
        <v/>
      </c>
      <c r="T967" s="67" t="str">
        <f>IFERROR(INDEX(jr_num,MATCH("BS962",jr_nkey,0))&amp;"","")</f>
        <v/>
      </c>
    </row>
    <row r="968">
      <c r="A968" s="60" t="str">
        <f>IF($O968="","",INDEX(jr_num,$O968)&amp;"")</f>
        <v/>
      </c>
      <c r="B968" s="60" t="str">
        <f>IF($O968="","",IF(INDEX(jr_type,$O968)="BL","Livraison",IF(INDEX(jr_type,$O968)="BR","Réception","Sortie")))</f>
        <v/>
      </c>
      <c r="C968" s="65" t="str">
        <f>IF($O968="","",INDEX(jr_date,$O968))</f>
        <v/>
      </c>
      <c r="D968" s="60" t="str">
        <f>IF($O968="","",INDEX(jr_tiers,$O968)&amp;"")</f>
        <v/>
      </c>
      <c r="E968" s="57" t="str">
        <f>IF($O968="","",INDEX(jr_name,$O968)&amp;"")</f>
        <v/>
      </c>
      <c r="F968" s="57" t="str">
        <f>IF($O968="","",INDEX(jr_order,$O968)&amp;"")</f>
        <v/>
      </c>
      <c r="G968" s="57" t="str">
        <f>IF($O968="","",INDEX(jr_ext,$O968)&amp;"")</f>
        <v/>
      </c>
      <c r="H968" s="57" t="str">
        <f>IF($O968="","",INDEX(jr_carrier,$O968)&amp;"")</f>
        <v/>
      </c>
      <c r="I968" s="66" t="str">
        <f>IF(A968="","",COUNTIF(jr_num,A968))</f>
        <v/>
      </c>
      <c r="J968" s="66" t="str">
        <f>IF(A968="","",SUMIF(jr_num,A968,jr_colis))</f>
        <v/>
      </c>
      <c r="K968" s="63" t="str">
        <f>IF(A968="","",SUMIF(jr_num,A968,jr_kg))</f>
        <v/>
      </c>
      <c r="L968" s="64" t="str">
        <f>IF(A968="","",SUMIF(jr_num,A968,jr_val))</f>
        <v/>
      </c>
      <c r="M968" s="60" t="str">
        <f>IF(A968="","",IF(COUNTIFS(jr_num,A968,jr_check,"&lt;&gt;OK")&gt;0,"À vérifier",IF(LEFT(A968,2)="BL",IF(COUNTIFS(jr_num,A968,jr_rel,"&gt;0")&gt;0,"Reliquat en cours",IF(COUNTIFS(jr_num,A968,jr_gap,"&lt;0")&gt;0,"Reliquat livré","Complet")),IF(LEFT(A968,2)="BR",IF(COUNTIFS(jr_num,A968,jr_etat,"Refusé")&gt;0,"Refusé",IF(COUNTIFS(jr_num,A968,jr_etat,"Avec réserves")&gt;0,"Avec réserves",IF(COUNTIFS(jr_num,A968,jr_rel,"&gt;0")&gt;0,"Reliquat en cours",IF(COUNTIFS(jr_num,A968,jr_gap,"&lt;0")+COUNTIFS(jr_num,A968,jr_gap,"&gt;0")&gt;0,"Écart","Conforme")))),IF(COUNTIFS(jr_num,A968,jr_gap,"&lt;0")&gt;0,"Partiel","Sorti")))))</f>
        <v/>
      </c>
      <c r="O968" t="str">
        <f>IFERROR(MATCH(963,jr_grank,0),"")</f>
        <v/>
      </c>
      <c r="R968" s="67" t="str">
        <f>IFERROR(INDEX(jr_num,MATCH("BL963",jr_nkey,0))&amp;"","")</f>
        <v/>
      </c>
      <c r="S968" s="67" t="str">
        <f>IFERROR(INDEX(jr_num,MATCH("BR963",jr_nkey,0))&amp;"","")</f>
        <v/>
      </c>
      <c r="T968" s="67" t="str">
        <f>IFERROR(INDEX(jr_num,MATCH("BS963",jr_nkey,0))&amp;"","")</f>
        <v/>
      </c>
    </row>
    <row r="969">
      <c r="A969" s="60" t="str">
        <f>IF($O969="","",INDEX(jr_num,$O969)&amp;"")</f>
        <v/>
      </c>
      <c r="B969" s="60" t="str">
        <f>IF($O969="","",IF(INDEX(jr_type,$O969)="BL","Livraison",IF(INDEX(jr_type,$O969)="BR","Réception","Sortie")))</f>
        <v/>
      </c>
      <c r="C969" s="65" t="str">
        <f>IF($O969="","",INDEX(jr_date,$O969))</f>
        <v/>
      </c>
      <c r="D969" s="60" t="str">
        <f>IF($O969="","",INDEX(jr_tiers,$O969)&amp;"")</f>
        <v/>
      </c>
      <c r="E969" s="57" t="str">
        <f>IF($O969="","",INDEX(jr_name,$O969)&amp;"")</f>
        <v/>
      </c>
      <c r="F969" s="57" t="str">
        <f>IF($O969="","",INDEX(jr_order,$O969)&amp;"")</f>
        <v/>
      </c>
      <c r="G969" s="57" t="str">
        <f>IF($O969="","",INDEX(jr_ext,$O969)&amp;"")</f>
        <v/>
      </c>
      <c r="H969" s="57" t="str">
        <f>IF($O969="","",INDEX(jr_carrier,$O969)&amp;"")</f>
        <v/>
      </c>
      <c r="I969" s="66" t="str">
        <f>IF(A969="","",COUNTIF(jr_num,A969))</f>
        <v/>
      </c>
      <c r="J969" s="66" t="str">
        <f>IF(A969="","",SUMIF(jr_num,A969,jr_colis))</f>
        <v/>
      </c>
      <c r="K969" s="63" t="str">
        <f>IF(A969="","",SUMIF(jr_num,A969,jr_kg))</f>
        <v/>
      </c>
      <c r="L969" s="64" t="str">
        <f>IF(A969="","",SUMIF(jr_num,A969,jr_val))</f>
        <v/>
      </c>
      <c r="M969" s="60" t="str">
        <f>IF(A969="","",IF(COUNTIFS(jr_num,A969,jr_check,"&lt;&gt;OK")&gt;0,"À vérifier",IF(LEFT(A969,2)="BL",IF(COUNTIFS(jr_num,A969,jr_rel,"&gt;0")&gt;0,"Reliquat en cours",IF(COUNTIFS(jr_num,A969,jr_gap,"&lt;0")&gt;0,"Reliquat livré","Complet")),IF(LEFT(A969,2)="BR",IF(COUNTIFS(jr_num,A969,jr_etat,"Refusé")&gt;0,"Refusé",IF(COUNTIFS(jr_num,A969,jr_etat,"Avec réserves")&gt;0,"Avec réserves",IF(COUNTIFS(jr_num,A969,jr_rel,"&gt;0")&gt;0,"Reliquat en cours",IF(COUNTIFS(jr_num,A969,jr_gap,"&lt;0")+COUNTIFS(jr_num,A969,jr_gap,"&gt;0")&gt;0,"Écart","Conforme")))),IF(COUNTIFS(jr_num,A969,jr_gap,"&lt;0")&gt;0,"Partiel","Sorti")))))</f>
        <v/>
      </c>
      <c r="O969" t="str">
        <f>IFERROR(MATCH(964,jr_grank,0),"")</f>
        <v/>
      </c>
      <c r="R969" s="67" t="str">
        <f>IFERROR(INDEX(jr_num,MATCH("BL964",jr_nkey,0))&amp;"","")</f>
        <v/>
      </c>
      <c r="S969" s="67" t="str">
        <f>IFERROR(INDEX(jr_num,MATCH("BR964",jr_nkey,0))&amp;"","")</f>
        <v/>
      </c>
      <c r="T969" s="67" t="str">
        <f>IFERROR(INDEX(jr_num,MATCH("BS964",jr_nkey,0))&amp;"","")</f>
        <v/>
      </c>
    </row>
    <row r="970">
      <c r="A970" s="60" t="str">
        <f>IF($O970="","",INDEX(jr_num,$O970)&amp;"")</f>
        <v/>
      </c>
      <c r="B970" s="60" t="str">
        <f>IF($O970="","",IF(INDEX(jr_type,$O970)="BL","Livraison",IF(INDEX(jr_type,$O970)="BR","Réception","Sortie")))</f>
        <v/>
      </c>
      <c r="C970" s="65" t="str">
        <f>IF($O970="","",INDEX(jr_date,$O970))</f>
        <v/>
      </c>
      <c r="D970" s="60" t="str">
        <f>IF($O970="","",INDEX(jr_tiers,$O970)&amp;"")</f>
        <v/>
      </c>
      <c r="E970" s="57" t="str">
        <f>IF($O970="","",INDEX(jr_name,$O970)&amp;"")</f>
        <v/>
      </c>
      <c r="F970" s="57" t="str">
        <f>IF($O970="","",INDEX(jr_order,$O970)&amp;"")</f>
        <v/>
      </c>
      <c r="G970" s="57" t="str">
        <f>IF($O970="","",INDEX(jr_ext,$O970)&amp;"")</f>
        <v/>
      </c>
      <c r="H970" s="57" t="str">
        <f>IF($O970="","",INDEX(jr_carrier,$O970)&amp;"")</f>
        <v/>
      </c>
      <c r="I970" s="66" t="str">
        <f>IF(A970="","",COUNTIF(jr_num,A970))</f>
        <v/>
      </c>
      <c r="J970" s="66" t="str">
        <f>IF(A970="","",SUMIF(jr_num,A970,jr_colis))</f>
        <v/>
      </c>
      <c r="K970" s="63" t="str">
        <f>IF(A970="","",SUMIF(jr_num,A970,jr_kg))</f>
        <v/>
      </c>
      <c r="L970" s="64" t="str">
        <f>IF(A970="","",SUMIF(jr_num,A970,jr_val))</f>
        <v/>
      </c>
      <c r="M970" s="60" t="str">
        <f>IF(A970="","",IF(COUNTIFS(jr_num,A970,jr_check,"&lt;&gt;OK")&gt;0,"À vérifier",IF(LEFT(A970,2)="BL",IF(COUNTIFS(jr_num,A970,jr_rel,"&gt;0")&gt;0,"Reliquat en cours",IF(COUNTIFS(jr_num,A970,jr_gap,"&lt;0")&gt;0,"Reliquat livré","Complet")),IF(LEFT(A970,2)="BR",IF(COUNTIFS(jr_num,A970,jr_etat,"Refusé")&gt;0,"Refusé",IF(COUNTIFS(jr_num,A970,jr_etat,"Avec réserves")&gt;0,"Avec réserves",IF(COUNTIFS(jr_num,A970,jr_rel,"&gt;0")&gt;0,"Reliquat en cours",IF(COUNTIFS(jr_num,A970,jr_gap,"&lt;0")+COUNTIFS(jr_num,A970,jr_gap,"&gt;0")&gt;0,"Écart","Conforme")))),IF(COUNTIFS(jr_num,A970,jr_gap,"&lt;0")&gt;0,"Partiel","Sorti")))))</f>
        <v/>
      </c>
      <c r="O970" t="str">
        <f>IFERROR(MATCH(965,jr_grank,0),"")</f>
        <v/>
      </c>
      <c r="R970" s="67" t="str">
        <f>IFERROR(INDEX(jr_num,MATCH("BL965",jr_nkey,0))&amp;"","")</f>
        <v/>
      </c>
      <c r="S970" s="67" t="str">
        <f>IFERROR(INDEX(jr_num,MATCH("BR965",jr_nkey,0))&amp;"","")</f>
        <v/>
      </c>
      <c r="T970" s="67" t="str">
        <f>IFERROR(INDEX(jr_num,MATCH("BS965",jr_nkey,0))&amp;"","")</f>
        <v/>
      </c>
    </row>
    <row r="971">
      <c r="A971" s="60" t="str">
        <f>IF($O971="","",INDEX(jr_num,$O971)&amp;"")</f>
        <v/>
      </c>
      <c r="B971" s="60" t="str">
        <f>IF($O971="","",IF(INDEX(jr_type,$O971)="BL","Livraison",IF(INDEX(jr_type,$O971)="BR","Réception","Sortie")))</f>
        <v/>
      </c>
      <c r="C971" s="65" t="str">
        <f>IF($O971="","",INDEX(jr_date,$O971))</f>
        <v/>
      </c>
      <c r="D971" s="60" t="str">
        <f>IF($O971="","",INDEX(jr_tiers,$O971)&amp;"")</f>
        <v/>
      </c>
      <c r="E971" s="57" t="str">
        <f>IF($O971="","",INDEX(jr_name,$O971)&amp;"")</f>
        <v/>
      </c>
      <c r="F971" s="57" t="str">
        <f>IF($O971="","",INDEX(jr_order,$O971)&amp;"")</f>
        <v/>
      </c>
      <c r="G971" s="57" t="str">
        <f>IF($O971="","",INDEX(jr_ext,$O971)&amp;"")</f>
        <v/>
      </c>
      <c r="H971" s="57" t="str">
        <f>IF($O971="","",INDEX(jr_carrier,$O971)&amp;"")</f>
        <v/>
      </c>
      <c r="I971" s="66" t="str">
        <f>IF(A971="","",COUNTIF(jr_num,A971))</f>
        <v/>
      </c>
      <c r="J971" s="66" t="str">
        <f>IF(A971="","",SUMIF(jr_num,A971,jr_colis))</f>
        <v/>
      </c>
      <c r="K971" s="63" t="str">
        <f>IF(A971="","",SUMIF(jr_num,A971,jr_kg))</f>
        <v/>
      </c>
      <c r="L971" s="64" t="str">
        <f>IF(A971="","",SUMIF(jr_num,A971,jr_val))</f>
        <v/>
      </c>
      <c r="M971" s="60" t="str">
        <f>IF(A971="","",IF(COUNTIFS(jr_num,A971,jr_check,"&lt;&gt;OK")&gt;0,"À vérifier",IF(LEFT(A971,2)="BL",IF(COUNTIFS(jr_num,A971,jr_rel,"&gt;0")&gt;0,"Reliquat en cours",IF(COUNTIFS(jr_num,A971,jr_gap,"&lt;0")&gt;0,"Reliquat livré","Complet")),IF(LEFT(A971,2)="BR",IF(COUNTIFS(jr_num,A971,jr_etat,"Refusé")&gt;0,"Refusé",IF(COUNTIFS(jr_num,A971,jr_etat,"Avec réserves")&gt;0,"Avec réserves",IF(COUNTIFS(jr_num,A971,jr_rel,"&gt;0")&gt;0,"Reliquat en cours",IF(COUNTIFS(jr_num,A971,jr_gap,"&lt;0")+COUNTIFS(jr_num,A971,jr_gap,"&gt;0")&gt;0,"Écart","Conforme")))),IF(COUNTIFS(jr_num,A971,jr_gap,"&lt;0")&gt;0,"Partiel","Sorti")))))</f>
        <v/>
      </c>
      <c r="O971" t="str">
        <f>IFERROR(MATCH(966,jr_grank,0),"")</f>
        <v/>
      </c>
      <c r="R971" s="67" t="str">
        <f>IFERROR(INDEX(jr_num,MATCH("BL966",jr_nkey,0))&amp;"","")</f>
        <v/>
      </c>
      <c r="S971" s="67" t="str">
        <f>IFERROR(INDEX(jr_num,MATCH("BR966",jr_nkey,0))&amp;"","")</f>
        <v/>
      </c>
      <c r="T971" s="67" t="str">
        <f>IFERROR(INDEX(jr_num,MATCH("BS966",jr_nkey,0))&amp;"","")</f>
        <v/>
      </c>
    </row>
    <row r="972">
      <c r="A972" s="60" t="str">
        <f>IF($O972="","",INDEX(jr_num,$O972)&amp;"")</f>
        <v/>
      </c>
      <c r="B972" s="60" t="str">
        <f>IF($O972="","",IF(INDEX(jr_type,$O972)="BL","Livraison",IF(INDEX(jr_type,$O972)="BR","Réception","Sortie")))</f>
        <v/>
      </c>
      <c r="C972" s="65" t="str">
        <f>IF($O972="","",INDEX(jr_date,$O972))</f>
        <v/>
      </c>
      <c r="D972" s="60" t="str">
        <f>IF($O972="","",INDEX(jr_tiers,$O972)&amp;"")</f>
        <v/>
      </c>
      <c r="E972" s="57" t="str">
        <f>IF($O972="","",INDEX(jr_name,$O972)&amp;"")</f>
        <v/>
      </c>
      <c r="F972" s="57" t="str">
        <f>IF($O972="","",INDEX(jr_order,$O972)&amp;"")</f>
        <v/>
      </c>
      <c r="G972" s="57" t="str">
        <f>IF($O972="","",INDEX(jr_ext,$O972)&amp;"")</f>
        <v/>
      </c>
      <c r="H972" s="57" t="str">
        <f>IF($O972="","",INDEX(jr_carrier,$O972)&amp;"")</f>
        <v/>
      </c>
      <c r="I972" s="66" t="str">
        <f>IF(A972="","",COUNTIF(jr_num,A972))</f>
        <v/>
      </c>
      <c r="J972" s="66" t="str">
        <f>IF(A972="","",SUMIF(jr_num,A972,jr_colis))</f>
        <v/>
      </c>
      <c r="K972" s="63" t="str">
        <f>IF(A972="","",SUMIF(jr_num,A972,jr_kg))</f>
        <v/>
      </c>
      <c r="L972" s="64" t="str">
        <f>IF(A972="","",SUMIF(jr_num,A972,jr_val))</f>
        <v/>
      </c>
      <c r="M972" s="60" t="str">
        <f>IF(A972="","",IF(COUNTIFS(jr_num,A972,jr_check,"&lt;&gt;OK")&gt;0,"À vérifier",IF(LEFT(A972,2)="BL",IF(COUNTIFS(jr_num,A972,jr_rel,"&gt;0")&gt;0,"Reliquat en cours",IF(COUNTIFS(jr_num,A972,jr_gap,"&lt;0")&gt;0,"Reliquat livré","Complet")),IF(LEFT(A972,2)="BR",IF(COUNTIFS(jr_num,A972,jr_etat,"Refusé")&gt;0,"Refusé",IF(COUNTIFS(jr_num,A972,jr_etat,"Avec réserves")&gt;0,"Avec réserves",IF(COUNTIFS(jr_num,A972,jr_rel,"&gt;0")&gt;0,"Reliquat en cours",IF(COUNTIFS(jr_num,A972,jr_gap,"&lt;0")+COUNTIFS(jr_num,A972,jr_gap,"&gt;0")&gt;0,"Écart","Conforme")))),IF(COUNTIFS(jr_num,A972,jr_gap,"&lt;0")&gt;0,"Partiel","Sorti")))))</f>
        <v/>
      </c>
      <c r="O972" t="str">
        <f>IFERROR(MATCH(967,jr_grank,0),"")</f>
        <v/>
      </c>
      <c r="R972" s="67" t="str">
        <f>IFERROR(INDEX(jr_num,MATCH("BL967",jr_nkey,0))&amp;"","")</f>
        <v/>
      </c>
      <c r="S972" s="67" t="str">
        <f>IFERROR(INDEX(jr_num,MATCH("BR967",jr_nkey,0))&amp;"","")</f>
        <v/>
      </c>
      <c r="T972" s="67" t="str">
        <f>IFERROR(INDEX(jr_num,MATCH("BS967",jr_nkey,0))&amp;"","")</f>
        <v/>
      </c>
    </row>
    <row r="973">
      <c r="A973" s="60" t="str">
        <f>IF($O973="","",INDEX(jr_num,$O973)&amp;"")</f>
        <v/>
      </c>
      <c r="B973" s="60" t="str">
        <f>IF($O973="","",IF(INDEX(jr_type,$O973)="BL","Livraison",IF(INDEX(jr_type,$O973)="BR","Réception","Sortie")))</f>
        <v/>
      </c>
      <c r="C973" s="65" t="str">
        <f>IF($O973="","",INDEX(jr_date,$O973))</f>
        <v/>
      </c>
      <c r="D973" s="60" t="str">
        <f>IF($O973="","",INDEX(jr_tiers,$O973)&amp;"")</f>
        <v/>
      </c>
      <c r="E973" s="57" t="str">
        <f>IF($O973="","",INDEX(jr_name,$O973)&amp;"")</f>
        <v/>
      </c>
      <c r="F973" s="57" t="str">
        <f>IF($O973="","",INDEX(jr_order,$O973)&amp;"")</f>
        <v/>
      </c>
      <c r="G973" s="57" t="str">
        <f>IF($O973="","",INDEX(jr_ext,$O973)&amp;"")</f>
        <v/>
      </c>
      <c r="H973" s="57" t="str">
        <f>IF($O973="","",INDEX(jr_carrier,$O973)&amp;"")</f>
        <v/>
      </c>
      <c r="I973" s="66" t="str">
        <f>IF(A973="","",COUNTIF(jr_num,A973))</f>
        <v/>
      </c>
      <c r="J973" s="66" t="str">
        <f>IF(A973="","",SUMIF(jr_num,A973,jr_colis))</f>
        <v/>
      </c>
      <c r="K973" s="63" t="str">
        <f>IF(A973="","",SUMIF(jr_num,A973,jr_kg))</f>
        <v/>
      </c>
      <c r="L973" s="64" t="str">
        <f>IF(A973="","",SUMIF(jr_num,A973,jr_val))</f>
        <v/>
      </c>
      <c r="M973" s="60" t="str">
        <f>IF(A973="","",IF(COUNTIFS(jr_num,A973,jr_check,"&lt;&gt;OK")&gt;0,"À vérifier",IF(LEFT(A973,2)="BL",IF(COUNTIFS(jr_num,A973,jr_rel,"&gt;0")&gt;0,"Reliquat en cours",IF(COUNTIFS(jr_num,A973,jr_gap,"&lt;0")&gt;0,"Reliquat livré","Complet")),IF(LEFT(A973,2)="BR",IF(COUNTIFS(jr_num,A973,jr_etat,"Refusé")&gt;0,"Refusé",IF(COUNTIFS(jr_num,A973,jr_etat,"Avec réserves")&gt;0,"Avec réserves",IF(COUNTIFS(jr_num,A973,jr_rel,"&gt;0")&gt;0,"Reliquat en cours",IF(COUNTIFS(jr_num,A973,jr_gap,"&lt;0")+COUNTIFS(jr_num,A973,jr_gap,"&gt;0")&gt;0,"Écart","Conforme")))),IF(COUNTIFS(jr_num,A973,jr_gap,"&lt;0")&gt;0,"Partiel","Sorti")))))</f>
        <v/>
      </c>
      <c r="O973" t="str">
        <f>IFERROR(MATCH(968,jr_grank,0),"")</f>
        <v/>
      </c>
      <c r="R973" s="67" t="str">
        <f>IFERROR(INDEX(jr_num,MATCH("BL968",jr_nkey,0))&amp;"","")</f>
        <v/>
      </c>
      <c r="S973" s="67" t="str">
        <f>IFERROR(INDEX(jr_num,MATCH("BR968",jr_nkey,0))&amp;"","")</f>
        <v/>
      </c>
      <c r="T973" s="67" t="str">
        <f>IFERROR(INDEX(jr_num,MATCH("BS968",jr_nkey,0))&amp;"","")</f>
        <v/>
      </c>
    </row>
    <row r="974">
      <c r="A974" s="60" t="str">
        <f>IF($O974="","",INDEX(jr_num,$O974)&amp;"")</f>
        <v/>
      </c>
      <c r="B974" s="60" t="str">
        <f>IF($O974="","",IF(INDEX(jr_type,$O974)="BL","Livraison",IF(INDEX(jr_type,$O974)="BR","Réception","Sortie")))</f>
        <v/>
      </c>
      <c r="C974" s="65" t="str">
        <f>IF($O974="","",INDEX(jr_date,$O974))</f>
        <v/>
      </c>
      <c r="D974" s="60" t="str">
        <f>IF($O974="","",INDEX(jr_tiers,$O974)&amp;"")</f>
        <v/>
      </c>
      <c r="E974" s="57" t="str">
        <f>IF($O974="","",INDEX(jr_name,$O974)&amp;"")</f>
        <v/>
      </c>
      <c r="F974" s="57" t="str">
        <f>IF($O974="","",INDEX(jr_order,$O974)&amp;"")</f>
        <v/>
      </c>
      <c r="G974" s="57" t="str">
        <f>IF($O974="","",INDEX(jr_ext,$O974)&amp;"")</f>
        <v/>
      </c>
      <c r="H974" s="57" t="str">
        <f>IF($O974="","",INDEX(jr_carrier,$O974)&amp;"")</f>
        <v/>
      </c>
      <c r="I974" s="66" t="str">
        <f>IF(A974="","",COUNTIF(jr_num,A974))</f>
        <v/>
      </c>
      <c r="J974" s="66" t="str">
        <f>IF(A974="","",SUMIF(jr_num,A974,jr_colis))</f>
        <v/>
      </c>
      <c r="K974" s="63" t="str">
        <f>IF(A974="","",SUMIF(jr_num,A974,jr_kg))</f>
        <v/>
      </c>
      <c r="L974" s="64" t="str">
        <f>IF(A974="","",SUMIF(jr_num,A974,jr_val))</f>
        <v/>
      </c>
      <c r="M974" s="60" t="str">
        <f>IF(A974="","",IF(COUNTIFS(jr_num,A974,jr_check,"&lt;&gt;OK")&gt;0,"À vérifier",IF(LEFT(A974,2)="BL",IF(COUNTIFS(jr_num,A974,jr_rel,"&gt;0")&gt;0,"Reliquat en cours",IF(COUNTIFS(jr_num,A974,jr_gap,"&lt;0")&gt;0,"Reliquat livré","Complet")),IF(LEFT(A974,2)="BR",IF(COUNTIFS(jr_num,A974,jr_etat,"Refusé")&gt;0,"Refusé",IF(COUNTIFS(jr_num,A974,jr_etat,"Avec réserves")&gt;0,"Avec réserves",IF(COUNTIFS(jr_num,A974,jr_rel,"&gt;0")&gt;0,"Reliquat en cours",IF(COUNTIFS(jr_num,A974,jr_gap,"&lt;0")+COUNTIFS(jr_num,A974,jr_gap,"&gt;0")&gt;0,"Écart","Conforme")))),IF(COUNTIFS(jr_num,A974,jr_gap,"&lt;0")&gt;0,"Partiel","Sorti")))))</f>
        <v/>
      </c>
      <c r="O974" t="str">
        <f>IFERROR(MATCH(969,jr_grank,0),"")</f>
        <v/>
      </c>
      <c r="R974" s="67" t="str">
        <f>IFERROR(INDEX(jr_num,MATCH("BL969",jr_nkey,0))&amp;"","")</f>
        <v/>
      </c>
      <c r="S974" s="67" t="str">
        <f>IFERROR(INDEX(jr_num,MATCH("BR969",jr_nkey,0))&amp;"","")</f>
        <v/>
      </c>
      <c r="T974" s="67" t="str">
        <f>IFERROR(INDEX(jr_num,MATCH("BS969",jr_nkey,0))&amp;"","")</f>
        <v/>
      </c>
    </row>
    <row r="975">
      <c r="A975" s="60" t="str">
        <f>IF($O975="","",INDEX(jr_num,$O975)&amp;"")</f>
        <v/>
      </c>
      <c r="B975" s="60" t="str">
        <f>IF($O975="","",IF(INDEX(jr_type,$O975)="BL","Livraison",IF(INDEX(jr_type,$O975)="BR","Réception","Sortie")))</f>
        <v/>
      </c>
      <c r="C975" s="65" t="str">
        <f>IF($O975="","",INDEX(jr_date,$O975))</f>
        <v/>
      </c>
      <c r="D975" s="60" t="str">
        <f>IF($O975="","",INDEX(jr_tiers,$O975)&amp;"")</f>
        <v/>
      </c>
      <c r="E975" s="57" t="str">
        <f>IF($O975="","",INDEX(jr_name,$O975)&amp;"")</f>
        <v/>
      </c>
      <c r="F975" s="57" t="str">
        <f>IF($O975="","",INDEX(jr_order,$O975)&amp;"")</f>
        <v/>
      </c>
      <c r="G975" s="57" t="str">
        <f>IF($O975="","",INDEX(jr_ext,$O975)&amp;"")</f>
        <v/>
      </c>
      <c r="H975" s="57" t="str">
        <f>IF($O975="","",INDEX(jr_carrier,$O975)&amp;"")</f>
        <v/>
      </c>
      <c r="I975" s="66" t="str">
        <f>IF(A975="","",COUNTIF(jr_num,A975))</f>
        <v/>
      </c>
      <c r="J975" s="66" t="str">
        <f>IF(A975="","",SUMIF(jr_num,A975,jr_colis))</f>
        <v/>
      </c>
      <c r="K975" s="63" t="str">
        <f>IF(A975="","",SUMIF(jr_num,A975,jr_kg))</f>
        <v/>
      </c>
      <c r="L975" s="64" t="str">
        <f>IF(A975="","",SUMIF(jr_num,A975,jr_val))</f>
        <v/>
      </c>
      <c r="M975" s="60" t="str">
        <f>IF(A975="","",IF(COUNTIFS(jr_num,A975,jr_check,"&lt;&gt;OK")&gt;0,"À vérifier",IF(LEFT(A975,2)="BL",IF(COUNTIFS(jr_num,A975,jr_rel,"&gt;0")&gt;0,"Reliquat en cours",IF(COUNTIFS(jr_num,A975,jr_gap,"&lt;0")&gt;0,"Reliquat livré","Complet")),IF(LEFT(A975,2)="BR",IF(COUNTIFS(jr_num,A975,jr_etat,"Refusé")&gt;0,"Refusé",IF(COUNTIFS(jr_num,A975,jr_etat,"Avec réserves")&gt;0,"Avec réserves",IF(COUNTIFS(jr_num,A975,jr_rel,"&gt;0")&gt;0,"Reliquat en cours",IF(COUNTIFS(jr_num,A975,jr_gap,"&lt;0")+COUNTIFS(jr_num,A975,jr_gap,"&gt;0")&gt;0,"Écart","Conforme")))),IF(COUNTIFS(jr_num,A975,jr_gap,"&lt;0")&gt;0,"Partiel","Sorti")))))</f>
        <v/>
      </c>
      <c r="O975" t="str">
        <f>IFERROR(MATCH(970,jr_grank,0),"")</f>
        <v/>
      </c>
      <c r="R975" s="67" t="str">
        <f>IFERROR(INDEX(jr_num,MATCH("BL970",jr_nkey,0))&amp;"","")</f>
        <v/>
      </c>
      <c r="S975" s="67" t="str">
        <f>IFERROR(INDEX(jr_num,MATCH("BR970",jr_nkey,0))&amp;"","")</f>
        <v/>
      </c>
      <c r="T975" s="67" t="str">
        <f>IFERROR(INDEX(jr_num,MATCH("BS970",jr_nkey,0))&amp;"","")</f>
        <v/>
      </c>
    </row>
    <row r="976">
      <c r="A976" s="60" t="str">
        <f>IF($O976="","",INDEX(jr_num,$O976)&amp;"")</f>
        <v/>
      </c>
      <c r="B976" s="60" t="str">
        <f>IF($O976="","",IF(INDEX(jr_type,$O976)="BL","Livraison",IF(INDEX(jr_type,$O976)="BR","Réception","Sortie")))</f>
        <v/>
      </c>
      <c r="C976" s="65" t="str">
        <f>IF($O976="","",INDEX(jr_date,$O976))</f>
        <v/>
      </c>
      <c r="D976" s="60" t="str">
        <f>IF($O976="","",INDEX(jr_tiers,$O976)&amp;"")</f>
        <v/>
      </c>
      <c r="E976" s="57" t="str">
        <f>IF($O976="","",INDEX(jr_name,$O976)&amp;"")</f>
        <v/>
      </c>
      <c r="F976" s="57" t="str">
        <f>IF($O976="","",INDEX(jr_order,$O976)&amp;"")</f>
        <v/>
      </c>
      <c r="G976" s="57" t="str">
        <f>IF($O976="","",INDEX(jr_ext,$O976)&amp;"")</f>
        <v/>
      </c>
      <c r="H976" s="57" t="str">
        <f>IF($O976="","",INDEX(jr_carrier,$O976)&amp;"")</f>
        <v/>
      </c>
      <c r="I976" s="66" t="str">
        <f>IF(A976="","",COUNTIF(jr_num,A976))</f>
        <v/>
      </c>
      <c r="J976" s="66" t="str">
        <f>IF(A976="","",SUMIF(jr_num,A976,jr_colis))</f>
        <v/>
      </c>
      <c r="K976" s="63" t="str">
        <f>IF(A976="","",SUMIF(jr_num,A976,jr_kg))</f>
        <v/>
      </c>
      <c r="L976" s="64" t="str">
        <f>IF(A976="","",SUMIF(jr_num,A976,jr_val))</f>
        <v/>
      </c>
      <c r="M976" s="60" t="str">
        <f>IF(A976="","",IF(COUNTIFS(jr_num,A976,jr_check,"&lt;&gt;OK")&gt;0,"À vérifier",IF(LEFT(A976,2)="BL",IF(COUNTIFS(jr_num,A976,jr_rel,"&gt;0")&gt;0,"Reliquat en cours",IF(COUNTIFS(jr_num,A976,jr_gap,"&lt;0")&gt;0,"Reliquat livré","Complet")),IF(LEFT(A976,2)="BR",IF(COUNTIFS(jr_num,A976,jr_etat,"Refusé")&gt;0,"Refusé",IF(COUNTIFS(jr_num,A976,jr_etat,"Avec réserves")&gt;0,"Avec réserves",IF(COUNTIFS(jr_num,A976,jr_rel,"&gt;0")&gt;0,"Reliquat en cours",IF(COUNTIFS(jr_num,A976,jr_gap,"&lt;0")+COUNTIFS(jr_num,A976,jr_gap,"&gt;0")&gt;0,"Écart","Conforme")))),IF(COUNTIFS(jr_num,A976,jr_gap,"&lt;0")&gt;0,"Partiel","Sorti")))))</f>
        <v/>
      </c>
      <c r="O976" t="str">
        <f>IFERROR(MATCH(971,jr_grank,0),"")</f>
        <v/>
      </c>
      <c r="R976" s="67" t="str">
        <f>IFERROR(INDEX(jr_num,MATCH("BL971",jr_nkey,0))&amp;"","")</f>
        <v/>
      </c>
      <c r="S976" s="67" t="str">
        <f>IFERROR(INDEX(jr_num,MATCH("BR971",jr_nkey,0))&amp;"","")</f>
        <v/>
      </c>
      <c r="T976" s="67" t="str">
        <f>IFERROR(INDEX(jr_num,MATCH("BS971",jr_nkey,0))&amp;"","")</f>
        <v/>
      </c>
    </row>
    <row r="977">
      <c r="A977" s="60" t="str">
        <f>IF($O977="","",INDEX(jr_num,$O977)&amp;"")</f>
        <v/>
      </c>
      <c r="B977" s="60" t="str">
        <f>IF($O977="","",IF(INDEX(jr_type,$O977)="BL","Livraison",IF(INDEX(jr_type,$O977)="BR","Réception","Sortie")))</f>
        <v/>
      </c>
      <c r="C977" s="65" t="str">
        <f>IF($O977="","",INDEX(jr_date,$O977))</f>
        <v/>
      </c>
      <c r="D977" s="60" t="str">
        <f>IF($O977="","",INDEX(jr_tiers,$O977)&amp;"")</f>
        <v/>
      </c>
      <c r="E977" s="57" t="str">
        <f>IF($O977="","",INDEX(jr_name,$O977)&amp;"")</f>
        <v/>
      </c>
      <c r="F977" s="57" t="str">
        <f>IF($O977="","",INDEX(jr_order,$O977)&amp;"")</f>
        <v/>
      </c>
      <c r="G977" s="57" t="str">
        <f>IF($O977="","",INDEX(jr_ext,$O977)&amp;"")</f>
        <v/>
      </c>
      <c r="H977" s="57" t="str">
        <f>IF($O977="","",INDEX(jr_carrier,$O977)&amp;"")</f>
        <v/>
      </c>
      <c r="I977" s="66" t="str">
        <f>IF(A977="","",COUNTIF(jr_num,A977))</f>
        <v/>
      </c>
      <c r="J977" s="66" t="str">
        <f>IF(A977="","",SUMIF(jr_num,A977,jr_colis))</f>
        <v/>
      </c>
      <c r="K977" s="63" t="str">
        <f>IF(A977="","",SUMIF(jr_num,A977,jr_kg))</f>
        <v/>
      </c>
      <c r="L977" s="64" t="str">
        <f>IF(A977="","",SUMIF(jr_num,A977,jr_val))</f>
        <v/>
      </c>
      <c r="M977" s="60" t="str">
        <f>IF(A977="","",IF(COUNTIFS(jr_num,A977,jr_check,"&lt;&gt;OK")&gt;0,"À vérifier",IF(LEFT(A977,2)="BL",IF(COUNTIFS(jr_num,A977,jr_rel,"&gt;0")&gt;0,"Reliquat en cours",IF(COUNTIFS(jr_num,A977,jr_gap,"&lt;0")&gt;0,"Reliquat livré","Complet")),IF(LEFT(A977,2)="BR",IF(COUNTIFS(jr_num,A977,jr_etat,"Refusé")&gt;0,"Refusé",IF(COUNTIFS(jr_num,A977,jr_etat,"Avec réserves")&gt;0,"Avec réserves",IF(COUNTIFS(jr_num,A977,jr_rel,"&gt;0")&gt;0,"Reliquat en cours",IF(COUNTIFS(jr_num,A977,jr_gap,"&lt;0")+COUNTIFS(jr_num,A977,jr_gap,"&gt;0")&gt;0,"Écart","Conforme")))),IF(COUNTIFS(jr_num,A977,jr_gap,"&lt;0")&gt;0,"Partiel","Sorti")))))</f>
        <v/>
      </c>
      <c r="O977" t="str">
        <f>IFERROR(MATCH(972,jr_grank,0),"")</f>
        <v/>
      </c>
      <c r="R977" s="67" t="str">
        <f>IFERROR(INDEX(jr_num,MATCH("BL972",jr_nkey,0))&amp;"","")</f>
        <v/>
      </c>
      <c r="S977" s="67" t="str">
        <f>IFERROR(INDEX(jr_num,MATCH("BR972",jr_nkey,0))&amp;"","")</f>
        <v/>
      </c>
      <c r="T977" s="67" t="str">
        <f>IFERROR(INDEX(jr_num,MATCH("BS972",jr_nkey,0))&amp;"","")</f>
        <v/>
      </c>
    </row>
    <row r="978">
      <c r="A978" s="60" t="str">
        <f>IF($O978="","",INDEX(jr_num,$O978)&amp;"")</f>
        <v/>
      </c>
      <c r="B978" s="60" t="str">
        <f>IF($O978="","",IF(INDEX(jr_type,$O978)="BL","Livraison",IF(INDEX(jr_type,$O978)="BR","Réception","Sortie")))</f>
        <v/>
      </c>
      <c r="C978" s="65" t="str">
        <f>IF($O978="","",INDEX(jr_date,$O978))</f>
        <v/>
      </c>
      <c r="D978" s="60" t="str">
        <f>IF($O978="","",INDEX(jr_tiers,$O978)&amp;"")</f>
        <v/>
      </c>
      <c r="E978" s="57" t="str">
        <f>IF($O978="","",INDEX(jr_name,$O978)&amp;"")</f>
        <v/>
      </c>
      <c r="F978" s="57" t="str">
        <f>IF($O978="","",INDEX(jr_order,$O978)&amp;"")</f>
        <v/>
      </c>
      <c r="G978" s="57" t="str">
        <f>IF($O978="","",INDEX(jr_ext,$O978)&amp;"")</f>
        <v/>
      </c>
      <c r="H978" s="57" t="str">
        <f>IF($O978="","",INDEX(jr_carrier,$O978)&amp;"")</f>
        <v/>
      </c>
      <c r="I978" s="66" t="str">
        <f>IF(A978="","",COUNTIF(jr_num,A978))</f>
        <v/>
      </c>
      <c r="J978" s="66" t="str">
        <f>IF(A978="","",SUMIF(jr_num,A978,jr_colis))</f>
        <v/>
      </c>
      <c r="K978" s="63" t="str">
        <f>IF(A978="","",SUMIF(jr_num,A978,jr_kg))</f>
        <v/>
      </c>
      <c r="L978" s="64" t="str">
        <f>IF(A978="","",SUMIF(jr_num,A978,jr_val))</f>
        <v/>
      </c>
      <c r="M978" s="60" t="str">
        <f>IF(A978="","",IF(COUNTIFS(jr_num,A978,jr_check,"&lt;&gt;OK")&gt;0,"À vérifier",IF(LEFT(A978,2)="BL",IF(COUNTIFS(jr_num,A978,jr_rel,"&gt;0")&gt;0,"Reliquat en cours",IF(COUNTIFS(jr_num,A978,jr_gap,"&lt;0")&gt;0,"Reliquat livré","Complet")),IF(LEFT(A978,2)="BR",IF(COUNTIFS(jr_num,A978,jr_etat,"Refusé")&gt;0,"Refusé",IF(COUNTIFS(jr_num,A978,jr_etat,"Avec réserves")&gt;0,"Avec réserves",IF(COUNTIFS(jr_num,A978,jr_rel,"&gt;0")&gt;0,"Reliquat en cours",IF(COUNTIFS(jr_num,A978,jr_gap,"&lt;0")+COUNTIFS(jr_num,A978,jr_gap,"&gt;0")&gt;0,"Écart","Conforme")))),IF(COUNTIFS(jr_num,A978,jr_gap,"&lt;0")&gt;0,"Partiel","Sorti")))))</f>
        <v/>
      </c>
      <c r="O978" t="str">
        <f>IFERROR(MATCH(973,jr_grank,0),"")</f>
        <v/>
      </c>
      <c r="R978" s="67" t="str">
        <f>IFERROR(INDEX(jr_num,MATCH("BL973",jr_nkey,0))&amp;"","")</f>
        <v/>
      </c>
      <c r="S978" s="67" t="str">
        <f>IFERROR(INDEX(jr_num,MATCH("BR973",jr_nkey,0))&amp;"","")</f>
        <v/>
      </c>
      <c r="T978" s="67" t="str">
        <f>IFERROR(INDEX(jr_num,MATCH("BS973",jr_nkey,0))&amp;"","")</f>
        <v/>
      </c>
    </row>
    <row r="979">
      <c r="A979" s="60" t="str">
        <f>IF($O979="","",INDEX(jr_num,$O979)&amp;"")</f>
        <v/>
      </c>
      <c r="B979" s="60" t="str">
        <f>IF($O979="","",IF(INDEX(jr_type,$O979)="BL","Livraison",IF(INDEX(jr_type,$O979)="BR","Réception","Sortie")))</f>
        <v/>
      </c>
      <c r="C979" s="65" t="str">
        <f>IF($O979="","",INDEX(jr_date,$O979))</f>
        <v/>
      </c>
      <c r="D979" s="60" t="str">
        <f>IF($O979="","",INDEX(jr_tiers,$O979)&amp;"")</f>
        <v/>
      </c>
      <c r="E979" s="57" t="str">
        <f>IF($O979="","",INDEX(jr_name,$O979)&amp;"")</f>
        <v/>
      </c>
      <c r="F979" s="57" t="str">
        <f>IF($O979="","",INDEX(jr_order,$O979)&amp;"")</f>
        <v/>
      </c>
      <c r="G979" s="57" t="str">
        <f>IF($O979="","",INDEX(jr_ext,$O979)&amp;"")</f>
        <v/>
      </c>
      <c r="H979" s="57" t="str">
        <f>IF($O979="","",INDEX(jr_carrier,$O979)&amp;"")</f>
        <v/>
      </c>
      <c r="I979" s="66" t="str">
        <f>IF(A979="","",COUNTIF(jr_num,A979))</f>
        <v/>
      </c>
      <c r="J979" s="66" t="str">
        <f>IF(A979="","",SUMIF(jr_num,A979,jr_colis))</f>
        <v/>
      </c>
      <c r="K979" s="63" t="str">
        <f>IF(A979="","",SUMIF(jr_num,A979,jr_kg))</f>
        <v/>
      </c>
      <c r="L979" s="64" t="str">
        <f>IF(A979="","",SUMIF(jr_num,A979,jr_val))</f>
        <v/>
      </c>
      <c r="M979" s="60" t="str">
        <f>IF(A979="","",IF(COUNTIFS(jr_num,A979,jr_check,"&lt;&gt;OK")&gt;0,"À vérifier",IF(LEFT(A979,2)="BL",IF(COUNTIFS(jr_num,A979,jr_rel,"&gt;0")&gt;0,"Reliquat en cours",IF(COUNTIFS(jr_num,A979,jr_gap,"&lt;0")&gt;0,"Reliquat livré","Complet")),IF(LEFT(A979,2)="BR",IF(COUNTIFS(jr_num,A979,jr_etat,"Refusé")&gt;0,"Refusé",IF(COUNTIFS(jr_num,A979,jr_etat,"Avec réserves")&gt;0,"Avec réserves",IF(COUNTIFS(jr_num,A979,jr_rel,"&gt;0")&gt;0,"Reliquat en cours",IF(COUNTIFS(jr_num,A979,jr_gap,"&lt;0")+COUNTIFS(jr_num,A979,jr_gap,"&gt;0")&gt;0,"Écart","Conforme")))),IF(COUNTIFS(jr_num,A979,jr_gap,"&lt;0")&gt;0,"Partiel","Sorti")))))</f>
        <v/>
      </c>
      <c r="O979" t="str">
        <f>IFERROR(MATCH(974,jr_grank,0),"")</f>
        <v/>
      </c>
      <c r="R979" s="67" t="str">
        <f>IFERROR(INDEX(jr_num,MATCH("BL974",jr_nkey,0))&amp;"","")</f>
        <v/>
      </c>
      <c r="S979" s="67" t="str">
        <f>IFERROR(INDEX(jr_num,MATCH("BR974",jr_nkey,0))&amp;"","")</f>
        <v/>
      </c>
      <c r="T979" s="67" t="str">
        <f>IFERROR(INDEX(jr_num,MATCH("BS974",jr_nkey,0))&amp;"","")</f>
        <v/>
      </c>
    </row>
    <row r="980">
      <c r="A980" s="60" t="str">
        <f>IF($O980="","",INDEX(jr_num,$O980)&amp;"")</f>
        <v/>
      </c>
      <c r="B980" s="60" t="str">
        <f>IF($O980="","",IF(INDEX(jr_type,$O980)="BL","Livraison",IF(INDEX(jr_type,$O980)="BR","Réception","Sortie")))</f>
        <v/>
      </c>
      <c r="C980" s="65" t="str">
        <f>IF($O980="","",INDEX(jr_date,$O980))</f>
        <v/>
      </c>
      <c r="D980" s="60" t="str">
        <f>IF($O980="","",INDEX(jr_tiers,$O980)&amp;"")</f>
        <v/>
      </c>
      <c r="E980" s="57" t="str">
        <f>IF($O980="","",INDEX(jr_name,$O980)&amp;"")</f>
        <v/>
      </c>
      <c r="F980" s="57" t="str">
        <f>IF($O980="","",INDEX(jr_order,$O980)&amp;"")</f>
        <v/>
      </c>
      <c r="G980" s="57" t="str">
        <f>IF($O980="","",INDEX(jr_ext,$O980)&amp;"")</f>
        <v/>
      </c>
      <c r="H980" s="57" t="str">
        <f>IF($O980="","",INDEX(jr_carrier,$O980)&amp;"")</f>
        <v/>
      </c>
      <c r="I980" s="66" t="str">
        <f>IF(A980="","",COUNTIF(jr_num,A980))</f>
        <v/>
      </c>
      <c r="J980" s="66" t="str">
        <f>IF(A980="","",SUMIF(jr_num,A980,jr_colis))</f>
        <v/>
      </c>
      <c r="K980" s="63" t="str">
        <f>IF(A980="","",SUMIF(jr_num,A980,jr_kg))</f>
        <v/>
      </c>
      <c r="L980" s="64" t="str">
        <f>IF(A980="","",SUMIF(jr_num,A980,jr_val))</f>
        <v/>
      </c>
      <c r="M980" s="60" t="str">
        <f>IF(A980="","",IF(COUNTIFS(jr_num,A980,jr_check,"&lt;&gt;OK")&gt;0,"À vérifier",IF(LEFT(A980,2)="BL",IF(COUNTIFS(jr_num,A980,jr_rel,"&gt;0")&gt;0,"Reliquat en cours",IF(COUNTIFS(jr_num,A980,jr_gap,"&lt;0")&gt;0,"Reliquat livré","Complet")),IF(LEFT(A980,2)="BR",IF(COUNTIFS(jr_num,A980,jr_etat,"Refusé")&gt;0,"Refusé",IF(COUNTIFS(jr_num,A980,jr_etat,"Avec réserves")&gt;0,"Avec réserves",IF(COUNTIFS(jr_num,A980,jr_rel,"&gt;0")&gt;0,"Reliquat en cours",IF(COUNTIFS(jr_num,A980,jr_gap,"&lt;0")+COUNTIFS(jr_num,A980,jr_gap,"&gt;0")&gt;0,"Écart","Conforme")))),IF(COUNTIFS(jr_num,A980,jr_gap,"&lt;0")&gt;0,"Partiel","Sorti")))))</f>
        <v/>
      </c>
      <c r="O980" t="str">
        <f>IFERROR(MATCH(975,jr_grank,0),"")</f>
        <v/>
      </c>
      <c r="R980" s="67" t="str">
        <f>IFERROR(INDEX(jr_num,MATCH("BL975",jr_nkey,0))&amp;"","")</f>
        <v/>
      </c>
      <c r="S980" s="67" t="str">
        <f>IFERROR(INDEX(jr_num,MATCH("BR975",jr_nkey,0))&amp;"","")</f>
        <v/>
      </c>
      <c r="T980" s="67" t="str">
        <f>IFERROR(INDEX(jr_num,MATCH("BS975",jr_nkey,0))&amp;"","")</f>
        <v/>
      </c>
    </row>
    <row r="981">
      <c r="A981" s="60" t="str">
        <f>IF($O981="","",INDEX(jr_num,$O981)&amp;"")</f>
        <v/>
      </c>
      <c r="B981" s="60" t="str">
        <f>IF($O981="","",IF(INDEX(jr_type,$O981)="BL","Livraison",IF(INDEX(jr_type,$O981)="BR","Réception","Sortie")))</f>
        <v/>
      </c>
      <c r="C981" s="65" t="str">
        <f>IF($O981="","",INDEX(jr_date,$O981))</f>
        <v/>
      </c>
      <c r="D981" s="60" t="str">
        <f>IF($O981="","",INDEX(jr_tiers,$O981)&amp;"")</f>
        <v/>
      </c>
      <c r="E981" s="57" t="str">
        <f>IF($O981="","",INDEX(jr_name,$O981)&amp;"")</f>
        <v/>
      </c>
      <c r="F981" s="57" t="str">
        <f>IF($O981="","",INDEX(jr_order,$O981)&amp;"")</f>
        <v/>
      </c>
      <c r="G981" s="57" t="str">
        <f>IF($O981="","",INDEX(jr_ext,$O981)&amp;"")</f>
        <v/>
      </c>
      <c r="H981" s="57" t="str">
        <f>IF($O981="","",INDEX(jr_carrier,$O981)&amp;"")</f>
        <v/>
      </c>
      <c r="I981" s="66" t="str">
        <f>IF(A981="","",COUNTIF(jr_num,A981))</f>
        <v/>
      </c>
      <c r="J981" s="66" t="str">
        <f>IF(A981="","",SUMIF(jr_num,A981,jr_colis))</f>
        <v/>
      </c>
      <c r="K981" s="63" t="str">
        <f>IF(A981="","",SUMIF(jr_num,A981,jr_kg))</f>
        <v/>
      </c>
      <c r="L981" s="64" t="str">
        <f>IF(A981="","",SUMIF(jr_num,A981,jr_val))</f>
        <v/>
      </c>
      <c r="M981" s="60" t="str">
        <f>IF(A981="","",IF(COUNTIFS(jr_num,A981,jr_check,"&lt;&gt;OK")&gt;0,"À vérifier",IF(LEFT(A981,2)="BL",IF(COUNTIFS(jr_num,A981,jr_rel,"&gt;0")&gt;0,"Reliquat en cours",IF(COUNTIFS(jr_num,A981,jr_gap,"&lt;0")&gt;0,"Reliquat livré","Complet")),IF(LEFT(A981,2)="BR",IF(COUNTIFS(jr_num,A981,jr_etat,"Refusé")&gt;0,"Refusé",IF(COUNTIFS(jr_num,A981,jr_etat,"Avec réserves")&gt;0,"Avec réserves",IF(COUNTIFS(jr_num,A981,jr_rel,"&gt;0")&gt;0,"Reliquat en cours",IF(COUNTIFS(jr_num,A981,jr_gap,"&lt;0")+COUNTIFS(jr_num,A981,jr_gap,"&gt;0")&gt;0,"Écart","Conforme")))),IF(COUNTIFS(jr_num,A981,jr_gap,"&lt;0")&gt;0,"Partiel","Sorti")))))</f>
        <v/>
      </c>
      <c r="O981" t="str">
        <f>IFERROR(MATCH(976,jr_grank,0),"")</f>
        <v/>
      </c>
      <c r="R981" s="67" t="str">
        <f>IFERROR(INDEX(jr_num,MATCH("BL976",jr_nkey,0))&amp;"","")</f>
        <v/>
      </c>
      <c r="S981" s="67" t="str">
        <f>IFERROR(INDEX(jr_num,MATCH("BR976",jr_nkey,0))&amp;"","")</f>
        <v/>
      </c>
      <c r="T981" s="67" t="str">
        <f>IFERROR(INDEX(jr_num,MATCH("BS976",jr_nkey,0))&amp;"","")</f>
        <v/>
      </c>
    </row>
    <row r="982">
      <c r="A982" s="60" t="str">
        <f>IF($O982="","",INDEX(jr_num,$O982)&amp;"")</f>
        <v/>
      </c>
      <c r="B982" s="60" t="str">
        <f>IF($O982="","",IF(INDEX(jr_type,$O982)="BL","Livraison",IF(INDEX(jr_type,$O982)="BR","Réception","Sortie")))</f>
        <v/>
      </c>
      <c r="C982" s="65" t="str">
        <f>IF($O982="","",INDEX(jr_date,$O982))</f>
        <v/>
      </c>
      <c r="D982" s="60" t="str">
        <f>IF($O982="","",INDEX(jr_tiers,$O982)&amp;"")</f>
        <v/>
      </c>
      <c r="E982" s="57" t="str">
        <f>IF($O982="","",INDEX(jr_name,$O982)&amp;"")</f>
        <v/>
      </c>
      <c r="F982" s="57" t="str">
        <f>IF($O982="","",INDEX(jr_order,$O982)&amp;"")</f>
        <v/>
      </c>
      <c r="G982" s="57" t="str">
        <f>IF($O982="","",INDEX(jr_ext,$O982)&amp;"")</f>
        <v/>
      </c>
      <c r="H982" s="57" t="str">
        <f>IF($O982="","",INDEX(jr_carrier,$O982)&amp;"")</f>
        <v/>
      </c>
      <c r="I982" s="66" t="str">
        <f>IF(A982="","",COUNTIF(jr_num,A982))</f>
        <v/>
      </c>
      <c r="J982" s="66" t="str">
        <f>IF(A982="","",SUMIF(jr_num,A982,jr_colis))</f>
        <v/>
      </c>
      <c r="K982" s="63" t="str">
        <f>IF(A982="","",SUMIF(jr_num,A982,jr_kg))</f>
        <v/>
      </c>
      <c r="L982" s="64" t="str">
        <f>IF(A982="","",SUMIF(jr_num,A982,jr_val))</f>
        <v/>
      </c>
      <c r="M982" s="60" t="str">
        <f>IF(A982="","",IF(COUNTIFS(jr_num,A982,jr_check,"&lt;&gt;OK")&gt;0,"À vérifier",IF(LEFT(A982,2)="BL",IF(COUNTIFS(jr_num,A982,jr_rel,"&gt;0")&gt;0,"Reliquat en cours",IF(COUNTIFS(jr_num,A982,jr_gap,"&lt;0")&gt;0,"Reliquat livré","Complet")),IF(LEFT(A982,2)="BR",IF(COUNTIFS(jr_num,A982,jr_etat,"Refusé")&gt;0,"Refusé",IF(COUNTIFS(jr_num,A982,jr_etat,"Avec réserves")&gt;0,"Avec réserves",IF(COUNTIFS(jr_num,A982,jr_rel,"&gt;0")&gt;0,"Reliquat en cours",IF(COUNTIFS(jr_num,A982,jr_gap,"&lt;0")+COUNTIFS(jr_num,A982,jr_gap,"&gt;0")&gt;0,"Écart","Conforme")))),IF(COUNTIFS(jr_num,A982,jr_gap,"&lt;0")&gt;0,"Partiel","Sorti")))))</f>
        <v/>
      </c>
      <c r="O982" t="str">
        <f>IFERROR(MATCH(977,jr_grank,0),"")</f>
        <v/>
      </c>
      <c r="R982" s="67" t="str">
        <f>IFERROR(INDEX(jr_num,MATCH("BL977",jr_nkey,0))&amp;"","")</f>
        <v/>
      </c>
      <c r="S982" s="67" t="str">
        <f>IFERROR(INDEX(jr_num,MATCH("BR977",jr_nkey,0))&amp;"","")</f>
        <v/>
      </c>
      <c r="T982" s="67" t="str">
        <f>IFERROR(INDEX(jr_num,MATCH("BS977",jr_nkey,0))&amp;"","")</f>
        <v/>
      </c>
    </row>
    <row r="983">
      <c r="A983" s="60" t="str">
        <f>IF($O983="","",INDEX(jr_num,$O983)&amp;"")</f>
        <v/>
      </c>
      <c r="B983" s="60" t="str">
        <f>IF($O983="","",IF(INDEX(jr_type,$O983)="BL","Livraison",IF(INDEX(jr_type,$O983)="BR","Réception","Sortie")))</f>
        <v/>
      </c>
      <c r="C983" s="65" t="str">
        <f>IF($O983="","",INDEX(jr_date,$O983))</f>
        <v/>
      </c>
      <c r="D983" s="60" t="str">
        <f>IF($O983="","",INDEX(jr_tiers,$O983)&amp;"")</f>
        <v/>
      </c>
      <c r="E983" s="57" t="str">
        <f>IF($O983="","",INDEX(jr_name,$O983)&amp;"")</f>
        <v/>
      </c>
      <c r="F983" s="57" t="str">
        <f>IF($O983="","",INDEX(jr_order,$O983)&amp;"")</f>
        <v/>
      </c>
      <c r="G983" s="57" t="str">
        <f>IF($O983="","",INDEX(jr_ext,$O983)&amp;"")</f>
        <v/>
      </c>
      <c r="H983" s="57" t="str">
        <f>IF($O983="","",INDEX(jr_carrier,$O983)&amp;"")</f>
        <v/>
      </c>
      <c r="I983" s="66" t="str">
        <f>IF(A983="","",COUNTIF(jr_num,A983))</f>
        <v/>
      </c>
      <c r="J983" s="66" t="str">
        <f>IF(A983="","",SUMIF(jr_num,A983,jr_colis))</f>
        <v/>
      </c>
      <c r="K983" s="63" t="str">
        <f>IF(A983="","",SUMIF(jr_num,A983,jr_kg))</f>
        <v/>
      </c>
      <c r="L983" s="64" t="str">
        <f>IF(A983="","",SUMIF(jr_num,A983,jr_val))</f>
        <v/>
      </c>
      <c r="M983" s="60" t="str">
        <f>IF(A983="","",IF(COUNTIFS(jr_num,A983,jr_check,"&lt;&gt;OK")&gt;0,"À vérifier",IF(LEFT(A983,2)="BL",IF(COUNTIFS(jr_num,A983,jr_rel,"&gt;0")&gt;0,"Reliquat en cours",IF(COUNTIFS(jr_num,A983,jr_gap,"&lt;0")&gt;0,"Reliquat livré","Complet")),IF(LEFT(A983,2)="BR",IF(COUNTIFS(jr_num,A983,jr_etat,"Refusé")&gt;0,"Refusé",IF(COUNTIFS(jr_num,A983,jr_etat,"Avec réserves")&gt;0,"Avec réserves",IF(COUNTIFS(jr_num,A983,jr_rel,"&gt;0")&gt;0,"Reliquat en cours",IF(COUNTIFS(jr_num,A983,jr_gap,"&lt;0")+COUNTIFS(jr_num,A983,jr_gap,"&gt;0")&gt;0,"Écart","Conforme")))),IF(COUNTIFS(jr_num,A983,jr_gap,"&lt;0")&gt;0,"Partiel","Sorti")))))</f>
        <v/>
      </c>
      <c r="O983" t="str">
        <f>IFERROR(MATCH(978,jr_grank,0),"")</f>
        <v/>
      </c>
      <c r="R983" s="67" t="str">
        <f>IFERROR(INDEX(jr_num,MATCH("BL978",jr_nkey,0))&amp;"","")</f>
        <v/>
      </c>
      <c r="S983" s="67" t="str">
        <f>IFERROR(INDEX(jr_num,MATCH("BR978",jr_nkey,0))&amp;"","")</f>
        <v/>
      </c>
      <c r="T983" s="67" t="str">
        <f>IFERROR(INDEX(jr_num,MATCH("BS978",jr_nkey,0))&amp;"","")</f>
        <v/>
      </c>
    </row>
    <row r="984">
      <c r="A984" s="60" t="str">
        <f>IF($O984="","",INDEX(jr_num,$O984)&amp;"")</f>
        <v/>
      </c>
      <c r="B984" s="60" t="str">
        <f>IF($O984="","",IF(INDEX(jr_type,$O984)="BL","Livraison",IF(INDEX(jr_type,$O984)="BR","Réception","Sortie")))</f>
        <v/>
      </c>
      <c r="C984" s="65" t="str">
        <f>IF($O984="","",INDEX(jr_date,$O984))</f>
        <v/>
      </c>
      <c r="D984" s="60" t="str">
        <f>IF($O984="","",INDEX(jr_tiers,$O984)&amp;"")</f>
        <v/>
      </c>
      <c r="E984" s="57" t="str">
        <f>IF($O984="","",INDEX(jr_name,$O984)&amp;"")</f>
        <v/>
      </c>
      <c r="F984" s="57" t="str">
        <f>IF($O984="","",INDEX(jr_order,$O984)&amp;"")</f>
        <v/>
      </c>
      <c r="G984" s="57" t="str">
        <f>IF($O984="","",INDEX(jr_ext,$O984)&amp;"")</f>
        <v/>
      </c>
      <c r="H984" s="57" t="str">
        <f>IF($O984="","",INDEX(jr_carrier,$O984)&amp;"")</f>
        <v/>
      </c>
      <c r="I984" s="66" t="str">
        <f>IF(A984="","",COUNTIF(jr_num,A984))</f>
        <v/>
      </c>
      <c r="J984" s="66" t="str">
        <f>IF(A984="","",SUMIF(jr_num,A984,jr_colis))</f>
        <v/>
      </c>
      <c r="K984" s="63" t="str">
        <f>IF(A984="","",SUMIF(jr_num,A984,jr_kg))</f>
        <v/>
      </c>
      <c r="L984" s="64" t="str">
        <f>IF(A984="","",SUMIF(jr_num,A984,jr_val))</f>
        <v/>
      </c>
      <c r="M984" s="60" t="str">
        <f>IF(A984="","",IF(COUNTIFS(jr_num,A984,jr_check,"&lt;&gt;OK")&gt;0,"À vérifier",IF(LEFT(A984,2)="BL",IF(COUNTIFS(jr_num,A984,jr_rel,"&gt;0")&gt;0,"Reliquat en cours",IF(COUNTIFS(jr_num,A984,jr_gap,"&lt;0")&gt;0,"Reliquat livré","Complet")),IF(LEFT(A984,2)="BR",IF(COUNTIFS(jr_num,A984,jr_etat,"Refusé")&gt;0,"Refusé",IF(COUNTIFS(jr_num,A984,jr_etat,"Avec réserves")&gt;0,"Avec réserves",IF(COUNTIFS(jr_num,A984,jr_rel,"&gt;0")&gt;0,"Reliquat en cours",IF(COUNTIFS(jr_num,A984,jr_gap,"&lt;0")+COUNTIFS(jr_num,A984,jr_gap,"&gt;0")&gt;0,"Écart","Conforme")))),IF(COUNTIFS(jr_num,A984,jr_gap,"&lt;0")&gt;0,"Partiel","Sorti")))))</f>
        <v/>
      </c>
      <c r="O984" t="str">
        <f>IFERROR(MATCH(979,jr_grank,0),"")</f>
        <v/>
      </c>
      <c r="R984" s="67" t="str">
        <f>IFERROR(INDEX(jr_num,MATCH("BL979",jr_nkey,0))&amp;"","")</f>
        <v/>
      </c>
      <c r="S984" s="67" t="str">
        <f>IFERROR(INDEX(jr_num,MATCH("BR979",jr_nkey,0))&amp;"","")</f>
        <v/>
      </c>
      <c r="T984" s="67" t="str">
        <f>IFERROR(INDEX(jr_num,MATCH("BS979",jr_nkey,0))&amp;"","")</f>
        <v/>
      </c>
    </row>
    <row r="985">
      <c r="A985" s="60" t="str">
        <f>IF($O985="","",INDEX(jr_num,$O985)&amp;"")</f>
        <v/>
      </c>
      <c r="B985" s="60" t="str">
        <f>IF($O985="","",IF(INDEX(jr_type,$O985)="BL","Livraison",IF(INDEX(jr_type,$O985)="BR","Réception","Sortie")))</f>
        <v/>
      </c>
      <c r="C985" s="65" t="str">
        <f>IF($O985="","",INDEX(jr_date,$O985))</f>
        <v/>
      </c>
      <c r="D985" s="60" t="str">
        <f>IF($O985="","",INDEX(jr_tiers,$O985)&amp;"")</f>
        <v/>
      </c>
      <c r="E985" s="57" t="str">
        <f>IF($O985="","",INDEX(jr_name,$O985)&amp;"")</f>
        <v/>
      </c>
      <c r="F985" s="57" t="str">
        <f>IF($O985="","",INDEX(jr_order,$O985)&amp;"")</f>
        <v/>
      </c>
      <c r="G985" s="57" t="str">
        <f>IF($O985="","",INDEX(jr_ext,$O985)&amp;"")</f>
        <v/>
      </c>
      <c r="H985" s="57" t="str">
        <f>IF($O985="","",INDEX(jr_carrier,$O985)&amp;"")</f>
        <v/>
      </c>
      <c r="I985" s="66" t="str">
        <f>IF(A985="","",COUNTIF(jr_num,A985))</f>
        <v/>
      </c>
      <c r="J985" s="66" t="str">
        <f>IF(A985="","",SUMIF(jr_num,A985,jr_colis))</f>
        <v/>
      </c>
      <c r="K985" s="63" t="str">
        <f>IF(A985="","",SUMIF(jr_num,A985,jr_kg))</f>
        <v/>
      </c>
      <c r="L985" s="64" t="str">
        <f>IF(A985="","",SUMIF(jr_num,A985,jr_val))</f>
        <v/>
      </c>
      <c r="M985" s="60" t="str">
        <f>IF(A985="","",IF(COUNTIFS(jr_num,A985,jr_check,"&lt;&gt;OK")&gt;0,"À vérifier",IF(LEFT(A985,2)="BL",IF(COUNTIFS(jr_num,A985,jr_rel,"&gt;0")&gt;0,"Reliquat en cours",IF(COUNTIFS(jr_num,A985,jr_gap,"&lt;0")&gt;0,"Reliquat livré","Complet")),IF(LEFT(A985,2)="BR",IF(COUNTIFS(jr_num,A985,jr_etat,"Refusé")&gt;0,"Refusé",IF(COUNTIFS(jr_num,A985,jr_etat,"Avec réserves")&gt;0,"Avec réserves",IF(COUNTIFS(jr_num,A985,jr_rel,"&gt;0")&gt;0,"Reliquat en cours",IF(COUNTIFS(jr_num,A985,jr_gap,"&lt;0")+COUNTIFS(jr_num,A985,jr_gap,"&gt;0")&gt;0,"Écart","Conforme")))),IF(COUNTIFS(jr_num,A985,jr_gap,"&lt;0")&gt;0,"Partiel","Sorti")))))</f>
        <v/>
      </c>
      <c r="O985" t="str">
        <f>IFERROR(MATCH(980,jr_grank,0),"")</f>
        <v/>
      </c>
      <c r="R985" s="67" t="str">
        <f>IFERROR(INDEX(jr_num,MATCH("BL980",jr_nkey,0))&amp;"","")</f>
        <v/>
      </c>
      <c r="S985" s="67" t="str">
        <f>IFERROR(INDEX(jr_num,MATCH("BR980",jr_nkey,0))&amp;"","")</f>
        <v/>
      </c>
      <c r="T985" s="67" t="str">
        <f>IFERROR(INDEX(jr_num,MATCH("BS980",jr_nkey,0))&amp;"","")</f>
        <v/>
      </c>
    </row>
    <row r="986">
      <c r="A986" s="60" t="str">
        <f>IF($O986="","",INDEX(jr_num,$O986)&amp;"")</f>
        <v/>
      </c>
      <c r="B986" s="60" t="str">
        <f>IF($O986="","",IF(INDEX(jr_type,$O986)="BL","Livraison",IF(INDEX(jr_type,$O986)="BR","Réception","Sortie")))</f>
        <v/>
      </c>
      <c r="C986" s="65" t="str">
        <f>IF($O986="","",INDEX(jr_date,$O986))</f>
        <v/>
      </c>
      <c r="D986" s="60" t="str">
        <f>IF($O986="","",INDEX(jr_tiers,$O986)&amp;"")</f>
        <v/>
      </c>
      <c r="E986" s="57" t="str">
        <f>IF($O986="","",INDEX(jr_name,$O986)&amp;"")</f>
        <v/>
      </c>
      <c r="F986" s="57" t="str">
        <f>IF($O986="","",INDEX(jr_order,$O986)&amp;"")</f>
        <v/>
      </c>
      <c r="G986" s="57" t="str">
        <f>IF($O986="","",INDEX(jr_ext,$O986)&amp;"")</f>
        <v/>
      </c>
      <c r="H986" s="57" t="str">
        <f>IF($O986="","",INDEX(jr_carrier,$O986)&amp;"")</f>
        <v/>
      </c>
      <c r="I986" s="66" t="str">
        <f>IF(A986="","",COUNTIF(jr_num,A986))</f>
        <v/>
      </c>
      <c r="J986" s="66" t="str">
        <f>IF(A986="","",SUMIF(jr_num,A986,jr_colis))</f>
        <v/>
      </c>
      <c r="K986" s="63" t="str">
        <f>IF(A986="","",SUMIF(jr_num,A986,jr_kg))</f>
        <v/>
      </c>
      <c r="L986" s="64" t="str">
        <f>IF(A986="","",SUMIF(jr_num,A986,jr_val))</f>
        <v/>
      </c>
      <c r="M986" s="60" t="str">
        <f>IF(A986="","",IF(COUNTIFS(jr_num,A986,jr_check,"&lt;&gt;OK")&gt;0,"À vérifier",IF(LEFT(A986,2)="BL",IF(COUNTIFS(jr_num,A986,jr_rel,"&gt;0")&gt;0,"Reliquat en cours",IF(COUNTIFS(jr_num,A986,jr_gap,"&lt;0")&gt;0,"Reliquat livré","Complet")),IF(LEFT(A986,2)="BR",IF(COUNTIFS(jr_num,A986,jr_etat,"Refusé")&gt;0,"Refusé",IF(COUNTIFS(jr_num,A986,jr_etat,"Avec réserves")&gt;0,"Avec réserves",IF(COUNTIFS(jr_num,A986,jr_rel,"&gt;0")&gt;0,"Reliquat en cours",IF(COUNTIFS(jr_num,A986,jr_gap,"&lt;0")+COUNTIFS(jr_num,A986,jr_gap,"&gt;0")&gt;0,"Écart","Conforme")))),IF(COUNTIFS(jr_num,A986,jr_gap,"&lt;0")&gt;0,"Partiel","Sorti")))))</f>
        <v/>
      </c>
      <c r="O986" t="str">
        <f>IFERROR(MATCH(981,jr_grank,0),"")</f>
        <v/>
      </c>
      <c r="R986" s="67" t="str">
        <f>IFERROR(INDEX(jr_num,MATCH("BL981",jr_nkey,0))&amp;"","")</f>
        <v/>
      </c>
      <c r="S986" s="67" t="str">
        <f>IFERROR(INDEX(jr_num,MATCH("BR981",jr_nkey,0))&amp;"","")</f>
        <v/>
      </c>
      <c r="T986" s="67" t="str">
        <f>IFERROR(INDEX(jr_num,MATCH("BS981",jr_nkey,0))&amp;"","")</f>
        <v/>
      </c>
    </row>
    <row r="987">
      <c r="A987" s="60" t="str">
        <f>IF($O987="","",INDEX(jr_num,$O987)&amp;"")</f>
        <v/>
      </c>
      <c r="B987" s="60" t="str">
        <f>IF($O987="","",IF(INDEX(jr_type,$O987)="BL","Livraison",IF(INDEX(jr_type,$O987)="BR","Réception","Sortie")))</f>
        <v/>
      </c>
      <c r="C987" s="65" t="str">
        <f>IF($O987="","",INDEX(jr_date,$O987))</f>
        <v/>
      </c>
      <c r="D987" s="60" t="str">
        <f>IF($O987="","",INDEX(jr_tiers,$O987)&amp;"")</f>
        <v/>
      </c>
      <c r="E987" s="57" t="str">
        <f>IF($O987="","",INDEX(jr_name,$O987)&amp;"")</f>
        <v/>
      </c>
      <c r="F987" s="57" t="str">
        <f>IF($O987="","",INDEX(jr_order,$O987)&amp;"")</f>
        <v/>
      </c>
      <c r="G987" s="57" t="str">
        <f>IF($O987="","",INDEX(jr_ext,$O987)&amp;"")</f>
        <v/>
      </c>
      <c r="H987" s="57" t="str">
        <f>IF($O987="","",INDEX(jr_carrier,$O987)&amp;"")</f>
        <v/>
      </c>
      <c r="I987" s="66" t="str">
        <f>IF(A987="","",COUNTIF(jr_num,A987))</f>
        <v/>
      </c>
      <c r="J987" s="66" t="str">
        <f>IF(A987="","",SUMIF(jr_num,A987,jr_colis))</f>
        <v/>
      </c>
      <c r="K987" s="63" t="str">
        <f>IF(A987="","",SUMIF(jr_num,A987,jr_kg))</f>
        <v/>
      </c>
      <c r="L987" s="64" t="str">
        <f>IF(A987="","",SUMIF(jr_num,A987,jr_val))</f>
        <v/>
      </c>
      <c r="M987" s="60" t="str">
        <f>IF(A987="","",IF(COUNTIFS(jr_num,A987,jr_check,"&lt;&gt;OK")&gt;0,"À vérifier",IF(LEFT(A987,2)="BL",IF(COUNTIFS(jr_num,A987,jr_rel,"&gt;0")&gt;0,"Reliquat en cours",IF(COUNTIFS(jr_num,A987,jr_gap,"&lt;0")&gt;0,"Reliquat livré","Complet")),IF(LEFT(A987,2)="BR",IF(COUNTIFS(jr_num,A987,jr_etat,"Refusé")&gt;0,"Refusé",IF(COUNTIFS(jr_num,A987,jr_etat,"Avec réserves")&gt;0,"Avec réserves",IF(COUNTIFS(jr_num,A987,jr_rel,"&gt;0")&gt;0,"Reliquat en cours",IF(COUNTIFS(jr_num,A987,jr_gap,"&lt;0")+COUNTIFS(jr_num,A987,jr_gap,"&gt;0")&gt;0,"Écart","Conforme")))),IF(COUNTIFS(jr_num,A987,jr_gap,"&lt;0")&gt;0,"Partiel","Sorti")))))</f>
        <v/>
      </c>
      <c r="O987" t="str">
        <f>IFERROR(MATCH(982,jr_grank,0),"")</f>
        <v/>
      </c>
      <c r="R987" s="67" t="str">
        <f>IFERROR(INDEX(jr_num,MATCH("BL982",jr_nkey,0))&amp;"","")</f>
        <v/>
      </c>
      <c r="S987" s="67" t="str">
        <f>IFERROR(INDEX(jr_num,MATCH("BR982",jr_nkey,0))&amp;"","")</f>
        <v/>
      </c>
      <c r="T987" s="67" t="str">
        <f>IFERROR(INDEX(jr_num,MATCH("BS982",jr_nkey,0))&amp;"","")</f>
        <v/>
      </c>
    </row>
    <row r="988">
      <c r="A988" s="60" t="str">
        <f>IF($O988="","",INDEX(jr_num,$O988)&amp;"")</f>
        <v/>
      </c>
      <c r="B988" s="60" t="str">
        <f>IF($O988="","",IF(INDEX(jr_type,$O988)="BL","Livraison",IF(INDEX(jr_type,$O988)="BR","Réception","Sortie")))</f>
        <v/>
      </c>
      <c r="C988" s="65" t="str">
        <f>IF($O988="","",INDEX(jr_date,$O988))</f>
        <v/>
      </c>
      <c r="D988" s="60" t="str">
        <f>IF($O988="","",INDEX(jr_tiers,$O988)&amp;"")</f>
        <v/>
      </c>
      <c r="E988" s="57" t="str">
        <f>IF($O988="","",INDEX(jr_name,$O988)&amp;"")</f>
        <v/>
      </c>
      <c r="F988" s="57" t="str">
        <f>IF($O988="","",INDEX(jr_order,$O988)&amp;"")</f>
        <v/>
      </c>
      <c r="G988" s="57" t="str">
        <f>IF($O988="","",INDEX(jr_ext,$O988)&amp;"")</f>
        <v/>
      </c>
      <c r="H988" s="57" t="str">
        <f>IF($O988="","",INDEX(jr_carrier,$O988)&amp;"")</f>
        <v/>
      </c>
      <c r="I988" s="66" t="str">
        <f>IF(A988="","",COUNTIF(jr_num,A988))</f>
        <v/>
      </c>
      <c r="J988" s="66" t="str">
        <f>IF(A988="","",SUMIF(jr_num,A988,jr_colis))</f>
        <v/>
      </c>
      <c r="K988" s="63" t="str">
        <f>IF(A988="","",SUMIF(jr_num,A988,jr_kg))</f>
        <v/>
      </c>
      <c r="L988" s="64" t="str">
        <f>IF(A988="","",SUMIF(jr_num,A988,jr_val))</f>
        <v/>
      </c>
      <c r="M988" s="60" t="str">
        <f>IF(A988="","",IF(COUNTIFS(jr_num,A988,jr_check,"&lt;&gt;OK")&gt;0,"À vérifier",IF(LEFT(A988,2)="BL",IF(COUNTIFS(jr_num,A988,jr_rel,"&gt;0")&gt;0,"Reliquat en cours",IF(COUNTIFS(jr_num,A988,jr_gap,"&lt;0")&gt;0,"Reliquat livré","Complet")),IF(LEFT(A988,2)="BR",IF(COUNTIFS(jr_num,A988,jr_etat,"Refusé")&gt;0,"Refusé",IF(COUNTIFS(jr_num,A988,jr_etat,"Avec réserves")&gt;0,"Avec réserves",IF(COUNTIFS(jr_num,A988,jr_rel,"&gt;0")&gt;0,"Reliquat en cours",IF(COUNTIFS(jr_num,A988,jr_gap,"&lt;0")+COUNTIFS(jr_num,A988,jr_gap,"&gt;0")&gt;0,"Écart","Conforme")))),IF(COUNTIFS(jr_num,A988,jr_gap,"&lt;0")&gt;0,"Partiel","Sorti")))))</f>
        <v/>
      </c>
      <c r="O988" t="str">
        <f>IFERROR(MATCH(983,jr_grank,0),"")</f>
        <v/>
      </c>
      <c r="R988" s="67" t="str">
        <f>IFERROR(INDEX(jr_num,MATCH("BL983",jr_nkey,0))&amp;"","")</f>
        <v/>
      </c>
      <c r="S988" s="67" t="str">
        <f>IFERROR(INDEX(jr_num,MATCH("BR983",jr_nkey,0))&amp;"","")</f>
        <v/>
      </c>
      <c r="T988" s="67" t="str">
        <f>IFERROR(INDEX(jr_num,MATCH("BS983",jr_nkey,0))&amp;"","")</f>
        <v/>
      </c>
    </row>
    <row r="989">
      <c r="A989" s="60" t="str">
        <f>IF($O989="","",INDEX(jr_num,$O989)&amp;"")</f>
        <v/>
      </c>
      <c r="B989" s="60" t="str">
        <f>IF($O989="","",IF(INDEX(jr_type,$O989)="BL","Livraison",IF(INDEX(jr_type,$O989)="BR","Réception","Sortie")))</f>
        <v/>
      </c>
      <c r="C989" s="65" t="str">
        <f>IF($O989="","",INDEX(jr_date,$O989))</f>
        <v/>
      </c>
      <c r="D989" s="60" t="str">
        <f>IF($O989="","",INDEX(jr_tiers,$O989)&amp;"")</f>
        <v/>
      </c>
      <c r="E989" s="57" t="str">
        <f>IF($O989="","",INDEX(jr_name,$O989)&amp;"")</f>
        <v/>
      </c>
      <c r="F989" s="57" t="str">
        <f>IF($O989="","",INDEX(jr_order,$O989)&amp;"")</f>
        <v/>
      </c>
      <c r="G989" s="57" t="str">
        <f>IF($O989="","",INDEX(jr_ext,$O989)&amp;"")</f>
        <v/>
      </c>
      <c r="H989" s="57" t="str">
        <f>IF($O989="","",INDEX(jr_carrier,$O989)&amp;"")</f>
        <v/>
      </c>
      <c r="I989" s="66" t="str">
        <f>IF(A989="","",COUNTIF(jr_num,A989))</f>
        <v/>
      </c>
      <c r="J989" s="66" t="str">
        <f>IF(A989="","",SUMIF(jr_num,A989,jr_colis))</f>
        <v/>
      </c>
      <c r="K989" s="63" t="str">
        <f>IF(A989="","",SUMIF(jr_num,A989,jr_kg))</f>
        <v/>
      </c>
      <c r="L989" s="64" t="str">
        <f>IF(A989="","",SUMIF(jr_num,A989,jr_val))</f>
        <v/>
      </c>
      <c r="M989" s="60" t="str">
        <f>IF(A989="","",IF(COUNTIFS(jr_num,A989,jr_check,"&lt;&gt;OK")&gt;0,"À vérifier",IF(LEFT(A989,2)="BL",IF(COUNTIFS(jr_num,A989,jr_rel,"&gt;0")&gt;0,"Reliquat en cours",IF(COUNTIFS(jr_num,A989,jr_gap,"&lt;0")&gt;0,"Reliquat livré","Complet")),IF(LEFT(A989,2)="BR",IF(COUNTIFS(jr_num,A989,jr_etat,"Refusé")&gt;0,"Refusé",IF(COUNTIFS(jr_num,A989,jr_etat,"Avec réserves")&gt;0,"Avec réserves",IF(COUNTIFS(jr_num,A989,jr_rel,"&gt;0")&gt;0,"Reliquat en cours",IF(COUNTIFS(jr_num,A989,jr_gap,"&lt;0")+COUNTIFS(jr_num,A989,jr_gap,"&gt;0")&gt;0,"Écart","Conforme")))),IF(COUNTIFS(jr_num,A989,jr_gap,"&lt;0")&gt;0,"Partiel","Sorti")))))</f>
        <v/>
      </c>
      <c r="O989" t="str">
        <f>IFERROR(MATCH(984,jr_grank,0),"")</f>
        <v/>
      </c>
      <c r="R989" s="67" t="str">
        <f>IFERROR(INDEX(jr_num,MATCH("BL984",jr_nkey,0))&amp;"","")</f>
        <v/>
      </c>
      <c r="S989" s="67" t="str">
        <f>IFERROR(INDEX(jr_num,MATCH("BR984",jr_nkey,0))&amp;"","")</f>
        <v/>
      </c>
      <c r="T989" s="67" t="str">
        <f>IFERROR(INDEX(jr_num,MATCH("BS984",jr_nkey,0))&amp;"","")</f>
        <v/>
      </c>
    </row>
    <row r="990">
      <c r="A990" s="60" t="str">
        <f>IF($O990="","",INDEX(jr_num,$O990)&amp;"")</f>
        <v/>
      </c>
      <c r="B990" s="60" t="str">
        <f>IF($O990="","",IF(INDEX(jr_type,$O990)="BL","Livraison",IF(INDEX(jr_type,$O990)="BR","Réception","Sortie")))</f>
        <v/>
      </c>
      <c r="C990" s="65" t="str">
        <f>IF($O990="","",INDEX(jr_date,$O990))</f>
        <v/>
      </c>
      <c r="D990" s="60" t="str">
        <f>IF($O990="","",INDEX(jr_tiers,$O990)&amp;"")</f>
        <v/>
      </c>
      <c r="E990" s="57" t="str">
        <f>IF($O990="","",INDEX(jr_name,$O990)&amp;"")</f>
        <v/>
      </c>
      <c r="F990" s="57" t="str">
        <f>IF($O990="","",INDEX(jr_order,$O990)&amp;"")</f>
        <v/>
      </c>
      <c r="G990" s="57" t="str">
        <f>IF($O990="","",INDEX(jr_ext,$O990)&amp;"")</f>
        <v/>
      </c>
      <c r="H990" s="57" t="str">
        <f>IF($O990="","",INDEX(jr_carrier,$O990)&amp;"")</f>
        <v/>
      </c>
      <c r="I990" s="66" t="str">
        <f>IF(A990="","",COUNTIF(jr_num,A990))</f>
        <v/>
      </c>
      <c r="J990" s="66" t="str">
        <f>IF(A990="","",SUMIF(jr_num,A990,jr_colis))</f>
        <v/>
      </c>
      <c r="K990" s="63" t="str">
        <f>IF(A990="","",SUMIF(jr_num,A990,jr_kg))</f>
        <v/>
      </c>
      <c r="L990" s="64" t="str">
        <f>IF(A990="","",SUMIF(jr_num,A990,jr_val))</f>
        <v/>
      </c>
      <c r="M990" s="60" t="str">
        <f>IF(A990="","",IF(COUNTIFS(jr_num,A990,jr_check,"&lt;&gt;OK")&gt;0,"À vérifier",IF(LEFT(A990,2)="BL",IF(COUNTIFS(jr_num,A990,jr_rel,"&gt;0")&gt;0,"Reliquat en cours",IF(COUNTIFS(jr_num,A990,jr_gap,"&lt;0")&gt;0,"Reliquat livré","Complet")),IF(LEFT(A990,2)="BR",IF(COUNTIFS(jr_num,A990,jr_etat,"Refusé")&gt;0,"Refusé",IF(COUNTIFS(jr_num,A990,jr_etat,"Avec réserves")&gt;0,"Avec réserves",IF(COUNTIFS(jr_num,A990,jr_rel,"&gt;0")&gt;0,"Reliquat en cours",IF(COUNTIFS(jr_num,A990,jr_gap,"&lt;0")+COUNTIFS(jr_num,A990,jr_gap,"&gt;0")&gt;0,"Écart","Conforme")))),IF(COUNTIFS(jr_num,A990,jr_gap,"&lt;0")&gt;0,"Partiel","Sorti")))))</f>
        <v/>
      </c>
      <c r="O990" t="str">
        <f>IFERROR(MATCH(985,jr_grank,0),"")</f>
        <v/>
      </c>
      <c r="R990" s="67" t="str">
        <f>IFERROR(INDEX(jr_num,MATCH("BL985",jr_nkey,0))&amp;"","")</f>
        <v/>
      </c>
      <c r="S990" s="67" t="str">
        <f>IFERROR(INDEX(jr_num,MATCH("BR985",jr_nkey,0))&amp;"","")</f>
        <v/>
      </c>
      <c r="T990" s="67" t="str">
        <f>IFERROR(INDEX(jr_num,MATCH("BS985",jr_nkey,0))&amp;"","")</f>
        <v/>
      </c>
    </row>
    <row r="991">
      <c r="A991" s="60" t="str">
        <f>IF($O991="","",INDEX(jr_num,$O991)&amp;"")</f>
        <v/>
      </c>
      <c r="B991" s="60" t="str">
        <f>IF($O991="","",IF(INDEX(jr_type,$O991)="BL","Livraison",IF(INDEX(jr_type,$O991)="BR","Réception","Sortie")))</f>
        <v/>
      </c>
      <c r="C991" s="65" t="str">
        <f>IF($O991="","",INDEX(jr_date,$O991))</f>
        <v/>
      </c>
      <c r="D991" s="60" t="str">
        <f>IF($O991="","",INDEX(jr_tiers,$O991)&amp;"")</f>
        <v/>
      </c>
      <c r="E991" s="57" t="str">
        <f>IF($O991="","",INDEX(jr_name,$O991)&amp;"")</f>
        <v/>
      </c>
      <c r="F991" s="57" t="str">
        <f>IF($O991="","",INDEX(jr_order,$O991)&amp;"")</f>
        <v/>
      </c>
      <c r="G991" s="57" t="str">
        <f>IF($O991="","",INDEX(jr_ext,$O991)&amp;"")</f>
        <v/>
      </c>
      <c r="H991" s="57" t="str">
        <f>IF($O991="","",INDEX(jr_carrier,$O991)&amp;"")</f>
        <v/>
      </c>
      <c r="I991" s="66" t="str">
        <f>IF(A991="","",COUNTIF(jr_num,A991))</f>
        <v/>
      </c>
      <c r="J991" s="66" t="str">
        <f>IF(A991="","",SUMIF(jr_num,A991,jr_colis))</f>
        <v/>
      </c>
      <c r="K991" s="63" t="str">
        <f>IF(A991="","",SUMIF(jr_num,A991,jr_kg))</f>
        <v/>
      </c>
      <c r="L991" s="64" t="str">
        <f>IF(A991="","",SUMIF(jr_num,A991,jr_val))</f>
        <v/>
      </c>
      <c r="M991" s="60" t="str">
        <f>IF(A991="","",IF(COUNTIFS(jr_num,A991,jr_check,"&lt;&gt;OK")&gt;0,"À vérifier",IF(LEFT(A991,2)="BL",IF(COUNTIFS(jr_num,A991,jr_rel,"&gt;0")&gt;0,"Reliquat en cours",IF(COUNTIFS(jr_num,A991,jr_gap,"&lt;0")&gt;0,"Reliquat livré","Complet")),IF(LEFT(A991,2)="BR",IF(COUNTIFS(jr_num,A991,jr_etat,"Refusé")&gt;0,"Refusé",IF(COUNTIFS(jr_num,A991,jr_etat,"Avec réserves")&gt;0,"Avec réserves",IF(COUNTIFS(jr_num,A991,jr_rel,"&gt;0")&gt;0,"Reliquat en cours",IF(COUNTIFS(jr_num,A991,jr_gap,"&lt;0")+COUNTIFS(jr_num,A991,jr_gap,"&gt;0")&gt;0,"Écart","Conforme")))),IF(COUNTIFS(jr_num,A991,jr_gap,"&lt;0")&gt;0,"Partiel","Sorti")))))</f>
        <v/>
      </c>
      <c r="O991" t="str">
        <f>IFERROR(MATCH(986,jr_grank,0),"")</f>
        <v/>
      </c>
      <c r="R991" s="67" t="str">
        <f>IFERROR(INDEX(jr_num,MATCH("BL986",jr_nkey,0))&amp;"","")</f>
        <v/>
      </c>
      <c r="S991" s="67" t="str">
        <f>IFERROR(INDEX(jr_num,MATCH("BR986",jr_nkey,0))&amp;"","")</f>
        <v/>
      </c>
      <c r="T991" s="67" t="str">
        <f>IFERROR(INDEX(jr_num,MATCH("BS986",jr_nkey,0))&amp;"","")</f>
        <v/>
      </c>
    </row>
    <row r="992">
      <c r="A992" s="60" t="str">
        <f>IF($O992="","",INDEX(jr_num,$O992)&amp;"")</f>
        <v/>
      </c>
      <c r="B992" s="60" t="str">
        <f>IF($O992="","",IF(INDEX(jr_type,$O992)="BL","Livraison",IF(INDEX(jr_type,$O992)="BR","Réception","Sortie")))</f>
        <v/>
      </c>
      <c r="C992" s="65" t="str">
        <f>IF($O992="","",INDEX(jr_date,$O992))</f>
        <v/>
      </c>
      <c r="D992" s="60" t="str">
        <f>IF($O992="","",INDEX(jr_tiers,$O992)&amp;"")</f>
        <v/>
      </c>
      <c r="E992" s="57" t="str">
        <f>IF($O992="","",INDEX(jr_name,$O992)&amp;"")</f>
        <v/>
      </c>
      <c r="F992" s="57" t="str">
        <f>IF($O992="","",INDEX(jr_order,$O992)&amp;"")</f>
        <v/>
      </c>
      <c r="G992" s="57" t="str">
        <f>IF($O992="","",INDEX(jr_ext,$O992)&amp;"")</f>
        <v/>
      </c>
      <c r="H992" s="57" t="str">
        <f>IF($O992="","",INDEX(jr_carrier,$O992)&amp;"")</f>
        <v/>
      </c>
      <c r="I992" s="66" t="str">
        <f>IF(A992="","",COUNTIF(jr_num,A992))</f>
        <v/>
      </c>
      <c r="J992" s="66" t="str">
        <f>IF(A992="","",SUMIF(jr_num,A992,jr_colis))</f>
        <v/>
      </c>
      <c r="K992" s="63" t="str">
        <f>IF(A992="","",SUMIF(jr_num,A992,jr_kg))</f>
        <v/>
      </c>
      <c r="L992" s="64" t="str">
        <f>IF(A992="","",SUMIF(jr_num,A992,jr_val))</f>
        <v/>
      </c>
      <c r="M992" s="60" t="str">
        <f>IF(A992="","",IF(COUNTIFS(jr_num,A992,jr_check,"&lt;&gt;OK")&gt;0,"À vérifier",IF(LEFT(A992,2)="BL",IF(COUNTIFS(jr_num,A992,jr_rel,"&gt;0")&gt;0,"Reliquat en cours",IF(COUNTIFS(jr_num,A992,jr_gap,"&lt;0")&gt;0,"Reliquat livré","Complet")),IF(LEFT(A992,2)="BR",IF(COUNTIFS(jr_num,A992,jr_etat,"Refusé")&gt;0,"Refusé",IF(COUNTIFS(jr_num,A992,jr_etat,"Avec réserves")&gt;0,"Avec réserves",IF(COUNTIFS(jr_num,A992,jr_rel,"&gt;0")&gt;0,"Reliquat en cours",IF(COUNTIFS(jr_num,A992,jr_gap,"&lt;0")+COUNTIFS(jr_num,A992,jr_gap,"&gt;0")&gt;0,"Écart","Conforme")))),IF(COUNTIFS(jr_num,A992,jr_gap,"&lt;0")&gt;0,"Partiel","Sorti")))))</f>
        <v/>
      </c>
      <c r="O992" t="str">
        <f>IFERROR(MATCH(987,jr_grank,0),"")</f>
        <v/>
      </c>
      <c r="R992" s="67" t="str">
        <f>IFERROR(INDEX(jr_num,MATCH("BL987",jr_nkey,0))&amp;"","")</f>
        <v/>
      </c>
      <c r="S992" s="67" t="str">
        <f>IFERROR(INDEX(jr_num,MATCH("BR987",jr_nkey,0))&amp;"","")</f>
        <v/>
      </c>
      <c r="T992" s="67" t="str">
        <f>IFERROR(INDEX(jr_num,MATCH("BS987",jr_nkey,0))&amp;"","")</f>
        <v/>
      </c>
    </row>
    <row r="993">
      <c r="A993" s="60" t="str">
        <f>IF($O993="","",INDEX(jr_num,$O993)&amp;"")</f>
        <v/>
      </c>
      <c r="B993" s="60" t="str">
        <f>IF($O993="","",IF(INDEX(jr_type,$O993)="BL","Livraison",IF(INDEX(jr_type,$O993)="BR","Réception","Sortie")))</f>
        <v/>
      </c>
      <c r="C993" s="65" t="str">
        <f>IF($O993="","",INDEX(jr_date,$O993))</f>
        <v/>
      </c>
      <c r="D993" s="60" t="str">
        <f>IF($O993="","",INDEX(jr_tiers,$O993)&amp;"")</f>
        <v/>
      </c>
      <c r="E993" s="57" t="str">
        <f>IF($O993="","",INDEX(jr_name,$O993)&amp;"")</f>
        <v/>
      </c>
      <c r="F993" s="57" t="str">
        <f>IF($O993="","",INDEX(jr_order,$O993)&amp;"")</f>
        <v/>
      </c>
      <c r="G993" s="57" t="str">
        <f>IF($O993="","",INDEX(jr_ext,$O993)&amp;"")</f>
        <v/>
      </c>
      <c r="H993" s="57" t="str">
        <f>IF($O993="","",INDEX(jr_carrier,$O993)&amp;"")</f>
        <v/>
      </c>
      <c r="I993" s="66" t="str">
        <f>IF(A993="","",COUNTIF(jr_num,A993))</f>
        <v/>
      </c>
      <c r="J993" s="66" t="str">
        <f>IF(A993="","",SUMIF(jr_num,A993,jr_colis))</f>
        <v/>
      </c>
      <c r="K993" s="63" t="str">
        <f>IF(A993="","",SUMIF(jr_num,A993,jr_kg))</f>
        <v/>
      </c>
      <c r="L993" s="64" t="str">
        <f>IF(A993="","",SUMIF(jr_num,A993,jr_val))</f>
        <v/>
      </c>
      <c r="M993" s="60" t="str">
        <f>IF(A993="","",IF(COUNTIFS(jr_num,A993,jr_check,"&lt;&gt;OK")&gt;0,"À vérifier",IF(LEFT(A993,2)="BL",IF(COUNTIFS(jr_num,A993,jr_rel,"&gt;0")&gt;0,"Reliquat en cours",IF(COUNTIFS(jr_num,A993,jr_gap,"&lt;0")&gt;0,"Reliquat livré","Complet")),IF(LEFT(A993,2)="BR",IF(COUNTIFS(jr_num,A993,jr_etat,"Refusé")&gt;0,"Refusé",IF(COUNTIFS(jr_num,A993,jr_etat,"Avec réserves")&gt;0,"Avec réserves",IF(COUNTIFS(jr_num,A993,jr_rel,"&gt;0")&gt;0,"Reliquat en cours",IF(COUNTIFS(jr_num,A993,jr_gap,"&lt;0")+COUNTIFS(jr_num,A993,jr_gap,"&gt;0")&gt;0,"Écart","Conforme")))),IF(COUNTIFS(jr_num,A993,jr_gap,"&lt;0")&gt;0,"Partiel","Sorti")))))</f>
        <v/>
      </c>
      <c r="O993" t="str">
        <f>IFERROR(MATCH(988,jr_grank,0),"")</f>
        <v/>
      </c>
      <c r="R993" s="67" t="str">
        <f>IFERROR(INDEX(jr_num,MATCH("BL988",jr_nkey,0))&amp;"","")</f>
        <v/>
      </c>
      <c r="S993" s="67" t="str">
        <f>IFERROR(INDEX(jr_num,MATCH("BR988",jr_nkey,0))&amp;"","")</f>
        <v/>
      </c>
      <c r="T993" s="67" t="str">
        <f>IFERROR(INDEX(jr_num,MATCH("BS988",jr_nkey,0))&amp;"","")</f>
        <v/>
      </c>
    </row>
    <row r="994">
      <c r="A994" s="60" t="str">
        <f>IF($O994="","",INDEX(jr_num,$O994)&amp;"")</f>
        <v/>
      </c>
      <c r="B994" s="60" t="str">
        <f>IF($O994="","",IF(INDEX(jr_type,$O994)="BL","Livraison",IF(INDEX(jr_type,$O994)="BR","Réception","Sortie")))</f>
        <v/>
      </c>
      <c r="C994" s="65" t="str">
        <f>IF($O994="","",INDEX(jr_date,$O994))</f>
        <v/>
      </c>
      <c r="D994" s="60" t="str">
        <f>IF($O994="","",INDEX(jr_tiers,$O994)&amp;"")</f>
        <v/>
      </c>
      <c r="E994" s="57" t="str">
        <f>IF($O994="","",INDEX(jr_name,$O994)&amp;"")</f>
        <v/>
      </c>
      <c r="F994" s="57" t="str">
        <f>IF($O994="","",INDEX(jr_order,$O994)&amp;"")</f>
        <v/>
      </c>
      <c r="G994" s="57" t="str">
        <f>IF($O994="","",INDEX(jr_ext,$O994)&amp;"")</f>
        <v/>
      </c>
      <c r="H994" s="57" t="str">
        <f>IF($O994="","",INDEX(jr_carrier,$O994)&amp;"")</f>
        <v/>
      </c>
      <c r="I994" s="66" t="str">
        <f>IF(A994="","",COUNTIF(jr_num,A994))</f>
        <v/>
      </c>
      <c r="J994" s="66" t="str">
        <f>IF(A994="","",SUMIF(jr_num,A994,jr_colis))</f>
        <v/>
      </c>
      <c r="K994" s="63" t="str">
        <f>IF(A994="","",SUMIF(jr_num,A994,jr_kg))</f>
        <v/>
      </c>
      <c r="L994" s="64" t="str">
        <f>IF(A994="","",SUMIF(jr_num,A994,jr_val))</f>
        <v/>
      </c>
      <c r="M994" s="60" t="str">
        <f>IF(A994="","",IF(COUNTIFS(jr_num,A994,jr_check,"&lt;&gt;OK")&gt;0,"À vérifier",IF(LEFT(A994,2)="BL",IF(COUNTIFS(jr_num,A994,jr_rel,"&gt;0")&gt;0,"Reliquat en cours",IF(COUNTIFS(jr_num,A994,jr_gap,"&lt;0")&gt;0,"Reliquat livré","Complet")),IF(LEFT(A994,2)="BR",IF(COUNTIFS(jr_num,A994,jr_etat,"Refusé")&gt;0,"Refusé",IF(COUNTIFS(jr_num,A994,jr_etat,"Avec réserves")&gt;0,"Avec réserves",IF(COUNTIFS(jr_num,A994,jr_rel,"&gt;0")&gt;0,"Reliquat en cours",IF(COUNTIFS(jr_num,A994,jr_gap,"&lt;0")+COUNTIFS(jr_num,A994,jr_gap,"&gt;0")&gt;0,"Écart","Conforme")))),IF(COUNTIFS(jr_num,A994,jr_gap,"&lt;0")&gt;0,"Partiel","Sorti")))))</f>
        <v/>
      </c>
      <c r="O994" t="str">
        <f>IFERROR(MATCH(989,jr_grank,0),"")</f>
        <v/>
      </c>
      <c r="R994" s="67" t="str">
        <f>IFERROR(INDEX(jr_num,MATCH("BL989",jr_nkey,0))&amp;"","")</f>
        <v/>
      </c>
      <c r="S994" s="67" t="str">
        <f>IFERROR(INDEX(jr_num,MATCH("BR989",jr_nkey,0))&amp;"","")</f>
        <v/>
      </c>
      <c r="T994" s="67" t="str">
        <f>IFERROR(INDEX(jr_num,MATCH("BS989",jr_nkey,0))&amp;"","")</f>
        <v/>
      </c>
    </row>
    <row r="995">
      <c r="A995" s="60" t="str">
        <f>IF($O995="","",INDEX(jr_num,$O995)&amp;"")</f>
        <v/>
      </c>
      <c r="B995" s="60" t="str">
        <f>IF($O995="","",IF(INDEX(jr_type,$O995)="BL","Livraison",IF(INDEX(jr_type,$O995)="BR","Réception","Sortie")))</f>
        <v/>
      </c>
      <c r="C995" s="65" t="str">
        <f>IF($O995="","",INDEX(jr_date,$O995))</f>
        <v/>
      </c>
      <c r="D995" s="60" t="str">
        <f>IF($O995="","",INDEX(jr_tiers,$O995)&amp;"")</f>
        <v/>
      </c>
      <c r="E995" s="57" t="str">
        <f>IF($O995="","",INDEX(jr_name,$O995)&amp;"")</f>
        <v/>
      </c>
      <c r="F995" s="57" t="str">
        <f>IF($O995="","",INDEX(jr_order,$O995)&amp;"")</f>
        <v/>
      </c>
      <c r="G995" s="57" t="str">
        <f>IF($O995="","",INDEX(jr_ext,$O995)&amp;"")</f>
        <v/>
      </c>
      <c r="H995" s="57" t="str">
        <f>IF($O995="","",INDEX(jr_carrier,$O995)&amp;"")</f>
        <v/>
      </c>
      <c r="I995" s="66" t="str">
        <f>IF(A995="","",COUNTIF(jr_num,A995))</f>
        <v/>
      </c>
      <c r="J995" s="66" t="str">
        <f>IF(A995="","",SUMIF(jr_num,A995,jr_colis))</f>
        <v/>
      </c>
      <c r="K995" s="63" t="str">
        <f>IF(A995="","",SUMIF(jr_num,A995,jr_kg))</f>
        <v/>
      </c>
      <c r="L995" s="64" t="str">
        <f>IF(A995="","",SUMIF(jr_num,A995,jr_val))</f>
        <v/>
      </c>
      <c r="M995" s="60" t="str">
        <f>IF(A995="","",IF(COUNTIFS(jr_num,A995,jr_check,"&lt;&gt;OK")&gt;0,"À vérifier",IF(LEFT(A995,2)="BL",IF(COUNTIFS(jr_num,A995,jr_rel,"&gt;0")&gt;0,"Reliquat en cours",IF(COUNTIFS(jr_num,A995,jr_gap,"&lt;0")&gt;0,"Reliquat livré","Complet")),IF(LEFT(A995,2)="BR",IF(COUNTIFS(jr_num,A995,jr_etat,"Refusé")&gt;0,"Refusé",IF(COUNTIFS(jr_num,A995,jr_etat,"Avec réserves")&gt;0,"Avec réserves",IF(COUNTIFS(jr_num,A995,jr_rel,"&gt;0")&gt;0,"Reliquat en cours",IF(COUNTIFS(jr_num,A995,jr_gap,"&lt;0")+COUNTIFS(jr_num,A995,jr_gap,"&gt;0")&gt;0,"Écart","Conforme")))),IF(COUNTIFS(jr_num,A995,jr_gap,"&lt;0")&gt;0,"Partiel","Sorti")))))</f>
        <v/>
      </c>
      <c r="O995" t="str">
        <f>IFERROR(MATCH(990,jr_grank,0),"")</f>
        <v/>
      </c>
      <c r="R995" s="67" t="str">
        <f>IFERROR(INDEX(jr_num,MATCH("BL990",jr_nkey,0))&amp;"","")</f>
        <v/>
      </c>
      <c r="S995" s="67" t="str">
        <f>IFERROR(INDEX(jr_num,MATCH("BR990",jr_nkey,0))&amp;"","")</f>
        <v/>
      </c>
      <c r="T995" s="67" t="str">
        <f>IFERROR(INDEX(jr_num,MATCH("BS990",jr_nkey,0))&amp;"","")</f>
        <v/>
      </c>
    </row>
    <row r="996">
      <c r="A996" s="60" t="str">
        <f>IF($O996="","",INDEX(jr_num,$O996)&amp;"")</f>
        <v/>
      </c>
      <c r="B996" s="60" t="str">
        <f>IF($O996="","",IF(INDEX(jr_type,$O996)="BL","Livraison",IF(INDEX(jr_type,$O996)="BR","Réception","Sortie")))</f>
        <v/>
      </c>
      <c r="C996" s="65" t="str">
        <f>IF($O996="","",INDEX(jr_date,$O996))</f>
        <v/>
      </c>
      <c r="D996" s="60" t="str">
        <f>IF($O996="","",INDEX(jr_tiers,$O996)&amp;"")</f>
        <v/>
      </c>
      <c r="E996" s="57" t="str">
        <f>IF($O996="","",INDEX(jr_name,$O996)&amp;"")</f>
        <v/>
      </c>
      <c r="F996" s="57" t="str">
        <f>IF($O996="","",INDEX(jr_order,$O996)&amp;"")</f>
        <v/>
      </c>
      <c r="G996" s="57" t="str">
        <f>IF($O996="","",INDEX(jr_ext,$O996)&amp;"")</f>
        <v/>
      </c>
      <c r="H996" s="57" t="str">
        <f>IF($O996="","",INDEX(jr_carrier,$O996)&amp;"")</f>
        <v/>
      </c>
      <c r="I996" s="66" t="str">
        <f>IF(A996="","",COUNTIF(jr_num,A996))</f>
        <v/>
      </c>
      <c r="J996" s="66" t="str">
        <f>IF(A996="","",SUMIF(jr_num,A996,jr_colis))</f>
        <v/>
      </c>
      <c r="K996" s="63" t="str">
        <f>IF(A996="","",SUMIF(jr_num,A996,jr_kg))</f>
        <v/>
      </c>
      <c r="L996" s="64" t="str">
        <f>IF(A996="","",SUMIF(jr_num,A996,jr_val))</f>
        <v/>
      </c>
      <c r="M996" s="60" t="str">
        <f>IF(A996="","",IF(COUNTIFS(jr_num,A996,jr_check,"&lt;&gt;OK")&gt;0,"À vérifier",IF(LEFT(A996,2)="BL",IF(COUNTIFS(jr_num,A996,jr_rel,"&gt;0")&gt;0,"Reliquat en cours",IF(COUNTIFS(jr_num,A996,jr_gap,"&lt;0")&gt;0,"Reliquat livré","Complet")),IF(LEFT(A996,2)="BR",IF(COUNTIFS(jr_num,A996,jr_etat,"Refusé")&gt;0,"Refusé",IF(COUNTIFS(jr_num,A996,jr_etat,"Avec réserves")&gt;0,"Avec réserves",IF(COUNTIFS(jr_num,A996,jr_rel,"&gt;0")&gt;0,"Reliquat en cours",IF(COUNTIFS(jr_num,A996,jr_gap,"&lt;0")+COUNTIFS(jr_num,A996,jr_gap,"&gt;0")&gt;0,"Écart","Conforme")))),IF(COUNTIFS(jr_num,A996,jr_gap,"&lt;0")&gt;0,"Partiel","Sorti")))))</f>
        <v/>
      </c>
      <c r="O996" t="str">
        <f>IFERROR(MATCH(991,jr_grank,0),"")</f>
        <v/>
      </c>
      <c r="R996" s="67" t="str">
        <f>IFERROR(INDEX(jr_num,MATCH("BL991",jr_nkey,0))&amp;"","")</f>
        <v/>
      </c>
      <c r="S996" s="67" t="str">
        <f>IFERROR(INDEX(jr_num,MATCH("BR991",jr_nkey,0))&amp;"","")</f>
        <v/>
      </c>
      <c r="T996" s="67" t="str">
        <f>IFERROR(INDEX(jr_num,MATCH("BS991",jr_nkey,0))&amp;"","")</f>
        <v/>
      </c>
    </row>
    <row r="997">
      <c r="A997" s="60" t="str">
        <f>IF($O997="","",INDEX(jr_num,$O997)&amp;"")</f>
        <v/>
      </c>
      <c r="B997" s="60" t="str">
        <f>IF($O997="","",IF(INDEX(jr_type,$O997)="BL","Livraison",IF(INDEX(jr_type,$O997)="BR","Réception","Sortie")))</f>
        <v/>
      </c>
      <c r="C997" s="65" t="str">
        <f>IF($O997="","",INDEX(jr_date,$O997))</f>
        <v/>
      </c>
      <c r="D997" s="60" t="str">
        <f>IF($O997="","",INDEX(jr_tiers,$O997)&amp;"")</f>
        <v/>
      </c>
      <c r="E997" s="57" t="str">
        <f>IF($O997="","",INDEX(jr_name,$O997)&amp;"")</f>
        <v/>
      </c>
      <c r="F997" s="57" t="str">
        <f>IF($O997="","",INDEX(jr_order,$O997)&amp;"")</f>
        <v/>
      </c>
      <c r="G997" s="57" t="str">
        <f>IF($O997="","",INDEX(jr_ext,$O997)&amp;"")</f>
        <v/>
      </c>
      <c r="H997" s="57" t="str">
        <f>IF($O997="","",INDEX(jr_carrier,$O997)&amp;"")</f>
        <v/>
      </c>
      <c r="I997" s="66" t="str">
        <f>IF(A997="","",COUNTIF(jr_num,A997))</f>
        <v/>
      </c>
      <c r="J997" s="66" t="str">
        <f>IF(A997="","",SUMIF(jr_num,A997,jr_colis))</f>
        <v/>
      </c>
      <c r="K997" s="63" t="str">
        <f>IF(A997="","",SUMIF(jr_num,A997,jr_kg))</f>
        <v/>
      </c>
      <c r="L997" s="64" t="str">
        <f>IF(A997="","",SUMIF(jr_num,A997,jr_val))</f>
        <v/>
      </c>
      <c r="M997" s="60" t="str">
        <f>IF(A997="","",IF(COUNTIFS(jr_num,A997,jr_check,"&lt;&gt;OK")&gt;0,"À vérifier",IF(LEFT(A997,2)="BL",IF(COUNTIFS(jr_num,A997,jr_rel,"&gt;0")&gt;0,"Reliquat en cours",IF(COUNTIFS(jr_num,A997,jr_gap,"&lt;0")&gt;0,"Reliquat livré","Complet")),IF(LEFT(A997,2)="BR",IF(COUNTIFS(jr_num,A997,jr_etat,"Refusé")&gt;0,"Refusé",IF(COUNTIFS(jr_num,A997,jr_etat,"Avec réserves")&gt;0,"Avec réserves",IF(COUNTIFS(jr_num,A997,jr_rel,"&gt;0")&gt;0,"Reliquat en cours",IF(COUNTIFS(jr_num,A997,jr_gap,"&lt;0")+COUNTIFS(jr_num,A997,jr_gap,"&gt;0")&gt;0,"Écart","Conforme")))),IF(COUNTIFS(jr_num,A997,jr_gap,"&lt;0")&gt;0,"Partiel","Sorti")))))</f>
        <v/>
      </c>
      <c r="O997" t="str">
        <f>IFERROR(MATCH(992,jr_grank,0),"")</f>
        <v/>
      </c>
      <c r="R997" s="67" t="str">
        <f>IFERROR(INDEX(jr_num,MATCH("BL992",jr_nkey,0))&amp;"","")</f>
        <v/>
      </c>
      <c r="S997" s="67" t="str">
        <f>IFERROR(INDEX(jr_num,MATCH("BR992",jr_nkey,0))&amp;"","")</f>
        <v/>
      </c>
      <c r="T997" s="67" t="str">
        <f>IFERROR(INDEX(jr_num,MATCH("BS992",jr_nkey,0))&amp;"","")</f>
        <v/>
      </c>
    </row>
    <row r="998">
      <c r="A998" s="60" t="str">
        <f>IF($O998="","",INDEX(jr_num,$O998)&amp;"")</f>
        <v/>
      </c>
      <c r="B998" s="60" t="str">
        <f>IF($O998="","",IF(INDEX(jr_type,$O998)="BL","Livraison",IF(INDEX(jr_type,$O998)="BR","Réception","Sortie")))</f>
        <v/>
      </c>
      <c r="C998" s="65" t="str">
        <f>IF($O998="","",INDEX(jr_date,$O998))</f>
        <v/>
      </c>
      <c r="D998" s="60" t="str">
        <f>IF($O998="","",INDEX(jr_tiers,$O998)&amp;"")</f>
        <v/>
      </c>
      <c r="E998" s="57" t="str">
        <f>IF($O998="","",INDEX(jr_name,$O998)&amp;"")</f>
        <v/>
      </c>
      <c r="F998" s="57" t="str">
        <f>IF($O998="","",INDEX(jr_order,$O998)&amp;"")</f>
        <v/>
      </c>
      <c r="G998" s="57" t="str">
        <f>IF($O998="","",INDEX(jr_ext,$O998)&amp;"")</f>
        <v/>
      </c>
      <c r="H998" s="57" t="str">
        <f>IF($O998="","",INDEX(jr_carrier,$O998)&amp;"")</f>
        <v/>
      </c>
      <c r="I998" s="66" t="str">
        <f>IF(A998="","",COUNTIF(jr_num,A998))</f>
        <v/>
      </c>
      <c r="J998" s="66" t="str">
        <f>IF(A998="","",SUMIF(jr_num,A998,jr_colis))</f>
        <v/>
      </c>
      <c r="K998" s="63" t="str">
        <f>IF(A998="","",SUMIF(jr_num,A998,jr_kg))</f>
        <v/>
      </c>
      <c r="L998" s="64" t="str">
        <f>IF(A998="","",SUMIF(jr_num,A998,jr_val))</f>
        <v/>
      </c>
      <c r="M998" s="60" t="str">
        <f>IF(A998="","",IF(COUNTIFS(jr_num,A998,jr_check,"&lt;&gt;OK")&gt;0,"À vérifier",IF(LEFT(A998,2)="BL",IF(COUNTIFS(jr_num,A998,jr_rel,"&gt;0")&gt;0,"Reliquat en cours",IF(COUNTIFS(jr_num,A998,jr_gap,"&lt;0")&gt;0,"Reliquat livré","Complet")),IF(LEFT(A998,2)="BR",IF(COUNTIFS(jr_num,A998,jr_etat,"Refusé")&gt;0,"Refusé",IF(COUNTIFS(jr_num,A998,jr_etat,"Avec réserves")&gt;0,"Avec réserves",IF(COUNTIFS(jr_num,A998,jr_rel,"&gt;0")&gt;0,"Reliquat en cours",IF(COUNTIFS(jr_num,A998,jr_gap,"&lt;0")+COUNTIFS(jr_num,A998,jr_gap,"&gt;0")&gt;0,"Écart","Conforme")))),IF(COUNTIFS(jr_num,A998,jr_gap,"&lt;0")&gt;0,"Partiel","Sorti")))))</f>
        <v/>
      </c>
      <c r="O998" t="str">
        <f>IFERROR(MATCH(993,jr_grank,0),"")</f>
        <v/>
      </c>
      <c r="R998" s="67" t="str">
        <f>IFERROR(INDEX(jr_num,MATCH("BL993",jr_nkey,0))&amp;"","")</f>
        <v/>
      </c>
      <c r="S998" s="67" t="str">
        <f>IFERROR(INDEX(jr_num,MATCH("BR993",jr_nkey,0))&amp;"","")</f>
        <v/>
      </c>
      <c r="T998" s="67" t="str">
        <f>IFERROR(INDEX(jr_num,MATCH("BS993",jr_nkey,0))&amp;"","")</f>
        <v/>
      </c>
    </row>
    <row r="999">
      <c r="A999" s="60" t="str">
        <f>IF($O999="","",INDEX(jr_num,$O999)&amp;"")</f>
        <v/>
      </c>
      <c r="B999" s="60" t="str">
        <f>IF($O999="","",IF(INDEX(jr_type,$O999)="BL","Livraison",IF(INDEX(jr_type,$O999)="BR","Réception","Sortie")))</f>
        <v/>
      </c>
      <c r="C999" s="65" t="str">
        <f>IF($O999="","",INDEX(jr_date,$O999))</f>
        <v/>
      </c>
      <c r="D999" s="60" t="str">
        <f>IF($O999="","",INDEX(jr_tiers,$O999)&amp;"")</f>
        <v/>
      </c>
      <c r="E999" s="57" t="str">
        <f>IF($O999="","",INDEX(jr_name,$O999)&amp;"")</f>
        <v/>
      </c>
      <c r="F999" s="57" t="str">
        <f>IF($O999="","",INDEX(jr_order,$O999)&amp;"")</f>
        <v/>
      </c>
      <c r="G999" s="57" t="str">
        <f>IF($O999="","",INDEX(jr_ext,$O999)&amp;"")</f>
        <v/>
      </c>
      <c r="H999" s="57" t="str">
        <f>IF($O999="","",INDEX(jr_carrier,$O999)&amp;"")</f>
        <v/>
      </c>
      <c r="I999" s="66" t="str">
        <f>IF(A999="","",COUNTIF(jr_num,A999))</f>
        <v/>
      </c>
      <c r="J999" s="66" t="str">
        <f>IF(A999="","",SUMIF(jr_num,A999,jr_colis))</f>
        <v/>
      </c>
      <c r="K999" s="63" t="str">
        <f>IF(A999="","",SUMIF(jr_num,A999,jr_kg))</f>
        <v/>
      </c>
      <c r="L999" s="64" t="str">
        <f>IF(A999="","",SUMIF(jr_num,A999,jr_val))</f>
        <v/>
      </c>
      <c r="M999" s="60" t="str">
        <f>IF(A999="","",IF(COUNTIFS(jr_num,A999,jr_check,"&lt;&gt;OK")&gt;0,"À vérifier",IF(LEFT(A999,2)="BL",IF(COUNTIFS(jr_num,A999,jr_rel,"&gt;0")&gt;0,"Reliquat en cours",IF(COUNTIFS(jr_num,A999,jr_gap,"&lt;0")&gt;0,"Reliquat livré","Complet")),IF(LEFT(A999,2)="BR",IF(COUNTIFS(jr_num,A999,jr_etat,"Refusé")&gt;0,"Refusé",IF(COUNTIFS(jr_num,A999,jr_etat,"Avec réserves")&gt;0,"Avec réserves",IF(COUNTIFS(jr_num,A999,jr_rel,"&gt;0")&gt;0,"Reliquat en cours",IF(COUNTIFS(jr_num,A999,jr_gap,"&lt;0")+COUNTIFS(jr_num,A999,jr_gap,"&gt;0")&gt;0,"Écart","Conforme")))),IF(COUNTIFS(jr_num,A999,jr_gap,"&lt;0")&gt;0,"Partiel","Sorti")))))</f>
        <v/>
      </c>
      <c r="O999" t="str">
        <f>IFERROR(MATCH(994,jr_grank,0),"")</f>
        <v/>
      </c>
      <c r="R999" s="67" t="str">
        <f>IFERROR(INDEX(jr_num,MATCH("BL994",jr_nkey,0))&amp;"","")</f>
        <v/>
      </c>
      <c r="S999" s="67" t="str">
        <f>IFERROR(INDEX(jr_num,MATCH("BR994",jr_nkey,0))&amp;"","")</f>
        <v/>
      </c>
      <c r="T999" s="67" t="str">
        <f>IFERROR(INDEX(jr_num,MATCH("BS994",jr_nkey,0))&amp;"","")</f>
        <v/>
      </c>
    </row>
    <row r="1000">
      <c r="A1000" s="60" t="str">
        <f>IF($O1000="","",INDEX(jr_num,$O1000)&amp;"")</f>
        <v/>
      </c>
      <c r="B1000" s="60" t="str">
        <f>IF($O1000="","",IF(INDEX(jr_type,$O1000)="BL","Livraison",IF(INDEX(jr_type,$O1000)="BR","Réception","Sortie")))</f>
        <v/>
      </c>
      <c r="C1000" s="65" t="str">
        <f>IF($O1000="","",INDEX(jr_date,$O1000))</f>
        <v/>
      </c>
      <c r="D1000" s="60" t="str">
        <f>IF($O1000="","",INDEX(jr_tiers,$O1000)&amp;"")</f>
        <v/>
      </c>
      <c r="E1000" s="57" t="str">
        <f>IF($O1000="","",INDEX(jr_name,$O1000)&amp;"")</f>
        <v/>
      </c>
      <c r="F1000" s="57" t="str">
        <f>IF($O1000="","",INDEX(jr_order,$O1000)&amp;"")</f>
        <v/>
      </c>
      <c r="G1000" s="57" t="str">
        <f>IF($O1000="","",INDEX(jr_ext,$O1000)&amp;"")</f>
        <v/>
      </c>
      <c r="H1000" s="57" t="str">
        <f>IF($O1000="","",INDEX(jr_carrier,$O1000)&amp;"")</f>
        <v/>
      </c>
      <c r="I1000" s="66" t="str">
        <f>IF(A1000="","",COUNTIF(jr_num,A1000))</f>
        <v/>
      </c>
      <c r="J1000" s="66" t="str">
        <f>IF(A1000="","",SUMIF(jr_num,A1000,jr_colis))</f>
        <v/>
      </c>
      <c r="K1000" s="63" t="str">
        <f>IF(A1000="","",SUMIF(jr_num,A1000,jr_kg))</f>
        <v/>
      </c>
      <c r="L1000" s="64" t="str">
        <f>IF(A1000="","",SUMIF(jr_num,A1000,jr_val))</f>
        <v/>
      </c>
      <c r="M1000" s="60" t="str">
        <f>IF(A1000="","",IF(COUNTIFS(jr_num,A1000,jr_check,"&lt;&gt;OK")&gt;0,"À vérifier",IF(LEFT(A1000,2)="BL",IF(COUNTIFS(jr_num,A1000,jr_rel,"&gt;0")&gt;0,"Reliquat en cours",IF(COUNTIFS(jr_num,A1000,jr_gap,"&lt;0")&gt;0,"Reliquat livré","Complet")),IF(LEFT(A1000,2)="BR",IF(COUNTIFS(jr_num,A1000,jr_etat,"Refusé")&gt;0,"Refusé",IF(COUNTIFS(jr_num,A1000,jr_etat,"Avec réserves")&gt;0,"Avec réserves",IF(COUNTIFS(jr_num,A1000,jr_rel,"&gt;0")&gt;0,"Reliquat en cours",IF(COUNTIFS(jr_num,A1000,jr_gap,"&lt;0")+COUNTIFS(jr_num,A1000,jr_gap,"&gt;0")&gt;0,"Écart","Conforme")))),IF(COUNTIFS(jr_num,A1000,jr_gap,"&lt;0")&gt;0,"Partiel","Sorti")))))</f>
        <v/>
      </c>
      <c r="O1000" t="str">
        <f>IFERROR(MATCH(995,jr_grank,0),"")</f>
        <v/>
      </c>
      <c r="R1000" s="67" t="str">
        <f>IFERROR(INDEX(jr_num,MATCH("BL995",jr_nkey,0))&amp;"","")</f>
        <v/>
      </c>
      <c r="S1000" s="67" t="str">
        <f>IFERROR(INDEX(jr_num,MATCH("BR995",jr_nkey,0))&amp;"","")</f>
        <v/>
      </c>
      <c r="T1000" s="67" t="str">
        <f>IFERROR(INDEX(jr_num,MATCH("BS995",jr_nkey,0))&amp;"","")</f>
        <v/>
      </c>
    </row>
    <row r="1001">
      <c r="A1001" s="60" t="str">
        <f>IF($O1001="","",INDEX(jr_num,$O1001)&amp;"")</f>
        <v/>
      </c>
      <c r="B1001" s="60" t="str">
        <f>IF($O1001="","",IF(INDEX(jr_type,$O1001)="BL","Livraison",IF(INDEX(jr_type,$O1001)="BR","Réception","Sortie")))</f>
        <v/>
      </c>
      <c r="C1001" s="65" t="str">
        <f>IF($O1001="","",INDEX(jr_date,$O1001))</f>
        <v/>
      </c>
      <c r="D1001" s="60" t="str">
        <f>IF($O1001="","",INDEX(jr_tiers,$O1001)&amp;"")</f>
        <v/>
      </c>
      <c r="E1001" s="57" t="str">
        <f>IF($O1001="","",INDEX(jr_name,$O1001)&amp;"")</f>
        <v/>
      </c>
      <c r="F1001" s="57" t="str">
        <f>IF($O1001="","",INDEX(jr_order,$O1001)&amp;"")</f>
        <v/>
      </c>
      <c r="G1001" s="57" t="str">
        <f>IF($O1001="","",INDEX(jr_ext,$O1001)&amp;"")</f>
        <v/>
      </c>
      <c r="H1001" s="57" t="str">
        <f>IF($O1001="","",INDEX(jr_carrier,$O1001)&amp;"")</f>
        <v/>
      </c>
      <c r="I1001" s="66" t="str">
        <f>IF(A1001="","",COUNTIF(jr_num,A1001))</f>
        <v/>
      </c>
      <c r="J1001" s="66" t="str">
        <f>IF(A1001="","",SUMIF(jr_num,A1001,jr_colis))</f>
        <v/>
      </c>
      <c r="K1001" s="63" t="str">
        <f>IF(A1001="","",SUMIF(jr_num,A1001,jr_kg))</f>
        <v/>
      </c>
      <c r="L1001" s="64" t="str">
        <f>IF(A1001="","",SUMIF(jr_num,A1001,jr_val))</f>
        <v/>
      </c>
      <c r="M1001" s="60" t="str">
        <f>IF(A1001="","",IF(COUNTIFS(jr_num,A1001,jr_check,"&lt;&gt;OK")&gt;0,"À vérifier",IF(LEFT(A1001,2)="BL",IF(COUNTIFS(jr_num,A1001,jr_rel,"&gt;0")&gt;0,"Reliquat en cours",IF(COUNTIFS(jr_num,A1001,jr_gap,"&lt;0")&gt;0,"Reliquat livré","Complet")),IF(LEFT(A1001,2)="BR",IF(COUNTIFS(jr_num,A1001,jr_etat,"Refusé")&gt;0,"Refusé",IF(COUNTIFS(jr_num,A1001,jr_etat,"Avec réserves")&gt;0,"Avec réserves",IF(COUNTIFS(jr_num,A1001,jr_rel,"&gt;0")&gt;0,"Reliquat en cours",IF(COUNTIFS(jr_num,A1001,jr_gap,"&lt;0")+COUNTIFS(jr_num,A1001,jr_gap,"&gt;0")&gt;0,"Écart","Conforme")))),IF(COUNTIFS(jr_num,A1001,jr_gap,"&lt;0")&gt;0,"Partiel","Sorti")))))</f>
        <v/>
      </c>
      <c r="O1001" t="str">
        <f>IFERROR(MATCH(996,jr_grank,0),"")</f>
        <v/>
      </c>
      <c r="R1001" s="67" t="str">
        <f>IFERROR(INDEX(jr_num,MATCH("BL996",jr_nkey,0))&amp;"","")</f>
        <v/>
      </c>
      <c r="S1001" s="67" t="str">
        <f>IFERROR(INDEX(jr_num,MATCH("BR996",jr_nkey,0))&amp;"","")</f>
        <v/>
      </c>
      <c r="T1001" s="67" t="str">
        <f>IFERROR(INDEX(jr_num,MATCH("BS996",jr_nkey,0))&amp;"","")</f>
        <v/>
      </c>
    </row>
    <row r="1002">
      <c r="A1002" s="60" t="str">
        <f>IF($O1002="","",INDEX(jr_num,$O1002)&amp;"")</f>
        <v/>
      </c>
      <c r="B1002" s="60" t="str">
        <f>IF($O1002="","",IF(INDEX(jr_type,$O1002)="BL","Livraison",IF(INDEX(jr_type,$O1002)="BR","Réception","Sortie")))</f>
        <v/>
      </c>
      <c r="C1002" s="65" t="str">
        <f>IF($O1002="","",INDEX(jr_date,$O1002))</f>
        <v/>
      </c>
      <c r="D1002" s="60" t="str">
        <f>IF($O1002="","",INDEX(jr_tiers,$O1002)&amp;"")</f>
        <v/>
      </c>
      <c r="E1002" s="57" t="str">
        <f>IF($O1002="","",INDEX(jr_name,$O1002)&amp;"")</f>
        <v/>
      </c>
      <c r="F1002" s="57" t="str">
        <f>IF($O1002="","",INDEX(jr_order,$O1002)&amp;"")</f>
        <v/>
      </c>
      <c r="G1002" s="57" t="str">
        <f>IF($O1002="","",INDEX(jr_ext,$O1002)&amp;"")</f>
        <v/>
      </c>
      <c r="H1002" s="57" t="str">
        <f>IF($O1002="","",INDEX(jr_carrier,$O1002)&amp;"")</f>
        <v/>
      </c>
      <c r="I1002" s="66" t="str">
        <f>IF(A1002="","",COUNTIF(jr_num,A1002))</f>
        <v/>
      </c>
      <c r="J1002" s="66" t="str">
        <f>IF(A1002="","",SUMIF(jr_num,A1002,jr_colis))</f>
        <v/>
      </c>
      <c r="K1002" s="63" t="str">
        <f>IF(A1002="","",SUMIF(jr_num,A1002,jr_kg))</f>
        <v/>
      </c>
      <c r="L1002" s="64" t="str">
        <f>IF(A1002="","",SUMIF(jr_num,A1002,jr_val))</f>
        <v/>
      </c>
      <c r="M1002" s="60" t="str">
        <f>IF(A1002="","",IF(COUNTIFS(jr_num,A1002,jr_check,"&lt;&gt;OK")&gt;0,"À vérifier",IF(LEFT(A1002,2)="BL",IF(COUNTIFS(jr_num,A1002,jr_rel,"&gt;0")&gt;0,"Reliquat en cours",IF(COUNTIFS(jr_num,A1002,jr_gap,"&lt;0")&gt;0,"Reliquat livré","Complet")),IF(LEFT(A1002,2)="BR",IF(COUNTIFS(jr_num,A1002,jr_etat,"Refusé")&gt;0,"Refusé",IF(COUNTIFS(jr_num,A1002,jr_etat,"Avec réserves")&gt;0,"Avec réserves",IF(COUNTIFS(jr_num,A1002,jr_rel,"&gt;0")&gt;0,"Reliquat en cours",IF(COUNTIFS(jr_num,A1002,jr_gap,"&lt;0")+COUNTIFS(jr_num,A1002,jr_gap,"&gt;0")&gt;0,"Écart","Conforme")))),IF(COUNTIFS(jr_num,A1002,jr_gap,"&lt;0")&gt;0,"Partiel","Sorti")))))</f>
        <v/>
      </c>
      <c r="O1002" t="str">
        <f>IFERROR(MATCH(997,jr_grank,0),"")</f>
        <v/>
      </c>
      <c r="R1002" s="67" t="str">
        <f>IFERROR(INDEX(jr_num,MATCH("BL997",jr_nkey,0))&amp;"","")</f>
        <v/>
      </c>
      <c r="S1002" s="67" t="str">
        <f>IFERROR(INDEX(jr_num,MATCH("BR997",jr_nkey,0))&amp;"","")</f>
        <v/>
      </c>
      <c r="T1002" s="67" t="str">
        <f>IFERROR(INDEX(jr_num,MATCH("BS997",jr_nkey,0))&amp;"","")</f>
        <v/>
      </c>
    </row>
    <row r="1003">
      <c r="A1003" s="60" t="str">
        <f>IF($O1003="","",INDEX(jr_num,$O1003)&amp;"")</f>
        <v/>
      </c>
      <c r="B1003" s="60" t="str">
        <f>IF($O1003="","",IF(INDEX(jr_type,$O1003)="BL","Livraison",IF(INDEX(jr_type,$O1003)="BR","Réception","Sortie")))</f>
        <v/>
      </c>
      <c r="C1003" s="65" t="str">
        <f>IF($O1003="","",INDEX(jr_date,$O1003))</f>
        <v/>
      </c>
      <c r="D1003" s="60" t="str">
        <f>IF($O1003="","",INDEX(jr_tiers,$O1003)&amp;"")</f>
        <v/>
      </c>
      <c r="E1003" s="57" t="str">
        <f>IF($O1003="","",INDEX(jr_name,$O1003)&amp;"")</f>
        <v/>
      </c>
      <c r="F1003" s="57" t="str">
        <f>IF($O1003="","",INDEX(jr_order,$O1003)&amp;"")</f>
        <v/>
      </c>
      <c r="G1003" s="57" t="str">
        <f>IF($O1003="","",INDEX(jr_ext,$O1003)&amp;"")</f>
        <v/>
      </c>
      <c r="H1003" s="57" t="str">
        <f>IF($O1003="","",INDEX(jr_carrier,$O1003)&amp;"")</f>
        <v/>
      </c>
      <c r="I1003" s="66" t="str">
        <f>IF(A1003="","",COUNTIF(jr_num,A1003))</f>
        <v/>
      </c>
      <c r="J1003" s="66" t="str">
        <f>IF(A1003="","",SUMIF(jr_num,A1003,jr_colis))</f>
        <v/>
      </c>
      <c r="K1003" s="63" t="str">
        <f>IF(A1003="","",SUMIF(jr_num,A1003,jr_kg))</f>
        <v/>
      </c>
      <c r="L1003" s="64" t="str">
        <f>IF(A1003="","",SUMIF(jr_num,A1003,jr_val))</f>
        <v/>
      </c>
      <c r="M1003" s="60" t="str">
        <f>IF(A1003="","",IF(COUNTIFS(jr_num,A1003,jr_check,"&lt;&gt;OK")&gt;0,"À vérifier",IF(LEFT(A1003,2)="BL",IF(COUNTIFS(jr_num,A1003,jr_rel,"&gt;0")&gt;0,"Reliquat en cours",IF(COUNTIFS(jr_num,A1003,jr_gap,"&lt;0")&gt;0,"Reliquat livré","Complet")),IF(LEFT(A1003,2)="BR",IF(COUNTIFS(jr_num,A1003,jr_etat,"Refusé")&gt;0,"Refusé",IF(COUNTIFS(jr_num,A1003,jr_etat,"Avec réserves")&gt;0,"Avec réserves",IF(COUNTIFS(jr_num,A1003,jr_rel,"&gt;0")&gt;0,"Reliquat en cours",IF(COUNTIFS(jr_num,A1003,jr_gap,"&lt;0")+COUNTIFS(jr_num,A1003,jr_gap,"&gt;0")&gt;0,"Écart","Conforme")))),IF(COUNTIFS(jr_num,A1003,jr_gap,"&lt;0")&gt;0,"Partiel","Sorti")))))</f>
        <v/>
      </c>
      <c r="O1003" t="str">
        <f>IFERROR(MATCH(998,jr_grank,0),"")</f>
        <v/>
      </c>
      <c r="R1003" s="67" t="str">
        <f>IFERROR(INDEX(jr_num,MATCH("BL998",jr_nkey,0))&amp;"","")</f>
        <v/>
      </c>
      <c r="S1003" s="67" t="str">
        <f>IFERROR(INDEX(jr_num,MATCH("BR998",jr_nkey,0))&amp;"","")</f>
        <v/>
      </c>
      <c r="T1003" s="67" t="str">
        <f>IFERROR(INDEX(jr_num,MATCH("BS998",jr_nkey,0))&amp;"","")</f>
        <v/>
      </c>
    </row>
    <row r="1004">
      <c r="A1004" s="60" t="str">
        <f>IF($O1004="","",INDEX(jr_num,$O1004)&amp;"")</f>
        <v/>
      </c>
      <c r="B1004" s="60" t="str">
        <f>IF($O1004="","",IF(INDEX(jr_type,$O1004)="BL","Livraison",IF(INDEX(jr_type,$O1004)="BR","Réception","Sortie")))</f>
        <v/>
      </c>
      <c r="C1004" s="65" t="str">
        <f>IF($O1004="","",INDEX(jr_date,$O1004))</f>
        <v/>
      </c>
      <c r="D1004" s="60" t="str">
        <f>IF($O1004="","",INDEX(jr_tiers,$O1004)&amp;"")</f>
        <v/>
      </c>
      <c r="E1004" s="57" t="str">
        <f>IF($O1004="","",INDEX(jr_name,$O1004)&amp;"")</f>
        <v/>
      </c>
      <c r="F1004" s="57" t="str">
        <f>IF($O1004="","",INDEX(jr_order,$O1004)&amp;"")</f>
        <v/>
      </c>
      <c r="G1004" s="57" t="str">
        <f>IF($O1004="","",INDEX(jr_ext,$O1004)&amp;"")</f>
        <v/>
      </c>
      <c r="H1004" s="57" t="str">
        <f>IF($O1004="","",INDEX(jr_carrier,$O1004)&amp;"")</f>
        <v/>
      </c>
      <c r="I1004" s="66" t="str">
        <f>IF(A1004="","",COUNTIF(jr_num,A1004))</f>
        <v/>
      </c>
      <c r="J1004" s="66" t="str">
        <f>IF(A1004="","",SUMIF(jr_num,A1004,jr_colis))</f>
        <v/>
      </c>
      <c r="K1004" s="63" t="str">
        <f>IF(A1004="","",SUMIF(jr_num,A1004,jr_kg))</f>
        <v/>
      </c>
      <c r="L1004" s="64" t="str">
        <f>IF(A1004="","",SUMIF(jr_num,A1004,jr_val))</f>
        <v/>
      </c>
      <c r="M1004" s="60" t="str">
        <f>IF(A1004="","",IF(COUNTIFS(jr_num,A1004,jr_check,"&lt;&gt;OK")&gt;0,"À vérifier",IF(LEFT(A1004,2)="BL",IF(COUNTIFS(jr_num,A1004,jr_rel,"&gt;0")&gt;0,"Reliquat en cours",IF(COUNTIFS(jr_num,A1004,jr_gap,"&lt;0")&gt;0,"Reliquat livré","Complet")),IF(LEFT(A1004,2)="BR",IF(COUNTIFS(jr_num,A1004,jr_etat,"Refusé")&gt;0,"Refusé",IF(COUNTIFS(jr_num,A1004,jr_etat,"Avec réserves")&gt;0,"Avec réserves",IF(COUNTIFS(jr_num,A1004,jr_rel,"&gt;0")&gt;0,"Reliquat en cours",IF(COUNTIFS(jr_num,A1004,jr_gap,"&lt;0")+COUNTIFS(jr_num,A1004,jr_gap,"&gt;0")&gt;0,"Écart","Conforme")))),IF(COUNTIFS(jr_num,A1004,jr_gap,"&lt;0")&gt;0,"Partiel","Sorti")))))</f>
        <v/>
      </c>
      <c r="O1004" t="str">
        <f>IFERROR(MATCH(999,jr_grank,0),"")</f>
        <v/>
      </c>
      <c r="R1004" s="67" t="str">
        <f>IFERROR(INDEX(jr_num,MATCH("BL999",jr_nkey,0))&amp;"","")</f>
        <v/>
      </c>
      <c r="S1004" s="67" t="str">
        <f>IFERROR(INDEX(jr_num,MATCH("BR999",jr_nkey,0))&amp;"","")</f>
        <v/>
      </c>
      <c r="T1004" s="67" t="str">
        <f>IFERROR(INDEX(jr_num,MATCH("BS999",jr_nkey,0))&amp;"","")</f>
        <v/>
      </c>
    </row>
    <row r="1005">
      <c r="A1005" s="60" t="str">
        <f>IF($O1005="","",INDEX(jr_num,$O1005)&amp;"")</f>
        <v/>
      </c>
      <c r="B1005" s="60" t="str">
        <f>IF($O1005="","",IF(INDEX(jr_type,$O1005)="BL","Livraison",IF(INDEX(jr_type,$O1005)="BR","Réception","Sortie")))</f>
        <v/>
      </c>
      <c r="C1005" s="65" t="str">
        <f>IF($O1005="","",INDEX(jr_date,$O1005))</f>
        <v/>
      </c>
      <c r="D1005" s="60" t="str">
        <f>IF($O1005="","",INDEX(jr_tiers,$O1005)&amp;"")</f>
        <v/>
      </c>
      <c r="E1005" s="57" t="str">
        <f>IF($O1005="","",INDEX(jr_name,$O1005)&amp;"")</f>
        <v/>
      </c>
      <c r="F1005" s="57" t="str">
        <f>IF($O1005="","",INDEX(jr_order,$O1005)&amp;"")</f>
        <v/>
      </c>
      <c r="G1005" s="57" t="str">
        <f>IF($O1005="","",INDEX(jr_ext,$O1005)&amp;"")</f>
        <v/>
      </c>
      <c r="H1005" s="57" t="str">
        <f>IF($O1005="","",INDEX(jr_carrier,$O1005)&amp;"")</f>
        <v/>
      </c>
      <c r="I1005" s="66" t="str">
        <f>IF(A1005="","",COUNTIF(jr_num,A1005))</f>
        <v/>
      </c>
      <c r="J1005" s="66" t="str">
        <f>IF(A1005="","",SUMIF(jr_num,A1005,jr_colis))</f>
        <v/>
      </c>
      <c r="K1005" s="63" t="str">
        <f>IF(A1005="","",SUMIF(jr_num,A1005,jr_kg))</f>
        <v/>
      </c>
      <c r="L1005" s="64" t="str">
        <f>IF(A1005="","",SUMIF(jr_num,A1005,jr_val))</f>
        <v/>
      </c>
      <c r="M1005" s="60" t="str">
        <f>IF(A1005="","",IF(COUNTIFS(jr_num,A1005,jr_check,"&lt;&gt;OK")&gt;0,"À vérifier",IF(LEFT(A1005,2)="BL",IF(COUNTIFS(jr_num,A1005,jr_rel,"&gt;0")&gt;0,"Reliquat en cours",IF(COUNTIFS(jr_num,A1005,jr_gap,"&lt;0")&gt;0,"Reliquat livré","Complet")),IF(LEFT(A1005,2)="BR",IF(COUNTIFS(jr_num,A1005,jr_etat,"Refusé")&gt;0,"Refusé",IF(COUNTIFS(jr_num,A1005,jr_etat,"Avec réserves")&gt;0,"Avec réserves",IF(COUNTIFS(jr_num,A1005,jr_rel,"&gt;0")&gt;0,"Reliquat en cours",IF(COUNTIFS(jr_num,A1005,jr_gap,"&lt;0")+COUNTIFS(jr_num,A1005,jr_gap,"&gt;0")&gt;0,"Écart","Conforme")))),IF(COUNTIFS(jr_num,A1005,jr_gap,"&lt;0")&gt;0,"Partiel","Sorti")))))</f>
        <v/>
      </c>
      <c r="O1005" t="str">
        <f>IFERROR(MATCH(1000,jr_grank,0),"")</f>
        <v/>
      </c>
      <c r="R1005" s="67" t="str">
        <f>IFERROR(INDEX(jr_num,MATCH("BL1000",jr_nkey,0))&amp;"","")</f>
        <v/>
      </c>
      <c r="S1005" s="67" t="str">
        <f>IFERROR(INDEX(jr_num,MATCH("BR1000",jr_nkey,0))&amp;"","")</f>
        <v/>
      </c>
      <c r="T1005" s="67" t="str">
        <f>IFERROR(INDEX(jr_num,MATCH("BS1000",jr_nkey,0))&amp;"","")</f>
        <v/>
      </c>
    </row>
  </sheetData>
  <autoFilter ref="A5:M1005"/>
  <conditionalFormatting sqref="M6:M1005">
    <cfRule type="expression" priority="1" dxfId="2">
      <formula>$M6="À vérifier"</formula>
    </cfRule>
    <cfRule type="expression" priority="2" dxfId="1">
      <formula>$M6="Reliquat en cours"</formula>
    </cfRule>
    <cfRule type="expression" priority="3" dxfId="2">
      <formula>$M6="Refusé"</formula>
    </cfRule>
    <cfRule type="expression" priority="4" dxfId="14">
      <formula>$M6="Avec réserves"</formula>
    </cfRule>
    <cfRule type="expression" priority="5" dxfId="15">
      <formula>$M6="Écart"</formula>
    </cfRule>
    <cfRule type="expression" priority="6" dxfId="15">
      <formula>$M6="Partiel"</formula>
    </cfRule>
    <cfRule type="expression" priority="7" dxfId="15">
      <formula>$M6="Reliquat livré"</formula>
    </cfRule>
    <cfRule type="expression" priority="8" dxfId="0">
      <formula>$M6="Complet"</formula>
    </cfRule>
    <cfRule type="expression" priority="9" dxfId="0">
      <formula>$M6="Conforme"</formula>
    </cfRule>
    <cfRule type="expression" priority="10" dxfId="0">
      <formula>$M6="Sorti"</formula>
    </cfRule>
  </conditionalFormatting>
  <conditionalFormatting sqref="B6:B1005">
    <cfRule type="expression" priority="11" dxfId="3">
      <formula>LEFT($A6,2)="BL"</formula>
    </cfRule>
    <cfRule type="expression" priority="12" dxfId="4">
      <formula>LEFT($A6,2)="BR"</formula>
    </cfRule>
    <cfRule type="expression" priority="13" dxfId="5">
      <formula>LEFT($A6,2)="BS"</formula>
    </cfRule>
  </conditionalFormatting>
  <conditionalFormatting sqref="L6:L1005">
    <cfRule type="expression" priority="14" dxfId="11">
      <formula>p_currency="MAD"</formula>
    </cfRule>
    <cfRule type="expression" priority="15" dxfId="12">
      <formula>p_currency="EUR"</formula>
    </cfRule>
    <cfRule type="expression" priority="16" dxfId="13">
      <formula>p_currency="USD"</formula>
    </cfRule>
  </conditionalFormatting>
  <hyperlinks>
    <hyperlink ref="M1" location="'Mode d''emploi'!A1"/>
  </hyperlinks>
  <printOptions horizontalCentered="1"/>
  <pageMargins left="0.4" right="0.4" top="0.5" bottom="0.5" header="0.5" footer="0.5"/>
  <pageSetup orientation="landscape" paperSize="9" fitToHeight="0" fitToWidth="1"/>
</worksheet>
</file>

<file path=xl/worksheets/sheet5.xml><?xml version="1.0" encoding="utf-8"?>
<worksheet xmlns="http://schemas.openxmlformats.org/spreadsheetml/2006/main">
  <sheetPr>
    <tabColor rgb="FF0F766E"/>
    <outlinePr summaryBelow="1" summaryRight="1"/>
    <pageSetUpPr fitToPage="1"/>
  </sheetPr>
  <dimension ref="A1:O52"/>
  <sheetViews>
    <sheetView showGridLines="0" tabSelected="0" zoomScale="100" workbookViewId="0">
      <selection activeCell="A1" sqref="A1"/>
    </sheetView>
  </sheetViews>
  <sheetFormatPr baseColWidth="8" defaultRowHeight="15"/>
  <cols>
    <col width="5" customWidth="1" min="1" max="1"/>
    <col width="14" customWidth="1" min="2" max="2"/>
    <col width="30" customWidth="1" min="3" max="3"/>
    <col width="8" customWidth="1" min="4" max="4"/>
    <col width="11" customWidth="1" min="5" max="5"/>
    <col width="11" customWidth="1" min="6" max="6"/>
    <col width="11" customWidth="1" min="7" max="7"/>
    <col width="13" customWidth="1" min="8" max="8"/>
    <col width="11" customWidth="1" min="9" max="9"/>
    <col width="12" customWidth="1" min="10" max="10"/>
    <col width="14" customWidth="1" min="11" max="11"/>
    <col width="3" customWidth="1" min="12" max="12"/>
    <col hidden="1" width="6" customWidth="1" min="13" max="13"/>
    <col hidden="1" width="6" customWidth="1" min="14" max="14"/>
    <col hidden="1" width="6" customWidth="1" min="15" max="15"/>
  </cols>
  <sheetData>
    <row r="1" ht="38" customHeight="1">
      <c r="A1" s="1" t="n"/>
      <c r="B1" s="2" t="inlineStr">
        <is>
          <t>Bon de livraison</t>
        </is>
      </c>
      <c r="C1" s="1" t="n"/>
      <c r="D1" s="1" t="n"/>
      <c r="E1" s="1" t="n"/>
      <c r="F1" s="1" t="n"/>
      <c r="G1" s="1" t="n"/>
      <c r="H1" s="1" t="n"/>
      <c r="I1" s="1" t="n"/>
      <c r="J1" s="1" t="n"/>
      <c r="K1" s="18" t="inlineStr">
        <is>
          <t>⌂ Mode d'emploi</t>
        </is>
      </c>
    </row>
    <row r="2" ht="22" customHeight="1">
      <c r="A2" s="3" t="n"/>
      <c r="B2" s="4" t="inlineStr">
        <is>
          <t>Choisissez un numéro dans la case blanche : le bon se remplit depuis le journal. Une page A4, prête à signer.</t>
        </is>
      </c>
      <c r="C2" s="3" t="n"/>
      <c r="D2" s="3" t="n"/>
      <c r="E2" s="3" t="n"/>
      <c r="F2" s="3" t="n"/>
      <c r="G2" s="3" t="n"/>
      <c r="H2" s="3" t="n"/>
      <c r="I2" s="3" t="n"/>
      <c r="J2" s="3" t="n"/>
      <c r="K2" s="3" t="n"/>
    </row>
    <row r="3" ht="24" customHeight="1">
      <c r="A3" s="68" t="inlineStr">
        <is>
          <t>N° à imprimer</t>
        </is>
      </c>
      <c r="C3" s="69" t="n"/>
      <c r="D3" s="70" t="str">
        <f>IF(M3="","Aucun numéro choisi : le bon s'imprime vide, à remplir à la main.",IF(LEFT(M3,3)&lt;&gt;"BL-","Ce numéro n'est pas un bon de livraison : choisissez un numéro BL dans la liste.",IF(M4="","Numéro introuvable dans le journal : choisissez-le dans la liste.",M5&amp;" ligne(s)"&amp;IF(M5&gt;18," : seules les 18 premières s'impriment, faites deux bons.","  •  prêt à imprimer (Ctrl+P)."))))</f>
        <v>Aucun numéro choisi : le bon s'imprime vide, à remplir à la main.</v>
      </c>
      <c r="M3" t="str">
        <f>IF(C3="","",IF(ISNUMBER(C3),"BL-"&amp;RIGHT("000"&amp;INT(C3),4),UPPER(TRIM(C3))))</f>
        <v/>
      </c>
    </row>
    <row r="4">
      <c r="M4" t="str">
        <f>IF(OR(M3="",LEFT(M3,3)&lt;&gt;"BL-"),"",IFERROR(MATCH(M3&amp;"#1",jr_lkey,0),""))</f>
        <v/>
      </c>
    </row>
    <row r="5" ht="26" customHeight="1">
      <c r="A5" s="71" t="str">
        <f>IF(p_company="","Votre entreprise",p_company)</f>
        <v>Votre entreprise</v>
      </c>
      <c r="G5" s="72" t="inlineStr">
        <is>
          <t>BON DE LIVRAISON</t>
        </is>
      </c>
      <c r="M5">
        <f>IF(M4="",0,COUNTIF(jr_num,M3))</f>
        <v>0.0</v>
      </c>
    </row>
    <row r="6" ht="17" customHeight="1">
      <c r="A6" s="73" t="str">
        <f>p_addr&amp;""</f>
        <v/>
      </c>
      <c r="G6" s="19" t="inlineStr">
        <is>
          <t>N°</t>
        </is>
      </c>
      <c r="I6" s="74" t="str">
        <f>IF($M$4="","",$M$3)</f>
        <v/>
      </c>
      <c r="J6" s="75" t="n"/>
      <c r="K6" s="75" t="n"/>
    </row>
    <row r="7" ht="17" customHeight="1">
      <c r="A7" s="73" t="str">
        <f>p_city&amp;IF(AND(p_city&lt;&gt;"",p_phone&lt;&gt;""),"   •   ","")&amp;IF(p_phone&lt;&gt;"","Tél. "&amp;p_phone,"")</f>
        <v/>
      </c>
      <c r="G7" s="19" t="inlineStr">
        <is>
          <t>Date</t>
        </is>
      </c>
      <c r="I7" s="76" t="str">
        <f>IF($M$4="","",INDEX(jr_date,$M$4))</f>
        <v/>
      </c>
      <c r="J7" s="75" t="n"/>
      <c r="K7" s="75" t="n"/>
    </row>
    <row r="8" ht="17" customHeight="1">
      <c r="A8" s="73" t="str">
        <f>p_email&amp;""</f>
        <v/>
      </c>
      <c r="G8" s="19" t="inlineStr">
        <is>
          <t>Commande client</t>
        </is>
      </c>
      <c r="I8" s="77" t="str">
        <f>IF($M$4="","",INDEX(jr_order,$M$4)&amp;"")</f>
        <v/>
      </c>
      <c r="J8" s="75" t="n"/>
      <c r="K8" s="75" t="n"/>
    </row>
    <row r="9" ht="17" customHeight="1">
      <c r="A9" s="67" t="str">
        <f>p_ids&amp;""</f>
        <v/>
      </c>
      <c r="G9" s="19" t="inlineStr">
        <is>
          <t>Transporteur</t>
        </is>
      </c>
      <c r="I9" s="77" t="str">
        <f>IF($M$4="","",INDEX(jr_carrier,$M$4)&amp;"")</f>
        <v/>
      </c>
      <c r="J9" s="75" t="n"/>
      <c r="K9" s="75" t="n"/>
    </row>
    <row r="10" ht="8" customHeight="1">
      <c r="A10" s="6" t="n"/>
      <c r="B10" s="6" t="n"/>
      <c r="C10" s="6" t="n"/>
      <c r="D10" s="6" t="n"/>
      <c r="E10" s="6" t="n"/>
      <c r="F10" s="6" t="n"/>
      <c r="G10" s="6" t="n"/>
      <c r="H10" s="6" t="n"/>
      <c r="I10" s="6" t="n"/>
      <c r="J10" s="6" t="n"/>
      <c r="K10" s="6" t="n"/>
    </row>
    <row r="11" ht="8" customHeight="1"/>
    <row r="12">
      <c r="A12" s="78" t="inlineStr">
        <is>
          <t>LIVRÉ À</t>
        </is>
      </c>
      <c r="B12" s="79" t="n"/>
      <c r="C12" s="79" t="n"/>
      <c r="D12" s="79" t="n"/>
      <c r="E12" s="79" t="n"/>
      <c r="F12" s="80" t="n"/>
      <c r="G12" s="78" t="inlineStr">
        <is>
          <t>LIVRAISON</t>
        </is>
      </c>
      <c r="H12" s="79" t="n"/>
      <c r="I12" s="79" t="n"/>
      <c r="J12" s="79" t="n"/>
      <c r="K12" s="80" t="n"/>
    </row>
    <row r="13" ht="17" customHeight="1">
      <c r="A13" s="81" t="str">
        <f>IF($M$4="","",INDEX(jr_name,$M$4)&amp;"")</f>
        <v/>
      </c>
      <c r="B13" s="82" t="n"/>
      <c r="C13" s="82" t="n"/>
      <c r="D13" s="82" t="n"/>
      <c r="E13" s="82" t="n"/>
      <c r="F13" s="83" t="n"/>
      <c r="G13" s="84" t="inlineStr">
        <is>
          <t>Code client</t>
        </is>
      </c>
      <c r="H13" s="82" t="n"/>
      <c r="I13" s="85" t="str">
        <f>IF($M$4="","",INDEX(jr_tiers,$M$4)&amp;"")</f>
        <v/>
      </c>
      <c r="J13" s="82" t="n"/>
      <c r="K13" s="83" t="n"/>
    </row>
    <row r="14" ht="17" customHeight="1">
      <c r="A14" s="86" t="str">
        <f>IF($M$4="","",IFERROR(INDEX(cl_addr,MATCH(INDEX(jr_tiers,$M$4),cl_code,0))&amp;"",""))</f>
        <v/>
      </c>
      <c r="B14" s="82" t="n"/>
      <c r="C14" s="82" t="n"/>
      <c r="D14" s="82" t="n"/>
      <c r="E14" s="82" t="n"/>
      <c r="F14" s="83" t="n"/>
      <c r="G14" s="84" t="inlineStr">
        <is>
          <t>Référence client</t>
        </is>
      </c>
      <c r="H14" s="82" t="n"/>
      <c r="I14" s="85" t="str">
        <f>IF($M$4="","",INDEX(jr_ext,$M$4)&amp;"")</f>
        <v/>
      </c>
      <c r="J14" s="82" t="n"/>
      <c r="K14" s="83" t="n"/>
    </row>
    <row r="15" ht="17" customHeight="1">
      <c r="A15" s="86" t="str">
        <f>IF($M$4="","",IFERROR(INDEX(cl_city,MATCH(INDEX(jr_tiers,$M$4),cl_code,0))&amp;"",""))</f>
        <v/>
      </c>
      <c r="B15" s="82" t="n"/>
      <c r="C15" s="82" t="n"/>
      <c r="D15" s="82" t="n"/>
      <c r="E15" s="82" t="n"/>
      <c r="F15" s="83" t="n"/>
      <c r="G15" s="84" t="inlineStr">
        <is>
          <t>Nombre de colis</t>
        </is>
      </c>
      <c r="H15" s="82" t="n"/>
      <c r="I15" s="87" t="str">
        <f>IF($M$4="","",SUMIF(jr_num,$M$3,jr_colis))</f>
        <v/>
      </c>
      <c r="J15" s="82" t="n"/>
      <c r="K15" s="83" t="n"/>
    </row>
    <row r="16" ht="17" customHeight="1">
      <c r="A16" s="88" t="str">
        <f>IF($M$4="","",IFERROR(IF(INDEX(cl_ice,MATCH(INDEX(jr_tiers,$M$4),cl_code,0))="","","ICE : "&amp;INDEX(cl_ice,MATCH(INDEX(jr_tiers,$M$4),cl_code,0))),""))</f>
        <v/>
      </c>
      <c r="B16" s="89" t="n"/>
      <c r="C16" s="89" t="n"/>
      <c r="D16" s="89" t="n"/>
      <c r="E16" s="89" t="n"/>
      <c r="F16" s="90" t="n"/>
      <c r="G16" s="91" t="inlineStr">
        <is>
          <t>Poids total (kg)</t>
        </is>
      </c>
      <c r="H16" s="89" t="n"/>
      <c r="I16" s="92" t="str">
        <f>IF($M$4="","",SUMIF(jr_num,$M$3,jr_kg))</f>
        <v/>
      </c>
      <c r="J16" s="89" t="n"/>
      <c r="K16" s="90" t="n"/>
    </row>
    <row r="17" ht="10" customHeight="1"/>
    <row r="18" ht="30" customHeight="1">
      <c r="A18" s="93" t="inlineStr">
        <is>
          <t>N°</t>
        </is>
      </c>
      <c r="B18" s="93" t="inlineStr">
        <is>
          <t>Référence</t>
        </is>
      </c>
      <c r="C18" s="93" t="inlineStr">
        <is>
          <t>Désignation</t>
        </is>
      </c>
      <c r="D18" s="93" t="inlineStr">
        <is>
          <t>Unité</t>
        </is>
      </c>
      <c r="E18" s="93" t="inlineStr">
        <is>
          <t>Qté commandée</t>
        </is>
      </c>
      <c r="F18" s="93" t="inlineStr">
        <is>
          <t>Qté livrée</t>
        </is>
      </c>
      <c r="G18" s="93" t="inlineStr">
        <is>
          <t>Reliquat</t>
        </is>
      </c>
      <c r="H18" s="93" t="inlineStr">
        <is>
          <t>Lot / série</t>
        </is>
      </c>
      <c r="I18" s="93" t="inlineStr">
        <is>
          <t>Poids (kg)</t>
        </is>
      </c>
      <c r="J18" s="93" t="str">
        <f>IF(p_prices="Oui","Prix unit. HT","")</f>
        <v/>
      </c>
      <c r="K18" s="93" t="str">
        <f>IF(p_prices="Oui","Montant HT","")</f>
        <v/>
      </c>
    </row>
    <row r="19" ht="17" customHeight="1">
      <c r="A19" s="94" t="str">
        <f>IF($M19="","",1)</f>
        <v/>
      </c>
      <c r="B19" s="95" t="str">
        <f>IF($M19="","",INDEX(jr_art,$M19)&amp;"")</f>
        <v/>
      </c>
      <c r="C19" s="96" t="str">
        <f>IF($M19="","",INDEX(jr_des,$M19)&amp;"")</f>
        <v/>
      </c>
      <c r="D19" s="97" t="str">
        <f>IF($M19="","",INDEX(jr_unit,$M19)&amp;"")</f>
        <v/>
      </c>
      <c r="E19" s="98" t="str">
        <f>IF($M19="","",IF(INDEX(jr_qcmd,$M19)="","",INDEX(jr_qcmd,$M19)))</f>
        <v/>
      </c>
      <c r="F19" s="98" t="str">
        <f>IF($M19="","",IF(INDEX(jr_qty,$M19)="","",INDEX(jr_qty,$M19)))</f>
        <v/>
      </c>
      <c r="G19" s="98" t="str">
        <f>IF($M19="","",IF(N(INDEX(jr_gap,$M19))&lt;0,-INDEX(jr_gap,$M19),""))</f>
        <v/>
      </c>
      <c r="H19" s="99" t="str">
        <f>IF($M19="","",INDEX(jr_lot,$M19)&amp;"")</f>
        <v/>
      </c>
      <c r="I19" s="100" t="str">
        <f>IF($M19="","",IF(INDEX(jr_kg,$M19)="","",INDEX(jr_kg,$M19)))</f>
        <v/>
      </c>
      <c r="J19" s="101" t="str">
        <f>IF(OR($M19="",NOT(p_prices="Oui")),"",INDEX(jr_pu,$M19))</f>
        <v/>
      </c>
      <c r="K19" s="101" t="str">
        <f>IF(OR($M19="",NOT(p_prices="Oui")),"",INDEX(jr_val,$M19))</f>
        <v/>
      </c>
      <c r="M19" t="str">
        <f>IF(OR($M$4="",1&gt;$M$5),"",IFERROR(MATCH($M$3&amp;"#1",jr_lkey,0),""))</f>
        <v/>
      </c>
      <c r="N19" t="str">
        <f>IF($M19="","",INDEX(jr_obs,$M19)&amp;"")</f>
        <v/>
      </c>
      <c r="O19" t="str">
        <f>N19&amp;""</f>
        <v/>
      </c>
    </row>
    <row r="20" ht="17" customHeight="1">
      <c r="A20" s="102" t="str">
        <f>IF($M20="","",2)</f>
        <v/>
      </c>
      <c r="B20" s="103" t="str">
        <f>IF($M20="","",INDEX(jr_art,$M20)&amp;"")</f>
        <v/>
      </c>
      <c r="C20" s="104" t="str">
        <f>IF($M20="","",INDEX(jr_des,$M20)&amp;"")</f>
        <v/>
      </c>
      <c r="D20" s="105" t="str">
        <f>IF($M20="","",INDEX(jr_unit,$M20)&amp;"")</f>
        <v/>
      </c>
      <c r="E20" s="106" t="str">
        <f>IF($M20="","",IF(INDEX(jr_qcmd,$M20)="","",INDEX(jr_qcmd,$M20)))</f>
        <v/>
      </c>
      <c r="F20" s="106" t="str">
        <f>IF($M20="","",IF(INDEX(jr_qty,$M20)="","",INDEX(jr_qty,$M20)))</f>
        <v/>
      </c>
      <c r="G20" s="106" t="str">
        <f>IF($M20="","",IF(N(INDEX(jr_gap,$M20))&lt;0,-INDEX(jr_gap,$M20),""))</f>
        <v/>
      </c>
      <c r="H20" s="107" t="str">
        <f>IF($M20="","",INDEX(jr_lot,$M20)&amp;"")</f>
        <v/>
      </c>
      <c r="I20" s="108" t="str">
        <f>IF($M20="","",IF(INDEX(jr_kg,$M20)="","",INDEX(jr_kg,$M20)))</f>
        <v/>
      </c>
      <c r="J20" s="109" t="str">
        <f>IF(OR($M20="",NOT(p_prices="Oui")),"",INDEX(jr_pu,$M20))</f>
        <v/>
      </c>
      <c r="K20" s="109" t="str">
        <f>IF(OR($M20="",NOT(p_prices="Oui")),"",INDEX(jr_val,$M20))</f>
        <v/>
      </c>
      <c r="M20" t="str">
        <f>IF(OR($M$4="",2&gt;$M$5),"",IFERROR(MATCH($M$3&amp;"#2",jr_lkey,0),""))</f>
        <v/>
      </c>
      <c r="N20" t="str">
        <f>IF($M20="","",INDEX(jr_obs,$M20)&amp;"")</f>
        <v/>
      </c>
      <c r="O20" t="str">
        <f>IF(N20="",O19,O19&amp;IF(O19="",""," • ")&amp;N20)</f>
        <v/>
      </c>
    </row>
    <row r="21" ht="17" customHeight="1">
      <c r="A21" s="94" t="str">
        <f>IF($M21="","",3)</f>
        <v/>
      </c>
      <c r="B21" s="95" t="str">
        <f>IF($M21="","",INDEX(jr_art,$M21)&amp;"")</f>
        <v/>
      </c>
      <c r="C21" s="96" t="str">
        <f>IF($M21="","",INDEX(jr_des,$M21)&amp;"")</f>
        <v/>
      </c>
      <c r="D21" s="97" t="str">
        <f>IF($M21="","",INDEX(jr_unit,$M21)&amp;"")</f>
        <v/>
      </c>
      <c r="E21" s="98" t="str">
        <f>IF($M21="","",IF(INDEX(jr_qcmd,$M21)="","",INDEX(jr_qcmd,$M21)))</f>
        <v/>
      </c>
      <c r="F21" s="98" t="str">
        <f>IF($M21="","",IF(INDEX(jr_qty,$M21)="","",INDEX(jr_qty,$M21)))</f>
        <v/>
      </c>
      <c r="G21" s="98" t="str">
        <f>IF($M21="","",IF(N(INDEX(jr_gap,$M21))&lt;0,-INDEX(jr_gap,$M21),""))</f>
        <v/>
      </c>
      <c r="H21" s="99" t="str">
        <f>IF($M21="","",INDEX(jr_lot,$M21)&amp;"")</f>
        <v/>
      </c>
      <c r="I21" s="100" t="str">
        <f>IF($M21="","",IF(INDEX(jr_kg,$M21)="","",INDEX(jr_kg,$M21)))</f>
        <v/>
      </c>
      <c r="J21" s="101" t="str">
        <f>IF(OR($M21="",NOT(p_prices="Oui")),"",INDEX(jr_pu,$M21))</f>
        <v/>
      </c>
      <c r="K21" s="101" t="str">
        <f>IF(OR($M21="",NOT(p_prices="Oui")),"",INDEX(jr_val,$M21))</f>
        <v/>
      </c>
      <c r="M21" t="str">
        <f>IF(OR($M$4="",3&gt;$M$5),"",IFERROR(MATCH($M$3&amp;"#3",jr_lkey,0),""))</f>
        <v/>
      </c>
      <c r="N21" t="str">
        <f>IF($M21="","",INDEX(jr_obs,$M21)&amp;"")</f>
        <v/>
      </c>
      <c r="O21" t="str">
        <f>IF(N21="",O20,O20&amp;IF(O20="",""," • ")&amp;N21)</f>
        <v/>
      </c>
    </row>
    <row r="22" ht="17" customHeight="1">
      <c r="A22" s="102" t="str">
        <f>IF($M22="","",4)</f>
        <v/>
      </c>
      <c r="B22" s="103" t="str">
        <f>IF($M22="","",INDEX(jr_art,$M22)&amp;"")</f>
        <v/>
      </c>
      <c r="C22" s="104" t="str">
        <f>IF($M22="","",INDEX(jr_des,$M22)&amp;"")</f>
        <v/>
      </c>
      <c r="D22" s="105" t="str">
        <f>IF($M22="","",INDEX(jr_unit,$M22)&amp;"")</f>
        <v/>
      </c>
      <c r="E22" s="106" t="str">
        <f>IF($M22="","",IF(INDEX(jr_qcmd,$M22)="","",INDEX(jr_qcmd,$M22)))</f>
        <v/>
      </c>
      <c r="F22" s="106" t="str">
        <f>IF($M22="","",IF(INDEX(jr_qty,$M22)="","",INDEX(jr_qty,$M22)))</f>
        <v/>
      </c>
      <c r="G22" s="106" t="str">
        <f>IF($M22="","",IF(N(INDEX(jr_gap,$M22))&lt;0,-INDEX(jr_gap,$M22),""))</f>
        <v/>
      </c>
      <c r="H22" s="107" t="str">
        <f>IF($M22="","",INDEX(jr_lot,$M22)&amp;"")</f>
        <v/>
      </c>
      <c r="I22" s="108" t="str">
        <f>IF($M22="","",IF(INDEX(jr_kg,$M22)="","",INDEX(jr_kg,$M22)))</f>
        <v/>
      </c>
      <c r="J22" s="109" t="str">
        <f>IF(OR($M22="",NOT(p_prices="Oui")),"",INDEX(jr_pu,$M22))</f>
        <v/>
      </c>
      <c r="K22" s="109" t="str">
        <f>IF(OR($M22="",NOT(p_prices="Oui")),"",INDEX(jr_val,$M22))</f>
        <v/>
      </c>
      <c r="M22" t="str">
        <f>IF(OR($M$4="",4&gt;$M$5),"",IFERROR(MATCH($M$3&amp;"#4",jr_lkey,0),""))</f>
        <v/>
      </c>
      <c r="N22" t="str">
        <f>IF($M22="","",INDEX(jr_obs,$M22)&amp;"")</f>
        <v/>
      </c>
      <c r="O22" t="str">
        <f>IF(N22="",O21,O21&amp;IF(O21="",""," • ")&amp;N22)</f>
        <v/>
      </c>
    </row>
    <row r="23" ht="17" customHeight="1">
      <c r="A23" s="94" t="str">
        <f>IF($M23="","",5)</f>
        <v/>
      </c>
      <c r="B23" s="95" t="str">
        <f>IF($M23="","",INDEX(jr_art,$M23)&amp;"")</f>
        <v/>
      </c>
      <c r="C23" s="96" t="str">
        <f>IF($M23="","",INDEX(jr_des,$M23)&amp;"")</f>
        <v/>
      </c>
      <c r="D23" s="97" t="str">
        <f>IF($M23="","",INDEX(jr_unit,$M23)&amp;"")</f>
        <v/>
      </c>
      <c r="E23" s="98" t="str">
        <f>IF($M23="","",IF(INDEX(jr_qcmd,$M23)="","",INDEX(jr_qcmd,$M23)))</f>
        <v/>
      </c>
      <c r="F23" s="98" t="str">
        <f>IF($M23="","",IF(INDEX(jr_qty,$M23)="","",INDEX(jr_qty,$M23)))</f>
        <v/>
      </c>
      <c r="G23" s="98" t="str">
        <f>IF($M23="","",IF(N(INDEX(jr_gap,$M23))&lt;0,-INDEX(jr_gap,$M23),""))</f>
        <v/>
      </c>
      <c r="H23" s="99" t="str">
        <f>IF($M23="","",INDEX(jr_lot,$M23)&amp;"")</f>
        <v/>
      </c>
      <c r="I23" s="100" t="str">
        <f>IF($M23="","",IF(INDEX(jr_kg,$M23)="","",INDEX(jr_kg,$M23)))</f>
        <v/>
      </c>
      <c r="J23" s="101" t="str">
        <f>IF(OR($M23="",NOT(p_prices="Oui")),"",INDEX(jr_pu,$M23))</f>
        <v/>
      </c>
      <c r="K23" s="101" t="str">
        <f>IF(OR($M23="",NOT(p_prices="Oui")),"",INDEX(jr_val,$M23))</f>
        <v/>
      </c>
      <c r="M23" t="str">
        <f>IF(OR($M$4="",5&gt;$M$5),"",IFERROR(MATCH($M$3&amp;"#5",jr_lkey,0),""))</f>
        <v/>
      </c>
      <c r="N23" t="str">
        <f>IF($M23="","",INDEX(jr_obs,$M23)&amp;"")</f>
        <v/>
      </c>
      <c r="O23" t="str">
        <f>IF(N23="",O22,O22&amp;IF(O22="",""," • ")&amp;N23)</f>
        <v/>
      </c>
    </row>
    <row r="24" ht="17" customHeight="1">
      <c r="A24" s="102" t="str">
        <f>IF($M24="","",6)</f>
        <v/>
      </c>
      <c r="B24" s="103" t="str">
        <f>IF($M24="","",INDEX(jr_art,$M24)&amp;"")</f>
        <v/>
      </c>
      <c r="C24" s="104" t="str">
        <f>IF($M24="","",INDEX(jr_des,$M24)&amp;"")</f>
        <v/>
      </c>
      <c r="D24" s="105" t="str">
        <f>IF($M24="","",INDEX(jr_unit,$M24)&amp;"")</f>
        <v/>
      </c>
      <c r="E24" s="106" t="str">
        <f>IF($M24="","",IF(INDEX(jr_qcmd,$M24)="","",INDEX(jr_qcmd,$M24)))</f>
        <v/>
      </c>
      <c r="F24" s="106" t="str">
        <f>IF($M24="","",IF(INDEX(jr_qty,$M24)="","",INDEX(jr_qty,$M24)))</f>
        <v/>
      </c>
      <c r="G24" s="106" t="str">
        <f>IF($M24="","",IF(N(INDEX(jr_gap,$M24))&lt;0,-INDEX(jr_gap,$M24),""))</f>
        <v/>
      </c>
      <c r="H24" s="107" t="str">
        <f>IF($M24="","",INDEX(jr_lot,$M24)&amp;"")</f>
        <v/>
      </c>
      <c r="I24" s="108" t="str">
        <f>IF($M24="","",IF(INDEX(jr_kg,$M24)="","",INDEX(jr_kg,$M24)))</f>
        <v/>
      </c>
      <c r="J24" s="109" t="str">
        <f>IF(OR($M24="",NOT(p_prices="Oui")),"",INDEX(jr_pu,$M24))</f>
        <v/>
      </c>
      <c r="K24" s="109" t="str">
        <f>IF(OR($M24="",NOT(p_prices="Oui")),"",INDEX(jr_val,$M24))</f>
        <v/>
      </c>
      <c r="M24" t="str">
        <f>IF(OR($M$4="",6&gt;$M$5),"",IFERROR(MATCH($M$3&amp;"#6",jr_lkey,0),""))</f>
        <v/>
      </c>
      <c r="N24" t="str">
        <f>IF($M24="","",INDEX(jr_obs,$M24)&amp;"")</f>
        <v/>
      </c>
      <c r="O24" t="str">
        <f>IF(N24="",O23,O23&amp;IF(O23="",""," • ")&amp;N24)</f>
        <v/>
      </c>
    </row>
    <row r="25" ht="17" customHeight="1">
      <c r="A25" s="94" t="str">
        <f>IF($M25="","",7)</f>
        <v/>
      </c>
      <c r="B25" s="95" t="str">
        <f>IF($M25="","",INDEX(jr_art,$M25)&amp;"")</f>
        <v/>
      </c>
      <c r="C25" s="96" t="str">
        <f>IF($M25="","",INDEX(jr_des,$M25)&amp;"")</f>
        <v/>
      </c>
      <c r="D25" s="97" t="str">
        <f>IF($M25="","",INDEX(jr_unit,$M25)&amp;"")</f>
        <v/>
      </c>
      <c r="E25" s="98" t="str">
        <f>IF($M25="","",IF(INDEX(jr_qcmd,$M25)="","",INDEX(jr_qcmd,$M25)))</f>
        <v/>
      </c>
      <c r="F25" s="98" t="str">
        <f>IF($M25="","",IF(INDEX(jr_qty,$M25)="","",INDEX(jr_qty,$M25)))</f>
        <v/>
      </c>
      <c r="G25" s="98" t="str">
        <f>IF($M25="","",IF(N(INDEX(jr_gap,$M25))&lt;0,-INDEX(jr_gap,$M25),""))</f>
        <v/>
      </c>
      <c r="H25" s="99" t="str">
        <f>IF($M25="","",INDEX(jr_lot,$M25)&amp;"")</f>
        <v/>
      </c>
      <c r="I25" s="100" t="str">
        <f>IF($M25="","",IF(INDEX(jr_kg,$M25)="","",INDEX(jr_kg,$M25)))</f>
        <v/>
      </c>
      <c r="J25" s="101" t="str">
        <f>IF(OR($M25="",NOT(p_prices="Oui")),"",INDEX(jr_pu,$M25))</f>
        <v/>
      </c>
      <c r="K25" s="101" t="str">
        <f>IF(OR($M25="",NOT(p_prices="Oui")),"",INDEX(jr_val,$M25))</f>
        <v/>
      </c>
      <c r="M25" t="str">
        <f>IF(OR($M$4="",7&gt;$M$5),"",IFERROR(MATCH($M$3&amp;"#7",jr_lkey,0),""))</f>
        <v/>
      </c>
      <c r="N25" t="str">
        <f>IF($M25="","",INDEX(jr_obs,$M25)&amp;"")</f>
        <v/>
      </c>
      <c r="O25" t="str">
        <f>IF(N25="",O24,O24&amp;IF(O24="",""," • ")&amp;N25)</f>
        <v/>
      </c>
    </row>
    <row r="26" ht="17" customHeight="1">
      <c r="A26" s="102" t="str">
        <f>IF($M26="","",8)</f>
        <v/>
      </c>
      <c r="B26" s="103" t="str">
        <f>IF($M26="","",INDEX(jr_art,$M26)&amp;"")</f>
        <v/>
      </c>
      <c r="C26" s="104" t="str">
        <f>IF($M26="","",INDEX(jr_des,$M26)&amp;"")</f>
        <v/>
      </c>
      <c r="D26" s="105" t="str">
        <f>IF($M26="","",INDEX(jr_unit,$M26)&amp;"")</f>
        <v/>
      </c>
      <c r="E26" s="106" t="str">
        <f>IF($M26="","",IF(INDEX(jr_qcmd,$M26)="","",INDEX(jr_qcmd,$M26)))</f>
        <v/>
      </c>
      <c r="F26" s="106" t="str">
        <f>IF($M26="","",IF(INDEX(jr_qty,$M26)="","",INDEX(jr_qty,$M26)))</f>
        <v/>
      </c>
      <c r="G26" s="106" t="str">
        <f>IF($M26="","",IF(N(INDEX(jr_gap,$M26))&lt;0,-INDEX(jr_gap,$M26),""))</f>
        <v/>
      </c>
      <c r="H26" s="107" t="str">
        <f>IF($M26="","",INDEX(jr_lot,$M26)&amp;"")</f>
        <v/>
      </c>
      <c r="I26" s="108" t="str">
        <f>IF($M26="","",IF(INDEX(jr_kg,$M26)="","",INDEX(jr_kg,$M26)))</f>
        <v/>
      </c>
      <c r="J26" s="109" t="str">
        <f>IF(OR($M26="",NOT(p_prices="Oui")),"",INDEX(jr_pu,$M26))</f>
        <v/>
      </c>
      <c r="K26" s="109" t="str">
        <f>IF(OR($M26="",NOT(p_prices="Oui")),"",INDEX(jr_val,$M26))</f>
        <v/>
      </c>
      <c r="M26" t="str">
        <f>IF(OR($M$4="",8&gt;$M$5),"",IFERROR(MATCH($M$3&amp;"#8",jr_lkey,0),""))</f>
        <v/>
      </c>
      <c r="N26" t="str">
        <f>IF($M26="","",INDEX(jr_obs,$M26)&amp;"")</f>
        <v/>
      </c>
      <c r="O26" t="str">
        <f>IF(N26="",O25,O25&amp;IF(O25="",""," • ")&amp;N26)</f>
        <v/>
      </c>
    </row>
    <row r="27" ht="17" customHeight="1">
      <c r="A27" s="94" t="str">
        <f>IF($M27="","",9)</f>
        <v/>
      </c>
      <c r="B27" s="95" t="str">
        <f>IF($M27="","",INDEX(jr_art,$M27)&amp;"")</f>
        <v/>
      </c>
      <c r="C27" s="96" t="str">
        <f>IF($M27="","",INDEX(jr_des,$M27)&amp;"")</f>
        <v/>
      </c>
      <c r="D27" s="97" t="str">
        <f>IF($M27="","",INDEX(jr_unit,$M27)&amp;"")</f>
        <v/>
      </c>
      <c r="E27" s="98" t="str">
        <f>IF($M27="","",IF(INDEX(jr_qcmd,$M27)="","",INDEX(jr_qcmd,$M27)))</f>
        <v/>
      </c>
      <c r="F27" s="98" t="str">
        <f>IF($M27="","",IF(INDEX(jr_qty,$M27)="","",INDEX(jr_qty,$M27)))</f>
        <v/>
      </c>
      <c r="G27" s="98" t="str">
        <f>IF($M27="","",IF(N(INDEX(jr_gap,$M27))&lt;0,-INDEX(jr_gap,$M27),""))</f>
        <v/>
      </c>
      <c r="H27" s="99" t="str">
        <f>IF($M27="","",INDEX(jr_lot,$M27)&amp;"")</f>
        <v/>
      </c>
      <c r="I27" s="100" t="str">
        <f>IF($M27="","",IF(INDEX(jr_kg,$M27)="","",INDEX(jr_kg,$M27)))</f>
        <v/>
      </c>
      <c r="J27" s="101" t="str">
        <f>IF(OR($M27="",NOT(p_prices="Oui")),"",INDEX(jr_pu,$M27))</f>
        <v/>
      </c>
      <c r="K27" s="101" t="str">
        <f>IF(OR($M27="",NOT(p_prices="Oui")),"",INDEX(jr_val,$M27))</f>
        <v/>
      </c>
      <c r="M27" t="str">
        <f>IF(OR($M$4="",9&gt;$M$5),"",IFERROR(MATCH($M$3&amp;"#9",jr_lkey,0),""))</f>
        <v/>
      </c>
      <c r="N27" t="str">
        <f>IF($M27="","",INDEX(jr_obs,$M27)&amp;"")</f>
        <v/>
      </c>
      <c r="O27" t="str">
        <f>IF(N27="",O26,O26&amp;IF(O26="",""," • ")&amp;N27)</f>
        <v/>
      </c>
    </row>
    <row r="28" ht="17" customHeight="1">
      <c r="A28" s="102" t="str">
        <f>IF($M28="","",10)</f>
        <v/>
      </c>
      <c r="B28" s="103" t="str">
        <f>IF($M28="","",INDEX(jr_art,$M28)&amp;"")</f>
        <v/>
      </c>
      <c r="C28" s="104" t="str">
        <f>IF($M28="","",INDEX(jr_des,$M28)&amp;"")</f>
        <v/>
      </c>
      <c r="D28" s="105" t="str">
        <f>IF($M28="","",INDEX(jr_unit,$M28)&amp;"")</f>
        <v/>
      </c>
      <c r="E28" s="106" t="str">
        <f>IF($M28="","",IF(INDEX(jr_qcmd,$M28)="","",INDEX(jr_qcmd,$M28)))</f>
        <v/>
      </c>
      <c r="F28" s="106" t="str">
        <f>IF($M28="","",IF(INDEX(jr_qty,$M28)="","",INDEX(jr_qty,$M28)))</f>
        <v/>
      </c>
      <c r="G28" s="106" t="str">
        <f>IF($M28="","",IF(N(INDEX(jr_gap,$M28))&lt;0,-INDEX(jr_gap,$M28),""))</f>
        <v/>
      </c>
      <c r="H28" s="107" t="str">
        <f>IF($M28="","",INDEX(jr_lot,$M28)&amp;"")</f>
        <v/>
      </c>
      <c r="I28" s="108" t="str">
        <f>IF($M28="","",IF(INDEX(jr_kg,$M28)="","",INDEX(jr_kg,$M28)))</f>
        <v/>
      </c>
      <c r="J28" s="109" t="str">
        <f>IF(OR($M28="",NOT(p_prices="Oui")),"",INDEX(jr_pu,$M28))</f>
        <v/>
      </c>
      <c r="K28" s="109" t="str">
        <f>IF(OR($M28="",NOT(p_prices="Oui")),"",INDEX(jr_val,$M28))</f>
        <v/>
      </c>
      <c r="M28" t="str">
        <f>IF(OR($M$4="",10&gt;$M$5),"",IFERROR(MATCH($M$3&amp;"#10",jr_lkey,0),""))</f>
        <v/>
      </c>
      <c r="N28" t="str">
        <f>IF($M28="","",INDEX(jr_obs,$M28)&amp;"")</f>
        <v/>
      </c>
      <c r="O28" t="str">
        <f>IF(N28="",O27,O27&amp;IF(O27="",""," • ")&amp;N28)</f>
        <v/>
      </c>
    </row>
    <row r="29" ht="17" customHeight="1">
      <c r="A29" s="94" t="str">
        <f>IF($M29="","",11)</f>
        <v/>
      </c>
      <c r="B29" s="95" t="str">
        <f>IF($M29="","",INDEX(jr_art,$M29)&amp;"")</f>
        <v/>
      </c>
      <c r="C29" s="96" t="str">
        <f>IF($M29="","",INDEX(jr_des,$M29)&amp;"")</f>
        <v/>
      </c>
      <c r="D29" s="97" t="str">
        <f>IF($M29="","",INDEX(jr_unit,$M29)&amp;"")</f>
        <v/>
      </c>
      <c r="E29" s="98" t="str">
        <f>IF($M29="","",IF(INDEX(jr_qcmd,$M29)="","",INDEX(jr_qcmd,$M29)))</f>
        <v/>
      </c>
      <c r="F29" s="98" t="str">
        <f>IF($M29="","",IF(INDEX(jr_qty,$M29)="","",INDEX(jr_qty,$M29)))</f>
        <v/>
      </c>
      <c r="G29" s="98" t="str">
        <f>IF($M29="","",IF(N(INDEX(jr_gap,$M29))&lt;0,-INDEX(jr_gap,$M29),""))</f>
        <v/>
      </c>
      <c r="H29" s="99" t="str">
        <f>IF($M29="","",INDEX(jr_lot,$M29)&amp;"")</f>
        <v/>
      </c>
      <c r="I29" s="100" t="str">
        <f>IF($M29="","",IF(INDEX(jr_kg,$M29)="","",INDEX(jr_kg,$M29)))</f>
        <v/>
      </c>
      <c r="J29" s="101" t="str">
        <f>IF(OR($M29="",NOT(p_prices="Oui")),"",INDEX(jr_pu,$M29))</f>
        <v/>
      </c>
      <c r="K29" s="101" t="str">
        <f>IF(OR($M29="",NOT(p_prices="Oui")),"",INDEX(jr_val,$M29))</f>
        <v/>
      </c>
      <c r="M29" t="str">
        <f>IF(OR($M$4="",11&gt;$M$5),"",IFERROR(MATCH($M$3&amp;"#11",jr_lkey,0),""))</f>
        <v/>
      </c>
      <c r="N29" t="str">
        <f>IF($M29="","",INDEX(jr_obs,$M29)&amp;"")</f>
        <v/>
      </c>
      <c r="O29" t="str">
        <f>IF(N29="",O28,O28&amp;IF(O28="",""," • ")&amp;N29)</f>
        <v/>
      </c>
    </row>
    <row r="30" ht="17" customHeight="1">
      <c r="A30" s="102" t="str">
        <f>IF($M30="","",12)</f>
        <v/>
      </c>
      <c r="B30" s="103" t="str">
        <f>IF($M30="","",INDEX(jr_art,$M30)&amp;"")</f>
        <v/>
      </c>
      <c r="C30" s="104" t="str">
        <f>IF($M30="","",INDEX(jr_des,$M30)&amp;"")</f>
        <v/>
      </c>
      <c r="D30" s="105" t="str">
        <f>IF($M30="","",INDEX(jr_unit,$M30)&amp;"")</f>
        <v/>
      </c>
      <c r="E30" s="106" t="str">
        <f>IF($M30="","",IF(INDEX(jr_qcmd,$M30)="","",INDEX(jr_qcmd,$M30)))</f>
        <v/>
      </c>
      <c r="F30" s="106" t="str">
        <f>IF($M30="","",IF(INDEX(jr_qty,$M30)="","",INDEX(jr_qty,$M30)))</f>
        <v/>
      </c>
      <c r="G30" s="106" t="str">
        <f>IF($M30="","",IF(N(INDEX(jr_gap,$M30))&lt;0,-INDEX(jr_gap,$M30),""))</f>
        <v/>
      </c>
      <c r="H30" s="107" t="str">
        <f>IF($M30="","",INDEX(jr_lot,$M30)&amp;"")</f>
        <v/>
      </c>
      <c r="I30" s="108" t="str">
        <f>IF($M30="","",IF(INDEX(jr_kg,$M30)="","",INDEX(jr_kg,$M30)))</f>
        <v/>
      </c>
      <c r="J30" s="109" t="str">
        <f>IF(OR($M30="",NOT(p_prices="Oui")),"",INDEX(jr_pu,$M30))</f>
        <v/>
      </c>
      <c r="K30" s="109" t="str">
        <f>IF(OR($M30="",NOT(p_prices="Oui")),"",INDEX(jr_val,$M30))</f>
        <v/>
      </c>
      <c r="M30" t="str">
        <f>IF(OR($M$4="",12&gt;$M$5),"",IFERROR(MATCH($M$3&amp;"#12",jr_lkey,0),""))</f>
        <v/>
      </c>
      <c r="N30" t="str">
        <f>IF($M30="","",INDEX(jr_obs,$M30)&amp;"")</f>
        <v/>
      </c>
      <c r="O30" t="str">
        <f>IF(N30="",O29,O29&amp;IF(O29="",""," • ")&amp;N30)</f>
        <v/>
      </c>
    </row>
    <row r="31" ht="17" customHeight="1">
      <c r="A31" s="94" t="str">
        <f>IF($M31="","",13)</f>
        <v/>
      </c>
      <c r="B31" s="95" t="str">
        <f>IF($M31="","",INDEX(jr_art,$M31)&amp;"")</f>
        <v/>
      </c>
      <c r="C31" s="96" t="str">
        <f>IF($M31="","",INDEX(jr_des,$M31)&amp;"")</f>
        <v/>
      </c>
      <c r="D31" s="97" t="str">
        <f>IF($M31="","",INDEX(jr_unit,$M31)&amp;"")</f>
        <v/>
      </c>
      <c r="E31" s="98" t="str">
        <f>IF($M31="","",IF(INDEX(jr_qcmd,$M31)="","",INDEX(jr_qcmd,$M31)))</f>
        <v/>
      </c>
      <c r="F31" s="98" t="str">
        <f>IF($M31="","",IF(INDEX(jr_qty,$M31)="","",INDEX(jr_qty,$M31)))</f>
        <v/>
      </c>
      <c r="G31" s="98" t="str">
        <f>IF($M31="","",IF(N(INDEX(jr_gap,$M31))&lt;0,-INDEX(jr_gap,$M31),""))</f>
        <v/>
      </c>
      <c r="H31" s="99" t="str">
        <f>IF($M31="","",INDEX(jr_lot,$M31)&amp;"")</f>
        <v/>
      </c>
      <c r="I31" s="100" t="str">
        <f>IF($M31="","",IF(INDEX(jr_kg,$M31)="","",INDEX(jr_kg,$M31)))</f>
        <v/>
      </c>
      <c r="J31" s="101" t="str">
        <f>IF(OR($M31="",NOT(p_prices="Oui")),"",INDEX(jr_pu,$M31))</f>
        <v/>
      </c>
      <c r="K31" s="101" t="str">
        <f>IF(OR($M31="",NOT(p_prices="Oui")),"",INDEX(jr_val,$M31))</f>
        <v/>
      </c>
      <c r="M31" t="str">
        <f>IF(OR($M$4="",13&gt;$M$5),"",IFERROR(MATCH($M$3&amp;"#13",jr_lkey,0),""))</f>
        <v/>
      </c>
      <c r="N31" t="str">
        <f>IF($M31="","",INDEX(jr_obs,$M31)&amp;"")</f>
        <v/>
      </c>
      <c r="O31" t="str">
        <f>IF(N31="",O30,O30&amp;IF(O30="",""," • ")&amp;N31)</f>
        <v/>
      </c>
    </row>
    <row r="32" ht="17" customHeight="1">
      <c r="A32" s="102" t="str">
        <f>IF($M32="","",14)</f>
        <v/>
      </c>
      <c r="B32" s="103" t="str">
        <f>IF($M32="","",INDEX(jr_art,$M32)&amp;"")</f>
        <v/>
      </c>
      <c r="C32" s="104" t="str">
        <f>IF($M32="","",INDEX(jr_des,$M32)&amp;"")</f>
        <v/>
      </c>
      <c r="D32" s="105" t="str">
        <f>IF($M32="","",INDEX(jr_unit,$M32)&amp;"")</f>
        <v/>
      </c>
      <c r="E32" s="106" t="str">
        <f>IF($M32="","",IF(INDEX(jr_qcmd,$M32)="","",INDEX(jr_qcmd,$M32)))</f>
        <v/>
      </c>
      <c r="F32" s="106" t="str">
        <f>IF($M32="","",IF(INDEX(jr_qty,$M32)="","",INDEX(jr_qty,$M32)))</f>
        <v/>
      </c>
      <c r="G32" s="106" t="str">
        <f>IF($M32="","",IF(N(INDEX(jr_gap,$M32))&lt;0,-INDEX(jr_gap,$M32),""))</f>
        <v/>
      </c>
      <c r="H32" s="107" t="str">
        <f>IF($M32="","",INDEX(jr_lot,$M32)&amp;"")</f>
        <v/>
      </c>
      <c r="I32" s="108" t="str">
        <f>IF($M32="","",IF(INDEX(jr_kg,$M32)="","",INDEX(jr_kg,$M32)))</f>
        <v/>
      </c>
      <c r="J32" s="109" t="str">
        <f>IF(OR($M32="",NOT(p_prices="Oui")),"",INDEX(jr_pu,$M32))</f>
        <v/>
      </c>
      <c r="K32" s="109" t="str">
        <f>IF(OR($M32="",NOT(p_prices="Oui")),"",INDEX(jr_val,$M32))</f>
        <v/>
      </c>
      <c r="M32" t="str">
        <f>IF(OR($M$4="",14&gt;$M$5),"",IFERROR(MATCH($M$3&amp;"#14",jr_lkey,0),""))</f>
        <v/>
      </c>
      <c r="N32" t="str">
        <f>IF($M32="","",INDEX(jr_obs,$M32)&amp;"")</f>
        <v/>
      </c>
      <c r="O32" t="str">
        <f>IF(N32="",O31,O31&amp;IF(O31="",""," • ")&amp;N32)</f>
        <v/>
      </c>
    </row>
    <row r="33" ht="17" customHeight="1">
      <c r="A33" s="94" t="str">
        <f>IF($M33="","",15)</f>
        <v/>
      </c>
      <c r="B33" s="95" t="str">
        <f>IF($M33="","",INDEX(jr_art,$M33)&amp;"")</f>
        <v/>
      </c>
      <c r="C33" s="96" t="str">
        <f>IF($M33="","",INDEX(jr_des,$M33)&amp;"")</f>
        <v/>
      </c>
      <c r="D33" s="97" t="str">
        <f>IF($M33="","",INDEX(jr_unit,$M33)&amp;"")</f>
        <v/>
      </c>
      <c r="E33" s="98" t="str">
        <f>IF($M33="","",IF(INDEX(jr_qcmd,$M33)="","",INDEX(jr_qcmd,$M33)))</f>
        <v/>
      </c>
      <c r="F33" s="98" t="str">
        <f>IF($M33="","",IF(INDEX(jr_qty,$M33)="","",INDEX(jr_qty,$M33)))</f>
        <v/>
      </c>
      <c r="G33" s="98" t="str">
        <f>IF($M33="","",IF(N(INDEX(jr_gap,$M33))&lt;0,-INDEX(jr_gap,$M33),""))</f>
        <v/>
      </c>
      <c r="H33" s="99" t="str">
        <f>IF($M33="","",INDEX(jr_lot,$M33)&amp;"")</f>
        <v/>
      </c>
      <c r="I33" s="100" t="str">
        <f>IF($M33="","",IF(INDEX(jr_kg,$M33)="","",INDEX(jr_kg,$M33)))</f>
        <v/>
      </c>
      <c r="J33" s="101" t="str">
        <f>IF(OR($M33="",NOT(p_prices="Oui")),"",INDEX(jr_pu,$M33))</f>
        <v/>
      </c>
      <c r="K33" s="101" t="str">
        <f>IF(OR($M33="",NOT(p_prices="Oui")),"",INDEX(jr_val,$M33))</f>
        <v/>
      </c>
      <c r="M33" t="str">
        <f>IF(OR($M$4="",15&gt;$M$5),"",IFERROR(MATCH($M$3&amp;"#15",jr_lkey,0),""))</f>
        <v/>
      </c>
      <c r="N33" t="str">
        <f>IF($M33="","",INDEX(jr_obs,$M33)&amp;"")</f>
        <v/>
      </c>
      <c r="O33" t="str">
        <f>IF(N33="",O32,O32&amp;IF(O32="",""," • ")&amp;N33)</f>
        <v/>
      </c>
    </row>
    <row r="34" ht="17" customHeight="1">
      <c r="A34" s="102" t="str">
        <f>IF($M34="","",16)</f>
        <v/>
      </c>
      <c r="B34" s="103" t="str">
        <f>IF($M34="","",INDEX(jr_art,$M34)&amp;"")</f>
        <v/>
      </c>
      <c r="C34" s="104" t="str">
        <f>IF($M34="","",INDEX(jr_des,$M34)&amp;"")</f>
        <v/>
      </c>
      <c r="D34" s="105" t="str">
        <f>IF($M34="","",INDEX(jr_unit,$M34)&amp;"")</f>
        <v/>
      </c>
      <c r="E34" s="106" t="str">
        <f>IF($M34="","",IF(INDEX(jr_qcmd,$M34)="","",INDEX(jr_qcmd,$M34)))</f>
        <v/>
      </c>
      <c r="F34" s="106" t="str">
        <f>IF($M34="","",IF(INDEX(jr_qty,$M34)="","",INDEX(jr_qty,$M34)))</f>
        <v/>
      </c>
      <c r="G34" s="106" t="str">
        <f>IF($M34="","",IF(N(INDEX(jr_gap,$M34))&lt;0,-INDEX(jr_gap,$M34),""))</f>
        <v/>
      </c>
      <c r="H34" s="107" t="str">
        <f>IF($M34="","",INDEX(jr_lot,$M34)&amp;"")</f>
        <v/>
      </c>
      <c r="I34" s="108" t="str">
        <f>IF($M34="","",IF(INDEX(jr_kg,$M34)="","",INDEX(jr_kg,$M34)))</f>
        <v/>
      </c>
      <c r="J34" s="109" t="str">
        <f>IF(OR($M34="",NOT(p_prices="Oui")),"",INDEX(jr_pu,$M34))</f>
        <v/>
      </c>
      <c r="K34" s="109" t="str">
        <f>IF(OR($M34="",NOT(p_prices="Oui")),"",INDEX(jr_val,$M34))</f>
        <v/>
      </c>
      <c r="M34" t="str">
        <f>IF(OR($M$4="",16&gt;$M$5),"",IFERROR(MATCH($M$3&amp;"#16",jr_lkey,0),""))</f>
        <v/>
      </c>
      <c r="N34" t="str">
        <f>IF($M34="","",INDEX(jr_obs,$M34)&amp;"")</f>
        <v/>
      </c>
      <c r="O34" t="str">
        <f>IF(N34="",O33,O33&amp;IF(O33="",""," • ")&amp;N34)</f>
        <v/>
      </c>
    </row>
    <row r="35" ht="17" customHeight="1">
      <c r="A35" s="94" t="str">
        <f>IF($M35="","",17)</f>
        <v/>
      </c>
      <c r="B35" s="95" t="str">
        <f>IF($M35="","",INDEX(jr_art,$M35)&amp;"")</f>
        <v/>
      </c>
      <c r="C35" s="96" t="str">
        <f>IF($M35="","",INDEX(jr_des,$M35)&amp;"")</f>
        <v/>
      </c>
      <c r="D35" s="97" t="str">
        <f>IF($M35="","",INDEX(jr_unit,$M35)&amp;"")</f>
        <v/>
      </c>
      <c r="E35" s="98" t="str">
        <f>IF($M35="","",IF(INDEX(jr_qcmd,$M35)="","",INDEX(jr_qcmd,$M35)))</f>
        <v/>
      </c>
      <c r="F35" s="98" t="str">
        <f>IF($M35="","",IF(INDEX(jr_qty,$M35)="","",INDEX(jr_qty,$M35)))</f>
        <v/>
      </c>
      <c r="G35" s="98" t="str">
        <f>IF($M35="","",IF(N(INDEX(jr_gap,$M35))&lt;0,-INDEX(jr_gap,$M35),""))</f>
        <v/>
      </c>
      <c r="H35" s="99" t="str">
        <f>IF($M35="","",INDEX(jr_lot,$M35)&amp;"")</f>
        <v/>
      </c>
      <c r="I35" s="100" t="str">
        <f>IF($M35="","",IF(INDEX(jr_kg,$M35)="","",INDEX(jr_kg,$M35)))</f>
        <v/>
      </c>
      <c r="J35" s="101" t="str">
        <f>IF(OR($M35="",NOT(p_prices="Oui")),"",INDEX(jr_pu,$M35))</f>
        <v/>
      </c>
      <c r="K35" s="101" t="str">
        <f>IF(OR($M35="",NOT(p_prices="Oui")),"",INDEX(jr_val,$M35))</f>
        <v/>
      </c>
      <c r="M35" t="str">
        <f>IF(OR($M$4="",17&gt;$M$5),"",IFERROR(MATCH($M$3&amp;"#17",jr_lkey,0),""))</f>
        <v/>
      </c>
      <c r="N35" t="str">
        <f>IF($M35="","",INDEX(jr_obs,$M35)&amp;"")</f>
        <v/>
      </c>
      <c r="O35" t="str">
        <f>IF(N35="",O34,O34&amp;IF(O34="",""," • ")&amp;N35)</f>
        <v/>
      </c>
    </row>
    <row r="36" ht="17" customHeight="1">
      <c r="A36" s="102" t="str">
        <f>IF($M36="","",18)</f>
        <v/>
      </c>
      <c r="B36" s="103" t="str">
        <f>IF($M36="","",INDEX(jr_art,$M36)&amp;"")</f>
        <v/>
      </c>
      <c r="C36" s="104" t="str">
        <f>IF($M36="","",INDEX(jr_des,$M36)&amp;"")</f>
        <v/>
      </c>
      <c r="D36" s="105" t="str">
        <f>IF($M36="","",INDEX(jr_unit,$M36)&amp;"")</f>
        <v/>
      </c>
      <c r="E36" s="106" t="str">
        <f>IF($M36="","",IF(INDEX(jr_qcmd,$M36)="","",INDEX(jr_qcmd,$M36)))</f>
        <v/>
      </c>
      <c r="F36" s="106" t="str">
        <f>IF($M36="","",IF(INDEX(jr_qty,$M36)="","",INDEX(jr_qty,$M36)))</f>
        <v/>
      </c>
      <c r="G36" s="106" t="str">
        <f>IF($M36="","",IF(N(INDEX(jr_gap,$M36))&lt;0,-INDEX(jr_gap,$M36),""))</f>
        <v/>
      </c>
      <c r="H36" s="107" t="str">
        <f>IF($M36="","",INDEX(jr_lot,$M36)&amp;"")</f>
        <v/>
      </c>
      <c r="I36" s="108" t="str">
        <f>IF($M36="","",IF(INDEX(jr_kg,$M36)="","",INDEX(jr_kg,$M36)))</f>
        <v/>
      </c>
      <c r="J36" s="109" t="str">
        <f>IF(OR($M36="",NOT(p_prices="Oui")),"",INDEX(jr_pu,$M36))</f>
        <v/>
      </c>
      <c r="K36" s="109" t="str">
        <f>IF(OR($M36="",NOT(p_prices="Oui")),"",INDEX(jr_val,$M36))</f>
        <v/>
      </c>
      <c r="M36" t="str">
        <f>IF(OR($M$4="",18&gt;$M$5),"",IFERROR(MATCH($M$3&amp;"#18",jr_lkey,0),""))</f>
        <v/>
      </c>
      <c r="N36" t="str">
        <f>IF($M36="","",INDEX(jr_obs,$M36)&amp;"")</f>
        <v/>
      </c>
      <c r="O36" t="str">
        <f>IF(N36="",O35,O35&amp;IF(O35="",""," • ")&amp;N36)</f>
        <v/>
      </c>
    </row>
    <row r="37" ht="20" customHeight="1">
      <c r="A37" s="110" t="inlineStr">
        <is>
          <t>Total</t>
        </is>
      </c>
      <c r="B37" s="111" t="n"/>
      <c r="C37" s="111" t="n"/>
      <c r="D37" s="111" t="n"/>
      <c r="E37" s="111" t="n"/>
      <c r="F37" s="111" t="n"/>
      <c r="G37" s="111" t="n"/>
      <c r="H37" s="111" t="n"/>
      <c r="I37" s="112" t="str">
        <f>IF($M$4="","",SUM(I19:I36))</f>
        <v/>
      </c>
      <c r="J37" s="113" t="str">
        <f>IF(p_prices="Oui","Total HT","")</f>
        <v/>
      </c>
      <c r="K37" s="114" t="str">
        <f>IF(OR(NOT(p_prices="Oui"),$M$4=""),"",SUM(K19:K36))</f>
        <v/>
      </c>
    </row>
    <row r="39">
      <c r="A39" s="115" t="inlineStr">
        <is>
          <t>OBSERVATIONS ET RÉSERVES DU CLIENT</t>
        </is>
      </c>
    </row>
    <row r="40" ht="18" customHeight="1">
      <c r="A40" s="116" t="str">
        <f>O36&amp;""</f>
        <v/>
      </c>
      <c r="B40" s="79" t="n"/>
      <c r="C40" s="79" t="n"/>
      <c r="D40" s="79" t="n"/>
      <c r="E40" s="79" t="n"/>
      <c r="F40" s="79" t="n"/>
      <c r="G40" s="79" t="n"/>
      <c r="H40" s="79" t="n"/>
      <c r="I40" s="79" t="n"/>
      <c r="J40" s="79" t="n"/>
      <c r="K40" s="80" t="n"/>
    </row>
    <row r="41" ht="18" customHeight="1">
      <c r="A41" s="117" t="n"/>
      <c r="B41" s="82" t="n"/>
      <c r="C41" s="82" t="n"/>
      <c r="D41" s="82" t="n"/>
      <c r="E41" s="82" t="n"/>
      <c r="F41" s="82" t="n"/>
      <c r="G41" s="82" t="n"/>
      <c r="H41" s="82" t="n"/>
      <c r="I41" s="82" t="n"/>
      <c r="J41" s="82" t="n"/>
      <c r="K41" s="83" t="n"/>
    </row>
    <row r="42" ht="18" customHeight="1">
      <c r="A42" s="118" t="n"/>
      <c r="B42" s="89" t="n"/>
      <c r="C42" s="89" t="n"/>
      <c r="D42" s="89" t="n"/>
      <c r="E42" s="89" t="n"/>
      <c r="F42" s="89" t="n"/>
      <c r="G42" s="89" t="n"/>
      <c r="H42" s="89" t="n"/>
      <c r="I42" s="89" t="n"/>
      <c r="J42" s="89" t="n"/>
      <c r="K42" s="90" t="n"/>
    </row>
    <row r="44" ht="22" customHeight="1">
      <c r="A44" s="119" t="inlineStr">
        <is>
          <t>Préparé par (expéditeur)</t>
        </is>
      </c>
      <c r="B44" s="79" t="n"/>
      <c r="C44" s="80" t="n"/>
      <c r="D44" s="119" t="inlineStr">
        <is>
          <t>Transporteur</t>
        </is>
      </c>
      <c r="E44" s="79" t="n"/>
      <c r="F44" s="79" t="n"/>
      <c r="G44" s="80" t="n"/>
      <c r="H44" s="119" t="inlineStr">
        <is>
          <t>Reçu par le client : nom, date, cachet</t>
        </is>
      </c>
      <c r="I44" s="79" t="n"/>
      <c r="J44" s="79" t="n"/>
      <c r="K44" s="80" t="n"/>
    </row>
    <row r="45" ht="16" customHeight="1">
      <c r="A45" s="120" t="inlineStr">
        <is>
          <t>Signature</t>
        </is>
      </c>
      <c r="B45" s="79" t="n"/>
      <c r="C45" s="80" t="n"/>
      <c r="D45" s="120" t="inlineStr">
        <is>
          <t>Signature</t>
        </is>
      </c>
      <c r="E45" s="79" t="n"/>
      <c r="F45" s="79" t="n"/>
      <c r="G45" s="80" t="n"/>
      <c r="H45" s="120" t="inlineStr">
        <is>
          <t>Signature</t>
        </is>
      </c>
      <c r="I45" s="79" t="n"/>
      <c r="J45" s="79" t="n"/>
      <c r="K45" s="80" t="n"/>
    </row>
    <row r="46" ht="16" customHeight="1">
      <c r="A46" s="117" t="n"/>
      <c r="B46" s="82" t="n"/>
      <c r="C46" s="83" t="n"/>
      <c r="D46" s="117" t="n"/>
      <c r="E46" s="82" t="n"/>
      <c r="F46" s="82" t="n"/>
      <c r="G46" s="83" t="n"/>
      <c r="H46" s="117" t="n"/>
      <c r="I46" s="82" t="n"/>
      <c r="J46" s="82" t="n"/>
      <c r="K46" s="83" t="n"/>
    </row>
    <row r="47" ht="16" customHeight="1">
      <c r="A47" s="117" t="n"/>
      <c r="B47" s="82" t="n"/>
      <c r="C47" s="83" t="n"/>
      <c r="D47" s="117" t="n"/>
      <c r="E47" s="82" t="n"/>
      <c r="F47" s="82" t="n"/>
      <c r="G47" s="83" t="n"/>
      <c r="H47" s="117" t="n"/>
      <c r="I47" s="82" t="n"/>
      <c r="J47" s="82" t="n"/>
      <c r="K47" s="83" t="n"/>
    </row>
    <row r="48" ht="16" customHeight="1">
      <c r="A48" s="117" t="n"/>
      <c r="B48" s="82" t="n"/>
      <c r="C48" s="83" t="n"/>
      <c r="D48" s="117" t="n"/>
      <c r="E48" s="82" t="n"/>
      <c r="F48" s="82" t="n"/>
      <c r="G48" s="83" t="n"/>
      <c r="H48" s="117" t="n"/>
      <c r="I48" s="82" t="n"/>
      <c r="J48" s="82" t="n"/>
      <c r="K48" s="83" t="n"/>
    </row>
    <row r="49" ht="16" customHeight="1">
      <c r="A49" s="118" t="n"/>
      <c r="B49" s="89" t="n"/>
      <c r="C49" s="90" t="n"/>
      <c r="D49" s="118" t="n"/>
      <c r="E49" s="89" t="n"/>
      <c r="F49" s="89" t="n"/>
      <c r="G49" s="90" t="n"/>
      <c r="H49" s="118" t="n"/>
      <c r="I49" s="89" t="n"/>
      <c r="J49" s="89" t="n"/>
      <c r="K49" s="90" t="n"/>
    </row>
    <row r="51" ht="16" customHeight="1">
      <c r="A51" s="121" t="str">
        <f>p_m_bl&amp;""</f>
        <v>Vérifiez la marchandise à la livraison et notez toute réserve sur ce bon, en présence du transporteur.</v>
      </c>
    </row>
    <row r="52" ht="16" customHeight="1"/>
  </sheetData>
  <mergeCells count="40">
    <mergeCell ref="A16:F16"/>
    <mergeCell ref="I16:K16"/>
    <mergeCell ref="A45:C49"/>
    <mergeCell ref="G12:K12"/>
    <mergeCell ref="A39:K39"/>
    <mergeCell ref="A12:F12"/>
    <mergeCell ref="G8:H8"/>
    <mergeCell ref="A40:K42"/>
    <mergeCell ref="G7:H7"/>
    <mergeCell ref="A14:F14"/>
    <mergeCell ref="I14:K14"/>
    <mergeCell ref="A5:F5"/>
    <mergeCell ref="D44:G44"/>
    <mergeCell ref="A8:F8"/>
    <mergeCell ref="I8:K8"/>
    <mergeCell ref="A37:B37"/>
    <mergeCell ref="G6:H6"/>
    <mergeCell ref="G13:H13"/>
    <mergeCell ref="A3:B3"/>
    <mergeCell ref="H44:K44"/>
    <mergeCell ref="A7:F7"/>
    <mergeCell ref="A44:C44"/>
    <mergeCell ref="A13:F13"/>
    <mergeCell ref="I13:K13"/>
    <mergeCell ref="G15:H15"/>
    <mergeCell ref="A9:F9"/>
    <mergeCell ref="I9:K9"/>
    <mergeCell ref="G5:K5"/>
    <mergeCell ref="G14:H14"/>
    <mergeCell ref="A15:F15"/>
    <mergeCell ref="I15:K15"/>
    <mergeCell ref="I6:K6"/>
    <mergeCell ref="D3:K3"/>
    <mergeCell ref="D45:G49"/>
    <mergeCell ref="A51:K52"/>
    <mergeCell ref="G16:H16"/>
    <mergeCell ref="A6:F6"/>
    <mergeCell ref="G9:H9"/>
    <mergeCell ref="H45:K49"/>
    <mergeCell ref="I7:K7"/>
  </mergeCells>
  <conditionalFormatting sqref="D3">
    <cfRule type="expression" priority="1" dxfId="1">
      <formula>OR($M$4="",$M$5&gt;18)</formula>
    </cfRule>
    <cfRule type="expression" priority="2" dxfId="16">
      <formula>$M$3=""</formula>
    </cfRule>
  </conditionalFormatting>
  <conditionalFormatting sqref="J19:K36">
    <cfRule type="expression" priority="3" dxfId="11">
      <formula>p_currency="MAD"</formula>
    </cfRule>
    <cfRule type="expression" priority="5" dxfId="12">
      <formula>p_currency="EUR"</formula>
    </cfRule>
    <cfRule type="expression" priority="7" dxfId="13">
      <formula>p_currency="USD"</formula>
    </cfRule>
  </conditionalFormatting>
  <conditionalFormatting sqref="K37">
    <cfRule type="expression" priority="4" dxfId="11">
      <formula>p_currency="MAD"</formula>
    </cfRule>
    <cfRule type="expression" priority="6" dxfId="12">
      <formula>p_currency="EUR"</formula>
    </cfRule>
    <cfRule type="expression" priority="8" dxfId="13">
      <formula>p_currency="USD"</formula>
    </cfRule>
  </conditionalFormatting>
  <dataValidations count="1">
    <dataValidation sqref="C3" showDropDown="0" showInputMessage="1" showErrorMessage="1" allowBlank="1" errorTitle="N° à imprimer" error="Ce numéro n'est pas dans la liste. Le message à droite indique s'il existe dans le journal." promptTitle="N° à imprimer" prompt="Choisissez un numéro dans la liste, ou tapez seulement le chiffre (12 pour BL-0012). Laissez vide pour imprimer un bon vierge." type="list" errorStyle="information">
      <formula1>=l_bl</formula1>
    </dataValidation>
  </dataValidations>
  <hyperlinks>
    <hyperlink ref="K1" location="'Mode d''emploi'!A1"/>
  </hyperlinks>
  <printOptions horizontalCentered="1"/>
  <pageMargins left="0.4" right="0.4" top="0.5" bottom="0.5" header="0.5" footer="0.5"/>
  <pageSetup orientation="portrait" paperSize="9" fitToHeight="1" fitToWidth="1"/>
</worksheet>
</file>

<file path=xl/worksheets/sheet6.xml><?xml version="1.0" encoding="utf-8"?>
<worksheet xmlns="http://schemas.openxmlformats.org/spreadsheetml/2006/main">
  <sheetPr>
    <tabColor rgb="FF0F766E"/>
    <outlinePr summaryBelow="1" summaryRight="1"/>
    <pageSetUpPr fitToPage="1"/>
  </sheetPr>
  <dimension ref="A1:O52"/>
  <sheetViews>
    <sheetView showGridLines="0" tabSelected="0" zoomScale="100" workbookViewId="0">
      <selection activeCell="A1" sqref="A1"/>
    </sheetView>
  </sheetViews>
  <sheetFormatPr baseColWidth="8" defaultRowHeight="15"/>
  <cols>
    <col width="5" customWidth="1" min="1" max="1"/>
    <col width="14" customWidth="1" min="2" max="2"/>
    <col width="30" customWidth="1" min="3" max="3"/>
    <col width="8" customWidth="1" min="4" max="4"/>
    <col width="11" customWidth="1" min="5" max="5"/>
    <col width="11" customWidth="1" min="6" max="6"/>
    <col width="11" customWidth="1" min="7" max="7"/>
    <col width="13" customWidth="1" min="8" max="8"/>
    <col width="11" customWidth="1" min="9" max="9"/>
    <col width="12" customWidth="1" min="10" max="10"/>
    <col width="14" customWidth="1" min="11" max="11"/>
    <col width="3" customWidth="1" min="12" max="12"/>
    <col hidden="1" width="6" customWidth="1" min="13" max="13"/>
    <col hidden="1" width="6" customWidth="1" min="14" max="14"/>
    <col hidden="1" width="6" customWidth="1" min="15" max="15"/>
  </cols>
  <sheetData>
    <row r="1" ht="38" customHeight="1">
      <c r="A1" s="1" t="n"/>
      <c r="B1" s="2" t="inlineStr">
        <is>
          <t>Bon de réception</t>
        </is>
      </c>
      <c r="C1" s="1" t="n"/>
      <c r="D1" s="1" t="n"/>
      <c r="E1" s="1" t="n"/>
      <c r="F1" s="1" t="n"/>
      <c r="G1" s="1" t="n"/>
      <c r="H1" s="1" t="n"/>
      <c r="I1" s="1" t="n"/>
      <c r="J1" s="1" t="n"/>
      <c r="K1" s="18" t="inlineStr">
        <is>
          <t>⌂ Mode d'emploi</t>
        </is>
      </c>
    </row>
    <row r="2" ht="22" customHeight="1">
      <c r="A2" s="3" t="n"/>
      <c r="B2" s="4" t="inlineStr">
        <is>
          <t>Choisissez un numéro : le bon de réception se remplit, avec l'écart entre commandé et reçu, et l'état de chaque ligne.</t>
        </is>
      </c>
      <c r="C2" s="3" t="n"/>
      <c r="D2" s="3" t="n"/>
      <c r="E2" s="3" t="n"/>
      <c r="F2" s="3" t="n"/>
      <c r="G2" s="3" t="n"/>
      <c r="H2" s="3" t="n"/>
      <c r="I2" s="3" t="n"/>
      <c r="J2" s="3" t="n"/>
      <c r="K2" s="3" t="n"/>
    </row>
    <row r="3" ht="24" customHeight="1">
      <c r="A3" s="68" t="inlineStr">
        <is>
          <t>N° à imprimer</t>
        </is>
      </c>
      <c r="C3" s="69" t="n"/>
      <c r="D3" s="70" t="str">
        <f>IF(M3="","Aucun numéro choisi : le bon s'imprime vide, à remplir à la main.",IF(LEFT(M3,3)&lt;&gt;"BR-","Ce numéro n'est pas un bon de réception : choisissez un numéro BR dans la liste.",IF(M4="","Numéro introuvable dans le journal : choisissez-le dans la liste.",M5&amp;" ligne(s)"&amp;IF(M5&gt;18," : seules les 18 premières s'impriment, faites deux bons.","  •  prêt à imprimer (Ctrl+P)."))))</f>
        <v>Aucun numéro choisi : le bon s'imprime vide, à remplir à la main.</v>
      </c>
      <c r="M3" t="str">
        <f>IF(C3="","",IF(ISNUMBER(C3),"BR-"&amp;RIGHT("000"&amp;INT(C3),4),UPPER(TRIM(C3))))</f>
        <v/>
      </c>
    </row>
    <row r="4">
      <c r="M4" t="str">
        <f>IF(OR(M3="",LEFT(M3,3)&lt;&gt;"BR-"),"",IFERROR(MATCH(M3&amp;"#1",jr_lkey,0),""))</f>
        <v/>
      </c>
    </row>
    <row r="5" ht="26" customHeight="1">
      <c r="A5" s="71" t="str">
        <f>IF(p_company="","Votre entreprise",p_company)</f>
        <v>Votre entreprise</v>
      </c>
      <c r="G5" s="72" t="inlineStr">
        <is>
          <t>BON DE RÉCEPTION</t>
        </is>
      </c>
      <c r="M5">
        <f>IF(M4="",0,COUNTIF(jr_num,M3))</f>
        <v>0.0</v>
      </c>
    </row>
    <row r="6" ht="17" customHeight="1">
      <c r="A6" s="73" t="str">
        <f>p_addr&amp;""</f>
        <v/>
      </c>
      <c r="G6" s="19" t="inlineStr">
        <is>
          <t>N°</t>
        </is>
      </c>
      <c r="I6" s="74" t="str">
        <f>IF($M$4="","",$M$3)</f>
        <v/>
      </c>
      <c r="J6" s="75" t="n"/>
      <c r="K6" s="75" t="n"/>
    </row>
    <row r="7" ht="17" customHeight="1">
      <c r="A7" s="73" t="str">
        <f>p_city&amp;IF(AND(p_city&lt;&gt;"",p_phone&lt;&gt;""),"   •   ","")&amp;IF(p_phone&lt;&gt;"","Tél. "&amp;p_phone,"")</f>
        <v/>
      </c>
      <c r="G7" s="19" t="inlineStr">
        <is>
          <t>Date</t>
        </is>
      </c>
      <c r="I7" s="76" t="str">
        <f>IF($M$4="","",INDEX(jr_date,$M$4))</f>
        <v/>
      </c>
      <c r="J7" s="75" t="n"/>
      <c r="K7" s="75" t="n"/>
    </row>
    <row r="8" ht="17" customHeight="1">
      <c r="A8" s="73" t="str">
        <f>p_email&amp;""</f>
        <v/>
      </c>
      <c r="G8" s="19" t="inlineStr">
        <is>
          <t>Commande fournisseur</t>
        </is>
      </c>
      <c r="I8" s="77" t="str">
        <f>IF($M$4="","",INDEX(jr_order,$M$4)&amp;"")</f>
        <v/>
      </c>
      <c r="J8" s="75" t="n"/>
      <c r="K8" s="75" t="n"/>
    </row>
    <row r="9" ht="17" customHeight="1">
      <c r="A9" s="67" t="str">
        <f>p_ids&amp;""</f>
        <v/>
      </c>
      <c r="G9" s="19" t="inlineStr">
        <is>
          <t>BL fournisseur</t>
        </is>
      </c>
      <c r="I9" s="77" t="str">
        <f>IF($M$4="","",INDEX(jr_ext,$M$4)&amp;"")</f>
        <v/>
      </c>
      <c r="J9" s="75" t="n"/>
      <c r="K9" s="75" t="n"/>
    </row>
    <row r="10" ht="8" customHeight="1">
      <c r="A10" s="6" t="n"/>
      <c r="B10" s="6" t="n"/>
      <c r="C10" s="6" t="n"/>
      <c r="D10" s="6" t="n"/>
      <c r="E10" s="6" t="n"/>
      <c r="F10" s="6" t="n"/>
      <c r="G10" s="6" t="n"/>
      <c r="H10" s="6" t="n"/>
      <c r="I10" s="6" t="n"/>
      <c r="J10" s="6" t="n"/>
      <c r="K10" s="6" t="n"/>
    </row>
    <row r="11" ht="8" customHeight="1"/>
    <row r="12">
      <c r="A12" s="78" t="inlineStr">
        <is>
          <t>FOURNISSEUR</t>
        </is>
      </c>
      <c r="B12" s="79" t="n"/>
      <c r="C12" s="79" t="n"/>
      <c r="D12" s="79" t="n"/>
      <c r="E12" s="79" t="n"/>
      <c r="F12" s="80" t="n"/>
      <c r="G12" s="78" t="inlineStr">
        <is>
          <t>RÉCEPTION</t>
        </is>
      </c>
      <c r="H12" s="79" t="n"/>
      <c r="I12" s="79" t="n"/>
      <c r="J12" s="79" t="n"/>
      <c r="K12" s="80" t="n"/>
    </row>
    <row r="13" ht="17" customHeight="1">
      <c r="A13" s="81" t="str">
        <f>IF($M$4="","",INDEX(jr_name,$M$4)&amp;"")</f>
        <v/>
      </c>
      <c r="B13" s="82" t="n"/>
      <c r="C13" s="82" t="n"/>
      <c r="D13" s="82" t="n"/>
      <c r="E13" s="82" t="n"/>
      <c r="F13" s="83" t="n"/>
      <c r="G13" s="84" t="inlineStr">
        <is>
          <t>Code fournisseur</t>
        </is>
      </c>
      <c r="H13" s="82" t="n"/>
      <c r="I13" s="85" t="str">
        <f>IF($M$4="","",INDEX(jr_tiers,$M$4)&amp;"")</f>
        <v/>
      </c>
      <c r="J13" s="82" t="n"/>
      <c r="K13" s="83" t="n"/>
    </row>
    <row r="14" ht="17" customHeight="1">
      <c r="A14" s="86" t="str">
        <f>IF($M$4="","",IFERROR(INDEX(fo_addr,MATCH(INDEX(jr_tiers,$M$4),fo_code,0))&amp;"",""))</f>
        <v/>
      </c>
      <c r="B14" s="82" t="n"/>
      <c r="C14" s="82" t="n"/>
      <c r="D14" s="82" t="n"/>
      <c r="E14" s="82" t="n"/>
      <c r="F14" s="83" t="n"/>
      <c r="G14" s="84" t="inlineStr">
        <is>
          <t>Transporteur</t>
        </is>
      </c>
      <c r="H14" s="82" t="n"/>
      <c r="I14" s="85" t="str">
        <f>IF($M$4="","",INDEX(jr_carrier,$M$4)&amp;"")</f>
        <v/>
      </c>
      <c r="J14" s="82" t="n"/>
      <c r="K14" s="83" t="n"/>
    </row>
    <row r="15" ht="17" customHeight="1">
      <c r="A15" s="86" t="str">
        <f>IF($M$4="","",IFERROR(INDEX(fo_city,MATCH(INDEX(jr_tiers,$M$4),fo_code,0))&amp;"",""))</f>
        <v/>
      </c>
      <c r="B15" s="82" t="n"/>
      <c r="C15" s="82" t="n"/>
      <c r="D15" s="82" t="n"/>
      <c r="E15" s="82" t="n"/>
      <c r="F15" s="83" t="n"/>
      <c r="G15" s="84" t="inlineStr">
        <is>
          <t>Nombre de colis</t>
        </is>
      </c>
      <c r="H15" s="82" t="n"/>
      <c r="I15" s="87" t="str">
        <f>IF($M$4="","",SUMIF(jr_num,$M$3,jr_colis))</f>
        <v/>
      </c>
      <c r="J15" s="82" t="n"/>
      <c r="K15" s="83" t="n"/>
    </row>
    <row r="16" ht="17" customHeight="1">
      <c r="A16" s="88" t="str">
        <f>IF($M$4="","",IFERROR(IF(INDEX(fo_ice,MATCH(INDEX(jr_tiers,$M$4),fo_code,0))="","","ICE : "&amp;INDEX(fo_ice,MATCH(INDEX(jr_tiers,$M$4),fo_code,0))),""))</f>
        <v/>
      </c>
      <c r="B16" s="89" t="n"/>
      <c r="C16" s="89" t="n"/>
      <c r="D16" s="89" t="n"/>
      <c r="E16" s="89" t="n"/>
      <c r="F16" s="90" t="n"/>
      <c r="G16" s="91" t="inlineStr">
        <is>
          <t>Poids total (kg)</t>
        </is>
      </c>
      <c r="H16" s="89" t="n"/>
      <c r="I16" s="92" t="str">
        <f>IF($M$4="","",SUMIF(jr_num,$M$3,jr_kg))</f>
        <v/>
      </c>
      <c r="J16" s="89" t="n"/>
      <c r="K16" s="90" t="n"/>
    </row>
    <row r="17" ht="10" customHeight="1"/>
    <row r="18" ht="30" customHeight="1">
      <c r="A18" s="93" t="inlineStr">
        <is>
          <t>N°</t>
        </is>
      </c>
      <c r="B18" s="93" t="inlineStr">
        <is>
          <t>Référence</t>
        </is>
      </c>
      <c r="C18" s="93" t="inlineStr">
        <is>
          <t>Désignation</t>
        </is>
      </c>
      <c r="D18" s="93" t="inlineStr">
        <is>
          <t>Unité</t>
        </is>
      </c>
      <c r="E18" s="93" t="inlineStr">
        <is>
          <t>Qté commandée</t>
        </is>
      </c>
      <c r="F18" s="93" t="inlineStr">
        <is>
          <t>Qté reçue</t>
        </is>
      </c>
      <c r="G18" s="93" t="inlineStr">
        <is>
          <t>Écart</t>
        </is>
      </c>
      <c r="H18" s="93" t="inlineStr">
        <is>
          <t>Lot / série</t>
        </is>
      </c>
      <c r="I18" s="93" t="inlineStr">
        <is>
          <t>État</t>
        </is>
      </c>
      <c r="J18" s="93" t="str">
        <f>IF(p_prices="Oui","Prix unit. HT","")</f>
        <v/>
      </c>
      <c r="K18" s="93" t="str">
        <f>IF(p_prices="Oui","Montant HT","")</f>
        <v/>
      </c>
    </row>
    <row r="19" ht="17" customHeight="1">
      <c r="A19" s="94" t="str">
        <f>IF($M19="","",1)</f>
        <v/>
      </c>
      <c r="B19" s="95" t="str">
        <f>IF($M19="","",INDEX(jr_art,$M19)&amp;"")</f>
        <v/>
      </c>
      <c r="C19" s="96" t="str">
        <f>IF($M19="","",INDEX(jr_des,$M19)&amp;"")</f>
        <v/>
      </c>
      <c r="D19" s="97" t="str">
        <f>IF($M19="","",INDEX(jr_unit,$M19)&amp;"")</f>
        <v/>
      </c>
      <c r="E19" s="98" t="str">
        <f>IF($M19="","",IF(INDEX(jr_qcmd,$M19)="","",INDEX(jr_qcmd,$M19)))</f>
        <v/>
      </c>
      <c r="F19" s="98" t="str">
        <f>IF($M19="","",IF(INDEX(jr_qty,$M19)="","",INDEX(jr_qty,$M19)))</f>
        <v/>
      </c>
      <c r="G19" s="122" t="str">
        <f>IF($M19="","",IF(INDEX(jr_gap,$M19)="","",INDEX(jr_gap,$M19)))</f>
        <v/>
      </c>
      <c r="H19" s="99" t="str">
        <f>IF($M19="","",INDEX(jr_lot,$M19)&amp;"")</f>
        <v/>
      </c>
      <c r="I19" s="99" t="str">
        <f>IF($M19="","",INDEX(jr_etat,$M19)&amp;"")</f>
        <v/>
      </c>
      <c r="J19" s="101" t="str">
        <f>IF(OR($M19="",NOT(p_prices="Oui")),"",INDEX(jr_pu,$M19))</f>
        <v/>
      </c>
      <c r="K19" s="101" t="str">
        <f>IF(OR($M19="",NOT(p_prices="Oui")),"",INDEX(jr_val,$M19))</f>
        <v/>
      </c>
      <c r="M19" t="str">
        <f>IF(OR($M$4="",1&gt;$M$5),"",IFERROR(MATCH($M$3&amp;"#1",jr_lkey,0),""))</f>
        <v/>
      </c>
      <c r="N19" t="str">
        <f>IF($M19="","",INDEX(jr_obs,$M19)&amp;"")</f>
        <v/>
      </c>
      <c r="O19" t="str">
        <f>N19&amp;""</f>
        <v/>
      </c>
    </row>
    <row r="20" ht="17" customHeight="1">
      <c r="A20" s="102" t="str">
        <f>IF($M20="","",2)</f>
        <v/>
      </c>
      <c r="B20" s="103" t="str">
        <f>IF($M20="","",INDEX(jr_art,$M20)&amp;"")</f>
        <v/>
      </c>
      <c r="C20" s="104" t="str">
        <f>IF($M20="","",INDEX(jr_des,$M20)&amp;"")</f>
        <v/>
      </c>
      <c r="D20" s="105" t="str">
        <f>IF($M20="","",INDEX(jr_unit,$M20)&amp;"")</f>
        <v/>
      </c>
      <c r="E20" s="106" t="str">
        <f>IF($M20="","",IF(INDEX(jr_qcmd,$M20)="","",INDEX(jr_qcmd,$M20)))</f>
        <v/>
      </c>
      <c r="F20" s="106" t="str">
        <f>IF($M20="","",IF(INDEX(jr_qty,$M20)="","",INDEX(jr_qty,$M20)))</f>
        <v/>
      </c>
      <c r="G20" s="123" t="str">
        <f>IF($M20="","",IF(INDEX(jr_gap,$M20)="","",INDEX(jr_gap,$M20)))</f>
        <v/>
      </c>
      <c r="H20" s="107" t="str">
        <f>IF($M20="","",INDEX(jr_lot,$M20)&amp;"")</f>
        <v/>
      </c>
      <c r="I20" s="107" t="str">
        <f>IF($M20="","",INDEX(jr_etat,$M20)&amp;"")</f>
        <v/>
      </c>
      <c r="J20" s="109" t="str">
        <f>IF(OR($M20="",NOT(p_prices="Oui")),"",INDEX(jr_pu,$M20))</f>
        <v/>
      </c>
      <c r="K20" s="109" t="str">
        <f>IF(OR($M20="",NOT(p_prices="Oui")),"",INDEX(jr_val,$M20))</f>
        <v/>
      </c>
      <c r="M20" t="str">
        <f>IF(OR($M$4="",2&gt;$M$5),"",IFERROR(MATCH($M$3&amp;"#2",jr_lkey,0),""))</f>
        <v/>
      </c>
      <c r="N20" t="str">
        <f>IF($M20="","",INDEX(jr_obs,$M20)&amp;"")</f>
        <v/>
      </c>
      <c r="O20" t="str">
        <f>IF(N20="",O19,O19&amp;IF(O19="",""," • ")&amp;N20)</f>
        <v/>
      </c>
    </row>
    <row r="21" ht="17" customHeight="1">
      <c r="A21" s="94" t="str">
        <f>IF($M21="","",3)</f>
        <v/>
      </c>
      <c r="B21" s="95" t="str">
        <f>IF($M21="","",INDEX(jr_art,$M21)&amp;"")</f>
        <v/>
      </c>
      <c r="C21" s="96" t="str">
        <f>IF($M21="","",INDEX(jr_des,$M21)&amp;"")</f>
        <v/>
      </c>
      <c r="D21" s="97" t="str">
        <f>IF($M21="","",INDEX(jr_unit,$M21)&amp;"")</f>
        <v/>
      </c>
      <c r="E21" s="98" t="str">
        <f>IF($M21="","",IF(INDEX(jr_qcmd,$M21)="","",INDEX(jr_qcmd,$M21)))</f>
        <v/>
      </c>
      <c r="F21" s="98" t="str">
        <f>IF($M21="","",IF(INDEX(jr_qty,$M21)="","",INDEX(jr_qty,$M21)))</f>
        <v/>
      </c>
      <c r="G21" s="122" t="str">
        <f>IF($M21="","",IF(INDEX(jr_gap,$M21)="","",INDEX(jr_gap,$M21)))</f>
        <v/>
      </c>
      <c r="H21" s="99" t="str">
        <f>IF($M21="","",INDEX(jr_lot,$M21)&amp;"")</f>
        <v/>
      </c>
      <c r="I21" s="99" t="str">
        <f>IF($M21="","",INDEX(jr_etat,$M21)&amp;"")</f>
        <v/>
      </c>
      <c r="J21" s="101" t="str">
        <f>IF(OR($M21="",NOT(p_prices="Oui")),"",INDEX(jr_pu,$M21))</f>
        <v/>
      </c>
      <c r="K21" s="101" t="str">
        <f>IF(OR($M21="",NOT(p_prices="Oui")),"",INDEX(jr_val,$M21))</f>
        <v/>
      </c>
      <c r="M21" t="str">
        <f>IF(OR($M$4="",3&gt;$M$5),"",IFERROR(MATCH($M$3&amp;"#3",jr_lkey,0),""))</f>
        <v/>
      </c>
      <c r="N21" t="str">
        <f>IF($M21="","",INDEX(jr_obs,$M21)&amp;"")</f>
        <v/>
      </c>
      <c r="O21" t="str">
        <f>IF(N21="",O20,O20&amp;IF(O20="",""," • ")&amp;N21)</f>
        <v/>
      </c>
    </row>
    <row r="22" ht="17" customHeight="1">
      <c r="A22" s="102" t="str">
        <f>IF($M22="","",4)</f>
        <v/>
      </c>
      <c r="B22" s="103" t="str">
        <f>IF($M22="","",INDEX(jr_art,$M22)&amp;"")</f>
        <v/>
      </c>
      <c r="C22" s="104" t="str">
        <f>IF($M22="","",INDEX(jr_des,$M22)&amp;"")</f>
        <v/>
      </c>
      <c r="D22" s="105" t="str">
        <f>IF($M22="","",INDEX(jr_unit,$M22)&amp;"")</f>
        <v/>
      </c>
      <c r="E22" s="106" t="str">
        <f>IF($M22="","",IF(INDEX(jr_qcmd,$M22)="","",INDEX(jr_qcmd,$M22)))</f>
        <v/>
      </c>
      <c r="F22" s="106" t="str">
        <f>IF($M22="","",IF(INDEX(jr_qty,$M22)="","",INDEX(jr_qty,$M22)))</f>
        <v/>
      </c>
      <c r="G22" s="123" t="str">
        <f>IF($M22="","",IF(INDEX(jr_gap,$M22)="","",INDEX(jr_gap,$M22)))</f>
        <v/>
      </c>
      <c r="H22" s="107" t="str">
        <f>IF($M22="","",INDEX(jr_lot,$M22)&amp;"")</f>
        <v/>
      </c>
      <c r="I22" s="107" t="str">
        <f>IF($M22="","",INDEX(jr_etat,$M22)&amp;"")</f>
        <v/>
      </c>
      <c r="J22" s="109" t="str">
        <f>IF(OR($M22="",NOT(p_prices="Oui")),"",INDEX(jr_pu,$M22))</f>
        <v/>
      </c>
      <c r="K22" s="109" t="str">
        <f>IF(OR($M22="",NOT(p_prices="Oui")),"",INDEX(jr_val,$M22))</f>
        <v/>
      </c>
      <c r="M22" t="str">
        <f>IF(OR($M$4="",4&gt;$M$5),"",IFERROR(MATCH($M$3&amp;"#4",jr_lkey,0),""))</f>
        <v/>
      </c>
      <c r="N22" t="str">
        <f>IF($M22="","",INDEX(jr_obs,$M22)&amp;"")</f>
        <v/>
      </c>
      <c r="O22" t="str">
        <f>IF(N22="",O21,O21&amp;IF(O21="",""," • ")&amp;N22)</f>
        <v/>
      </c>
    </row>
    <row r="23" ht="17" customHeight="1">
      <c r="A23" s="94" t="str">
        <f>IF($M23="","",5)</f>
        <v/>
      </c>
      <c r="B23" s="95" t="str">
        <f>IF($M23="","",INDEX(jr_art,$M23)&amp;"")</f>
        <v/>
      </c>
      <c r="C23" s="96" t="str">
        <f>IF($M23="","",INDEX(jr_des,$M23)&amp;"")</f>
        <v/>
      </c>
      <c r="D23" s="97" t="str">
        <f>IF($M23="","",INDEX(jr_unit,$M23)&amp;"")</f>
        <v/>
      </c>
      <c r="E23" s="98" t="str">
        <f>IF($M23="","",IF(INDEX(jr_qcmd,$M23)="","",INDEX(jr_qcmd,$M23)))</f>
        <v/>
      </c>
      <c r="F23" s="98" t="str">
        <f>IF($M23="","",IF(INDEX(jr_qty,$M23)="","",INDEX(jr_qty,$M23)))</f>
        <v/>
      </c>
      <c r="G23" s="122" t="str">
        <f>IF($M23="","",IF(INDEX(jr_gap,$M23)="","",INDEX(jr_gap,$M23)))</f>
        <v/>
      </c>
      <c r="H23" s="99" t="str">
        <f>IF($M23="","",INDEX(jr_lot,$M23)&amp;"")</f>
        <v/>
      </c>
      <c r="I23" s="99" t="str">
        <f>IF($M23="","",INDEX(jr_etat,$M23)&amp;"")</f>
        <v/>
      </c>
      <c r="J23" s="101" t="str">
        <f>IF(OR($M23="",NOT(p_prices="Oui")),"",INDEX(jr_pu,$M23))</f>
        <v/>
      </c>
      <c r="K23" s="101" t="str">
        <f>IF(OR($M23="",NOT(p_prices="Oui")),"",INDEX(jr_val,$M23))</f>
        <v/>
      </c>
      <c r="M23" t="str">
        <f>IF(OR($M$4="",5&gt;$M$5),"",IFERROR(MATCH($M$3&amp;"#5",jr_lkey,0),""))</f>
        <v/>
      </c>
      <c r="N23" t="str">
        <f>IF($M23="","",INDEX(jr_obs,$M23)&amp;"")</f>
        <v/>
      </c>
      <c r="O23" t="str">
        <f>IF(N23="",O22,O22&amp;IF(O22="",""," • ")&amp;N23)</f>
        <v/>
      </c>
    </row>
    <row r="24" ht="17" customHeight="1">
      <c r="A24" s="102" t="str">
        <f>IF($M24="","",6)</f>
        <v/>
      </c>
      <c r="B24" s="103" t="str">
        <f>IF($M24="","",INDEX(jr_art,$M24)&amp;"")</f>
        <v/>
      </c>
      <c r="C24" s="104" t="str">
        <f>IF($M24="","",INDEX(jr_des,$M24)&amp;"")</f>
        <v/>
      </c>
      <c r="D24" s="105" t="str">
        <f>IF($M24="","",INDEX(jr_unit,$M24)&amp;"")</f>
        <v/>
      </c>
      <c r="E24" s="106" t="str">
        <f>IF($M24="","",IF(INDEX(jr_qcmd,$M24)="","",INDEX(jr_qcmd,$M24)))</f>
        <v/>
      </c>
      <c r="F24" s="106" t="str">
        <f>IF($M24="","",IF(INDEX(jr_qty,$M24)="","",INDEX(jr_qty,$M24)))</f>
        <v/>
      </c>
      <c r="G24" s="123" t="str">
        <f>IF($M24="","",IF(INDEX(jr_gap,$M24)="","",INDEX(jr_gap,$M24)))</f>
        <v/>
      </c>
      <c r="H24" s="107" t="str">
        <f>IF($M24="","",INDEX(jr_lot,$M24)&amp;"")</f>
        <v/>
      </c>
      <c r="I24" s="107" t="str">
        <f>IF($M24="","",INDEX(jr_etat,$M24)&amp;"")</f>
        <v/>
      </c>
      <c r="J24" s="109" t="str">
        <f>IF(OR($M24="",NOT(p_prices="Oui")),"",INDEX(jr_pu,$M24))</f>
        <v/>
      </c>
      <c r="K24" s="109" t="str">
        <f>IF(OR($M24="",NOT(p_prices="Oui")),"",INDEX(jr_val,$M24))</f>
        <v/>
      </c>
      <c r="M24" t="str">
        <f>IF(OR($M$4="",6&gt;$M$5),"",IFERROR(MATCH($M$3&amp;"#6",jr_lkey,0),""))</f>
        <v/>
      </c>
      <c r="N24" t="str">
        <f>IF($M24="","",INDEX(jr_obs,$M24)&amp;"")</f>
        <v/>
      </c>
      <c r="O24" t="str">
        <f>IF(N24="",O23,O23&amp;IF(O23="",""," • ")&amp;N24)</f>
        <v/>
      </c>
    </row>
    <row r="25" ht="17" customHeight="1">
      <c r="A25" s="94" t="str">
        <f>IF($M25="","",7)</f>
        <v/>
      </c>
      <c r="B25" s="95" t="str">
        <f>IF($M25="","",INDEX(jr_art,$M25)&amp;"")</f>
        <v/>
      </c>
      <c r="C25" s="96" t="str">
        <f>IF($M25="","",INDEX(jr_des,$M25)&amp;"")</f>
        <v/>
      </c>
      <c r="D25" s="97" t="str">
        <f>IF($M25="","",INDEX(jr_unit,$M25)&amp;"")</f>
        <v/>
      </c>
      <c r="E25" s="98" t="str">
        <f>IF($M25="","",IF(INDEX(jr_qcmd,$M25)="","",INDEX(jr_qcmd,$M25)))</f>
        <v/>
      </c>
      <c r="F25" s="98" t="str">
        <f>IF($M25="","",IF(INDEX(jr_qty,$M25)="","",INDEX(jr_qty,$M25)))</f>
        <v/>
      </c>
      <c r="G25" s="122" t="str">
        <f>IF($M25="","",IF(INDEX(jr_gap,$M25)="","",INDEX(jr_gap,$M25)))</f>
        <v/>
      </c>
      <c r="H25" s="99" t="str">
        <f>IF($M25="","",INDEX(jr_lot,$M25)&amp;"")</f>
        <v/>
      </c>
      <c r="I25" s="99" t="str">
        <f>IF($M25="","",INDEX(jr_etat,$M25)&amp;"")</f>
        <v/>
      </c>
      <c r="J25" s="101" t="str">
        <f>IF(OR($M25="",NOT(p_prices="Oui")),"",INDEX(jr_pu,$M25))</f>
        <v/>
      </c>
      <c r="K25" s="101" t="str">
        <f>IF(OR($M25="",NOT(p_prices="Oui")),"",INDEX(jr_val,$M25))</f>
        <v/>
      </c>
      <c r="M25" t="str">
        <f>IF(OR($M$4="",7&gt;$M$5),"",IFERROR(MATCH($M$3&amp;"#7",jr_lkey,0),""))</f>
        <v/>
      </c>
      <c r="N25" t="str">
        <f>IF($M25="","",INDEX(jr_obs,$M25)&amp;"")</f>
        <v/>
      </c>
      <c r="O25" t="str">
        <f>IF(N25="",O24,O24&amp;IF(O24="",""," • ")&amp;N25)</f>
        <v/>
      </c>
    </row>
    <row r="26" ht="17" customHeight="1">
      <c r="A26" s="102" t="str">
        <f>IF($M26="","",8)</f>
        <v/>
      </c>
      <c r="B26" s="103" t="str">
        <f>IF($M26="","",INDEX(jr_art,$M26)&amp;"")</f>
        <v/>
      </c>
      <c r="C26" s="104" t="str">
        <f>IF($M26="","",INDEX(jr_des,$M26)&amp;"")</f>
        <v/>
      </c>
      <c r="D26" s="105" t="str">
        <f>IF($M26="","",INDEX(jr_unit,$M26)&amp;"")</f>
        <v/>
      </c>
      <c r="E26" s="106" t="str">
        <f>IF($M26="","",IF(INDEX(jr_qcmd,$M26)="","",INDEX(jr_qcmd,$M26)))</f>
        <v/>
      </c>
      <c r="F26" s="106" t="str">
        <f>IF($M26="","",IF(INDEX(jr_qty,$M26)="","",INDEX(jr_qty,$M26)))</f>
        <v/>
      </c>
      <c r="G26" s="123" t="str">
        <f>IF($M26="","",IF(INDEX(jr_gap,$M26)="","",INDEX(jr_gap,$M26)))</f>
        <v/>
      </c>
      <c r="H26" s="107" t="str">
        <f>IF($M26="","",INDEX(jr_lot,$M26)&amp;"")</f>
        <v/>
      </c>
      <c r="I26" s="107" t="str">
        <f>IF($M26="","",INDEX(jr_etat,$M26)&amp;"")</f>
        <v/>
      </c>
      <c r="J26" s="109" t="str">
        <f>IF(OR($M26="",NOT(p_prices="Oui")),"",INDEX(jr_pu,$M26))</f>
        <v/>
      </c>
      <c r="K26" s="109" t="str">
        <f>IF(OR($M26="",NOT(p_prices="Oui")),"",INDEX(jr_val,$M26))</f>
        <v/>
      </c>
      <c r="M26" t="str">
        <f>IF(OR($M$4="",8&gt;$M$5),"",IFERROR(MATCH($M$3&amp;"#8",jr_lkey,0),""))</f>
        <v/>
      </c>
      <c r="N26" t="str">
        <f>IF($M26="","",INDEX(jr_obs,$M26)&amp;"")</f>
        <v/>
      </c>
      <c r="O26" t="str">
        <f>IF(N26="",O25,O25&amp;IF(O25="",""," • ")&amp;N26)</f>
        <v/>
      </c>
    </row>
    <row r="27" ht="17" customHeight="1">
      <c r="A27" s="94" t="str">
        <f>IF($M27="","",9)</f>
        <v/>
      </c>
      <c r="B27" s="95" t="str">
        <f>IF($M27="","",INDEX(jr_art,$M27)&amp;"")</f>
        <v/>
      </c>
      <c r="C27" s="96" t="str">
        <f>IF($M27="","",INDEX(jr_des,$M27)&amp;"")</f>
        <v/>
      </c>
      <c r="D27" s="97" t="str">
        <f>IF($M27="","",INDEX(jr_unit,$M27)&amp;"")</f>
        <v/>
      </c>
      <c r="E27" s="98" t="str">
        <f>IF($M27="","",IF(INDEX(jr_qcmd,$M27)="","",INDEX(jr_qcmd,$M27)))</f>
        <v/>
      </c>
      <c r="F27" s="98" t="str">
        <f>IF($M27="","",IF(INDEX(jr_qty,$M27)="","",INDEX(jr_qty,$M27)))</f>
        <v/>
      </c>
      <c r="G27" s="122" t="str">
        <f>IF($M27="","",IF(INDEX(jr_gap,$M27)="","",INDEX(jr_gap,$M27)))</f>
        <v/>
      </c>
      <c r="H27" s="99" t="str">
        <f>IF($M27="","",INDEX(jr_lot,$M27)&amp;"")</f>
        <v/>
      </c>
      <c r="I27" s="99" t="str">
        <f>IF($M27="","",INDEX(jr_etat,$M27)&amp;"")</f>
        <v/>
      </c>
      <c r="J27" s="101" t="str">
        <f>IF(OR($M27="",NOT(p_prices="Oui")),"",INDEX(jr_pu,$M27))</f>
        <v/>
      </c>
      <c r="K27" s="101" t="str">
        <f>IF(OR($M27="",NOT(p_prices="Oui")),"",INDEX(jr_val,$M27))</f>
        <v/>
      </c>
      <c r="M27" t="str">
        <f>IF(OR($M$4="",9&gt;$M$5),"",IFERROR(MATCH($M$3&amp;"#9",jr_lkey,0),""))</f>
        <v/>
      </c>
      <c r="N27" t="str">
        <f>IF($M27="","",INDEX(jr_obs,$M27)&amp;"")</f>
        <v/>
      </c>
      <c r="O27" t="str">
        <f>IF(N27="",O26,O26&amp;IF(O26="",""," • ")&amp;N27)</f>
        <v/>
      </c>
    </row>
    <row r="28" ht="17" customHeight="1">
      <c r="A28" s="102" t="str">
        <f>IF($M28="","",10)</f>
        <v/>
      </c>
      <c r="B28" s="103" t="str">
        <f>IF($M28="","",INDEX(jr_art,$M28)&amp;"")</f>
        <v/>
      </c>
      <c r="C28" s="104" t="str">
        <f>IF($M28="","",INDEX(jr_des,$M28)&amp;"")</f>
        <v/>
      </c>
      <c r="D28" s="105" t="str">
        <f>IF($M28="","",INDEX(jr_unit,$M28)&amp;"")</f>
        <v/>
      </c>
      <c r="E28" s="106" t="str">
        <f>IF($M28="","",IF(INDEX(jr_qcmd,$M28)="","",INDEX(jr_qcmd,$M28)))</f>
        <v/>
      </c>
      <c r="F28" s="106" t="str">
        <f>IF($M28="","",IF(INDEX(jr_qty,$M28)="","",INDEX(jr_qty,$M28)))</f>
        <v/>
      </c>
      <c r="G28" s="123" t="str">
        <f>IF($M28="","",IF(INDEX(jr_gap,$M28)="","",INDEX(jr_gap,$M28)))</f>
        <v/>
      </c>
      <c r="H28" s="107" t="str">
        <f>IF($M28="","",INDEX(jr_lot,$M28)&amp;"")</f>
        <v/>
      </c>
      <c r="I28" s="107" t="str">
        <f>IF($M28="","",INDEX(jr_etat,$M28)&amp;"")</f>
        <v/>
      </c>
      <c r="J28" s="109" t="str">
        <f>IF(OR($M28="",NOT(p_prices="Oui")),"",INDEX(jr_pu,$M28))</f>
        <v/>
      </c>
      <c r="K28" s="109" t="str">
        <f>IF(OR($M28="",NOT(p_prices="Oui")),"",INDEX(jr_val,$M28))</f>
        <v/>
      </c>
      <c r="M28" t="str">
        <f>IF(OR($M$4="",10&gt;$M$5),"",IFERROR(MATCH($M$3&amp;"#10",jr_lkey,0),""))</f>
        <v/>
      </c>
      <c r="N28" t="str">
        <f>IF($M28="","",INDEX(jr_obs,$M28)&amp;"")</f>
        <v/>
      </c>
      <c r="O28" t="str">
        <f>IF(N28="",O27,O27&amp;IF(O27="",""," • ")&amp;N28)</f>
        <v/>
      </c>
    </row>
    <row r="29" ht="17" customHeight="1">
      <c r="A29" s="94" t="str">
        <f>IF($M29="","",11)</f>
        <v/>
      </c>
      <c r="B29" s="95" t="str">
        <f>IF($M29="","",INDEX(jr_art,$M29)&amp;"")</f>
        <v/>
      </c>
      <c r="C29" s="96" t="str">
        <f>IF($M29="","",INDEX(jr_des,$M29)&amp;"")</f>
        <v/>
      </c>
      <c r="D29" s="97" t="str">
        <f>IF($M29="","",INDEX(jr_unit,$M29)&amp;"")</f>
        <v/>
      </c>
      <c r="E29" s="98" t="str">
        <f>IF($M29="","",IF(INDEX(jr_qcmd,$M29)="","",INDEX(jr_qcmd,$M29)))</f>
        <v/>
      </c>
      <c r="F29" s="98" t="str">
        <f>IF($M29="","",IF(INDEX(jr_qty,$M29)="","",INDEX(jr_qty,$M29)))</f>
        <v/>
      </c>
      <c r="G29" s="122" t="str">
        <f>IF($M29="","",IF(INDEX(jr_gap,$M29)="","",INDEX(jr_gap,$M29)))</f>
        <v/>
      </c>
      <c r="H29" s="99" t="str">
        <f>IF($M29="","",INDEX(jr_lot,$M29)&amp;"")</f>
        <v/>
      </c>
      <c r="I29" s="99" t="str">
        <f>IF($M29="","",INDEX(jr_etat,$M29)&amp;"")</f>
        <v/>
      </c>
      <c r="J29" s="101" t="str">
        <f>IF(OR($M29="",NOT(p_prices="Oui")),"",INDEX(jr_pu,$M29))</f>
        <v/>
      </c>
      <c r="K29" s="101" t="str">
        <f>IF(OR($M29="",NOT(p_prices="Oui")),"",INDEX(jr_val,$M29))</f>
        <v/>
      </c>
      <c r="M29" t="str">
        <f>IF(OR($M$4="",11&gt;$M$5),"",IFERROR(MATCH($M$3&amp;"#11",jr_lkey,0),""))</f>
        <v/>
      </c>
      <c r="N29" t="str">
        <f>IF($M29="","",INDEX(jr_obs,$M29)&amp;"")</f>
        <v/>
      </c>
      <c r="O29" t="str">
        <f>IF(N29="",O28,O28&amp;IF(O28="",""," • ")&amp;N29)</f>
        <v/>
      </c>
    </row>
    <row r="30" ht="17" customHeight="1">
      <c r="A30" s="102" t="str">
        <f>IF($M30="","",12)</f>
        <v/>
      </c>
      <c r="B30" s="103" t="str">
        <f>IF($M30="","",INDEX(jr_art,$M30)&amp;"")</f>
        <v/>
      </c>
      <c r="C30" s="104" t="str">
        <f>IF($M30="","",INDEX(jr_des,$M30)&amp;"")</f>
        <v/>
      </c>
      <c r="D30" s="105" t="str">
        <f>IF($M30="","",INDEX(jr_unit,$M30)&amp;"")</f>
        <v/>
      </c>
      <c r="E30" s="106" t="str">
        <f>IF($M30="","",IF(INDEX(jr_qcmd,$M30)="","",INDEX(jr_qcmd,$M30)))</f>
        <v/>
      </c>
      <c r="F30" s="106" t="str">
        <f>IF($M30="","",IF(INDEX(jr_qty,$M30)="","",INDEX(jr_qty,$M30)))</f>
        <v/>
      </c>
      <c r="G30" s="123" t="str">
        <f>IF($M30="","",IF(INDEX(jr_gap,$M30)="","",INDEX(jr_gap,$M30)))</f>
        <v/>
      </c>
      <c r="H30" s="107" t="str">
        <f>IF($M30="","",INDEX(jr_lot,$M30)&amp;"")</f>
        <v/>
      </c>
      <c r="I30" s="107" t="str">
        <f>IF($M30="","",INDEX(jr_etat,$M30)&amp;"")</f>
        <v/>
      </c>
      <c r="J30" s="109" t="str">
        <f>IF(OR($M30="",NOT(p_prices="Oui")),"",INDEX(jr_pu,$M30))</f>
        <v/>
      </c>
      <c r="K30" s="109" t="str">
        <f>IF(OR($M30="",NOT(p_prices="Oui")),"",INDEX(jr_val,$M30))</f>
        <v/>
      </c>
      <c r="M30" t="str">
        <f>IF(OR($M$4="",12&gt;$M$5),"",IFERROR(MATCH($M$3&amp;"#12",jr_lkey,0),""))</f>
        <v/>
      </c>
      <c r="N30" t="str">
        <f>IF($M30="","",INDEX(jr_obs,$M30)&amp;"")</f>
        <v/>
      </c>
      <c r="O30" t="str">
        <f>IF(N30="",O29,O29&amp;IF(O29="",""," • ")&amp;N30)</f>
        <v/>
      </c>
    </row>
    <row r="31" ht="17" customHeight="1">
      <c r="A31" s="94" t="str">
        <f>IF($M31="","",13)</f>
        <v/>
      </c>
      <c r="B31" s="95" t="str">
        <f>IF($M31="","",INDEX(jr_art,$M31)&amp;"")</f>
        <v/>
      </c>
      <c r="C31" s="96" t="str">
        <f>IF($M31="","",INDEX(jr_des,$M31)&amp;"")</f>
        <v/>
      </c>
      <c r="D31" s="97" t="str">
        <f>IF($M31="","",INDEX(jr_unit,$M31)&amp;"")</f>
        <v/>
      </c>
      <c r="E31" s="98" t="str">
        <f>IF($M31="","",IF(INDEX(jr_qcmd,$M31)="","",INDEX(jr_qcmd,$M31)))</f>
        <v/>
      </c>
      <c r="F31" s="98" t="str">
        <f>IF($M31="","",IF(INDEX(jr_qty,$M31)="","",INDEX(jr_qty,$M31)))</f>
        <v/>
      </c>
      <c r="G31" s="122" t="str">
        <f>IF($M31="","",IF(INDEX(jr_gap,$M31)="","",INDEX(jr_gap,$M31)))</f>
        <v/>
      </c>
      <c r="H31" s="99" t="str">
        <f>IF($M31="","",INDEX(jr_lot,$M31)&amp;"")</f>
        <v/>
      </c>
      <c r="I31" s="99" t="str">
        <f>IF($M31="","",INDEX(jr_etat,$M31)&amp;"")</f>
        <v/>
      </c>
      <c r="J31" s="101" t="str">
        <f>IF(OR($M31="",NOT(p_prices="Oui")),"",INDEX(jr_pu,$M31))</f>
        <v/>
      </c>
      <c r="K31" s="101" t="str">
        <f>IF(OR($M31="",NOT(p_prices="Oui")),"",INDEX(jr_val,$M31))</f>
        <v/>
      </c>
      <c r="M31" t="str">
        <f>IF(OR($M$4="",13&gt;$M$5),"",IFERROR(MATCH($M$3&amp;"#13",jr_lkey,0),""))</f>
        <v/>
      </c>
      <c r="N31" t="str">
        <f>IF($M31="","",INDEX(jr_obs,$M31)&amp;"")</f>
        <v/>
      </c>
      <c r="O31" t="str">
        <f>IF(N31="",O30,O30&amp;IF(O30="",""," • ")&amp;N31)</f>
        <v/>
      </c>
    </row>
    <row r="32" ht="17" customHeight="1">
      <c r="A32" s="102" t="str">
        <f>IF($M32="","",14)</f>
        <v/>
      </c>
      <c r="B32" s="103" t="str">
        <f>IF($M32="","",INDEX(jr_art,$M32)&amp;"")</f>
        <v/>
      </c>
      <c r="C32" s="104" t="str">
        <f>IF($M32="","",INDEX(jr_des,$M32)&amp;"")</f>
        <v/>
      </c>
      <c r="D32" s="105" t="str">
        <f>IF($M32="","",INDEX(jr_unit,$M32)&amp;"")</f>
        <v/>
      </c>
      <c r="E32" s="106" t="str">
        <f>IF($M32="","",IF(INDEX(jr_qcmd,$M32)="","",INDEX(jr_qcmd,$M32)))</f>
        <v/>
      </c>
      <c r="F32" s="106" t="str">
        <f>IF($M32="","",IF(INDEX(jr_qty,$M32)="","",INDEX(jr_qty,$M32)))</f>
        <v/>
      </c>
      <c r="G32" s="123" t="str">
        <f>IF($M32="","",IF(INDEX(jr_gap,$M32)="","",INDEX(jr_gap,$M32)))</f>
        <v/>
      </c>
      <c r="H32" s="107" t="str">
        <f>IF($M32="","",INDEX(jr_lot,$M32)&amp;"")</f>
        <v/>
      </c>
      <c r="I32" s="107" t="str">
        <f>IF($M32="","",INDEX(jr_etat,$M32)&amp;"")</f>
        <v/>
      </c>
      <c r="J32" s="109" t="str">
        <f>IF(OR($M32="",NOT(p_prices="Oui")),"",INDEX(jr_pu,$M32))</f>
        <v/>
      </c>
      <c r="K32" s="109" t="str">
        <f>IF(OR($M32="",NOT(p_prices="Oui")),"",INDEX(jr_val,$M32))</f>
        <v/>
      </c>
      <c r="M32" t="str">
        <f>IF(OR($M$4="",14&gt;$M$5),"",IFERROR(MATCH($M$3&amp;"#14",jr_lkey,0),""))</f>
        <v/>
      </c>
      <c r="N32" t="str">
        <f>IF($M32="","",INDEX(jr_obs,$M32)&amp;"")</f>
        <v/>
      </c>
      <c r="O32" t="str">
        <f>IF(N32="",O31,O31&amp;IF(O31="",""," • ")&amp;N32)</f>
        <v/>
      </c>
    </row>
    <row r="33" ht="17" customHeight="1">
      <c r="A33" s="94" t="str">
        <f>IF($M33="","",15)</f>
        <v/>
      </c>
      <c r="B33" s="95" t="str">
        <f>IF($M33="","",INDEX(jr_art,$M33)&amp;"")</f>
        <v/>
      </c>
      <c r="C33" s="96" t="str">
        <f>IF($M33="","",INDEX(jr_des,$M33)&amp;"")</f>
        <v/>
      </c>
      <c r="D33" s="97" t="str">
        <f>IF($M33="","",INDEX(jr_unit,$M33)&amp;"")</f>
        <v/>
      </c>
      <c r="E33" s="98" t="str">
        <f>IF($M33="","",IF(INDEX(jr_qcmd,$M33)="","",INDEX(jr_qcmd,$M33)))</f>
        <v/>
      </c>
      <c r="F33" s="98" t="str">
        <f>IF($M33="","",IF(INDEX(jr_qty,$M33)="","",INDEX(jr_qty,$M33)))</f>
        <v/>
      </c>
      <c r="G33" s="122" t="str">
        <f>IF($M33="","",IF(INDEX(jr_gap,$M33)="","",INDEX(jr_gap,$M33)))</f>
        <v/>
      </c>
      <c r="H33" s="99" t="str">
        <f>IF($M33="","",INDEX(jr_lot,$M33)&amp;"")</f>
        <v/>
      </c>
      <c r="I33" s="99" t="str">
        <f>IF($M33="","",INDEX(jr_etat,$M33)&amp;"")</f>
        <v/>
      </c>
      <c r="J33" s="101" t="str">
        <f>IF(OR($M33="",NOT(p_prices="Oui")),"",INDEX(jr_pu,$M33))</f>
        <v/>
      </c>
      <c r="K33" s="101" t="str">
        <f>IF(OR($M33="",NOT(p_prices="Oui")),"",INDEX(jr_val,$M33))</f>
        <v/>
      </c>
      <c r="M33" t="str">
        <f>IF(OR($M$4="",15&gt;$M$5),"",IFERROR(MATCH($M$3&amp;"#15",jr_lkey,0),""))</f>
        <v/>
      </c>
      <c r="N33" t="str">
        <f>IF($M33="","",INDEX(jr_obs,$M33)&amp;"")</f>
        <v/>
      </c>
      <c r="O33" t="str">
        <f>IF(N33="",O32,O32&amp;IF(O32="",""," • ")&amp;N33)</f>
        <v/>
      </c>
    </row>
    <row r="34" ht="17" customHeight="1">
      <c r="A34" s="102" t="str">
        <f>IF($M34="","",16)</f>
        <v/>
      </c>
      <c r="B34" s="103" t="str">
        <f>IF($M34="","",INDEX(jr_art,$M34)&amp;"")</f>
        <v/>
      </c>
      <c r="C34" s="104" t="str">
        <f>IF($M34="","",INDEX(jr_des,$M34)&amp;"")</f>
        <v/>
      </c>
      <c r="D34" s="105" t="str">
        <f>IF($M34="","",INDEX(jr_unit,$M34)&amp;"")</f>
        <v/>
      </c>
      <c r="E34" s="106" t="str">
        <f>IF($M34="","",IF(INDEX(jr_qcmd,$M34)="","",INDEX(jr_qcmd,$M34)))</f>
        <v/>
      </c>
      <c r="F34" s="106" t="str">
        <f>IF($M34="","",IF(INDEX(jr_qty,$M34)="","",INDEX(jr_qty,$M34)))</f>
        <v/>
      </c>
      <c r="G34" s="123" t="str">
        <f>IF($M34="","",IF(INDEX(jr_gap,$M34)="","",INDEX(jr_gap,$M34)))</f>
        <v/>
      </c>
      <c r="H34" s="107" t="str">
        <f>IF($M34="","",INDEX(jr_lot,$M34)&amp;"")</f>
        <v/>
      </c>
      <c r="I34" s="107" t="str">
        <f>IF($M34="","",INDEX(jr_etat,$M34)&amp;"")</f>
        <v/>
      </c>
      <c r="J34" s="109" t="str">
        <f>IF(OR($M34="",NOT(p_prices="Oui")),"",INDEX(jr_pu,$M34))</f>
        <v/>
      </c>
      <c r="K34" s="109" t="str">
        <f>IF(OR($M34="",NOT(p_prices="Oui")),"",INDEX(jr_val,$M34))</f>
        <v/>
      </c>
      <c r="M34" t="str">
        <f>IF(OR($M$4="",16&gt;$M$5),"",IFERROR(MATCH($M$3&amp;"#16",jr_lkey,0),""))</f>
        <v/>
      </c>
      <c r="N34" t="str">
        <f>IF($M34="","",INDEX(jr_obs,$M34)&amp;"")</f>
        <v/>
      </c>
      <c r="O34" t="str">
        <f>IF(N34="",O33,O33&amp;IF(O33="",""," • ")&amp;N34)</f>
        <v/>
      </c>
    </row>
    <row r="35" ht="17" customHeight="1">
      <c r="A35" s="94" t="str">
        <f>IF($M35="","",17)</f>
        <v/>
      </c>
      <c r="B35" s="95" t="str">
        <f>IF($M35="","",INDEX(jr_art,$M35)&amp;"")</f>
        <v/>
      </c>
      <c r="C35" s="96" t="str">
        <f>IF($M35="","",INDEX(jr_des,$M35)&amp;"")</f>
        <v/>
      </c>
      <c r="D35" s="97" t="str">
        <f>IF($M35="","",INDEX(jr_unit,$M35)&amp;"")</f>
        <v/>
      </c>
      <c r="E35" s="98" t="str">
        <f>IF($M35="","",IF(INDEX(jr_qcmd,$M35)="","",INDEX(jr_qcmd,$M35)))</f>
        <v/>
      </c>
      <c r="F35" s="98" t="str">
        <f>IF($M35="","",IF(INDEX(jr_qty,$M35)="","",INDEX(jr_qty,$M35)))</f>
        <v/>
      </c>
      <c r="G35" s="122" t="str">
        <f>IF($M35="","",IF(INDEX(jr_gap,$M35)="","",INDEX(jr_gap,$M35)))</f>
        <v/>
      </c>
      <c r="H35" s="99" t="str">
        <f>IF($M35="","",INDEX(jr_lot,$M35)&amp;"")</f>
        <v/>
      </c>
      <c r="I35" s="99" t="str">
        <f>IF($M35="","",INDEX(jr_etat,$M35)&amp;"")</f>
        <v/>
      </c>
      <c r="J35" s="101" t="str">
        <f>IF(OR($M35="",NOT(p_prices="Oui")),"",INDEX(jr_pu,$M35))</f>
        <v/>
      </c>
      <c r="K35" s="101" t="str">
        <f>IF(OR($M35="",NOT(p_prices="Oui")),"",INDEX(jr_val,$M35))</f>
        <v/>
      </c>
      <c r="M35" t="str">
        <f>IF(OR($M$4="",17&gt;$M$5),"",IFERROR(MATCH($M$3&amp;"#17",jr_lkey,0),""))</f>
        <v/>
      </c>
      <c r="N35" t="str">
        <f>IF($M35="","",INDEX(jr_obs,$M35)&amp;"")</f>
        <v/>
      </c>
      <c r="O35" t="str">
        <f>IF(N35="",O34,O34&amp;IF(O34="",""," • ")&amp;N35)</f>
        <v/>
      </c>
    </row>
    <row r="36" ht="17" customHeight="1">
      <c r="A36" s="102" t="str">
        <f>IF($M36="","",18)</f>
        <v/>
      </c>
      <c r="B36" s="103" t="str">
        <f>IF($M36="","",INDEX(jr_art,$M36)&amp;"")</f>
        <v/>
      </c>
      <c r="C36" s="104" t="str">
        <f>IF($M36="","",INDEX(jr_des,$M36)&amp;"")</f>
        <v/>
      </c>
      <c r="D36" s="105" t="str">
        <f>IF($M36="","",INDEX(jr_unit,$M36)&amp;"")</f>
        <v/>
      </c>
      <c r="E36" s="106" t="str">
        <f>IF($M36="","",IF(INDEX(jr_qcmd,$M36)="","",INDEX(jr_qcmd,$M36)))</f>
        <v/>
      </c>
      <c r="F36" s="106" t="str">
        <f>IF($M36="","",IF(INDEX(jr_qty,$M36)="","",INDEX(jr_qty,$M36)))</f>
        <v/>
      </c>
      <c r="G36" s="123" t="str">
        <f>IF($M36="","",IF(INDEX(jr_gap,$M36)="","",INDEX(jr_gap,$M36)))</f>
        <v/>
      </c>
      <c r="H36" s="107" t="str">
        <f>IF($M36="","",INDEX(jr_lot,$M36)&amp;"")</f>
        <v/>
      </c>
      <c r="I36" s="107" t="str">
        <f>IF($M36="","",INDEX(jr_etat,$M36)&amp;"")</f>
        <v/>
      </c>
      <c r="J36" s="109" t="str">
        <f>IF(OR($M36="",NOT(p_prices="Oui")),"",INDEX(jr_pu,$M36))</f>
        <v/>
      </c>
      <c r="K36" s="109" t="str">
        <f>IF(OR($M36="",NOT(p_prices="Oui")),"",INDEX(jr_val,$M36))</f>
        <v/>
      </c>
      <c r="M36" t="str">
        <f>IF(OR($M$4="",18&gt;$M$5),"",IFERROR(MATCH($M$3&amp;"#18",jr_lkey,0),""))</f>
        <v/>
      </c>
      <c r="N36" t="str">
        <f>IF($M36="","",INDEX(jr_obs,$M36)&amp;"")</f>
        <v/>
      </c>
      <c r="O36" t="str">
        <f>IF(N36="",O35,O35&amp;IF(O35="",""," • ")&amp;N36)</f>
        <v/>
      </c>
    </row>
    <row r="37" ht="20" customHeight="1">
      <c r="A37" s="110" t="inlineStr">
        <is>
          <t>Total</t>
        </is>
      </c>
      <c r="B37" s="111" t="n"/>
      <c r="C37" s="111" t="n"/>
      <c r="D37" s="111" t="n"/>
      <c r="E37" s="111" t="n"/>
      <c r="F37" s="111" t="n"/>
      <c r="G37" s="111" t="n"/>
      <c r="H37" s="111" t="n"/>
      <c r="I37" s="124" t="str">
        <f>IF($M$4="","",COUNTIFS(jr_num,$M$3,jr_etat,"Avec réserves")+COUNTIFS(jr_num,$M$3,jr_etat,"Refusé"))</f>
        <v/>
      </c>
      <c r="J37" s="113" t="str">
        <f>IF(p_prices="Oui","Total HT","")</f>
        <v/>
      </c>
      <c r="K37" s="114" t="str">
        <f>IF(OR(NOT(p_prices="Oui"),$M$4=""),"",SUM(K19:K36))</f>
        <v/>
      </c>
    </row>
    <row r="39">
      <c r="A39" s="115" t="inlineStr">
        <is>
          <t>RÉSERVES ET OBSERVATIONS</t>
        </is>
      </c>
    </row>
    <row r="40" ht="18" customHeight="1">
      <c r="A40" s="116" t="str">
        <f>O36&amp;""</f>
        <v/>
      </c>
      <c r="B40" s="79" t="n"/>
      <c r="C40" s="79" t="n"/>
      <c r="D40" s="79" t="n"/>
      <c r="E40" s="79" t="n"/>
      <c r="F40" s="79" t="n"/>
      <c r="G40" s="79" t="n"/>
      <c r="H40" s="79" t="n"/>
      <c r="I40" s="79" t="n"/>
      <c r="J40" s="79" t="n"/>
      <c r="K40" s="80" t="n"/>
    </row>
    <row r="41" ht="18" customHeight="1">
      <c r="A41" s="117" t="n"/>
      <c r="B41" s="82" t="n"/>
      <c r="C41" s="82" t="n"/>
      <c r="D41" s="82" t="n"/>
      <c r="E41" s="82" t="n"/>
      <c r="F41" s="82" t="n"/>
      <c r="G41" s="82" t="n"/>
      <c r="H41" s="82" t="n"/>
      <c r="I41" s="82" t="n"/>
      <c r="J41" s="82" t="n"/>
      <c r="K41" s="83" t="n"/>
    </row>
    <row r="42" ht="18" customHeight="1">
      <c r="A42" s="118" t="n"/>
      <c r="B42" s="89" t="n"/>
      <c r="C42" s="89" t="n"/>
      <c r="D42" s="89" t="n"/>
      <c r="E42" s="89" t="n"/>
      <c r="F42" s="89" t="n"/>
      <c r="G42" s="89" t="n"/>
      <c r="H42" s="89" t="n"/>
      <c r="I42" s="89" t="n"/>
      <c r="J42" s="89" t="n"/>
      <c r="K42" s="90" t="n"/>
    </row>
    <row r="44" ht="22" customHeight="1">
      <c r="A44" s="119" t="inlineStr">
        <is>
          <t>Réceptionné par (magasin)</t>
        </is>
      </c>
      <c r="B44" s="79" t="n"/>
      <c r="C44" s="80" t="n"/>
      <c r="D44" s="119" t="inlineStr">
        <is>
          <t>Contrôle qualité</t>
        </is>
      </c>
      <c r="E44" s="79" t="n"/>
      <c r="F44" s="79" t="n"/>
      <c r="G44" s="80" t="n"/>
      <c r="H44" s="119" t="inlineStr">
        <is>
          <t>Livreur / transporteur</t>
        </is>
      </c>
      <c r="I44" s="79" t="n"/>
      <c r="J44" s="79" t="n"/>
      <c r="K44" s="80" t="n"/>
    </row>
    <row r="45" ht="16" customHeight="1">
      <c r="A45" s="120" t="inlineStr">
        <is>
          <t>Nom, date et signature</t>
        </is>
      </c>
      <c r="B45" s="79" t="n"/>
      <c r="C45" s="80" t="n"/>
      <c r="D45" s="120" t="inlineStr">
        <is>
          <t>Nom, date et signature</t>
        </is>
      </c>
      <c r="E45" s="79" t="n"/>
      <c r="F45" s="79" t="n"/>
      <c r="G45" s="80" t="n"/>
      <c r="H45" s="120" t="inlineStr">
        <is>
          <t>Nom, date et signature</t>
        </is>
      </c>
      <c r="I45" s="79" t="n"/>
      <c r="J45" s="79" t="n"/>
      <c r="K45" s="80" t="n"/>
    </row>
    <row r="46" ht="16" customHeight="1">
      <c r="A46" s="117" t="n"/>
      <c r="B46" s="82" t="n"/>
      <c r="C46" s="83" t="n"/>
      <c r="D46" s="117" t="n"/>
      <c r="E46" s="82" t="n"/>
      <c r="F46" s="82" t="n"/>
      <c r="G46" s="83" t="n"/>
      <c r="H46" s="117" t="n"/>
      <c r="I46" s="82" t="n"/>
      <c r="J46" s="82" t="n"/>
      <c r="K46" s="83" t="n"/>
    </row>
    <row r="47" ht="16" customHeight="1">
      <c r="A47" s="117" t="n"/>
      <c r="B47" s="82" t="n"/>
      <c r="C47" s="83" t="n"/>
      <c r="D47" s="117" t="n"/>
      <c r="E47" s="82" t="n"/>
      <c r="F47" s="82" t="n"/>
      <c r="G47" s="83" t="n"/>
      <c r="H47" s="117" t="n"/>
      <c r="I47" s="82" t="n"/>
      <c r="J47" s="82" t="n"/>
      <c r="K47" s="83" t="n"/>
    </row>
    <row r="48" ht="16" customHeight="1">
      <c r="A48" s="117" t="n"/>
      <c r="B48" s="82" t="n"/>
      <c r="C48" s="83" t="n"/>
      <c r="D48" s="117" t="n"/>
      <c r="E48" s="82" t="n"/>
      <c r="F48" s="82" t="n"/>
      <c r="G48" s="83" t="n"/>
      <c r="H48" s="117" t="n"/>
      <c r="I48" s="82" t="n"/>
      <c r="J48" s="82" t="n"/>
      <c r="K48" s="83" t="n"/>
    </row>
    <row r="49" ht="16" customHeight="1">
      <c r="A49" s="118" t="n"/>
      <c r="B49" s="89" t="n"/>
      <c r="C49" s="90" t="n"/>
      <c r="D49" s="118" t="n"/>
      <c r="E49" s="89" t="n"/>
      <c r="F49" s="89" t="n"/>
      <c r="G49" s="90" t="n"/>
      <c r="H49" s="118" t="n"/>
      <c r="I49" s="89" t="n"/>
      <c r="J49" s="89" t="n"/>
      <c r="K49" s="90" t="n"/>
    </row>
    <row r="51" ht="16" customHeight="1">
      <c r="A51" s="121" t="str">
        <f>p_m_br&amp;""</f>
        <v/>
      </c>
    </row>
    <row r="52" ht="16" customHeight="1"/>
  </sheetData>
  <mergeCells count="40">
    <mergeCell ref="A16:F16"/>
    <mergeCell ref="I16:K16"/>
    <mergeCell ref="A45:C49"/>
    <mergeCell ref="G12:K12"/>
    <mergeCell ref="A39:K39"/>
    <mergeCell ref="A12:F12"/>
    <mergeCell ref="G8:H8"/>
    <mergeCell ref="A40:K42"/>
    <mergeCell ref="G7:H7"/>
    <mergeCell ref="A14:F14"/>
    <mergeCell ref="I14:K14"/>
    <mergeCell ref="A5:F5"/>
    <mergeCell ref="D44:G44"/>
    <mergeCell ref="A8:F8"/>
    <mergeCell ref="I8:K8"/>
    <mergeCell ref="A37:B37"/>
    <mergeCell ref="G6:H6"/>
    <mergeCell ref="G13:H13"/>
    <mergeCell ref="A3:B3"/>
    <mergeCell ref="H44:K44"/>
    <mergeCell ref="A7:F7"/>
    <mergeCell ref="A44:C44"/>
    <mergeCell ref="A13:F13"/>
    <mergeCell ref="I13:K13"/>
    <mergeCell ref="G15:H15"/>
    <mergeCell ref="A9:F9"/>
    <mergeCell ref="I9:K9"/>
    <mergeCell ref="G5:K5"/>
    <mergeCell ref="G14:H14"/>
    <mergeCell ref="A15:F15"/>
    <mergeCell ref="I15:K15"/>
    <mergeCell ref="I6:K6"/>
    <mergeCell ref="D3:K3"/>
    <mergeCell ref="D45:G49"/>
    <mergeCell ref="A51:K52"/>
    <mergeCell ref="G16:H16"/>
    <mergeCell ref="A6:F6"/>
    <mergeCell ref="G9:H9"/>
    <mergeCell ref="H45:K49"/>
    <mergeCell ref="I7:K7"/>
  </mergeCells>
  <conditionalFormatting sqref="D3">
    <cfRule type="expression" priority="1" dxfId="1">
      <formula>OR($M$4="",$M$5&gt;18)</formula>
    </cfRule>
    <cfRule type="expression" priority="2" dxfId="16">
      <formula>$M$3=""</formula>
    </cfRule>
  </conditionalFormatting>
  <conditionalFormatting sqref="J19:K36">
    <cfRule type="expression" priority="3" dxfId="11">
      <formula>p_currency="MAD"</formula>
    </cfRule>
    <cfRule type="expression" priority="5" dxfId="12">
      <formula>p_currency="EUR"</formula>
    </cfRule>
    <cfRule type="expression" priority="7" dxfId="13">
      <formula>p_currency="USD"</formula>
    </cfRule>
  </conditionalFormatting>
  <conditionalFormatting sqref="K37">
    <cfRule type="expression" priority="4" dxfId="11">
      <formula>p_currency="MAD"</formula>
    </cfRule>
    <cfRule type="expression" priority="6" dxfId="12">
      <formula>p_currency="EUR"</formula>
    </cfRule>
    <cfRule type="expression" priority="8" dxfId="13">
      <formula>p_currency="USD"</formula>
    </cfRule>
  </conditionalFormatting>
  <dataValidations count="1">
    <dataValidation sqref="C3" showDropDown="0" showInputMessage="1" showErrorMessage="1" allowBlank="1" errorTitle="N° à imprimer" error="Ce numéro n'est pas dans la liste. Le message à droite indique s'il existe dans le journal." promptTitle="N° à imprimer" prompt="Choisissez un numéro dans la liste, ou tapez seulement le chiffre (12 pour BR-0012). Laissez vide pour imprimer un bon vierge." type="list" errorStyle="information">
      <formula1>=l_br</formula1>
    </dataValidation>
  </dataValidations>
  <hyperlinks>
    <hyperlink ref="K1" location="'Mode d''emploi'!A1"/>
  </hyperlinks>
  <printOptions horizontalCentered="1"/>
  <pageMargins left="0.4" right="0.4" top="0.5" bottom="0.5" header="0.5" footer="0.5"/>
  <pageSetup orientation="portrait" paperSize="9" fitToHeight="1" fitToWidth="1"/>
</worksheet>
</file>

<file path=xl/worksheets/sheet7.xml><?xml version="1.0" encoding="utf-8"?>
<worksheet xmlns="http://schemas.openxmlformats.org/spreadsheetml/2006/main">
  <sheetPr>
    <tabColor rgb="FF0F766E"/>
    <outlinePr summaryBelow="1" summaryRight="1"/>
    <pageSetUpPr fitToPage="1"/>
  </sheetPr>
  <dimension ref="A1:O52"/>
  <sheetViews>
    <sheetView showGridLines="0" tabSelected="0" zoomScale="100" workbookViewId="0">
      <selection activeCell="A1" sqref="A1"/>
    </sheetView>
  </sheetViews>
  <sheetFormatPr baseColWidth="8" defaultRowHeight="15"/>
  <cols>
    <col width="5" customWidth="1" min="1" max="1"/>
    <col width="14" customWidth="1" min="2" max="2"/>
    <col width="30" customWidth="1" min="3" max="3"/>
    <col width="8" customWidth="1" min="4" max="4"/>
    <col width="11" customWidth="1" min="5" max="5"/>
    <col width="11" customWidth="1" min="6" max="6"/>
    <col width="11" customWidth="1" min="7" max="7"/>
    <col width="13" customWidth="1" min="8" max="8"/>
    <col width="11" customWidth="1" min="9" max="9"/>
    <col width="12" customWidth="1" min="10" max="10"/>
    <col width="14" customWidth="1" min="11" max="11"/>
    <col width="3" customWidth="1" min="12" max="12"/>
    <col hidden="1" width="6" customWidth="1" min="13" max="13"/>
    <col hidden="1" width="6" customWidth="1" min="14" max="14"/>
    <col hidden="1" width="6" customWidth="1" min="15" max="15"/>
  </cols>
  <sheetData>
    <row r="1" ht="38" customHeight="1">
      <c r="A1" s="1" t="n"/>
      <c r="B1" s="2" t="inlineStr">
        <is>
          <t>Bon de sortie</t>
        </is>
      </c>
      <c r="C1" s="1" t="n"/>
      <c r="D1" s="1" t="n"/>
      <c r="E1" s="1" t="n"/>
      <c r="F1" s="1" t="n"/>
      <c r="G1" s="1" t="n"/>
      <c r="H1" s="1" t="n"/>
      <c r="I1" s="1" t="n"/>
      <c r="J1" s="1" t="n"/>
      <c r="K1" s="18" t="inlineStr">
        <is>
          <t>⌂ Mode d'emploi</t>
        </is>
      </c>
    </row>
    <row r="2" ht="22" customHeight="1">
      <c r="A2" s="3" t="n"/>
      <c r="B2" s="4" t="inlineStr">
        <is>
          <t>Choisissez un numéro : le bon de sortie magasin se remplit avec le service, le motif et les quantités sorties.</t>
        </is>
      </c>
      <c r="C2" s="3" t="n"/>
      <c r="D2" s="3" t="n"/>
      <c r="E2" s="3" t="n"/>
      <c r="F2" s="3" t="n"/>
      <c r="G2" s="3" t="n"/>
      <c r="H2" s="3" t="n"/>
      <c r="I2" s="3" t="n"/>
      <c r="J2" s="3" t="n"/>
      <c r="K2" s="3" t="n"/>
    </row>
    <row r="3" ht="24" customHeight="1">
      <c r="A3" s="68" t="inlineStr">
        <is>
          <t>N° à imprimer</t>
        </is>
      </c>
      <c r="C3" s="69" t="n"/>
      <c r="D3" s="70" t="str">
        <f>IF(M3="","Aucun numéro choisi : le bon s'imprime vide, à remplir à la main.",IF(LEFT(M3,3)&lt;&gt;"BS-","Ce numéro n'est pas un bon de sortie : choisissez un numéro BS dans la liste.",IF(M4="","Numéro introuvable dans le journal : choisissez-le dans la liste.",M5&amp;" ligne(s)"&amp;IF(M5&gt;18," : seules les 18 premières s'impriment, faites deux bons.","  •  prêt à imprimer (Ctrl+P)."))))</f>
        <v>Aucun numéro choisi : le bon s'imprime vide, à remplir à la main.</v>
      </c>
      <c r="M3" t="str">
        <f>IF(C3="","",IF(ISNUMBER(C3),"BS-"&amp;RIGHT("000"&amp;INT(C3),4),UPPER(TRIM(C3))))</f>
        <v/>
      </c>
    </row>
    <row r="4">
      <c r="M4" t="str">
        <f>IF(OR(M3="",LEFT(M3,3)&lt;&gt;"BS-"),"",IFERROR(MATCH(M3&amp;"#1",jr_lkey,0),""))</f>
        <v/>
      </c>
    </row>
    <row r="5" ht="26" customHeight="1">
      <c r="A5" s="71" t="str">
        <f>IF(p_company="","Votre entreprise",p_company)</f>
        <v>Votre entreprise</v>
      </c>
      <c r="G5" s="72" t="inlineStr">
        <is>
          <t>BON DE SORTIE MAGASIN</t>
        </is>
      </c>
      <c r="M5">
        <f>IF(M4="",0,COUNTIF(jr_num,M3))</f>
        <v>0.0</v>
      </c>
    </row>
    <row r="6" ht="17" customHeight="1">
      <c r="A6" s="73" t="str">
        <f>p_addr&amp;""</f>
        <v/>
      </c>
      <c r="G6" s="19" t="inlineStr">
        <is>
          <t>N°</t>
        </is>
      </c>
      <c r="I6" s="74" t="str">
        <f>IF($M$4="","",$M$3)</f>
        <v/>
      </c>
      <c r="J6" s="75" t="n"/>
      <c r="K6" s="75" t="n"/>
    </row>
    <row r="7" ht="17" customHeight="1">
      <c r="A7" s="73" t="str">
        <f>p_city&amp;IF(AND(p_city&lt;&gt;"",p_phone&lt;&gt;""),"   •   ","")&amp;IF(p_phone&lt;&gt;"","Tél. "&amp;p_phone,"")</f>
        <v/>
      </c>
      <c r="G7" s="19" t="inlineStr">
        <is>
          <t>Date</t>
        </is>
      </c>
      <c r="I7" s="76" t="str">
        <f>IF($M$4="","",INDEX(jr_date,$M$4))</f>
        <v/>
      </c>
      <c r="J7" s="75" t="n"/>
      <c r="K7" s="75" t="n"/>
    </row>
    <row r="8" ht="17" customHeight="1">
      <c r="A8" s="73" t="str">
        <f>p_email&amp;""</f>
        <v/>
      </c>
      <c r="G8" s="19" t="inlineStr">
        <is>
          <t>N° demande / OF</t>
        </is>
      </c>
      <c r="I8" s="77" t="str">
        <f>IF($M$4="","",INDEX(jr_order,$M$4)&amp;"")</f>
        <v/>
      </c>
      <c r="J8" s="75" t="n"/>
      <c r="K8" s="75" t="n"/>
    </row>
    <row r="9" ht="17" customHeight="1">
      <c r="A9" s="67" t="str">
        <f>p_ids&amp;""</f>
        <v/>
      </c>
      <c r="G9" s="19" t="inlineStr">
        <is>
          <t>Demandeur</t>
        </is>
      </c>
      <c r="I9" s="77" t="str">
        <f>IF($M$4="","",INDEX(jr_ext,$M$4)&amp;"")</f>
        <v/>
      </c>
      <c r="J9" s="75" t="n"/>
      <c r="K9" s="75" t="n"/>
    </row>
    <row r="10" ht="8" customHeight="1">
      <c r="A10" s="6" t="n"/>
      <c r="B10" s="6" t="n"/>
      <c r="C10" s="6" t="n"/>
      <c r="D10" s="6" t="n"/>
      <c r="E10" s="6" t="n"/>
      <c r="F10" s="6" t="n"/>
      <c r="G10" s="6" t="n"/>
      <c r="H10" s="6" t="n"/>
      <c r="I10" s="6" t="n"/>
      <c r="J10" s="6" t="n"/>
      <c r="K10" s="6" t="n"/>
    </row>
    <row r="11" ht="8" customHeight="1"/>
    <row r="12">
      <c r="A12" s="78" t="inlineStr">
        <is>
          <t>SERVICE DEMANDEUR</t>
        </is>
      </c>
      <c r="B12" s="79" t="n"/>
      <c r="C12" s="79" t="n"/>
      <c r="D12" s="79" t="n"/>
      <c r="E12" s="79" t="n"/>
      <c r="F12" s="80" t="n"/>
      <c r="G12" s="78" t="inlineStr">
        <is>
          <t>SORTIE</t>
        </is>
      </c>
      <c r="H12" s="79" t="n"/>
      <c r="I12" s="79" t="n"/>
      <c r="J12" s="79" t="n"/>
      <c r="K12" s="80" t="n"/>
    </row>
    <row r="13" ht="17" customHeight="1">
      <c r="A13" s="81" t="str">
        <f>IF($M$4="","",INDEX(jr_tiers,$M$4)&amp;"")</f>
        <v/>
      </c>
      <c r="B13" s="82" t="n"/>
      <c r="C13" s="82" t="n"/>
      <c r="D13" s="82" t="n"/>
      <c r="E13" s="82" t="n"/>
      <c r="F13" s="83" t="n"/>
      <c r="G13" s="84" t="inlineStr">
        <is>
          <t>Motif principal</t>
        </is>
      </c>
      <c r="H13" s="82" t="n"/>
      <c r="I13" s="85" t="str">
        <f>IF($M$4="","",INDEX(jr_motif,$M$4)&amp;"")</f>
        <v/>
      </c>
      <c r="J13" s="82" t="n"/>
      <c r="K13" s="83" t="n"/>
    </row>
    <row r="14" ht="17" customHeight="1">
      <c r="A14" s="86" t="str">
        <f>IF($M$4="","",IF(INDEX(jr_ext,$M$4)="","","Demandé par "&amp;INDEX(jr_ext,$M$4)))</f>
        <v/>
      </c>
      <c r="B14" s="82" t="n"/>
      <c r="C14" s="82" t="n"/>
      <c r="D14" s="82" t="n"/>
      <c r="E14" s="82" t="n"/>
      <c r="F14" s="83" t="n"/>
      <c r="G14" s="84" t="inlineStr">
        <is>
          <t>Nombre de lignes</t>
        </is>
      </c>
      <c r="H14" s="82" t="n"/>
      <c r="I14" s="87" t="str">
        <f>IF($M$4="","",$M$5)</f>
        <v/>
      </c>
      <c r="J14" s="82" t="n"/>
      <c r="K14" s="83" t="n"/>
    </row>
    <row r="15" ht="17" customHeight="1">
      <c r="A15" s="86" t="str">
        <f>IF($M$4="","",IF(INDEX(jr_order,$M$4)="","","Pour "&amp;INDEX(jr_order,$M$4)))</f>
        <v/>
      </c>
      <c r="B15" s="82" t="n"/>
      <c r="C15" s="82" t="n"/>
      <c r="D15" s="82" t="n"/>
      <c r="E15" s="82" t="n"/>
      <c r="F15" s="83" t="n"/>
      <c r="G15" s="84" t="inlineStr">
        <is>
          <t>Poids total (kg)</t>
        </is>
      </c>
      <c r="H15" s="82" t="n"/>
      <c r="I15" s="125" t="str">
        <f>IF($M$4="","",SUMIF(jr_num,$M$3,jr_kg))</f>
        <v/>
      </c>
      <c r="J15" s="82" t="n"/>
      <c r="K15" s="83" t="n"/>
    </row>
    <row r="16" ht="17" customHeight="1">
      <c r="A16" s="88" t="str">
        <f>""</f>
        <v/>
      </c>
      <c r="B16" s="89" t="n"/>
      <c r="C16" s="89" t="n"/>
      <c r="D16" s="89" t="n"/>
      <c r="E16" s="89" t="n"/>
      <c r="F16" s="90" t="n"/>
      <c r="G16" s="91" t="inlineStr">
        <is>
          <t>Valeur sortie</t>
        </is>
      </c>
      <c r="H16" s="89" t="n"/>
      <c r="I16" s="126" t="str">
        <f>IF(OR($M$4="",NOT(p_prices="Oui")),"",SUMIF(jr_num,$M$3,jr_val))</f>
        <v/>
      </c>
      <c r="J16" s="89" t="n"/>
      <c r="K16" s="90" t="n"/>
    </row>
    <row r="17" ht="10" customHeight="1"/>
    <row r="18" ht="30" customHeight="1">
      <c r="A18" s="93" t="inlineStr">
        <is>
          <t>N°</t>
        </is>
      </c>
      <c r="B18" s="93" t="inlineStr">
        <is>
          <t>Référence</t>
        </is>
      </c>
      <c r="C18" s="93" t="inlineStr">
        <is>
          <t>Désignation</t>
        </is>
      </c>
      <c r="D18" s="93" t="inlineStr">
        <is>
          <t>Unité</t>
        </is>
      </c>
      <c r="E18" s="93" t="inlineStr">
        <is>
          <t>Qté demandée</t>
        </is>
      </c>
      <c r="F18" s="93" t="inlineStr">
        <is>
          <t>Qté sortie</t>
        </is>
      </c>
      <c r="G18" s="93" t="inlineStr">
        <is>
          <t>Écart</t>
        </is>
      </c>
      <c r="H18" s="93" t="inlineStr">
        <is>
          <t>Lot / série</t>
        </is>
      </c>
      <c r="I18" s="93" t="inlineStr">
        <is>
          <t>Motif</t>
        </is>
      </c>
      <c r="J18" s="93" t="str">
        <f>IF(p_prices="Oui","Prix unit. HT","")</f>
        <v/>
      </c>
      <c r="K18" s="93" t="str">
        <f>IF(p_prices="Oui","Montant HT","")</f>
        <v/>
      </c>
    </row>
    <row r="19" ht="17" customHeight="1">
      <c r="A19" s="94" t="str">
        <f>IF($M19="","",1)</f>
        <v/>
      </c>
      <c r="B19" s="95" t="str">
        <f>IF($M19="","",INDEX(jr_art,$M19)&amp;"")</f>
        <v/>
      </c>
      <c r="C19" s="96" t="str">
        <f>IF($M19="","",INDEX(jr_des,$M19)&amp;"")</f>
        <v/>
      </c>
      <c r="D19" s="97" t="str">
        <f>IF($M19="","",INDEX(jr_unit,$M19)&amp;"")</f>
        <v/>
      </c>
      <c r="E19" s="98" t="str">
        <f>IF($M19="","",IF(INDEX(jr_qcmd,$M19)="","",INDEX(jr_qcmd,$M19)))</f>
        <v/>
      </c>
      <c r="F19" s="98" t="str">
        <f>IF($M19="","",IF(INDEX(jr_qty,$M19)="","",INDEX(jr_qty,$M19)))</f>
        <v/>
      </c>
      <c r="G19" s="122" t="str">
        <f>IF($M19="","",IF(INDEX(jr_gap,$M19)="","",INDEX(jr_gap,$M19)))</f>
        <v/>
      </c>
      <c r="H19" s="99" t="str">
        <f>IF($M19="","",INDEX(jr_lot,$M19)&amp;"")</f>
        <v/>
      </c>
      <c r="I19" s="99" t="str">
        <f>IF($M19="","",INDEX(jr_motif,$M19)&amp;"")</f>
        <v/>
      </c>
      <c r="J19" s="101" t="str">
        <f>IF(OR($M19="",NOT(p_prices="Oui")),"",INDEX(jr_pu,$M19))</f>
        <v/>
      </c>
      <c r="K19" s="101" t="str">
        <f>IF(OR($M19="",NOT(p_prices="Oui")),"",INDEX(jr_val,$M19))</f>
        <v/>
      </c>
      <c r="M19" t="str">
        <f>IF(OR($M$4="",1&gt;$M$5),"",IFERROR(MATCH($M$3&amp;"#1",jr_lkey,0),""))</f>
        <v/>
      </c>
      <c r="N19" t="str">
        <f>IF($M19="","",INDEX(jr_obs,$M19)&amp;"")</f>
        <v/>
      </c>
      <c r="O19" t="str">
        <f>N19&amp;""</f>
        <v/>
      </c>
    </row>
    <row r="20" ht="17" customHeight="1">
      <c r="A20" s="102" t="str">
        <f>IF($M20="","",2)</f>
        <v/>
      </c>
      <c r="B20" s="103" t="str">
        <f>IF($M20="","",INDEX(jr_art,$M20)&amp;"")</f>
        <v/>
      </c>
      <c r="C20" s="104" t="str">
        <f>IF($M20="","",INDEX(jr_des,$M20)&amp;"")</f>
        <v/>
      </c>
      <c r="D20" s="105" t="str">
        <f>IF($M20="","",INDEX(jr_unit,$M20)&amp;"")</f>
        <v/>
      </c>
      <c r="E20" s="106" t="str">
        <f>IF($M20="","",IF(INDEX(jr_qcmd,$M20)="","",INDEX(jr_qcmd,$M20)))</f>
        <v/>
      </c>
      <c r="F20" s="106" t="str">
        <f>IF($M20="","",IF(INDEX(jr_qty,$M20)="","",INDEX(jr_qty,$M20)))</f>
        <v/>
      </c>
      <c r="G20" s="123" t="str">
        <f>IF($M20="","",IF(INDEX(jr_gap,$M20)="","",INDEX(jr_gap,$M20)))</f>
        <v/>
      </c>
      <c r="H20" s="107" t="str">
        <f>IF($M20="","",INDEX(jr_lot,$M20)&amp;"")</f>
        <v/>
      </c>
      <c r="I20" s="107" t="str">
        <f>IF($M20="","",INDEX(jr_motif,$M20)&amp;"")</f>
        <v/>
      </c>
      <c r="J20" s="109" t="str">
        <f>IF(OR($M20="",NOT(p_prices="Oui")),"",INDEX(jr_pu,$M20))</f>
        <v/>
      </c>
      <c r="K20" s="109" t="str">
        <f>IF(OR($M20="",NOT(p_prices="Oui")),"",INDEX(jr_val,$M20))</f>
        <v/>
      </c>
      <c r="M20" t="str">
        <f>IF(OR($M$4="",2&gt;$M$5),"",IFERROR(MATCH($M$3&amp;"#2",jr_lkey,0),""))</f>
        <v/>
      </c>
      <c r="N20" t="str">
        <f>IF($M20="","",INDEX(jr_obs,$M20)&amp;"")</f>
        <v/>
      </c>
      <c r="O20" t="str">
        <f>IF(N20="",O19,O19&amp;IF(O19="",""," • ")&amp;N20)</f>
        <v/>
      </c>
    </row>
    <row r="21" ht="17" customHeight="1">
      <c r="A21" s="94" t="str">
        <f>IF($M21="","",3)</f>
        <v/>
      </c>
      <c r="B21" s="95" t="str">
        <f>IF($M21="","",INDEX(jr_art,$M21)&amp;"")</f>
        <v/>
      </c>
      <c r="C21" s="96" t="str">
        <f>IF($M21="","",INDEX(jr_des,$M21)&amp;"")</f>
        <v/>
      </c>
      <c r="D21" s="97" t="str">
        <f>IF($M21="","",INDEX(jr_unit,$M21)&amp;"")</f>
        <v/>
      </c>
      <c r="E21" s="98" t="str">
        <f>IF($M21="","",IF(INDEX(jr_qcmd,$M21)="","",INDEX(jr_qcmd,$M21)))</f>
        <v/>
      </c>
      <c r="F21" s="98" t="str">
        <f>IF($M21="","",IF(INDEX(jr_qty,$M21)="","",INDEX(jr_qty,$M21)))</f>
        <v/>
      </c>
      <c r="G21" s="122" t="str">
        <f>IF($M21="","",IF(INDEX(jr_gap,$M21)="","",INDEX(jr_gap,$M21)))</f>
        <v/>
      </c>
      <c r="H21" s="99" t="str">
        <f>IF($M21="","",INDEX(jr_lot,$M21)&amp;"")</f>
        <v/>
      </c>
      <c r="I21" s="99" t="str">
        <f>IF($M21="","",INDEX(jr_motif,$M21)&amp;"")</f>
        <v/>
      </c>
      <c r="J21" s="101" t="str">
        <f>IF(OR($M21="",NOT(p_prices="Oui")),"",INDEX(jr_pu,$M21))</f>
        <v/>
      </c>
      <c r="K21" s="101" t="str">
        <f>IF(OR($M21="",NOT(p_prices="Oui")),"",INDEX(jr_val,$M21))</f>
        <v/>
      </c>
      <c r="M21" t="str">
        <f>IF(OR($M$4="",3&gt;$M$5),"",IFERROR(MATCH($M$3&amp;"#3",jr_lkey,0),""))</f>
        <v/>
      </c>
      <c r="N21" t="str">
        <f>IF($M21="","",INDEX(jr_obs,$M21)&amp;"")</f>
        <v/>
      </c>
      <c r="O21" t="str">
        <f>IF(N21="",O20,O20&amp;IF(O20="",""," • ")&amp;N21)</f>
        <v/>
      </c>
    </row>
    <row r="22" ht="17" customHeight="1">
      <c r="A22" s="102" t="str">
        <f>IF($M22="","",4)</f>
        <v/>
      </c>
      <c r="B22" s="103" t="str">
        <f>IF($M22="","",INDEX(jr_art,$M22)&amp;"")</f>
        <v/>
      </c>
      <c r="C22" s="104" t="str">
        <f>IF($M22="","",INDEX(jr_des,$M22)&amp;"")</f>
        <v/>
      </c>
      <c r="D22" s="105" t="str">
        <f>IF($M22="","",INDEX(jr_unit,$M22)&amp;"")</f>
        <v/>
      </c>
      <c r="E22" s="106" t="str">
        <f>IF($M22="","",IF(INDEX(jr_qcmd,$M22)="","",INDEX(jr_qcmd,$M22)))</f>
        <v/>
      </c>
      <c r="F22" s="106" t="str">
        <f>IF($M22="","",IF(INDEX(jr_qty,$M22)="","",INDEX(jr_qty,$M22)))</f>
        <v/>
      </c>
      <c r="G22" s="123" t="str">
        <f>IF($M22="","",IF(INDEX(jr_gap,$M22)="","",INDEX(jr_gap,$M22)))</f>
        <v/>
      </c>
      <c r="H22" s="107" t="str">
        <f>IF($M22="","",INDEX(jr_lot,$M22)&amp;"")</f>
        <v/>
      </c>
      <c r="I22" s="107" t="str">
        <f>IF($M22="","",INDEX(jr_motif,$M22)&amp;"")</f>
        <v/>
      </c>
      <c r="J22" s="109" t="str">
        <f>IF(OR($M22="",NOT(p_prices="Oui")),"",INDEX(jr_pu,$M22))</f>
        <v/>
      </c>
      <c r="K22" s="109" t="str">
        <f>IF(OR($M22="",NOT(p_prices="Oui")),"",INDEX(jr_val,$M22))</f>
        <v/>
      </c>
      <c r="M22" t="str">
        <f>IF(OR($M$4="",4&gt;$M$5),"",IFERROR(MATCH($M$3&amp;"#4",jr_lkey,0),""))</f>
        <v/>
      </c>
      <c r="N22" t="str">
        <f>IF($M22="","",INDEX(jr_obs,$M22)&amp;"")</f>
        <v/>
      </c>
      <c r="O22" t="str">
        <f>IF(N22="",O21,O21&amp;IF(O21="",""," • ")&amp;N22)</f>
        <v/>
      </c>
    </row>
    <row r="23" ht="17" customHeight="1">
      <c r="A23" s="94" t="str">
        <f>IF($M23="","",5)</f>
        <v/>
      </c>
      <c r="B23" s="95" t="str">
        <f>IF($M23="","",INDEX(jr_art,$M23)&amp;"")</f>
        <v/>
      </c>
      <c r="C23" s="96" t="str">
        <f>IF($M23="","",INDEX(jr_des,$M23)&amp;"")</f>
        <v/>
      </c>
      <c r="D23" s="97" t="str">
        <f>IF($M23="","",INDEX(jr_unit,$M23)&amp;"")</f>
        <v/>
      </c>
      <c r="E23" s="98" t="str">
        <f>IF($M23="","",IF(INDEX(jr_qcmd,$M23)="","",INDEX(jr_qcmd,$M23)))</f>
        <v/>
      </c>
      <c r="F23" s="98" t="str">
        <f>IF($M23="","",IF(INDEX(jr_qty,$M23)="","",INDEX(jr_qty,$M23)))</f>
        <v/>
      </c>
      <c r="G23" s="122" t="str">
        <f>IF($M23="","",IF(INDEX(jr_gap,$M23)="","",INDEX(jr_gap,$M23)))</f>
        <v/>
      </c>
      <c r="H23" s="99" t="str">
        <f>IF($M23="","",INDEX(jr_lot,$M23)&amp;"")</f>
        <v/>
      </c>
      <c r="I23" s="99" t="str">
        <f>IF($M23="","",INDEX(jr_motif,$M23)&amp;"")</f>
        <v/>
      </c>
      <c r="J23" s="101" t="str">
        <f>IF(OR($M23="",NOT(p_prices="Oui")),"",INDEX(jr_pu,$M23))</f>
        <v/>
      </c>
      <c r="K23" s="101" t="str">
        <f>IF(OR($M23="",NOT(p_prices="Oui")),"",INDEX(jr_val,$M23))</f>
        <v/>
      </c>
      <c r="M23" t="str">
        <f>IF(OR($M$4="",5&gt;$M$5),"",IFERROR(MATCH($M$3&amp;"#5",jr_lkey,0),""))</f>
        <v/>
      </c>
      <c r="N23" t="str">
        <f>IF($M23="","",INDEX(jr_obs,$M23)&amp;"")</f>
        <v/>
      </c>
      <c r="O23" t="str">
        <f>IF(N23="",O22,O22&amp;IF(O22="",""," • ")&amp;N23)</f>
        <v/>
      </c>
    </row>
    <row r="24" ht="17" customHeight="1">
      <c r="A24" s="102" t="str">
        <f>IF($M24="","",6)</f>
        <v/>
      </c>
      <c r="B24" s="103" t="str">
        <f>IF($M24="","",INDEX(jr_art,$M24)&amp;"")</f>
        <v/>
      </c>
      <c r="C24" s="104" t="str">
        <f>IF($M24="","",INDEX(jr_des,$M24)&amp;"")</f>
        <v/>
      </c>
      <c r="D24" s="105" t="str">
        <f>IF($M24="","",INDEX(jr_unit,$M24)&amp;"")</f>
        <v/>
      </c>
      <c r="E24" s="106" t="str">
        <f>IF($M24="","",IF(INDEX(jr_qcmd,$M24)="","",INDEX(jr_qcmd,$M24)))</f>
        <v/>
      </c>
      <c r="F24" s="106" t="str">
        <f>IF($M24="","",IF(INDEX(jr_qty,$M24)="","",INDEX(jr_qty,$M24)))</f>
        <v/>
      </c>
      <c r="G24" s="123" t="str">
        <f>IF($M24="","",IF(INDEX(jr_gap,$M24)="","",INDEX(jr_gap,$M24)))</f>
        <v/>
      </c>
      <c r="H24" s="107" t="str">
        <f>IF($M24="","",INDEX(jr_lot,$M24)&amp;"")</f>
        <v/>
      </c>
      <c r="I24" s="107" t="str">
        <f>IF($M24="","",INDEX(jr_motif,$M24)&amp;"")</f>
        <v/>
      </c>
      <c r="J24" s="109" t="str">
        <f>IF(OR($M24="",NOT(p_prices="Oui")),"",INDEX(jr_pu,$M24))</f>
        <v/>
      </c>
      <c r="K24" s="109" t="str">
        <f>IF(OR($M24="",NOT(p_prices="Oui")),"",INDEX(jr_val,$M24))</f>
        <v/>
      </c>
      <c r="M24" t="str">
        <f>IF(OR($M$4="",6&gt;$M$5),"",IFERROR(MATCH($M$3&amp;"#6",jr_lkey,0),""))</f>
        <v/>
      </c>
      <c r="N24" t="str">
        <f>IF($M24="","",INDEX(jr_obs,$M24)&amp;"")</f>
        <v/>
      </c>
      <c r="O24" t="str">
        <f>IF(N24="",O23,O23&amp;IF(O23="",""," • ")&amp;N24)</f>
        <v/>
      </c>
    </row>
    <row r="25" ht="17" customHeight="1">
      <c r="A25" s="94" t="str">
        <f>IF($M25="","",7)</f>
        <v/>
      </c>
      <c r="B25" s="95" t="str">
        <f>IF($M25="","",INDEX(jr_art,$M25)&amp;"")</f>
        <v/>
      </c>
      <c r="C25" s="96" t="str">
        <f>IF($M25="","",INDEX(jr_des,$M25)&amp;"")</f>
        <v/>
      </c>
      <c r="D25" s="97" t="str">
        <f>IF($M25="","",INDEX(jr_unit,$M25)&amp;"")</f>
        <v/>
      </c>
      <c r="E25" s="98" t="str">
        <f>IF($M25="","",IF(INDEX(jr_qcmd,$M25)="","",INDEX(jr_qcmd,$M25)))</f>
        <v/>
      </c>
      <c r="F25" s="98" t="str">
        <f>IF($M25="","",IF(INDEX(jr_qty,$M25)="","",INDEX(jr_qty,$M25)))</f>
        <v/>
      </c>
      <c r="G25" s="122" t="str">
        <f>IF($M25="","",IF(INDEX(jr_gap,$M25)="","",INDEX(jr_gap,$M25)))</f>
        <v/>
      </c>
      <c r="H25" s="99" t="str">
        <f>IF($M25="","",INDEX(jr_lot,$M25)&amp;"")</f>
        <v/>
      </c>
      <c r="I25" s="99" t="str">
        <f>IF($M25="","",INDEX(jr_motif,$M25)&amp;"")</f>
        <v/>
      </c>
      <c r="J25" s="101" t="str">
        <f>IF(OR($M25="",NOT(p_prices="Oui")),"",INDEX(jr_pu,$M25))</f>
        <v/>
      </c>
      <c r="K25" s="101" t="str">
        <f>IF(OR($M25="",NOT(p_prices="Oui")),"",INDEX(jr_val,$M25))</f>
        <v/>
      </c>
      <c r="M25" t="str">
        <f>IF(OR($M$4="",7&gt;$M$5),"",IFERROR(MATCH($M$3&amp;"#7",jr_lkey,0),""))</f>
        <v/>
      </c>
      <c r="N25" t="str">
        <f>IF($M25="","",INDEX(jr_obs,$M25)&amp;"")</f>
        <v/>
      </c>
      <c r="O25" t="str">
        <f>IF(N25="",O24,O24&amp;IF(O24="",""," • ")&amp;N25)</f>
        <v/>
      </c>
    </row>
    <row r="26" ht="17" customHeight="1">
      <c r="A26" s="102" t="str">
        <f>IF($M26="","",8)</f>
        <v/>
      </c>
      <c r="B26" s="103" t="str">
        <f>IF($M26="","",INDEX(jr_art,$M26)&amp;"")</f>
        <v/>
      </c>
      <c r="C26" s="104" t="str">
        <f>IF($M26="","",INDEX(jr_des,$M26)&amp;"")</f>
        <v/>
      </c>
      <c r="D26" s="105" t="str">
        <f>IF($M26="","",INDEX(jr_unit,$M26)&amp;"")</f>
        <v/>
      </c>
      <c r="E26" s="106" t="str">
        <f>IF($M26="","",IF(INDEX(jr_qcmd,$M26)="","",INDEX(jr_qcmd,$M26)))</f>
        <v/>
      </c>
      <c r="F26" s="106" t="str">
        <f>IF($M26="","",IF(INDEX(jr_qty,$M26)="","",INDEX(jr_qty,$M26)))</f>
        <v/>
      </c>
      <c r="G26" s="123" t="str">
        <f>IF($M26="","",IF(INDEX(jr_gap,$M26)="","",INDEX(jr_gap,$M26)))</f>
        <v/>
      </c>
      <c r="H26" s="107" t="str">
        <f>IF($M26="","",INDEX(jr_lot,$M26)&amp;"")</f>
        <v/>
      </c>
      <c r="I26" s="107" t="str">
        <f>IF($M26="","",INDEX(jr_motif,$M26)&amp;"")</f>
        <v/>
      </c>
      <c r="J26" s="109" t="str">
        <f>IF(OR($M26="",NOT(p_prices="Oui")),"",INDEX(jr_pu,$M26))</f>
        <v/>
      </c>
      <c r="K26" s="109" t="str">
        <f>IF(OR($M26="",NOT(p_prices="Oui")),"",INDEX(jr_val,$M26))</f>
        <v/>
      </c>
      <c r="M26" t="str">
        <f>IF(OR($M$4="",8&gt;$M$5),"",IFERROR(MATCH($M$3&amp;"#8",jr_lkey,0),""))</f>
        <v/>
      </c>
      <c r="N26" t="str">
        <f>IF($M26="","",INDEX(jr_obs,$M26)&amp;"")</f>
        <v/>
      </c>
      <c r="O26" t="str">
        <f>IF(N26="",O25,O25&amp;IF(O25="",""," • ")&amp;N26)</f>
        <v/>
      </c>
    </row>
    <row r="27" ht="17" customHeight="1">
      <c r="A27" s="94" t="str">
        <f>IF($M27="","",9)</f>
        <v/>
      </c>
      <c r="B27" s="95" t="str">
        <f>IF($M27="","",INDEX(jr_art,$M27)&amp;"")</f>
        <v/>
      </c>
      <c r="C27" s="96" t="str">
        <f>IF($M27="","",INDEX(jr_des,$M27)&amp;"")</f>
        <v/>
      </c>
      <c r="D27" s="97" t="str">
        <f>IF($M27="","",INDEX(jr_unit,$M27)&amp;"")</f>
        <v/>
      </c>
      <c r="E27" s="98" t="str">
        <f>IF($M27="","",IF(INDEX(jr_qcmd,$M27)="","",INDEX(jr_qcmd,$M27)))</f>
        <v/>
      </c>
      <c r="F27" s="98" t="str">
        <f>IF($M27="","",IF(INDEX(jr_qty,$M27)="","",INDEX(jr_qty,$M27)))</f>
        <v/>
      </c>
      <c r="G27" s="122" t="str">
        <f>IF($M27="","",IF(INDEX(jr_gap,$M27)="","",INDEX(jr_gap,$M27)))</f>
        <v/>
      </c>
      <c r="H27" s="99" t="str">
        <f>IF($M27="","",INDEX(jr_lot,$M27)&amp;"")</f>
        <v/>
      </c>
      <c r="I27" s="99" t="str">
        <f>IF($M27="","",INDEX(jr_motif,$M27)&amp;"")</f>
        <v/>
      </c>
      <c r="J27" s="101" t="str">
        <f>IF(OR($M27="",NOT(p_prices="Oui")),"",INDEX(jr_pu,$M27))</f>
        <v/>
      </c>
      <c r="K27" s="101" t="str">
        <f>IF(OR($M27="",NOT(p_prices="Oui")),"",INDEX(jr_val,$M27))</f>
        <v/>
      </c>
      <c r="M27" t="str">
        <f>IF(OR($M$4="",9&gt;$M$5),"",IFERROR(MATCH($M$3&amp;"#9",jr_lkey,0),""))</f>
        <v/>
      </c>
      <c r="N27" t="str">
        <f>IF($M27="","",INDEX(jr_obs,$M27)&amp;"")</f>
        <v/>
      </c>
      <c r="O27" t="str">
        <f>IF(N27="",O26,O26&amp;IF(O26="",""," • ")&amp;N27)</f>
        <v/>
      </c>
    </row>
    <row r="28" ht="17" customHeight="1">
      <c r="A28" s="102" t="str">
        <f>IF($M28="","",10)</f>
        <v/>
      </c>
      <c r="B28" s="103" t="str">
        <f>IF($M28="","",INDEX(jr_art,$M28)&amp;"")</f>
        <v/>
      </c>
      <c r="C28" s="104" t="str">
        <f>IF($M28="","",INDEX(jr_des,$M28)&amp;"")</f>
        <v/>
      </c>
      <c r="D28" s="105" t="str">
        <f>IF($M28="","",INDEX(jr_unit,$M28)&amp;"")</f>
        <v/>
      </c>
      <c r="E28" s="106" t="str">
        <f>IF($M28="","",IF(INDEX(jr_qcmd,$M28)="","",INDEX(jr_qcmd,$M28)))</f>
        <v/>
      </c>
      <c r="F28" s="106" t="str">
        <f>IF($M28="","",IF(INDEX(jr_qty,$M28)="","",INDEX(jr_qty,$M28)))</f>
        <v/>
      </c>
      <c r="G28" s="123" t="str">
        <f>IF($M28="","",IF(INDEX(jr_gap,$M28)="","",INDEX(jr_gap,$M28)))</f>
        <v/>
      </c>
      <c r="H28" s="107" t="str">
        <f>IF($M28="","",INDEX(jr_lot,$M28)&amp;"")</f>
        <v/>
      </c>
      <c r="I28" s="107" t="str">
        <f>IF($M28="","",INDEX(jr_motif,$M28)&amp;"")</f>
        <v/>
      </c>
      <c r="J28" s="109" t="str">
        <f>IF(OR($M28="",NOT(p_prices="Oui")),"",INDEX(jr_pu,$M28))</f>
        <v/>
      </c>
      <c r="K28" s="109" t="str">
        <f>IF(OR($M28="",NOT(p_prices="Oui")),"",INDEX(jr_val,$M28))</f>
        <v/>
      </c>
      <c r="M28" t="str">
        <f>IF(OR($M$4="",10&gt;$M$5),"",IFERROR(MATCH($M$3&amp;"#10",jr_lkey,0),""))</f>
        <v/>
      </c>
      <c r="N28" t="str">
        <f>IF($M28="","",INDEX(jr_obs,$M28)&amp;"")</f>
        <v/>
      </c>
      <c r="O28" t="str">
        <f>IF(N28="",O27,O27&amp;IF(O27="",""," • ")&amp;N28)</f>
        <v/>
      </c>
    </row>
    <row r="29" ht="17" customHeight="1">
      <c r="A29" s="94" t="str">
        <f>IF($M29="","",11)</f>
        <v/>
      </c>
      <c r="B29" s="95" t="str">
        <f>IF($M29="","",INDEX(jr_art,$M29)&amp;"")</f>
        <v/>
      </c>
      <c r="C29" s="96" t="str">
        <f>IF($M29="","",INDEX(jr_des,$M29)&amp;"")</f>
        <v/>
      </c>
      <c r="D29" s="97" t="str">
        <f>IF($M29="","",INDEX(jr_unit,$M29)&amp;"")</f>
        <v/>
      </c>
      <c r="E29" s="98" t="str">
        <f>IF($M29="","",IF(INDEX(jr_qcmd,$M29)="","",INDEX(jr_qcmd,$M29)))</f>
        <v/>
      </c>
      <c r="F29" s="98" t="str">
        <f>IF($M29="","",IF(INDEX(jr_qty,$M29)="","",INDEX(jr_qty,$M29)))</f>
        <v/>
      </c>
      <c r="G29" s="122" t="str">
        <f>IF($M29="","",IF(INDEX(jr_gap,$M29)="","",INDEX(jr_gap,$M29)))</f>
        <v/>
      </c>
      <c r="H29" s="99" t="str">
        <f>IF($M29="","",INDEX(jr_lot,$M29)&amp;"")</f>
        <v/>
      </c>
      <c r="I29" s="99" t="str">
        <f>IF($M29="","",INDEX(jr_motif,$M29)&amp;"")</f>
        <v/>
      </c>
      <c r="J29" s="101" t="str">
        <f>IF(OR($M29="",NOT(p_prices="Oui")),"",INDEX(jr_pu,$M29))</f>
        <v/>
      </c>
      <c r="K29" s="101" t="str">
        <f>IF(OR($M29="",NOT(p_prices="Oui")),"",INDEX(jr_val,$M29))</f>
        <v/>
      </c>
      <c r="M29" t="str">
        <f>IF(OR($M$4="",11&gt;$M$5),"",IFERROR(MATCH($M$3&amp;"#11",jr_lkey,0),""))</f>
        <v/>
      </c>
      <c r="N29" t="str">
        <f>IF($M29="","",INDEX(jr_obs,$M29)&amp;"")</f>
        <v/>
      </c>
      <c r="O29" t="str">
        <f>IF(N29="",O28,O28&amp;IF(O28="",""," • ")&amp;N29)</f>
        <v/>
      </c>
    </row>
    <row r="30" ht="17" customHeight="1">
      <c r="A30" s="102" t="str">
        <f>IF($M30="","",12)</f>
        <v/>
      </c>
      <c r="B30" s="103" t="str">
        <f>IF($M30="","",INDEX(jr_art,$M30)&amp;"")</f>
        <v/>
      </c>
      <c r="C30" s="104" t="str">
        <f>IF($M30="","",INDEX(jr_des,$M30)&amp;"")</f>
        <v/>
      </c>
      <c r="D30" s="105" t="str">
        <f>IF($M30="","",INDEX(jr_unit,$M30)&amp;"")</f>
        <v/>
      </c>
      <c r="E30" s="106" t="str">
        <f>IF($M30="","",IF(INDEX(jr_qcmd,$M30)="","",INDEX(jr_qcmd,$M30)))</f>
        <v/>
      </c>
      <c r="F30" s="106" t="str">
        <f>IF($M30="","",IF(INDEX(jr_qty,$M30)="","",INDEX(jr_qty,$M30)))</f>
        <v/>
      </c>
      <c r="G30" s="123" t="str">
        <f>IF($M30="","",IF(INDEX(jr_gap,$M30)="","",INDEX(jr_gap,$M30)))</f>
        <v/>
      </c>
      <c r="H30" s="107" t="str">
        <f>IF($M30="","",INDEX(jr_lot,$M30)&amp;"")</f>
        <v/>
      </c>
      <c r="I30" s="107" t="str">
        <f>IF($M30="","",INDEX(jr_motif,$M30)&amp;"")</f>
        <v/>
      </c>
      <c r="J30" s="109" t="str">
        <f>IF(OR($M30="",NOT(p_prices="Oui")),"",INDEX(jr_pu,$M30))</f>
        <v/>
      </c>
      <c r="K30" s="109" t="str">
        <f>IF(OR($M30="",NOT(p_prices="Oui")),"",INDEX(jr_val,$M30))</f>
        <v/>
      </c>
      <c r="M30" t="str">
        <f>IF(OR($M$4="",12&gt;$M$5),"",IFERROR(MATCH($M$3&amp;"#12",jr_lkey,0),""))</f>
        <v/>
      </c>
      <c r="N30" t="str">
        <f>IF($M30="","",INDEX(jr_obs,$M30)&amp;"")</f>
        <v/>
      </c>
      <c r="O30" t="str">
        <f>IF(N30="",O29,O29&amp;IF(O29="",""," • ")&amp;N30)</f>
        <v/>
      </c>
    </row>
    <row r="31" ht="17" customHeight="1">
      <c r="A31" s="94" t="str">
        <f>IF($M31="","",13)</f>
        <v/>
      </c>
      <c r="B31" s="95" t="str">
        <f>IF($M31="","",INDEX(jr_art,$M31)&amp;"")</f>
        <v/>
      </c>
      <c r="C31" s="96" t="str">
        <f>IF($M31="","",INDEX(jr_des,$M31)&amp;"")</f>
        <v/>
      </c>
      <c r="D31" s="97" t="str">
        <f>IF($M31="","",INDEX(jr_unit,$M31)&amp;"")</f>
        <v/>
      </c>
      <c r="E31" s="98" t="str">
        <f>IF($M31="","",IF(INDEX(jr_qcmd,$M31)="","",INDEX(jr_qcmd,$M31)))</f>
        <v/>
      </c>
      <c r="F31" s="98" t="str">
        <f>IF($M31="","",IF(INDEX(jr_qty,$M31)="","",INDEX(jr_qty,$M31)))</f>
        <v/>
      </c>
      <c r="G31" s="122" t="str">
        <f>IF($M31="","",IF(INDEX(jr_gap,$M31)="","",INDEX(jr_gap,$M31)))</f>
        <v/>
      </c>
      <c r="H31" s="99" t="str">
        <f>IF($M31="","",INDEX(jr_lot,$M31)&amp;"")</f>
        <v/>
      </c>
      <c r="I31" s="99" t="str">
        <f>IF($M31="","",INDEX(jr_motif,$M31)&amp;"")</f>
        <v/>
      </c>
      <c r="J31" s="101" t="str">
        <f>IF(OR($M31="",NOT(p_prices="Oui")),"",INDEX(jr_pu,$M31))</f>
        <v/>
      </c>
      <c r="K31" s="101" t="str">
        <f>IF(OR($M31="",NOT(p_prices="Oui")),"",INDEX(jr_val,$M31))</f>
        <v/>
      </c>
      <c r="M31" t="str">
        <f>IF(OR($M$4="",13&gt;$M$5),"",IFERROR(MATCH($M$3&amp;"#13",jr_lkey,0),""))</f>
        <v/>
      </c>
      <c r="N31" t="str">
        <f>IF($M31="","",INDEX(jr_obs,$M31)&amp;"")</f>
        <v/>
      </c>
      <c r="O31" t="str">
        <f>IF(N31="",O30,O30&amp;IF(O30="",""," • ")&amp;N31)</f>
        <v/>
      </c>
    </row>
    <row r="32" ht="17" customHeight="1">
      <c r="A32" s="102" t="str">
        <f>IF($M32="","",14)</f>
        <v/>
      </c>
      <c r="B32" s="103" t="str">
        <f>IF($M32="","",INDEX(jr_art,$M32)&amp;"")</f>
        <v/>
      </c>
      <c r="C32" s="104" t="str">
        <f>IF($M32="","",INDEX(jr_des,$M32)&amp;"")</f>
        <v/>
      </c>
      <c r="D32" s="105" t="str">
        <f>IF($M32="","",INDEX(jr_unit,$M32)&amp;"")</f>
        <v/>
      </c>
      <c r="E32" s="106" t="str">
        <f>IF($M32="","",IF(INDEX(jr_qcmd,$M32)="","",INDEX(jr_qcmd,$M32)))</f>
        <v/>
      </c>
      <c r="F32" s="106" t="str">
        <f>IF($M32="","",IF(INDEX(jr_qty,$M32)="","",INDEX(jr_qty,$M32)))</f>
        <v/>
      </c>
      <c r="G32" s="123" t="str">
        <f>IF($M32="","",IF(INDEX(jr_gap,$M32)="","",INDEX(jr_gap,$M32)))</f>
        <v/>
      </c>
      <c r="H32" s="107" t="str">
        <f>IF($M32="","",INDEX(jr_lot,$M32)&amp;"")</f>
        <v/>
      </c>
      <c r="I32" s="107" t="str">
        <f>IF($M32="","",INDEX(jr_motif,$M32)&amp;"")</f>
        <v/>
      </c>
      <c r="J32" s="109" t="str">
        <f>IF(OR($M32="",NOT(p_prices="Oui")),"",INDEX(jr_pu,$M32))</f>
        <v/>
      </c>
      <c r="K32" s="109" t="str">
        <f>IF(OR($M32="",NOT(p_prices="Oui")),"",INDEX(jr_val,$M32))</f>
        <v/>
      </c>
      <c r="M32" t="str">
        <f>IF(OR($M$4="",14&gt;$M$5),"",IFERROR(MATCH($M$3&amp;"#14",jr_lkey,0),""))</f>
        <v/>
      </c>
      <c r="N32" t="str">
        <f>IF($M32="","",INDEX(jr_obs,$M32)&amp;"")</f>
        <v/>
      </c>
      <c r="O32" t="str">
        <f>IF(N32="",O31,O31&amp;IF(O31="",""," • ")&amp;N32)</f>
        <v/>
      </c>
    </row>
    <row r="33" ht="17" customHeight="1">
      <c r="A33" s="94" t="str">
        <f>IF($M33="","",15)</f>
        <v/>
      </c>
      <c r="B33" s="95" t="str">
        <f>IF($M33="","",INDEX(jr_art,$M33)&amp;"")</f>
        <v/>
      </c>
      <c r="C33" s="96" t="str">
        <f>IF($M33="","",INDEX(jr_des,$M33)&amp;"")</f>
        <v/>
      </c>
      <c r="D33" s="97" t="str">
        <f>IF($M33="","",INDEX(jr_unit,$M33)&amp;"")</f>
        <v/>
      </c>
      <c r="E33" s="98" t="str">
        <f>IF($M33="","",IF(INDEX(jr_qcmd,$M33)="","",INDEX(jr_qcmd,$M33)))</f>
        <v/>
      </c>
      <c r="F33" s="98" t="str">
        <f>IF($M33="","",IF(INDEX(jr_qty,$M33)="","",INDEX(jr_qty,$M33)))</f>
        <v/>
      </c>
      <c r="G33" s="122" t="str">
        <f>IF($M33="","",IF(INDEX(jr_gap,$M33)="","",INDEX(jr_gap,$M33)))</f>
        <v/>
      </c>
      <c r="H33" s="99" t="str">
        <f>IF($M33="","",INDEX(jr_lot,$M33)&amp;"")</f>
        <v/>
      </c>
      <c r="I33" s="99" t="str">
        <f>IF($M33="","",INDEX(jr_motif,$M33)&amp;"")</f>
        <v/>
      </c>
      <c r="J33" s="101" t="str">
        <f>IF(OR($M33="",NOT(p_prices="Oui")),"",INDEX(jr_pu,$M33))</f>
        <v/>
      </c>
      <c r="K33" s="101" t="str">
        <f>IF(OR($M33="",NOT(p_prices="Oui")),"",INDEX(jr_val,$M33))</f>
        <v/>
      </c>
      <c r="M33" t="str">
        <f>IF(OR($M$4="",15&gt;$M$5),"",IFERROR(MATCH($M$3&amp;"#15",jr_lkey,0),""))</f>
        <v/>
      </c>
      <c r="N33" t="str">
        <f>IF($M33="","",INDEX(jr_obs,$M33)&amp;"")</f>
        <v/>
      </c>
      <c r="O33" t="str">
        <f>IF(N33="",O32,O32&amp;IF(O32="",""," • ")&amp;N33)</f>
        <v/>
      </c>
    </row>
    <row r="34" ht="17" customHeight="1">
      <c r="A34" s="102" t="str">
        <f>IF($M34="","",16)</f>
        <v/>
      </c>
      <c r="B34" s="103" t="str">
        <f>IF($M34="","",INDEX(jr_art,$M34)&amp;"")</f>
        <v/>
      </c>
      <c r="C34" s="104" t="str">
        <f>IF($M34="","",INDEX(jr_des,$M34)&amp;"")</f>
        <v/>
      </c>
      <c r="D34" s="105" t="str">
        <f>IF($M34="","",INDEX(jr_unit,$M34)&amp;"")</f>
        <v/>
      </c>
      <c r="E34" s="106" t="str">
        <f>IF($M34="","",IF(INDEX(jr_qcmd,$M34)="","",INDEX(jr_qcmd,$M34)))</f>
        <v/>
      </c>
      <c r="F34" s="106" t="str">
        <f>IF($M34="","",IF(INDEX(jr_qty,$M34)="","",INDEX(jr_qty,$M34)))</f>
        <v/>
      </c>
      <c r="G34" s="123" t="str">
        <f>IF($M34="","",IF(INDEX(jr_gap,$M34)="","",INDEX(jr_gap,$M34)))</f>
        <v/>
      </c>
      <c r="H34" s="107" t="str">
        <f>IF($M34="","",INDEX(jr_lot,$M34)&amp;"")</f>
        <v/>
      </c>
      <c r="I34" s="107" t="str">
        <f>IF($M34="","",INDEX(jr_motif,$M34)&amp;"")</f>
        <v/>
      </c>
      <c r="J34" s="109" t="str">
        <f>IF(OR($M34="",NOT(p_prices="Oui")),"",INDEX(jr_pu,$M34))</f>
        <v/>
      </c>
      <c r="K34" s="109" t="str">
        <f>IF(OR($M34="",NOT(p_prices="Oui")),"",INDEX(jr_val,$M34))</f>
        <v/>
      </c>
      <c r="M34" t="str">
        <f>IF(OR($M$4="",16&gt;$M$5),"",IFERROR(MATCH($M$3&amp;"#16",jr_lkey,0),""))</f>
        <v/>
      </c>
      <c r="N34" t="str">
        <f>IF($M34="","",INDEX(jr_obs,$M34)&amp;"")</f>
        <v/>
      </c>
      <c r="O34" t="str">
        <f>IF(N34="",O33,O33&amp;IF(O33="",""," • ")&amp;N34)</f>
        <v/>
      </c>
    </row>
    <row r="35" ht="17" customHeight="1">
      <c r="A35" s="94" t="str">
        <f>IF($M35="","",17)</f>
        <v/>
      </c>
      <c r="B35" s="95" t="str">
        <f>IF($M35="","",INDEX(jr_art,$M35)&amp;"")</f>
        <v/>
      </c>
      <c r="C35" s="96" t="str">
        <f>IF($M35="","",INDEX(jr_des,$M35)&amp;"")</f>
        <v/>
      </c>
      <c r="D35" s="97" t="str">
        <f>IF($M35="","",INDEX(jr_unit,$M35)&amp;"")</f>
        <v/>
      </c>
      <c r="E35" s="98" t="str">
        <f>IF($M35="","",IF(INDEX(jr_qcmd,$M35)="","",INDEX(jr_qcmd,$M35)))</f>
        <v/>
      </c>
      <c r="F35" s="98" t="str">
        <f>IF($M35="","",IF(INDEX(jr_qty,$M35)="","",INDEX(jr_qty,$M35)))</f>
        <v/>
      </c>
      <c r="G35" s="122" t="str">
        <f>IF($M35="","",IF(INDEX(jr_gap,$M35)="","",INDEX(jr_gap,$M35)))</f>
        <v/>
      </c>
      <c r="H35" s="99" t="str">
        <f>IF($M35="","",INDEX(jr_lot,$M35)&amp;"")</f>
        <v/>
      </c>
      <c r="I35" s="99" t="str">
        <f>IF($M35="","",INDEX(jr_motif,$M35)&amp;"")</f>
        <v/>
      </c>
      <c r="J35" s="101" t="str">
        <f>IF(OR($M35="",NOT(p_prices="Oui")),"",INDEX(jr_pu,$M35))</f>
        <v/>
      </c>
      <c r="K35" s="101" t="str">
        <f>IF(OR($M35="",NOT(p_prices="Oui")),"",INDEX(jr_val,$M35))</f>
        <v/>
      </c>
      <c r="M35" t="str">
        <f>IF(OR($M$4="",17&gt;$M$5),"",IFERROR(MATCH($M$3&amp;"#17",jr_lkey,0),""))</f>
        <v/>
      </c>
      <c r="N35" t="str">
        <f>IF($M35="","",INDEX(jr_obs,$M35)&amp;"")</f>
        <v/>
      </c>
      <c r="O35" t="str">
        <f>IF(N35="",O34,O34&amp;IF(O34="",""," • ")&amp;N35)</f>
        <v/>
      </c>
    </row>
    <row r="36" ht="17" customHeight="1">
      <c r="A36" s="102" t="str">
        <f>IF($M36="","",18)</f>
        <v/>
      </c>
      <c r="B36" s="103" t="str">
        <f>IF($M36="","",INDEX(jr_art,$M36)&amp;"")</f>
        <v/>
      </c>
      <c r="C36" s="104" t="str">
        <f>IF($M36="","",INDEX(jr_des,$M36)&amp;"")</f>
        <v/>
      </c>
      <c r="D36" s="105" t="str">
        <f>IF($M36="","",INDEX(jr_unit,$M36)&amp;"")</f>
        <v/>
      </c>
      <c r="E36" s="106" t="str">
        <f>IF($M36="","",IF(INDEX(jr_qcmd,$M36)="","",INDEX(jr_qcmd,$M36)))</f>
        <v/>
      </c>
      <c r="F36" s="106" t="str">
        <f>IF($M36="","",IF(INDEX(jr_qty,$M36)="","",INDEX(jr_qty,$M36)))</f>
        <v/>
      </c>
      <c r="G36" s="123" t="str">
        <f>IF($M36="","",IF(INDEX(jr_gap,$M36)="","",INDEX(jr_gap,$M36)))</f>
        <v/>
      </c>
      <c r="H36" s="107" t="str">
        <f>IF($M36="","",INDEX(jr_lot,$M36)&amp;"")</f>
        <v/>
      </c>
      <c r="I36" s="107" t="str">
        <f>IF($M36="","",INDEX(jr_motif,$M36)&amp;"")</f>
        <v/>
      </c>
      <c r="J36" s="109" t="str">
        <f>IF(OR($M36="",NOT(p_prices="Oui")),"",INDEX(jr_pu,$M36))</f>
        <v/>
      </c>
      <c r="K36" s="109" t="str">
        <f>IF(OR($M36="",NOT(p_prices="Oui")),"",INDEX(jr_val,$M36))</f>
        <v/>
      </c>
      <c r="M36" t="str">
        <f>IF(OR($M$4="",18&gt;$M$5),"",IFERROR(MATCH($M$3&amp;"#18",jr_lkey,0),""))</f>
        <v/>
      </c>
      <c r="N36" t="str">
        <f>IF($M36="","",INDEX(jr_obs,$M36)&amp;"")</f>
        <v/>
      </c>
      <c r="O36" t="str">
        <f>IF(N36="",O35,O35&amp;IF(O35="",""," • ")&amp;N36)</f>
        <v/>
      </c>
    </row>
    <row r="37" ht="20" customHeight="1">
      <c r="A37" s="110" t="inlineStr">
        <is>
          <t>Total</t>
        </is>
      </c>
      <c r="B37" s="111" t="n"/>
      <c r="C37" s="111" t="n"/>
      <c r="D37" s="111" t="n"/>
      <c r="E37" s="111" t="n"/>
      <c r="F37" s="111" t="n"/>
      <c r="G37" s="111" t="n"/>
      <c r="H37" s="111" t="n"/>
      <c r="I37" s="111" t="n"/>
      <c r="J37" s="113" t="str">
        <f>IF(p_prices="Oui","Total HT","")</f>
        <v/>
      </c>
      <c r="K37" s="114" t="str">
        <f>IF(OR(NOT(p_prices="Oui"),$M$4=""),"",SUM(K19:K36))</f>
        <v/>
      </c>
    </row>
    <row r="39">
      <c r="A39" s="115" t="inlineStr">
        <is>
          <t>OBSERVATIONS</t>
        </is>
      </c>
    </row>
    <row r="40" ht="18" customHeight="1">
      <c r="A40" s="116" t="str">
        <f>O36&amp;""</f>
        <v/>
      </c>
      <c r="B40" s="79" t="n"/>
      <c r="C40" s="79" t="n"/>
      <c r="D40" s="79" t="n"/>
      <c r="E40" s="79" t="n"/>
      <c r="F40" s="79" t="n"/>
      <c r="G40" s="79" t="n"/>
      <c r="H40" s="79" t="n"/>
      <c r="I40" s="79" t="n"/>
      <c r="J40" s="79" t="n"/>
      <c r="K40" s="80" t="n"/>
    </row>
    <row r="41" ht="18" customHeight="1">
      <c r="A41" s="117" t="n"/>
      <c r="B41" s="82" t="n"/>
      <c r="C41" s="82" t="n"/>
      <c r="D41" s="82" t="n"/>
      <c r="E41" s="82" t="n"/>
      <c r="F41" s="82" t="n"/>
      <c r="G41" s="82" t="n"/>
      <c r="H41" s="82" t="n"/>
      <c r="I41" s="82" t="n"/>
      <c r="J41" s="82" t="n"/>
      <c r="K41" s="83" t="n"/>
    </row>
    <row r="42" ht="18" customHeight="1">
      <c r="A42" s="118" t="n"/>
      <c r="B42" s="89" t="n"/>
      <c r="C42" s="89" t="n"/>
      <c r="D42" s="89" t="n"/>
      <c r="E42" s="89" t="n"/>
      <c r="F42" s="89" t="n"/>
      <c r="G42" s="89" t="n"/>
      <c r="H42" s="89" t="n"/>
      <c r="I42" s="89" t="n"/>
      <c r="J42" s="89" t="n"/>
      <c r="K42" s="90" t="n"/>
    </row>
    <row r="44" ht="22" customHeight="1">
      <c r="A44" s="119" t="inlineStr">
        <is>
          <t>Demandeur</t>
        </is>
      </c>
      <c r="B44" s="79" t="n"/>
      <c r="C44" s="80" t="n"/>
      <c r="D44" s="119" t="inlineStr">
        <is>
          <t>Magasinier (visa)</t>
        </is>
      </c>
      <c r="E44" s="79" t="n"/>
      <c r="F44" s="79" t="n"/>
      <c r="G44" s="80" t="n"/>
      <c r="H44" s="119" t="inlineStr">
        <is>
          <t>Responsable (visa)</t>
        </is>
      </c>
      <c r="I44" s="79" t="n"/>
      <c r="J44" s="79" t="n"/>
      <c r="K44" s="80" t="n"/>
    </row>
    <row r="45" ht="16" customHeight="1">
      <c r="A45" s="120" t="inlineStr">
        <is>
          <t>Nom, date et signature</t>
        </is>
      </c>
      <c r="B45" s="79" t="n"/>
      <c r="C45" s="80" t="n"/>
      <c r="D45" s="120" t="inlineStr">
        <is>
          <t>Nom, date et signature</t>
        </is>
      </c>
      <c r="E45" s="79" t="n"/>
      <c r="F45" s="79" t="n"/>
      <c r="G45" s="80" t="n"/>
      <c r="H45" s="120" t="inlineStr">
        <is>
          <t>Nom, date et signature</t>
        </is>
      </c>
      <c r="I45" s="79" t="n"/>
      <c r="J45" s="79" t="n"/>
      <c r="K45" s="80" t="n"/>
    </row>
    <row r="46" ht="16" customHeight="1">
      <c r="A46" s="117" t="n"/>
      <c r="B46" s="82" t="n"/>
      <c r="C46" s="83" t="n"/>
      <c r="D46" s="117" t="n"/>
      <c r="E46" s="82" t="n"/>
      <c r="F46" s="82" t="n"/>
      <c r="G46" s="83" t="n"/>
      <c r="H46" s="117" t="n"/>
      <c r="I46" s="82" t="n"/>
      <c r="J46" s="82" t="n"/>
      <c r="K46" s="83" t="n"/>
    </row>
    <row r="47" ht="16" customHeight="1">
      <c r="A47" s="117" t="n"/>
      <c r="B47" s="82" t="n"/>
      <c r="C47" s="83" t="n"/>
      <c r="D47" s="117" t="n"/>
      <c r="E47" s="82" t="n"/>
      <c r="F47" s="82" t="n"/>
      <c r="G47" s="83" t="n"/>
      <c r="H47" s="117" t="n"/>
      <c r="I47" s="82" t="n"/>
      <c r="J47" s="82" t="n"/>
      <c r="K47" s="83" t="n"/>
    </row>
    <row r="48" ht="16" customHeight="1">
      <c r="A48" s="117" t="n"/>
      <c r="B48" s="82" t="n"/>
      <c r="C48" s="83" t="n"/>
      <c r="D48" s="117" t="n"/>
      <c r="E48" s="82" t="n"/>
      <c r="F48" s="82" t="n"/>
      <c r="G48" s="83" t="n"/>
      <c r="H48" s="117" t="n"/>
      <c r="I48" s="82" t="n"/>
      <c r="J48" s="82" t="n"/>
      <c r="K48" s="83" t="n"/>
    </row>
    <row r="49" ht="16" customHeight="1">
      <c r="A49" s="118" t="n"/>
      <c r="B49" s="89" t="n"/>
      <c r="C49" s="90" t="n"/>
      <c r="D49" s="118" t="n"/>
      <c r="E49" s="89" t="n"/>
      <c r="F49" s="89" t="n"/>
      <c r="G49" s="90" t="n"/>
      <c r="H49" s="118" t="n"/>
      <c r="I49" s="89" t="n"/>
      <c r="J49" s="89" t="n"/>
      <c r="K49" s="90" t="n"/>
    </row>
    <row r="51" ht="16" customHeight="1">
      <c r="A51" s="121" t="str">
        <f>p_m_bs&amp;""</f>
        <v/>
      </c>
    </row>
    <row r="52" ht="16" customHeight="1"/>
  </sheetData>
  <mergeCells count="40">
    <mergeCell ref="A16:F16"/>
    <mergeCell ref="I16:K16"/>
    <mergeCell ref="A45:C49"/>
    <mergeCell ref="G12:K12"/>
    <mergeCell ref="A39:K39"/>
    <mergeCell ref="A12:F12"/>
    <mergeCell ref="G8:H8"/>
    <mergeCell ref="A40:K42"/>
    <mergeCell ref="G7:H7"/>
    <mergeCell ref="A14:F14"/>
    <mergeCell ref="I14:K14"/>
    <mergeCell ref="A5:F5"/>
    <mergeCell ref="D44:G44"/>
    <mergeCell ref="A8:F8"/>
    <mergeCell ref="I8:K8"/>
    <mergeCell ref="A37:B37"/>
    <mergeCell ref="G6:H6"/>
    <mergeCell ref="G13:H13"/>
    <mergeCell ref="A3:B3"/>
    <mergeCell ref="H44:K44"/>
    <mergeCell ref="A7:F7"/>
    <mergeCell ref="A44:C44"/>
    <mergeCell ref="A13:F13"/>
    <mergeCell ref="I13:K13"/>
    <mergeCell ref="G15:H15"/>
    <mergeCell ref="A9:F9"/>
    <mergeCell ref="I9:K9"/>
    <mergeCell ref="G5:K5"/>
    <mergeCell ref="G14:H14"/>
    <mergeCell ref="A15:F15"/>
    <mergeCell ref="I15:K15"/>
    <mergeCell ref="I6:K6"/>
    <mergeCell ref="D3:K3"/>
    <mergeCell ref="D45:G49"/>
    <mergeCell ref="A51:K52"/>
    <mergeCell ref="G16:H16"/>
    <mergeCell ref="A6:F6"/>
    <mergeCell ref="G9:H9"/>
    <mergeCell ref="H45:K49"/>
    <mergeCell ref="I7:K7"/>
  </mergeCells>
  <conditionalFormatting sqref="D3">
    <cfRule type="expression" priority="1" dxfId="1">
      <formula>OR($M$4="",$M$5&gt;18)</formula>
    </cfRule>
    <cfRule type="expression" priority="2" dxfId="16">
      <formula>$M$3=""</formula>
    </cfRule>
  </conditionalFormatting>
  <conditionalFormatting sqref="I16">
    <cfRule type="expression" priority="3" dxfId="11">
      <formula>p_currency="MAD"</formula>
    </cfRule>
    <cfRule type="expression" priority="6" dxfId="12">
      <formula>p_currency="EUR"</formula>
    </cfRule>
    <cfRule type="expression" priority="9" dxfId="13">
      <formula>p_currency="USD"</formula>
    </cfRule>
  </conditionalFormatting>
  <conditionalFormatting sqref="J19:K36">
    <cfRule type="expression" priority="4" dxfId="11">
      <formula>p_currency="MAD"</formula>
    </cfRule>
    <cfRule type="expression" priority="7" dxfId="12">
      <formula>p_currency="EUR"</formula>
    </cfRule>
    <cfRule type="expression" priority="10" dxfId="13">
      <formula>p_currency="USD"</formula>
    </cfRule>
  </conditionalFormatting>
  <conditionalFormatting sqref="K37">
    <cfRule type="expression" priority="5" dxfId="11">
      <formula>p_currency="MAD"</formula>
    </cfRule>
    <cfRule type="expression" priority="8" dxfId="12">
      <formula>p_currency="EUR"</formula>
    </cfRule>
    <cfRule type="expression" priority="11" dxfId="13">
      <formula>p_currency="USD"</formula>
    </cfRule>
  </conditionalFormatting>
  <dataValidations count="1">
    <dataValidation sqref="C3" showDropDown="0" showInputMessage="1" showErrorMessage="1" allowBlank="1" errorTitle="N° à imprimer" error="Ce numéro n'est pas dans la liste. Le message à droite indique s'il existe dans le journal." promptTitle="N° à imprimer" prompt="Choisissez un numéro dans la liste, ou tapez seulement le chiffre (12 pour BS-0012). Laissez vide pour imprimer un bon vierge." type="list" errorStyle="information">
      <formula1>=l_bs</formula1>
    </dataValidation>
  </dataValidations>
  <hyperlinks>
    <hyperlink ref="K1" location="'Mode d''emploi'!A1"/>
  </hyperlinks>
  <printOptions horizontalCentered="1"/>
  <pageMargins left="0.4" right="0.4" top="0.5" bottom="0.5" header="0.5" footer="0.5"/>
  <pageSetup orientation="portrait" paperSize="9" fitToHeight="1" fitToWidth="1"/>
</worksheet>
</file>

<file path=xl/worksheets/sheet8.xml><?xml version="1.0" encoding="utf-8"?>
<worksheet xmlns="http://schemas.openxmlformats.org/spreadsheetml/2006/main">
  <sheetPr>
    <tabColor rgb="FF0F766E"/>
    <outlinePr summaryBelow="1" summaryRight="1"/>
    <pageSetUpPr fitToPage="1"/>
  </sheetPr>
  <dimension ref="A1:J505"/>
  <sheetViews>
    <sheetView showGridLines="0" tabSelected="0" zoomScale="100" workbookViewId="0">
      <pane xSplit="2" ySplit="5" topLeftCell="C6" activePane="bottomRight" state="frozen"/>
      <selection pane="topRight"/>
      <selection pane="bottomLeft"/>
      <selection pane="bottomRight" activeCell="A1" sqref="A1"/>
    </sheetView>
  </sheetViews>
  <sheetFormatPr baseColWidth="8" defaultRowHeight="15"/>
  <cols>
    <col width="15" customWidth="1" min="1" max="1"/>
    <col width="34" customWidth="1" min="2" max="2"/>
    <col width="10" customWidth="1" min="3" max="3"/>
    <col width="13" customWidth="1" min="4" max="4"/>
    <col width="15" customWidth="1" min="5" max="5"/>
    <col width="15" customWidth="1" min="6" max="6"/>
    <col width="13" customWidth="1" min="7" max="7"/>
    <col width="13" customWidth="1" min="8" max="8"/>
    <col width="13" customWidth="1" min="9" max="9"/>
    <col width="24" customWidth="1" min="10" max="10"/>
  </cols>
  <sheetData>
    <row r="1" ht="38" customHeight="1">
      <c r="A1" s="2" t="inlineStr">
        <is>
          <t>Articles</t>
        </is>
      </c>
      <c r="B1" s="1" t="n"/>
      <c r="C1" s="1" t="n"/>
      <c r="D1" s="1" t="n"/>
      <c r="E1" s="1" t="n"/>
      <c r="F1" s="1" t="n"/>
      <c r="G1" s="1" t="n"/>
      <c r="H1" s="1" t="n"/>
      <c r="I1" s="1" t="n"/>
      <c r="J1" s="18" t="inlineStr">
        <is>
          <t>⌂ Mode d'emploi</t>
        </is>
      </c>
    </row>
    <row r="2" ht="22" customHeight="1">
      <c r="A2" s="4" t="inlineStr">
        <is>
          <t>Unité, poids unitaire (pour le poids des colis), prix de vente (bons de livraison) et coût (réceptions et sorties).</t>
        </is>
      </c>
      <c r="B2" s="3" t="n"/>
      <c r="C2" s="3" t="n"/>
      <c r="D2" s="3" t="n"/>
      <c r="E2" s="3" t="n"/>
      <c r="F2" s="3" t="n"/>
      <c r="G2" s="3" t="n"/>
      <c r="H2" s="3" t="n"/>
      <c r="I2" s="3" t="n"/>
      <c r="J2" s="3" t="n"/>
    </row>
    <row r="3" ht="18" customHeight="1">
      <c r="H3" s="16" t="inlineStr">
        <is>
          <t>Saisie</t>
        </is>
      </c>
      <c r="I3" s="17" t="inlineStr">
        <is>
          <t>Calcul auto</t>
        </is>
      </c>
    </row>
    <row r="5" ht="34" customHeight="1">
      <c r="A5" s="42" t="inlineStr">
        <is>
          <t>Référence</t>
        </is>
      </c>
      <c r="B5" s="42" t="inlineStr">
        <is>
          <t>Désignation</t>
        </is>
      </c>
      <c r="C5" s="42" t="inlineStr">
        <is>
          <t>Unité</t>
        </is>
      </c>
      <c r="D5" s="42" t="inlineStr">
        <is>
          <t>Poids unitaire (kg)</t>
        </is>
      </c>
      <c r="E5" s="42" t="inlineStr">
        <is>
          <t>Prix de vente HT</t>
        </is>
      </c>
      <c r="F5" s="42" t="inlineStr">
        <is>
          <t>Coût unitaire HT</t>
        </is>
      </c>
      <c r="G5" s="42" t="inlineStr">
        <is>
          <t>Livré (année)</t>
        </is>
      </c>
      <c r="H5" s="42" t="inlineStr">
        <is>
          <t>Reçu (année)</t>
        </is>
      </c>
      <c r="I5" s="42" t="inlineStr">
        <is>
          <t>Sorti (année)</t>
        </is>
      </c>
      <c r="J5" s="42" t="inlineStr">
        <is>
          <t>Contrôle</t>
        </is>
      </c>
    </row>
    <row r="6">
      <c r="A6" s="59" t="n"/>
      <c r="B6" s="59" t="n"/>
      <c r="C6" s="54" t="n"/>
      <c r="D6" s="127" t="n"/>
      <c r="E6" s="128" t="n"/>
      <c r="F6" s="128" t="n"/>
      <c r="G6" s="57" t="str">
        <f>IF(A6="","",SUMIFS(jr_qty,jr_type,"BL",jr_art,A6,jr_year,p_year))</f>
        <v/>
      </c>
      <c r="H6" s="57" t="str">
        <f>IF(A6="","",SUMIFS(jr_qty,jr_type,"BR",jr_art,A6,jr_year,p_year))</f>
        <v/>
      </c>
      <c r="I6" s="57" t="str">
        <f>IF(A6="","",SUMIFS(jr_qty,jr_type,"BS",jr_art,A6,jr_year,p_year))</f>
        <v/>
      </c>
      <c r="J6" s="60" t="str">
        <f>IF(A6="",IF(B6="","","Référence manquante"),IF(COUNTIF($A$6:$A$505,A6)&gt;1,"Référence en double",IF(B6="","Désignation manquante",IF(C6="","Unité manquante","OK"))))</f>
        <v/>
      </c>
    </row>
    <row r="7">
      <c r="A7" s="59" t="n"/>
      <c r="B7" s="59" t="n"/>
      <c r="C7" s="54" t="n"/>
      <c r="D7" s="127" t="n"/>
      <c r="E7" s="128" t="n"/>
      <c r="F7" s="128" t="n"/>
      <c r="G7" s="57" t="str">
        <f>IF(A7="","",SUMIFS(jr_qty,jr_type,"BL",jr_art,A7,jr_year,p_year))</f>
        <v/>
      </c>
      <c r="H7" s="57" t="str">
        <f>IF(A7="","",SUMIFS(jr_qty,jr_type,"BR",jr_art,A7,jr_year,p_year))</f>
        <v/>
      </c>
      <c r="I7" s="57" t="str">
        <f>IF(A7="","",SUMIFS(jr_qty,jr_type,"BS",jr_art,A7,jr_year,p_year))</f>
        <v/>
      </c>
      <c r="J7" s="60" t="str">
        <f>IF(A7="",IF(B7="","","Référence manquante"),IF(COUNTIF($A$6:$A$505,A7)&gt;1,"Référence en double",IF(B7="","Désignation manquante",IF(C7="","Unité manquante","OK"))))</f>
        <v/>
      </c>
    </row>
    <row r="8">
      <c r="A8" s="59" t="n"/>
      <c r="B8" s="59" t="n"/>
      <c r="C8" s="54" t="n"/>
      <c r="D8" s="127" t="n"/>
      <c r="E8" s="128" t="n"/>
      <c r="F8" s="128" t="n"/>
      <c r="G8" s="57" t="str">
        <f>IF(A8="","",SUMIFS(jr_qty,jr_type,"BL",jr_art,A8,jr_year,p_year))</f>
        <v/>
      </c>
      <c r="H8" s="57" t="str">
        <f>IF(A8="","",SUMIFS(jr_qty,jr_type,"BR",jr_art,A8,jr_year,p_year))</f>
        <v/>
      </c>
      <c r="I8" s="57" t="str">
        <f>IF(A8="","",SUMIFS(jr_qty,jr_type,"BS",jr_art,A8,jr_year,p_year))</f>
        <v/>
      </c>
      <c r="J8" s="60" t="str">
        <f>IF(A8="",IF(B8="","","Référence manquante"),IF(COUNTIF($A$6:$A$505,A8)&gt;1,"Référence en double",IF(B8="","Désignation manquante",IF(C8="","Unité manquante","OK"))))</f>
        <v/>
      </c>
    </row>
    <row r="9">
      <c r="A9" s="59" t="n"/>
      <c r="B9" s="59" t="n"/>
      <c r="C9" s="54" t="n"/>
      <c r="D9" s="127" t="n"/>
      <c r="E9" s="128" t="n"/>
      <c r="F9" s="128" t="n"/>
      <c r="G9" s="57" t="str">
        <f>IF(A9="","",SUMIFS(jr_qty,jr_type,"BL",jr_art,A9,jr_year,p_year))</f>
        <v/>
      </c>
      <c r="H9" s="57" t="str">
        <f>IF(A9="","",SUMIFS(jr_qty,jr_type,"BR",jr_art,A9,jr_year,p_year))</f>
        <v/>
      </c>
      <c r="I9" s="57" t="str">
        <f>IF(A9="","",SUMIFS(jr_qty,jr_type,"BS",jr_art,A9,jr_year,p_year))</f>
        <v/>
      </c>
      <c r="J9" s="60" t="str">
        <f>IF(A9="",IF(B9="","","Référence manquante"),IF(COUNTIF($A$6:$A$505,A9)&gt;1,"Référence en double",IF(B9="","Désignation manquante",IF(C9="","Unité manquante","OK"))))</f>
        <v/>
      </c>
    </row>
    <row r="10">
      <c r="A10" s="59" t="n"/>
      <c r="B10" s="59" t="n"/>
      <c r="C10" s="54" t="n"/>
      <c r="D10" s="127" t="n"/>
      <c r="E10" s="128" t="n"/>
      <c r="F10" s="128" t="n"/>
      <c r="G10" s="57" t="str">
        <f>IF(A10="","",SUMIFS(jr_qty,jr_type,"BL",jr_art,A10,jr_year,p_year))</f>
        <v/>
      </c>
      <c r="H10" s="57" t="str">
        <f>IF(A10="","",SUMIFS(jr_qty,jr_type,"BR",jr_art,A10,jr_year,p_year))</f>
        <v/>
      </c>
      <c r="I10" s="57" t="str">
        <f>IF(A10="","",SUMIFS(jr_qty,jr_type,"BS",jr_art,A10,jr_year,p_year))</f>
        <v/>
      </c>
      <c r="J10" s="60" t="str">
        <f>IF(A10="",IF(B10="","","Référence manquante"),IF(COUNTIF($A$6:$A$505,A10)&gt;1,"Référence en double",IF(B10="","Désignation manquante",IF(C10="","Unité manquante","OK"))))</f>
        <v/>
      </c>
    </row>
    <row r="11">
      <c r="A11" s="59" t="n"/>
      <c r="B11" s="59" t="n"/>
      <c r="C11" s="54" t="n"/>
      <c r="D11" s="127" t="n"/>
      <c r="E11" s="128" t="n"/>
      <c r="F11" s="128" t="n"/>
      <c r="G11" s="57" t="str">
        <f>IF(A11="","",SUMIFS(jr_qty,jr_type,"BL",jr_art,A11,jr_year,p_year))</f>
        <v/>
      </c>
      <c r="H11" s="57" t="str">
        <f>IF(A11="","",SUMIFS(jr_qty,jr_type,"BR",jr_art,A11,jr_year,p_year))</f>
        <v/>
      </c>
      <c r="I11" s="57" t="str">
        <f>IF(A11="","",SUMIFS(jr_qty,jr_type,"BS",jr_art,A11,jr_year,p_year))</f>
        <v/>
      </c>
      <c r="J11" s="60" t="str">
        <f>IF(A11="",IF(B11="","","Référence manquante"),IF(COUNTIF($A$6:$A$505,A11)&gt;1,"Référence en double",IF(B11="","Désignation manquante",IF(C11="","Unité manquante","OK"))))</f>
        <v/>
      </c>
    </row>
    <row r="12">
      <c r="A12" s="59" t="n"/>
      <c r="B12" s="59" t="n"/>
      <c r="C12" s="54" t="n"/>
      <c r="D12" s="127" t="n"/>
      <c r="E12" s="128" t="n"/>
      <c r="F12" s="128" t="n"/>
      <c r="G12" s="57" t="str">
        <f>IF(A12="","",SUMIFS(jr_qty,jr_type,"BL",jr_art,A12,jr_year,p_year))</f>
        <v/>
      </c>
      <c r="H12" s="57" t="str">
        <f>IF(A12="","",SUMIFS(jr_qty,jr_type,"BR",jr_art,A12,jr_year,p_year))</f>
        <v/>
      </c>
      <c r="I12" s="57" t="str">
        <f>IF(A12="","",SUMIFS(jr_qty,jr_type,"BS",jr_art,A12,jr_year,p_year))</f>
        <v/>
      </c>
      <c r="J12" s="60" t="str">
        <f>IF(A12="",IF(B12="","","Référence manquante"),IF(COUNTIF($A$6:$A$505,A12)&gt;1,"Référence en double",IF(B12="","Désignation manquante",IF(C12="","Unité manquante","OK"))))</f>
        <v/>
      </c>
    </row>
    <row r="13">
      <c r="A13" s="59" t="n"/>
      <c r="B13" s="59" t="n"/>
      <c r="C13" s="54" t="n"/>
      <c r="D13" s="127" t="n"/>
      <c r="E13" s="128" t="n"/>
      <c r="F13" s="128" t="n"/>
      <c r="G13" s="57" t="str">
        <f>IF(A13="","",SUMIFS(jr_qty,jr_type,"BL",jr_art,A13,jr_year,p_year))</f>
        <v/>
      </c>
      <c r="H13" s="57" t="str">
        <f>IF(A13="","",SUMIFS(jr_qty,jr_type,"BR",jr_art,A13,jr_year,p_year))</f>
        <v/>
      </c>
      <c r="I13" s="57" t="str">
        <f>IF(A13="","",SUMIFS(jr_qty,jr_type,"BS",jr_art,A13,jr_year,p_year))</f>
        <v/>
      </c>
      <c r="J13" s="60" t="str">
        <f>IF(A13="",IF(B13="","","Référence manquante"),IF(COUNTIF($A$6:$A$505,A13)&gt;1,"Référence en double",IF(B13="","Désignation manquante",IF(C13="","Unité manquante","OK"))))</f>
        <v/>
      </c>
    </row>
    <row r="14">
      <c r="A14" s="59" t="n"/>
      <c r="B14" s="59" t="n"/>
      <c r="C14" s="54" t="n"/>
      <c r="D14" s="127" t="n"/>
      <c r="E14" s="128" t="n"/>
      <c r="F14" s="128" t="n"/>
      <c r="G14" s="57" t="str">
        <f>IF(A14="","",SUMIFS(jr_qty,jr_type,"BL",jr_art,A14,jr_year,p_year))</f>
        <v/>
      </c>
      <c r="H14" s="57" t="str">
        <f>IF(A14="","",SUMIFS(jr_qty,jr_type,"BR",jr_art,A14,jr_year,p_year))</f>
        <v/>
      </c>
      <c r="I14" s="57" t="str">
        <f>IF(A14="","",SUMIFS(jr_qty,jr_type,"BS",jr_art,A14,jr_year,p_year))</f>
        <v/>
      </c>
      <c r="J14" s="60" t="str">
        <f>IF(A14="",IF(B14="","","Référence manquante"),IF(COUNTIF($A$6:$A$505,A14)&gt;1,"Référence en double",IF(B14="","Désignation manquante",IF(C14="","Unité manquante","OK"))))</f>
        <v/>
      </c>
    </row>
    <row r="15">
      <c r="A15" s="59" t="n"/>
      <c r="B15" s="59" t="n"/>
      <c r="C15" s="54" t="n"/>
      <c r="D15" s="127" t="n"/>
      <c r="E15" s="128" t="n"/>
      <c r="F15" s="128" t="n"/>
      <c r="G15" s="57" t="str">
        <f>IF(A15="","",SUMIFS(jr_qty,jr_type,"BL",jr_art,A15,jr_year,p_year))</f>
        <v/>
      </c>
      <c r="H15" s="57" t="str">
        <f>IF(A15="","",SUMIFS(jr_qty,jr_type,"BR",jr_art,A15,jr_year,p_year))</f>
        <v/>
      </c>
      <c r="I15" s="57" t="str">
        <f>IF(A15="","",SUMIFS(jr_qty,jr_type,"BS",jr_art,A15,jr_year,p_year))</f>
        <v/>
      </c>
      <c r="J15" s="60" t="str">
        <f>IF(A15="",IF(B15="","","Référence manquante"),IF(COUNTIF($A$6:$A$505,A15)&gt;1,"Référence en double",IF(B15="","Désignation manquante",IF(C15="","Unité manquante","OK"))))</f>
        <v/>
      </c>
    </row>
    <row r="16">
      <c r="A16" s="59" t="n"/>
      <c r="B16" s="59" t="n"/>
      <c r="C16" s="54" t="n"/>
      <c r="D16" s="127" t="n"/>
      <c r="E16" s="128" t="n"/>
      <c r="F16" s="128" t="n"/>
      <c r="G16" s="57" t="str">
        <f>IF(A16="","",SUMIFS(jr_qty,jr_type,"BL",jr_art,A16,jr_year,p_year))</f>
        <v/>
      </c>
      <c r="H16" s="57" t="str">
        <f>IF(A16="","",SUMIFS(jr_qty,jr_type,"BR",jr_art,A16,jr_year,p_year))</f>
        <v/>
      </c>
      <c r="I16" s="57" t="str">
        <f>IF(A16="","",SUMIFS(jr_qty,jr_type,"BS",jr_art,A16,jr_year,p_year))</f>
        <v/>
      </c>
      <c r="J16" s="60" t="str">
        <f>IF(A16="",IF(B16="","","Référence manquante"),IF(COUNTIF($A$6:$A$505,A16)&gt;1,"Référence en double",IF(B16="","Désignation manquante",IF(C16="","Unité manquante","OK"))))</f>
        <v/>
      </c>
    </row>
    <row r="17">
      <c r="A17" s="59" t="n"/>
      <c r="B17" s="59" t="n"/>
      <c r="C17" s="54" t="n"/>
      <c r="D17" s="127" t="n"/>
      <c r="E17" s="128" t="n"/>
      <c r="F17" s="128" t="n"/>
      <c r="G17" s="57" t="str">
        <f>IF(A17="","",SUMIFS(jr_qty,jr_type,"BL",jr_art,A17,jr_year,p_year))</f>
        <v/>
      </c>
      <c r="H17" s="57" t="str">
        <f>IF(A17="","",SUMIFS(jr_qty,jr_type,"BR",jr_art,A17,jr_year,p_year))</f>
        <v/>
      </c>
      <c r="I17" s="57" t="str">
        <f>IF(A17="","",SUMIFS(jr_qty,jr_type,"BS",jr_art,A17,jr_year,p_year))</f>
        <v/>
      </c>
      <c r="J17" s="60" t="str">
        <f>IF(A17="",IF(B17="","","Référence manquante"),IF(COUNTIF($A$6:$A$505,A17)&gt;1,"Référence en double",IF(B17="","Désignation manquante",IF(C17="","Unité manquante","OK"))))</f>
        <v/>
      </c>
    </row>
    <row r="18">
      <c r="A18" s="59" t="n"/>
      <c r="B18" s="59" t="n"/>
      <c r="C18" s="54" t="n"/>
      <c r="D18" s="127" t="n"/>
      <c r="E18" s="128" t="n"/>
      <c r="F18" s="128" t="n"/>
      <c r="G18" s="57" t="str">
        <f>IF(A18="","",SUMIFS(jr_qty,jr_type,"BL",jr_art,A18,jr_year,p_year))</f>
        <v/>
      </c>
      <c r="H18" s="57" t="str">
        <f>IF(A18="","",SUMIFS(jr_qty,jr_type,"BR",jr_art,A18,jr_year,p_year))</f>
        <v/>
      </c>
      <c r="I18" s="57" t="str">
        <f>IF(A18="","",SUMIFS(jr_qty,jr_type,"BS",jr_art,A18,jr_year,p_year))</f>
        <v/>
      </c>
      <c r="J18" s="60" t="str">
        <f>IF(A18="",IF(B18="","","Référence manquante"),IF(COUNTIF($A$6:$A$505,A18)&gt;1,"Référence en double",IF(B18="","Désignation manquante",IF(C18="","Unité manquante","OK"))))</f>
        <v/>
      </c>
    </row>
    <row r="19">
      <c r="A19" s="59" t="n"/>
      <c r="B19" s="59" t="n"/>
      <c r="C19" s="54" t="n"/>
      <c r="D19" s="127" t="n"/>
      <c r="E19" s="128" t="n"/>
      <c r="F19" s="128" t="n"/>
      <c r="G19" s="57" t="str">
        <f>IF(A19="","",SUMIFS(jr_qty,jr_type,"BL",jr_art,A19,jr_year,p_year))</f>
        <v/>
      </c>
      <c r="H19" s="57" t="str">
        <f>IF(A19="","",SUMIFS(jr_qty,jr_type,"BR",jr_art,A19,jr_year,p_year))</f>
        <v/>
      </c>
      <c r="I19" s="57" t="str">
        <f>IF(A19="","",SUMIFS(jr_qty,jr_type,"BS",jr_art,A19,jr_year,p_year))</f>
        <v/>
      </c>
      <c r="J19" s="60" t="str">
        <f>IF(A19="",IF(B19="","","Référence manquante"),IF(COUNTIF($A$6:$A$505,A19)&gt;1,"Référence en double",IF(B19="","Désignation manquante",IF(C19="","Unité manquante","OK"))))</f>
        <v/>
      </c>
    </row>
    <row r="20">
      <c r="A20" s="59" t="n"/>
      <c r="B20" s="59" t="n"/>
      <c r="C20" s="54" t="n"/>
      <c r="D20" s="127" t="n"/>
      <c r="E20" s="128" t="n"/>
      <c r="F20" s="128" t="n"/>
      <c r="G20" s="57" t="str">
        <f>IF(A20="","",SUMIFS(jr_qty,jr_type,"BL",jr_art,A20,jr_year,p_year))</f>
        <v/>
      </c>
      <c r="H20" s="57" t="str">
        <f>IF(A20="","",SUMIFS(jr_qty,jr_type,"BR",jr_art,A20,jr_year,p_year))</f>
        <v/>
      </c>
      <c r="I20" s="57" t="str">
        <f>IF(A20="","",SUMIFS(jr_qty,jr_type,"BS",jr_art,A20,jr_year,p_year))</f>
        <v/>
      </c>
      <c r="J20" s="60" t="str">
        <f>IF(A20="",IF(B20="","","Référence manquante"),IF(COUNTIF($A$6:$A$505,A20)&gt;1,"Référence en double",IF(B20="","Désignation manquante",IF(C20="","Unité manquante","OK"))))</f>
        <v/>
      </c>
    </row>
    <row r="21">
      <c r="A21" s="59" t="n"/>
      <c r="B21" s="59" t="n"/>
      <c r="C21" s="54" t="n"/>
      <c r="D21" s="127" t="n"/>
      <c r="E21" s="128" t="n"/>
      <c r="F21" s="128" t="n"/>
      <c r="G21" s="57" t="str">
        <f>IF(A21="","",SUMIFS(jr_qty,jr_type,"BL",jr_art,A21,jr_year,p_year))</f>
        <v/>
      </c>
      <c r="H21" s="57" t="str">
        <f>IF(A21="","",SUMIFS(jr_qty,jr_type,"BR",jr_art,A21,jr_year,p_year))</f>
        <v/>
      </c>
      <c r="I21" s="57" t="str">
        <f>IF(A21="","",SUMIFS(jr_qty,jr_type,"BS",jr_art,A21,jr_year,p_year))</f>
        <v/>
      </c>
      <c r="J21" s="60" t="str">
        <f>IF(A21="",IF(B21="","","Référence manquante"),IF(COUNTIF($A$6:$A$505,A21)&gt;1,"Référence en double",IF(B21="","Désignation manquante",IF(C21="","Unité manquante","OK"))))</f>
        <v/>
      </c>
    </row>
    <row r="22">
      <c r="A22" s="59" t="n"/>
      <c r="B22" s="59" t="n"/>
      <c r="C22" s="54" t="n"/>
      <c r="D22" s="127" t="n"/>
      <c r="E22" s="128" t="n"/>
      <c r="F22" s="128" t="n"/>
      <c r="G22" s="57" t="str">
        <f>IF(A22="","",SUMIFS(jr_qty,jr_type,"BL",jr_art,A22,jr_year,p_year))</f>
        <v/>
      </c>
      <c r="H22" s="57" t="str">
        <f>IF(A22="","",SUMIFS(jr_qty,jr_type,"BR",jr_art,A22,jr_year,p_year))</f>
        <v/>
      </c>
      <c r="I22" s="57" t="str">
        <f>IF(A22="","",SUMIFS(jr_qty,jr_type,"BS",jr_art,A22,jr_year,p_year))</f>
        <v/>
      </c>
      <c r="J22" s="60" t="str">
        <f>IF(A22="",IF(B22="","","Référence manquante"),IF(COUNTIF($A$6:$A$505,A22)&gt;1,"Référence en double",IF(B22="","Désignation manquante",IF(C22="","Unité manquante","OK"))))</f>
        <v/>
      </c>
    </row>
    <row r="23">
      <c r="A23" s="59" t="n"/>
      <c r="B23" s="59" t="n"/>
      <c r="C23" s="54" t="n"/>
      <c r="D23" s="127" t="n"/>
      <c r="E23" s="128" t="n"/>
      <c r="F23" s="128" t="n"/>
      <c r="G23" s="57" t="str">
        <f>IF(A23="","",SUMIFS(jr_qty,jr_type,"BL",jr_art,A23,jr_year,p_year))</f>
        <v/>
      </c>
      <c r="H23" s="57" t="str">
        <f>IF(A23="","",SUMIFS(jr_qty,jr_type,"BR",jr_art,A23,jr_year,p_year))</f>
        <v/>
      </c>
      <c r="I23" s="57" t="str">
        <f>IF(A23="","",SUMIFS(jr_qty,jr_type,"BS",jr_art,A23,jr_year,p_year))</f>
        <v/>
      </c>
      <c r="J23" s="60" t="str">
        <f>IF(A23="",IF(B23="","","Référence manquante"),IF(COUNTIF($A$6:$A$505,A23)&gt;1,"Référence en double",IF(B23="","Désignation manquante",IF(C23="","Unité manquante","OK"))))</f>
        <v/>
      </c>
    </row>
    <row r="24">
      <c r="A24" s="59" t="n"/>
      <c r="B24" s="59" t="n"/>
      <c r="C24" s="54" t="n"/>
      <c r="D24" s="127" t="n"/>
      <c r="E24" s="128" t="n"/>
      <c r="F24" s="128" t="n"/>
      <c r="G24" s="57" t="str">
        <f>IF(A24="","",SUMIFS(jr_qty,jr_type,"BL",jr_art,A24,jr_year,p_year))</f>
        <v/>
      </c>
      <c r="H24" s="57" t="str">
        <f>IF(A24="","",SUMIFS(jr_qty,jr_type,"BR",jr_art,A24,jr_year,p_year))</f>
        <v/>
      </c>
      <c r="I24" s="57" t="str">
        <f>IF(A24="","",SUMIFS(jr_qty,jr_type,"BS",jr_art,A24,jr_year,p_year))</f>
        <v/>
      </c>
      <c r="J24" s="60" t="str">
        <f>IF(A24="",IF(B24="","","Référence manquante"),IF(COUNTIF($A$6:$A$505,A24)&gt;1,"Référence en double",IF(B24="","Désignation manquante",IF(C24="","Unité manquante","OK"))))</f>
        <v/>
      </c>
    </row>
    <row r="25">
      <c r="A25" s="59" t="n"/>
      <c r="B25" s="59" t="n"/>
      <c r="C25" s="54" t="n"/>
      <c r="D25" s="127" t="n"/>
      <c r="E25" s="128" t="n"/>
      <c r="F25" s="128" t="n"/>
      <c r="G25" s="57" t="str">
        <f>IF(A25="","",SUMIFS(jr_qty,jr_type,"BL",jr_art,A25,jr_year,p_year))</f>
        <v/>
      </c>
      <c r="H25" s="57" t="str">
        <f>IF(A25="","",SUMIFS(jr_qty,jr_type,"BR",jr_art,A25,jr_year,p_year))</f>
        <v/>
      </c>
      <c r="I25" s="57" t="str">
        <f>IF(A25="","",SUMIFS(jr_qty,jr_type,"BS",jr_art,A25,jr_year,p_year))</f>
        <v/>
      </c>
      <c r="J25" s="60" t="str">
        <f>IF(A25="",IF(B25="","","Référence manquante"),IF(COUNTIF($A$6:$A$505,A25)&gt;1,"Référence en double",IF(B25="","Désignation manquante",IF(C25="","Unité manquante","OK"))))</f>
        <v/>
      </c>
    </row>
    <row r="26">
      <c r="A26" s="59" t="n"/>
      <c r="B26" s="59" t="n"/>
      <c r="C26" s="54" t="n"/>
      <c r="D26" s="127" t="n"/>
      <c r="E26" s="128" t="n"/>
      <c r="F26" s="128" t="n"/>
      <c r="G26" s="57" t="str">
        <f>IF(A26="","",SUMIFS(jr_qty,jr_type,"BL",jr_art,A26,jr_year,p_year))</f>
        <v/>
      </c>
      <c r="H26" s="57" t="str">
        <f>IF(A26="","",SUMIFS(jr_qty,jr_type,"BR",jr_art,A26,jr_year,p_year))</f>
        <v/>
      </c>
      <c r="I26" s="57" t="str">
        <f>IF(A26="","",SUMIFS(jr_qty,jr_type,"BS",jr_art,A26,jr_year,p_year))</f>
        <v/>
      </c>
      <c r="J26" s="60" t="str">
        <f>IF(A26="",IF(B26="","","Référence manquante"),IF(COUNTIF($A$6:$A$505,A26)&gt;1,"Référence en double",IF(B26="","Désignation manquante",IF(C26="","Unité manquante","OK"))))</f>
        <v/>
      </c>
    </row>
    <row r="27">
      <c r="A27" s="59" t="n"/>
      <c r="B27" s="59" t="n"/>
      <c r="C27" s="54" t="n"/>
      <c r="D27" s="127" t="n"/>
      <c r="E27" s="128" t="n"/>
      <c r="F27" s="128" t="n"/>
      <c r="G27" s="57" t="str">
        <f>IF(A27="","",SUMIFS(jr_qty,jr_type,"BL",jr_art,A27,jr_year,p_year))</f>
        <v/>
      </c>
      <c r="H27" s="57" t="str">
        <f>IF(A27="","",SUMIFS(jr_qty,jr_type,"BR",jr_art,A27,jr_year,p_year))</f>
        <v/>
      </c>
      <c r="I27" s="57" t="str">
        <f>IF(A27="","",SUMIFS(jr_qty,jr_type,"BS",jr_art,A27,jr_year,p_year))</f>
        <v/>
      </c>
      <c r="J27" s="60" t="str">
        <f>IF(A27="",IF(B27="","","Référence manquante"),IF(COUNTIF($A$6:$A$505,A27)&gt;1,"Référence en double",IF(B27="","Désignation manquante",IF(C27="","Unité manquante","OK"))))</f>
        <v/>
      </c>
    </row>
    <row r="28">
      <c r="A28" s="59" t="n"/>
      <c r="B28" s="59" t="n"/>
      <c r="C28" s="54" t="n"/>
      <c r="D28" s="127" t="n"/>
      <c r="E28" s="128" t="n"/>
      <c r="F28" s="128" t="n"/>
      <c r="G28" s="57" t="str">
        <f>IF(A28="","",SUMIFS(jr_qty,jr_type,"BL",jr_art,A28,jr_year,p_year))</f>
        <v/>
      </c>
      <c r="H28" s="57" t="str">
        <f>IF(A28="","",SUMIFS(jr_qty,jr_type,"BR",jr_art,A28,jr_year,p_year))</f>
        <v/>
      </c>
      <c r="I28" s="57" t="str">
        <f>IF(A28="","",SUMIFS(jr_qty,jr_type,"BS",jr_art,A28,jr_year,p_year))</f>
        <v/>
      </c>
      <c r="J28" s="60" t="str">
        <f>IF(A28="",IF(B28="","","Référence manquante"),IF(COUNTIF($A$6:$A$505,A28)&gt;1,"Référence en double",IF(B28="","Désignation manquante",IF(C28="","Unité manquante","OK"))))</f>
        <v/>
      </c>
    </row>
    <row r="29">
      <c r="A29" s="59" t="n"/>
      <c r="B29" s="59" t="n"/>
      <c r="C29" s="54" t="n"/>
      <c r="D29" s="127" t="n"/>
      <c r="E29" s="128" t="n"/>
      <c r="F29" s="128" t="n"/>
      <c r="G29" s="57" t="str">
        <f>IF(A29="","",SUMIFS(jr_qty,jr_type,"BL",jr_art,A29,jr_year,p_year))</f>
        <v/>
      </c>
      <c r="H29" s="57" t="str">
        <f>IF(A29="","",SUMIFS(jr_qty,jr_type,"BR",jr_art,A29,jr_year,p_year))</f>
        <v/>
      </c>
      <c r="I29" s="57" t="str">
        <f>IF(A29="","",SUMIFS(jr_qty,jr_type,"BS",jr_art,A29,jr_year,p_year))</f>
        <v/>
      </c>
      <c r="J29" s="60" t="str">
        <f>IF(A29="",IF(B29="","","Référence manquante"),IF(COUNTIF($A$6:$A$505,A29)&gt;1,"Référence en double",IF(B29="","Désignation manquante",IF(C29="","Unité manquante","OK"))))</f>
        <v/>
      </c>
    </row>
    <row r="30">
      <c r="A30" s="59" t="n"/>
      <c r="B30" s="59" t="n"/>
      <c r="C30" s="54" t="n"/>
      <c r="D30" s="127" t="n"/>
      <c r="E30" s="128" t="n"/>
      <c r="F30" s="128" t="n"/>
      <c r="G30" s="57" t="str">
        <f>IF(A30="","",SUMIFS(jr_qty,jr_type,"BL",jr_art,A30,jr_year,p_year))</f>
        <v/>
      </c>
      <c r="H30" s="57" t="str">
        <f>IF(A30="","",SUMIFS(jr_qty,jr_type,"BR",jr_art,A30,jr_year,p_year))</f>
        <v/>
      </c>
      <c r="I30" s="57" t="str">
        <f>IF(A30="","",SUMIFS(jr_qty,jr_type,"BS",jr_art,A30,jr_year,p_year))</f>
        <v/>
      </c>
      <c r="J30" s="60" t="str">
        <f>IF(A30="",IF(B30="","","Référence manquante"),IF(COUNTIF($A$6:$A$505,A30)&gt;1,"Référence en double",IF(B30="","Désignation manquante",IF(C30="","Unité manquante","OK"))))</f>
        <v/>
      </c>
    </row>
    <row r="31">
      <c r="A31" s="59" t="n"/>
      <c r="B31" s="59" t="n"/>
      <c r="C31" s="54" t="n"/>
      <c r="D31" s="127" t="n"/>
      <c r="E31" s="128" t="n"/>
      <c r="F31" s="128" t="n"/>
      <c r="G31" s="57" t="str">
        <f>IF(A31="","",SUMIFS(jr_qty,jr_type,"BL",jr_art,A31,jr_year,p_year))</f>
        <v/>
      </c>
      <c r="H31" s="57" t="str">
        <f>IF(A31="","",SUMIFS(jr_qty,jr_type,"BR",jr_art,A31,jr_year,p_year))</f>
        <v/>
      </c>
      <c r="I31" s="57" t="str">
        <f>IF(A31="","",SUMIFS(jr_qty,jr_type,"BS",jr_art,A31,jr_year,p_year))</f>
        <v/>
      </c>
      <c r="J31" s="60" t="str">
        <f>IF(A31="",IF(B31="","","Référence manquante"),IF(COUNTIF($A$6:$A$505,A31)&gt;1,"Référence en double",IF(B31="","Désignation manquante",IF(C31="","Unité manquante","OK"))))</f>
        <v/>
      </c>
    </row>
    <row r="32">
      <c r="A32" s="59" t="n"/>
      <c r="B32" s="59" t="n"/>
      <c r="C32" s="54" t="n"/>
      <c r="D32" s="127" t="n"/>
      <c r="E32" s="128" t="n"/>
      <c r="F32" s="128" t="n"/>
      <c r="G32" s="57" t="str">
        <f>IF(A32="","",SUMIFS(jr_qty,jr_type,"BL",jr_art,A32,jr_year,p_year))</f>
        <v/>
      </c>
      <c r="H32" s="57" t="str">
        <f>IF(A32="","",SUMIFS(jr_qty,jr_type,"BR",jr_art,A32,jr_year,p_year))</f>
        <v/>
      </c>
      <c r="I32" s="57" t="str">
        <f>IF(A32="","",SUMIFS(jr_qty,jr_type,"BS",jr_art,A32,jr_year,p_year))</f>
        <v/>
      </c>
      <c r="J32" s="60" t="str">
        <f>IF(A32="",IF(B32="","","Référence manquante"),IF(COUNTIF($A$6:$A$505,A32)&gt;1,"Référence en double",IF(B32="","Désignation manquante",IF(C32="","Unité manquante","OK"))))</f>
        <v/>
      </c>
    </row>
    <row r="33">
      <c r="A33" s="59" t="n"/>
      <c r="B33" s="59" t="n"/>
      <c r="C33" s="54" t="n"/>
      <c r="D33" s="127" t="n"/>
      <c r="E33" s="128" t="n"/>
      <c r="F33" s="128" t="n"/>
      <c r="G33" s="57" t="str">
        <f>IF(A33="","",SUMIFS(jr_qty,jr_type,"BL",jr_art,A33,jr_year,p_year))</f>
        <v/>
      </c>
      <c r="H33" s="57" t="str">
        <f>IF(A33="","",SUMIFS(jr_qty,jr_type,"BR",jr_art,A33,jr_year,p_year))</f>
        <v/>
      </c>
      <c r="I33" s="57" t="str">
        <f>IF(A33="","",SUMIFS(jr_qty,jr_type,"BS",jr_art,A33,jr_year,p_year))</f>
        <v/>
      </c>
      <c r="J33" s="60" t="str">
        <f>IF(A33="",IF(B33="","","Référence manquante"),IF(COUNTIF($A$6:$A$505,A33)&gt;1,"Référence en double",IF(B33="","Désignation manquante",IF(C33="","Unité manquante","OK"))))</f>
        <v/>
      </c>
    </row>
    <row r="34">
      <c r="A34" s="59" t="n"/>
      <c r="B34" s="59" t="n"/>
      <c r="C34" s="54" t="n"/>
      <c r="D34" s="127" t="n"/>
      <c r="E34" s="128" t="n"/>
      <c r="F34" s="128" t="n"/>
      <c r="G34" s="57" t="str">
        <f>IF(A34="","",SUMIFS(jr_qty,jr_type,"BL",jr_art,A34,jr_year,p_year))</f>
        <v/>
      </c>
      <c r="H34" s="57" t="str">
        <f>IF(A34="","",SUMIFS(jr_qty,jr_type,"BR",jr_art,A34,jr_year,p_year))</f>
        <v/>
      </c>
      <c r="I34" s="57" t="str">
        <f>IF(A34="","",SUMIFS(jr_qty,jr_type,"BS",jr_art,A34,jr_year,p_year))</f>
        <v/>
      </c>
      <c r="J34" s="60" t="str">
        <f>IF(A34="",IF(B34="","","Référence manquante"),IF(COUNTIF($A$6:$A$505,A34)&gt;1,"Référence en double",IF(B34="","Désignation manquante",IF(C34="","Unité manquante","OK"))))</f>
        <v/>
      </c>
    </row>
    <row r="35">
      <c r="A35" s="59" t="n"/>
      <c r="B35" s="59" t="n"/>
      <c r="C35" s="54" t="n"/>
      <c r="D35" s="127" t="n"/>
      <c r="E35" s="128" t="n"/>
      <c r="F35" s="128" t="n"/>
      <c r="G35" s="57" t="str">
        <f>IF(A35="","",SUMIFS(jr_qty,jr_type,"BL",jr_art,A35,jr_year,p_year))</f>
        <v/>
      </c>
      <c r="H35" s="57" t="str">
        <f>IF(A35="","",SUMIFS(jr_qty,jr_type,"BR",jr_art,A35,jr_year,p_year))</f>
        <v/>
      </c>
      <c r="I35" s="57" t="str">
        <f>IF(A35="","",SUMIFS(jr_qty,jr_type,"BS",jr_art,A35,jr_year,p_year))</f>
        <v/>
      </c>
      <c r="J35" s="60" t="str">
        <f>IF(A35="",IF(B35="","","Référence manquante"),IF(COUNTIF($A$6:$A$505,A35)&gt;1,"Référence en double",IF(B35="","Désignation manquante",IF(C35="","Unité manquante","OK"))))</f>
        <v/>
      </c>
    </row>
    <row r="36">
      <c r="A36" s="59" t="n"/>
      <c r="B36" s="59" t="n"/>
      <c r="C36" s="54" t="n"/>
      <c r="D36" s="127" t="n"/>
      <c r="E36" s="128" t="n"/>
      <c r="F36" s="128" t="n"/>
      <c r="G36" s="57" t="str">
        <f>IF(A36="","",SUMIFS(jr_qty,jr_type,"BL",jr_art,A36,jr_year,p_year))</f>
        <v/>
      </c>
      <c r="H36" s="57" t="str">
        <f>IF(A36="","",SUMIFS(jr_qty,jr_type,"BR",jr_art,A36,jr_year,p_year))</f>
        <v/>
      </c>
      <c r="I36" s="57" t="str">
        <f>IF(A36="","",SUMIFS(jr_qty,jr_type,"BS",jr_art,A36,jr_year,p_year))</f>
        <v/>
      </c>
      <c r="J36" s="60" t="str">
        <f>IF(A36="",IF(B36="","","Référence manquante"),IF(COUNTIF($A$6:$A$505,A36)&gt;1,"Référence en double",IF(B36="","Désignation manquante",IF(C36="","Unité manquante","OK"))))</f>
        <v/>
      </c>
    </row>
    <row r="37">
      <c r="A37" s="59" t="n"/>
      <c r="B37" s="59" t="n"/>
      <c r="C37" s="54" t="n"/>
      <c r="D37" s="127" t="n"/>
      <c r="E37" s="128" t="n"/>
      <c r="F37" s="128" t="n"/>
      <c r="G37" s="57" t="str">
        <f>IF(A37="","",SUMIFS(jr_qty,jr_type,"BL",jr_art,A37,jr_year,p_year))</f>
        <v/>
      </c>
      <c r="H37" s="57" t="str">
        <f>IF(A37="","",SUMIFS(jr_qty,jr_type,"BR",jr_art,A37,jr_year,p_year))</f>
        <v/>
      </c>
      <c r="I37" s="57" t="str">
        <f>IF(A37="","",SUMIFS(jr_qty,jr_type,"BS",jr_art,A37,jr_year,p_year))</f>
        <v/>
      </c>
      <c r="J37" s="60" t="str">
        <f>IF(A37="",IF(B37="","","Référence manquante"),IF(COUNTIF($A$6:$A$505,A37)&gt;1,"Référence en double",IF(B37="","Désignation manquante",IF(C37="","Unité manquante","OK"))))</f>
        <v/>
      </c>
    </row>
    <row r="38">
      <c r="A38" s="59" t="n"/>
      <c r="B38" s="59" t="n"/>
      <c r="C38" s="54" t="n"/>
      <c r="D38" s="127" t="n"/>
      <c r="E38" s="128" t="n"/>
      <c r="F38" s="128" t="n"/>
      <c r="G38" s="57" t="str">
        <f>IF(A38="","",SUMIFS(jr_qty,jr_type,"BL",jr_art,A38,jr_year,p_year))</f>
        <v/>
      </c>
      <c r="H38" s="57" t="str">
        <f>IF(A38="","",SUMIFS(jr_qty,jr_type,"BR",jr_art,A38,jr_year,p_year))</f>
        <v/>
      </c>
      <c r="I38" s="57" t="str">
        <f>IF(A38="","",SUMIFS(jr_qty,jr_type,"BS",jr_art,A38,jr_year,p_year))</f>
        <v/>
      </c>
      <c r="J38" s="60" t="str">
        <f>IF(A38="",IF(B38="","","Référence manquante"),IF(COUNTIF($A$6:$A$505,A38)&gt;1,"Référence en double",IF(B38="","Désignation manquante",IF(C38="","Unité manquante","OK"))))</f>
        <v/>
      </c>
    </row>
    <row r="39">
      <c r="A39" s="59" t="n"/>
      <c r="B39" s="59" t="n"/>
      <c r="C39" s="54" t="n"/>
      <c r="D39" s="127" t="n"/>
      <c r="E39" s="128" t="n"/>
      <c r="F39" s="128" t="n"/>
      <c r="G39" s="57" t="str">
        <f>IF(A39="","",SUMIFS(jr_qty,jr_type,"BL",jr_art,A39,jr_year,p_year))</f>
        <v/>
      </c>
      <c r="H39" s="57" t="str">
        <f>IF(A39="","",SUMIFS(jr_qty,jr_type,"BR",jr_art,A39,jr_year,p_year))</f>
        <v/>
      </c>
      <c r="I39" s="57" t="str">
        <f>IF(A39="","",SUMIFS(jr_qty,jr_type,"BS",jr_art,A39,jr_year,p_year))</f>
        <v/>
      </c>
      <c r="J39" s="60" t="str">
        <f>IF(A39="",IF(B39="","","Référence manquante"),IF(COUNTIF($A$6:$A$505,A39)&gt;1,"Référence en double",IF(B39="","Désignation manquante",IF(C39="","Unité manquante","OK"))))</f>
        <v/>
      </c>
    </row>
    <row r="40">
      <c r="A40" s="59" t="n"/>
      <c r="B40" s="59" t="n"/>
      <c r="C40" s="54" t="n"/>
      <c r="D40" s="127" t="n"/>
      <c r="E40" s="128" t="n"/>
      <c r="F40" s="128" t="n"/>
      <c r="G40" s="57" t="str">
        <f>IF(A40="","",SUMIFS(jr_qty,jr_type,"BL",jr_art,A40,jr_year,p_year))</f>
        <v/>
      </c>
      <c r="H40" s="57" t="str">
        <f>IF(A40="","",SUMIFS(jr_qty,jr_type,"BR",jr_art,A40,jr_year,p_year))</f>
        <v/>
      </c>
      <c r="I40" s="57" t="str">
        <f>IF(A40="","",SUMIFS(jr_qty,jr_type,"BS",jr_art,A40,jr_year,p_year))</f>
        <v/>
      </c>
      <c r="J40" s="60" t="str">
        <f>IF(A40="",IF(B40="","","Référence manquante"),IF(COUNTIF($A$6:$A$505,A40)&gt;1,"Référence en double",IF(B40="","Désignation manquante",IF(C40="","Unité manquante","OK"))))</f>
        <v/>
      </c>
    </row>
    <row r="41">
      <c r="A41" s="59" t="n"/>
      <c r="B41" s="59" t="n"/>
      <c r="C41" s="54" t="n"/>
      <c r="D41" s="127" t="n"/>
      <c r="E41" s="128" t="n"/>
      <c r="F41" s="128" t="n"/>
      <c r="G41" s="57" t="str">
        <f>IF(A41="","",SUMIFS(jr_qty,jr_type,"BL",jr_art,A41,jr_year,p_year))</f>
        <v/>
      </c>
      <c r="H41" s="57" t="str">
        <f>IF(A41="","",SUMIFS(jr_qty,jr_type,"BR",jr_art,A41,jr_year,p_year))</f>
        <v/>
      </c>
      <c r="I41" s="57" t="str">
        <f>IF(A41="","",SUMIFS(jr_qty,jr_type,"BS",jr_art,A41,jr_year,p_year))</f>
        <v/>
      </c>
      <c r="J41" s="60" t="str">
        <f>IF(A41="",IF(B41="","","Référence manquante"),IF(COUNTIF($A$6:$A$505,A41)&gt;1,"Référence en double",IF(B41="","Désignation manquante",IF(C41="","Unité manquante","OK"))))</f>
        <v/>
      </c>
    </row>
    <row r="42">
      <c r="A42" s="59" t="n"/>
      <c r="B42" s="59" t="n"/>
      <c r="C42" s="54" t="n"/>
      <c r="D42" s="127" t="n"/>
      <c r="E42" s="128" t="n"/>
      <c r="F42" s="128" t="n"/>
      <c r="G42" s="57" t="str">
        <f>IF(A42="","",SUMIFS(jr_qty,jr_type,"BL",jr_art,A42,jr_year,p_year))</f>
        <v/>
      </c>
      <c r="H42" s="57" t="str">
        <f>IF(A42="","",SUMIFS(jr_qty,jr_type,"BR",jr_art,A42,jr_year,p_year))</f>
        <v/>
      </c>
      <c r="I42" s="57" t="str">
        <f>IF(A42="","",SUMIFS(jr_qty,jr_type,"BS",jr_art,A42,jr_year,p_year))</f>
        <v/>
      </c>
      <c r="J42" s="60" t="str">
        <f>IF(A42="",IF(B42="","","Référence manquante"),IF(COUNTIF($A$6:$A$505,A42)&gt;1,"Référence en double",IF(B42="","Désignation manquante",IF(C42="","Unité manquante","OK"))))</f>
        <v/>
      </c>
    </row>
    <row r="43">
      <c r="A43" s="59" t="n"/>
      <c r="B43" s="59" t="n"/>
      <c r="C43" s="54" t="n"/>
      <c r="D43" s="127" t="n"/>
      <c r="E43" s="128" t="n"/>
      <c r="F43" s="128" t="n"/>
      <c r="G43" s="57" t="str">
        <f>IF(A43="","",SUMIFS(jr_qty,jr_type,"BL",jr_art,A43,jr_year,p_year))</f>
        <v/>
      </c>
      <c r="H43" s="57" t="str">
        <f>IF(A43="","",SUMIFS(jr_qty,jr_type,"BR",jr_art,A43,jr_year,p_year))</f>
        <v/>
      </c>
      <c r="I43" s="57" t="str">
        <f>IF(A43="","",SUMIFS(jr_qty,jr_type,"BS",jr_art,A43,jr_year,p_year))</f>
        <v/>
      </c>
      <c r="J43" s="60" t="str">
        <f>IF(A43="",IF(B43="","","Référence manquante"),IF(COUNTIF($A$6:$A$505,A43)&gt;1,"Référence en double",IF(B43="","Désignation manquante",IF(C43="","Unité manquante","OK"))))</f>
        <v/>
      </c>
    </row>
    <row r="44">
      <c r="A44" s="59" t="n"/>
      <c r="B44" s="59" t="n"/>
      <c r="C44" s="54" t="n"/>
      <c r="D44" s="127" t="n"/>
      <c r="E44" s="128" t="n"/>
      <c r="F44" s="128" t="n"/>
      <c r="G44" s="57" t="str">
        <f>IF(A44="","",SUMIFS(jr_qty,jr_type,"BL",jr_art,A44,jr_year,p_year))</f>
        <v/>
      </c>
      <c r="H44" s="57" t="str">
        <f>IF(A44="","",SUMIFS(jr_qty,jr_type,"BR",jr_art,A44,jr_year,p_year))</f>
        <v/>
      </c>
      <c r="I44" s="57" t="str">
        <f>IF(A44="","",SUMIFS(jr_qty,jr_type,"BS",jr_art,A44,jr_year,p_year))</f>
        <v/>
      </c>
      <c r="J44" s="60" t="str">
        <f>IF(A44="",IF(B44="","","Référence manquante"),IF(COUNTIF($A$6:$A$505,A44)&gt;1,"Référence en double",IF(B44="","Désignation manquante",IF(C44="","Unité manquante","OK"))))</f>
        <v/>
      </c>
    </row>
    <row r="45">
      <c r="A45" s="59" t="n"/>
      <c r="B45" s="59" t="n"/>
      <c r="C45" s="54" t="n"/>
      <c r="D45" s="127" t="n"/>
      <c r="E45" s="128" t="n"/>
      <c r="F45" s="128" t="n"/>
      <c r="G45" s="57" t="str">
        <f>IF(A45="","",SUMIFS(jr_qty,jr_type,"BL",jr_art,A45,jr_year,p_year))</f>
        <v/>
      </c>
      <c r="H45" s="57" t="str">
        <f>IF(A45="","",SUMIFS(jr_qty,jr_type,"BR",jr_art,A45,jr_year,p_year))</f>
        <v/>
      </c>
      <c r="I45" s="57" t="str">
        <f>IF(A45="","",SUMIFS(jr_qty,jr_type,"BS",jr_art,A45,jr_year,p_year))</f>
        <v/>
      </c>
      <c r="J45" s="60" t="str">
        <f>IF(A45="",IF(B45="","","Référence manquante"),IF(COUNTIF($A$6:$A$505,A45)&gt;1,"Référence en double",IF(B45="","Désignation manquante",IF(C45="","Unité manquante","OK"))))</f>
        <v/>
      </c>
    </row>
    <row r="46">
      <c r="A46" s="59" t="n"/>
      <c r="B46" s="59" t="n"/>
      <c r="C46" s="54" t="n"/>
      <c r="D46" s="127" t="n"/>
      <c r="E46" s="128" t="n"/>
      <c r="F46" s="128" t="n"/>
      <c r="G46" s="57" t="str">
        <f>IF(A46="","",SUMIFS(jr_qty,jr_type,"BL",jr_art,A46,jr_year,p_year))</f>
        <v/>
      </c>
      <c r="H46" s="57" t="str">
        <f>IF(A46="","",SUMIFS(jr_qty,jr_type,"BR",jr_art,A46,jr_year,p_year))</f>
        <v/>
      </c>
      <c r="I46" s="57" t="str">
        <f>IF(A46="","",SUMIFS(jr_qty,jr_type,"BS",jr_art,A46,jr_year,p_year))</f>
        <v/>
      </c>
      <c r="J46" s="60" t="str">
        <f>IF(A46="",IF(B46="","","Référence manquante"),IF(COUNTIF($A$6:$A$505,A46)&gt;1,"Référence en double",IF(B46="","Désignation manquante",IF(C46="","Unité manquante","OK"))))</f>
        <v/>
      </c>
    </row>
    <row r="47">
      <c r="A47" s="59" t="n"/>
      <c r="B47" s="59" t="n"/>
      <c r="C47" s="54" t="n"/>
      <c r="D47" s="127" t="n"/>
      <c r="E47" s="128" t="n"/>
      <c r="F47" s="128" t="n"/>
      <c r="G47" s="57" t="str">
        <f>IF(A47="","",SUMIFS(jr_qty,jr_type,"BL",jr_art,A47,jr_year,p_year))</f>
        <v/>
      </c>
      <c r="H47" s="57" t="str">
        <f>IF(A47="","",SUMIFS(jr_qty,jr_type,"BR",jr_art,A47,jr_year,p_year))</f>
        <v/>
      </c>
      <c r="I47" s="57" t="str">
        <f>IF(A47="","",SUMIFS(jr_qty,jr_type,"BS",jr_art,A47,jr_year,p_year))</f>
        <v/>
      </c>
      <c r="J47" s="60" t="str">
        <f>IF(A47="",IF(B47="","","Référence manquante"),IF(COUNTIF($A$6:$A$505,A47)&gt;1,"Référence en double",IF(B47="","Désignation manquante",IF(C47="","Unité manquante","OK"))))</f>
        <v/>
      </c>
    </row>
    <row r="48">
      <c r="A48" s="59" t="n"/>
      <c r="B48" s="59" t="n"/>
      <c r="C48" s="54" t="n"/>
      <c r="D48" s="127" t="n"/>
      <c r="E48" s="128" t="n"/>
      <c r="F48" s="128" t="n"/>
      <c r="G48" s="57" t="str">
        <f>IF(A48="","",SUMIFS(jr_qty,jr_type,"BL",jr_art,A48,jr_year,p_year))</f>
        <v/>
      </c>
      <c r="H48" s="57" t="str">
        <f>IF(A48="","",SUMIFS(jr_qty,jr_type,"BR",jr_art,A48,jr_year,p_year))</f>
        <v/>
      </c>
      <c r="I48" s="57" t="str">
        <f>IF(A48="","",SUMIFS(jr_qty,jr_type,"BS",jr_art,A48,jr_year,p_year))</f>
        <v/>
      </c>
      <c r="J48" s="60" t="str">
        <f>IF(A48="",IF(B48="","","Référence manquante"),IF(COUNTIF($A$6:$A$505,A48)&gt;1,"Référence en double",IF(B48="","Désignation manquante",IF(C48="","Unité manquante","OK"))))</f>
        <v/>
      </c>
    </row>
    <row r="49">
      <c r="A49" s="59" t="n"/>
      <c r="B49" s="59" t="n"/>
      <c r="C49" s="54" t="n"/>
      <c r="D49" s="127" t="n"/>
      <c r="E49" s="128" t="n"/>
      <c r="F49" s="128" t="n"/>
      <c r="G49" s="57" t="str">
        <f>IF(A49="","",SUMIFS(jr_qty,jr_type,"BL",jr_art,A49,jr_year,p_year))</f>
        <v/>
      </c>
      <c r="H49" s="57" t="str">
        <f>IF(A49="","",SUMIFS(jr_qty,jr_type,"BR",jr_art,A49,jr_year,p_year))</f>
        <v/>
      </c>
      <c r="I49" s="57" t="str">
        <f>IF(A49="","",SUMIFS(jr_qty,jr_type,"BS",jr_art,A49,jr_year,p_year))</f>
        <v/>
      </c>
      <c r="J49" s="60" t="str">
        <f>IF(A49="",IF(B49="","","Référence manquante"),IF(COUNTIF($A$6:$A$505,A49)&gt;1,"Référence en double",IF(B49="","Désignation manquante",IF(C49="","Unité manquante","OK"))))</f>
        <v/>
      </c>
    </row>
    <row r="50">
      <c r="A50" s="59" t="n"/>
      <c r="B50" s="59" t="n"/>
      <c r="C50" s="54" t="n"/>
      <c r="D50" s="127" t="n"/>
      <c r="E50" s="128" t="n"/>
      <c r="F50" s="128" t="n"/>
      <c r="G50" s="57" t="str">
        <f>IF(A50="","",SUMIFS(jr_qty,jr_type,"BL",jr_art,A50,jr_year,p_year))</f>
        <v/>
      </c>
      <c r="H50" s="57" t="str">
        <f>IF(A50="","",SUMIFS(jr_qty,jr_type,"BR",jr_art,A50,jr_year,p_year))</f>
        <v/>
      </c>
      <c r="I50" s="57" t="str">
        <f>IF(A50="","",SUMIFS(jr_qty,jr_type,"BS",jr_art,A50,jr_year,p_year))</f>
        <v/>
      </c>
      <c r="J50" s="60" t="str">
        <f>IF(A50="",IF(B50="","","Référence manquante"),IF(COUNTIF($A$6:$A$505,A50)&gt;1,"Référence en double",IF(B50="","Désignation manquante",IF(C50="","Unité manquante","OK"))))</f>
        <v/>
      </c>
    </row>
    <row r="51">
      <c r="A51" s="59" t="n"/>
      <c r="B51" s="59" t="n"/>
      <c r="C51" s="54" t="n"/>
      <c r="D51" s="127" t="n"/>
      <c r="E51" s="128" t="n"/>
      <c r="F51" s="128" t="n"/>
      <c r="G51" s="57" t="str">
        <f>IF(A51="","",SUMIFS(jr_qty,jr_type,"BL",jr_art,A51,jr_year,p_year))</f>
        <v/>
      </c>
      <c r="H51" s="57" t="str">
        <f>IF(A51="","",SUMIFS(jr_qty,jr_type,"BR",jr_art,A51,jr_year,p_year))</f>
        <v/>
      </c>
      <c r="I51" s="57" t="str">
        <f>IF(A51="","",SUMIFS(jr_qty,jr_type,"BS",jr_art,A51,jr_year,p_year))</f>
        <v/>
      </c>
      <c r="J51" s="60" t="str">
        <f>IF(A51="",IF(B51="","","Référence manquante"),IF(COUNTIF($A$6:$A$505,A51)&gt;1,"Référence en double",IF(B51="","Désignation manquante",IF(C51="","Unité manquante","OK"))))</f>
        <v/>
      </c>
    </row>
    <row r="52">
      <c r="A52" s="59" t="n"/>
      <c r="B52" s="59" t="n"/>
      <c r="C52" s="54" t="n"/>
      <c r="D52" s="127" t="n"/>
      <c r="E52" s="128" t="n"/>
      <c r="F52" s="128" t="n"/>
      <c r="G52" s="57" t="str">
        <f>IF(A52="","",SUMIFS(jr_qty,jr_type,"BL",jr_art,A52,jr_year,p_year))</f>
        <v/>
      </c>
      <c r="H52" s="57" t="str">
        <f>IF(A52="","",SUMIFS(jr_qty,jr_type,"BR",jr_art,A52,jr_year,p_year))</f>
        <v/>
      </c>
      <c r="I52" s="57" t="str">
        <f>IF(A52="","",SUMIFS(jr_qty,jr_type,"BS",jr_art,A52,jr_year,p_year))</f>
        <v/>
      </c>
      <c r="J52" s="60" t="str">
        <f>IF(A52="",IF(B52="","","Référence manquante"),IF(COUNTIF($A$6:$A$505,A52)&gt;1,"Référence en double",IF(B52="","Désignation manquante",IF(C52="","Unité manquante","OK"))))</f>
        <v/>
      </c>
    </row>
    <row r="53">
      <c r="A53" s="59" t="n"/>
      <c r="B53" s="59" t="n"/>
      <c r="C53" s="54" t="n"/>
      <c r="D53" s="127" t="n"/>
      <c r="E53" s="128" t="n"/>
      <c r="F53" s="128" t="n"/>
      <c r="G53" s="57" t="str">
        <f>IF(A53="","",SUMIFS(jr_qty,jr_type,"BL",jr_art,A53,jr_year,p_year))</f>
        <v/>
      </c>
      <c r="H53" s="57" t="str">
        <f>IF(A53="","",SUMIFS(jr_qty,jr_type,"BR",jr_art,A53,jr_year,p_year))</f>
        <v/>
      </c>
      <c r="I53" s="57" t="str">
        <f>IF(A53="","",SUMIFS(jr_qty,jr_type,"BS",jr_art,A53,jr_year,p_year))</f>
        <v/>
      </c>
      <c r="J53" s="60" t="str">
        <f>IF(A53="",IF(B53="","","Référence manquante"),IF(COUNTIF($A$6:$A$505,A53)&gt;1,"Référence en double",IF(B53="","Désignation manquante",IF(C53="","Unité manquante","OK"))))</f>
        <v/>
      </c>
    </row>
    <row r="54">
      <c r="A54" s="59" t="n"/>
      <c r="B54" s="59" t="n"/>
      <c r="C54" s="54" t="n"/>
      <c r="D54" s="127" t="n"/>
      <c r="E54" s="128" t="n"/>
      <c r="F54" s="128" t="n"/>
      <c r="G54" s="57" t="str">
        <f>IF(A54="","",SUMIFS(jr_qty,jr_type,"BL",jr_art,A54,jr_year,p_year))</f>
        <v/>
      </c>
      <c r="H54" s="57" t="str">
        <f>IF(A54="","",SUMIFS(jr_qty,jr_type,"BR",jr_art,A54,jr_year,p_year))</f>
        <v/>
      </c>
      <c r="I54" s="57" t="str">
        <f>IF(A54="","",SUMIFS(jr_qty,jr_type,"BS",jr_art,A54,jr_year,p_year))</f>
        <v/>
      </c>
      <c r="J54" s="60" t="str">
        <f>IF(A54="",IF(B54="","","Référence manquante"),IF(COUNTIF($A$6:$A$505,A54)&gt;1,"Référence en double",IF(B54="","Désignation manquante",IF(C54="","Unité manquante","OK"))))</f>
        <v/>
      </c>
    </row>
    <row r="55">
      <c r="A55" s="59" t="n"/>
      <c r="B55" s="59" t="n"/>
      <c r="C55" s="54" t="n"/>
      <c r="D55" s="127" t="n"/>
      <c r="E55" s="128" t="n"/>
      <c r="F55" s="128" t="n"/>
      <c r="G55" s="57" t="str">
        <f>IF(A55="","",SUMIFS(jr_qty,jr_type,"BL",jr_art,A55,jr_year,p_year))</f>
        <v/>
      </c>
      <c r="H55" s="57" t="str">
        <f>IF(A55="","",SUMIFS(jr_qty,jr_type,"BR",jr_art,A55,jr_year,p_year))</f>
        <v/>
      </c>
      <c r="I55" s="57" t="str">
        <f>IF(A55="","",SUMIFS(jr_qty,jr_type,"BS",jr_art,A55,jr_year,p_year))</f>
        <v/>
      </c>
      <c r="J55" s="60" t="str">
        <f>IF(A55="",IF(B55="","","Référence manquante"),IF(COUNTIF($A$6:$A$505,A55)&gt;1,"Référence en double",IF(B55="","Désignation manquante",IF(C55="","Unité manquante","OK"))))</f>
        <v/>
      </c>
    </row>
    <row r="56">
      <c r="A56" s="59" t="n"/>
      <c r="B56" s="59" t="n"/>
      <c r="C56" s="54" t="n"/>
      <c r="D56" s="127" t="n"/>
      <c r="E56" s="128" t="n"/>
      <c r="F56" s="128" t="n"/>
      <c r="G56" s="57" t="str">
        <f>IF(A56="","",SUMIFS(jr_qty,jr_type,"BL",jr_art,A56,jr_year,p_year))</f>
        <v/>
      </c>
      <c r="H56" s="57" t="str">
        <f>IF(A56="","",SUMIFS(jr_qty,jr_type,"BR",jr_art,A56,jr_year,p_year))</f>
        <v/>
      </c>
      <c r="I56" s="57" t="str">
        <f>IF(A56="","",SUMIFS(jr_qty,jr_type,"BS",jr_art,A56,jr_year,p_year))</f>
        <v/>
      </c>
      <c r="J56" s="60" t="str">
        <f>IF(A56="",IF(B56="","","Référence manquante"),IF(COUNTIF($A$6:$A$505,A56)&gt;1,"Référence en double",IF(B56="","Désignation manquante",IF(C56="","Unité manquante","OK"))))</f>
        <v/>
      </c>
    </row>
    <row r="57">
      <c r="A57" s="59" t="n"/>
      <c r="B57" s="59" t="n"/>
      <c r="C57" s="54" t="n"/>
      <c r="D57" s="127" t="n"/>
      <c r="E57" s="128" t="n"/>
      <c r="F57" s="128" t="n"/>
      <c r="G57" s="57" t="str">
        <f>IF(A57="","",SUMIFS(jr_qty,jr_type,"BL",jr_art,A57,jr_year,p_year))</f>
        <v/>
      </c>
      <c r="H57" s="57" t="str">
        <f>IF(A57="","",SUMIFS(jr_qty,jr_type,"BR",jr_art,A57,jr_year,p_year))</f>
        <v/>
      </c>
      <c r="I57" s="57" t="str">
        <f>IF(A57="","",SUMIFS(jr_qty,jr_type,"BS",jr_art,A57,jr_year,p_year))</f>
        <v/>
      </c>
      <c r="J57" s="60" t="str">
        <f>IF(A57="",IF(B57="","","Référence manquante"),IF(COUNTIF($A$6:$A$505,A57)&gt;1,"Référence en double",IF(B57="","Désignation manquante",IF(C57="","Unité manquante","OK"))))</f>
        <v/>
      </c>
    </row>
    <row r="58">
      <c r="A58" s="59" t="n"/>
      <c r="B58" s="59" t="n"/>
      <c r="C58" s="54" t="n"/>
      <c r="D58" s="127" t="n"/>
      <c r="E58" s="128" t="n"/>
      <c r="F58" s="128" t="n"/>
      <c r="G58" s="57" t="str">
        <f>IF(A58="","",SUMIFS(jr_qty,jr_type,"BL",jr_art,A58,jr_year,p_year))</f>
        <v/>
      </c>
      <c r="H58" s="57" t="str">
        <f>IF(A58="","",SUMIFS(jr_qty,jr_type,"BR",jr_art,A58,jr_year,p_year))</f>
        <v/>
      </c>
      <c r="I58" s="57" t="str">
        <f>IF(A58="","",SUMIFS(jr_qty,jr_type,"BS",jr_art,A58,jr_year,p_year))</f>
        <v/>
      </c>
      <c r="J58" s="60" t="str">
        <f>IF(A58="",IF(B58="","","Référence manquante"),IF(COUNTIF($A$6:$A$505,A58)&gt;1,"Référence en double",IF(B58="","Désignation manquante",IF(C58="","Unité manquante","OK"))))</f>
        <v/>
      </c>
    </row>
    <row r="59">
      <c r="A59" s="59" t="n"/>
      <c r="B59" s="59" t="n"/>
      <c r="C59" s="54" t="n"/>
      <c r="D59" s="127" t="n"/>
      <c r="E59" s="128" t="n"/>
      <c r="F59" s="128" t="n"/>
      <c r="G59" s="57" t="str">
        <f>IF(A59="","",SUMIFS(jr_qty,jr_type,"BL",jr_art,A59,jr_year,p_year))</f>
        <v/>
      </c>
      <c r="H59" s="57" t="str">
        <f>IF(A59="","",SUMIFS(jr_qty,jr_type,"BR",jr_art,A59,jr_year,p_year))</f>
        <v/>
      </c>
      <c r="I59" s="57" t="str">
        <f>IF(A59="","",SUMIFS(jr_qty,jr_type,"BS",jr_art,A59,jr_year,p_year))</f>
        <v/>
      </c>
      <c r="J59" s="60" t="str">
        <f>IF(A59="",IF(B59="","","Référence manquante"),IF(COUNTIF($A$6:$A$505,A59)&gt;1,"Référence en double",IF(B59="","Désignation manquante",IF(C59="","Unité manquante","OK"))))</f>
        <v/>
      </c>
    </row>
    <row r="60">
      <c r="A60" s="59" t="n"/>
      <c r="B60" s="59" t="n"/>
      <c r="C60" s="54" t="n"/>
      <c r="D60" s="127" t="n"/>
      <c r="E60" s="128" t="n"/>
      <c r="F60" s="128" t="n"/>
      <c r="G60" s="57" t="str">
        <f>IF(A60="","",SUMIFS(jr_qty,jr_type,"BL",jr_art,A60,jr_year,p_year))</f>
        <v/>
      </c>
      <c r="H60" s="57" t="str">
        <f>IF(A60="","",SUMIFS(jr_qty,jr_type,"BR",jr_art,A60,jr_year,p_year))</f>
        <v/>
      </c>
      <c r="I60" s="57" t="str">
        <f>IF(A60="","",SUMIFS(jr_qty,jr_type,"BS",jr_art,A60,jr_year,p_year))</f>
        <v/>
      </c>
      <c r="J60" s="60" t="str">
        <f>IF(A60="",IF(B60="","","Référence manquante"),IF(COUNTIF($A$6:$A$505,A60)&gt;1,"Référence en double",IF(B60="","Désignation manquante",IF(C60="","Unité manquante","OK"))))</f>
        <v/>
      </c>
    </row>
    <row r="61">
      <c r="A61" s="59" t="n"/>
      <c r="B61" s="59" t="n"/>
      <c r="C61" s="54" t="n"/>
      <c r="D61" s="127" t="n"/>
      <c r="E61" s="128" t="n"/>
      <c r="F61" s="128" t="n"/>
      <c r="G61" s="57" t="str">
        <f>IF(A61="","",SUMIFS(jr_qty,jr_type,"BL",jr_art,A61,jr_year,p_year))</f>
        <v/>
      </c>
      <c r="H61" s="57" t="str">
        <f>IF(A61="","",SUMIFS(jr_qty,jr_type,"BR",jr_art,A61,jr_year,p_year))</f>
        <v/>
      </c>
      <c r="I61" s="57" t="str">
        <f>IF(A61="","",SUMIFS(jr_qty,jr_type,"BS",jr_art,A61,jr_year,p_year))</f>
        <v/>
      </c>
      <c r="J61" s="60" t="str">
        <f>IF(A61="",IF(B61="","","Référence manquante"),IF(COUNTIF($A$6:$A$505,A61)&gt;1,"Référence en double",IF(B61="","Désignation manquante",IF(C61="","Unité manquante","OK"))))</f>
        <v/>
      </c>
    </row>
    <row r="62">
      <c r="A62" s="59" t="n"/>
      <c r="B62" s="59" t="n"/>
      <c r="C62" s="54" t="n"/>
      <c r="D62" s="127" t="n"/>
      <c r="E62" s="128" t="n"/>
      <c r="F62" s="128" t="n"/>
      <c r="G62" s="57" t="str">
        <f>IF(A62="","",SUMIFS(jr_qty,jr_type,"BL",jr_art,A62,jr_year,p_year))</f>
        <v/>
      </c>
      <c r="H62" s="57" t="str">
        <f>IF(A62="","",SUMIFS(jr_qty,jr_type,"BR",jr_art,A62,jr_year,p_year))</f>
        <v/>
      </c>
      <c r="I62" s="57" t="str">
        <f>IF(A62="","",SUMIFS(jr_qty,jr_type,"BS",jr_art,A62,jr_year,p_year))</f>
        <v/>
      </c>
      <c r="J62" s="60" t="str">
        <f>IF(A62="",IF(B62="","","Référence manquante"),IF(COUNTIF($A$6:$A$505,A62)&gt;1,"Référence en double",IF(B62="","Désignation manquante",IF(C62="","Unité manquante","OK"))))</f>
        <v/>
      </c>
    </row>
    <row r="63">
      <c r="A63" s="59" t="n"/>
      <c r="B63" s="59" t="n"/>
      <c r="C63" s="54" t="n"/>
      <c r="D63" s="127" t="n"/>
      <c r="E63" s="128" t="n"/>
      <c r="F63" s="128" t="n"/>
      <c r="G63" s="57" t="str">
        <f>IF(A63="","",SUMIFS(jr_qty,jr_type,"BL",jr_art,A63,jr_year,p_year))</f>
        <v/>
      </c>
      <c r="H63" s="57" t="str">
        <f>IF(A63="","",SUMIFS(jr_qty,jr_type,"BR",jr_art,A63,jr_year,p_year))</f>
        <v/>
      </c>
      <c r="I63" s="57" t="str">
        <f>IF(A63="","",SUMIFS(jr_qty,jr_type,"BS",jr_art,A63,jr_year,p_year))</f>
        <v/>
      </c>
      <c r="J63" s="60" t="str">
        <f>IF(A63="",IF(B63="","","Référence manquante"),IF(COUNTIF($A$6:$A$505,A63)&gt;1,"Référence en double",IF(B63="","Désignation manquante",IF(C63="","Unité manquante","OK"))))</f>
        <v/>
      </c>
    </row>
    <row r="64">
      <c r="A64" s="59" t="n"/>
      <c r="B64" s="59" t="n"/>
      <c r="C64" s="54" t="n"/>
      <c r="D64" s="127" t="n"/>
      <c r="E64" s="128" t="n"/>
      <c r="F64" s="128" t="n"/>
      <c r="G64" s="57" t="str">
        <f>IF(A64="","",SUMIFS(jr_qty,jr_type,"BL",jr_art,A64,jr_year,p_year))</f>
        <v/>
      </c>
      <c r="H64" s="57" t="str">
        <f>IF(A64="","",SUMIFS(jr_qty,jr_type,"BR",jr_art,A64,jr_year,p_year))</f>
        <v/>
      </c>
      <c r="I64" s="57" t="str">
        <f>IF(A64="","",SUMIFS(jr_qty,jr_type,"BS",jr_art,A64,jr_year,p_year))</f>
        <v/>
      </c>
      <c r="J64" s="60" t="str">
        <f>IF(A64="",IF(B64="","","Référence manquante"),IF(COUNTIF($A$6:$A$505,A64)&gt;1,"Référence en double",IF(B64="","Désignation manquante",IF(C64="","Unité manquante","OK"))))</f>
        <v/>
      </c>
    </row>
    <row r="65">
      <c r="A65" s="59" t="n"/>
      <c r="B65" s="59" t="n"/>
      <c r="C65" s="54" t="n"/>
      <c r="D65" s="127" t="n"/>
      <c r="E65" s="128" t="n"/>
      <c r="F65" s="128" t="n"/>
      <c r="G65" s="57" t="str">
        <f>IF(A65="","",SUMIFS(jr_qty,jr_type,"BL",jr_art,A65,jr_year,p_year))</f>
        <v/>
      </c>
      <c r="H65" s="57" t="str">
        <f>IF(A65="","",SUMIFS(jr_qty,jr_type,"BR",jr_art,A65,jr_year,p_year))</f>
        <v/>
      </c>
      <c r="I65" s="57" t="str">
        <f>IF(A65="","",SUMIFS(jr_qty,jr_type,"BS",jr_art,A65,jr_year,p_year))</f>
        <v/>
      </c>
      <c r="J65" s="60" t="str">
        <f>IF(A65="",IF(B65="","","Référence manquante"),IF(COUNTIF($A$6:$A$505,A65)&gt;1,"Référence en double",IF(B65="","Désignation manquante",IF(C65="","Unité manquante","OK"))))</f>
        <v/>
      </c>
    </row>
    <row r="66">
      <c r="A66" s="59" t="n"/>
      <c r="B66" s="59" t="n"/>
      <c r="C66" s="54" t="n"/>
      <c r="D66" s="127" t="n"/>
      <c r="E66" s="128" t="n"/>
      <c r="F66" s="128" t="n"/>
      <c r="G66" s="57" t="str">
        <f>IF(A66="","",SUMIFS(jr_qty,jr_type,"BL",jr_art,A66,jr_year,p_year))</f>
        <v/>
      </c>
      <c r="H66" s="57" t="str">
        <f>IF(A66="","",SUMIFS(jr_qty,jr_type,"BR",jr_art,A66,jr_year,p_year))</f>
        <v/>
      </c>
      <c r="I66" s="57" t="str">
        <f>IF(A66="","",SUMIFS(jr_qty,jr_type,"BS",jr_art,A66,jr_year,p_year))</f>
        <v/>
      </c>
      <c r="J66" s="60" t="str">
        <f>IF(A66="",IF(B66="","","Référence manquante"),IF(COUNTIF($A$6:$A$505,A66)&gt;1,"Référence en double",IF(B66="","Désignation manquante",IF(C66="","Unité manquante","OK"))))</f>
        <v/>
      </c>
    </row>
    <row r="67">
      <c r="A67" s="59" t="n"/>
      <c r="B67" s="59" t="n"/>
      <c r="C67" s="54" t="n"/>
      <c r="D67" s="127" t="n"/>
      <c r="E67" s="128" t="n"/>
      <c r="F67" s="128" t="n"/>
      <c r="G67" s="57" t="str">
        <f>IF(A67="","",SUMIFS(jr_qty,jr_type,"BL",jr_art,A67,jr_year,p_year))</f>
        <v/>
      </c>
      <c r="H67" s="57" t="str">
        <f>IF(A67="","",SUMIFS(jr_qty,jr_type,"BR",jr_art,A67,jr_year,p_year))</f>
        <v/>
      </c>
      <c r="I67" s="57" t="str">
        <f>IF(A67="","",SUMIFS(jr_qty,jr_type,"BS",jr_art,A67,jr_year,p_year))</f>
        <v/>
      </c>
      <c r="J67" s="60" t="str">
        <f>IF(A67="",IF(B67="","","Référence manquante"),IF(COUNTIF($A$6:$A$505,A67)&gt;1,"Référence en double",IF(B67="","Désignation manquante",IF(C67="","Unité manquante","OK"))))</f>
        <v/>
      </c>
    </row>
    <row r="68">
      <c r="A68" s="59" t="n"/>
      <c r="B68" s="59" t="n"/>
      <c r="C68" s="54" t="n"/>
      <c r="D68" s="127" t="n"/>
      <c r="E68" s="128" t="n"/>
      <c r="F68" s="128" t="n"/>
      <c r="G68" s="57" t="str">
        <f>IF(A68="","",SUMIFS(jr_qty,jr_type,"BL",jr_art,A68,jr_year,p_year))</f>
        <v/>
      </c>
      <c r="H68" s="57" t="str">
        <f>IF(A68="","",SUMIFS(jr_qty,jr_type,"BR",jr_art,A68,jr_year,p_year))</f>
        <v/>
      </c>
      <c r="I68" s="57" t="str">
        <f>IF(A68="","",SUMIFS(jr_qty,jr_type,"BS",jr_art,A68,jr_year,p_year))</f>
        <v/>
      </c>
      <c r="J68" s="60" t="str">
        <f>IF(A68="",IF(B68="","","Référence manquante"),IF(COUNTIF($A$6:$A$505,A68)&gt;1,"Référence en double",IF(B68="","Désignation manquante",IF(C68="","Unité manquante","OK"))))</f>
        <v/>
      </c>
    </row>
    <row r="69">
      <c r="A69" s="59" t="n"/>
      <c r="B69" s="59" t="n"/>
      <c r="C69" s="54" t="n"/>
      <c r="D69" s="127" t="n"/>
      <c r="E69" s="128" t="n"/>
      <c r="F69" s="128" t="n"/>
      <c r="G69" s="57" t="str">
        <f>IF(A69="","",SUMIFS(jr_qty,jr_type,"BL",jr_art,A69,jr_year,p_year))</f>
        <v/>
      </c>
      <c r="H69" s="57" t="str">
        <f>IF(A69="","",SUMIFS(jr_qty,jr_type,"BR",jr_art,A69,jr_year,p_year))</f>
        <v/>
      </c>
      <c r="I69" s="57" t="str">
        <f>IF(A69="","",SUMIFS(jr_qty,jr_type,"BS",jr_art,A69,jr_year,p_year))</f>
        <v/>
      </c>
      <c r="J69" s="60" t="str">
        <f>IF(A69="",IF(B69="","","Référence manquante"),IF(COUNTIF($A$6:$A$505,A69)&gt;1,"Référence en double",IF(B69="","Désignation manquante",IF(C69="","Unité manquante","OK"))))</f>
        <v/>
      </c>
    </row>
    <row r="70">
      <c r="A70" s="59" t="n"/>
      <c r="B70" s="59" t="n"/>
      <c r="C70" s="54" t="n"/>
      <c r="D70" s="127" t="n"/>
      <c r="E70" s="128" t="n"/>
      <c r="F70" s="128" t="n"/>
      <c r="G70" s="57" t="str">
        <f>IF(A70="","",SUMIFS(jr_qty,jr_type,"BL",jr_art,A70,jr_year,p_year))</f>
        <v/>
      </c>
      <c r="H70" s="57" t="str">
        <f>IF(A70="","",SUMIFS(jr_qty,jr_type,"BR",jr_art,A70,jr_year,p_year))</f>
        <v/>
      </c>
      <c r="I70" s="57" t="str">
        <f>IF(A70="","",SUMIFS(jr_qty,jr_type,"BS",jr_art,A70,jr_year,p_year))</f>
        <v/>
      </c>
      <c r="J70" s="60" t="str">
        <f>IF(A70="",IF(B70="","","Référence manquante"),IF(COUNTIF($A$6:$A$505,A70)&gt;1,"Référence en double",IF(B70="","Désignation manquante",IF(C70="","Unité manquante","OK"))))</f>
        <v/>
      </c>
    </row>
    <row r="71">
      <c r="A71" s="59" t="n"/>
      <c r="B71" s="59" t="n"/>
      <c r="C71" s="54" t="n"/>
      <c r="D71" s="127" t="n"/>
      <c r="E71" s="128" t="n"/>
      <c r="F71" s="128" t="n"/>
      <c r="G71" s="57" t="str">
        <f>IF(A71="","",SUMIFS(jr_qty,jr_type,"BL",jr_art,A71,jr_year,p_year))</f>
        <v/>
      </c>
      <c r="H71" s="57" t="str">
        <f>IF(A71="","",SUMIFS(jr_qty,jr_type,"BR",jr_art,A71,jr_year,p_year))</f>
        <v/>
      </c>
      <c r="I71" s="57" t="str">
        <f>IF(A71="","",SUMIFS(jr_qty,jr_type,"BS",jr_art,A71,jr_year,p_year))</f>
        <v/>
      </c>
      <c r="J71" s="60" t="str">
        <f>IF(A71="",IF(B71="","","Référence manquante"),IF(COUNTIF($A$6:$A$505,A71)&gt;1,"Référence en double",IF(B71="","Désignation manquante",IF(C71="","Unité manquante","OK"))))</f>
        <v/>
      </c>
    </row>
    <row r="72">
      <c r="A72" s="59" t="n"/>
      <c r="B72" s="59" t="n"/>
      <c r="C72" s="54" t="n"/>
      <c r="D72" s="127" t="n"/>
      <c r="E72" s="128" t="n"/>
      <c r="F72" s="128" t="n"/>
      <c r="G72" s="57" t="str">
        <f>IF(A72="","",SUMIFS(jr_qty,jr_type,"BL",jr_art,A72,jr_year,p_year))</f>
        <v/>
      </c>
      <c r="H72" s="57" t="str">
        <f>IF(A72="","",SUMIFS(jr_qty,jr_type,"BR",jr_art,A72,jr_year,p_year))</f>
        <v/>
      </c>
      <c r="I72" s="57" t="str">
        <f>IF(A72="","",SUMIFS(jr_qty,jr_type,"BS",jr_art,A72,jr_year,p_year))</f>
        <v/>
      </c>
      <c r="J72" s="60" t="str">
        <f>IF(A72="",IF(B72="","","Référence manquante"),IF(COUNTIF($A$6:$A$505,A72)&gt;1,"Référence en double",IF(B72="","Désignation manquante",IF(C72="","Unité manquante","OK"))))</f>
        <v/>
      </c>
    </row>
    <row r="73">
      <c r="A73" s="59" t="n"/>
      <c r="B73" s="59" t="n"/>
      <c r="C73" s="54" t="n"/>
      <c r="D73" s="127" t="n"/>
      <c r="E73" s="128" t="n"/>
      <c r="F73" s="128" t="n"/>
      <c r="G73" s="57" t="str">
        <f>IF(A73="","",SUMIFS(jr_qty,jr_type,"BL",jr_art,A73,jr_year,p_year))</f>
        <v/>
      </c>
      <c r="H73" s="57" t="str">
        <f>IF(A73="","",SUMIFS(jr_qty,jr_type,"BR",jr_art,A73,jr_year,p_year))</f>
        <v/>
      </c>
      <c r="I73" s="57" t="str">
        <f>IF(A73="","",SUMIFS(jr_qty,jr_type,"BS",jr_art,A73,jr_year,p_year))</f>
        <v/>
      </c>
      <c r="J73" s="60" t="str">
        <f>IF(A73="",IF(B73="","","Référence manquante"),IF(COUNTIF($A$6:$A$505,A73)&gt;1,"Référence en double",IF(B73="","Désignation manquante",IF(C73="","Unité manquante","OK"))))</f>
        <v/>
      </c>
    </row>
    <row r="74">
      <c r="A74" s="59" t="n"/>
      <c r="B74" s="59" t="n"/>
      <c r="C74" s="54" t="n"/>
      <c r="D74" s="127" t="n"/>
      <c r="E74" s="128" t="n"/>
      <c r="F74" s="128" t="n"/>
      <c r="G74" s="57" t="str">
        <f>IF(A74="","",SUMIFS(jr_qty,jr_type,"BL",jr_art,A74,jr_year,p_year))</f>
        <v/>
      </c>
      <c r="H74" s="57" t="str">
        <f>IF(A74="","",SUMIFS(jr_qty,jr_type,"BR",jr_art,A74,jr_year,p_year))</f>
        <v/>
      </c>
      <c r="I74" s="57" t="str">
        <f>IF(A74="","",SUMIFS(jr_qty,jr_type,"BS",jr_art,A74,jr_year,p_year))</f>
        <v/>
      </c>
      <c r="J74" s="60" t="str">
        <f>IF(A74="",IF(B74="","","Référence manquante"),IF(COUNTIF($A$6:$A$505,A74)&gt;1,"Référence en double",IF(B74="","Désignation manquante",IF(C74="","Unité manquante","OK"))))</f>
        <v/>
      </c>
    </row>
    <row r="75">
      <c r="A75" s="59" t="n"/>
      <c r="B75" s="59" t="n"/>
      <c r="C75" s="54" t="n"/>
      <c r="D75" s="127" t="n"/>
      <c r="E75" s="128" t="n"/>
      <c r="F75" s="128" t="n"/>
      <c r="G75" s="57" t="str">
        <f>IF(A75="","",SUMIFS(jr_qty,jr_type,"BL",jr_art,A75,jr_year,p_year))</f>
        <v/>
      </c>
      <c r="H75" s="57" t="str">
        <f>IF(A75="","",SUMIFS(jr_qty,jr_type,"BR",jr_art,A75,jr_year,p_year))</f>
        <v/>
      </c>
      <c r="I75" s="57" t="str">
        <f>IF(A75="","",SUMIFS(jr_qty,jr_type,"BS",jr_art,A75,jr_year,p_year))</f>
        <v/>
      </c>
      <c r="J75" s="60" t="str">
        <f>IF(A75="",IF(B75="","","Référence manquante"),IF(COUNTIF($A$6:$A$505,A75)&gt;1,"Référence en double",IF(B75="","Désignation manquante",IF(C75="","Unité manquante","OK"))))</f>
        <v/>
      </c>
    </row>
    <row r="76">
      <c r="A76" s="59" t="n"/>
      <c r="B76" s="59" t="n"/>
      <c r="C76" s="54" t="n"/>
      <c r="D76" s="127" t="n"/>
      <c r="E76" s="128" t="n"/>
      <c r="F76" s="128" t="n"/>
      <c r="G76" s="57" t="str">
        <f>IF(A76="","",SUMIFS(jr_qty,jr_type,"BL",jr_art,A76,jr_year,p_year))</f>
        <v/>
      </c>
      <c r="H76" s="57" t="str">
        <f>IF(A76="","",SUMIFS(jr_qty,jr_type,"BR",jr_art,A76,jr_year,p_year))</f>
        <v/>
      </c>
      <c r="I76" s="57" t="str">
        <f>IF(A76="","",SUMIFS(jr_qty,jr_type,"BS",jr_art,A76,jr_year,p_year))</f>
        <v/>
      </c>
      <c r="J76" s="60" t="str">
        <f>IF(A76="",IF(B76="","","Référence manquante"),IF(COUNTIF($A$6:$A$505,A76)&gt;1,"Référence en double",IF(B76="","Désignation manquante",IF(C76="","Unité manquante","OK"))))</f>
        <v/>
      </c>
    </row>
    <row r="77">
      <c r="A77" s="59" t="n"/>
      <c r="B77" s="59" t="n"/>
      <c r="C77" s="54" t="n"/>
      <c r="D77" s="127" t="n"/>
      <c r="E77" s="128" t="n"/>
      <c r="F77" s="128" t="n"/>
      <c r="G77" s="57" t="str">
        <f>IF(A77="","",SUMIFS(jr_qty,jr_type,"BL",jr_art,A77,jr_year,p_year))</f>
        <v/>
      </c>
      <c r="H77" s="57" t="str">
        <f>IF(A77="","",SUMIFS(jr_qty,jr_type,"BR",jr_art,A77,jr_year,p_year))</f>
        <v/>
      </c>
      <c r="I77" s="57" t="str">
        <f>IF(A77="","",SUMIFS(jr_qty,jr_type,"BS",jr_art,A77,jr_year,p_year))</f>
        <v/>
      </c>
      <c r="J77" s="60" t="str">
        <f>IF(A77="",IF(B77="","","Référence manquante"),IF(COUNTIF($A$6:$A$505,A77)&gt;1,"Référence en double",IF(B77="","Désignation manquante",IF(C77="","Unité manquante","OK"))))</f>
        <v/>
      </c>
    </row>
    <row r="78">
      <c r="A78" s="59" t="n"/>
      <c r="B78" s="59" t="n"/>
      <c r="C78" s="54" t="n"/>
      <c r="D78" s="127" t="n"/>
      <c r="E78" s="128" t="n"/>
      <c r="F78" s="128" t="n"/>
      <c r="G78" s="57" t="str">
        <f>IF(A78="","",SUMIFS(jr_qty,jr_type,"BL",jr_art,A78,jr_year,p_year))</f>
        <v/>
      </c>
      <c r="H78" s="57" t="str">
        <f>IF(A78="","",SUMIFS(jr_qty,jr_type,"BR",jr_art,A78,jr_year,p_year))</f>
        <v/>
      </c>
      <c r="I78" s="57" t="str">
        <f>IF(A78="","",SUMIFS(jr_qty,jr_type,"BS",jr_art,A78,jr_year,p_year))</f>
        <v/>
      </c>
      <c r="J78" s="60" t="str">
        <f>IF(A78="",IF(B78="","","Référence manquante"),IF(COUNTIF($A$6:$A$505,A78)&gt;1,"Référence en double",IF(B78="","Désignation manquante",IF(C78="","Unité manquante","OK"))))</f>
        <v/>
      </c>
    </row>
    <row r="79">
      <c r="A79" s="59" t="n"/>
      <c r="B79" s="59" t="n"/>
      <c r="C79" s="54" t="n"/>
      <c r="D79" s="127" t="n"/>
      <c r="E79" s="128" t="n"/>
      <c r="F79" s="128" t="n"/>
      <c r="G79" s="57" t="str">
        <f>IF(A79="","",SUMIFS(jr_qty,jr_type,"BL",jr_art,A79,jr_year,p_year))</f>
        <v/>
      </c>
      <c r="H79" s="57" t="str">
        <f>IF(A79="","",SUMIFS(jr_qty,jr_type,"BR",jr_art,A79,jr_year,p_year))</f>
        <v/>
      </c>
      <c r="I79" s="57" t="str">
        <f>IF(A79="","",SUMIFS(jr_qty,jr_type,"BS",jr_art,A79,jr_year,p_year))</f>
        <v/>
      </c>
      <c r="J79" s="60" t="str">
        <f>IF(A79="",IF(B79="","","Référence manquante"),IF(COUNTIF($A$6:$A$505,A79)&gt;1,"Référence en double",IF(B79="","Désignation manquante",IF(C79="","Unité manquante","OK"))))</f>
        <v/>
      </c>
    </row>
    <row r="80">
      <c r="A80" s="59" t="n"/>
      <c r="B80" s="59" t="n"/>
      <c r="C80" s="54" t="n"/>
      <c r="D80" s="127" t="n"/>
      <c r="E80" s="128" t="n"/>
      <c r="F80" s="128" t="n"/>
      <c r="G80" s="57" t="str">
        <f>IF(A80="","",SUMIFS(jr_qty,jr_type,"BL",jr_art,A80,jr_year,p_year))</f>
        <v/>
      </c>
      <c r="H80" s="57" t="str">
        <f>IF(A80="","",SUMIFS(jr_qty,jr_type,"BR",jr_art,A80,jr_year,p_year))</f>
        <v/>
      </c>
      <c r="I80" s="57" t="str">
        <f>IF(A80="","",SUMIFS(jr_qty,jr_type,"BS",jr_art,A80,jr_year,p_year))</f>
        <v/>
      </c>
      <c r="J80" s="60" t="str">
        <f>IF(A80="",IF(B80="","","Référence manquante"),IF(COUNTIF($A$6:$A$505,A80)&gt;1,"Référence en double",IF(B80="","Désignation manquante",IF(C80="","Unité manquante","OK"))))</f>
        <v/>
      </c>
    </row>
    <row r="81">
      <c r="A81" s="59" t="n"/>
      <c r="B81" s="59" t="n"/>
      <c r="C81" s="54" t="n"/>
      <c r="D81" s="127" t="n"/>
      <c r="E81" s="128" t="n"/>
      <c r="F81" s="128" t="n"/>
      <c r="G81" s="57" t="str">
        <f>IF(A81="","",SUMIFS(jr_qty,jr_type,"BL",jr_art,A81,jr_year,p_year))</f>
        <v/>
      </c>
      <c r="H81" s="57" t="str">
        <f>IF(A81="","",SUMIFS(jr_qty,jr_type,"BR",jr_art,A81,jr_year,p_year))</f>
        <v/>
      </c>
      <c r="I81" s="57" t="str">
        <f>IF(A81="","",SUMIFS(jr_qty,jr_type,"BS",jr_art,A81,jr_year,p_year))</f>
        <v/>
      </c>
      <c r="J81" s="60" t="str">
        <f>IF(A81="",IF(B81="","","Référence manquante"),IF(COUNTIF($A$6:$A$505,A81)&gt;1,"Référence en double",IF(B81="","Désignation manquante",IF(C81="","Unité manquante","OK"))))</f>
        <v/>
      </c>
    </row>
    <row r="82">
      <c r="A82" s="59" t="n"/>
      <c r="B82" s="59" t="n"/>
      <c r="C82" s="54" t="n"/>
      <c r="D82" s="127" t="n"/>
      <c r="E82" s="128" t="n"/>
      <c r="F82" s="128" t="n"/>
      <c r="G82" s="57" t="str">
        <f>IF(A82="","",SUMIFS(jr_qty,jr_type,"BL",jr_art,A82,jr_year,p_year))</f>
        <v/>
      </c>
      <c r="H82" s="57" t="str">
        <f>IF(A82="","",SUMIFS(jr_qty,jr_type,"BR",jr_art,A82,jr_year,p_year))</f>
        <v/>
      </c>
      <c r="I82" s="57" t="str">
        <f>IF(A82="","",SUMIFS(jr_qty,jr_type,"BS",jr_art,A82,jr_year,p_year))</f>
        <v/>
      </c>
      <c r="J82" s="60" t="str">
        <f>IF(A82="",IF(B82="","","Référence manquante"),IF(COUNTIF($A$6:$A$505,A82)&gt;1,"Référence en double",IF(B82="","Désignation manquante",IF(C82="","Unité manquante","OK"))))</f>
        <v/>
      </c>
    </row>
    <row r="83">
      <c r="A83" s="59" t="n"/>
      <c r="B83" s="59" t="n"/>
      <c r="C83" s="54" t="n"/>
      <c r="D83" s="127" t="n"/>
      <c r="E83" s="128" t="n"/>
      <c r="F83" s="128" t="n"/>
      <c r="G83" s="57" t="str">
        <f>IF(A83="","",SUMIFS(jr_qty,jr_type,"BL",jr_art,A83,jr_year,p_year))</f>
        <v/>
      </c>
      <c r="H83" s="57" t="str">
        <f>IF(A83="","",SUMIFS(jr_qty,jr_type,"BR",jr_art,A83,jr_year,p_year))</f>
        <v/>
      </c>
      <c r="I83" s="57" t="str">
        <f>IF(A83="","",SUMIFS(jr_qty,jr_type,"BS",jr_art,A83,jr_year,p_year))</f>
        <v/>
      </c>
      <c r="J83" s="60" t="str">
        <f>IF(A83="",IF(B83="","","Référence manquante"),IF(COUNTIF($A$6:$A$505,A83)&gt;1,"Référence en double",IF(B83="","Désignation manquante",IF(C83="","Unité manquante","OK"))))</f>
        <v/>
      </c>
    </row>
    <row r="84">
      <c r="A84" s="59" t="n"/>
      <c r="B84" s="59" t="n"/>
      <c r="C84" s="54" t="n"/>
      <c r="D84" s="127" t="n"/>
      <c r="E84" s="128" t="n"/>
      <c r="F84" s="128" t="n"/>
      <c r="G84" s="57" t="str">
        <f>IF(A84="","",SUMIFS(jr_qty,jr_type,"BL",jr_art,A84,jr_year,p_year))</f>
        <v/>
      </c>
      <c r="H84" s="57" t="str">
        <f>IF(A84="","",SUMIFS(jr_qty,jr_type,"BR",jr_art,A84,jr_year,p_year))</f>
        <v/>
      </c>
      <c r="I84" s="57" t="str">
        <f>IF(A84="","",SUMIFS(jr_qty,jr_type,"BS",jr_art,A84,jr_year,p_year))</f>
        <v/>
      </c>
      <c r="J84" s="60" t="str">
        <f>IF(A84="",IF(B84="","","Référence manquante"),IF(COUNTIF($A$6:$A$505,A84)&gt;1,"Référence en double",IF(B84="","Désignation manquante",IF(C84="","Unité manquante","OK"))))</f>
        <v/>
      </c>
    </row>
    <row r="85">
      <c r="A85" s="59" t="n"/>
      <c r="B85" s="59" t="n"/>
      <c r="C85" s="54" t="n"/>
      <c r="D85" s="127" t="n"/>
      <c r="E85" s="128" t="n"/>
      <c r="F85" s="128" t="n"/>
      <c r="G85" s="57" t="str">
        <f>IF(A85="","",SUMIFS(jr_qty,jr_type,"BL",jr_art,A85,jr_year,p_year))</f>
        <v/>
      </c>
      <c r="H85" s="57" t="str">
        <f>IF(A85="","",SUMIFS(jr_qty,jr_type,"BR",jr_art,A85,jr_year,p_year))</f>
        <v/>
      </c>
      <c r="I85" s="57" t="str">
        <f>IF(A85="","",SUMIFS(jr_qty,jr_type,"BS",jr_art,A85,jr_year,p_year))</f>
        <v/>
      </c>
      <c r="J85" s="60" t="str">
        <f>IF(A85="",IF(B85="","","Référence manquante"),IF(COUNTIF($A$6:$A$505,A85)&gt;1,"Référence en double",IF(B85="","Désignation manquante",IF(C85="","Unité manquante","OK"))))</f>
        <v/>
      </c>
    </row>
    <row r="86">
      <c r="A86" s="59" t="n"/>
      <c r="B86" s="59" t="n"/>
      <c r="C86" s="54" t="n"/>
      <c r="D86" s="127" t="n"/>
      <c r="E86" s="128" t="n"/>
      <c r="F86" s="128" t="n"/>
      <c r="G86" s="57" t="str">
        <f>IF(A86="","",SUMIFS(jr_qty,jr_type,"BL",jr_art,A86,jr_year,p_year))</f>
        <v/>
      </c>
      <c r="H86" s="57" t="str">
        <f>IF(A86="","",SUMIFS(jr_qty,jr_type,"BR",jr_art,A86,jr_year,p_year))</f>
        <v/>
      </c>
      <c r="I86" s="57" t="str">
        <f>IF(A86="","",SUMIFS(jr_qty,jr_type,"BS",jr_art,A86,jr_year,p_year))</f>
        <v/>
      </c>
      <c r="J86" s="60" t="str">
        <f>IF(A86="",IF(B86="","","Référence manquante"),IF(COUNTIF($A$6:$A$505,A86)&gt;1,"Référence en double",IF(B86="","Désignation manquante",IF(C86="","Unité manquante","OK"))))</f>
        <v/>
      </c>
    </row>
    <row r="87">
      <c r="A87" s="59" t="n"/>
      <c r="B87" s="59" t="n"/>
      <c r="C87" s="54" t="n"/>
      <c r="D87" s="127" t="n"/>
      <c r="E87" s="128" t="n"/>
      <c r="F87" s="128" t="n"/>
      <c r="G87" s="57" t="str">
        <f>IF(A87="","",SUMIFS(jr_qty,jr_type,"BL",jr_art,A87,jr_year,p_year))</f>
        <v/>
      </c>
      <c r="H87" s="57" t="str">
        <f>IF(A87="","",SUMIFS(jr_qty,jr_type,"BR",jr_art,A87,jr_year,p_year))</f>
        <v/>
      </c>
      <c r="I87" s="57" t="str">
        <f>IF(A87="","",SUMIFS(jr_qty,jr_type,"BS",jr_art,A87,jr_year,p_year))</f>
        <v/>
      </c>
      <c r="J87" s="60" t="str">
        <f>IF(A87="",IF(B87="","","Référence manquante"),IF(COUNTIF($A$6:$A$505,A87)&gt;1,"Référence en double",IF(B87="","Désignation manquante",IF(C87="","Unité manquante","OK"))))</f>
        <v/>
      </c>
    </row>
    <row r="88">
      <c r="A88" s="59" t="n"/>
      <c r="B88" s="59" t="n"/>
      <c r="C88" s="54" t="n"/>
      <c r="D88" s="127" t="n"/>
      <c r="E88" s="128" t="n"/>
      <c r="F88" s="128" t="n"/>
      <c r="G88" s="57" t="str">
        <f>IF(A88="","",SUMIFS(jr_qty,jr_type,"BL",jr_art,A88,jr_year,p_year))</f>
        <v/>
      </c>
      <c r="H88" s="57" t="str">
        <f>IF(A88="","",SUMIFS(jr_qty,jr_type,"BR",jr_art,A88,jr_year,p_year))</f>
        <v/>
      </c>
      <c r="I88" s="57" t="str">
        <f>IF(A88="","",SUMIFS(jr_qty,jr_type,"BS",jr_art,A88,jr_year,p_year))</f>
        <v/>
      </c>
      <c r="J88" s="60" t="str">
        <f>IF(A88="",IF(B88="","","Référence manquante"),IF(COUNTIF($A$6:$A$505,A88)&gt;1,"Référence en double",IF(B88="","Désignation manquante",IF(C88="","Unité manquante","OK"))))</f>
        <v/>
      </c>
    </row>
    <row r="89">
      <c r="A89" s="59" t="n"/>
      <c r="B89" s="59" t="n"/>
      <c r="C89" s="54" t="n"/>
      <c r="D89" s="127" t="n"/>
      <c r="E89" s="128" t="n"/>
      <c r="F89" s="128" t="n"/>
      <c r="G89" s="57" t="str">
        <f>IF(A89="","",SUMIFS(jr_qty,jr_type,"BL",jr_art,A89,jr_year,p_year))</f>
        <v/>
      </c>
      <c r="H89" s="57" t="str">
        <f>IF(A89="","",SUMIFS(jr_qty,jr_type,"BR",jr_art,A89,jr_year,p_year))</f>
        <v/>
      </c>
      <c r="I89" s="57" t="str">
        <f>IF(A89="","",SUMIFS(jr_qty,jr_type,"BS",jr_art,A89,jr_year,p_year))</f>
        <v/>
      </c>
      <c r="J89" s="60" t="str">
        <f>IF(A89="",IF(B89="","","Référence manquante"),IF(COUNTIF($A$6:$A$505,A89)&gt;1,"Référence en double",IF(B89="","Désignation manquante",IF(C89="","Unité manquante","OK"))))</f>
        <v/>
      </c>
    </row>
    <row r="90">
      <c r="A90" s="59" t="n"/>
      <c r="B90" s="59" t="n"/>
      <c r="C90" s="54" t="n"/>
      <c r="D90" s="127" t="n"/>
      <c r="E90" s="128" t="n"/>
      <c r="F90" s="128" t="n"/>
      <c r="G90" s="57" t="str">
        <f>IF(A90="","",SUMIFS(jr_qty,jr_type,"BL",jr_art,A90,jr_year,p_year))</f>
        <v/>
      </c>
      <c r="H90" s="57" t="str">
        <f>IF(A90="","",SUMIFS(jr_qty,jr_type,"BR",jr_art,A90,jr_year,p_year))</f>
        <v/>
      </c>
      <c r="I90" s="57" t="str">
        <f>IF(A90="","",SUMIFS(jr_qty,jr_type,"BS",jr_art,A90,jr_year,p_year))</f>
        <v/>
      </c>
      <c r="J90" s="60" t="str">
        <f>IF(A90="",IF(B90="","","Référence manquante"),IF(COUNTIF($A$6:$A$505,A90)&gt;1,"Référence en double",IF(B90="","Désignation manquante",IF(C90="","Unité manquante","OK"))))</f>
        <v/>
      </c>
    </row>
    <row r="91">
      <c r="A91" s="59" t="n"/>
      <c r="B91" s="59" t="n"/>
      <c r="C91" s="54" t="n"/>
      <c r="D91" s="127" t="n"/>
      <c r="E91" s="128" t="n"/>
      <c r="F91" s="128" t="n"/>
      <c r="G91" s="57" t="str">
        <f>IF(A91="","",SUMIFS(jr_qty,jr_type,"BL",jr_art,A91,jr_year,p_year))</f>
        <v/>
      </c>
      <c r="H91" s="57" t="str">
        <f>IF(A91="","",SUMIFS(jr_qty,jr_type,"BR",jr_art,A91,jr_year,p_year))</f>
        <v/>
      </c>
      <c r="I91" s="57" t="str">
        <f>IF(A91="","",SUMIFS(jr_qty,jr_type,"BS",jr_art,A91,jr_year,p_year))</f>
        <v/>
      </c>
      <c r="J91" s="60" t="str">
        <f>IF(A91="",IF(B91="","","Référence manquante"),IF(COUNTIF($A$6:$A$505,A91)&gt;1,"Référence en double",IF(B91="","Désignation manquante",IF(C91="","Unité manquante","OK"))))</f>
        <v/>
      </c>
    </row>
    <row r="92">
      <c r="A92" s="59" t="n"/>
      <c r="B92" s="59" t="n"/>
      <c r="C92" s="54" t="n"/>
      <c r="D92" s="127" t="n"/>
      <c r="E92" s="128" t="n"/>
      <c r="F92" s="128" t="n"/>
      <c r="G92" s="57" t="str">
        <f>IF(A92="","",SUMIFS(jr_qty,jr_type,"BL",jr_art,A92,jr_year,p_year))</f>
        <v/>
      </c>
      <c r="H92" s="57" t="str">
        <f>IF(A92="","",SUMIFS(jr_qty,jr_type,"BR",jr_art,A92,jr_year,p_year))</f>
        <v/>
      </c>
      <c r="I92" s="57" t="str">
        <f>IF(A92="","",SUMIFS(jr_qty,jr_type,"BS",jr_art,A92,jr_year,p_year))</f>
        <v/>
      </c>
      <c r="J92" s="60" t="str">
        <f>IF(A92="",IF(B92="","","Référence manquante"),IF(COUNTIF($A$6:$A$505,A92)&gt;1,"Référence en double",IF(B92="","Désignation manquante",IF(C92="","Unité manquante","OK"))))</f>
        <v/>
      </c>
    </row>
    <row r="93">
      <c r="A93" s="59" t="n"/>
      <c r="B93" s="59" t="n"/>
      <c r="C93" s="54" t="n"/>
      <c r="D93" s="127" t="n"/>
      <c r="E93" s="128" t="n"/>
      <c r="F93" s="128" t="n"/>
      <c r="G93" s="57" t="str">
        <f>IF(A93="","",SUMIFS(jr_qty,jr_type,"BL",jr_art,A93,jr_year,p_year))</f>
        <v/>
      </c>
      <c r="H93" s="57" t="str">
        <f>IF(A93="","",SUMIFS(jr_qty,jr_type,"BR",jr_art,A93,jr_year,p_year))</f>
        <v/>
      </c>
      <c r="I93" s="57" t="str">
        <f>IF(A93="","",SUMIFS(jr_qty,jr_type,"BS",jr_art,A93,jr_year,p_year))</f>
        <v/>
      </c>
      <c r="J93" s="60" t="str">
        <f>IF(A93="",IF(B93="","","Référence manquante"),IF(COUNTIF($A$6:$A$505,A93)&gt;1,"Référence en double",IF(B93="","Désignation manquante",IF(C93="","Unité manquante","OK"))))</f>
        <v/>
      </c>
    </row>
    <row r="94">
      <c r="A94" s="59" t="n"/>
      <c r="B94" s="59" t="n"/>
      <c r="C94" s="54" t="n"/>
      <c r="D94" s="127" t="n"/>
      <c r="E94" s="128" t="n"/>
      <c r="F94" s="128" t="n"/>
      <c r="G94" s="57" t="str">
        <f>IF(A94="","",SUMIFS(jr_qty,jr_type,"BL",jr_art,A94,jr_year,p_year))</f>
        <v/>
      </c>
      <c r="H94" s="57" t="str">
        <f>IF(A94="","",SUMIFS(jr_qty,jr_type,"BR",jr_art,A94,jr_year,p_year))</f>
        <v/>
      </c>
      <c r="I94" s="57" t="str">
        <f>IF(A94="","",SUMIFS(jr_qty,jr_type,"BS",jr_art,A94,jr_year,p_year))</f>
        <v/>
      </c>
      <c r="J94" s="60" t="str">
        <f>IF(A94="",IF(B94="","","Référence manquante"),IF(COUNTIF($A$6:$A$505,A94)&gt;1,"Référence en double",IF(B94="","Désignation manquante",IF(C94="","Unité manquante","OK"))))</f>
        <v/>
      </c>
    </row>
    <row r="95">
      <c r="A95" s="59" t="n"/>
      <c r="B95" s="59" t="n"/>
      <c r="C95" s="54" t="n"/>
      <c r="D95" s="127" t="n"/>
      <c r="E95" s="128" t="n"/>
      <c r="F95" s="128" t="n"/>
      <c r="G95" s="57" t="str">
        <f>IF(A95="","",SUMIFS(jr_qty,jr_type,"BL",jr_art,A95,jr_year,p_year))</f>
        <v/>
      </c>
      <c r="H95" s="57" t="str">
        <f>IF(A95="","",SUMIFS(jr_qty,jr_type,"BR",jr_art,A95,jr_year,p_year))</f>
        <v/>
      </c>
      <c r="I95" s="57" t="str">
        <f>IF(A95="","",SUMIFS(jr_qty,jr_type,"BS",jr_art,A95,jr_year,p_year))</f>
        <v/>
      </c>
      <c r="J95" s="60" t="str">
        <f>IF(A95="",IF(B95="","","Référence manquante"),IF(COUNTIF($A$6:$A$505,A95)&gt;1,"Référence en double",IF(B95="","Désignation manquante",IF(C95="","Unité manquante","OK"))))</f>
        <v/>
      </c>
    </row>
    <row r="96">
      <c r="A96" s="59" t="n"/>
      <c r="B96" s="59" t="n"/>
      <c r="C96" s="54" t="n"/>
      <c r="D96" s="127" t="n"/>
      <c r="E96" s="128" t="n"/>
      <c r="F96" s="128" t="n"/>
      <c r="G96" s="57" t="str">
        <f>IF(A96="","",SUMIFS(jr_qty,jr_type,"BL",jr_art,A96,jr_year,p_year))</f>
        <v/>
      </c>
      <c r="H96" s="57" t="str">
        <f>IF(A96="","",SUMIFS(jr_qty,jr_type,"BR",jr_art,A96,jr_year,p_year))</f>
        <v/>
      </c>
      <c r="I96" s="57" t="str">
        <f>IF(A96="","",SUMIFS(jr_qty,jr_type,"BS",jr_art,A96,jr_year,p_year))</f>
        <v/>
      </c>
      <c r="J96" s="60" t="str">
        <f>IF(A96="",IF(B96="","","Référence manquante"),IF(COUNTIF($A$6:$A$505,A96)&gt;1,"Référence en double",IF(B96="","Désignation manquante",IF(C96="","Unité manquante","OK"))))</f>
        <v/>
      </c>
    </row>
    <row r="97">
      <c r="A97" s="59" t="n"/>
      <c r="B97" s="59" t="n"/>
      <c r="C97" s="54" t="n"/>
      <c r="D97" s="127" t="n"/>
      <c r="E97" s="128" t="n"/>
      <c r="F97" s="128" t="n"/>
      <c r="G97" s="57" t="str">
        <f>IF(A97="","",SUMIFS(jr_qty,jr_type,"BL",jr_art,A97,jr_year,p_year))</f>
        <v/>
      </c>
      <c r="H97" s="57" t="str">
        <f>IF(A97="","",SUMIFS(jr_qty,jr_type,"BR",jr_art,A97,jr_year,p_year))</f>
        <v/>
      </c>
      <c r="I97" s="57" t="str">
        <f>IF(A97="","",SUMIFS(jr_qty,jr_type,"BS",jr_art,A97,jr_year,p_year))</f>
        <v/>
      </c>
      <c r="J97" s="60" t="str">
        <f>IF(A97="",IF(B97="","","Référence manquante"),IF(COUNTIF($A$6:$A$505,A97)&gt;1,"Référence en double",IF(B97="","Désignation manquante",IF(C97="","Unité manquante","OK"))))</f>
        <v/>
      </c>
    </row>
    <row r="98">
      <c r="A98" s="59" t="n"/>
      <c r="B98" s="59" t="n"/>
      <c r="C98" s="54" t="n"/>
      <c r="D98" s="127" t="n"/>
      <c r="E98" s="128" t="n"/>
      <c r="F98" s="128" t="n"/>
      <c r="G98" s="57" t="str">
        <f>IF(A98="","",SUMIFS(jr_qty,jr_type,"BL",jr_art,A98,jr_year,p_year))</f>
        <v/>
      </c>
      <c r="H98" s="57" t="str">
        <f>IF(A98="","",SUMIFS(jr_qty,jr_type,"BR",jr_art,A98,jr_year,p_year))</f>
        <v/>
      </c>
      <c r="I98" s="57" t="str">
        <f>IF(A98="","",SUMIFS(jr_qty,jr_type,"BS",jr_art,A98,jr_year,p_year))</f>
        <v/>
      </c>
      <c r="J98" s="60" t="str">
        <f>IF(A98="",IF(B98="","","Référence manquante"),IF(COUNTIF($A$6:$A$505,A98)&gt;1,"Référence en double",IF(B98="","Désignation manquante",IF(C98="","Unité manquante","OK"))))</f>
        <v/>
      </c>
    </row>
    <row r="99">
      <c r="A99" s="59" t="n"/>
      <c r="B99" s="59" t="n"/>
      <c r="C99" s="54" t="n"/>
      <c r="D99" s="127" t="n"/>
      <c r="E99" s="128" t="n"/>
      <c r="F99" s="128" t="n"/>
      <c r="G99" s="57" t="str">
        <f>IF(A99="","",SUMIFS(jr_qty,jr_type,"BL",jr_art,A99,jr_year,p_year))</f>
        <v/>
      </c>
      <c r="H99" s="57" t="str">
        <f>IF(A99="","",SUMIFS(jr_qty,jr_type,"BR",jr_art,A99,jr_year,p_year))</f>
        <v/>
      </c>
      <c r="I99" s="57" t="str">
        <f>IF(A99="","",SUMIFS(jr_qty,jr_type,"BS",jr_art,A99,jr_year,p_year))</f>
        <v/>
      </c>
      <c r="J99" s="60" t="str">
        <f>IF(A99="",IF(B99="","","Référence manquante"),IF(COUNTIF($A$6:$A$505,A99)&gt;1,"Référence en double",IF(B99="","Désignation manquante",IF(C99="","Unité manquante","OK"))))</f>
        <v/>
      </c>
    </row>
    <row r="100">
      <c r="A100" s="59" t="n"/>
      <c r="B100" s="59" t="n"/>
      <c r="C100" s="54" t="n"/>
      <c r="D100" s="127" t="n"/>
      <c r="E100" s="128" t="n"/>
      <c r="F100" s="128" t="n"/>
      <c r="G100" s="57" t="str">
        <f>IF(A100="","",SUMIFS(jr_qty,jr_type,"BL",jr_art,A100,jr_year,p_year))</f>
        <v/>
      </c>
      <c r="H100" s="57" t="str">
        <f>IF(A100="","",SUMIFS(jr_qty,jr_type,"BR",jr_art,A100,jr_year,p_year))</f>
        <v/>
      </c>
      <c r="I100" s="57" t="str">
        <f>IF(A100="","",SUMIFS(jr_qty,jr_type,"BS",jr_art,A100,jr_year,p_year))</f>
        <v/>
      </c>
      <c r="J100" s="60" t="str">
        <f>IF(A100="",IF(B100="","","Référence manquante"),IF(COUNTIF($A$6:$A$505,A100)&gt;1,"Référence en double",IF(B100="","Désignation manquante",IF(C100="","Unité manquante","OK"))))</f>
        <v/>
      </c>
    </row>
    <row r="101">
      <c r="A101" s="59" t="n"/>
      <c r="B101" s="59" t="n"/>
      <c r="C101" s="54" t="n"/>
      <c r="D101" s="127" t="n"/>
      <c r="E101" s="128" t="n"/>
      <c r="F101" s="128" t="n"/>
      <c r="G101" s="57" t="str">
        <f>IF(A101="","",SUMIFS(jr_qty,jr_type,"BL",jr_art,A101,jr_year,p_year))</f>
        <v/>
      </c>
      <c r="H101" s="57" t="str">
        <f>IF(A101="","",SUMIFS(jr_qty,jr_type,"BR",jr_art,A101,jr_year,p_year))</f>
        <v/>
      </c>
      <c r="I101" s="57" t="str">
        <f>IF(A101="","",SUMIFS(jr_qty,jr_type,"BS",jr_art,A101,jr_year,p_year))</f>
        <v/>
      </c>
      <c r="J101" s="60" t="str">
        <f>IF(A101="",IF(B101="","","Référence manquante"),IF(COUNTIF($A$6:$A$505,A101)&gt;1,"Référence en double",IF(B101="","Désignation manquante",IF(C101="","Unité manquante","OK"))))</f>
        <v/>
      </c>
    </row>
    <row r="102">
      <c r="A102" s="59" t="n"/>
      <c r="B102" s="59" t="n"/>
      <c r="C102" s="54" t="n"/>
      <c r="D102" s="127" t="n"/>
      <c r="E102" s="128" t="n"/>
      <c r="F102" s="128" t="n"/>
      <c r="G102" s="57" t="str">
        <f>IF(A102="","",SUMIFS(jr_qty,jr_type,"BL",jr_art,A102,jr_year,p_year))</f>
        <v/>
      </c>
      <c r="H102" s="57" t="str">
        <f>IF(A102="","",SUMIFS(jr_qty,jr_type,"BR",jr_art,A102,jr_year,p_year))</f>
        <v/>
      </c>
      <c r="I102" s="57" t="str">
        <f>IF(A102="","",SUMIFS(jr_qty,jr_type,"BS",jr_art,A102,jr_year,p_year))</f>
        <v/>
      </c>
      <c r="J102" s="60" t="str">
        <f>IF(A102="",IF(B102="","","Référence manquante"),IF(COUNTIF($A$6:$A$505,A102)&gt;1,"Référence en double",IF(B102="","Désignation manquante",IF(C102="","Unité manquante","OK"))))</f>
        <v/>
      </c>
    </row>
    <row r="103">
      <c r="A103" s="59" t="n"/>
      <c r="B103" s="59" t="n"/>
      <c r="C103" s="54" t="n"/>
      <c r="D103" s="127" t="n"/>
      <c r="E103" s="128" t="n"/>
      <c r="F103" s="128" t="n"/>
      <c r="G103" s="57" t="str">
        <f>IF(A103="","",SUMIFS(jr_qty,jr_type,"BL",jr_art,A103,jr_year,p_year))</f>
        <v/>
      </c>
      <c r="H103" s="57" t="str">
        <f>IF(A103="","",SUMIFS(jr_qty,jr_type,"BR",jr_art,A103,jr_year,p_year))</f>
        <v/>
      </c>
      <c r="I103" s="57" t="str">
        <f>IF(A103="","",SUMIFS(jr_qty,jr_type,"BS",jr_art,A103,jr_year,p_year))</f>
        <v/>
      </c>
      <c r="J103" s="60" t="str">
        <f>IF(A103="",IF(B103="","","Référence manquante"),IF(COUNTIF($A$6:$A$505,A103)&gt;1,"Référence en double",IF(B103="","Désignation manquante",IF(C103="","Unité manquante","OK"))))</f>
        <v/>
      </c>
    </row>
    <row r="104">
      <c r="A104" s="59" t="n"/>
      <c r="B104" s="59" t="n"/>
      <c r="C104" s="54" t="n"/>
      <c r="D104" s="127" t="n"/>
      <c r="E104" s="128" t="n"/>
      <c r="F104" s="128" t="n"/>
      <c r="G104" s="57" t="str">
        <f>IF(A104="","",SUMIFS(jr_qty,jr_type,"BL",jr_art,A104,jr_year,p_year))</f>
        <v/>
      </c>
      <c r="H104" s="57" t="str">
        <f>IF(A104="","",SUMIFS(jr_qty,jr_type,"BR",jr_art,A104,jr_year,p_year))</f>
        <v/>
      </c>
      <c r="I104" s="57" t="str">
        <f>IF(A104="","",SUMIFS(jr_qty,jr_type,"BS",jr_art,A104,jr_year,p_year))</f>
        <v/>
      </c>
      <c r="J104" s="60" t="str">
        <f>IF(A104="",IF(B104="","","Référence manquante"),IF(COUNTIF($A$6:$A$505,A104)&gt;1,"Référence en double",IF(B104="","Désignation manquante",IF(C104="","Unité manquante","OK"))))</f>
        <v/>
      </c>
    </row>
    <row r="105">
      <c r="A105" s="59" t="n"/>
      <c r="B105" s="59" t="n"/>
      <c r="C105" s="54" t="n"/>
      <c r="D105" s="127" t="n"/>
      <c r="E105" s="128" t="n"/>
      <c r="F105" s="128" t="n"/>
      <c r="G105" s="57" t="str">
        <f>IF(A105="","",SUMIFS(jr_qty,jr_type,"BL",jr_art,A105,jr_year,p_year))</f>
        <v/>
      </c>
      <c r="H105" s="57" t="str">
        <f>IF(A105="","",SUMIFS(jr_qty,jr_type,"BR",jr_art,A105,jr_year,p_year))</f>
        <v/>
      </c>
      <c r="I105" s="57" t="str">
        <f>IF(A105="","",SUMIFS(jr_qty,jr_type,"BS",jr_art,A105,jr_year,p_year))</f>
        <v/>
      </c>
      <c r="J105" s="60" t="str">
        <f>IF(A105="",IF(B105="","","Référence manquante"),IF(COUNTIF($A$6:$A$505,A105)&gt;1,"Référence en double",IF(B105="","Désignation manquante",IF(C105="","Unité manquante","OK"))))</f>
        <v/>
      </c>
    </row>
    <row r="106">
      <c r="A106" s="59" t="n"/>
      <c r="B106" s="59" t="n"/>
      <c r="C106" s="54" t="n"/>
      <c r="D106" s="127" t="n"/>
      <c r="E106" s="128" t="n"/>
      <c r="F106" s="128" t="n"/>
      <c r="G106" s="57" t="str">
        <f>IF(A106="","",SUMIFS(jr_qty,jr_type,"BL",jr_art,A106,jr_year,p_year))</f>
        <v/>
      </c>
      <c r="H106" s="57" t="str">
        <f>IF(A106="","",SUMIFS(jr_qty,jr_type,"BR",jr_art,A106,jr_year,p_year))</f>
        <v/>
      </c>
      <c r="I106" s="57" t="str">
        <f>IF(A106="","",SUMIFS(jr_qty,jr_type,"BS",jr_art,A106,jr_year,p_year))</f>
        <v/>
      </c>
      <c r="J106" s="60" t="str">
        <f>IF(A106="",IF(B106="","","Référence manquante"),IF(COUNTIF($A$6:$A$505,A106)&gt;1,"Référence en double",IF(B106="","Désignation manquante",IF(C106="","Unité manquante","OK"))))</f>
        <v/>
      </c>
    </row>
    <row r="107">
      <c r="A107" s="59" t="n"/>
      <c r="B107" s="59" t="n"/>
      <c r="C107" s="54" t="n"/>
      <c r="D107" s="127" t="n"/>
      <c r="E107" s="128" t="n"/>
      <c r="F107" s="128" t="n"/>
      <c r="G107" s="57" t="str">
        <f>IF(A107="","",SUMIFS(jr_qty,jr_type,"BL",jr_art,A107,jr_year,p_year))</f>
        <v/>
      </c>
      <c r="H107" s="57" t="str">
        <f>IF(A107="","",SUMIFS(jr_qty,jr_type,"BR",jr_art,A107,jr_year,p_year))</f>
        <v/>
      </c>
      <c r="I107" s="57" t="str">
        <f>IF(A107="","",SUMIFS(jr_qty,jr_type,"BS",jr_art,A107,jr_year,p_year))</f>
        <v/>
      </c>
      <c r="J107" s="60" t="str">
        <f>IF(A107="",IF(B107="","","Référence manquante"),IF(COUNTIF($A$6:$A$505,A107)&gt;1,"Référence en double",IF(B107="","Désignation manquante",IF(C107="","Unité manquante","OK"))))</f>
        <v/>
      </c>
    </row>
    <row r="108">
      <c r="A108" s="59" t="n"/>
      <c r="B108" s="59" t="n"/>
      <c r="C108" s="54" t="n"/>
      <c r="D108" s="127" t="n"/>
      <c r="E108" s="128" t="n"/>
      <c r="F108" s="128" t="n"/>
      <c r="G108" s="57" t="str">
        <f>IF(A108="","",SUMIFS(jr_qty,jr_type,"BL",jr_art,A108,jr_year,p_year))</f>
        <v/>
      </c>
      <c r="H108" s="57" t="str">
        <f>IF(A108="","",SUMIFS(jr_qty,jr_type,"BR",jr_art,A108,jr_year,p_year))</f>
        <v/>
      </c>
      <c r="I108" s="57" t="str">
        <f>IF(A108="","",SUMIFS(jr_qty,jr_type,"BS",jr_art,A108,jr_year,p_year))</f>
        <v/>
      </c>
      <c r="J108" s="60" t="str">
        <f>IF(A108="",IF(B108="","","Référence manquante"),IF(COUNTIF($A$6:$A$505,A108)&gt;1,"Référence en double",IF(B108="","Désignation manquante",IF(C108="","Unité manquante","OK"))))</f>
        <v/>
      </c>
    </row>
    <row r="109">
      <c r="A109" s="59" t="n"/>
      <c r="B109" s="59" t="n"/>
      <c r="C109" s="54" t="n"/>
      <c r="D109" s="127" t="n"/>
      <c r="E109" s="128" t="n"/>
      <c r="F109" s="128" t="n"/>
      <c r="G109" s="57" t="str">
        <f>IF(A109="","",SUMIFS(jr_qty,jr_type,"BL",jr_art,A109,jr_year,p_year))</f>
        <v/>
      </c>
      <c r="H109" s="57" t="str">
        <f>IF(A109="","",SUMIFS(jr_qty,jr_type,"BR",jr_art,A109,jr_year,p_year))</f>
        <v/>
      </c>
      <c r="I109" s="57" t="str">
        <f>IF(A109="","",SUMIFS(jr_qty,jr_type,"BS",jr_art,A109,jr_year,p_year))</f>
        <v/>
      </c>
      <c r="J109" s="60" t="str">
        <f>IF(A109="",IF(B109="","","Référence manquante"),IF(COUNTIF($A$6:$A$505,A109)&gt;1,"Référence en double",IF(B109="","Désignation manquante",IF(C109="","Unité manquante","OK"))))</f>
        <v/>
      </c>
    </row>
    <row r="110">
      <c r="A110" s="59" t="n"/>
      <c r="B110" s="59" t="n"/>
      <c r="C110" s="54" t="n"/>
      <c r="D110" s="127" t="n"/>
      <c r="E110" s="128" t="n"/>
      <c r="F110" s="128" t="n"/>
      <c r="G110" s="57" t="str">
        <f>IF(A110="","",SUMIFS(jr_qty,jr_type,"BL",jr_art,A110,jr_year,p_year))</f>
        <v/>
      </c>
      <c r="H110" s="57" t="str">
        <f>IF(A110="","",SUMIFS(jr_qty,jr_type,"BR",jr_art,A110,jr_year,p_year))</f>
        <v/>
      </c>
      <c r="I110" s="57" t="str">
        <f>IF(A110="","",SUMIFS(jr_qty,jr_type,"BS",jr_art,A110,jr_year,p_year))</f>
        <v/>
      </c>
      <c r="J110" s="60" t="str">
        <f>IF(A110="",IF(B110="","","Référence manquante"),IF(COUNTIF($A$6:$A$505,A110)&gt;1,"Référence en double",IF(B110="","Désignation manquante",IF(C110="","Unité manquante","OK"))))</f>
        <v/>
      </c>
    </row>
    <row r="111">
      <c r="A111" s="59" t="n"/>
      <c r="B111" s="59" t="n"/>
      <c r="C111" s="54" t="n"/>
      <c r="D111" s="127" t="n"/>
      <c r="E111" s="128" t="n"/>
      <c r="F111" s="128" t="n"/>
      <c r="G111" s="57" t="str">
        <f>IF(A111="","",SUMIFS(jr_qty,jr_type,"BL",jr_art,A111,jr_year,p_year))</f>
        <v/>
      </c>
      <c r="H111" s="57" t="str">
        <f>IF(A111="","",SUMIFS(jr_qty,jr_type,"BR",jr_art,A111,jr_year,p_year))</f>
        <v/>
      </c>
      <c r="I111" s="57" t="str">
        <f>IF(A111="","",SUMIFS(jr_qty,jr_type,"BS",jr_art,A111,jr_year,p_year))</f>
        <v/>
      </c>
      <c r="J111" s="60" t="str">
        <f>IF(A111="",IF(B111="","","Référence manquante"),IF(COUNTIF($A$6:$A$505,A111)&gt;1,"Référence en double",IF(B111="","Désignation manquante",IF(C111="","Unité manquante","OK"))))</f>
        <v/>
      </c>
    </row>
    <row r="112">
      <c r="A112" s="59" t="n"/>
      <c r="B112" s="59" t="n"/>
      <c r="C112" s="54" t="n"/>
      <c r="D112" s="127" t="n"/>
      <c r="E112" s="128" t="n"/>
      <c r="F112" s="128" t="n"/>
      <c r="G112" s="57" t="str">
        <f>IF(A112="","",SUMIFS(jr_qty,jr_type,"BL",jr_art,A112,jr_year,p_year))</f>
        <v/>
      </c>
      <c r="H112" s="57" t="str">
        <f>IF(A112="","",SUMIFS(jr_qty,jr_type,"BR",jr_art,A112,jr_year,p_year))</f>
        <v/>
      </c>
      <c r="I112" s="57" t="str">
        <f>IF(A112="","",SUMIFS(jr_qty,jr_type,"BS",jr_art,A112,jr_year,p_year))</f>
        <v/>
      </c>
      <c r="J112" s="60" t="str">
        <f>IF(A112="",IF(B112="","","Référence manquante"),IF(COUNTIF($A$6:$A$505,A112)&gt;1,"Référence en double",IF(B112="","Désignation manquante",IF(C112="","Unité manquante","OK"))))</f>
        <v/>
      </c>
    </row>
    <row r="113">
      <c r="A113" s="59" t="n"/>
      <c r="B113" s="59" t="n"/>
      <c r="C113" s="54" t="n"/>
      <c r="D113" s="127" t="n"/>
      <c r="E113" s="128" t="n"/>
      <c r="F113" s="128" t="n"/>
      <c r="G113" s="57" t="str">
        <f>IF(A113="","",SUMIFS(jr_qty,jr_type,"BL",jr_art,A113,jr_year,p_year))</f>
        <v/>
      </c>
      <c r="H113" s="57" t="str">
        <f>IF(A113="","",SUMIFS(jr_qty,jr_type,"BR",jr_art,A113,jr_year,p_year))</f>
        <v/>
      </c>
      <c r="I113" s="57" t="str">
        <f>IF(A113="","",SUMIFS(jr_qty,jr_type,"BS",jr_art,A113,jr_year,p_year))</f>
        <v/>
      </c>
      <c r="J113" s="60" t="str">
        <f>IF(A113="",IF(B113="","","Référence manquante"),IF(COUNTIF($A$6:$A$505,A113)&gt;1,"Référence en double",IF(B113="","Désignation manquante",IF(C113="","Unité manquante","OK"))))</f>
        <v/>
      </c>
    </row>
    <row r="114">
      <c r="A114" s="59" t="n"/>
      <c r="B114" s="59" t="n"/>
      <c r="C114" s="54" t="n"/>
      <c r="D114" s="127" t="n"/>
      <c r="E114" s="128" t="n"/>
      <c r="F114" s="128" t="n"/>
      <c r="G114" s="57" t="str">
        <f>IF(A114="","",SUMIFS(jr_qty,jr_type,"BL",jr_art,A114,jr_year,p_year))</f>
        <v/>
      </c>
      <c r="H114" s="57" t="str">
        <f>IF(A114="","",SUMIFS(jr_qty,jr_type,"BR",jr_art,A114,jr_year,p_year))</f>
        <v/>
      </c>
      <c r="I114" s="57" t="str">
        <f>IF(A114="","",SUMIFS(jr_qty,jr_type,"BS",jr_art,A114,jr_year,p_year))</f>
        <v/>
      </c>
      <c r="J114" s="60" t="str">
        <f>IF(A114="",IF(B114="","","Référence manquante"),IF(COUNTIF($A$6:$A$505,A114)&gt;1,"Référence en double",IF(B114="","Désignation manquante",IF(C114="","Unité manquante","OK"))))</f>
        <v/>
      </c>
    </row>
    <row r="115">
      <c r="A115" s="59" t="n"/>
      <c r="B115" s="59" t="n"/>
      <c r="C115" s="54" t="n"/>
      <c r="D115" s="127" t="n"/>
      <c r="E115" s="128" t="n"/>
      <c r="F115" s="128" t="n"/>
      <c r="G115" s="57" t="str">
        <f>IF(A115="","",SUMIFS(jr_qty,jr_type,"BL",jr_art,A115,jr_year,p_year))</f>
        <v/>
      </c>
      <c r="H115" s="57" t="str">
        <f>IF(A115="","",SUMIFS(jr_qty,jr_type,"BR",jr_art,A115,jr_year,p_year))</f>
        <v/>
      </c>
      <c r="I115" s="57" t="str">
        <f>IF(A115="","",SUMIFS(jr_qty,jr_type,"BS",jr_art,A115,jr_year,p_year))</f>
        <v/>
      </c>
      <c r="J115" s="60" t="str">
        <f>IF(A115="",IF(B115="","","Référence manquante"),IF(COUNTIF($A$6:$A$505,A115)&gt;1,"Référence en double",IF(B115="","Désignation manquante",IF(C115="","Unité manquante","OK"))))</f>
        <v/>
      </c>
    </row>
    <row r="116">
      <c r="A116" s="59" t="n"/>
      <c r="B116" s="59" t="n"/>
      <c r="C116" s="54" t="n"/>
      <c r="D116" s="127" t="n"/>
      <c r="E116" s="128" t="n"/>
      <c r="F116" s="128" t="n"/>
      <c r="G116" s="57" t="str">
        <f>IF(A116="","",SUMIFS(jr_qty,jr_type,"BL",jr_art,A116,jr_year,p_year))</f>
        <v/>
      </c>
      <c r="H116" s="57" t="str">
        <f>IF(A116="","",SUMIFS(jr_qty,jr_type,"BR",jr_art,A116,jr_year,p_year))</f>
        <v/>
      </c>
      <c r="I116" s="57" t="str">
        <f>IF(A116="","",SUMIFS(jr_qty,jr_type,"BS",jr_art,A116,jr_year,p_year))</f>
        <v/>
      </c>
      <c r="J116" s="60" t="str">
        <f>IF(A116="",IF(B116="","","Référence manquante"),IF(COUNTIF($A$6:$A$505,A116)&gt;1,"Référence en double",IF(B116="","Désignation manquante",IF(C116="","Unité manquante","OK"))))</f>
        <v/>
      </c>
    </row>
    <row r="117">
      <c r="A117" s="59" t="n"/>
      <c r="B117" s="59" t="n"/>
      <c r="C117" s="54" t="n"/>
      <c r="D117" s="127" t="n"/>
      <c r="E117" s="128" t="n"/>
      <c r="F117" s="128" t="n"/>
      <c r="G117" s="57" t="str">
        <f>IF(A117="","",SUMIFS(jr_qty,jr_type,"BL",jr_art,A117,jr_year,p_year))</f>
        <v/>
      </c>
      <c r="H117" s="57" t="str">
        <f>IF(A117="","",SUMIFS(jr_qty,jr_type,"BR",jr_art,A117,jr_year,p_year))</f>
        <v/>
      </c>
      <c r="I117" s="57" t="str">
        <f>IF(A117="","",SUMIFS(jr_qty,jr_type,"BS",jr_art,A117,jr_year,p_year))</f>
        <v/>
      </c>
      <c r="J117" s="60" t="str">
        <f>IF(A117="",IF(B117="","","Référence manquante"),IF(COUNTIF($A$6:$A$505,A117)&gt;1,"Référence en double",IF(B117="","Désignation manquante",IF(C117="","Unité manquante","OK"))))</f>
        <v/>
      </c>
    </row>
    <row r="118">
      <c r="A118" s="59" t="n"/>
      <c r="B118" s="59" t="n"/>
      <c r="C118" s="54" t="n"/>
      <c r="D118" s="127" t="n"/>
      <c r="E118" s="128" t="n"/>
      <c r="F118" s="128" t="n"/>
      <c r="G118" s="57" t="str">
        <f>IF(A118="","",SUMIFS(jr_qty,jr_type,"BL",jr_art,A118,jr_year,p_year))</f>
        <v/>
      </c>
      <c r="H118" s="57" t="str">
        <f>IF(A118="","",SUMIFS(jr_qty,jr_type,"BR",jr_art,A118,jr_year,p_year))</f>
        <v/>
      </c>
      <c r="I118" s="57" t="str">
        <f>IF(A118="","",SUMIFS(jr_qty,jr_type,"BS",jr_art,A118,jr_year,p_year))</f>
        <v/>
      </c>
      <c r="J118" s="60" t="str">
        <f>IF(A118="",IF(B118="","","Référence manquante"),IF(COUNTIF($A$6:$A$505,A118)&gt;1,"Référence en double",IF(B118="","Désignation manquante",IF(C118="","Unité manquante","OK"))))</f>
        <v/>
      </c>
    </row>
    <row r="119">
      <c r="A119" s="59" t="n"/>
      <c r="B119" s="59" t="n"/>
      <c r="C119" s="54" t="n"/>
      <c r="D119" s="127" t="n"/>
      <c r="E119" s="128" t="n"/>
      <c r="F119" s="128" t="n"/>
      <c r="G119" s="57" t="str">
        <f>IF(A119="","",SUMIFS(jr_qty,jr_type,"BL",jr_art,A119,jr_year,p_year))</f>
        <v/>
      </c>
      <c r="H119" s="57" t="str">
        <f>IF(A119="","",SUMIFS(jr_qty,jr_type,"BR",jr_art,A119,jr_year,p_year))</f>
        <v/>
      </c>
      <c r="I119" s="57" t="str">
        <f>IF(A119="","",SUMIFS(jr_qty,jr_type,"BS",jr_art,A119,jr_year,p_year))</f>
        <v/>
      </c>
      <c r="J119" s="60" t="str">
        <f>IF(A119="",IF(B119="","","Référence manquante"),IF(COUNTIF($A$6:$A$505,A119)&gt;1,"Référence en double",IF(B119="","Désignation manquante",IF(C119="","Unité manquante","OK"))))</f>
        <v/>
      </c>
    </row>
    <row r="120">
      <c r="A120" s="59" t="n"/>
      <c r="B120" s="59" t="n"/>
      <c r="C120" s="54" t="n"/>
      <c r="D120" s="127" t="n"/>
      <c r="E120" s="128" t="n"/>
      <c r="F120" s="128" t="n"/>
      <c r="G120" s="57" t="str">
        <f>IF(A120="","",SUMIFS(jr_qty,jr_type,"BL",jr_art,A120,jr_year,p_year))</f>
        <v/>
      </c>
      <c r="H120" s="57" t="str">
        <f>IF(A120="","",SUMIFS(jr_qty,jr_type,"BR",jr_art,A120,jr_year,p_year))</f>
        <v/>
      </c>
      <c r="I120" s="57" t="str">
        <f>IF(A120="","",SUMIFS(jr_qty,jr_type,"BS",jr_art,A120,jr_year,p_year))</f>
        <v/>
      </c>
      <c r="J120" s="60" t="str">
        <f>IF(A120="",IF(B120="","","Référence manquante"),IF(COUNTIF($A$6:$A$505,A120)&gt;1,"Référence en double",IF(B120="","Désignation manquante",IF(C120="","Unité manquante","OK"))))</f>
        <v/>
      </c>
    </row>
    <row r="121">
      <c r="A121" s="59" t="n"/>
      <c r="B121" s="59" t="n"/>
      <c r="C121" s="54" t="n"/>
      <c r="D121" s="127" t="n"/>
      <c r="E121" s="128" t="n"/>
      <c r="F121" s="128" t="n"/>
      <c r="G121" s="57" t="str">
        <f>IF(A121="","",SUMIFS(jr_qty,jr_type,"BL",jr_art,A121,jr_year,p_year))</f>
        <v/>
      </c>
      <c r="H121" s="57" t="str">
        <f>IF(A121="","",SUMIFS(jr_qty,jr_type,"BR",jr_art,A121,jr_year,p_year))</f>
        <v/>
      </c>
      <c r="I121" s="57" t="str">
        <f>IF(A121="","",SUMIFS(jr_qty,jr_type,"BS",jr_art,A121,jr_year,p_year))</f>
        <v/>
      </c>
      <c r="J121" s="60" t="str">
        <f>IF(A121="",IF(B121="","","Référence manquante"),IF(COUNTIF($A$6:$A$505,A121)&gt;1,"Référence en double",IF(B121="","Désignation manquante",IF(C121="","Unité manquante","OK"))))</f>
        <v/>
      </c>
    </row>
    <row r="122">
      <c r="A122" s="59" t="n"/>
      <c r="B122" s="59" t="n"/>
      <c r="C122" s="54" t="n"/>
      <c r="D122" s="127" t="n"/>
      <c r="E122" s="128" t="n"/>
      <c r="F122" s="128" t="n"/>
      <c r="G122" s="57" t="str">
        <f>IF(A122="","",SUMIFS(jr_qty,jr_type,"BL",jr_art,A122,jr_year,p_year))</f>
        <v/>
      </c>
      <c r="H122" s="57" t="str">
        <f>IF(A122="","",SUMIFS(jr_qty,jr_type,"BR",jr_art,A122,jr_year,p_year))</f>
        <v/>
      </c>
      <c r="I122" s="57" t="str">
        <f>IF(A122="","",SUMIFS(jr_qty,jr_type,"BS",jr_art,A122,jr_year,p_year))</f>
        <v/>
      </c>
      <c r="J122" s="60" t="str">
        <f>IF(A122="",IF(B122="","","Référence manquante"),IF(COUNTIF($A$6:$A$505,A122)&gt;1,"Référence en double",IF(B122="","Désignation manquante",IF(C122="","Unité manquante","OK"))))</f>
        <v/>
      </c>
    </row>
    <row r="123">
      <c r="A123" s="59" t="n"/>
      <c r="B123" s="59" t="n"/>
      <c r="C123" s="54" t="n"/>
      <c r="D123" s="127" t="n"/>
      <c r="E123" s="128" t="n"/>
      <c r="F123" s="128" t="n"/>
      <c r="G123" s="57" t="str">
        <f>IF(A123="","",SUMIFS(jr_qty,jr_type,"BL",jr_art,A123,jr_year,p_year))</f>
        <v/>
      </c>
      <c r="H123" s="57" t="str">
        <f>IF(A123="","",SUMIFS(jr_qty,jr_type,"BR",jr_art,A123,jr_year,p_year))</f>
        <v/>
      </c>
      <c r="I123" s="57" t="str">
        <f>IF(A123="","",SUMIFS(jr_qty,jr_type,"BS",jr_art,A123,jr_year,p_year))</f>
        <v/>
      </c>
      <c r="J123" s="60" t="str">
        <f>IF(A123="",IF(B123="","","Référence manquante"),IF(COUNTIF($A$6:$A$505,A123)&gt;1,"Référence en double",IF(B123="","Désignation manquante",IF(C123="","Unité manquante","OK"))))</f>
        <v/>
      </c>
    </row>
    <row r="124">
      <c r="A124" s="59" t="n"/>
      <c r="B124" s="59" t="n"/>
      <c r="C124" s="54" t="n"/>
      <c r="D124" s="127" t="n"/>
      <c r="E124" s="128" t="n"/>
      <c r="F124" s="128" t="n"/>
      <c r="G124" s="57" t="str">
        <f>IF(A124="","",SUMIFS(jr_qty,jr_type,"BL",jr_art,A124,jr_year,p_year))</f>
        <v/>
      </c>
      <c r="H124" s="57" t="str">
        <f>IF(A124="","",SUMIFS(jr_qty,jr_type,"BR",jr_art,A124,jr_year,p_year))</f>
        <v/>
      </c>
      <c r="I124" s="57" t="str">
        <f>IF(A124="","",SUMIFS(jr_qty,jr_type,"BS",jr_art,A124,jr_year,p_year))</f>
        <v/>
      </c>
      <c r="J124" s="60" t="str">
        <f>IF(A124="",IF(B124="","","Référence manquante"),IF(COUNTIF($A$6:$A$505,A124)&gt;1,"Référence en double",IF(B124="","Désignation manquante",IF(C124="","Unité manquante","OK"))))</f>
        <v/>
      </c>
    </row>
    <row r="125">
      <c r="A125" s="59" t="n"/>
      <c r="B125" s="59" t="n"/>
      <c r="C125" s="54" t="n"/>
      <c r="D125" s="127" t="n"/>
      <c r="E125" s="128" t="n"/>
      <c r="F125" s="128" t="n"/>
      <c r="G125" s="57" t="str">
        <f>IF(A125="","",SUMIFS(jr_qty,jr_type,"BL",jr_art,A125,jr_year,p_year))</f>
        <v/>
      </c>
      <c r="H125" s="57" t="str">
        <f>IF(A125="","",SUMIFS(jr_qty,jr_type,"BR",jr_art,A125,jr_year,p_year))</f>
        <v/>
      </c>
      <c r="I125" s="57" t="str">
        <f>IF(A125="","",SUMIFS(jr_qty,jr_type,"BS",jr_art,A125,jr_year,p_year))</f>
        <v/>
      </c>
      <c r="J125" s="60" t="str">
        <f>IF(A125="",IF(B125="","","Référence manquante"),IF(COUNTIF($A$6:$A$505,A125)&gt;1,"Référence en double",IF(B125="","Désignation manquante",IF(C125="","Unité manquante","OK"))))</f>
        <v/>
      </c>
    </row>
    <row r="126">
      <c r="A126" s="59" t="n"/>
      <c r="B126" s="59" t="n"/>
      <c r="C126" s="54" t="n"/>
      <c r="D126" s="127" t="n"/>
      <c r="E126" s="128" t="n"/>
      <c r="F126" s="128" t="n"/>
      <c r="G126" s="57" t="str">
        <f>IF(A126="","",SUMIFS(jr_qty,jr_type,"BL",jr_art,A126,jr_year,p_year))</f>
        <v/>
      </c>
      <c r="H126" s="57" t="str">
        <f>IF(A126="","",SUMIFS(jr_qty,jr_type,"BR",jr_art,A126,jr_year,p_year))</f>
        <v/>
      </c>
      <c r="I126" s="57" t="str">
        <f>IF(A126="","",SUMIFS(jr_qty,jr_type,"BS",jr_art,A126,jr_year,p_year))</f>
        <v/>
      </c>
      <c r="J126" s="60" t="str">
        <f>IF(A126="",IF(B126="","","Référence manquante"),IF(COUNTIF($A$6:$A$505,A126)&gt;1,"Référence en double",IF(B126="","Désignation manquante",IF(C126="","Unité manquante","OK"))))</f>
        <v/>
      </c>
    </row>
    <row r="127">
      <c r="A127" s="59" t="n"/>
      <c r="B127" s="59" t="n"/>
      <c r="C127" s="54" t="n"/>
      <c r="D127" s="127" t="n"/>
      <c r="E127" s="128" t="n"/>
      <c r="F127" s="128" t="n"/>
      <c r="G127" s="57" t="str">
        <f>IF(A127="","",SUMIFS(jr_qty,jr_type,"BL",jr_art,A127,jr_year,p_year))</f>
        <v/>
      </c>
      <c r="H127" s="57" t="str">
        <f>IF(A127="","",SUMIFS(jr_qty,jr_type,"BR",jr_art,A127,jr_year,p_year))</f>
        <v/>
      </c>
      <c r="I127" s="57" t="str">
        <f>IF(A127="","",SUMIFS(jr_qty,jr_type,"BS",jr_art,A127,jr_year,p_year))</f>
        <v/>
      </c>
      <c r="J127" s="60" t="str">
        <f>IF(A127="",IF(B127="","","Référence manquante"),IF(COUNTIF($A$6:$A$505,A127)&gt;1,"Référence en double",IF(B127="","Désignation manquante",IF(C127="","Unité manquante","OK"))))</f>
        <v/>
      </c>
    </row>
    <row r="128">
      <c r="A128" s="59" t="n"/>
      <c r="B128" s="59" t="n"/>
      <c r="C128" s="54" t="n"/>
      <c r="D128" s="127" t="n"/>
      <c r="E128" s="128" t="n"/>
      <c r="F128" s="128" t="n"/>
      <c r="G128" s="57" t="str">
        <f>IF(A128="","",SUMIFS(jr_qty,jr_type,"BL",jr_art,A128,jr_year,p_year))</f>
        <v/>
      </c>
      <c r="H128" s="57" t="str">
        <f>IF(A128="","",SUMIFS(jr_qty,jr_type,"BR",jr_art,A128,jr_year,p_year))</f>
        <v/>
      </c>
      <c r="I128" s="57" t="str">
        <f>IF(A128="","",SUMIFS(jr_qty,jr_type,"BS",jr_art,A128,jr_year,p_year))</f>
        <v/>
      </c>
      <c r="J128" s="60" t="str">
        <f>IF(A128="",IF(B128="","","Référence manquante"),IF(COUNTIF($A$6:$A$505,A128)&gt;1,"Référence en double",IF(B128="","Désignation manquante",IF(C128="","Unité manquante","OK"))))</f>
        <v/>
      </c>
    </row>
    <row r="129">
      <c r="A129" s="59" t="n"/>
      <c r="B129" s="59" t="n"/>
      <c r="C129" s="54" t="n"/>
      <c r="D129" s="127" t="n"/>
      <c r="E129" s="128" t="n"/>
      <c r="F129" s="128" t="n"/>
      <c r="G129" s="57" t="str">
        <f>IF(A129="","",SUMIFS(jr_qty,jr_type,"BL",jr_art,A129,jr_year,p_year))</f>
        <v/>
      </c>
      <c r="H129" s="57" t="str">
        <f>IF(A129="","",SUMIFS(jr_qty,jr_type,"BR",jr_art,A129,jr_year,p_year))</f>
        <v/>
      </c>
      <c r="I129" s="57" t="str">
        <f>IF(A129="","",SUMIFS(jr_qty,jr_type,"BS",jr_art,A129,jr_year,p_year))</f>
        <v/>
      </c>
      <c r="J129" s="60" t="str">
        <f>IF(A129="",IF(B129="","","Référence manquante"),IF(COUNTIF($A$6:$A$505,A129)&gt;1,"Référence en double",IF(B129="","Désignation manquante",IF(C129="","Unité manquante","OK"))))</f>
        <v/>
      </c>
    </row>
    <row r="130">
      <c r="A130" s="59" t="n"/>
      <c r="B130" s="59" t="n"/>
      <c r="C130" s="54" t="n"/>
      <c r="D130" s="127" t="n"/>
      <c r="E130" s="128" t="n"/>
      <c r="F130" s="128" t="n"/>
      <c r="G130" s="57" t="str">
        <f>IF(A130="","",SUMIFS(jr_qty,jr_type,"BL",jr_art,A130,jr_year,p_year))</f>
        <v/>
      </c>
      <c r="H130" s="57" t="str">
        <f>IF(A130="","",SUMIFS(jr_qty,jr_type,"BR",jr_art,A130,jr_year,p_year))</f>
        <v/>
      </c>
      <c r="I130" s="57" t="str">
        <f>IF(A130="","",SUMIFS(jr_qty,jr_type,"BS",jr_art,A130,jr_year,p_year))</f>
        <v/>
      </c>
      <c r="J130" s="60" t="str">
        <f>IF(A130="",IF(B130="","","Référence manquante"),IF(COUNTIF($A$6:$A$505,A130)&gt;1,"Référence en double",IF(B130="","Désignation manquante",IF(C130="","Unité manquante","OK"))))</f>
        <v/>
      </c>
    </row>
    <row r="131">
      <c r="A131" s="59" t="n"/>
      <c r="B131" s="59" t="n"/>
      <c r="C131" s="54" t="n"/>
      <c r="D131" s="127" t="n"/>
      <c r="E131" s="128" t="n"/>
      <c r="F131" s="128" t="n"/>
      <c r="G131" s="57" t="str">
        <f>IF(A131="","",SUMIFS(jr_qty,jr_type,"BL",jr_art,A131,jr_year,p_year))</f>
        <v/>
      </c>
      <c r="H131" s="57" t="str">
        <f>IF(A131="","",SUMIFS(jr_qty,jr_type,"BR",jr_art,A131,jr_year,p_year))</f>
        <v/>
      </c>
      <c r="I131" s="57" t="str">
        <f>IF(A131="","",SUMIFS(jr_qty,jr_type,"BS",jr_art,A131,jr_year,p_year))</f>
        <v/>
      </c>
      <c r="J131" s="60" t="str">
        <f>IF(A131="",IF(B131="","","Référence manquante"),IF(COUNTIF($A$6:$A$505,A131)&gt;1,"Référence en double",IF(B131="","Désignation manquante",IF(C131="","Unité manquante","OK"))))</f>
        <v/>
      </c>
    </row>
    <row r="132">
      <c r="A132" s="59" t="n"/>
      <c r="B132" s="59" t="n"/>
      <c r="C132" s="54" t="n"/>
      <c r="D132" s="127" t="n"/>
      <c r="E132" s="128" t="n"/>
      <c r="F132" s="128" t="n"/>
      <c r="G132" s="57" t="str">
        <f>IF(A132="","",SUMIFS(jr_qty,jr_type,"BL",jr_art,A132,jr_year,p_year))</f>
        <v/>
      </c>
      <c r="H132" s="57" t="str">
        <f>IF(A132="","",SUMIFS(jr_qty,jr_type,"BR",jr_art,A132,jr_year,p_year))</f>
        <v/>
      </c>
      <c r="I132" s="57" t="str">
        <f>IF(A132="","",SUMIFS(jr_qty,jr_type,"BS",jr_art,A132,jr_year,p_year))</f>
        <v/>
      </c>
      <c r="J132" s="60" t="str">
        <f>IF(A132="",IF(B132="","","Référence manquante"),IF(COUNTIF($A$6:$A$505,A132)&gt;1,"Référence en double",IF(B132="","Désignation manquante",IF(C132="","Unité manquante","OK"))))</f>
        <v/>
      </c>
    </row>
    <row r="133">
      <c r="A133" s="59" t="n"/>
      <c r="B133" s="59" t="n"/>
      <c r="C133" s="54" t="n"/>
      <c r="D133" s="127" t="n"/>
      <c r="E133" s="128" t="n"/>
      <c r="F133" s="128" t="n"/>
      <c r="G133" s="57" t="str">
        <f>IF(A133="","",SUMIFS(jr_qty,jr_type,"BL",jr_art,A133,jr_year,p_year))</f>
        <v/>
      </c>
      <c r="H133" s="57" t="str">
        <f>IF(A133="","",SUMIFS(jr_qty,jr_type,"BR",jr_art,A133,jr_year,p_year))</f>
        <v/>
      </c>
      <c r="I133" s="57" t="str">
        <f>IF(A133="","",SUMIFS(jr_qty,jr_type,"BS",jr_art,A133,jr_year,p_year))</f>
        <v/>
      </c>
      <c r="J133" s="60" t="str">
        <f>IF(A133="",IF(B133="","","Référence manquante"),IF(COUNTIF($A$6:$A$505,A133)&gt;1,"Référence en double",IF(B133="","Désignation manquante",IF(C133="","Unité manquante","OK"))))</f>
        <v/>
      </c>
    </row>
    <row r="134">
      <c r="A134" s="59" t="n"/>
      <c r="B134" s="59" t="n"/>
      <c r="C134" s="54" t="n"/>
      <c r="D134" s="127" t="n"/>
      <c r="E134" s="128" t="n"/>
      <c r="F134" s="128" t="n"/>
      <c r="G134" s="57" t="str">
        <f>IF(A134="","",SUMIFS(jr_qty,jr_type,"BL",jr_art,A134,jr_year,p_year))</f>
        <v/>
      </c>
      <c r="H134" s="57" t="str">
        <f>IF(A134="","",SUMIFS(jr_qty,jr_type,"BR",jr_art,A134,jr_year,p_year))</f>
        <v/>
      </c>
      <c r="I134" s="57" t="str">
        <f>IF(A134="","",SUMIFS(jr_qty,jr_type,"BS",jr_art,A134,jr_year,p_year))</f>
        <v/>
      </c>
      <c r="J134" s="60" t="str">
        <f>IF(A134="",IF(B134="","","Référence manquante"),IF(COUNTIF($A$6:$A$505,A134)&gt;1,"Référence en double",IF(B134="","Désignation manquante",IF(C134="","Unité manquante","OK"))))</f>
        <v/>
      </c>
    </row>
    <row r="135">
      <c r="A135" s="59" t="n"/>
      <c r="B135" s="59" t="n"/>
      <c r="C135" s="54" t="n"/>
      <c r="D135" s="127" t="n"/>
      <c r="E135" s="128" t="n"/>
      <c r="F135" s="128" t="n"/>
      <c r="G135" s="57" t="str">
        <f>IF(A135="","",SUMIFS(jr_qty,jr_type,"BL",jr_art,A135,jr_year,p_year))</f>
        <v/>
      </c>
      <c r="H135" s="57" t="str">
        <f>IF(A135="","",SUMIFS(jr_qty,jr_type,"BR",jr_art,A135,jr_year,p_year))</f>
        <v/>
      </c>
      <c r="I135" s="57" t="str">
        <f>IF(A135="","",SUMIFS(jr_qty,jr_type,"BS",jr_art,A135,jr_year,p_year))</f>
        <v/>
      </c>
      <c r="J135" s="60" t="str">
        <f>IF(A135="",IF(B135="","","Référence manquante"),IF(COUNTIF($A$6:$A$505,A135)&gt;1,"Référence en double",IF(B135="","Désignation manquante",IF(C135="","Unité manquante","OK"))))</f>
        <v/>
      </c>
    </row>
    <row r="136">
      <c r="A136" s="59" t="n"/>
      <c r="B136" s="59" t="n"/>
      <c r="C136" s="54" t="n"/>
      <c r="D136" s="127" t="n"/>
      <c r="E136" s="128" t="n"/>
      <c r="F136" s="128" t="n"/>
      <c r="G136" s="57" t="str">
        <f>IF(A136="","",SUMIFS(jr_qty,jr_type,"BL",jr_art,A136,jr_year,p_year))</f>
        <v/>
      </c>
      <c r="H136" s="57" t="str">
        <f>IF(A136="","",SUMIFS(jr_qty,jr_type,"BR",jr_art,A136,jr_year,p_year))</f>
        <v/>
      </c>
      <c r="I136" s="57" t="str">
        <f>IF(A136="","",SUMIFS(jr_qty,jr_type,"BS",jr_art,A136,jr_year,p_year))</f>
        <v/>
      </c>
      <c r="J136" s="60" t="str">
        <f>IF(A136="",IF(B136="","","Référence manquante"),IF(COUNTIF($A$6:$A$505,A136)&gt;1,"Référence en double",IF(B136="","Désignation manquante",IF(C136="","Unité manquante","OK"))))</f>
        <v/>
      </c>
    </row>
    <row r="137">
      <c r="A137" s="59" t="n"/>
      <c r="B137" s="59" t="n"/>
      <c r="C137" s="54" t="n"/>
      <c r="D137" s="127" t="n"/>
      <c r="E137" s="128" t="n"/>
      <c r="F137" s="128" t="n"/>
      <c r="G137" s="57" t="str">
        <f>IF(A137="","",SUMIFS(jr_qty,jr_type,"BL",jr_art,A137,jr_year,p_year))</f>
        <v/>
      </c>
      <c r="H137" s="57" t="str">
        <f>IF(A137="","",SUMIFS(jr_qty,jr_type,"BR",jr_art,A137,jr_year,p_year))</f>
        <v/>
      </c>
      <c r="I137" s="57" t="str">
        <f>IF(A137="","",SUMIFS(jr_qty,jr_type,"BS",jr_art,A137,jr_year,p_year))</f>
        <v/>
      </c>
      <c r="J137" s="60" t="str">
        <f>IF(A137="",IF(B137="","","Référence manquante"),IF(COUNTIF($A$6:$A$505,A137)&gt;1,"Référence en double",IF(B137="","Désignation manquante",IF(C137="","Unité manquante","OK"))))</f>
        <v/>
      </c>
    </row>
    <row r="138">
      <c r="A138" s="59" t="n"/>
      <c r="B138" s="59" t="n"/>
      <c r="C138" s="54" t="n"/>
      <c r="D138" s="127" t="n"/>
      <c r="E138" s="128" t="n"/>
      <c r="F138" s="128" t="n"/>
      <c r="G138" s="57" t="str">
        <f>IF(A138="","",SUMIFS(jr_qty,jr_type,"BL",jr_art,A138,jr_year,p_year))</f>
        <v/>
      </c>
      <c r="H138" s="57" t="str">
        <f>IF(A138="","",SUMIFS(jr_qty,jr_type,"BR",jr_art,A138,jr_year,p_year))</f>
        <v/>
      </c>
      <c r="I138" s="57" t="str">
        <f>IF(A138="","",SUMIFS(jr_qty,jr_type,"BS",jr_art,A138,jr_year,p_year))</f>
        <v/>
      </c>
      <c r="J138" s="60" t="str">
        <f>IF(A138="",IF(B138="","","Référence manquante"),IF(COUNTIF($A$6:$A$505,A138)&gt;1,"Référence en double",IF(B138="","Désignation manquante",IF(C138="","Unité manquante","OK"))))</f>
        <v/>
      </c>
    </row>
    <row r="139">
      <c r="A139" s="59" t="n"/>
      <c r="B139" s="59" t="n"/>
      <c r="C139" s="54" t="n"/>
      <c r="D139" s="127" t="n"/>
      <c r="E139" s="128" t="n"/>
      <c r="F139" s="128" t="n"/>
      <c r="G139" s="57" t="str">
        <f>IF(A139="","",SUMIFS(jr_qty,jr_type,"BL",jr_art,A139,jr_year,p_year))</f>
        <v/>
      </c>
      <c r="H139" s="57" t="str">
        <f>IF(A139="","",SUMIFS(jr_qty,jr_type,"BR",jr_art,A139,jr_year,p_year))</f>
        <v/>
      </c>
      <c r="I139" s="57" t="str">
        <f>IF(A139="","",SUMIFS(jr_qty,jr_type,"BS",jr_art,A139,jr_year,p_year))</f>
        <v/>
      </c>
      <c r="J139" s="60" t="str">
        <f>IF(A139="",IF(B139="","","Référence manquante"),IF(COUNTIF($A$6:$A$505,A139)&gt;1,"Référence en double",IF(B139="","Désignation manquante",IF(C139="","Unité manquante","OK"))))</f>
        <v/>
      </c>
    </row>
    <row r="140">
      <c r="A140" s="59" t="n"/>
      <c r="B140" s="59" t="n"/>
      <c r="C140" s="54" t="n"/>
      <c r="D140" s="127" t="n"/>
      <c r="E140" s="128" t="n"/>
      <c r="F140" s="128" t="n"/>
      <c r="G140" s="57" t="str">
        <f>IF(A140="","",SUMIFS(jr_qty,jr_type,"BL",jr_art,A140,jr_year,p_year))</f>
        <v/>
      </c>
      <c r="H140" s="57" t="str">
        <f>IF(A140="","",SUMIFS(jr_qty,jr_type,"BR",jr_art,A140,jr_year,p_year))</f>
        <v/>
      </c>
      <c r="I140" s="57" t="str">
        <f>IF(A140="","",SUMIFS(jr_qty,jr_type,"BS",jr_art,A140,jr_year,p_year))</f>
        <v/>
      </c>
      <c r="J140" s="60" t="str">
        <f>IF(A140="",IF(B140="","","Référence manquante"),IF(COUNTIF($A$6:$A$505,A140)&gt;1,"Référence en double",IF(B140="","Désignation manquante",IF(C140="","Unité manquante","OK"))))</f>
        <v/>
      </c>
    </row>
    <row r="141">
      <c r="A141" s="59" t="n"/>
      <c r="B141" s="59" t="n"/>
      <c r="C141" s="54" t="n"/>
      <c r="D141" s="127" t="n"/>
      <c r="E141" s="128" t="n"/>
      <c r="F141" s="128" t="n"/>
      <c r="G141" s="57" t="str">
        <f>IF(A141="","",SUMIFS(jr_qty,jr_type,"BL",jr_art,A141,jr_year,p_year))</f>
        <v/>
      </c>
      <c r="H141" s="57" t="str">
        <f>IF(A141="","",SUMIFS(jr_qty,jr_type,"BR",jr_art,A141,jr_year,p_year))</f>
        <v/>
      </c>
      <c r="I141" s="57" t="str">
        <f>IF(A141="","",SUMIFS(jr_qty,jr_type,"BS",jr_art,A141,jr_year,p_year))</f>
        <v/>
      </c>
      <c r="J141" s="60" t="str">
        <f>IF(A141="",IF(B141="","","Référence manquante"),IF(COUNTIF($A$6:$A$505,A141)&gt;1,"Référence en double",IF(B141="","Désignation manquante",IF(C141="","Unité manquante","OK"))))</f>
        <v/>
      </c>
    </row>
    <row r="142">
      <c r="A142" s="59" t="n"/>
      <c r="B142" s="59" t="n"/>
      <c r="C142" s="54" t="n"/>
      <c r="D142" s="127" t="n"/>
      <c r="E142" s="128" t="n"/>
      <c r="F142" s="128" t="n"/>
      <c r="G142" s="57" t="str">
        <f>IF(A142="","",SUMIFS(jr_qty,jr_type,"BL",jr_art,A142,jr_year,p_year))</f>
        <v/>
      </c>
      <c r="H142" s="57" t="str">
        <f>IF(A142="","",SUMIFS(jr_qty,jr_type,"BR",jr_art,A142,jr_year,p_year))</f>
        <v/>
      </c>
      <c r="I142" s="57" t="str">
        <f>IF(A142="","",SUMIFS(jr_qty,jr_type,"BS",jr_art,A142,jr_year,p_year))</f>
        <v/>
      </c>
      <c r="J142" s="60" t="str">
        <f>IF(A142="",IF(B142="","","Référence manquante"),IF(COUNTIF($A$6:$A$505,A142)&gt;1,"Référence en double",IF(B142="","Désignation manquante",IF(C142="","Unité manquante","OK"))))</f>
        <v/>
      </c>
    </row>
    <row r="143">
      <c r="A143" s="59" t="n"/>
      <c r="B143" s="59" t="n"/>
      <c r="C143" s="54" t="n"/>
      <c r="D143" s="127" t="n"/>
      <c r="E143" s="128" t="n"/>
      <c r="F143" s="128" t="n"/>
      <c r="G143" s="57" t="str">
        <f>IF(A143="","",SUMIFS(jr_qty,jr_type,"BL",jr_art,A143,jr_year,p_year))</f>
        <v/>
      </c>
      <c r="H143" s="57" t="str">
        <f>IF(A143="","",SUMIFS(jr_qty,jr_type,"BR",jr_art,A143,jr_year,p_year))</f>
        <v/>
      </c>
      <c r="I143" s="57" t="str">
        <f>IF(A143="","",SUMIFS(jr_qty,jr_type,"BS",jr_art,A143,jr_year,p_year))</f>
        <v/>
      </c>
      <c r="J143" s="60" t="str">
        <f>IF(A143="",IF(B143="","","Référence manquante"),IF(COUNTIF($A$6:$A$505,A143)&gt;1,"Référence en double",IF(B143="","Désignation manquante",IF(C143="","Unité manquante","OK"))))</f>
        <v/>
      </c>
    </row>
    <row r="144">
      <c r="A144" s="59" t="n"/>
      <c r="B144" s="59" t="n"/>
      <c r="C144" s="54" t="n"/>
      <c r="D144" s="127" t="n"/>
      <c r="E144" s="128" t="n"/>
      <c r="F144" s="128" t="n"/>
      <c r="G144" s="57" t="str">
        <f>IF(A144="","",SUMIFS(jr_qty,jr_type,"BL",jr_art,A144,jr_year,p_year))</f>
        <v/>
      </c>
      <c r="H144" s="57" t="str">
        <f>IF(A144="","",SUMIFS(jr_qty,jr_type,"BR",jr_art,A144,jr_year,p_year))</f>
        <v/>
      </c>
      <c r="I144" s="57" t="str">
        <f>IF(A144="","",SUMIFS(jr_qty,jr_type,"BS",jr_art,A144,jr_year,p_year))</f>
        <v/>
      </c>
      <c r="J144" s="60" t="str">
        <f>IF(A144="",IF(B144="","","Référence manquante"),IF(COUNTIF($A$6:$A$505,A144)&gt;1,"Référence en double",IF(B144="","Désignation manquante",IF(C144="","Unité manquante","OK"))))</f>
        <v/>
      </c>
    </row>
    <row r="145">
      <c r="A145" s="59" t="n"/>
      <c r="B145" s="59" t="n"/>
      <c r="C145" s="54" t="n"/>
      <c r="D145" s="127" t="n"/>
      <c r="E145" s="128" t="n"/>
      <c r="F145" s="128" t="n"/>
      <c r="G145" s="57" t="str">
        <f>IF(A145="","",SUMIFS(jr_qty,jr_type,"BL",jr_art,A145,jr_year,p_year))</f>
        <v/>
      </c>
      <c r="H145" s="57" t="str">
        <f>IF(A145="","",SUMIFS(jr_qty,jr_type,"BR",jr_art,A145,jr_year,p_year))</f>
        <v/>
      </c>
      <c r="I145" s="57" t="str">
        <f>IF(A145="","",SUMIFS(jr_qty,jr_type,"BS",jr_art,A145,jr_year,p_year))</f>
        <v/>
      </c>
      <c r="J145" s="60" t="str">
        <f>IF(A145="",IF(B145="","","Référence manquante"),IF(COUNTIF($A$6:$A$505,A145)&gt;1,"Référence en double",IF(B145="","Désignation manquante",IF(C145="","Unité manquante","OK"))))</f>
        <v/>
      </c>
    </row>
    <row r="146">
      <c r="A146" s="59" t="n"/>
      <c r="B146" s="59" t="n"/>
      <c r="C146" s="54" t="n"/>
      <c r="D146" s="127" t="n"/>
      <c r="E146" s="128" t="n"/>
      <c r="F146" s="128" t="n"/>
      <c r="G146" s="57" t="str">
        <f>IF(A146="","",SUMIFS(jr_qty,jr_type,"BL",jr_art,A146,jr_year,p_year))</f>
        <v/>
      </c>
      <c r="H146" s="57" t="str">
        <f>IF(A146="","",SUMIFS(jr_qty,jr_type,"BR",jr_art,A146,jr_year,p_year))</f>
        <v/>
      </c>
      <c r="I146" s="57" t="str">
        <f>IF(A146="","",SUMIFS(jr_qty,jr_type,"BS",jr_art,A146,jr_year,p_year))</f>
        <v/>
      </c>
      <c r="J146" s="60" t="str">
        <f>IF(A146="",IF(B146="","","Référence manquante"),IF(COUNTIF($A$6:$A$505,A146)&gt;1,"Référence en double",IF(B146="","Désignation manquante",IF(C146="","Unité manquante","OK"))))</f>
        <v/>
      </c>
    </row>
    <row r="147">
      <c r="A147" s="59" t="n"/>
      <c r="B147" s="59" t="n"/>
      <c r="C147" s="54" t="n"/>
      <c r="D147" s="127" t="n"/>
      <c r="E147" s="128" t="n"/>
      <c r="F147" s="128" t="n"/>
      <c r="G147" s="57" t="str">
        <f>IF(A147="","",SUMIFS(jr_qty,jr_type,"BL",jr_art,A147,jr_year,p_year))</f>
        <v/>
      </c>
      <c r="H147" s="57" t="str">
        <f>IF(A147="","",SUMIFS(jr_qty,jr_type,"BR",jr_art,A147,jr_year,p_year))</f>
        <v/>
      </c>
      <c r="I147" s="57" t="str">
        <f>IF(A147="","",SUMIFS(jr_qty,jr_type,"BS",jr_art,A147,jr_year,p_year))</f>
        <v/>
      </c>
      <c r="J147" s="60" t="str">
        <f>IF(A147="",IF(B147="","","Référence manquante"),IF(COUNTIF($A$6:$A$505,A147)&gt;1,"Référence en double",IF(B147="","Désignation manquante",IF(C147="","Unité manquante","OK"))))</f>
        <v/>
      </c>
    </row>
    <row r="148">
      <c r="A148" s="59" t="n"/>
      <c r="B148" s="59" t="n"/>
      <c r="C148" s="54" t="n"/>
      <c r="D148" s="127" t="n"/>
      <c r="E148" s="128" t="n"/>
      <c r="F148" s="128" t="n"/>
      <c r="G148" s="57" t="str">
        <f>IF(A148="","",SUMIFS(jr_qty,jr_type,"BL",jr_art,A148,jr_year,p_year))</f>
        <v/>
      </c>
      <c r="H148" s="57" t="str">
        <f>IF(A148="","",SUMIFS(jr_qty,jr_type,"BR",jr_art,A148,jr_year,p_year))</f>
        <v/>
      </c>
      <c r="I148" s="57" t="str">
        <f>IF(A148="","",SUMIFS(jr_qty,jr_type,"BS",jr_art,A148,jr_year,p_year))</f>
        <v/>
      </c>
      <c r="J148" s="60" t="str">
        <f>IF(A148="",IF(B148="","","Référence manquante"),IF(COUNTIF($A$6:$A$505,A148)&gt;1,"Référence en double",IF(B148="","Désignation manquante",IF(C148="","Unité manquante","OK"))))</f>
        <v/>
      </c>
    </row>
    <row r="149">
      <c r="A149" s="59" t="n"/>
      <c r="B149" s="59" t="n"/>
      <c r="C149" s="54" t="n"/>
      <c r="D149" s="127" t="n"/>
      <c r="E149" s="128" t="n"/>
      <c r="F149" s="128" t="n"/>
      <c r="G149" s="57" t="str">
        <f>IF(A149="","",SUMIFS(jr_qty,jr_type,"BL",jr_art,A149,jr_year,p_year))</f>
        <v/>
      </c>
      <c r="H149" s="57" t="str">
        <f>IF(A149="","",SUMIFS(jr_qty,jr_type,"BR",jr_art,A149,jr_year,p_year))</f>
        <v/>
      </c>
      <c r="I149" s="57" t="str">
        <f>IF(A149="","",SUMIFS(jr_qty,jr_type,"BS",jr_art,A149,jr_year,p_year))</f>
        <v/>
      </c>
      <c r="J149" s="60" t="str">
        <f>IF(A149="",IF(B149="","","Référence manquante"),IF(COUNTIF($A$6:$A$505,A149)&gt;1,"Référence en double",IF(B149="","Désignation manquante",IF(C149="","Unité manquante","OK"))))</f>
        <v/>
      </c>
    </row>
    <row r="150">
      <c r="A150" s="59" t="n"/>
      <c r="B150" s="59" t="n"/>
      <c r="C150" s="54" t="n"/>
      <c r="D150" s="127" t="n"/>
      <c r="E150" s="128" t="n"/>
      <c r="F150" s="128" t="n"/>
      <c r="G150" s="57" t="str">
        <f>IF(A150="","",SUMIFS(jr_qty,jr_type,"BL",jr_art,A150,jr_year,p_year))</f>
        <v/>
      </c>
      <c r="H150" s="57" t="str">
        <f>IF(A150="","",SUMIFS(jr_qty,jr_type,"BR",jr_art,A150,jr_year,p_year))</f>
        <v/>
      </c>
      <c r="I150" s="57" t="str">
        <f>IF(A150="","",SUMIFS(jr_qty,jr_type,"BS",jr_art,A150,jr_year,p_year))</f>
        <v/>
      </c>
      <c r="J150" s="60" t="str">
        <f>IF(A150="",IF(B150="","","Référence manquante"),IF(COUNTIF($A$6:$A$505,A150)&gt;1,"Référence en double",IF(B150="","Désignation manquante",IF(C150="","Unité manquante","OK"))))</f>
        <v/>
      </c>
    </row>
    <row r="151">
      <c r="A151" s="59" t="n"/>
      <c r="B151" s="59" t="n"/>
      <c r="C151" s="54" t="n"/>
      <c r="D151" s="127" t="n"/>
      <c r="E151" s="128" t="n"/>
      <c r="F151" s="128" t="n"/>
      <c r="G151" s="57" t="str">
        <f>IF(A151="","",SUMIFS(jr_qty,jr_type,"BL",jr_art,A151,jr_year,p_year))</f>
        <v/>
      </c>
      <c r="H151" s="57" t="str">
        <f>IF(A151="","",SUMIFS(jr_qty,jr_type,"BR",jr_art,A151,jr_year,p_year))</f>
        <v/>
      </c>
      <c r="I151" s="57" t="str">
        <f>IF(A151="","",SUMIFS(jr_qty,jr_type,"BS",jr_art,A151,jr_year,p_year))</f>
        <v/>
      </c>
      <c r="J151" s="60" t="str">
        <f>IF(A151="",IF(B151="","","Référence manquante"),IF(COUNTIF($A$6:$A$505,A151)&gt;1,"Référence en double",IF(B151="","Désignation manquante",IF(C151="","Unité manquante","OK"))))</f>
        <v/>
      </c>
    </row>
    <row r="152">
      <c r="A152" s="59" t="n"/>
      <c r="B152" s="59" t="n"/>
      <c r="C152" s="54" t="n"/>
      <c r="D152" s="127" t="n"/>
      <c r="E152" s="128" t="n"/>
      <c r="F152" s="128" t="n"/>
      <c r="G152" s="57" t="str">
        <f>IF(A152="","",SUMIFS(jr_qty,jr_type,"BL",jr_art,A152,jr_year,p_year))</f>
        <v/>
      </c>
      <c r="H152" s="57" t="str">
        <f>IF(A152="","",SUMIFS(jr_qty,jr_type,"BR",jr_art,A152,jr_year,p_year))</f>
        <v/>
      </c>
      <c r="I152" s="57" t="str">
        <f>IF(A152="","",SUMIFS(jr_qty,jr_type,"BS",jr_art,A152,jr_year,p_year))</f>
        <v/>
      </c>
      <c r="J152" s="60" t="str">
        <f>IF(A152="",IF(B152="","","Référence manquante"),IF(COUNTIF($A$6:$A$505,A152)&gt;1,"Référence en double",IF(B152="","Désignation manquante",IF(C152="","Unité manquante","OK"))))</f>
        <v/>
      </c>
    </row>
    <row r="153">
      <c r="A153" s="59" t="n"/>
      <c r="B153" s="59" t="n"/>
      <c r="C153" s="54" t="n"/>
      <c r="D153" s="127" t="n"/>
      <c r="E153" s="128" t="n"/>
      <c r="F153" s="128" t="n"/>
      <c r="G153" s="57" t="str">
        <f>IF(A153="","",SUMIFS(jr_qty,jr_type,"BL",jr_art,A153,jr_year,p_year))</f>
        <v/>
      </c>
      <c r="H153" s="57" t="str">
        <f>IF(A153="","",SUMIFS(jr_qty,jr_type,"BR",jr_art,A153,jr_year,p_year))</f>
        <v/>
      </c>
      <c r="I153" s="57" t="str">
        <f>IF(A153="","",SUMIFS(jr_qty,jr_type,"BS",jr_art,A153,jr_year,p_year))</f>
        <v/>
      </c>
      <c r="J153" s="60" t="str">
        <f>IF(A153="",IF(B153="","","Référence manquante"),IF(COUNTIF($A$6:$A$505,A153)&gt;1,"Référence en double",IF(B153="","Désignation manquante",IF(C153="","Unité manquante","OK"))))</f>
        <v/>
      </c>
    </row>
    <row r="154">
      <c r="A154" s="59" t="n"/>
      <c r="B154" s="59" t="n"/>
      <c r="C154" s="54" t="n"/>
      <c r="D154" s="127" t="n"/>
      <c r="E154" s="128" t="n"/>
      <c r="F154" s="128" t="n"/>
      <c r="G154" s="57" t="str">
        <f>IF(A154="","",SUMIFS(jr_qty,jr_type,"BL",jr_art,A154,jr_year,p_year))</f>
        <v/>
      </c>
      <c r="H154" s="57" t="str">
        <f>IF(A154="","",SUMIFS(jr_qty,jr_type,"BR",jr_art,A154,jr_year,p_year))</f>
        <v/>
      </c>
      <c r="I154" s="57" t="str">
        <f>IF(A154="","",SUMIFS(jr_qty,jr_type,"BS",jr_art,A154,jr_year,p_year))</f>
        <v/>
      </c>
      <c r="J154" s="60" t="str">
        <f>IF(A154="",IF(B154="","","Référence manquante"),IF(COUNTIF($A$6:$A$505,A154)&gt;1,"Référence en double",IF(B154="","Désignation manquante",IF(C154="","Unité manquante","OK"))))</f>
        <v/>
      </c>
    </row>
    <row r="155">
      <c r="A155" s="59" t="n"/>
      <c r="B155" s="59" t="n"/>
      <c r="C155" s="54" t="n"/>
      <c r="D155" s="127" t="n"/>
      <c r="E155" s="128" t="n"/>
      <c r="F155" s="128" t="n"/>
      <c r="G155" s="57" t="str">
        <f>IF(A155="","",SUMIFS(jr_qty,jr_type,"BL",jr_art,A155,jr_year,p_year))</f>
        <v/>
      </c>
      <c r="H155" s="57" t="str">
        <f>IF(A155="","",SUMIFS(jr_qty,jr_type,"BR",jr_art,A155,jr_year,p_year))</f>
        <v/>
      </c>
      <c r="I155" s="57" t="str">
        <f>IF(A155="","",SUMIFS(jr_qty,jr_type,"BS",jr_art,A155,jr_year,p_year))</f>
        <v/>
      </c>
      <c r="J155" s="60" t="str">
        <f>IF(A155="",IF(B155="","","Référence manquante"),IF(COUNTIF($A$6:$A$505,A155)&gt;1,"Référence en double",IF(B155="","Désignation manquante",IF(C155="","Unité manquante","OK"))))</f>
        <v/>
      </c>
    </row>
    <row r="156">
      <c r="A156" s="59" t="n"/>
      <c r="B156" s="59" t="n"/>
      <c r="C156" s="54" t="n"/>
      <c r="D156" s="127" t="n"/>
      <c r="E156" s="128" t="n"/>
      <c r="F156" s="128" t="n"/>
      <c r="G156" s="57" t="str">
        <f>IF(A156="","",SUMIFS(jr_qty,jr_type,"BL",jr_art,A156,jr_year,p_year))</f>
        <v/>
      </c>
      <c r="H156" s="57" t="str">
        <f>IF(A156="","",SUMIFS(jr_qty,jr_type,"BR",jr_art,A156,jr_year,p_year))</f>
        <v/>
      </c>
      <c r="I156" s="57" t="str">
        <f>IF(A156="","",SUMIFS(jr_qty,jr_type,"BS",jr_art,A156,jr_year,p_year))</f>
        <v/>
      </c>
      <c r="J156" s="60" t="str">
        <f>IF(A156="",IF(B156="","","Référence manquante"),IF(COUNTIF($A$6:$A$505,A156)&gt;1,"Référence en double",IF(B156="","Désignation manquante",IF(C156="","Unité manquante","OK"))))</f>
        <v/>
      </c>
    </row>
    <row r="157">
      <c r="A157" s="59" t="n"/>
      <c r="B157" s="59" t="n"/>
      <c r="C157" s="54" t="n"/>
      <c r="D157" s="127" t="n"/>
      <c r="E157" s="128" t="n"/>
      <c r="F157" s="128" t="n"/>
      <c r="G157" s="57" t="str">
        <f>IF(A157="","",SUMIFS(jr_qty,jr_type,"BL",jr_art,A157,jr_year,p_year))</f>
        <v/>
      </c>
      <c r="H157" s="57" t="str">
        <f>IF(A157="","",SUMIFS(jr_qty,jr_type,"BR",jr_art,A157,jr_year,p_year))</f>
        <v/>
      </c>
      <c r="I157" s="57" t="str">
        <f>IF(A157="","",SUMIFS(jr_qty,jr_type,"BS",jr_art,A157,jr_year,p_year))</f>
        <v/>
      </c>
      <c r="J157" s="60" t="str">
        <f>IF(A157="",IF(B157="","","Référence manquante"),IF(COUNTIF($A$6:$A$505,A157)&gt;1,"Référence en double",IF(B157="","Désignation manquante",IF(C157="","Unité manquante","OK"))))</f>
        <v/>
      </c>
    </row>
    <row r="158">
      <c r="A158" s="59" t="n"/>
      <c r="B158" s="59" t="n"/>
      <c r="C158" s="54" t="n"/>
      <c r="D158" s="127" t="n"/>
      <c r="E158" s="128" t="n"/>
      <c r="F158" s="128" t="n"/>
      <c r="G158" s="57" t="str">
        <f>IF(A158="","",SUMIFS(jr_qty,jr_type,"BL",jr_art,A158,jr_year,p_year))</f>
        <v/>
      </c>
      <c r="H158" s="57" t="str">
        <f>IF(A158="","",SUMIFS(jr_qty,jr_type,"BR",jr_art,A158,jr_year,p_year))</f>
        <v/>
      </c>
      <c r="I158" s="57" t="str">
        <f>IF(A158="","",SUMIFS(jr_qty,jr_type,"BS",jr_art,A158,jr_year,p_year))</f>
        <v/>
      </c>
      <c r="J158" s="60" t="str">
        <f>IF(A158="",IF(B158="","","Référence manquante"),IF(COUNTIF($A$6:$A$505,A158)&gt;1,"Référence en double",IF(B158="","Désignation manquante",IF(C158="","Unité manquante","OK"))))</f>
        <v/>
      </c>
    </row>
    <row r="159">
      <c r="A159" s="59" t="n"/>
      <c r="B159" s="59" t="n"/>
      <c r="C159" s="54" t="n"/>
      <c r="D159" s="127" t="n"/>
      <c r="E159" s="128" t="n"/>
      <c r="F159" s="128" t="n"/>
      <c r="G159" s="57" t="str">
        <f>IF(A159="","",SUMIFS(jr_qty,jr_type,"BL",jr_art,A159,jr_year,p_year))</f>
        <v/>
      </c>
      <c r="H159" s="57" t="str">
        <f>IF(A159="","",SUMIFS(jr_qty,jr_type,"BR",jr_art,A159,jr_year,p_year))</f>
        <v/>
      </c>
      <c r="I159" s="57" t="str">
        <f>IF(A159="","",SUMIFS(jr_qty,jr_type,"BS",jr_art,A159,jr_year,p_year))</f>
        <v/>
      </c>
      <c r="J159" s="60" t="str">
        <f>IF(A159="",IF(B159="","","Référence manquante"),IF(COUNTIF($A$6:$A$505,A159)&gt;1,"Référence en double",IF(B159="","Désignation manquante",IF(C159="","Unité manquante","OK"))))</f>
        <v/>
      </c>
    </row>
    <row r="160">
      <c r="A160" s="59" t="n"/>
      <c r="B160" s="59" t="n"/>
      <c r="C160" s="54" t="n"/>
      <c r="D160" s="127" t="n"/>
      <c r="E160" s="128" t="n"/>
      <c r="F160" s="128" t="n"/>
      <c r="G160" s="57" t="str">
        <f>IF(A160="","",SUMIFS(jr_qty,jr_type,"BL",jr_art,A160,jr_year,p_year))</f>
        <v/>
      </c>
      <c r="H160" s="57" t="str">
        <f>IF(A160="","",SUMIFS(jr_qty,jr_type,"BR",jr_art,A160,jr_year,p_year))</f>
        <v/>
      </c>
      <c r="I160" s="57" t="str">
        <f>IF(A160="","",SUMIFS(jr_qty,jr_type,"BS",jr_art,A160,jr_year,p_year))</f>
        <v/>
      </c>
      <c r="J160" s="60" t="str">
        <f>IF(A160="",IF(B160="","","Référence manquante"),IF(COUNTIF($A$6:$A$505,A160)&gt;1,"Référence en double",IF(B160="","Désignation manquante",IF(C160="","Unité manquante","OK"))))</f>
        <v/>
      </c>
    </row>
    <row r="161">
      <c r="A161" s="59" t="n"/>
      <c r="B161" s="59" t="n"/>
      <c r="C161" s="54" t="n"/>
      <c r="D161" s="127" t="n"/>
      <c r="E161" s="128" t="n"/>
      <c r="F161" s="128" t="n"/>
      <c r="G161" s="57" t="str">
        <f>IF(A161="","",SUMIFS(jr_qty,jr_type,"BL",jr_art,A161,jr_year,p_year))</f>
        <v/>
      </c>
      <c r="H161" s="57" t="str">
        <f>IF(A161="","",SUMIFS(jr_qty,jr_type,"BR",jr_art,A161,jr_year,p_year))</f>
        <v/>
      </c>
      <c r="I161" s="57" t="str">
        <f>IF(A161="","",SUMIFS(jr_qty,jr_type,"BS",jr_art,A161,jr_year,p_year))</f>
        <v/>
      </c>
      <c r="J161" s="60" t="str">
        <f>IF(A161="",IF(B161="","","Référence manquante"),IF(COUNTIF($A$6:$A$505,A161)&gt;1,"Référence en double",IF(B161="","Désignation manquante",IF(C161="","Unité manquante","OK"))))</f>
        <v/>
      </c>
    </row>
    <row r="162">
      <c r="A162" s="59" t="n"/>
      <c r="B162" s="59" t="n"/>
      <c r="C162" s="54" t="n"/>
      <c r="D162" s="127" t="n"/>
      <c r="E162" s="128" t="n"/>
      <c r="F162" s="128" t="n"/>
      <c r="G162" s="57" t="str">
        <f>IF(A162="","",SUMIFS(jr_qty,jr_type,"BL",jr_art,A162,jr_year,p_year))</f>
        <v/>
      </c>
      <c r="H162" s="57" t="str">
        <f>IF(A162="","",SUMIFS(jr_qty,jr_type,"BR",jr_art,A162,jr_year,p_year))</f>
        <v/>
      </c>
      <c r="I162" s="57" t="str">
        <f>IF(A162="","",SUMIFS(jr_qty,jr_type,"BS",jr_art,A162,jr_year,p_year))</f>
        <v/>
      </c>
      <c r="J162" s="60" t="str">
        <f>IF(A162="",IF(B162="","","Référence manquante"),IF(COUNTIF($A$6:$A$505,A162)&gt;1,"Référence en double",IF(B162="","Désignation manquante",IF(C162="","Unité manquante","OK"))))</f>
        <v/>
      </c>
    </row>
    <row r="163">
      <c r="A163" s="59" t="n"/>
      <c r="B163" s="59" t="n"/>
      <c r="C163" s="54" t="n"/>
      <c r="D163" s="127" t="n"/>
      <c r="E163" s="128" t="n"/>
      <c r="F163" s="128" t="n"/>
      <c r="G163" s="57" t="str">
        <f>IF(A163="","",SUMIFS(jr_qty,jr_type,"BL",jr_art,A163,jr_year,p_year))</f>
        <v/>
      </c>
      <c r="H163" s="57" t="str">
        <f>IF(A163="","",SUMIFS(jr_qty,jr_type,"BR",jr_art,A163,jr_year,p_year))</f>
        <v/>
      </c>
      <c r="I163" s="57" t="str">
        <f>IF(A163="","",SUMIFS(jr_qty,jr_type,"BS",jr_art,A163,jr_year,p_year))</f>
        <v/>
      </c>
      <c r="J163" s="60" t="str">
        <f>IF(A163="",IF(B163="","","Référence manquante"),IF(COUNTIF($A$6:$A$505,A163)&gt;1,"Référence en double",IF(B163="","Désignation manquante",IF(C163="","Unité manquante","OK"))))</f>
        <v/>
      </c>
    </row>
    <row r="164">
      <c r="A164" s="59" t="n"/>
      <c r="B164" s="59" t="n"/>
      <c r="C164" s="54" t="n"/>
      <c r="D164" s="127" t="n"/>
      <c r="E164" s="128" t="n"/>
      <c r="F164" s="128" t="n"/>
      <c r="G164" s="57" t="str">
        <f>IF(A164="","",SUMIFS(jr_qty,jr_type,"BL",jr_art,A164,jr_year,p_year))</f>
        <v/>
      </c>
      <c r="H164" s="57" t="str">
        <f>IF(A164="","",SUMIFS(jr_qty,jr_type,"BR",jr_art,A164,jr_year,p_year))</f>
        <v/>
      </c>
      <c r="I164" s="57" t="str">
        <f>IF(A164="","",SUMIFS(jr_qty,jr_type,"BS",jr_art,A164,jr_year,p_year))</f>
        <v/>
      </c>
      <c r="J164" s="60" t="str">
        <f>IF(A164="",IF(B164="","","Référence manquante"),IF(COUNTIF($A$6:$A$505,A164)&gt;1,"Référence en double",IF(B164="","Désignation manquante",IF(C164="","Unité manquante","OK"))))</f>
        <v/>
      </c>
    </row>
    <row r="165">
      <c r="A165" s="59" t="n"/>
      <c r="B165" s="59" t="n"/>
      <c r="C165" s="54" t="n"/>
      <c r="D165" s="127" t="n"/>
      <c r="E165" s="128" t="n"/>
      <c r="F165" s="128" t="n"/>
      <c r="G165" s="57" t="str">
        <f>IF(A165="","",SUMIFS(jr_qty,jr_type,"BL",jr_art,A165,jr_year,p_year))</f>
        <v/>
      </c>
      <c r="H165" s="57" t="str">
        <f>IF(A165="","",SUMIFS(jr_qty,jr_type,"BR",jr_art,A165,jr_year,p_year))</f>
        <v/>
      </c>
      <c r="I165" s="57" t="str">
        <f>IF(A165="","",SUMIFS(jr_qty,jr_type,"BS",jr_art,A165,jr_year,p_year))</f>
        <v/>
      </c>
      <c r="J165" s="60" t="str">
        <f>IF(A165="",IF(B165="","","Référence manquante"),IF(COUNTIF($A$6:$A$505,A165)&gt;1,"Référence en double",IF(B165="","Désignation manquante",IF(C165="","Unité manquante","OK"))))</f>
        <v/>
      </c>
    </row>
    <row r="166">
      <c r="A166" s="59" t="n"/>
      <c r="B166" s="59" t="n"/>
      <c r="C166" s="54" t="n"/>
      <c r="D166" s="127" t="n"/>
      <c r="E166" s="128" t="n"/>
      <c r="F166" s="128" t="n"/>
      <c r="G166" s="57" t="str">
        <f>IF(A166="","",SUMIFS(jr_qty,jr_type,"BL",jr_art,A166,jr_year,p_year))</f>
        <v/>
      </c>
      <c r="H166" s="57" t="str">
        <f>IF(A166="","",SUMIFS(jr_qty,jr_type,"BR",jr_art,A166,jr_year,p_year))</f>
        <v/>
      </c>
      <c r="I166" s="57" t="str">
        <f>IF(A166="","",SUMIFS(jr_qty,jr_type,"BS",jr_art,A166,jr_year,p_year))</f>
        <v/>
      </c>
      <c r="J166" s="60" t="str">
        <f>IF(A166="",IF(B166="","","Référence manquante"),IF(COUNTIF($A$6:$A$505,A166)&gt;1,"Référence en double",IF(B166="","Désignation manquante",IF(C166="","Unité manquante","OK"))))</f>
        <v/>
      </c>
    </row>
    <row r="167">
      <c r="A167" s="59" t="n"/>
      <c r="B167" s="59" t="n"/>
      <c r="C167" s="54" t="n"/>
      <c r="D167" s="127" t="n"/>
      <c r="E167" s="128" t="n"/>
      <c r="F167" s="128" t="n"/>
      <c r="G167" s="57" t="str">
        <f>IF(A167="","",SUMIFS(jr_qty,jr_type,"BL",jr_art,A167,jr_year,p_year))</f>
        <v/>
      </c>
      <c r="H167" s="57" t="str">
        <f>IF(A167="","",SUMIFS(jr_qty,jr_type,"BR",jr_art,A167,jr_year,p_year))</f>
        <v/>
      </c>
      <c r="I167" s="57" t="str">
        <f>IF(A167="","",SUMIFS(jr_qty,jr_type,"BS",jr_art,A167,jr_year,p_year))</f>
        <v/>
      </c>
      <c r="J167" s="60" t="str">
        <f>IF(A167="",IF(B167="","","Référence manquante"),IF(COUNTIF($A$6:$A$505,A167)&gt;1,"Référence en double",IF(B167="","Désignation manquante",IF(C167="","Unité manquante","OK"))))</f>
        <v/>
      </c>
    </row>
    <row r="168">
      <c r="A168" s="59" t="n"/>
      <c r="B168" s="59" t="n"/>
      <c r="C168" s="54" t="n"/>
      <c r="D168" s="127" t="n"/>
      <c r="E168" s="128" t="n"/>
      <c r="F168" s="128" t="n"/>
      <c r="G168" s="57" t="str">
        <f>IF(A168="","",SUMIFS(jr_qty,jr_type,"BL",jr_art,A168,jr_year,p_year))</f>
        <v/>
      </c>
      <c r="H168" s="57" t="str">
        <f>IF(A168="","",SUMIFS(jr_qty,jr_type,"BR",jr_art,A168,jr_year,p_year))</f>
        <v/>
      </c>
      <c r="I168" s="57" t="str">
        <f>IF(A168="","",SUMIFS(jr_qty,jr_type,"BS",jr_art,A168,jr_year,p_year))</f>
        <v/>
      </c>
      <c r="J168" s="60" t="str">
        <f>IF(A168="",IF(B168="","","Référence manquante"),IF(COUNTIF($A$6:$A$505,A168)&gt;1,"Référence en double",IF(B168="","Désignation manquante",IF(C168="","Unité manquante","OK"))))</f>
        <v/>
      </c>
    </row>
    <row r="169">
      <c r="A169" s="59" t="n"/>
      <c r="B169" s="59" t="n"/>
      <c r="C169" s="54" t="n"/>
      <c r="D169" s="127" t="n"/>
      <c r="E169" s="128" t="n"/>
      <c r="F169" s="128" t="n"/>
      <c r="G169" s="57" t="str">
        <f>IF(A169="","",SUMIFS(jr_qty,jr_type,"BL",jr_art,A169,jr_year,p_year))</f>
        <v/>
      </c>
      <c r="H169" s="57" t="str">
        <f>IF(A169="","",SUMIFS(jr_qty,jr_type,"BR",jr_art,A169,jr_year,p_year))</f>
        <v/>
      </c>
      <c r="I169" s="57" t="str">
        <f>IF(A169="","",SUMIFS(jr_qty,jr_type,"BS",jr_art,A169,jr_year,p_year))</f>
        <v/>
      </c>
      <c r="J169" s="60" t="str">
        <f>IF(A169="",IF(B169="","","Référence manquante"),IF(COUNTIF($A$6:$A$505,A169)&gt;1,"Référence en double",IF(B169="","Désignation manquante",IF(C169="","Unité manquante","OK"))))</f>
        <v/>
      </c>
    </row>
    <row r="170">
      <c r="A170" s="59" t="n"/>
      <c r="B170" s="59" t="n"/>
      <c r="C170" s="54" t="n"/>
      <c r="D170" s="127" t="n"/>
      <c r="E170" s="128" t="n"/>
      <c r="F170" s="128" t="n"/>
      <c r="G170" s="57" t="str">
        <f>IF(A170="","",SUMIFS(jr_qty,jr_type,"BL",jr_art,A170,jr_year,p_year))</f>
        <v/>
      </c>
      <c r="H170" s="57" t="str">
        <f>IF(A170="","",SUMIFS(jr_qty,jr_type,"BR",jr_art,A170,jr_year,p_year))</f>
        <v/>
      </c>
      <c r="I170" s="57" t="str">
        <f>IF(A170="","",SUMIFS(jr_qty,jr_type,"BS",jr_art,A170,jr_year,p_year))</f>
        <v/>
      </c>
      <c r="J170" s="60" t="str">
        <f>IF(A170="",IF(B170="","","Référence manquante"),IF(COUNTIF($A$6:$A$505,A170)&gt;1,"Référence en double",IF(B170="","Désignation manquante",IF(C170="","Unité manquante","OK"))))</f>
        <v/>
      </c>
    </row>
    <row r="171">
      <c r="A171" s="59" t="n"/>
      <c r="B171" s="59" t="n"/>
      <c r="C171" s="54" t="n"/>
      <c r="D171" s="127" t="n"/>
      <c r="E171" s="128" t="n"/>
      <c r="F171" s="128" t="n"/>
      <c r="G171" s="57" t="str">
        <f>IF(A171="","",SUMIFS(jr_qty,jr_type,"BL",jr_art,A171,jr_year,p_year))</f>
        <v/>
      </c>
      <c r="H171" s="57" t="str">
        <f>IF(A171="","",SUMIFS(jr_qty,jr_type,"BR",jr_art,A171,jr_year,p_year))</f>
        <v/>
      </c>
      <c r="I171" s="57" t="str">
        <f>IF(A171="","",SUMIFS(jr_qty,jr_type,"BS",jr_art,A171,jr_year,p_year))</f>
        <v/>
      </c>
      <c r="J171" s="60" t="str">
        <f>IF(A171="",IF(B171="","","Référence manquante"),IF(COUNTIF($A$6:$A$505,A171)&gt;1,"Référence en double",IF(B171="","Désignation manquante",IF(C171="","Unité manquante","OK"))))</f>
        <v/>
      </c>
    </row>
    <row r="172">
      <c r="A172" s="59" t="n"/>
      <c r="B172" s="59" t="n"/>
      <c r="C172" s="54" t="n"/>
      <c r="D172" s="127" t="n"/>
      <c r="E172" s="128" t="n"/>
      <c r="F172" s="128" t="n"/>
      <c r="G172" s="57" t="str">
        <f>IF(A172="","",SUMIFS(jr_qty,jr_type,"BL",jr_art,A172,jr_year,p_year))</f>
        <v/>
      </c>
      <c r="H172" s="57" t="str">
        <f>IF(A172="","",SUMIFS(jr_qty,jr_type,"BR",jr_art,A172,jr_year,p_year))</f>
        <v/>
      </c>
      <c r="I172" s="57" t="str">
        <f>IF(A172="","",SUMIFS(jr_qty,jr_type,"BS",jr_art,A172,jr_year,p_year))</f>
        <v/>
      </c>
      <c r="J172" s="60" t="str">
        <f>IF(A172="",IF(B172="","","Référence manquante"),IF(COUNTIF($A$6:$A$505,A172)&gt;1,"Référence en double",IF(B172="","Désignation manquante",IF(C172="","Unité manquante","OK"))))</f>
        <v/>
      </c>
    </row>
    <row r="173">
      <c r="A173" s="59" t="n"/>
      <c r="B173" s="59" t="n"/>
      <c r="C173" s="54" t="n"/>
      <c r="D173" s="127" t="n"/>
      <c r="E173" s="128" t="n"/>
      <c r="F173" s="128" t="n"/>
      <c r="G173" s="57" t="str">
        <f>IF(A173="","",SUMIFS(jr_qty,jr_type,"BL",jr_art,A173,jr_year,p_year))</f>
        <v/>
      </c>
      <c r="H173" s="57" t="str">
        <f>IF(A173="","",SUMIFS(jr_qty,jr_type,"BR",jr_art,A173,jr_year,p_year))</f>
        <v/>
      </c>
      <c r="I173" s="57" t="str">
        <f>IF(A173="","",SUMIFS(jr_qty,jr_type,"BS",jr_art,A173,jr_year,p_year))</f>
        <v/>
      </c>
      <c r="J173" s="60" t="str">
        <f>IF(A173="",IF(B173="","","Référence manquante"),IF(COUNTIF($A$6:$A$505,A173)&gt;1,"Référence en double",IF(B173="","Désignation manquante",IF(C173="","Unité manquante","OK"))))</f>
        <v/>
      </c>
    </row>
    <row r="174">
      <c r="A174" s="59" t="n"/>
      <c r="B174" s="59" t="n"/>
      <c r="C174" s="54" t="n"/>
      <c r="D174" s="127" t="n"/>
      <c r="E174" s="128" t="n"/>
      <c r="F174" s="128" t="n"/>
      <c r="G174" s="57" t="str">
        <f>IF(A174="","",SUMIFS(jr_qty,jr_type,"BL",jr_art,A174,jr_year,p_year))</f>
        <v/>
      </c>
      <c r="H174" s="57" t="str">
        <f>IF(A174="","",SUMIFS(jr_qty,jr_type,"BR",jr_art,A174,jr_year,p_year))</f>
        <v/>
      </c>
      <c r="I174" s="57" t="str">
        <f>IF(A174="","",SUMIFS(jr_qty,jr_type,"BS",jr_art,A174,jr_year,p_year))</f>
        <v/>
      </c>
      <c r="J174" s="60" t="str">
        <f>IF(A174="",IF(B174="","","Référence manquante"),IF(COUNTIF($A$6:$A$505,A174)&gt;1,"Référence en double",IF(B174="","Désignation manquante",IF(C174="","Unité manquante","OK"))))</f>
        <v/>
      </c>
    </row>
    <row r="175">
      <c r="A175" s="59" t="n"/>
      <c r="B175" s="59" t="n"/>
      <c r="C175" s="54" t="n"/>
      <c r="D175" s="127" t="n"/>
      <c r="E175" s="128" t="n"/>
      <c r="F175" s="128" t="n"/>
      <c r="G175" s="57" t="str">
        <f>IF(A175="","",SUMIFS(jr_qty,jr_type,"BL",jr_art,A175,jr_year,p_year))</f>
        <v/>
      </c>
      <c r="H175" s="57" t="str">
        <f>IF(A175="","",SUMIFS(jr_qty,jr_type,"BR",jr_art,A175,jr_year,p_year))</f>
        <v/>
      </c>
      <c r="I175" s="57" t="str">
        <f>IF(A175="","",SUMIFS(jr_qty,jr_type,"BS",jr_art,A175,jr_year,p_year))</f>
        <v/>
      </c>
      <c r="J175" s="60" t="str">
        <f>IF(A175="",IF(B175="","","Référence manquante"),IF(COUNTIF($A$6:$A$505,A175)&gt;1,"Référence en double",IF(B175="","Désignation manquante",IF(C175="","Unité manquante","OK"))))</f>
        <v/>
      </c>
    </row>
    <row r="176">
      <c r="A176" s="59" t="n"/>
      <c r="B176" s="59" t="n"/>
      <c r="C176" s="54" t="n"/>
      <c r="D176" s="127" t="n"/>
      <c r="E176" s="128" t="n"/>
      <c r="F176" s="128" t="n"/>
      <c r="G176" s="57" t="str">
        <f>IF(A176="","",SUMIFS(jr_qty,jr_type,"BL",jr_art,A176,jr_year,p_year))</f>
        <v/>
      </c>
      <c r="H176" s="57" t="str">
        <f>IF(A176="","",SUMIFS(jr_qty,jr_type,"BR",jr_art,A176,jr_year,p_year))</f>
        <v/>
      </c>
      <c r="I176" s="57" t="str">
        <f>IF(A176="","",SUMIFS(jr_qty,jr_type,"BS",jr_art,A176,jr_year,p_year))</f>
        <v/>
      </c>
      <c r="J176" s="60" t="str">
        <f>IF(A176="",IF(B176="","","Référence manquante"),IF(COUNTIF($A$6:$A$505,A176)&gt;1,"Référence en double",IF(B176="","Désignation manquante",IF(C176="","Unité manquante","OK"))))</f>
        <v/>
      </c>
    </row>
    <row r="177">
      <c r="A177" s="59" t="n"/>
      <c r="B177" s="59" t="n"/>
      <c r="C177" s="54" t="n"/>
      <c r="D177" s="127" t="n"/>
      <c r="E177" s="128" t="n"/>
      <c r="F177" s="128" t="n"/>
      <c r="G177" s="57" t="str">
        <f>IF(A177="","",SUMIFS(jr_qty,jr_type,"BL",jr_art,A177,jr_year,p_year))</f>
        <v/>
      </c>
      <c r="H177" s="57" t="str">
        <f>IF(A177="","",SUMIFS(jr_qty,jr_type,"BR",jr_art,A177,jr_year,p_year))</f>
        <v/>
      </c>
      <c r="I177" s="57" t="str">
        <f>IF(A177="","",SUMIFS(jr_qty,jr_type,"BS",jr_art,A177,jr_year,p_year))</f>
        <v/>
      </c>
      <c r="J177" s="60" t="str">
        <f>IF(A177="",IF(B177="","","Référence manquante"),IF(COUNTIF($A$6:$A$505,A177)&gt;1,"Référence en double",IF(B177="","Désignation manquante",IF(C177="","Unité manquante","OK"))))</f>
        <v/>
      </c>
    </row>
    <row r="178">
      <c r="A178" s="59" t="n"/>
      <c r="B178" s="59" t="n"/>
      <c r="C178" s="54" t="n"/>
      <c r="D178" s="127" t="n"/>
      <c r="E178" s="128" t="n"/>
      <c r="F178" s="128" t="n"/>
      <c r="G178" s="57" t="str">
        <f>IF(A178="","",SUMIFS(jr_qty,jr_type,"BL",jr_art,A178,jr_year,p_year))</f>
        <v/>
      </c>
      <c r="H178" s="57" t="str">
        <f>IF(A178="","",SUMIFS(jr_qty,jr_type,"BR",jr_art,A178,jr_year,p_year))</f>
        <v/>
      </c>
      <c r="I178" s="57" t="str">
        <f>IF(A178="","",SUMIFS(jr_qty,jr_type,"BS",jr_art,A178,jr_year,p_year))</f>
        <v/>
      </c>
      <c r="J178" s="60" t="str">
        <f>IF(A178="",IF(B178="","","Référence manquante"),IF(COUNTIF($A$6:$A$505,A178)&gt;1,"Référence en double",IF(B178="","Désignation manquante",IF(C178="","Unité manquante","OK"))))</f>
        <v/>
      </c>
    </row>
    <row r="179">
      <c r="A179" s="59" t="n"/>
      <c r="B179" s="59" t="n"/>
      <c r="C179" s="54" t="n"/>
      <c r="D179" s="127" t="n"/>
      <c r="E179" s="128" t="n"/>
      <c r="F179" s="128" t="n"/>
      <c r="G179" s="57" t="str">
        <f>IF(A179="","",SUMIFS(jr_qty,jr_type,"BL",jr_art,A179,jr_year,p_year))</f>
        <v/>
      </c>
      <c r="H179" s="57" t="str">
        <f>IF(A179="","",SUMIFS(jr_qty,jr_type,"BR",jr_art,A179,jr_year,p_year))</f>
        <v/>
      </c>
      <c r="I179" s="57" t="str">
        <f>IF(A179="","",SUMIFS(jr_qty,jr_type,"BS",jr_art,A179,jr_year,p_year))</f>
        <v/>
      </c>
      <c r="J179" s="60" t="str">
        <f>IF(A179="",IF(B179="","","Référence manquante"),IF(COUNTIF($A$6:$A$505,A179)&gt;1,"Référence en double",IF(B179="","Désignation manquante",IF(C179="","Unité manquante","OK"))))</f>
        <v/>
      </c>
    </row>
    <row r="180">
      <c r="A180" s="59" t="n"/>
      <c r="B180" s="59" t="n"/>
      <c r="C180" s="54" t="n"/>
      <c r="D180" s="127" t="n"/>
      <c r="E180" s="128" t="n"/>
      <c r="F180" s="128" t="n"/>
      <c r="G180" s="57" t="str">
        <f>IF(A180="","",SUMIFS(jr_qty,jr_type,"BL",jr_art,A180,jr_year,p_year))</f>
        <v/>
      </c>
      <c r="H180" s="57" t="str">
        <f>IF(A180="","",SUMIFS(jr_qty,jr_type,"BR",jr_art,A180,jr_year,p_year))</f>
        <v/>
      </c>
      <c r="I180" s="57" t="str">
        <f>IF(A180="","",SUMIFS(jr_qty,jr_type,"BS",jr_art,A180,jr_year,p_year))</f>
        <v/>
      </c>
      <c r="J180" s="60" t="str">
        <f>IF(A180="",IF(B180="","","Référence manquante"),IF(COUNTIF($A$6:$A$505,A180)&gt;1,"Référence en double",IF(B180="","Désignation manquante",IF(C180="","Unité manquante","OK"))))</f>
        <v/>
      </c>
    </row>
    <row r="181">
      <c r="A181" s="59" t="n"/>
      <c r="B181" s="59" t="n"/>
      <c r="C181" s="54" t="n"/>
      <c r="D181" s="127" t="n"/>
      <c r="E181" s="128" t="n"/>
      <c r="F181" s="128" t="n"/>
      <c r="G181" s="57" t="str">
        <f>IF(A181="","",SUMIFS(jr_qty,jr_type,"BL",jr_art,A181,jr_year,p_year))</f>
        <v/>
      </c>
      <c r="H181" s="57" t="str">
        <f>IF(A181="","",SUMIFS(jr_qty,jr_type,"BR",jr_art,A181,jr_year,p_year))</f>
        <v/>
      </c>
      <c r="I181" s="57" t="str">
        <f>IF(A181="","",SUMIFS(jr_qty,jr_type,"BS",jr_art,A181,jr_year,p_year))</f>
        <v/>
      </c>
      <c r="J181" s="60" t="str">
        <f>IF(A181="",IF(B181="","","Référence manquante"),IF(COUNTIF($A$6:$A$505,A181)&gt;1,"Référence en double",IF(B181="","Désignation manquante",IF(C181="","Unité manquante","OK"))))</f>
        <v/>
      </c>
    </row>
    <row r="182">
      <c r="A182" s="59" t="n"/>
      <c r="B182" s="59" t="n"/>
      <c r="C182" s="54" t="n"/>
      <c r="D182" s="127" t="n"/>
      <c r="E182" s="128" t="n"/>
      <c r="F182" s="128" t="n"/>
      <c r="G182" s="57" t="str">
        <f>IF(A182="","",SUMIFS(jr_qty,jr_type,"BL",jr_art,A182,jr_year,p_year))</f>
        <v/>
      </c>
      <c r="H182" s="57" t="str">
        <f>IF(A182="","",SUMIFS(jr_qty,jr_type,"BR",jr_art,A182,jr_year,p_year))</f>
        <v/>
      </c>
      <c r="I182" s="57" t="str">
        <f>IF(A182="","",SUMIFS(jr_qty,jr_type,"BS",jr_art,A182,jr_year,p_year))</f>
        <v/>
      </c>
      <c r="J182" s="60" t="str">
        <f>IF(A182="",IF(B182="","","Référence manquante"),IF(COUNTIF($A$6:$A$505,A182)&gt;1,"Référence en double",IF(B182="","Désignation manquante",IF(C182="","Unité manquante","OK"))))</f>
        <v/>
      </c>
    </row>
    <row r="183">
      <c r="A183" s="59" t="n"/>
      <c r="B183" s="59" t="n"/>
      <c r="C183" s="54" t="n"/>
      <c r="D183" s="127" t="n"/>
      <c r="E183" s="128" t="n"/>
      <c r="F183" s="128" t="n"/>
      <c r="G183" s="57" t="str">
        <f>IF(A183="","",SUMIFS(jr_qty,jr_type,"BL",jr_art,A183,jr_year,p_year))</f>
        <v/>
      </c>
      <c r="H183" s="57" t="str">
        <f>IF(A183="","",SUMIFS(jr_qty,jr_type,"BR",jr_art,A183,jr_year,p_year))</f>
        <v/>
      </c>
      <c r="I183" s="57" t="str">
        <f>IF(A183="","",SUMIFS(jr_qty,jr_type,"BS",jr_art,A183,jr_year,p_year))</f>
        <v/>
      </c>
      <c r="J183" s="60" t="str">
        <f>IF(A183="",IF(B183="","","Référence manquante"),IF(COUNTIF($A$6:$A$505,A183)&gt;1,"Référence en double",IF(B183="","Désignation manquante",IF(C183="","Unité manquante","OK"))))</f>
        <v/>
      </c>
    </row>
    <row r="184">
      <c r="A184" s="59" t="n"/>
      <c r="B184" s="59" t="n"/>
      <c r="C184" s="54" t="n"/>
      <c r="D184" s="127" t="n"/>
      <c r="E184" s="128" t="n"/>
      <c r="F184" s="128" t="n"/>
      <c r="G184" s="57" t="str">
        <f>IF(A184="","",SUMIFS(jr_qty,jr_type,"BL",jr_art,A184,jr_year,p_year))</f>
        <v/>
      </c>
      <c r="H184" s="57" t="str">
        <f>IF(A184="","",SUMIFS(jr_qty,jr_type,"BR",jr_art,A184,jr_year,p_year))</f>
        <v/>
      </c>
      <c r="I184" s="57" t="str">
        <f>IF(A184="","",SUMIFS(jr_qty,jr_type,"BS",jr_art,A184,jr_year,p_year))</f>
        <v/>
      </c>
      <c r="J184" s="60" t="str">
        <f>IF(A184="",IF(B184="","","Référence manquante"),IF(COUNTIF($A$6:$A$505,A184)&gt;1,"Référence en double",IF(B184="","Désignation manquante",IF(C184="","Unité manquante","OK"))))</f>
        <v/>
      </c>
    </row>
    <row r="185">
      <c r="A185" s="59" t="n"/>
      <c r="B185" s="59" t="n"/>
      <c r="C185" s="54" t="n"/>
      <c r="D185" s="127" t="n"/>
      <c r="E185" s="128" t="n"/>
      <c r="F185" s="128" t="n"/>
      <c r="G185" s="57" t="str">
        <f>IF(A185="","",SUMIFS(jr_qty,jr_type,"BL",jr_art,A185,jr_year,p_year))</f>
        <v/>
      </c>
      <c r="H185" s="57" t="str">
        <f>IF(A185="","",SUMIFS(jr_qty,jr_type,"BR",jr_art,A185,jr_year,p_year))</f>
        <v/>
      </c>
      <c r="I185" s="57" t="str">
        <f>IF(A185="","",SUMIFS(jr_qty,jr_type,"BS",jr_art,A185,jr_year,p_year))</f>
        <v/>
      </c>
      <c r="J185" s="60" t="str">
        <f>IF(A185="",IF(B185="","","Référence manquante"),IF(COUNTIF($A$6:$A$505,A185)&gt;1,"Référence en double",IF(B185="","Désignation manquante",IF(C185="","Unité manquante","OK"))))</f>
        <v/>
      </c>
    </row>
    <row r="186">
      <c r="A186" s="59" t="n"/>
      <c r="B186" s="59" t="n"/>
      <c r="C186" s="54" t="n"/>
      <c r="D186" s="127" t="n"/>
      <c r="E186" s="128" t="n"/>
      <c r="F186" s="128" t="n"/>
      <c r="G186" s="57" t="str">
        <f>IF(A186="","",SUMIFS(jr_qty,jr_type,"BL",jr_art,A186,jr_year,p_year))</f>
        <v/>
      </c>
      <c r="H186" s="57" t="str">
        <f>IF(A186="","",SUMIFS(jr_qty,jr_type,"BR",jr_art,A186,jr_year,p_year))</f>
        <v/>
      </c>
      <c r="I186" s="57" t="str">
        <f>IF(A186="","",SUMIFS(jr_qty,jr_type,"BS",jr_art,A186,jr_year,p_year))</f>
        <v/>
      </c>
      <c r="J186" s="60" t="str">
        <f>IF(A186="",IF(B186="","","Référence manquante"),IF(COUNTIF($A$6:$A$505,A186)&gt;1,"Référence en double",IF(B186="","Désignation manquante",IF(C186="","Unité manquante","OK"))))</f>
        <v/>
      </c>
    </row>
    <row r="187">
      <c r="A187" s="59" t="n"/>
      <c r="B187" s="59" t="n"/>
      <c r="C187" s="54" t="n"/>
      <c r="D187" s="127" t="n"/>
      <c r="E187" s="128" t="n"/>
      <c r="F187" s="128" t="n"/>
      <c r="G187" s="57" t="str">
        <f>IF(A187="","",SUMIFS(jr_qty,jr_type,"BL",jr_art,A187,jr_year,p_year))</f>
        <v/>
      </c>
      <c r="H187" s="57" t="str">
        <f>IF(A187="","",SUMIFS(jr_qty,jr_type,"BR",jr_art,A187,jr_year,p_year))</f>
        <v/>
      </c>
      <c r="I187" s="57" t="str">
        <f>IF(A187="","",SUMIFS(jr_qty,jr_type,"BS",jr_art,A187,jr_year,p_year))</f>
        <v/>
      </c>
      <c r="J187" s="60" t="str">
        <f>IF(A187="",IF(B187="","","Référence manquante"),IF(COUNTIF($A$6:$A$505,A187)&gt;1,"Référence en double",IF(B187="","Désignation manquante",IF(C187="","Unité manquante","OK"))))</f>
        <v/>
      </c>
    </row>
    <row r="188">
      <c r="A188" s="59" t="n"/>
      <c r="B188" s="59" t="n"/>
      <c r="C188" s="54" t="n"/>
      <c r="D188" s="127" t="n"/>
      <c r="E188" s="128" t="n"/>
      <c r="F188" s="128" t="n"/>
      <c r="G188" s="57" t="str">
        <f>IF(A188="","",SUMIFS(jr_qty,jr_type,"BL",jr_art,A188,jr_year,p_year))</f>
        <v/>
      </c>
      <c r="H188" s="57" t="str">
        <f>IF(A188="","",SUMIFS(jr_qty,jr_type,"BR",jr_art,A188,jr_year,p_year))</f>
        <v/>
      </c>
      <c r="I188" s="57" t="str">
        <f>IF(A188="","",SUMIFS(jr_qty,jr_type,"BS",jr_art,A188,jr_year,p_year))</f>
        <v/>
      </c>
      <c r="J188" s="60" t="str">
        <f>IF(A188="",IF(B188="","","Référence manquante"),IF(COUNTIF($A$6:$A$505,A188)&gt;1,"Référence en double",IF(B188="","Désignation manquante",IF(C188="","Unité manquante","OK"))))</f>
        <v/>
      </c>
    </row>
    <row r="189">
      <c r="A189" s="59" t="n"/>
      <c r="B189" s="59" t="n"/>
      <c r="C189" s="54" t="n"/>
      <c r="D189" s="127" t="n"/>
      <c r="E189" s="128" t="n"/>
      <c r="F189" s="128" t="n"/>
      <c r="G189" s="57" t="str">
        <f>IF(A189="","",SUMIFS(jr_qty,jr_type,"BL",jr_art,A189,jr_year,p_year))</f>
        <v/>
      </c>
      <c r="H189" s="57" t="str">
        <f>IF(A189="","",SUMIFS(jr_qty,jr_type,"BR",jr_art,A189,jr_year,p_year))</f>
        <v/>
      </c>
      <c r="I189" s="57" t="str">
        <f>IF(A189="","",SUMIFS(jr_qty,jr_type,"BS",jr_art,A189,jr_year,p_year))</f>
        <v/>
      </c>
      <c r="J189" s="60" t="str">
        <f>IF(A189="",IF(B189="","","Référence manquante"),IF(COUNTIF($A$6:$A$505,A189)&gt;1,"Référence en double",IF(B189="","Désignation manquante",IF(C189="","Unité manquante","OK"))))</f>
        <v/>
      </c>
    </row>
    <row r="190">
      <c r="A190" s="59" t="n"/>
      <c r="B190" s="59" t="n"/>
      <c r="C190" s="54" t="n"/>
      <c r="D190" s="127" t="n"/>
      <c r="E190" s="128" t="n"/>
      <c r="F190" s="128" t="n"/>
      <c r="G190" s="57" t="str">
        <f>IF(A190="","",SUMIFS(jr_qty,jr_type,"BL",jr_art,A190,jr_year,p_year))</f>
        <v/>
      </c>
      <c r="H190" s="57" t="str">
        <f>IF(A190="","",SUMIFS(jr_qty,jr_type,"BR",jr_art,A190,jr_year,p_year))</f>
        <v/>
      </c>
      <c r="I190" s="57" t="str">
        <f>IF(A190="","",SUMIFS(jr_qty,jr_type,"BS",jr_art,A190,jr_year,p_year))</f>
        <v/>
      </c>
      <c r="J190" s="60" t="str">
        <f>IF(A190="",IF(B190="","","Référence manquante"),IF(COUNTIF($A$6:$A$505,A190)&gt;1,"Référence en double",IF(B190="","Désignation manquante",IF(C190="","Unité manquante","OK"))))</f>
        <v/>
      </c>
    </row>
    <row r="191">
      <c r="A191" s="59" t="n"/>
      <c r="B191" s="59" t="n"/>
      <c r="C191" s="54" t="n"/>
      <c r="D191" s="127" t="n"/>
      <c r="E191" s="128" t="n"/>
      <c r="F191" s="128" t="n"/>
      <c r="G191" s="57" t="str">
        <f>IF(A191="","",SUMIFS(jr_qty,jr_type,"BL",jr_art,A191,jr_year,p_year))</f>
        <v/>
      </c>
      <c r="H191" s="57" t="str">
        <f>IF(A191="","",SUMIFS(jr_qty,jr_type,"BR",jr_art,A191,jr_year,p_year))</f>
        <v/>
      </c>
      <c r="I191" s="57" t="str">
        <f>IF(A191="","",SUMIFS(jr_qty,jr_type,"BS",jr_art,A191,jr_year,p_year))</f>
        <v/>
      </c>
      <c r="J191" s="60" t="str">
        <f>IF(A191="",IF(B191="","","Référence manquante"),IF(COUNTIF($A$6:$A$505,A191)&gt;1,"Référence en double",IF(B191="","Désignation manquante",IF(C191="","Unité manquante","OK"))))</f>
        <v/>
      </c>
    </row>
    <row r="192">
      <c r="A192" s="59" t="n"/>
      <c r="B192" s="59" t="n"/>
      <c r="C192" s="54" t="n"/>
      <c r="D192" s="127" t="n"/>
      <c r="E192" s="128" t="n"/>
      <c r="F192" s="128" t="n"/>
      <c r="G192" s="57" t="str">
        <f>IF(A192="","",SUMIFS(jr_qty,jr_type,"BL",jr_art,A192,jr_year,p_year))</f>
        <v/>
      </c>
      <c r="H192" s="57" t="str">
        <f>IF(A192="","",SUMIFS(jr_qty,jr_type,"BR",jr_art,A192,jr_year,p_year))</f>
        <v/>
      </c>
      <c r="I192" s="57" t="str">
        <f>IF(A192="","",SUMIFS(jr_qty,jr_type,"BS",jr_art,A192,jr_year,p_year))</f>
        <v/>
      </c>
      <c r="J192" s="60" t="str">
        <f>IF(A192="",IF(B192="","","Référence manquante"),IF(COUNTIF($A$6:$A$505,A192)&gt;1,"Référence en double",IF(B192="","Désignation manquante",IF(C192="","Unité manquante","OK"))))</f>
        <v/>
      </c>
    </row>
    <row r="193">
      <c r="A193" s="59" t="n"/>
      <c r="B193" s="59" t="n"/>
      <c r="C193" s="54" t="n"/>
      <c r="D193" s="127" t="n"/>
      <c r="E193" s="128" t="n"/>
      <c r="F193" s="128" t="n"/>
      <c r="G193" s="57" t="str">
        <f>IF(A193="","",SUMIFS(jr_qty,jr_type,"BL",jr_art,A193,jr_year,p_year))</f>
        <v/>
      </c>
      <c r="H193" s="57" t="str">
        <f>IF(A193="","",SUMIFS(jr_qty,jr_type,"BR",jr_art,A193,jr_year,p_year))</f>
        <v/>
      </c>
      <c r="I193" s="57" t="str">
        <f>IF(A193="","",SUMIFS(jr_qty,jr_type,"BS",jr_art,A193,jr_year,p_year))</f>
        <v/>
      </c>
      <c r="J193" s="60" t="str">
        <f>IF(A193="",IF(B193="","","Référence manquante"),IF(COUNTIF($A$6:$A$505,A193)&gt;1,"Référence en double",IF(B193="","Désignation manquante",IF(C193="","Unité manquante","OK"))))</f>
        <v/>
      </c>
    </row>
    <row r="194">
      <c r="A194" s="59" t="n"/>
      <c r="B194" s="59" t="n"/>
      <c r="C194" s="54" t="n"/>
      <c r="D194" s="127" t="n"/>
      <c r="E194" s="128" t="n"/>
      <c r="F194" s="128" t="n"/>
      <c r="G194" s="57" t="str">
        <f>IF(A194="","",SUMIFS(jr_qty,jr_type,"BL",jr_art,A194,jr_year,p_year))</f>
        <v/>
      </c>
      <c r="H194" s="57" t="str">
        <f>IF(A194="","",SUMIFS(jr_qty,jr_type,"BR",jr_art,A194,jr_year,p_year))</f>
        <v/>
      </c>
      <c r="I194" s="57" t="str">
        <f>IF(A194="","",SUMIFS(jr_qty,jr_type,"BS",jr_art,A194,jr_year,p_year))</f>
        <v/>
      </c>
      <c r="J194" s="60" t="str">
        <f>IF(A194="",IF(B194="","","Référence manquante"),IF(COUNTIF($A$6:$A$505,A194)&gt;1,"Référence en double",IF(B194="","Désignation manquante",IF(C194="","Unité manquante","OK"))))</f>
        <v/>
      </c>
    </row>
    <row r="195">
      <c r="A195" s="59" t="n"/>
      <c r="B195" s="59" t="n"/>
      <c r="C195" s="54" t="n"/>
      <c r="D195" s="127" t="n"/>
      <c r="E195" s="128" t="n"/>
      <c r="F195" s="128" t="n"/>
      <c r="G195" s="57" t="str">
        <f>IF(A195="","",SUMIFS(jr_qty,jr_type,"BL",jr_art,A195,jr_year,p_year))</f>
        <v/>
      </c>
      <c r="H195" s="57" t="str">
        <f>IF(A195="","",SUMIFS(jr_qty,jr_type,"BR",jr_art,A195,jr_year,p_year))</f>
        <v/>
      </c>
      <c r="I195" s="57" t="str">
        <f>IF(A195="","",SUMIFS(jr_qty,jr_type,"BS",jr_art,A195,jr_year,p_year))</f>
        <v/>
      </c>
      <c r="J195" s="60" t="str">
        <f>IF(A195="",IF(B195="","","Référence manquante"),IF(COUNTIF($A$6:$A$505,A195)&gt;1,"Référence en double",IF(B195="","Désignation manquante",IF(C195="","Unité manquante","OK"))))</f>
        <v/>
      </c>
    </row>
    <row r="196">
      <c r="A196" s="59" t="n"/>
      <c r="B196" s="59" t="n"/>
      <c r="C196" s="54" t="n"/>
      <c r="D196" s="127" t="n"/>
      <c r="E196" s="128" t="n"/>
      <c r="F196" s="128" t="n"/>
      <c r="G196" s="57" t="str">
        <f>IF(A196="","",SUMIFS(jr_qty,jr_type,"BL",jr_art,A196,jr_year,p_year))</f>
        <v/>
      </c>
      <c r="H196" s="57" t="str">
        <f>IF(A196="","",SUMIFS(jr_qty,jr_type,"BR",jr_art,A196,jr_year,p_year))</f>
        <v/>
      </c>
      <c r="I196" s="57" t="str">
        <f>IF(A196="","",SUMIFS(jr_qty,jr_type,"BS",jr_art,A196,jr_year,p_year))</f>
        <v/>
      </c>
      <c r="J196" s="60" t="str">
        <f>IF(A196="",IF(B196="","","Référence manquante"),IF(COUNTIF($A$6:$A$505,A196)&gt;1,"Référence en double",IF(B196="","Désignation manquante",IF(C196="","Unité manquante","OK"))))</f>
        <v/>
      </c>
    </row>
    <row r="197">
      <c r="A197" s="59" t="n"/>
      <c r="B197" s="59" t="n"/>
      <c r="C197" s="54" t="n"/>
      <c r="D197" s="127" t="n"/>
      <c r="E197" s="128" t="n"/>
      <c r="F197" s="128" t="n"/>
      <c r="G197" s="57" t="str">
        <f>IF(A197="","",SUMIFS(jr_qty,jr_type,"BL",jr_art,A197,jr_year,p_year))</f>
        <v/>
      </c>
      <c r="H197" s="57" t="str">
        <f>IF(A197="","",SUMIFS(jr_qty,jr_type,"BR",jr_art,A197,jr_year,p_year))</f>
        <v/>
      </c>
      <c r="I197" s="57" t="str">
        <f>IF(A197="","",SUMIFS(jr_qty,jr_type,"BS",jr_art,A197,jr_year,p_year))</f>
        <v/>
      </c>
      <c r="J197" s="60" t="str">
        <f>IF(A197="",IF(B197="","","Référence manquante"),IF(COUNTIF($A$6:$A$505,A197)&gt;1,"Référence en double",IF(B197="","Désignation manquante",IF(C197="","Unité manquante","OK"))))</f>
        <v/>
      </c>
    </row>
    <row r="198">
      <c r="A198" s="59" t="n"/>
      <c r="B198" s="59" t="n"/>
      <c r="C198" s="54" t="n"/>
      <c r="D198" s="127" t="n"/>
      <c r="E198" s="128" t="n"/>
      <c r="F198" s="128" t="n"/>
      <c r="G198" s="57" t="str">
        <f>IF(A198="","",SUMIFS(jr_qty,jr_type,"BL",jr_art,A198,jr_year,p_year))</f>
        <v/>
      </c>
      <c r="H198" s="57" t="str">
        <f>IF(A198="","",SUMIFS(jr_qty,jr_type,"BR",jr_art,A198,jr_year,p_year))</f>
        <v/>
      </c>
      <c r="I198" s="57" t="str">
        <f>IF(A198="","",SUMIFS(jr_qty,jr_type,"BS",jr_art,A198,jr_year,p_year))</f>
        <v/>
      </c>
      <c r="J198" s="60" t="str">
        <f>IF(A198="",IF(B198="","","Référence manquante"),IF(COUNTIF($A$6:$A$505,A198)&gt;1,"Référence en double",IF(B198="","Désignation manquante",IF(C198="","Unité manquante","OK"))))</f>
        <v/>
      </c>
    </row>
    <row r="199">
      <c r="A199" s="59" t="n"/>
      <c r="B199" s="59" t="n"/>
      <c r="C199" s="54" t="n"/>
      <c r="D199" s="127" t="n"/>
      <c r="E199" s="128" t="n"/>
      <c r="F199" s="128" t="n"/>
      <c r="G199" s="57" t="str">
        <f>IF(A199="","",SUMIFS(jr_qty,jr_type,"BL",jr_art,A199,jr_year,p_year))</f>
        <v/>
      </c>
      <c r="H199" s="57" t="str">
        <f>IF(A199="","",SUMIFS(jr_qty,jr_type,"BR",jr_art,A199,jr_year,p_year))</f>
        <v/>
      </c>
      <c r="I199" s="57" t="str">
        <f>IF(A199="","",SUMIFS(jr_qty,jr_type,"BS",jr_art,A199,jr_year,p_year))</f>
        <v/>
      </c>
      <c r="J199" s="60" t="str">
        <f>IF(A199="",IF(B199="","","Référence manquante"),IF(COUNTIF($A$6:$A$505,A199)&gt;1,"Référence en double",IF(B199="","Désignation manquante",IF(C199="","Unité manquante","OK"))))</f>
        <v/>
      </c>
    </row>
    <row r="200">
      <c r="A200" s="59" t="n"/>
      <c r="B200" s="59" t="n"/>
      <c r="C200" s="54" t="n"/>
      <c r="D200" s="127" t="n"/>
      <c r="E200" s="128" t="n"/>
      <c r="F200" s="128" t="n"/>
      <c r="G200" s="57" t="str">
        <f>IF(A200="","",SUMIFS(jr_qty,jr_type,"BL",jr_art,A200,jr_year,p_year))</f>
        <v/>
      </c>
      <c r="H200" s="57" t="str">
        <f>IF(A200="","",SUMIFS(jr_qty,jr_type,"BR",jr_art,A200,jr_year,p_year))</f>
        <v/>
      </c>
      <c r="I200" s="57" t="str">
        <f>IF(A200="","",SUMIFS(jr_qty,jr_type,"BS",jr_art,A200,jr_year,p_year))</f>
        <v/>
      </c>
      <c r="J200" s="60" t="str">
        <f>IF(A200="",IF(B200="","","Référence manquante"),IF(COUNTIF($A$6:$A$505,A200)&gt;1,"Référence en double",IF(B200="","Désignation manquante",IF(C200="","Unité manquante","OK"))))</f>
        <v/>
      </c>
    </row>
    <row r="201">
      <c r="A201" s="59" t="n"/>
      <c r="B201" s="59" t="n"/>
      <c r="C201" s="54" t="n"/>
      <c r="D201" s="127" t="n"/>
      <c r="E201" s="128" t="n"/>
      <c r="F201" s="128" t="n"/>
      <c r="G201" s="57" t="str">
        <f>IF(A201="","",SUMIFS(jr_qty,jr_type,"BL",jr_art,A201,jr_year,p_year))</f>
        <v/>
      </c>
      <c r="H201" s="57" t="str">
        <f>IF(A201="","",SUMIFS(jr_qty,jr_type,"BR",jr_art,A201,jr_year,p_year))</f>
        <v/>
      </c>
      <c r="I201" s="57" t="str">
        <f>IF(A201="","",SUMIFS(jr_qty,jr_type,"BS",jr_art,A201,jr_year,p_year))</f>
        <v/>
      </c>
      <c r="J201" s="60" t="str">
        <f>IF(A201="",IF(B201="","","Référence manquante"),IF(COUNTIF($A$6:$A$505,A201)&gt;1,"Référence en double",IF(B201="","Désignation manquante",IF(C201="","Unité manquante","OK"))))</f>
        <v/>
      </c>
    </row>
    <row r="202">
      <c r="A202" s="59" t="n"/>
      <c r="B202" s="59" t="n"/>
      <c r="C202" s="54" t="n"/>
      <c r="D202" s="127" t="n"/>
      <c r="E202" s="128" t="n"/>
      <c r="F202" s="128" t="n"/>
      <c r="G202" s="57" t="str">
        <f>IF(A202="","",SUMIFS(jr_qty,jr_type,"BL",jr_art,A202,jr_year,p_year))</f>
        <v/>
      </c>
      <c r="H202" s="57" t="str">
        <f>IF(A202="","",SUMIFS(jr_qty,jr_type,"BR",jr_art,A202,jr_year,p_year))</f>
        <v/>
      </c>
      <c r="I202" s="57" t="str">
        <f>IF(A202="","",SUMIFS(jr_qty,jr_type,"BS",jr_art,A202,jr_year,p_year))</f>
        <v/>
      </c>
      <c r="J202" s="60" t="str">
        <f>IF(A202="",IF(B202="","","Référence manquante"),IF(COUNTIF($A$6:$A$505,A202)&gt;1,"Référence en double",IF(B202="","Désignation manquante",IF(C202="","Unité manquante","OK"))))</f>
        <v/>
      </c>
    </row>
    <row r="203">
      <c r="A203" s="59" t="n"/>
      <c r="B203" s="59" t="n"/>
      <c r="C203" s="54" t="n"/>
      <c r="D203" s="127" t="n"/>
      <c r="E203" s="128" t="n"/>
      <c r="F203" s="128" t="n"/>
      <c r="G203" s="57" t="str">
        <f>IF(A203="","",SUMIFS(jr_qty,jr_type,"BL",jr_art,A203,jr_year,p_year))</f>
        <v/>
      </c>
      <c r="H203" s="57" t="str">
        <f>IF(A203="","",SUMIFS(jr_qty,jr_type,"BR",jr_art,A203,jr_year,p_year))</f>
        <v/>
      </c>
      <c r="I203" s="57" t="str">
        <f>IF(A203="","",SUMIFS(jr_qty,jr_type,"BS",jr_art,A203,jr_year,p_year))</f>
        <v/>
      </c>
      <c r="J203" s="60" t="str">
        <f>IF(A203="",IF(B203="","","Référence manquante"),IF(COUNTIF($A$6:$A$505,A203)&gt;1,"Référence en double",IF(B203="","Désignation manquante",IF(C203="","Unité manquante","OK"))))</f>
        <v/>
      </c>
    </row>
    <row r="204">
      <c r="A204" s="59" t="n"/>
      <c r="B204" s="59" t="n"/>
      <c r="C204" s="54" t="n"/>
      <c r="D204" s="127" t="n"/>
      <c r="E204" s="128" t="n"/>
      <c r="F204" s="128" t="n"/>
      <c r="G204" s="57" t="str">
        <f>IF(A204="","",SUMIFS(jr_qty,jr_type,"BL",jr_art,A204,jr_year,p_year))</f>
        <v/>
      </c>
      <c r="H204" s="57" t="str">
        <f>IF(A204="","",SUMIFS(jr_qty,jr_type,"BR",jr_art,A204,jr_year,p_year))</f>
        <v/>
      </c>
      <c r="I204" s="57" t="str">
        <f>IF(A204="","",SUMIFS(jr_qty,jr_type,"BS",jr_art,A204,jr_year,p_year))</f>
        <v/>
      </c>
      <c r="J204" s="60" t="str">
        <f>IF(A204="",IF(B204="","","Référence manquante"),IF(COUNTIF($A$6:$A$505,A204)&gt;1,"Référence en double",IF(B204="","Désignation manquante",IF(C204="","Unité manquante","OK"))))</f>
        <v/>
      </c>
    </row>
    <row r="205">
      <c r="A205" s="59" t="n"/>
      <c r="B205" s="59" t="n"/>
      <c r="C205" s="54" t="n"/>
      <c r="D205" s="127" t="n"/>
      <c r="E205" s="128" t="n"/>
      <c r="F205" s="128" t="n"/>
      <c r="G205" s="57" t="str">
        <f>IF(A205="","",SUMIFS(jr_qty,jr_type,"BL",jr_art,A205,jr_year,p_year))</f>
        <v/>
      </c>
      <c r="H205" s="57" t="str">
        <f>IF(A205="","",SUMIFS(jr_qty,jr_type,"BR",jr_art,A205,jr_year,p_year))</f>
        <v/>
      </c>
      <c r="I205" s="57" t="str">
        <f>IF(A205="","",SUMIFS(jr_qty,jr_type,"BS",jr_art,A205,jr_year,p_year))</f>
        <v/>
      </c>
      <c r="J205" s="60" t="str">
        <f>IF(A205="",IF(B205="","","Référence manquante"),IF(COUNTIF($A$6:$A$505,A205)&gt;1,"Référence en double",IF(B205="","Désignation manquante",IF(C205="","Unité manquante","OK"))))</f>
        <v/>
      </c>
    </row>
    <row r="206">
      <c r="A206" s="59" t="n"/>
      <c r="B206" s="59" t="n"/>
      <c r="C206" s="54" t="n"/>
      <c r="D206" s="127" t="n"/>
      <c r="E206" s="128" t="n"/>
      <c r="F206" s="128" t="n"/>
      <c r="G206" s="57" t="str">
        <f>IF(A206="","",SUMIFS(jr_qty,jr_type,"BL",jr_art,A206,jr_year,p_year))</f>
        <v/>
      </c>
      <c r="H206" s="57" t="str">
        <f>IF(A206="","",SUMIFS(jr_qty,jr_type,"BR",jr_art,A206,jr_year,p_year))</f>
        <v/>
      </c>
      <c r="I206" s="57" t="str">
        <f>IF(A206="","",SUMIFS(jr_qty,jr_type,"BS",jr_art,A206,jr_year,p_year))</f>
        <v/>
      </c>
      <c r="J206" s="60" t="str">
        <f>IF(A206="",IF(B206="","","Référence manquante"),IF(COUNTIF($A$6:$A$505,A206)&gt;1,"Référence en double",IF(B206="","Désignation manquante",IF(C206="","Unité manquante","OK"))))</f>
        <v/>
      </c>
    </row>
    <row r="207">
      <c r="A207" s="59" t="n"/>
      <c r="B207" s="59" t="n"/>
      <c r="C207" s="54" t="n"/>
      <c r="D207" s="127" t="n"/>
      <c r="E207" s="128" t="n"/>
      <c r="F207" s="128" t="n"/>
      <c r="G207" s="57" t="str">
        <f>IF(A207="","",SUMIFS(jr_qty,jr_type,"BL",jr_art,A207,jr_year,p_year))</f>
        <v/>
      </c>
      <c r="H207" s="57" t="str">
        <f>IF(A207="","",SUMIFS(jr_qty,jr_type,"BR",jr_art,A207,jr_year,p_year))</f>
        <v/>
      </c>
      <c r="I207" s="57" t="str">
        <f>IF(A207="","",SUMIFS(jr_qty,jr_type,"BS",jr_art,A207,jr_year,p_year))</f>
        <v/>
      </c>
      <c r="J207" s="60" t="str">
        <f>IF(A207="",IF(B207="","","Référence manquante"),IF(COUNTIF($A$6:$A$505,A207)&gt;1,"Référence en double",IF(B207="","Désignation manquante",IF(C207="","Unité manquante","OK"))))</f>
        <v/>
      </c>
    </row>
    <row r="208">
      <c r="A208" s="59" t="n"/>
      <c r="B208" s="59" t="n"/>
      <c r="C208" s="54" t="n"/>
      <c r="D208" s="127" t="n"/>
      <c r="E208" s="128" t="n"/>
      <c r="F208" s="128" t="n"/>
      <c r="G208" s="57" t="str">
        <f>IF(A208="","",SUMIFS(jr_qty,jr_type,"BL",jr_art,A208,jr_year,p_year))</f>
        <v/>
      </c>
      <c r="H208" s="57" t="str">
        <f>IF(A208="","",SUMIFS(jr_qty,jr_type,"BR",jr_art,A208,jr_year,p_year))</f>
        <v/>
      </c>
      <c r="I208" s="57" t="str">
        <f>IF(A208="","",SUMIFS(jr_qty,jr_type,"BS",jr_art,A208,jr_year,p_year))</f>
        <v/>
      </c>
      <c r="J208" s="60" t="str">
        <f>IF(A208="",IF(B208="","","Référence manquante"),IF(COUNTIF($A$6:$A$505,A208)&gt;1,"Référence en double",IF(B208="","Désignation manquante",IF(C208="","Unité manquante","OK"))))</f>
        <v/>
      </c>
    </row>
    <row r="209">
      <c r="A209" s="59" t="n"/>
      <c r="B209" s="59" t="n"/>
      <c r="C209" s="54" t="n"/>
      <c r="D209" s="127" t="n"/>
      <c r="E209" s="128" t="n"/>
      <c r="F209" s="128" t="n"/>
      <c r="G209" s="57" t="str">
        <f>IF(A209="","",SUMIFS(jr_qty,jr_type,"BL",jr_art,A209,jr_year,p_year))</f>
        <v/>
      </c>
      <c r="H209" s="57" t="str">
        <f>IF(A209="","",SUMIFS(jr_qty,jr_type,"BR",jr_art,A209,jr_year,p_year))</f>
        <v/>
      </c>
      <c r="I209" s="57" t="str">
        <f>IF(A209="","",SUMIFS(jr_qty,jr_type,"BS",jr_art,A209,jr_year,p_year))</f>
        <v/>
      </c>
      <c r="J209" s="60" t="str">
        <f>IF(A209="",IF(B209="","","Référence manquante"),IF(COUNTIF($A$6:$A$505,A209)&gt;1,"Référence en double",IF(B209="","Désignation manquante",IF(C209="","Unité manquante","OK"))))</f>
        <v/>
      </c>
    </row>
    <row r="210">
      <c r="A210" s="59" t="n"/>
      <c r="B210" s="59" t="n"/>
      <c r="C210" s="54" t="n"/>
      <c r="D210" s="127" t="n"/>
      <c r="E210" s="128" t="n"/>
      <c r="F210" s="128" t="n"/>
      <c r="G210" s="57" t="str">
        <f>IF(A210="","",SUMIFS(jr_qty,jr_type,"BL",jr_art,A210,jr_year,p_year))</f>
        <v/>
      </c>
      <c r="H210" s="57" t="str">
        <f>IF(A210="","",SUMIFS(jr_qty,jr_type,"BR",jr_art,A210,jr_year,p_year))</f>
        <v/>
      </c>
      <c r="I210" s="57" t="str">
        <f>IF(A210="","",SUMIFS(jr_qty,jr_type,"BS",jr_art,A210,jr_year,p_year))</f>
        <v/>
      </c>
      <c r="J210" s="60" t="str">
        <f>IF(A210="",IF(B210="","","Référence manquante"),IF(COUNTIF($A$6:$A$505,A210)&gt;1,"Référence en double",IF(B210="","Désignation manquante",IF(C210="","Unité manquante","OK"))))</f>
        <v/>
      </c>
    </row>
    <row r="211">
      <c r="A211" s="59" t="n"/>
      <c r="B211" s="59" t="n"/>
      <c r="C211" s="54" t="n"/>
      <c r="D211" s="127" t="n"/>
      <c r="E211" s="128" t="n"/>
      <c r="F211" s="128" t="n"/>
      <c r="G211" s="57" t="str">
        <f>IF(A211="","",SUMIFS(jr_qty,jr_type,"BL",jr_art,A211,jr_year,p_year))</f>
        <v/>
      </c>
      <c r="H211" s="57" t="str">
        <f>IF(A211="","",SUMIFS(jr_qty,jr_type,"BR",jr_art,A211,jr_year,p_year))</f>
        <v/>
      </c>
      <c r="I211" s="57" t="str">
        <f>IF(A211="","",SUMIFS(jr_qty,jr_type,"BS",jr_art,A211,jr_year,p_year))</f>
        <v/>
      </c>
      <c r="J211" s="60" t="str">
        <f>IF(A211="",IF(B211="","","Référence manquante"),IF(COUNTIF($A$6:$A$505,A211)&gt;1,"Référence en double",IF(B211="","Désignation manquante",IF(C211="","Unité manquante","OK"))))</f>
        <v/>
      </c>
    </row>
    <row r="212">
      <c r="A212" s="59" t="n"/>
      <c r="B212" s="59" t="n"/>
      <c r="C212" s="54" t="n"/>
      <c r="D212" s="127" t="n"/>
      <c r="E212" s="128" t="n"/>
      <c r="F212" s="128" t="n"/>
      <c r="G212" s="57" t="str">
        <f>IF(A212="","",SUMIFS(jr_qty,jr_type,"BL",jr_art,A212,jr_year,p_year))</f>
        <v/>
      </c>
      <c r="H212" s="57" t="str">
        <f>IF(A212="","",SUMIFS(jr_qty,jr_type,"BR",jr_art,A212,jr_year,p_year))</f>
        <v/>
      </c>
      <c r="I212" s="57" t="str">
        <f>IF(A212="","",SUMIFS(jr_qty,jr_type,"BS",jr_art,A212,jr_year,p_year))</f>
        <v/>
      </c>
      <c r="J212" s="60" t="str">
        <f>IF(A212="",IF(B212="","","Référence manquante"),IF(COUNTIF($A$6:$A$505,A212)&gt;1,"Référence en double",IF(B212="","Désignation manquante",IF(C212="","Unité manquante","OK"))))</f>
        <v/>
      </c>
    </row>
    <row r="213">
      <c r="A213" s="59" t="n"/>
      <c r="B213" s="59" t="n"/>
      <c r="C213" s="54" t="n"/>
      <c r="D213" s="127" t="n"/>
      <c r="E213" s="128" t="n"/>
      <c r="F213" s="128" t="n"/>
      <c r="G213" s="57" t="str">
        <f>IF(A213="","",SUMIFS(jr_qty,jr_type,"BL",jr_art,A213,jr_year,p_year))</f>
        <v/>
      </c>
      <c r="H213" s="57" t="str">
        <f>IF(A213="","",SUMIFS(jr_qty,jr_type,"BR",jr_art,A213,jr_year,p_year))</f>
        <v/>
      </c>
      <c r="I213" s="57" t="str">
        <f>IF(A213="","",SUMIFS(jr_qty,jr_type,"BS",jr_art,A213,jr_year,p_year))</f>
        <v/>
      </c>
      <c r="J213" s="60" t="str">
        <f>IF(A213="",IF(B213="","","Référence manquante"),IF(COUNTIF($A$6:$A$505,A213)&gt;1,"Référence en double",IF(B213="","Désignation manquante",IF(C213="","Unité manquante","OK"))))</f>
        <v/>
      </c>
    </row>
    <row r="214">
      <c r="A214" s="59" t="n"/>
      <c r="B214" s="59" t="n"/>
      <c r="C214" s="54" t="n"/>
      <c r="D214" s="127" t="n"/>
      <c r="E214" s="128" t="n"/>
      <c r="F214" s="128" t="n"/>
      <c r="G214" s="57" t="str">
        <f>IF(A214="","",SUMIFS(jr_qty,jr_type,"BL",jr_art,A214,jr_year,p_year))</f>
        <v/>
      </c>
      <c r="H214" s="57" t="str">
        <f>IF(A214="","",SUMIFS(jr_qty,jr_type,"BR",jr_art,A214,jr_year,p_year))</f>
        <v/>
      </c>
      <c r="I214" s="57" t="str">
        <f>IF(A214="","",SUMIFS(jr_qty,jr_type,"BS",jr_art,A214,jr_year,p_year))</f>
        <v/>
      </c>
      <c r="J214" s="60" t="str">
        <f>IF(A214="",IF(B214="","","Référence manquante"),IF(COUNTIF($A$6:$A$505,A214)&gt;1,"Référence en double",IF(B214="","Désignation manquante",IF(C214="","Unité manquante","OK"))))</f>
        <v/>
      </c>
    </row>
    <row r="215">
      <c r="A215" s="59" t="n"/>
      <c r="B215" s="59" t="n"/>
      <c r="C215" s="54" t="n"/>
      <c r="D215" s="127" t="n"/>
      <c r="E215" s="128" t="n"/>
      <c r="F215" s="128" t="n"/>
      <c r="G215" s="57" t="str">
        <f>IF(A215="","",SUMIFS(jr_qty,jr_type,"BL",jr_art,A215,jr_year,p_year))</f>
        <v/>
      </c>
      <c r="H215" s="57" t="str">
        <f>IF(A215="","",SUMIFS(jr_qty,jr_type,"BR",jr_art,A215,jr_year,p_year))</f>
        <v/>
      </c>
      <c r="I215" s="57" t="str">
        <f>IF(A215="","",SUMIFS(jr_qty,jr_type,"BS",jr_art,A215,jr_year,p_year))</f>
        <v/>
      </c>
      <c r="J215" s="60" t="str">
        <f>IF(A215="",IF(B215="","","Référence manquante"),IF(COUNTIF($A$6:$A$505,A215)&gt;1,"Référence en double",IF(B215="","Désignation manquante",IF(C215="","Unité manquante","OK"))))</f>
        <v/>
      </c>
    </row>
    <row r="216">
      <c r="A216" s="59" t="n"/>
      <c r="B216" s="59" t="n"/>
      <c r="C216" s="54" t="n"/>
      <c r="D216" s="127" t="n"/>
      <c r="E216" s="128" t="n"/>
      <c r="F216" s="128" t="n"/>
      <c r="G216" s="57" t="str">
        <f>IF(A216="","",SUMIFS(jr_qty,jr_type,"BL",jr_art,A216,jr_year,p_year))</f>
        <v/>
      </c>
      <c r="H216" s="57" t="str">
        <f>IF(A216="","",SUMIFS(jr_qty,jr_type,"BR",jr_art,A216,jr_year,p_year))</f>
        <v/>
      </c>
      <c r="I216" s="57" t="str">
        <f>IF(A216="","",SUMIFS(jr_qty,jr_type,"BS",jr_art,A216,jr_year,p_year))</f>
        <v/>
      </c>
      <c r="J216" s="60" t="str">
        <f>IF(A216="",IF(B216="","","Référence manquante"),IF(COUNTIF($A$6:$A$505,A216)&gt;1,"Référence en double",IF(B216="","Désignation manquante",IF(C216="","Unité manquante","OK"))))</f>
        <v/>
      </c>
    </row>
    <row r="217">
      <c r="A217" s="59" t="n"/>
      <c r="B217" s="59" t="n"/>
      <c r="C217" s="54" t="n"/>
      <c r="D217" s="127" t="n"/>
      <c r="E217" s="128" t="n"/>
      <c r="F217" s="128" t="n"/>
      <c r="G217" s="57" t="str">
        <f>IF(A217="","",SUMIFS(jr_qty,jr_type,"BL",jr_art,A217,jr_year,p_year))</f>
        <v/>
      </c>
      <c r="H217" s="57" t="str">
        <f>IF(A217="","",SUMIFS(jr_qty,jr_type,"BR",jr_art,A217,jr_year,p_year))</f>
        <v/>
      </c>
      <c r="I217" s="57" t="str">
        <f>IF(A217="","",SUMIFS(jr_qty,jr_type,"BS",jr_art,A217,jr_year,p_year))</f>
        <v/>
      </c>
      <c r="J217" s="60" t="str">
        <f>IF(A217="",IF(B217="","","Référence manquante"),IF(COUNTIF($A$6:$A$505,A217)&gt;1,"Référence en double",IF(B217="","Désignation manquante",IF(C217="","Unité manquante","OK"))))</f>
        <v/>
      </c>
    </row>
    <row r="218">
      <c r="A218" s="59" t="n"/>
      <c r="B218" s="59" t="n"/>
      <c r="C218" s="54" t="n"/>
      <c r="D218" s="127" t="n"/>
      <c r="E218" s="128" t="n"/>
      <c r="F218" s="128" t="n"/>
      <c r="G218" s="57" t="str">
        <f>IF(A218="","",SUMIFS(jr_qty,jr_type,"BL",jr_art,A218,jr_year,p_year))</f>
        <v/>
      </c>
      <c r="H218" s="57" t="str">
        <f>IF(A218="","",SUMIFS(jr_qty,jr_type,"BR",jr_art,A218,jr_year,p_year))</f>
        <v/>
      </c>
      <c r="I218" s="57" t="str">
        <f>IF(A218="","",SUMIFS(jr_qty,jr_type,"BS",jr_art,A218,jr_year,p_year))</f>
        <v/>
      </c>
      <c r="J218" s="60" t="str">
        <f>IF(A218="",IF(B218="","","Référence manquante"),IF(COUNTIF($A$6:$A$505,A218)&gt;1,"Référence en double",IF(B218="","Désignation manquante",IF(C218="","Unité manquante","OK"))))</f>
        <v/>
      </c>
    </row>
    <row r="219">
      <c r="A219" s="59" t="n"/>
      <c r="B219" s="59" t="n"/>
      <c r="C219" s="54" t="n"/>
      <c r="D219" s="127" t="n"/>
      <c r="E219" s="128" t="n"/>
      <c r="F219" s="128" t="n"/>
      <c r="G219" s="57" t="str">
        <f>IF(A219="","",SUMIFS(jr_qty,jr_type,"BL",jr_art,A219,jr_year,p_year))</f>
        <v/>
      </c>
      <c r="H219" s="57" t="str">
        <f>IF(A219="","",SUMIFS(jr_qty,jr_type,"BR",jr_art,A219,jr_year,p_year))</f>
        <v/>
      </c>
      <c r="I219" s="57" t="str">
        <f>IF(A219="","",SUMIFS(jr_qty,jr_type,"BS",jr_art,A219,jr_year,p_year))</f>
        <v/>
      </c>
      <c r="J219" s="60" t="str">
        <f>IF(A219="",IF(B219="","","Référence manquante"),IF(COUNTIF($A$6:$A$505,A219)&gt;1,"Référence en double",IF(B219="","Désignation manquante",IF(C219="","Unité manquante","OK"))))</f>
        <v/>
      </c>
    </row>
    <row r="220">
      <c r="A220" s="59" t="n"/>
      <c r="B220" s="59" t="n"/>
      <c r="C220" s="54" t="n"/>
      <c r="D220" s="127" t="n"/>
      <c r="E220" s="128" t="n"/>
      <c r="F220" s="128" t="n"/>
      <c r="G220" s="57" t="str">
        <f>IF(A220="","",SUMIFS(jr_qty,jr_type,"BL",jr_art,A220,jr_year,p_year))</f>
        <v/>
      </c>
      <c r="H220" s="57" t="str">
        <f>IF(A220="","",SUMIFS(jr_qty,jr_type,"BR",jr_art,A220,jr_year,p_year))</f>
        <v/>
      </c>
      <c r="I220" s="57" t="str">
        <f>IF(A220="","",SUMIFS(jr_qty,jr_type,"BS",jr_art,A220,jr_year,p_year))</f>
        <v/>
      </c>
      <c r="J220" s="60" t="str">
        <f>IF(A220="",IF(B220="","","Référence manquante"),IF(COUNTIF($A$6:$A$505,A220)&gt;1,"Référence en double",IF(B220="","Désignation manquante",IF(C220="","Unité manquante","OK"))))</f>
        <v/>
      </c>
    </row>
    <row r="221">
      <c r="A221" s="59" t="n"/>
      <c r="B221" s="59" t="n"/>
      <c r="C221" s="54" t="n"/>
      <c r="D221" s="127" t="n"/>
      <c r="E221" s="128" t="n"/>
      <c r="F221" s="128" t="n"/>
      <c r="G221" s="57" t="str">
        <f>IF(A221="","",SUMIFS(jr_qty,jr_type,"BL",jr_art,A221,jr_year,p_year))</f>
        <v/>
      </c>
      <c r="H221" s="57" t="str">
        <f>IF(A221="","",SUMIFS(jr_qty,jr_type,"BR",jr_art,A221,jr_year,p_year))</f>
        <v/>
      </c>
      <c r="I221" s="57" t="str">
        <f>IF(A221="","",SUMIFS(jr_qty,jr_type,"BS",jr_art,A221,jr_year,p_year))</f>
        <v/>
      </c>
      <c r="J221" s="60" t="str">
        <f>IF(A221="",IF(B221="","","Référence manquante"),IF(COUNTIF($A$6:$A$505,A221)&gt;1,"Référence en double",IF(B221="","Désignation manquante",IF(C221="","Unité manquante","OK"))))</f>
        <v/>
      </c>
    </row>
    <row r="222">
      <c r="A222" s="59" t="n"/>
      <c r="B222" s="59" t="n"/>
      <c r="C222" s="54" t="n"/>
      <c r="D222" s="127" t="n"/>
      <c r="E222" s="128" t="n"/>
      <c r="F222" s="128" t="n"/>
      <c r="G222" s="57" t="str">
        <f>IF(A222="","",SUMIFS(jr_qty,jr_type,"BL",jr_art,A222,jr_year,p_year))</f>
        <v/>
      </c>
      <c r="H222" s="57" t="str">
        <f>IF(A222="","",SUMIFS(jr_qty,jr_type,"BR",jr_art,A222,jr_year,p_year))</f>
        <v/>
      </c>
      <c r="I222" s="57" t="str">
        <f>IF(A222="","",SUMIFS(jr_qty,jr_type,"BS",jr_art,A222,jr_year,p_year))</f>
        <v/>
      </c>
      <c r="J222" s="60" t="str">
        <f>IF(A222="",IF(B222="","","Référence manquante"),IF(COUNTIF($A$6:$A$505,A222)&gt;1,"Référence en double",IF(B222="","Désignation manquante",IF(C222="","Unité manquante","OK"))))</f>
        <v/>
      </c>
    </row>
    <row r="223">
      <c r="A223" s="59" t="n"/>
      <c r="B223" s="59" t="n"/>
      <c r="C223" s="54" t="n"/>
      <c r="D223" s="127" t="n"/>
      <c r="E223" s="128" t="n"/>
      <c r="F223" s="128" t="n"/>
      <c r="G223" s="57" t="str">
        <f>IF(A223="","",SUMIFS(jr_qty,jr_type,"BL",jr_art,A223,jr_year,p_year))</f>
        <v/>
      </c>
      <c r="H223" s="57" t="str">
        <f>IF(A223="","",SUMIFS(jr_qty,jr_type,"BR",jr_art,A223,jr_year,p_year))</f>
        <v/>
      </c>
      <c r="I223" s="57" t="str">
        <f>IF(A223="","",SUMIFS(jr_qty,jr_type,"BS",jr_art,A223,jr_year,p_year))</f>
        <v/>
      </c>
      <c r="J223" s="60" t="str">
        <f>IF(A223="",IF(B223="","","Référence manquante"),IF(COUNTIF($A$6:$A$505,A223)&gt;1,"Référence en double",IF(B223="","Désignation manquante",IF(C223="","Unité manquante","OK"))))</f>
        <v/>
      </c>
    </row>
    <row r="224">
      <c r="A224" s="59" t="n"/>
      <c r="B224" s="59" t="n"/>
      <c r="C224" s="54" t="n"/>
      <c r="D224" s="127" t="n"/>
      <c r="E224" s="128" t="n"/>
      <c r="F224" s="128" t="n"/>
      <c r="G224" s="57" t="str">
        <f>IF(A224="","",SUMIFS(jr_qty,jr_type,"BL",jr_art,A224,jr_year,p_year))</f>
        <v/>
      </c>
      <c r="H224" s="57" t="str">
        <f>IF(A224="","",SUMIFS(jr_qty,jr_type,"BR",jr_art,A224,jr_year,p_year))</f>
        <v/>
      </c>
      <c r="I224" s="57" t="str">
        <f>IF(A224="","",SUMIFS(jr_qty,jr_type,"BS",jr_art,A224,jr_year,p_year))</f>
        <v/>
      </c>
      <c r="J224" s="60" t="str">
        <f>IF(A224="",IF(B224="","","Référence manquante"),IF(COUNTIF($A$6:$A$505,A224)&gt;1,"Référence en double",IF(B224="","Désignation manquante",IF(C224="","Unité manquante","OK"))))</f>
        <v/>
      </c>
    </row>
    <row r="225">
      <c r="A225" s="59" t="n"/>
      <c r="B225" s="59" t="n"/>
      <c r="C225" s="54" t="n"/>
      <c r="D225" s="127" t="n"/>
      <c r="E225" s="128" t="n"/>
      <c r="F225" s="128" t="n"/>
      <c r="G225" s="57" t="str">
        <f>IF(A225="","",SUMIFS(jr_qty,jr_type,"BL",jr_art,A225,jr_year,p_year))</f>
        <v/>
      </c>
      <c r="H225" s="57" t="str">
        <f>IF(A225="","",SUMIFS(jr_qty,jr_type,"BR",jr_art,A225,jr_year,p_year))</f>
        <v/>
      </c>
      <c r="I225" s="57" t="str">
        <f>IF(A225="","",SUMIFS(jr_qty,jr_type,"BS",jr_art,A225,jr_year,p_year))</f>
        <v/>
      </c>
      <c r="J225" s="60" t="str">
        <f>IF(A225="",IF(B225="","","Référence manquante"),IF(COUNTIF($A$6:$A$505,A225)&gt;1,"Référence en double",IF(B225="","Désignation manquante",IF(C225="","Unité manquante","OK"))))</f>
        <v/>
      </c>
    </row>
    <row r="226">
      <c r="A226" s="59" t="n"/>
      <c r="B226" s="59" t="n"/>
      <c r="C226" s="54" t="n"/>
      <c r="D226" s="127" t="n"/>
      <c r="E226" s="128" t="n"/>
      <c r="F226" s="128" t="n"/>
      <c r="G226" s="57" t="str">
        <f>IF(A226="","",SUMIFS(jr_qty,jr_type,"BL",jr_art,A226,jr_year,p_year))</f>
        <v/>
      </c>
      <c r="H226" s="57" t="str">
        <f>IF(A226="","",SUMIFS(jr_qty,jr_type,"BR",jr_art,A226,jr_year,p_year))</f>
        <v/>
      </c>
      <c r="I226" s="57" t="str">
        <f>IF(A226="","",SUMIFS(jr_qty,jr_type,"BS",jr_art,A226,jr_year,p_year))</f>
        <v/>
      </c>
      <c r="J226" s="60" t="str">
        <f>IF(A226="",IF(B226="","","Référence manquante"),IF(COUNTIF($A$6:$A$505,A226)&gt;1,"Référence en double",IF(B226="","Désignation manquante",IF(C226="","Unité manquante","OK"))))</f>
        <v/>
      </c>
    </row>
    <row r="227">
      <c r="A227" s="59" t="n"/>
      <c r="B227" s="59" t="n"/>
      <c r="C227" s="54" t="n"/>
      <c r="D227" s="127" t="n"/>
      <c r="E227" s="128" t="n"/>
      <c r="F227" s="128" t="n"/>
      <c r="G227" s="57" t="str">
        <f>IF(A227="","",SUMIFS(jr_qty,jr_type,"BL",jr_art,A227,jr_year,p_year))</f>
        <v/>
      </c>
      <c r="H227" s="57" t="str">
        <f>IF(A227="","",SUMIFS(jr_qty,jr_type,"BR",jr_art,A227,jr_year,p_year))</f>
        <v/>
      </c>
      <c r="I227" s="57" t="str">
        <f>IF(A227="","",SUMIFS(jr_qty,jr_type,"BS",jr_art,A227,jr_year,p_year))</f>
        <v/>
      </c>
      <c r="J227" s="60" t="str">
        <f>IF(A227="",IF(B227="","","Référence manquante"),IF(COUNTIF($A$6:$A$505,A227)&gt;1,"Référence en double",IF(B227="","Désignation manquante",IF(C227="","Unité manquante","OK"))))</f>
        <v/>
      </c>
    </row>
    <row r="228">
      <c r="A228" s="59" t="n"/>
      <c r="B228" s="59" t="n"/>
      <c r="C228" s="54" t="n"/>
      <c r="D228" s="127" t="n"/>
      <c r="E228" s="128" t="n"/>
      <c r="F228" s="128" t="n"/>
      <c r="G228" s="57" t="str">
        <f>IF(A228="","",SUMIFS(jr_qty,jr_type,"BL",jr_art,A228,jr_year,p_year))</f>
        <v/>
      </c>
      <c r="H228" s="57" t="str">
        <f>IF(A228="","",SUMIFS(jr_qty,jr_type,"BR",jr_art,A228,jr_year,p_year))</f>
        <v/>
      </c>
      <c r="I228" s="57" t="str">
        <f>IF(A228="","",SUMIFS(jr_qty,jr_type,"BS",jr_art,A228,jr_year,p_year))</f>
        <v/>
      </c>
      <c r="J228" s="60" t="str">
        <f>IF(A228="",IF(B228="","","Référence manquante"),IF(COUNTIF($A$6:$A$505,A228)&gt;1,"Référence en double",IF(B228="","Désignation manquante",IF(C228="","Unité manquante","OK"))))</f>
        <v/>
      </c>
    </row>
    <row r="229">
      <c r="A229" s="59" t="n"/>
      <c r="B229" s="59" t="n"/>
      <c r="C229" s="54" t="n"/>
      <c r="D229" s="127" t="n"/>
      <c r="E229" s="128" t="n"/>
      <c r="F229" s="128" t="n"/>
      <c r="G229" s="57" t="str">
        <f>IF(A229="","",SUMIFS(jr_qty,jr_type,"BL",jr_art,A229,jr_year,p_year))</f>
        <v/>
      </c>
      <c r="H229" s="57" t="str">
        <f>IF(A229="","",SUMIFS(jr_qty,jr_type,"BR",jr_art,A229,jr_year,p_year))</f>
        <v/>
      </c>
      <c r="I229" s="57" t="str">
        <f>IF(A229="","",SUMIFS(jr_qty,jr_type,"BS",jr_art,A229,jr_year,p_year))</f>
        <v/>
      </c>
      <c r="J229" s="60" t="str">
        <f>IF(A229="",IF(B229="","","Référence manquante"),IF(COUNTIF($A$6:$A$505,A229)&gt;1,"Référence en double",IF(B229="","Désignation manquante",IF(C229="","Unité manquante","OK"))))</f>
        <v/>
      </c>
    </row>
    <row r="230">
      <c r="A230" s="59" t="n"/>
      <c r="B230" s="59" t="n"/>
      <c r="C230" s="54" t="n"/>
      <c r="D230" s="127" t="n"/>
      <c r="E230" s="128" t="n"/>
      <c r="F230" s="128" t="n"/>
      <c r="G230" s="57" t="str">
        <f>IF(A230="","",SUMIFS(jr_qty,jr_type,"BL",jr_art,A230,jr_year,p_year))</f>
        <v/>
      </c>
      <c r="H230" s="57" t="str">
        <f>IF(A230="","",SUMIFS(jr_qty,jr_type,"BR",jr_art,A230,jr_year,p_year))</f>
        <v/>
      </c>
      <c r="I230" s="57" t="str">
        <f>IF(A230="","",SUMIFS(jr_qty,jr_type,"BS",jr_art,A230,jr_year,p_year))</f>
        <v/>
      </c>
      <c r="J230" s="60" t="str">
        <f>IF(A230="",IF(B230="","","Référence manquante"),IF(COUNTIF($A$6:$A$505,A230)&gt;1,"Référence en double",IF(B230="","Désignation manquante",IF(C230="","Unité manquante","OK"))))</f>
        <v/>
      </c>
    </row>
    <row r="231">
      <c r="A231" s="59" t="n"/>
      <c r="B231" s="59" t="n"/>
      <c r="C231" s="54" t="n"/>
      <c r="D231" s="127" t="n"/>
      <c r="E231" s="128" t="n"/>
      <c r="F231" s="128" t="n"/>
      <c r="G231" s="57" t="str">
        <f>IF(A231="","",SUMIFS(jr_qty,jr_type,"BL",jr_art,A231,jr_year,p_year))</f>
        <v/>
      </c>
      <c r="H231" s="57" t="str">
        <f>IF(A231="","",SUMIFS(jr_qty,jr_type,"BR",jr_art,A231,jr_year,p_year))</f>
        <v/>
      </c>
      <c r="I231" s="57" t="str">
        <f>IF(A231="","",SUMIFS(jr_qty,jr_type,"BS",jr_art,A231,jr_year,p_year))</f>
        <v/>
      </c>
      <c r="J231" s="60" t="str">
        <f>IF(A231="",IF(B231="","","Référence manquante"),IF(COUNTIF($A$6:$A$505,A231)&gt;1,"Référence en double",IF(B231="","Désignation manquante",IF(C231="","Unité manquante","OK"))))</f>
        <v/>
      </c>
    </row>
    <row r="232">
      <c r="A232" s="59" t="n"/>
      <c r="B232" s="59" t="n"/>
      <c r="C232" s="54" t="n"/>
      <c r="D232" s="127" t="n"/>
      <c r="E232" s="128" t="n"/>
      <c r="F232" s="128" t="n"/>
      <c r="G232" s="57" t="str">
        <f>IF(A232="","",SUMIFS(jr_qty,jr_type,"BL",jr_art,A232,jr_year,p_year))</f>
        <v/>
      </c>
      <c r="H232" s="57" t="str">
        <f>IF(A232="","",SUMIFS(jr_qty,jr_type,"BR",jr_art,A232,jr_year,p_year))</f>
        <v/>
      </c>
      <c r="I232" s="57" t="str">
        <f>IF(A232="","",SUMIFS(jr_qty,jr_type,"BS",jr_art,A232,jr_year,p_year))</f>
        <v/>
      </c>
      <c r="J232" s="60" t="str">
        <f>IF(A232="",IF(B232="","","Référence manquante"),IF(COUNTIF($A$6:$A$505,A232)&gt;1,"Référence en double",IF(B232="","Désignation manquante",IF(C232="","Unité manquante","OK"))))</f>
        <v/>
      </c>
    </row>
    <row r="233">
      <c r="A233" s="59" t="n"/>
      <c r="B233" s="59" t="n"/>
      <c r="C233" s="54" t="n"/>
      <c r="D233" s="127" t="n"/>
      <c r="E233" s="128" t="n"/>
      <c r="F233" s="128" t="n"/>
      <c r="G233" s="57" t="str">
        <f>IF(A233="","",SUMIFS(jr_qty,jr_type,"BL",jr_art,A233,jr_year,p_year))</f>
        <v/>
      </c>
      <c r="H233" s="57" t="str">
        <f>IF(A233="","",SUMIFS(jr_qty,jr_type,"BR",jr_art,A233,jr_year,p_year))</f>
        <v/>
      </c>
      <c r="I233" s="57" t="str">
        <f>IF(A233="","",SUMIFS(jr_qty,jr_type,"BS",jr_art,A233,jr_year,p_year))</f>
        <v/>
      </c>
      <c r="J233" s="60" t="str">
        <f>IF(A233="",IF(B233="","","Référence manquante"),IF(COUNTIF($A$6:$A$505,A233)&gt;1,"Référence en double",IF(B233="","Désignation manquante",IF(C233="","Unité manquante","OK"))))</f>
        <v/>
      </c>
    </row>
    <row r="234">
      <c r="A234" s="59" t="n"/>
      <c r="B234" s="59" t="n"/>
      <c r="C234" s="54" t="n"/>
      <c r="D234" s="127" t="n"/>
      <c r="E234" s="128" t="n"/>
      <c r="F234" s="128" t="n"/>
      <c r="G234" s="57" t="str">
        <f>IF(A234="","",SUMIFS(jr_qty,jr_type,"BL",jr_art,A234,jr_year,p_year))</f>
        <v/>
      </c>
      <c r="H234" s="57" t="str">
        <f>IF(A234="","",SUMIFS(jr_qty,jr_type,"BR",jr_art,A234,jr_year,p_year))</f>
        <v/>
      </c>
      <c r="I234" s="57" t="str">
        <f>IF(A234="","",SUMIFS(jr_qty,jr_type,"BS",jr_art,A234,jr_year,p_year))</f>
        <v/>
      </c>
      <c r="J234" s="60" t="str">
        <f>IF(A234="",IF(B234="","","Référence manquante"),IF(COUNTIF($A$6:$A$505,A234)&gt;1,"Référence en double",IF(B234="","Désignation manquante",IF(C234="","Unité manquante","OK"))))</f>
        <v/>
      </c>
    </row>
    <row r="235">
      <c r="A235" s="59" t="n"/>
      <c r="B235" s="59" t="n"/>
      <c r="C235" s="54" t="n"/>
      <c r="D235" s="127" t="n"/>
      <c r="E235" s="128" t="n"/>
      <c r="F235" s="128" t="n"/>
      <c r="G235" s="57" t="str">
        <f>IF(A235="","",SUMIFS(jr_qty,jr_type,"BL",jr_art,A235,jr_year,p_year))</f>
        <v/>
      </c>
      <c r="H235" s="57" t="str">
        <f>IF(A235="","",SUMIFS(jr_qty,jr_type,"BR",jr_art,A235,jr_year,p_year))</f>
        <v/>
      </c>
      <c r="I235" s="57" t="str">
        <f>IF(A235="","",SUMIFS(jr_qty,jr_type,"BS",jr_art,A235,jr_year,p_year))</f>
        <v/>
      </c>
      <c r="J235" s="60" t="str">
        <f>IF(A235="",IF(B235="","","Référence manquante"),IF(COUNTIF($A$6:$A$505,A235)&gt;1,"Référence en double",IF(B235="","Désignation manquante",IF(C235="","Unité manquante","OK"))))</f>
        <v/>
      </c>
    </row>
    <row r="236">
      <c r="A236" s="59" t="n"/>
      <c r="B236" s="59" t="n"/>
      <c r="C236" s="54" t="n"/>
      <c r="D236" s="127" t="n"/>
      <c r="E236" s="128" t="n"/>
      <c r="F236" s="128" t="n"/>
      <c r="G236" s="57" t="str">
        <f>IF(A236="","",SUMIFS(jr_qty,jr_type,"BL",jr_art,A236,jr_year,p_year))</f>
        <v/>
      </c>
      <c r="H236" s="57" t="str">
        <f>IF(A236="","",SUMIFS(jr_qty,jr_type,"BR",jr_art,A236,jr_year,p_year))</f>
        <v/>
      </c>
      <c r="I236" s="57" t="str">
        <f>IF(A236="","",SUMIFS(jr_qty,jr_type,"BS",jr_art,A236,jr_year,p_year))</f>
        <v/>
      </c>
      <c r="J236" s="60" t="str">
        <f>IF(A236="",IF(B236="","","Référence manquante"),IF(COUNTIF($A$6:$A$505,A236)&gt;1,"Référence en double",IF(B236="","Désignation manquante",IF(C236="","Unité manquante","OK"))))</f>
        <v/>
      </c>
    </row>
    <row r="237">
      <c r="A237" s="59" t="n"/>
      <c r="B237" s="59" t="n"/>
      <c r="C237" s="54" t="n"/>
      <c r="D237" s="127" t="n"/>
      <c r="E237" s="128" t="n"/>
      <c r="F237" s="128" t="n"/>
      <c r="G237" s="57" t="str">
        <f>IF(A237="","",SUMIFS(jr_qty,jr_type,"BL",jr_art,A237,jr_year,p_year))</f>
        <v/>
      </c>
      <c r="H237" s="57" t="str">
        <f>IF(A237="","",SUMIFS(jr_qty,jr_type,"BR",jr_art,A237,jr_year,p_year))</f>
        <v/>
      </c>
      <c r="I237" s="57" t="str">
        <f>IF(A237="","",SUMIFS(jr_qty,jr_type,"BS",jr_art,A237,jr_year,p_year))</f>
        <v/>
      </c>
      <c r="J237" s="60" t="str">
        <f>IF(A237="",IF(B237="","","Référence manquante"),IF(COUNTIF($A$6:$A$505,A237)&gt;1,"Référence en double",IF(B237="","Désignation manquante",IF(C237="","Unité manquante","OK"))))</f>
        <v/>
      </c>
    </row>
    <row r="238">
      <c r="A238" s="59" t="n"/>
      <c r="B238" s="59" t="n"/>
      <c r="C238" s="54" t="n"/>
      <c r="D238" s="127" t="n"/>
      <c r="E238" s="128" t="n"/>
      <c r="F238" s="128" t="n"/>
      <c r="G238" s="57" t="str">
        <f>IF(A238="","",SUMIFS(jr_qty,jr_type,"BL",jr_art,A238,jr_year,p_year))</f>
        <v/>
      </c>
      <c r="H238" s="57" t="str">
        <f>IF(A238="","",SUMIFS(jr_qty,jr_type,"BR",jr_art,A238,jr_year,p_year))</f>
        <v/>
      </c>
      <c r="I238" s="57" t="str">
        <f>IF(A238="","",SUMIFS(jr_qty,jr_type,"BS",jr_art,A238,jr_year,p_year))</f>
        <v/>
      </c>
      <c r="J238" s="60" t="str">
        <f>IF(A238="",IF(B238="","","Référence manquante"),IF(COUNTIF($A$6:$A$505,A238)&gt;1,"Référence en double",IF(B238="","Désignation manquante",IF(C238="","Unité manquante","OK"))))</f>
        <v/>
      </c>
    </row>
    <row r="239">
      <c r="A239" s="59" t="n"/>
      <c r="B239" s="59" t="n"/>
      <c r="C239" s="54" t="n"/>
      <c r="D239" s="127" t="n"/>
      <c r="E239" s="128" t="n"/>
      <c r="F239" s="128" t="n"/>
      <c r="G239" s="57" t="str">
        <f>IF(A239="","",SUMIFS(jr_qty,jr_type,"BL",jr_art,A239,jr_year,p_year))</f>
        <v/>
      </c>
      <c r="H239" s="57" t="str">
        <f>IF(A239="","",SUMIFS(jr_qty,jr_type,"BR",jr_art,A239,jr_year,p_year))</f>
        <v/>
      </c>
      <c r="I239" s="57" t="str">
        <f>IF(A239="","",SUMIFS(jr_qty,jr_type,"BS",jr_art,A239,jr_year,p_year))</f>
        <v/>
      </c>
      <c r="J239" s="60" t="str">
        <f>IF(A239="",IF(B239="","","Référence manquante"),IF(COUNTIF($A$6:$A$505,A239)&gt;1,"Référence en double",IF(B239="","Désignation manquante",IF(C239="","Unité manquante","OK"))))</f>
        <v/>
      </c>
    </row>
    <row r="240">
      <c r="A240" s="59" t="n"/>
      <c r="B240" s="59" t="n"/>
      <c r="C240" s="54" t="n"/>
      <c r="D240" s="127" t="n"/>
      <c r="E240" s="128" t="n"/>
      <c r="F240" s="128" t="n"/>
      <c r="G240" s="57" t="str">
        <f>IF(A240="","",SUMIFS(jr_qty,jr_type,"BL",jr_art,A240,jr_year,p_year))</f>
        <v/>
      </c>
      <c r="H240" s="57" t="str">
        <f>IF(A240="","",SUMIFS(jr_qty,jr_type,"BR",jr_art,A240,jr_year,p_year))</f>
        <v/>
      </c>
      <c r="I240" s="57" t="str">
        <f>IF(A240="","",SUMIFS(jr_qty,jr_type,"BS",jr_art,A240,jr_year,p_year))</f>
        <v/>
      </c>
      <c r="J240" s="60" t="str">
        <f>IF(A240="",IF(B240="","","Référence manquante"),IF(COUNTIF($A$6:$A$505,A240)&gt;1,"Référence en double",IF(B240="","Désignation manquante",IF(C240="","Unité manquante","OK"))))</f>
        <v/>
      </c>
    </row>
    <row r="241">
      <c r="A241" s="59" t="n"/>
      <c r="B241" s="59" t="n"/>
      <c r="C241" s="54" t="n"/>
      <c r="D241" s="127" t="n"/>
      <c r="E241" s="128" t="n"/>
      <c r="F241" s="128" t="n"/>
      <c r="G241" s="57" t="str">
        <f>IF(A241="","",SUMIFS(jr_qty,jr_type,"BL",jr_art,A241,jr_year,p_year))</f>
        <v/>
      </c>
      <c r="H241" s="57" t="str">
        <f>IF(A241="","",SUMIFS(jr_qty,jr_type,"BR",jr_art,A241,jr_year,p_year))</f>
        <v/>
      </c>
      <c r="I241" s="57" t="str">
        <f>IF(A241="","",SUMIFS(jr_qty,jr_type,"BS",jr_art,A241,jr_year,p_year))</f>
        <v/>
      </c>
      <c r="J241" s="60" t="str">
        <f>IF(A241="",IF(B241="","","Référence manquante"),IF(COUNTIF($A$6:$A$505,A241)&gt;1,"Référence en double",IF(B241="","Désignation manquante",IF(C241="","Unité manquante","OK"))))</f>
        <v/>
      </c>
    </row>
    <row r="242">
      <c r="A242" s="59" t="n"/>
      <c r="B242" s="59" t="n"/>
      <c r="C242" s="54" t="n"/>
      <c r="D242" s="127" t="n"/>
      <c r="E242" s="128" t="n"/>
      <c r="F242" s="128" t="n"/>
      <c r="G242" s="57" t="str">
        <f>IF(A242="","",SUMIFS(jr_qty,jr_type,"BL",jr_art,A242,jr_year,p_year))</f>
        <v/>
      </c>
      <c r="H242" s="57" t="str">
        <f>IF(A242="","",SUMIFS(jr_qty,jr_type,"BR",jr_art,A242,jr_year,p_year))</f>
        <v/>
      </c>
      <c r="I242" s="57" t="str">
        <f>IF(A242="","",SUMIFS(jr_qty,jr_type,"BS",jr_art,A242,jr_year,p_year))</f>
        <v/>
      </c>
      <c r="J242" s="60" t="str">
        <f>IF(A242="",IF(B242="","","Référence manquante"),IF(COUNTIF($A$6:$A$505,A242)&gt;1,"Référence en double",IF(B242="","Désignation manquante",IF(C242="","Unité manquante","OK"))))</f>
        <v/>
      </c>
    </row>
    <row r="243">
      <c r="A243" s="59" t="n"/>
      <c r="B243" s="59" t="n"/>
      <c r="C243" s="54" t="n"/>
      <c r="D243" s="127" t="n"/>
      <c r="E243" s="128" t="n"/>
      <c r="F243" s="128" t="n"/>
      <c r="G243" s="57" t="str">
        <f>IF(A243="","",SUMIFS(jr_qty,jr_type,"BL",jr_art,A243,jr_year,p_year))</f>
        <v/>
      </c>
      <c r="H243" s="57" t="str">
        <f>IF(A243="","",SUMIFS(jr_qty,jr_type,"BR",jr_art,A243,jr_year,p_year))</f>
        <v/>
      </c>
      <c r="I243" s="57" t="str">
        <f>IF(A243="","",SUMIFS(jr_qty,jr_type,"BS",jr_art,A243,jr_year,p_year))</f>
        <v/>
      </c>
      <c r="J243" s="60" t="str">
        <f>IF(A243="",IF(B243="","","Référence manquante"),IF(COUNTIF($A$6:$A$505,A243)&gt;1,"Référence en double",IF(B243="","Désignation manquante",IF(C243="","Unité manquante","OK"))))</f>
        <v/>
      </c>
    </row>
    <row r="244">
      <c r="A244" s="59" t="n"/>
      <c r="B244" s="59" t="n"/>
      <c r="C244" s="54" t="n"/>
      <c r="D244" s="127" t="n"/>
      <c r="E244" s="128" t="n"/>
      <c r="F244" s="128" t="n"/>
      <c r="G244" s="57" t="str">
        <f>IF(A244="","",SUMIFS(jr_qty,jr_type,"BL",jr_art,A244,jr_year,p_year))</f>
        <v/>
      </c>
      <c r="H244" s="57" t="str">
        <f>IF(A244="","",SUMIFS(jr_qty,jr_type,"BR",jr_art,A244,jr_year,p_year))</f>
        <v/>
      </c>
      <c r="I244" s="57" t="str">
        <f>IF(A244="","",SUMIFS(jr_qty,jr_type,"BS",jr_art,A244,jr_year,p_year))</f>
        <v/>
      </c>
      <c r="J244" s="60" t="str">
        <f>IF(A244="",IF(B244="","","Référence manquante"),IF(COUNTIF($A$6:$A$505,A244)&gt;1,"Référence en double",IF(B244="","Désignation manquante",IF(C244="","Unité manquante","OK"))))</f>
        <v/>
      </c>
    </row>
    <row r="245">
      <c r="A245" s="59" t="n"/>
      <c r="B245" s="59" t="n"/>
      <c r="C245" s="54" t="n"/>
      <c r="D245" s="127" t="n"/>
      <c r="E245" s="128" t="n"/>
      <c r="F245" s="128" t="n"/>
      <c r="G245" s="57" t="str">
        <f>IF(A245="","",SUMIFS(jr_qty,jr_type,"BL",jr_art,A245,jr_year,p_year))</f>
        <v/>
      </c>
      <c r="H245" s="57" t="str">
        <f>IF(A245="","",SUMIFS(jr_qty,jr_type,"BR",jr_art,A245,jr_year,p_year))</f>
        <v/>
      </c>
      <c r="I245" s="57" t="str">
        <f>IF(A245="","",SUMIFS(jr_qty,jr_type,"BS",jr_art,A245,jr_year,p_year))</f>
        <v/>
      </c>
      <c r="J245" s="60" t="str">
        <f>IF(A245="",IF(B245="","","Référence manquante"),IF(COUNTIF($A$6:$A$505,A245)&gt;1,"Référence en double",IF(B245="","Désignation manquante",IF(C245="","Unité manquante","OK"))))</f>
        <v/>
      </c>
    </row>
    <row r="246">
      <c r="A246" s="59" t="n"/>
      <c r="B246" s="59" t="n"/>
      <c r="C246" s="54" t="n"/>
      <c r="D246" s="127" t="n"/>
      <c r="E246" s="128" t="n"/>
      <c r="F246" s="128" t="n"/>
      <c r="G246" s="57" t="str">
        <f>IF(A246="","",SUMIFS(jr_qty,jr_type,"BL",jr_art,A246,jr_year,p_year))</f>
        <v/>
      </c>
      <c r="H246" s="57" t="str">
        <f>IF(A246="","",SUMIFS(jr_qty,jr_type,"BR",jr_art,A246,jr_year,p_year))</f>
        <v/>
      </c>
      <c r="I246" s="57" t="str">
        <f>IF(A246="","",SUMIFS(jr_qty,jr_type,"BS",jr_art,A246,jr_year,p_year))</f>
        <v/>
      </c>
      <c r="J246" s="60" t="str">
        <f>IF(A246="",IF(B246="","","Référence manquante"),IF(COUNTIF($A$6:$A$505,A246)&gt;1,"Référence en double",IF(B246="","Désignation manquante",IF(C246="","Unité manquante","OK"))))</f>
        <v/>
      </c>
    </row>
    <row r="247">
      <c r="A247" s="59" t="n"/>
      <c r="B247" s="59" t="n"/>
      <c r="C247" s="54" t="n"/>
      <c r="D247" s="127" t="n"/>
      <c r="E247" s="128" t="n"/>
      <c r="F247" s="128" t="n"/>
      <c r="G247" s="57" t="str">
        <f>IF(A247="","",SUMIFS(jr_qty,jr_type,"BL",jr_art,A247,jr_year,p_year))</f>
        <v/>
      </c>
      <c r="H247" s="57" t="str">
        <f>IF(A247="","",SUMIFS(jr_qty,jr_type,"BR",jr_art,A247,jr_year,p_year))</f>
        <v/>
      </c>
      <c r="I247" s="57" t="str">
        <f>IF(A247="","",SUMIFS(jr_qty,jr_type,"BS",jr_art,A247,jr_year,p_year))</f>
        <v/>
      </c>
      <c r="J247" s="60" t="str">
        <f>IF(A247="",IF(B247="","","Référence manquante"),IF(COUNTIF($A$6:$A$505,A247)&gt;1,"Référence en double",IF(B247="","Désignation manquante",IF(C247="","Unité manquante","OK"))))</f>
        <v/>
      </c>
    </row>
    <row r="248">
      <c r="A248" s="59" t="n"/>
      <c r="B248" s="59" t="n"/>
      <c r="C248" s="54" t="n"/>
      <c r="D248" s="127" t="n"/>
      <c r="E248" s="128" t="n"/>
      <c r="F248" s="128" t="n"/>
      <c r="G248" s="57" t="str">
        <f>IF(A248="","",SUMIFS(jr_qty,jr_type,"BL",jr_art,A248,jr_year,p_year))</f>
        <v/>
      </c>
      <c r="H248" s="57" t="str">
        <f>IF(A248="","",SUMIFS(jr_qty,jr_type,"BR",jr_art,A248,jr_year,p_year))</f>
        <v/>
      </c>
      <c r="I248" s="57" t="str">
        <f>IF(A248="","",SUMIFS(jr_qty,jr_type,"BS",jr_art,A248,jr_year,p_year))</f>
        <v/>
      </c>
      <c r="J248" s="60" t="str">
        <f>IF(A248="",IF(B248="","","Référence manquante"),IF(COUNTIF($A$6:$A$505,A248)&gt;1,"Référence en double",IF(B248="","Désignation manquante",IF(C248="","Unité manquante","OK"))))</f>
        <v/>
      </c>
    </row>
    <row r="249">
      <c r="A249" s="59" t="n"/>
      <c r="B249" s="59" t="n"/>
      <c r="C249" s="54" t="n"/>
      <c r="D249" s="127" t="n"/>
      <c r="E249" s="128" t="n"/>
      <c r="F249" s="128" t="n"/>
      <c r="G249" s="57" t="str">
        <f>IF(A249="","",SUMIFS(jr_qty,jr_type,"BL",jr_art,A249,jr_year,p_year))</f>
        <v/>
      </c>
      <c r="H249" s="57" t="str">
        <f>IF(A249="","",SUMIFS(jr_qty,jr_type,"BR",jr_art,A249,jr_year,p_year))</f>
        <v/>
      </c>
      <c r="I249" s="57" t="str">
        <f>IF(A249="","",SUMIFS(jr_qty,jr_type,"BS",jr_art,A249,jr_year,p_year))</f>
        <v/>
      </c>
      <c r="J249" s="60" t="str">
        <f>IF(A249="",IF(B249="","","Référence manquante"),IF(COUNTIF($A$6:$A$505,A249)&gt;1,"Référence en double",IF(B249="","Désignation manquante",IF(C249="","Unité manquante","OK"))))</f>
        <v/>
      </c>
    </row>
    <row r="250">
      <c r="A250" s="59" t="n"/>
      <c r="B250" s="59" t="n"/>
      <c r="C250" s="54" t="n"/>
      <c r="D250" s="127" t="n"/>
      <c r="E250" s="128" t="n"/>
      <c r="F250" s="128" t="n"/>
      <c r="G250" s="57" t="str">
        <f>IF(A250="","",SUMIFS(jr_qty,jr_type,"BL",jr_art,A250,jr_year,p_year))</f>
        <v/>
      </c>
      <c r="H250" s="57" t="str">
        <f>IF(A250="","",SUMIFS(jr_qty,jr_type,"BR",jr_art,A250,jr_year,p_year))</f>
        <v/>
      </c>
      <c r="I250" s="57" t="str">
        <f>IF(A250="","",SUMIFS(jr_qty,jr_type,"BS",jr_art,A250,jr_year,p_year))</f>
        <v/>
      </c>
      <c r="J250" s="60" t="str">
        <f>IF(A250="",IF(B250="","","Référence manquante"),IF(COUNTIF($A$6:$A$505,A250)&gt;1,"Référence en double",IF(B250="","Désignation manquante",IF(C250="","Unité manquante","OK"))))</f>
        <v/>
      </c>
    </row>
    <row r="251">
      <c r="A251" s="59" t="n"/>
      <c r="B251" s="59" t="n"/>
      <c r="C251" s="54" t="n"/>
      <c r="D251" s="127" t="n"/>
      <c r="E251" s="128" t="n"/>
      <c r="F251" s="128" t="n"/>
      <c r="G251" s="57" t="str">
        <f>IF(A251="","",SUMIFS(jr_qty,jr_type,"BL",jr_art,A251,jr_year,p_year))</f>
        <v/>
      </c>
      <c r="H251" s="57" t="str">
        <f>IF(A251="","",SUMIFS(jr_qty,jr_type,"BR",jr_art,A251,jr_year,p_year))</f>
        <v/>
      </c>
      <c r="I251" s="57" t="str">
        <f>IF(A251="","",SUMIFS(jr_qty,jr_type,"BS",jr_art,A251,jr_year,p_year))</f>
        <v/>
      </c>
      <c r="J251" s="60" t="str">
        <f>IF(A251="",IF(B251="","","Référence manquante"),IF(COUNTIF($A$6:$A$505,A251)&gt;1,"Référence en double",IF(B251="","Désignation manquante",IF(C251="","Unité manquante","OK"))))</f>
        <v/>
      </c>
    </row>
    <row r="252">
      <c r="A252" s="59" t="n"/>
      <c r="B252" s="59" t="n"/>
      <c r="C252" s="54" t="n"/>
      <c r="D252" s="127" t="n"/>
      <c r="E252" s="128" t="n"/>
      <c r="F252" s="128" t="n"/>
      <c r="G252" s="57" t="str">
        <f>IF(A252="","",SUMIFS(jr_qty,jr_type,"BL",jr_art,A252,jr_year,p_year))</f>
        <v/>
      </c>
      <c r="H252" s="57" t="str">
        <f>IF(A252="","",SUMIFS(jr_qty,jr_type,"BR",jr_art,A252,jr_year,p_year))</f>
        <v/>
      </c>
      <c r="I252" s="57" t="str">
        <f>IF(A252="","",SUMIFS(jr_qty,jr_type,"BS",jr_art,A252,jr_year,p_year))</f>
        <v/>
      </c>
      <c r="J252" s="60" t="str">
        <f>IF(A252="",IF(B252="","","Référence manquante"),IF(COUNTIF($A$6:$A$505,A252)&gt;1,"Référence en double",IF(B252="","Désignation manquante",IF(C252="","Unité manquante","OK"))))</f>
        <v/>
      </c>
    </row>
    <row r="253">
      <c r="A253" s="59" t="n"/>
      <c r="B253" s="59" t="n"/>
      <c r="C253" s="54" t="n"/>
      <c r="D253" s="127" t="n"/>
      <c r="E253" s="128" t="n"/>
      <c r="F253" s="128" t="n"/>
      <c r="G253" s="57" t="str">
        <f>IF(A253="","",SUMIFS(jr_qty,jr_type,"BL",jr_art,A253,jr_year,p_year))</f>
        <v/>
      </c>
      <c r="H253" s="57" t="str">
        <f>IF(A253="","",SUMIFS(jr_qty,jr_type,"BR",jr_art,A253,jr_year,p_year))</f>
        <v/>
      </c>
      <c r="I253" s="57" t="str">
        <f>IF(A253="","",SUMIFS(jr_qty,jr_type,"BS",jr_art,A253,jr_year,p_year))</f>
        <v/>
      </c>
      <c r="J253" s="60" t="str">
        <f>IF(A253="",IF(B253="","","Référence manquante"),IF(COUNTIF($A$6:$A$505,A253)&gt;1,"Référence en double",IF(B253="","Désignation manquante",IF(C253="","Unité manquante","OK"))))</f>
        <v/>
      </c>
    </row>
    <row r="254">
      <c r="A254" s="59" t="n"/>
      <c r="B254" s="59" t="n"/>
      <c r="C254" s="54" t="n"/>
      <c r="D254" s="127" t="n"/>
      <c r="E254" s="128" t="n"/>
      <c r="F254" s="128" t="n"/>
      <c r="G254" s="57" t="str">
        <f>IF(A254="","",SUMIFS(jr_qty,jr_type,"BL",jr_art,A254,jr_year,p_year))</f>
        <v/>
      </c>
      <c r="H254" s="57" t="str">
        <f>IF(A254="","",SUMIFS(jr_qty,jr_type,"BR",jr_art,A254,jr_year,p_year))</f>
        <v/>
      </c>
      <c r="I254" s="57" t="str">
        <f>IF(A254="","",SUMIFS(jr_qty,jr_type,"BS",jr_art,A254,jr_year,p_year))</f>
        <v/>
      </c>
      <c r="J254" s="60" t="str">
        <f>IF(A254="",IF(B254="","","Référence manquante"),IF(COUNTIF($A$6:$A$505,A254)&gt;1,"Référence en double",IF(B254="","Désignation manquante",IF(C254="","Unité manquante","OK"))))</f>
        <v/>
      </c>
    </row>
    <row r="255">
      <c r="A255" s="59" t="n"/>
      <c r="B255" s="59" t="n"/>
      <c r="C255" s="54" t="n"/>
      <c r="D255" s="127" t="n"/>
      <c r="E255" s="128" t="n"/>
      <c r="F255" s="128" t="n"/>
      <c r="G255" s="57" t="str">
        <f>IF(A255="","",SUMIFS(jr_qty,jr_type,"BL",jr_art,A255,jr_year,p_year))</f>
        <v/>
      </c>
      <c r="H255" s="57" t="str">
        <f>IF(A255="","",SUMIFS(jr_qty,jr_type,"BR",jr_art,A255,jr_year,p_year))</f>
        <v/>
      </c>
      <c r="I255" s="57" t="str">
        <f>IF(A255="","",SUMIFS(jr_qty,jr_type,"BS",jr_art,A255,jr_year,p_year))</f>
        <v/>
      </c>
      <c r="J255" s="60" t="str">
        <f>IF(A255="",IF(B255="","","Référence manquante"),IF(COUNTIF($A$6:$A$505,A255)&gt;1,"Référence en double",IF(B255="","Désignation manquante",IF(C255="","Unité manquante","OK"))))</f>
        <v/>
      </c>
    </row>
    <row r="256">
      <c r="A256" s="59" t="n"/>
      <c r="B256" s="59" t="n"/>
      <c r="C256" s="54" t="n"/>
      <c r="D256" s="127" t="n"/>
      <c r="E256" s="128" t="n"/>
      <c r="F256" s="128" t="n"/>
      <c r="G256" s="57" t="str">
        <f>IF(A256="","",SUMIFS(jr_qty,jr_type,"BL",jr_art,A256,jr_year,p_year))</f>
        <v/>
      </c>
      <c r="H256" s="57" t="str">
        <f>IF(A256="","",SUMIFS(jr_qty,jr_type,"BR",jr_art,A256,jr_year,p_year))</f>
        <v/>
      </c>
      <c r="I256" s="57" t="str">
        <f>IF(A256="","",SUMIFS(jr_qty,jr_type,"BS",jr_art,A256,jr_year,p_year))</f>
        <v/>
      </c>
      <c r="J256" s="60" t="str">
        <f>IF(A256="",IF(B256="","","Référence manquante"),IF(COUNTIF($A$6:$A$505,A256)&gt;1,"Référence en double",IF(B256="","Désignation manquante",IF(C256="","Unité manquante","OK"))))</f>
        <v/>
      </c>
    </row>
    <row r="257">
      <c r="A257" s="59" t="n"/>
      <c r="B257" s="59" t="n"/>
      <c r="C257" s="54" t="n"/>
      <c r="D257" s="127" t="n"/>
      <c r="E257" s="128" t="n"/>
      <c r="F257" s="128" t="n"/>
      <c r="G257" s="57" t="str">
        <f>IF(A257="","",SUMIFS(jr_qty,jr_type,"BL",jr_art,A257,jr_year,p_year))</f>
        <v/>
      </c>
      <c r="H257" s="57" t="str">
        <f>IF(A257="","",SUMIFS(jr_qty,jr_type,"BR",jr_art,A257,jr_year,p_year))</f>
        <v/>
      </c>
      <c r="I257" s="57" t="str">
        <f>IF(A257="","",SUMIFS(jr_qty,jr_type,"BS",jr_art,A257,jr_year,p_year))</f>
        <v/>
      </c>
      <c r="J257" s="60" t="str">
        <f>IF(A257="",IF(B257="","","Référence manquante"),IF(COUNTIF($A$6:$A$505,A257)&gt;1,"Référence en double",IF(B257="","Désignation manquante",IF(C257="","Unité manquante","OK"))))</f>
        <v/>
      </c>
    </row>
    <row r="258">
      <c r="A258" s="59" t="n"/>
      <c r="B258" s="59" t="n"/>
      <c r="C258" s="54" t="n"/>
      <c r="D258" s="127" t="n"/>
      <c r="E258" s="128" t="n"/>
      <c r="F258" s="128" t="n"/>
      <c r="G258" s="57" t="str">
        <f>IF(A258="","",SUMIFS(jr_qty,jr_type,"BL",jr_art,A258,jr_year,p_year))</f>
        <v/>
      </c>
      <c r="H258" s="57" t="str">
        <f>IF(A258="","",SUMIFS(jr_qty,jr_type,"BR",jr_art,A258,jr_year,p_year))</f>
        <v/>
      </c>
      <c r="I258" s="57" t="str">
        <f>IF(A258="","",SUMIFS(jr_qty,jr_type,"BS",jr_art,A258,jr_year,p_year))</f>
        <v/>
      </c>
      <c r="J258" s="60" t="str">
        <f>IF(A258="",IF(B258="","","Référence manquante"),IF(COUNTIF($A$6:$A$505,A258)&gt;1,"Référence en double",IF(B258="","Désignation manquante",IF(C258="","Unité manquante","OK"))))</f>
        <v/>
      </c>
    </row>
    <row r="259">
      <c r="A259" s="59" t="n"/>
      <c r="B259" s="59" t="n"/>
      <c r="C259" s="54" t="n"/>
      <c r="D259" s="127" t="n"/>
      <c r="E259" s="128" t="n"/>
      <c r="F259" s="128" t="n"/>
      <c r="G259" s="57" t="str">
        <f>IF(A259="","",SUMIFS(jr_qty,jr_type,"BL",jr_art,A259,jr_year,p_year))</f>
        <v/>
      </c>
      <c r="H259" s="57" t="str">
        <f>IF(A259="","",SUMIFS(jr_qty,jr_type,"BR",jr_art,A259,jr_year,p_year))</f>
        <v/>
      </c>
      <c r="I259" s="57" t="str">
        <f>IF(A259="","",SUMIFS(jr_qty,jr_type,"BS",jr_art,A259,jr_year,p_year))</f>
        <v/>
      </c>
      <c r="J259" s="60" t="str">
        <f>IF(A259="",IF(B259="","","Référence manquante"),IF(COUNTIF($A$6:$A$505,A259)&gt;1,"Référence en double",IF(B259="","Désignation manquante",IF(C259="","Unité manquante","OK"))))</f>
        <v/>
      </c>
    </row>
    <row r="260">
      <c r="A260" s="59" t="n"/>
      <c r="B260" s="59" t="n"/>
      <c r="C260" s="54" t="n"/>
      <c r="D260" s="127" t="n"/>
      <c r="E260" s="128" t="n"/>
      <c r="F260" s="128" t="n"/>
      <c r="G260" s="57" t="str">
        <f>IF(A260="","",SUMIFS(jr_qty,jr_type,"BL",jr_art,A260,jr_year,p_year))</f>
        <v/>
      </c>
      <c r="H260" s="57" t="str">
        <f>IF(A260="","",SUMIFS(jr_qty,jr_type,"BR",jr_art,A260,jr_year,p_year))</f>
        <v/>
      </c>
      <c r="I260" s="57" t="str">
        <f>IF(A260="","",SUMIFS(jr_qty,jr_type,"BS",jr_art,A260,jr_year,p_year))</f>
        <v/>
      </c>
      <c r="J260" s="60" t="str">
        <f>IF(A260="",IF(B260="","","Référence manquante"),IF(COUNTIF($A$6:$A$505,A260)&gt;1,"Référence en double",IF(B260="","Désignation manquante",IF(C260="","Unité manquante","OK"))))</f>
        <v/>
      </c>
    </row>
    <row r="261">
      <c r="A261" s="59" t="n"/>
      <c r="B261" s="59" t="n"/>
      <c r="C261" s="54" t="n"/>
      <c r="D261" s="127" t="n"/>
      <c r="E261" s="128" t="n"/>
      <c r="F261" s="128" t="n"/>
      <c r="G261" s="57" t="str">
        <f>IF(A261="","",SUMIFS(jr_qty,jr_type,"BL",jr_art,A261,jr_year,p_year))</f>
        <v/>
      </c>
      <c r="H261" s="57" t="str">
        <f>IF(A261="","",SUMIFS(jr_qty,jr_type,"BR",jr_art,A261,jr_year,p_year))</f>
        <v/>
      </c>
      <c r="I261" s="57" t="str">
        <f>IF(A261="","",SUMIFS(jr_qty,jr_type,"BS",jr_art,A261,jr_year,p_year))</f>
        <v/>
      </c>
      <c r="J261" s="60" t="str">
        <f>IF(A261="",IF(B261="","","Référence manquante"),IF(COUNTIF($A$6:$A$505,A261)&gt;1,"Référence en double",IF(B261="","Désignation manquante",IF(C261="","Unité manquante","OK"))))</f>
        <v/>
      </c>
    </row>
    <row r="262">
      <c r="A262" s="59" t="n"/>
      <c r="B262" s="59" t="n"/>
      <c r="C262" s="54" t="n"/>
      <c r="D262" s="127" t="n"/>
      <c r="E262" s="128" t="n"/>
      <c r="F262" s="128" t="n"/>
      <c r="G262" s="57" t="str">
        <f>IF(A262="","",SUMIFS(jr_qty,jr_type,"BL",jr_art,A262,jr_year,p_year))</f>
        <v/>
      </c>
      <c r="H262" s="57" t="str">
        <f>IF(A262="","",SUMIFS(jr_qty,jr_type,"BR",jr_art,A262,jr_year,p_year))</f>
        <v/>
      </c>
      <c r="I262" s="57" t="str">
        <f>IF(A262="","",SUMIFS(jr_qty,jr_type,"BS",jr_art,A262,jr_year,p_year))</f>
        <v/>
      </c>
      <c r="J262" s="60" t="str">
        <f>IF(A262="",IF(B262="","","Référence manquante"),IF(COUNTIF($A$6:$A$505,A262)&gt;1,"Référence en double",IF(B262="","Désignation manquante",IF(C262="","Unité manquante","OK"))))</f>
        <v/>
      </c>
    </row>
    <row r="263">
      <c r="A263" s="59" t="n"/>
      <c r="B263" s="59" t="n"/>
      <c r="C263" s="54" t="n"/>
      <c r="D263" s="127" t="n"/>
      <c r="E263" s="128" t="n"/>
      <c r="F263" s="128" t="n"/>
      <c r="G263" s="57" t="str">
        <f>IF(A263="","",SUMIFS(jr_qty,jr_type,"BL",jr_art,A263,jr_year,p_year))</f>
        <v/>
      </c>
      <c r="H263" s="57" t="str">
        <f>IF(A263="","",SUMIFS(jr_qty,jr_type,"BR",jr_art,A263,jr_year,p_year))</f>
        <v/>
      </c>
      <c r="I263" s="57" t="str">
        <f>IF(A263="","",SUMIFS(jr_qty,jr_type,"BS",jr_art,A263,jr_year,p_year))</f>
        <v/>
      </c>
      <c r="J263" s="60" t="str">
        <f>IF(A263="",IF(B263="","","Référence manquante"),IF(COUNTIF($A$6:$A$505,A263)&gt;1,"Référence en double",IF(B263="","Désignation manquante",IF(C263="","Unité manquante","OK"))))</f>
        <v/>
      </c>
    </row>
    <row r="264">
      <c r="A264" s="59" t="n"/>
      <c r="B264" s="59" t="n"/>
      <c r="C264" s="54" t="n"/>
      <c r="D264" s="127" t="n"/>
      <c r="E264" s="128" t="n"/>
      <c r="F264" s="128" t="n"/>
      <c r="G264" s="57" t="str">
        <f>IF(A264="","",SUMIFS(jr_qty,jr_type,"BL",jr_art,A264,jr_year,p_year))</f>
        <v/>
      </c>
      <c r="H264" s="57" t="str">
        <f>IF(A264="","",SUMIFS(jr_qty,jr_type,"BR",jr_art,A264,jr_year,p_year))</f>
        <v/>
      </c>
      <c r="I264" s="57" t="str">
        <f>IF(A264="","",SUMIFS(jr_qty,jr_type,"BS",jr_art,A264,jr_year,p_year))</f>
        <v/>
      </c>
      <c r="J264" s="60" t="str">
        <f>IF(A264="",IF(B264="","","Référence manquante"),IF(COUNTIF($A$6:$A$505,A264)&gt;1,"Référence en double",IF(B264="","Désignation manquante",IF(C264="","Unité manquante","OK"))))</f>
        <v/>
      </c>
    </row>
    <row r="265">
      <c r="A265" s="59" t="n"/>
      <c r="B265" s="59" t="n"/>
      <c r="C265" s="54" t="n"/>
      <c r="D265" s="127" t="n"/>
      <c r="E265" s="128" t="n"/>
      <c r="F265" s="128" t="n"/>
      <c r="G265" s="57" t="str">
        <f>IF(A265="","",SUMIFS(jr_qty,jr_type,"BL",jr_art,A265,jr_year,p_year))</f>
        <v/>
      </c>
      <c r="H265" s="57" t="str">
        <f>IF(A265="","",SUMIFS(jr_qty,jr_type,"BR",jr_art,A265,jr_year,p_year))</f>
        <v/>
      </c>
      <c r="I265" s="57" t="str">
        <f>IF(A265="","",SUMIFS(jr_qty,jr_type,"BS",jr_art,A265,jr_year,p_year))</f>
        <v/>
      </c>
      <c r="J265" s="60" t="str">
        <f>IF(A265="",IF(B265="","","Référence manquante"),IF(COUNTIF($A$6:$A$505,A265)&gt;1,"Référence en double",IF(B265="","Désignation manquante",IF(C265="","Unité manquante","OK"))))</f>
        <v/>
      </c>
    </row>
    <row r="266">
      <c r="A266" s="59" t="n"/>
      <c r="B266" s="59" t="n"/>
      <c r="C266" s="54" t="n"/>
      <c r="D266" s="127" t="n"/>
      <c r="E266" s="128" t="n"/>
      <c r="F266" s="128" t="n"/>
      <c r="G266" s="57" t="str">
        <f>IF(A266="","",SUMIFS(jr_qty,jr_type,"BL",jr_art,A266,jr_year,p_year))</f>
        <v/>
      </c>
      <c r="H266" s="57" t="str">
        <f>IF(A266="","",SUMIFS(jr_qty,jr_type,"BR",jr_art,A266,jr_year,p_year))</f>
        <v/>
      </c>
      <c r="I266" s="57" t="str">
        <f>IF(A266="","",SUMIFS(jr_qty,jr_type,"BS",jr_art,A266,jr_year,p_year))</f>
        <v/>
      </c>
      <c r="J266" s="60" t="str">
        <f>IF(A266="",IF(B266="","","Référence manquante"),IF(COUNTIF($A$6:$A$505,A266)&gt;1,"Référence en double",IF(B266="","Désignation manquante",IF(C266="","Unité manquante","OK"))))</f>
        <v/>
      </c>
    </row>
    <row r="267">
      <c r="A267" s="59" t="n"/>
      <c r="B267" s="59" t="n"/>
      <c r="C267" s="54" t="n"/>
      <c r="D267" s="127" t="n"/>
      <c r="E267" s="128" t="n"/>
      <c r="F267" s="128" t="n"/>
      <c r="G267" s="57" t="str">
        <f>IF(A267="","",SUMIFS(jr_qty,jr_type,"BL",jr_art,A267,jr_year,p_year))</f>
        <v/>
      </c>
      <c r="H267" s="57" t="str">
        <f>IF(A267="","",SUMIFS(jr_qty,jr_type,"BR",jr_art,A267,jr_year,p_year))</f>
        <v/>
      </c>
      <c r="I267" s="57" t="str">
        <f>IF(A267="","",SUMIFS(jr_qty,jr_type,"BS",jr_art,A267,jr_year,p_year))</f>
        <v/>
      </c>
      <c r="J267" s="60" t="str">
        <f>IF(A267="",IF(B267="","","Référence manquante"),IF(COUNTIF($A$6:$A$505,A267)&gt;1,"Référence en double",IF(B267="","Désignation manquante",IF(C267="","Unité manquante","OK"))))</f>
        <v/>
      </c>
    </row>
    <row r="268">
      <c r="A268" s="59" t="n"/>
      <c r="B268" s="59" t="n"/>
      <c r="C268" s="54" t="n"/>
      <c r="D268" s="127" t="n"/>
      <c r="E268" s="128" t="n"/>
      <c r="F268" s="128" t="n"/>
      <c r="G268" s="57" t="str">
        <f>IF(A268="","",SUMIFS(jr_qty,jr_type,"BL",jr_art,A268,jr_year,p_year))</f>
        <v/>
      </c>
      <c r="H268" s="57" t="str">
        <f>IF(A268="","",SUMIFS(jr_qty,jr_type,"BR",jr_art,A268,jr_year,p_year))</f>
        <v/>
      </c>
      <c r="I268" s="57" t="str">
        <f>IF(A268="","",SUMIFS(jr_qty,jr_type,"BS",jr_art,A268,jr_year,p_year))</f>
        <v/>
      </c>
      <c r="J268" s="60" t="str">
        <f>IF(A268="",IF(B268="","","Référence manquante"),IF(COUNTIF($A$6:$A$505,A268)&gt;1,"Référence en double",IF(B268="","Désignation manquante",IF(C268="","Unité manquante","OK"))))</f>
        <v/>
      </c>
    </row>
    <row r="269">
      <c r="A269" s="59" t="n"/>
      <c r="B269" s="59" t="n"/>
      <c r="C269" s="54" t="n"/>
      <c r="D269" s="127" t="n"/>
      <c r="E269" s="128" t="n"/>
      <c r="F269" s="128" t="n"/>
      <c r="G269" s="57" t="str">
        <f>IF(A269="","",SUMIFS(jr_qty,jr_type,"BL",jr_art,A269,jr_year,p_year))</f>
        <v/>
      </c>
      <c r="H269" s="57" t="str">
        <f>IF(A269="","",SUMIFS(jr_qty,jr_type,"BR",jr_art,A269,jr_year,p_year))</f>
        <v/>
      </c>
      <c r="I269" s="57" t="str">
        <f>IF(A269="","",SUMIFS(jr_qty,jr_type,"BS",jr_art,A269,jr_year,p_year))</f>
        <v/>
      </c>
      <c r="J269" s="60" t="str">
        <f>IF(A269="",IF(B269="","","Référence manquante"),IF(COUNTIF($A$6:$A$505,A269)&gt;1,"Référence en double",IF(B269="","Désignation manquante",IF(C269="","Unité manquante","OK"))))</f>
        <v/>
      </c>
    </row>
    <row r="270">
      <c r="A270" s="59" t="n"/>
      <c r="B270" s="59" t="n"/>
      <c r="C270" s="54" t="n"/>
      <c r="D270" s="127" t="n"/>
      <c r="E270" s="128" t="n"/>
      <c r="F270" s="128" t="n"/>
      <c r="G270" s="57" t="str">
        <f>IF(A270="","",SUMIFS(jr_qty,jr_type,"BL",jr_art,A270,jr_year,p_year))</f>
        <v/>
      </c>
      <c r="H270" s="57" t="str">
        <f>IF(A270="","",SUMIFS(jr_qty,jr_type,"BR",jr_art,A270,jr_year,p_year))</f>
        <v/>
      </c>
      <c r="I270" s="57" t="str">
        <f>IF(A270="","",SUMIFS(jr_qty,jr_type,"BS",jr_art,A270,jr_year,p_year))</f>
        <v/>
      </c>
      <c r="J270" s="60" t="str">
        <f>IF(A270="",IF(B270="","","Référence manquante"),IF(COUNTIF($A$6:$A$505,A270)&gt;1,"Référence en double",IF(B270="","Désignation manquante",IF(C270="","Unité manquante","OK"))))</f>
        <v/>
      </c>
    </row>
    <row r="271">
      <c r="A271" s="59" t="n"/>
      <c r="B271" s="59" t="n"/>
      <c r="C271" s="54" t="n"/>
      <c r="D271" s="127" t="n"/>
      <c r="E271" s="128" t="n"/>
      <c r="F271" s="128" t="n"/>
      <c r="G271" s="57" t="str">
        <f>IF(A271="","",SUMIFS(jr_qty,jr_type,"BL",jr_art,A271,jr_year,p_year))</f>
        <v/>
      </c>
      <c r="H271" s="57" t="str">
        <f>IF(A271="","",SUMIFS(jr_qty,jr_type,"BR",jr_art,A271,jr_year,p_year))</f>
        <v/>
      </c>
      <c r="I271" s="57" t="str">
        <f>IF(A271="","",SUMIFS(jr_qty,jr_type,"BS",jr_art,A271,jr_year,p_year))</f>
        <v/>
      </c>
      <c r="J271" s="60" t="str">
        <f>IF(A271="",IF(B271="","","Référence manquante"),IF(COUNTIF($A$6:$A$505,A271)&gt;1,"Référence en double",IF(B271="","Désignation manquante",IF(C271="","Unité manquante","OK"))))</f>
        <v/>
      </c>
    </row>
    <row r="272">
      <c r="A272" s="59" t="n"/>
      <c r="B272" s="59" t="n"/>
      <c r="C272" s="54" t="n"/>
      <c r="D272" s="127" t="n"/>
      <c r="E272" s="128" t="n"/>
      <c r="F272" s="128" t="n"/>
      <c r="G272" s="57" t="str">
        <f>IF(A272="","",SUMIFS(jr_qty,jr_type,"BL",jr_art,A272,jr_year,p_year))</f>
        <v/>
      </c>
      <c r="H272" s="57" t="str">
        <f>IF(A272="","",SUMIFS(jr_qty,jr_type,"BR",jr_art,A272,jr_year,p_year))</f>
        <v/>
      </c>
      <c r="I272" s="57" t="str">
        <f>IF(A272="","",SUMIFS(jr_qty,jr_type,"BS",jr_art,A272,jr_year,p_year))</f>
        <v/>
      </c>
      <c r="J272" s="60" t="str">
        <f>IF(A272="",IF(B272="","","Référence manquante"),IF(COUNTIF($A$6:$A$505,A272)&gt;1,"Référence en double",IF(B272="","Désignation manquante",IF(C272="","Unité manquante","OK"))))</f>
        <v/>
      </c>
    </row>
    <row r="273">
      <c r="A273" s="59" t="n"/>
      <c r="B273" s="59" t="n"/>
      <c r="C273" s="54" t="n"/>
      <c r="D273" s="127" t="n"/>
      <c r="E273" s="128" t="n"/>
      <c r="F273" s="128" t="n"/>
      <c r="G273" s="57" t="str">
        <f>IF(A273="","",SUMIFS(jr_qty,jr_type,"BL",jr_art,A273,jr_year,p_year))</f>
        <v/>
      </c>
      <c r="H273" s="57" t="str">
        <f>IF(A273="","",SUMIFS(jr_qty,jr_type,"BR",jr_art,A273,jr_year,p_year))</f>
        <v/>
      </c>
      <c r="I273" s="57" t="str">
        <f>IF(A273="","",SUMIFS(jr_qty,jr_type,"BS",jr_art,A273,jr_year,p_year))</f>
        <v/>
      </c>
      <c r="J273" s="60" t="str">
        <f>IF(A273="",IF(B273="","","Référence manquante"),IF(COUNTIF($A$6:$A$505,A273)&gt;1,"Référence en double",IF(B273="","Désignation manquante",IF(C273="","Unité manquante","OK"))))</f>
        <v/>
      </c>
    </row>
    <row r="274">
      <c r="A274" s="59" t="n"/>
      <c r="B274" s="59" t="n"/>
      <c r="C274" s="54" t="n"/>
      <c r="D274" s="127" t="n"/>
      <c r="E274" s="128" t="n"/>
      <c r="F274" s="128" t="n"/>
      <c r="G274" s="57" t="str">
        <f>IF(A274="","",SUMIFS(jr_qty,jr_type,"BL",jr_art,A274,jr_year,p_year))</f>
        <v/>
      </c>
      <c r="H274" s="57" t="str">
        <f>IF(A274="","",SUMIFS(jr_qty,jr_type,"BR",jr_art,A274,jr_year,p_year))</f>
        <v/>
      </c>
      <c r="I274" s="57" t="str">
        <f>IF(A274="","",SUMIFS(jr_qty,jr_type,"BS",jr_art,A274,jr_year,p_year))</f>
        <v/>
      </c>
      <c r="J274" s="60" t="str">
        <f>IF(A274="",IF(B274="","","Référence manquante"),IF(COUNTIF($A$6:$A$505,A274)&gt;1,"Référence en double",IF(B274="","Désignation manquante",IF(C274="","Unité manquante","OK"))))</f>
        <v/>
      </c>
    </row>
    <row r="275">
      <c r="A275" s="59" t="n"/>
      <c r="B275" s="59" t="n"/>
      <c r="C275" s="54" t="n"/>
      <c r="D275" s="127" t="n"/>
      <c r="E275" s="128" t="n"/>
      <c r="F275" s="128" t="n"/>
      <c r="G275" s="57" t="str">
        <f>IF(A275="","",SUMIFS(jr_qty,jr_type,"BL",jr_art,A275,jr_year,p_year))</f>
        <v/>
      </c>
      <c r="H275" s="57" t="str">
        <f>IF(A275="","",SUMIFS(jr_qty,jr_type,"BR",jr_art,A275,jr_year,p_year))</f>
        <v/>
      </c>
      <c r="I275" s="57" t="str">
        <f>IF(A275="","",SUMIFS(jr_qty,jr_type,"BS",jr_art,A275,jr_year,p_year))</f>
        <v/>
      </c>
      <c r="J275" s="60" t="str">
        <f>IF(A275="",IF(B275="","","Référence manquante"),IF(COUNTIF($A$6:$A$505,A275)&gt;1,"Référence en double",IF(B275="","Désignation manquante",IF(C275="","Unité manquante","OK"))))</f>
        <v/>
      </c>
    </row>
    <row r="276">
      <c r="A276" s="59" t="n"/>
      <c r="B276" s="59" t="n"/>
      <c r="C276" s="54" t="n"/>
      <c r="D276" s="127" t="n"/>
      <c r="E276" s="128" t="n"/>
      <c r="F276" s="128" t="n"/>
      <c r="G276" s="57" t="str">
        <f>IF(A276="","",SUMIFS(jr_qty,jr_type,"BL",jr_art,A276,jr_year,p_year))</f>
        <v/>
      </c>
      <c r="H276" s="57" t="str">
        <f>IF(A276="","",SUMIFS(jr_qty,jr_type,"BR",jr_art,A276,jr_year,p_year))</f>
        <v/>
      </c>
      <c r="I276" s="57" t="str">
        <f>IF(A276="","",SUMIFS(jr_qty,jr_type,"BS",jr_art,A276,jr_year,p_year))</f>
        <v/>
      </c>
      <c r="J276" s="60" t="str">
        <f>IF(A276="",IF(B276="","","Référence manquante"),IF(COUNTIF($A$6:$A$505,A276)&gt;1,"Référence en double",IF(B276="","Désignation manquante",IF(C276="","Unité manquante","OK"))))</f>
        <v/>
      </c>
    </row>
    <row r="277">
      <c r="A277" s="59" t="n"/>
      <c r="B277" s="59" t="n"/>
      <c r="C277" s="54" t="n"/>
      <c r="D277" s="127" t="n"/>
      <c r="E277" s="128" t="n"/>
      <c r="F277" s="128" t="n"/>
      <c r="G277" s="57" t="str">
        <f>IF(A277="","",SUMIFS(jr_qty,jr_type,"BL",jr_art,A277,jr_year,p_year))</f>
        <v/>
      </c>
      <c r="H277" s="57" t="str">
        <f>IF(A277="","",SUMIFS(jr_qty,jr_type,"BR",jr_art,A277,jr_year,p_year))</f>
        <v/>
      </c>
      <c r="I277" s="57" t="str">
        <f>IF(A277="","",SUMIFS(jr_qty,jr_type,"BS",jr_art,A277,jr_year,p_year))</f>
        <v/>
      </c>
      <c r="J277" s="60" t="str">
        <f>IF(A277="",IF(B277="","","Référence manquante"),IF(COUNTIF($A$6:$A$505,A277)&gt;1,"Référence en double",IF(B277="","Désignation manquante",IF(C277="","Unité manquante","OK"))))</f>
        <v/>
      </c>
    </row>
    <row r="278">
      <c r="A278" s="59" t="n"/>
      <c r="B278" s="59" t="n"/>
      <c r="C278" s="54" t="n"/>
      <c r="D278" s="127" t="n"/>
      <c r="E278" s="128" t="n"/>
      <c r="F278" s="128" t="n"/>
      <c r="G278" s="57" t="str">
        <f>IF(A278="","",SUMIFS(jr_qty,jr_type,"BL",jr_art,A278,jr_year,p_year))</f>
        <v/>
      </c>
      <c r="H278" s="57" t="str">
        <f>IF(A278="","",SUMIFS(jr_qty,jr_type,"BR",jr_art,A278,jr_year,p_year))</f>
        <v/>
      </c>
      <c r="I278" s="57" t="str">
        <f>IF(A278="","",SUMIFS(jr_qty,jr_type,"BS",jr_art,A278,jr_year,p_year))</f>
        <v/>
      </c>
      <c r="J278" s="60" t="str">
        <f>IF(A278="",IF(B278="","","Référence manquante"),IF(COUNTIF($A$6:$A$505,A278)&gt;1,"Référence en double",IF(B278="","Désignation manquante",IF(C278="","Unité manquante","OK"))))</f>
        <v/>
      </c>
    </row>
    <row r="279">
      <c r="A279" s="59" t="n"/>
      <c r="B279" s="59" t="n"/>
      <c r="C279" s="54" t="n"/>
      <c r="D279" s="127" t="n"/>
      <c r="E279" s="128" t="n"/>
      <c r="F279" s="128" t="n"/>
      <c r="G279" s="57" t="str">
        <f>IF(A279="","",SUMIFS(jr_qty,jr_type,"BL",jr_art,A279,jr_year,p_year))</f>
        <v/>
      </c>
      <c r="H279" s="57" t="str">
        <f>IF(A279="","",SUMIFS(jr_qty,jr_type,"BR",jr_art,A279,jr_year,p_year))</f>
        <v/>
      </c>
      <c r="I279" s="57" t="str">
        <f>IF(A279="","",SUMIFS(jr_qty,jr_type,"BS",jr_art,A279,jr_year,p_year))</f>
        <v/>
      </c>
      <c r="J279" s="60" t="str">
        <f>IF(A279="",IF(B279="","","Référence manquante"),IF(COUNTIF($A$6:$A$505,A279)&gt;1,"Référence en double",IF(B279="","Désignation manquante",IF(C279="","Unité manquante","OK"))))</f>
        <v/>
      </c>
    </row>
    <row r="280">
      <c r="A280" s="59" t="n"/>
      <c r="B280" s="59" t="n"/>
      <c r="C280" s="54" t="n"/>
      <c r="D280" s="127" t="n"/>
      <c r="E280" s="128" t="n"/>
      <c r="F280" s="128" t="n"/>
      <c r="G280" s="57" t="str">
        <f>IF(A280="","",SUMIFS(jr_qty,jr_type,"BL",jr_art,A280,jr_year,p_year))</f>
        <v/>
      </c>
      <c r="H280" s="57" t="str">
        <f>IF(A280="","",SUMIFS(jr_qty,jr_type,"BR",jr_art,A280,jr_year,p_year))</f>
        <v/>
      </c>
      <c r="I280" s="57" t="str">
        <f>IF(A280="","",SUMIFS(jr_qty,jr_type,"BS",jr_art,A280,jr_year,p_year))</f>
        <v/>
      </c>
      <c r="J280" s="60" t="str">
        <f>IF(A280="",IF(B280="","","Référence manquante"),IF(COUNTIF($A$6:$A$505,A280)&gt;1,"Référence en double",IF(B280="","Désignation manquante",IF(C280="","Unité manquante","OK"))))</f>
        <v/>
      </c>
    </row>
    <row r="281">
      <c r="A281" s="59" t="n"/>
      <c r="B281" s="59" t="n"/>
      <c r="C281" s="54" t="n"/>
      <c r="D281" s="127" t="n"/>
      <c r="E281" s="128" t="n"/>
      <c r="F281" s="128" t="n"/>
      <c r="G281" s="57" t="str">
        <f>IF(A281="","",SUMIFS(jr_qty,jr_type,"BL",jr_art,A281,jr_year,p_year))</f>
        <v/>
      </c>
      <c r="H281" s="57" t="str">
        <f>IF(A281="","",SUMIFS(jr_qty,jr_type,"BR",jr_art,A281,jr_year,p_year))</f>
        <v/>
      </c>
      <c r="I281" s="57" t="str">
        <f>IF(A281="","",SUMIFS(jr_qty,jr_type,"BS",jr_art,A281,jr_year,p_year))</f>
        <v/>
      </c>
      <c r="J281" s="60" t="str">
        <f>IF(A281="",IF(B281="","","Référence manquante"),IF(COUNTIF($A$6:$A$505,A281)&gt;1,"Référence en double",IF(B281="","Désignation manquante",IF(C281="","Unité manquante","OK"))))</f>
        <v/>
      </c>
    </row>
    <row r="282">
      <c r="A282" s="59" t="n"/>
      <c r="B282" s="59" t="n"/>
      <c r="C282" s="54" t="n"/>
      <c r="D282" s="127" t="n"/>
      <c r="E282" s="128" t="n"/>
      <c r="F282" s="128" t="n"/>
      <c r="G282" s="57" t="str">
        <f>IF(A282="","",SUMIFS(jr_qty,jr_type,"BL",jr_art,A282,jr_year,p_year))</f>
        <v/>
      </c>
      <c r="H282" s="57" t="str">
        <f>IF(A282="","",SUMIFS(jr_qty,jr_type,"BR",jr_art,A282,jr_year,p_year))</f>
        <v/>
      </c>
      <c r="I282" s="57" t="str">
        <f>IF(A282="","",SUMIFS(jr_qty,jr_type,"BS",jr_art,A282,jr_year,p_year))</f>
        <v/>
      </c>
      <c r="J282" s="60" t="str">
        <f>IF(A282="",IF(B282="","","Référence manquante"),IF(COUNTIF($A$6:$A$505,A282)&gt;1,"Référence en double",IF(B282="","Désignation manquante",IF(C282="","Unité manquante","OK"))))</f>
        <v/>
      </c>
    </row>
    <row r="283">
      <c r="A283" s="59" t="n"/>
      <c r="B283" s="59" t="n"/>
      <c r="C283" s="54" t="n"/>
      <c r="D283" s="127" t="n"/>
      <c r="E283" s="128" t="n"/>
      <c r="F283" s="128" t="n"/>
      <c r="G283" s="57" t="str">
        <f>IF(A283="","",SUMIFS(jr_qty,jr_type,"BL",jr_art,A283,jr_year,p_year))</f>
        <v/>
      </c>
      <c r="H283" s="57" t="str">
        <f>IF(A283="","",SUMIFS(jr_qty,jr_type,"BR",jr_art,A283,jr_year,p_year))</f>
        <v/>
      </c>
      <c r="I283" s="57" t="str">
        <f>IF(A283="","",SUMIFS(jr_qty,jr_type,"BS",jr_art,A283,jr_year,p_year))</f>
        <v/>
      </c>
      <c r="J283" s="60" t="str">
        <f>IF(A283="",IF(B283="","","Référence manquante"),IF(COUNTIF($A$6:$A$505,A283)&gt;1,"Référence en double",IF(B283="","Désignation manquante",IF(C283="","Unité manquante","OK"))))</f>
        <v/>
      </c>
    </row>
    <row r="284">
      <c r="A284" s="59" t="n"/>
      <c r="B284" s="59" t="n"/>
      <c r="C284" s="54" t="n"/>
      <c r="D284" s="127" t="n"/>
      <c r="E284" s="128" t="n"/>
      <c r="F284" s="128" t="n"/>
      <c r="G284" s="57" t="str">
        <f>IF(A284="","",SUMIFS(jr_qty,jr_type,"BL",jr_art,A284,jr_year,p_year))</f>
        <v/>
      </c>
      <c r="H284" s="57" t="str">
        <f>IF(A284="","",SUMIFS(jr_qty,jr_type,"BR",jr_art,A284,jr_year,p_year))</f>
        <v/>
      </c>
      <c r="I284" s="57" t="str">
        <f>IF(A284="","",SUMIFS(jr_qty,jr_type,"BS",jr_art,A284,jr_year,p_year))</f>
        <v/>
      </c>
      <c r="J284" s="60" t="str">
        <f>IF(A284="",IF(B284="","","Référence manquante"),IF(COUNTIF($A$6:$A$505,A284)&gt;1,"Référence en double",IF(B284="","Désignation manquante",IF(C284="","Unité manquante","OK"))))</f>
        <v/>
      </c>
    </row>
    <row r="285">
      <c r="A285" s="59" t="n"/>
      <c r="B285" s="59" t="n"/>
      <c r="C285" s="54" t="n"/>
      <c r="D285" s="127" t="n"/>
      <c r="E285" s="128" t="n"/>
      <c r="F285" s="128" t="n"/>
      <c r="G285" s="57" t="str">
        <f>IF(A285="","",SUMIFS(jr_qty,jr_type,"BL",jr_art,A285,jr_year,p_year))</f>
        <v/>
      </c>
      <c r="H285" s="57" t="str">
        <f>IF(A285="","",SUMIFS(jr_qty,jr_type,"BR",jr_art,A285,jr_year,p_year))</f>
        <v/>
      </c>
      <c r="I285" s="57" t="str">
        <f>IF(A285="","",SUMIFS(jr_qty,jr_type,"BS",jr_art,A285,jr_year,p_year))</f>
        <v/>
      </c>
      <c r="J285" s="60" t="str">
        <f>IF(A285="",IF(B285="","","Référence manquante"),IF(COUNTIF($A$6:$A$505,A285)&gt;1,"Référence en double",IF(B285="","Désignation manquante",IF(C285="","Unité manquante","OK"))))</f>
        <v/>
      </c>
    </row>
    <row r="286">
      <c r="A286" s="59" t="n"/>
      <c r="B286" s="59" t="n"/>
      <c r="C286" s="54" t="n"/>
      <c r="D286" s="127" t="n"/>
      <c r="E286" s="128" t="n"/>
      <c r="F286" s="128" t="n"/>
      <c r="G286" s="57" t="str">
        <f>IF(A286="","",SUMIFS(jr_qty,jr_type,"BL",jr_art,A286,jr_year,p_year))</f>
        <v/>
      </c>
      <c r="H286" s="57" t="str">
        <f>IF(A286="","",SUMIFS(jr_qty,jr_type,"BR",jr_art,A286,jr_year,p_year))</f>
        <v/>
      </c>
      <c r="I286" s="57" t="str">
        <f>IF(A286="","",SUMIFS(jr_qty,jr_type,"BS",jr_art,A286,jr_year,p_year))</f>
        <v/>
      </c>
      <c r="J286" s="60" t="str">
        <f>IF(A286="",IF(B286="","","Référence manquante"),IF(COUNTIF($A$6:$A$505,A286)&gt;1,"Référence en double",IF(B286="","Désignation manquante",IF(C286="","Unité manquante","OK"))))</f>
        <v/>
      </c>
    </row>
    <row r="287">
      <c r="A287" s="59" t="n"/>
      <c r="B287" s="59" t="n"/>
      <c r="C287" s="54" t="n"/>
      <c r="D287" s="127" t="n"/>
      <c r="E287" s="128" t="n"/>
      <c r="F287" s="128" t="n"/>
      <c r="G287" s="57" t="str">
        <f>IF(A287="","",SUMIFS(jr_qty,jr_type,"BL",jr_art,A287,jr_year,p_year))</f>
        <v/>
      </c>
      <c r="H287" s="57" t="str">
        <f>IF(A287="","",SUMIFS(jr_qty,jr_type,"BR",jr_art,A287,jr_year,p_year))</f>
        <v/>
      </c>
      <c r="I287" s="57" t="str">
        <f>IF(A287="","",SUMIFS(jr_qty,jr_type,"BS",jr_art,A287,jr_year,p_year))</f>
        <v/>
      </c>
      <c r="J287" s="60" t="str">
        <f>IF(A287="",IF(B287="","","Référence manquante"),IF(COUNTIF($A$6:$A$505,A287)&gt;1,"Référence en double",IF(B287="","Désignation manquante",IF(C287="","Unité manquante","OK"))))</f>
        <v/>
      </c>
    </row>
    <row r="288">
      <c r="A288" s="59" t="n"/>
      <c r="B288" s="59" t="n"/>
      <c r="C288" s="54" t="n"/>
      <c r="D288" s="127" t="n"/>
      <c r="E288" s="128" t="n"/>
      <c r="F288" s="128" t="n"/>
      <c r="G288" s="57" t="str">
        <f>IF(A288="","",SUMIFS(jr_qty,jr_type,"BL",jr_art,A288,jr_year,p_year))</f>
        <v/>
      </c>
      <c r="H288" s="57" t="str">
        <f>IF(A288="","",SUMIFS(jr_qty,jr_type,"BR",jr_art,A288,jr_year,p_year))</f>
        <v/>
      </c>
      <c r="I288" s="57" t="str">
        <f>IF(A288="","",SUMIFS(jr_qty,jr_type,"BS",jr_art,A288,jr_year,p_year))</f>
        <v/>
      </c>
      <c r="J288" s="60" t="str">
        <f>IF(A288="",IF(B288="","","Référence manquante"),IF(COUNTIF($A$6:$A$505,A288)&gt;1,"Référence en double",IF(B288="","Désignation manquante",IF(C288="","Unité manquante","OK"))))</f>
        <v/>
      </c>
    </row>
    <row r="289">
      <c r="A289" s="59" t="n"/>
      <c r="B289" s="59" t="n"/>
      <c r="C289" s="54" t="n"/>
      <c r="D289" s="127" t="n"/>
      <c r="E289" s="128" t="n"/>
      <c r="F289" s="128" t="n"/>
      <c r="G289" s="57" t="str">
        <f>IF(A289="","",SUMIFS(jr_qty,jr_type,"BL",jr_art,A289,jr_year,p_year))</f>
        <v/>
      </c>
      <c r="H289" s="57" t="str">
        <f>IF(A289="","",SUMIFS(jr_qty,jr_type,"BR",jr_art,A289,jr_year,p_year))</f>
        <v/>
      </c>
      <c r="I289" s="57" t="str">
        <f>IF(A289="","",SUMIFS(jr_qty,jr_type,"BS",jr_art,A289,jr_year,p_year))</f>
        <v/>
      </c>
      <c r="J289" s="60" t="str">
        <f>IF(A289="",IF(B289="","","Référence manquante"),IF(COUNTIF($A$6:$A$505,A289)&gt;1,"Référence en double",IF(B289="","Désignation manquante",IF(C289="","Unité manquante","OK"))))</f>
        <v/>
      </c>
    </row>
    <row r="290">
      <c r="A290" s="59" t="n"/>
      <c r="B290" s="59" t="n"/>
      <c r="C290" s="54" t="n"/>
      <c r="D290" s="127" t="n"/>
      <c r="E290" s="128" t="n"/>
      <c r="F290" s="128" t="n"/>
      <c r="G290" s="57" t="str">
        <f>IF(A290="","",SUMIFS(jr_qty,jr_type,"BL",jr_art,A290,jr_year,p_year))</f>
        <v/>
      </c>
      <c r="H290" s="57" t="str">
        <f>IF(A290="","",SUMIFS(jr_qty,jr_type,"BR",jr_art,A290,jr_year,p_year))</f>
        <v/>
      </c>
      <c r="I290" s="57" t="str">
        <f>IF(A290="","",SUMIFS(jr_qty,jr_type,"BS",jr_art,A290,jr_year,p_year))</f>
        <v/>
      </c>
      <c r="J290" s="60" t="str">
        <f>IF(A290="",IF(B290="","","Référence manquante"),IF(COUNTIF($A$6:$A$505,A290)&gt;1,"Référence en double",IF(B290="","Désignation manquante",IF(C290="","Unité manquante","OK"))))</f>
        <v/>
      </c>
    </row>
    <row r="291">
      <c r="A291" s="59" t="n"/>
      <c r="B291" s="59" t="n"/>
      <c r="C291" s="54" t="n"/>
      <c r="D291" s="127" t="n"/>
      <c r="E291" s="128" t="n"/>
      <c r="F291" s="128" t="n"/>
      <c r="G291" s="57" t="str">
        <f>IF(A291="","",SUMIFS(jr_qty,jr_type,"BL",jr_art,A291,jr_year,p_year))</f>
        <v/>
      </c>
      <c r="H291" s="57" t="str">
        <f>IF(A291="","",SUMIFS(jr_qty,jr_type,"BR",jr_art,A291,jr_year,p_year))</f>
        <v/>
      </c>
      <c r="I291" s="57" t="str">
        <f>IF(A291="","",SUMIFS(jr_qty,jr_type,"BS",jr_art,A291,jr_year,p_year))</f>
        <v/>
      </c>
      <c r="J291" s="60" t="str">
        <f>IF(A291="",IF(B291="","","Référence manquante"),IF(COUNTIF($A$6:$A$505,A291)&gt;1,"Référence en double",IF(B291="","Désignation manquante",IF(C291="","Unité manquante","OK"))))</f>
        <v/>
      </c>
    </row>
    <row r="292">
      <c r="A292" s="59" t="n"/>
      <c r="B292" s="59" t="n"/>
      <c r="C292" s="54" t="n"/>
      <c r="D292" s="127" t="n"/>
      <c r="E292" s="128" t="n"/>
      <c r="F292" s="128" t="n"/>
      <c r="G292" s="57" t="str">
        <f>IF(A292="","",SUMIFS(jr_qty,jr_type,"BL",jr_art,A292,jr_year,p_year))</f>
        <v/>
      </c>
      <c r="H292" s="57" t="str">
        <f>IF(A292="","",SUMIFS(jr_qty,jr_type,"BR",jr_art,A292,jr_year,p_year))</f>
        <v/>
      </c>
      <c r="I292" s="57" t="str">
        <f>IF(A292="","",SUMIFS(jr_qty,jr_type,"BS",jr_art,A292,jr_year,p_year))</f>
        <v/>
      </c>
      <c r="J292" s="60" t="str">
        <f>IF(A292="",IF(B292="","","Référence manquante"),IF(COUNTIF($A$6:$A$505,A292)&gt;1,"Référence en double",IF(B292="","Désignation manquante",IF(C292="","Unité manquante","OK"))))</f>
        <v/>
      </c>
    </row>
    <row r="293">
      <c r="A293" s="59" t="n"/>
      <c r="B293" s="59" t="n"/>
      <c r="C293" s="54" t="n"/>
      <c r="D293" s="127" t="n"/>
      <c r="E293" s="128" t="n"/>
      <c r="F293" s="128" t="n"/>
      <c r="G293" s="57" t="str">
        <f>IF(A293="","",SUMIFS(jr_qty,jr_type,"BL",jr_art,A293,jr_year,p_year))</f>
        <v/>
      </c>
      <c r="H293" s="57" t="str">
        <f>IF(A293="","",SUMIFS(jr_qty,jr_type,"BR",jr_art,A293,jr_year,p_year))</f>
        <v/>
      </c>
      <c r="I293" s="57" t="str">
        <f>IF(A293="","",SUMIFS(jr_qty,jr_type,"BS",jr_art,A293,jr_year,p_year))</f>
        <v/>
      </c>
      <c r="J293" s="60" t="str">
        <f>IF(A293="",IF(B293="","","Référence manquante"),IF(COUNTIF($A$6:$A$505,A293)&gt;1,"Référence en double",IF(B293="","Désignation manquante",IF(C293="","Unité manquante","OK"))))</f>
        <v/>
      </c>
    </row>
    <row r="294">
      <c r="A294" s="59" t="n"/>
      <c r="B294" s="59" t="n"/>
      <c r="C294" s="54" t="n"/>
      <c r="D294" s="127" t="n"/>
      <c r="E294" s="128" t="n"/>
      <c r="F294" s="128" t="n"/>
      <c r="G294" s="57" t="str">
        <f>IF(A294="","",SUMIFS(jr_qty,jr_type,"BL",jr_art,A294,jr_year,p_year))</f>
        <v/>
      </c>
      <c r="H294" s="57" t="str">
        <f>IF(A294="","",SUMIFS(jr_qty,jr_type,"BR",jr_art,A294,jr_year,p_year))</f>
        <v/>
      </c>
      <c r="I294" s="57" t="str">
        <f>IF(A294="","",SUMIFS(jr_qty,jr_type,"BS",jr_art,A294,jr_year,p_year))</f>
        <v/>
      </c>
      <c r="J294" s="60" t="str">
        <f>IF(A294="",IF(B294="","","Référence manquante"),IF(COUNTIF($A$6:$A$505,A294)&gt;1,"Référence en double",IF(B294="","Désignation manquante",IF(C294="","Unité manquante","OK"))))</f>
        <v/>
      </c>
    </row>
    <row r="295">
      <c r="A295" s="59" t="n"/>
      <c r="B295" s="59" t="n"/>
      <c r="C295" s="54" t="n"/>
      <c r="D295" s="127" t="n"/>
      <c r="E295" s="128" t="n"/>
      <c r="F295" s="128" t="n"/>
      <c r="G295" s="57" t="str">
        <f>IF(A295="","",SUMIFS(jr_qty,jr_type,"BL",jr_art,A295,jr_year,p_year))</f>
        <v/>
      </c>
      <c r="H295" s="57" t="str">
        <f>IF(A295="","",SUMIFS(jr_qty,jr_type,"BR",jr_art,A295,jr_year,p_year))</f>
        <v/>
      </c>
      <c r="I295" s="57" t="str">
        <f>IF(A295="","",SUMIFS(jr_qty,jr_type,"BS",jr_art,A295,jr_year,p_year))</f>
        <v/>
      </c>
      <c r="J295" s="60" t="str">
        <f>IF(A295="",IF(B295="","","Référence manquante"),IF(COUNTIF($A$6:$A$505,A295)&gt;1,"Référence en double",IF(B295="","Désignation manquante",IF(C295="","Unité manquante","OK"))))</f>
        <v/>
      </c>
    </row>
    <row r="296">
      <c r="A296" s="59" t="n"/>
      <c r="B296" s="59" t="n"/>
      <c r="C296" s="54" t="n"/>
      <c r="D296" s="127" t="n"/>
      <c r="E296" s="128" t="n"/>
      <c r="F296" s="128" t="n"/>
      <c r="G296" s="57" t="str">
        <f>IF(A296="","",SUMIFS(jr_qty,jr_type,"BL",jr_art,A296,jr_year,p_year))</f>
        <v/>
      </c>
      <c r="H296" s="57" t="str">
        <f>IF(A296="","",SUMIFS(jr_qty,jr_type,"BR",jr_art,A296,jr_year,p_year))</f>
        <v/>
      </c>
      <c r="I296" s="57" t="str">
        <f>IF(A296="","",SUMIFS(jr_qty,jr_type,"BS",jr_art,A296,jr_year,p_year))</f>
        <v/>
      </c>
      <c r="J296" s="60" t="str">
        <f>IF(A296="",IF(B296="","","Référence manquante"),IF(COUNTIF($A$6:$A$505,A296)&gt;1,"Référence en double",IF(B296="","Désignation manquante",IF(C296="","Unité manquante","OK"))))</f>
        <v/>
      </c>
    </row>
    <row r="297">
      <c r="A297" s="59" t="n"/>
      <c r="B297" s="59" t="n"/>
      <c r="C297" s="54" t="n"/>
      <c r="D297" s="127" t="n"/>
      <c r="E297" s="128" t="n"/>
      <c r="F297" s="128" t="n"/>
      <c r="G297" s="57" t="str">
        <f>IF(A297="","",SUMIFS(jr_qty,jr_type,"BL",jr_art,A297,jr_year,p_year))</f>
        <v/>
      </c>
      <c r="H297" s="57" t="str">
        <f>IF(A297="","",SUMIFS(jr_qty,jr_type,"BR",jr_art,A297,jr_year,p_year))</f>
        <v/>
      </c>
      <c r="I297" s="57" t="str">
        <f>IF(A297="","",SUMIFS(jr_qty,jr_type,"BS",jr_art,A297,jr_year,p_year))</f>
        <v/>
      </c>
      <c r="J297" s="60" t="str">
        <f>IF(A297="",IF(B297="","","Référence manquante"),IF(COUNTIF($A$6:$A$505,A297)&gt;1,"Référence en double",IF(B297="","Désignation manquante",IF(C297="","Unité manquante","OK"))))</f>
        <v/>
      </c>
    </row>
    <row r="298">
      <c r="A298" s="59" t="n"/>
      <c r="B298" s="59" t="n"/>
      <c r="C298" s="54" t="n"/>
      <c r="D298" s="127" t="n"/>
      <c r="E298" s="128" t="n"/>
      <c r="F298" s="128" t="n"/>
      <c r="G298" s="57" t="str">
        <f>IF(A298="","",SUMIFS(jr_qty,jr_type,"BL",jr_art,A298,jr_year,p_year))</f>
        <v/>
      </c>
      <c r="H298" s="57" t="str">
        <f>IF(A298="","",SUMIFS(jr_qty,jr_type,"BR",jr_art,A298,jr_year,p_year))</f>
        <v/>
      </c>
      <c r="I298" s="57" t="str">
        <f>IF(A298="","",SUMIFS(jr_qty,jr_type,"BS",jr_art,A298,jr_year,p_year))</f>
        <v/>
      </c>
      <c r="J298" s="60" t="str">
        <f>IF(A298="",IF(B298="","","Référence manquante"),IF(COUNTIF($A$6:$A$505,A298)&gt;1,"Référence en double",IF(B298="","Désignation manquante",IF(C298="","Unité manquante","OK"))))</f>
        <v/>
      </c>
    </row>
    <row r="299">
      <c r="A299" s="59" t="n"/>
      <c r="B299" s="59" t="n"/>
      <c r="C299" s="54" t="n"/>
      <c r="D299" s="127" t="n"/>
      <c r="E299" s="128" t="n"/>
      <c r="F299" s="128" t="n"/>
      <c r="G299" s="57" t="str">
        <f>IF(A299="","",SUMIFS(jr_qty,jr_type,"BL",jr_art,A299,jr_year,p_year))</f>
        <v/>
      </c>
      <c r="H299" s="57" t="str">
        <f>IF(A299="","",SUMIFS(jr_qty,jr_type,"BR",jr_art,A299,jr_year,p_year))</f>
        <v/>
      </c>
      <c r="I299" s="57" t="str">
        <f>IF(A299="","",SUMIFS(jr_qty,jr_type,"BS",jr_art,A299,jr_year,p_year))</f>
        <v/>
      </c>
      <c r="J299" s="60" t="str">
        <f>IF(A299="",IF(B299="","","Référence manquante"),IF(COUNTIF($A$6:$A$505,A299)&gt;1,"Référence en double",IF(B299="","Désignation manquante",IF(C299="","Unité manquante","OK"))))</f>
        <v/>
      </c>
    </row>
    <row r="300">
      <c r="A300" s="59" t="n"/>
      <c r="B300" s="59" t="n"/>
      <c r="C300" s="54" t="n"/>
      <c r="D300" s="127" t="n"/>
      <c r="E300" s="128" t="n"/>
      <c r="F300" s="128" t="n"/>
      <c r="G300" s="57" t="str">
        <f>IF(A300="","",SUMIFS(jr_qty,jr_type,"BL",jr_art,A300,jr_year,p_year))</f>
        <v/>
      </c>
      <c r="H300" s="57" t="str">
        <f>IF(A300="","",SUMIFS(jr_qty,jr_type,"BR",jr_art,A300,jr_year,p_year))</f>
        <v/>
      </c>
      <c r="I300" s="57" t="str">
        <f>IF(A300="","",SUMIFS(jr_qty,jr_type,"BS",jr_art,A300,jr_year,p_year))</f>
        <v/>
      </c>
      <c r="J300" s="60" t="str">
        <f>IF(A300="",IF(B300="","","Référence manquante"),IF(COUNTIF($A$6:$A$505,A300)&gt;1,"Référence en double",IF(B300="","Désignation manquante",IF(C300="","Unité manquante","OK"))))</f>
        <v/>
      </c>
    </row>
    <row r="301">
      <c r="A301" s="59" t="n"/>
      <c r="B301" s="59" t="n"/>
      <c r="C301" s="54" t="n"/>
      <c r="D301" s="127" t="n"/>
      <c r="E301" s="128" t="n"/>
      <c r="F301" s="128" t="n"/>
      <c r="G301" s="57" t="str">
        <f>IF(A301="","",SUMIFS(jr_qty,jr_type,"BL",jr_art,A301,jr_year,p_year))</f>
        <v/>
      </c>
      <c r="H301" s="57" t="str">
        <f>IF(A301="","",SUMIFS(jr_qty,jr_type,"BR",jr_art,A301,jr_year,p_year))</f>
        <v/>
      </c>
      <c r="I301" s="57" t="str">
        <f>IF(A301="","",SUMIFS(jr_qty,jr_type,"BS",jr_art,A301,jr_year,p_year))</f>
        <v/>
      </c>
      <c r="J301" s="60" t="str">
        <f>IF(A301="",IF(B301="","","Référence manquante"),IF(COUNTIF($A$6:$A$505,A301)&gt;1,"Référence en double",IF(B301="","Désignation manquante",IF(C301="","Unité manquante","OK"))))</f>
        <v/>
      </c>
    </row>
    <row r="302">
      <c r="A302" s="59" t="n"/>
      <c r="B302" s="59" t="n"/>
      <c r="C302" s="54" t="n"/>
      <c r="D302" s="127" t="n"/>
      <c r="E302" s="128" t="n"/>
      <c r="F302" s="128" t="n"/>
      <c r="G302" s="57" t="str">
        <f>IF(A302="","",SUMIFS(jr_qty,jr_type,"BL",jr_art,A302,jr_year,p_year))</f>
        <v/>
      </c>
      <c r="H302" s="57" t="str">
        <f>IF(A302="","",SUMIFS(jr_qty,jr_type,"BR",jr_art,A302,jr_year,p_year))</f>
        <v/>
      </c>
      <c r="I302" s="57" t="str">
        <f>IF(A302="","",SUMIFS(jr_qty,jr_type,"BS",jr_art,A302,jr_year,p_year))</f>
        <v/>
      </c>
      <c r="J302" s="60" t="str">
        <f>IF(A302="",IF(B302="","","Référence manquante"),IF(COUNTIF($A$6:$A$505,A302)&gt;1,"Référence en double",IF(B302="","Désignation manquante",IF(C302="","Unité manquante","OK"))))</f>
        <v/>
      </c>
    </row>
    <row r="303">
      <c r="A303" s="59" t="n"/>
      <c r="B303" s="59" t="n"/>
      <c r="C303" s="54" t="n"/>
      <c r="D303" s="127" t="n"/>
      <c r="E303" s="128" t="n"/>
      <c r="F303" s="128" t="n"/>
      <c r="G303" s="57" t="str">
        <f>IF(A303="","",SUMIFS(jr_qty,jr_type,"BL",jr_art,A303,jr_year,p_year))</f>
        <v/>
      </c>
      <c r="H303" s="57" t="str">
        <f>IF(A303="","",SUMIFS(jr_qty,jr_type,"BR",jr_art,A303,jr_year,p_year))</f>
        <v/>
      </c>
      <c r="I303" s="57" t="str">
        <f>IF(A303="","",SUMIFS(jr_qty,jr_type,"BS",jr_art,A303,jr_year,p_year))</f>
        <v/>
      </c>
      <c r="J303" s="60" t="str">
        <f>IF(A303="",IF(B303="","","Référence manquante"),IF(COUNTIF($A$6:$A$505,A303)&gt;1,"Référence en double",IF(B303="","Désignation manquante",IF(C303="","Unité manquante","OK"))))</f>
        <v/>
      </c>
    </row>
    <row r="304">
      <c r="A304" s="59" t="n"/>
      <c r="B304" s="59" t="n"/>
      <c r="C304" s="54" t="n"/>
      <c r="D304" s="127" t="n"/>
      <c r="E304" s="128" t="n"/>
      <c r="F304" s="128" t="n"/>
      <c r="G304" s="57" t="str">
        <f>IF(A304="","",SUMIFS(jr_qty,jr_type,"BL",jr_art,A304,jr_year,p_year))</f>
        <v/>
      </c>
      <c r="H304" s="57" t="str">
        <f>IF(A304="","",SUMIFS(jr_qty,jr_type,"BR",jr_art,A304,jr_year,p_year))</f>
        <v/>
      </c>
      <c r="I304" s="57" t="str">
        <f>IF(A304="","",SUMIFS(jr_qty,jr_type,"BS",jr_art,A304,jr_year,p_year))</f>
        <v/>
      </c>
      <c r="J304" s="60" t="str">
        <f>IF(A304="",IF(B304="","","Référence manquante"),IF(COUNTIF($A$6:$A$505,A304)&gt;1,"Référence en double",IF(B304="","Désignation manquante",IF(C304="","Unité manquante","OK"))))</f>
        <v/>
      </c>
    </row>
    <row r="305">
      <c r="A305" s="59" t="n"/>
      <c r="B305" s="59" t="n"/>
      <c r="C305" s="54" t="n"/>
      <c r="D305" s="127" t="n"/>
      <c r="E305" s="128" t="n"/>
      <c r="F305" s="128" t="n"/>
      <c r="G305" s="57" t="str">
        <f>IF(A305="","",SUMIFS(jr_qty,jr_type,"BL",jr_art,A305,jr_year,p_year))</f>
        <v/>
      </c>
      <c r="H305" s="57" t="str">
        <f>IF(A305="","",SUMIFS(jr_qty,jr_type,"BR",jr_art,A305,jr_year,p_year))</f>
        <v/>
      </c>
      <c r="I305" s="57" t="str">
        <f>IF(A305="","",SUMIFS(jr_qty,jr_type,"BS",jr_art,A305,jr_year,p_year))</f>
        <v/>
      </c>
      <c r="J305" s="60" t="str">
        <f>IF(A305="",IF(B305="","","Référence manquante"),IF(COUNTIF($A$6:$A$505,A305)&gt;1,"Référence en double",IF(B305="","Désignation manquante",IF(C305="","Unité manquante","OK"))))</f>
        <v/>
      </c>
    </row>
    <row r="306">
      <c r="A306" s="59" t="n"/>
      <c r="B306" s="59" t="n"/>
      <c r="C306" s="54" t="n"/>
      <c r="D306" s="127" t="n"/>
      <c r="E306" s="128" t="n"/>
      <c r="F306" s="128" t="n"/>
      <c r="G306" s="57" t="str">
        <f>IF(A306="","",SUMIFS(jr_qty,jr_type,"BL",jr_art,A306,jr_year,p_year))</f>
        <v/>
      </c>
      <c r="H306" s="57" t="str">
        <f>IF(A306="","",SUMIFS(jr_qty,jr_type,"BR",jr_art,A306,jr_year,p_year))</f>
        <v/>
      </c>
      <c r="I306" s="57" t="str">
        <f>IF(A306="","",SUMIFS(jr_qty,jr_type,"BS",jr_art,A306,jr_year,p_year))</f>
        <v/>
      </c>
      <c r="J306" s="60" t="str">
        <f>IF(A306="",IF(B306="","","Référence manquante"),IF(COUNTIF($A$6:$A$505,A306)&gt;1,"Référence en double",IF(B306="","Désignation manquante",IF(C306="","Unité manquante","OK"))))</f>
        <v/>
      </c>
    </row>
    <row r="307">
      <c r="A307" s="59" t="n"/>
      <c r="B307" s="59" t="n"/>
      <c r="C307" s="54" t="n"/>
      <c r="D307" s="127" t="n"/>
      <c r="E307" s="128" t="n"/>
      <c r="F307" s="128" t="n"/>
      <c r="G307" s="57" t="str">
        <f>IF(A307="","",SUMIFS(jr_qty,jr_type,"BL",jr_art,A307,jr_year,p_year))</f>
        <v/>
      </c>
      <c r="H307" s="57" t="str">
        <f>IF(A307="","",SUMIFS(jr_qty,jr_type,"BR",jr_art,A307,jr_year,p_year))</f>
        <v/>
      </c>
      <c r="I307" s="57" t="str">
        <f>IF(A307="","",SUMIFS(jr_qty,jr_type,"BS",jr_art,A307,jr_year,p_year))</f>
        <v/>
      </c>
      <c r="J307" s="60" t="str">
        <f>IF(A307="",IF(B307="","","Référence manquante"),IF(COUNTIF($A$6:$A$505,A307)&gt;1,"Référence en double",IF(B307="","Désignation manquante",IF(C307="","Unité manquante","OK"))))</f>
        <v/>
      </c>
    </row>
    <row r="308">
      <c r="A308" s="59" t="n"/>
      <c r="B308" s="59" t="n"/>
      <c r="C308" s="54" t="n"/>
      <c r="D308" s="127" t="n"/>
      <c r="E308" s="128" t="n"/>
      <c r="F308" s="128" t="n"/>
      <c r="G308" s="57" t="str">
        <f>IF(A308="","",SUMIFS(jr_qty,jr_type,"BL",jr_art,A308,jr_year,p_year))</f>
        <v/>
      </c>
      <c r="H308" s="57" t="str">
        <f>IF(A308="","",SUMIFS(jr_qty,jr_type,"BR",jr_art,A308,jr_year,p_year))</f>
        <v/>
      </c>
      <c r="I308" s="57" t="str">
        <f>IF(A308="","",SUMIFS(jr_qty,jr_type,"BS",jr_art,A308,jr_year,p_year))</f>
        <v/>
      </c>
      <c r="J308" s="60" t="str">
        <f>IF(A308="",IF(B308="","","Référence manquante"),IF(COUNTIF($A$6:$A$505,A308)&gt;1,"Référence en double",IF(B308="","Désignation manquante",IF(C308="","Unité manquante","OK"))))</f>
        <v/>
      </c>
    </row>
    <row r="309">
      <c r="A309" s="59" t="n"/>
      <c r="B309" s="59" t="n"/>
      <c r="C309" s="54" t="n"/>
      <c r="D309" s="127" t="n"/>
      <c r="E309" s="128" t="n"/>
      <c r="F309" s="128" t="n"/>
      <c r="G309" s="57" t="str">
        <f>IF(A309="","",SUMIFS(jr_qty,jr_type,"BL",jr_art,A309,jr_year,p_year))</f>
        <v/>
      </c>
      <c r="H309" s="57" t="str">
        <f>IF(A309="","",SUMIFS(jr_qty,jr_type,"BR",jr_art,A309,jr_year,p_year))</f>
        <v/>
      </c>
      <c r="I309" s="57" t="str">
        <f>IF(A309="","",SUMIFS(jr_qty,jr_type,"BS",jr_art,A309,jr_year,p_year))</f>
        <v/>
      </c>
      <c r="J309" s="60" t="str">
        <f>IF(A309="",IF(B309="","","Référence manquante"),IF(COUNTIF($A$6:$A$505,A309)&gt;1,"Référence en double",IF(B309="","Désignation manquante",IF(C309="","Unité manquante","OK"))))</f>
        <v/>
      </c>
    </row>
    <row r="310">
      <c r="A310" s="59" t="n"/>
      <c r="B310" s="59" t="n"/>
      <c r="C310" s="54" t="n"/>
      <c r="D310" s="127" t="n"/>
      <c r="E310" s="128" t="n"/>
      <c r="F310" s="128" t="n"/>
      <c r="G310" s="57" t="str">
        <f>IF(A310="","",SUMIFS(jr_qty,jr_type,"BL",jr_art,A310,jr_year,p_year))</f>
        <v/>
      </c>
      <c r="H310" s="57" t="str">
        <f>IF(A310="","",SUMIFS(jr_qty,jr_type,"BR",jr_art,A310,jr_year,p_year))</f>
        <v/>
      </c>
      <c r="I310" s="57" t="str">
        <f>IF(A310="","",SUMIFS(jr_qty,jr_type,"BS",jr_art,A310,jr_year,p_year))</f>
        <v/>
      </c>
      <c r="J310" s="60" t="str">
        <f>IF(A310="",IF(B310="","","Référence manquante"),IF(COUNTIF($A$6:$A$505,A310)&gt;1,"Référence en double",IF(B310="","Désignation manquante",IF(C310="","Unité manquante","OK"))))</f>
        <v/>
      </c>
    </row>
    <row r="311">
      <c r="A311" s="59" t="n"/>
      <c r="B311" s="59" t="n"/>
      <c r="C311" s="54" t="n"/>
      <c r="D311" s="127" t="n"/>
      <c r="E311" s="128" t="n"/>
      <c r="F311" s="128" t="n"/>
      <c r="G311" s="57" t="str">
        <f>IF(A311="","",SUMIFS(jr_qty,jr_type,"BL",jr_art,A311,jr_year,p_year))</f>
        <v/>
      </c>
      <c r="H311" s="57" t="str">
        <f>IF(A311="","",SUMIFS(jr_qty,jr_type,"BR",jr_art,A311,jr_year,p_year))</f>
        <v/>
      </c>
      <c r="I311" s="57" t="str">
        <f>IF(A311="","",SUMIFS(jr_qty,jr_type,"BS",jr_art,A311,jr_year,p_year))</f>
        <v/>
      </c>
      <c r="J311" s="60" t="str">
        <f>IF(A311="",IF(B311="","","Référence manquante"),IF(COUNTIF($A$6:$A$505,A311)&gt;1,"Référence en double",IF(B311="","Désignation manquante",IF(C311="","Unité manquante","OK"))))</f>
        <v/>
      </c>
    </row>
    <row r="312">
      <c r="A312" s="59" t="n"/>
      <c r="B312" s="59" t="n"/>
      <c r="C312" s="54" t="n"/>
      <c r="D312" s="127" t="n"/>
      <c r="E312" s="128" t="n"/>
      <c r="F312" s="128" t="n"/>
      <c r="G312" s="57" t="str">
        <f>IF(A312="","",SUMIFS(jr_qty,jr_type,"BL",jr_art,A312,jr_year,p_year))</f>
        <v/>
      </c>
      <c r="H312" s="57" t="str">
        <f>IF(A312="","",SUMIFS(jr_qty,jr_type,"BR",jr_art,A312,jr_year,p_year))</f>
        <v/>
      </c>
      <c r="I312" s="57" t="str">
        <f>IF(A312="","",SUMIFS(jr_qty,jr_type,"BS",jr_art,A312,jr_year,p_year))</f>
        <v/>
      </c>
      <c r="J312" s="60" t="str">
        <f>IF(A312="",IF(B312="","","Référence manquante"),IF(COUNTIF($A$6:$A$505,A312)&gt;1,"Référence en double",IF(B312="","Désignation manquante",IF(C312="","Unité manquante","OK"))))</f>
        <v/>
      </c>
    </row>
    <row r="313">
      <c r="A313" s="59" t="n"/>
      <c r="B313" s="59" t="n"/>
      <c r="C313" s="54" t="n"/>
      <c r="D313" s="127" t="n"/>
      <c r="E313" s="128" t="n"/>
      <c r="F313" s="128" t="n"/>
      <c r="G313" s="57" t="str">
        <f>IF(A313="","",SUMIFS(jr_qty,jr_type,"BL",jr_art,A313,jr_year,p_year))</f>
        <v/>
      </c>
      <c r="H313" s="57" t="str">
        <f>IF(A313="","",SUMIFS(jr_qty,jr_type,"BR",jr_art,A313,jr_year,p_year))</f>
        <v/>
      </c>
      <c r="I313" s="57" t="str">
        <f>IF(A313="","",SUMIFS(jr_qty,jr_type,"BS",jr_art,A313,jr_year,p_year))</f>
        <v/>
      </c>
      <c r="J313" s="60" t="str">
        <f>IF(A313="",IF(B313="","","Référence manquante"),IF(COUNTIF($A$6:$A$505,A313)&gt;1,"Référence en double",IF(B313="","Désignation manquante",IF(C313="","Unité manquante","OK"))))</f>
        <v/>
      </c>
    </row>
    <row r="314">
      <c r="A314" s="59" t="n"/>
      <c r="B314" s="59" t="n"/>
      <c r="C314" s="54" t="n"/>
      <c r="D314" s="127" t="n"/>
      <c r="E314" s="128" t="n"/>
      <c r="F314" s="128" t="n"/>
      <c r="G314" s="57" t="str">
        <f>IF(A314="","",SUMIFS(jr_qty,jr_type,"BL",jr_art,A314,jr_year,p_year))</f>
        <v/>
      </c>
      <c r="H314" s="57" t="str">
        <f>IF(A314="","",SUMIFS(jr_qty,jr_type,"BR",jr_art,A314,jr_year,p_year))</f>
        <v/>
      </c>
      <c r="I314" s="57" t="str">
        <f>IF(A314="","",SUMIFS(jr_qty,jr_type,"BS",jr_art,A314,jr_year,p_year))</f>
        <v/>
      </c>
      <c r="J314" s="60" t="str">
        <f>IF(A314="",IF(B314="","","Référence manquante"),IF(COUNTIF($A$6:$A$505,A314)&gt;1,"Référence en double",IF(B314="","Désignation manquante",IF(C314="","Unité manquante","OK"))))</f>
        <v/>
      </c>
    </row>
    <row r="315">
      <c r="A315" s="59" t="n"/>
      <c r="B315" s="59" t="n"/>
      <c r="C315" s="54" t="n"/>
      <c r="D315" s="127" t="n"/>
      <c r="E315" s="128" t="n"/>
      <c r="F315" s="128" t="n"/>
      <c r="G315" s="57" t="str">
        <f>IF(A315="","",SUMIFS(jr_qty,jr_type,"BL",jr_art,A315,jr_year,p_year))</f>
        <v/>
      </c>
      <c r="H315" s="57" t="str">
        <f>IF(A315="","",SUMIFS(jr_qty,jr_type,"BR",jr_art,A315,jr_year,p_year))</f>
        <v/>
      </c>
      <c r="I315" s="57" t="str">
        <f>IF(A315="","",SUMIFS(jr_qty,jr_type,"BS",jr_art,A315,jr_year,p_year))</f>
        <v/>
      </c>
      <c r="J315" s="60" t="str">
        <f>IF(A315="",IF(B315="","","Référence manquante"),IF(COUNTIF($A$6:$A$505,A315)&gt;1,"Référence en double",IF(B315="","Désignation manquante",IF(C315="","Unité manquante","OK"))))</f>
        <v/>
      </c>
    </row>
    <row r="316">
      <c r="A316" s="59" t="n"/>
      <c r="B316" s="59" t="n"/>
      <c r="C316" s="54" t="n"/>
      <c r="D316" s="127" t="n"/>
      <c r="E316" s="128" t="n"/>
      <c r="F316" s="128" t="n"/>
      <c r="G316" s="57" t="str">
        <f>IF(A316="","",SUMIFS(jr_qty,jr_type,"BL",jr_art,A316,jr_year,p_year))</f>
        <v/>
      </c>
      <c r="H316" s="57" t="str">
        <f>IF(A316="","",SUMIFS(jr_qty,jr_type,"BR",jr_art,A316,jr_year,p_year))</f>
        <v/>
      </c>
      <c r="I316" s="57" t="str">
        <f>IF(A316="","",SUMIFS(jr_qty,jr_type,"BS",jr_art,A316,jr_year,p_year))</f>
        <v/>
      </c>
      <c r="J316" s="60" t="str">
        <f>IF(A316="",IF(B316="","","Référence manquante"),IF(COUNTIF($A$6:$A$505,A316)&gt;1,"Référence en double",IF(B316="","Désignation manquante",IF(C316="","Unité manquante","OK"))))</f>
        <v/>
      </c>
    </row>
    <row r="317">
      <c r="A317" s="59" t="n"/>
      <c r="B317" s="59" t="n"/>
      <c r="C317" s="54" t="n"/>
      <c r="D317" s="127" t="n"/>
      <c r="E317" s="128" t="n"/>
      <c r="F317" s="128" t="n"/>
      <c r="G317" s="57" t="str">
        <f>IF(A317="","",SUMIFS(jr_qty,jr_type,"BL",jr_art,A317,jr_year,p_year))</f>
        <v/>
      </c>
      <c r="H317" s="57" t="str">
        <f>IF(A317="","",SUMIFS(jr_qty,jr_type,"BR",jr_art,A317,jr_year,p_year))</f>
        <v/>
      </c>
      <c r="I317" s="57" t="str">
        <f>IF(A317="","",SUMIFS(jr_qty,jr_type,"BS",jr_art,A317,jr_year,p_year))</f>
        <v/>
      </c>
      <c r="J317" s="60" t="str">
        <f>IF(A317="",IF(B317="","","Référence manquante"),IF(COUNTIF($A$6:$A$505,A317)&gt;1,"Référence en double",IF(B317="","Désignation manquante",IF(C317="","Unité manquante","OK"))))</f>
        <v/>
      </c>
    </row>
    <row r="318">
      <c r="A318" s="59" t="n"/>
      <c r="B318" s="59" t="n"/>
      <c r="C318" s="54" t="n"/>
      <c r="D318" s="127" t="n"/>
      <c r="E318" s="128" t="n"/>
      <c r="F318" s="128" t="n"/>
      <c r="G318" s="57" t="str">
        <f>IF(A318="","",SUMIFS(jr_qty,jr_type,"BL",jr_art,A318,jr_year,p_year))</f>
        <v/>
      </c>
      <c r="H318" s="57" t="str">
        <f>IF(A318="","",SUMIFS(jr_qty,jr_type,"BR",jr_art,A318,jr_year,p_year))</f>
        <v/>
      </c>
      <c r="I318" s="57" t="str">
        <f>IF(A318="","",SUMIFS(jr_qty,jr_type,"BS",jr_art,A318,jr_year,p_year))</f>
        <v/>
      </c>
      <c r="J318" s="60" t="str">
        <f>IF(A318="",IF(B318="","","Référence manquante"),IF(COUNTIF($A$6:$A$505,A318)&gt;1,"Référence en double",IF(B318="","Désignation manquante",IF(C318="","Unité manquante","OK"))))</f>
        <v/>
      </c>
    </row>
    <row r="319">
      <c r="A319" s="59" t="n"/>
      <c r="B319" s="59" t="n"/>
      <c r="C319" s="54" t="n"/>
      <c r="D319" s="127" t="n"/>
      <c r="E319" s="128" t="n"/>
      <c r="F319" s="128" t="n"/>
      <c r="G319" s="57" t="str">
        <f>IF(A319="","",SUMIFS(jr_qty,jr_type,"BL",jr_art,A319,jr_year,p_year))</f>
        <v/>
      </c>
      <c r="H319" s="57" t="str">
        <f>IF(A319="","",SUMIFS(jr_qty,jr_type,"BR",jr_art,A319,jr_year,p_year))</f>
        <v/>
      </c>
      <c r="I319" s="57" t="str">
        <f>IF(A319="","",SUMIFS(jr_qty,jr_type,"BS",jr_art,A319,jr_year,p_year))</f>
        <v/>
      </c>
      <c r="J319" s="60" t="str">
        <f>IF(A319="",IF(B319="","","Référence manquante"),IF(COUNTIF($A$6:$A$505,A319)&gt;1,"Référence en double",IF(B319="","Désignation manquante",IF(C319="","Unité manquante","OK"))))</f>
        <v/>
      </c>
    </row>
    <row r="320">
      <c r="A320" s="59" t="n"/>
      <c r="B320" s="59" t="n"/>
      <c r="C320" s="54" t="n"/>
      <c r="D320" s="127" t="n"/>
      <c r="E320" s="128" t="n"/>
      <c r="F320" s="128" t="n"/>
      <c r="G320" s="57" t="str">
        <f>IF(A320="","",SUMIFS(jr_qty,jr_type,"BL",jr_art,A320,jr_year,p_year))</f>
        <v/>
      </c>
      <c r="H320" s="57" t="str">
        <f>IF(A320="","",SUMIFS(jr_qty,jr_type,"BR",jr_art,A320,jr_year,p_year))</f>
        <v/>
      </c>
      <c r="I320" s="57" t="str">
        <f>IF(A320="","",SUMIFS(jr_qty,jr_type,"BS",jr_art,A320,jr_year,p_year))</f>
        <v/>
      </c>
      <c r="J320" s="60" t="str">
        <f>IF(A320="",IF(B320="","","Référence manquante"),IF(COUNTIF($A$6:$A$505,A320)&gt;1,"Référence en double",IF(B320="","Désignation manquante",IF(C320="","Unité manquante","OK"))))</f>
        <v/>
      </c>
    </row>
    <row r="321">
      <c r="A321" s="59" t="n"/>
      <c r="B321" s="59" t="n"/>
      <c r="C321" s="54" t="n"/>
      <c r="D321" s="127" t="n"/>
      <c r="E321" s="128" t="n"/>
      <c r="F321" s="128" t="n"/>
      <c r="G321" s="57" t="str">
        <f>IF(A321="","",SUMIFS(jr_qty,jr_type,"BL",jr_art,A321,jr_year,p_year))</f>
        <v/>
      </c>
      <c r="H321" s="57" t="str">
        <f>IF(A321="","",SUMIFS(jr_qty,jr_type,"BR",jr_art,A321,jr_year,p_year))</f>
        <v/>
      </c>
      <c r="I321" s="57" t="str">
        <f>IF(A321="","",SUMIFS(jr_qty,jr_type,"BS",jr_art,A321,jr_year,p_year))</f>
        <v/>
      </c>
      <c r="J321" s="60" t="str">
        <f>IF(A321="",IF(B321="","","Référence manquante"),IF(COUNTIF($A$6:$A$505,A321)&gt;1,"Référence en double",IF(B321="","Désignation manquante",IF(C321="","Unité manquante","OK"))))</f>
        <v/>
      </c>
    </row>
    <row r="322">
      <c r="A322" s="59" t="n"/>
      <c r="B322" s="59" t="n"/>
      <c r="C322" s="54" t="n"/>
      <c r="D322" s="127" t="n"/>
      <c r="E322" s="128" t="n"/>
      <c r="F322" s="128" t="n"/>
      <c r="G322" s="57" t="str">
        <f>IF(A322="","",SUMIFS(jr_qty,jr_type,"BL",jr_art,A322,jr_year,p_year))</f>
        <v/>
      </c>
      <c r="H322" s="57" t="str">
        <f>IF(A322="","",SUMIFS(jr_qty,jr_type,"BR",jr_art,A322,jr_year,p_year))</f>
        <v/>
      </c>
      <c r="I322" s="57" t="str">
        <f>IF(A322="","",SUMIFS(jr_qty,jr_type,"BS",jr_art,A322,jr_year,p_year))</f>
        <v/>
      </c>
      <c r="J322" s="60" t="str">
        <f>IF(A322="",IF(B322="","","Référence manquante"),IF(COUNTIF($A$6:$A$505,A322)&gt;1,"Référence en double",IF(B322="","Désignation manquante",IF(C322="","Unité manquante","OK"))))</f>
        <v/>
      </c>
    </row>
    <row r="323">
      <c r="A323" s="59" t="n"/>
      <c r="B323" s="59" t="n"/>
      <c r="C323" s="54" t="n"/>
      <c r="D323" s="127" t="n"/>
      <c r="E323" s="128" t="n"/>
      <c r="F323" s="128" t="n"/>
      <c r="G323" s="57" t="str">
        <f>IF(A323="","",SUMIFS(jr_qty,jr_type,"BL",jr_art,A323,jr_year,p_year))</f>
        <v/>
      </c>
      <c r="H323" s="57" t="str">
        <f>IF(A323="","",SUMIFS(jr_qty,jr_type,"BR",jr_art,A323,jr_year,p_year))</f>
        <v/>
      </c>
      <c r="I323" s="57" t="str">
        <f>IF(A323="","",SUMIFS(jr_qty,jr_type,"BS",jr_art,A323,jr_year,p_year))</f>
        <v/>
      </c>
      <c r="J323" s="60" t="str">
        <f>IF(A323="",IF(B323="","","Référence manquante"),IF(COUNTIF($A$6:$A$505,A323)&gt;1,"Référence en double",IF(B323="","Désignation manquante",IF(C323="","Unité manquante","OK"))))</f>
        <v/>
      </c>
    </row>
    <row r="324">
      <c r="A324" s="59" t="n"/>
      <c r="B324" s="59" t="n"/>
      <c r="C324" s="54" t="n"/>
      <c r="D324" s="127" t="n"/>
      <c r="E324" s="128" t="n"/>
      <c r="F324" s="128" t="n"/>
      <c r="G324" s="57" t="str">
        <f>IF(A324="","",SUMIFS(jr_qty,jr_type,"BL",jr_art,A324,jr_year,p_year))</f>
        <v/>
      </c>
      <c r="H324" s="57" t="str">
        <f>IF(A324="","",SUMIFS(jr_qty,jr_type,"BR",jr_art,A324,jr_year,p_year))</f>
        <v/>
      </c>
      <c r="I324" s="57" t="str">
        <f>IF(A324="","",SUMIFS(jr_qty,jr_type,"BS",jr_art,A324,jr_year,p_year))</f>
        <v/>
      </c>
      <c r="J324" s="60" t="str">
        <f>IF(A324="",IF(B324="","","Référence manquante"),IF(COUNTIF($A$6:$A$505,A324)&gt;1,"Référence en double",IF(B324="","Désignation manquante",IF(C324="","Unité manquante","OK"))))</f>
        <v/>
      </c>
    </row>
    <row r="325">
      <c r="A325" s="59" t="n"/>
      <c r="B325" s="59" t="n"/>
      <c r="C325" s="54" t="n"/>
      <c r="D325" s="127" t="n"/>
      <c r="E325" s="128" t="n"/>
      <c r="F325" s="128" t="n"/>
      <c r="G325" s="57" t="str">
        <f>IF(A325="","",SUMIFS(jr_qty,jr_type,"BL",jr_art,A325,jr_year,p_year))</f>
        <v/>
      </c>
      <c r="H325" s="57" t="str">
        <f>IF(A325="","",SUMIFS(jr_qty,jr_type,"BR",jr_art,A325,jr_year,p_year))</f>
        <v/>
      </c>
      <c r="I325" s="57" t="str">
        <f>IF(A325="","",SUMIFS(jr_qty,jr_type,"BS",jr_art,A325,jr_year,p_year))</f>
        <v/>
      </c>
      <c r="J325" s="60" t="str">
        <f>IF(A325="",IF(B325="","","Référence manquante"),IF(COUNTIF($A$6:$A$505,A325)&gt;1,"Référence en double",IF(B325="","Désignation manquante",IF(C325="","Unité manquante","OK"))))</f>
        <v/>
      </c>
    </row>
    <row r="326">
      <c r="A326" s="59" t="n"/>
      <c r="B326" s="59" t="n"/>
      <c r="C326" s="54" t="n"/>
      <c r="D326" s="127" t="n"/>
      <c r="E326" s="128" t="n"/>
      <c r="F326" s="128" t="n"/>
      <c r="G326" s="57" t="str">
        <f>IF(A326="","",SUMIFS(jr_qty,jr_type,"BL",jr_art,A326,jr_year,p_year))</f>
        <v/>
      </c>
      <c r="H326" s="57" t="str">
        <f>IF(A326="","",SUMIFS(jr_qty,jr_type,"BR",jr_art,A326,jr_year,p_year))</f>
        <v/>
      </c>
      <c r="I326" s="57" t="str">
        <f>IF(A326="","",SUMIFS(jr_qty,jr_type,"BS",jr_art,A326,jr_year,p_year))</f>
        <v/>
      </c>
      <c r="J326" s="60" t="str">
        <f>IF(A326="",IF(B326="","","Référence manquante"),IF(COUNTIF($A$6:$A$505,A326)&gt;1,"Référence en double",IF(B326="","Désignation manquante",IF(C326="","Unité manquante","OK"))))</f>
        <v/>
      </c>
    </row>
    <row r="327">
      <c r="A327" s="59" t="n"/>
      <c r="B327" s="59" t="n"/>
      <c r="C327" s="54" t="n"/>
      <c r="D327" s="127" t="n"/>
      <c r="E327" s="128" t="n"/>
      <c r="F327" s="128" t="n"/>
      <c r="G327" s="57" t="str">
        <f>IF(A327="","",SUMIFS(jr_qty,jr_type,"BL",jr_art,A327,jr_year,p_year))</f>
        <v/>
      </c>
      <c r="H327" s="57" t="str">
        <f>IF(A327="","",SUMIFS(jr_qty,jr_type,"BR",jr_art,A327,jr_year,p_year))</f>
        <v/>
      </c>
      <c r="I327" s="57" t="str">
        <f>IF(A327="","",SUMIFS(jr_qty,jr_type,"BS",jr_art,A327,jr_year,p_year))</f>
        <v/>
      </c>
      <c r="J327" s="60" t="str">
        <f>IF(A327="",IF(B327="","","Référence manquante"),IF(COUNTIF($A$6:$A$505,A327)&gt;1,"Référence en double",IF(B327="","Désignation manquante",IF(C327="","Unité manquante","OK"))))</f>
        <v/>
      </c>
    </row>
    <row r="328">
      <c r="A328" s="59" t="n"/>
      <c r="B328" s="59" t="n"/>
      <c r="C328" s="54" t="n"/>
      <c r="D328" s="127" t="n"/>
      <c r="E328" s="128" t="n"/>
      <c r="F328" s="128" t="n"/>
      <c r="G328" s="57" t="str">
        <f>IF(A328="","",SUMIFS(jr_qty,jr_type,"BL",jr_art,A328,jr_year,p_year))</f>
        <v/>
      </c>
      <c r="H328" s="57" t="str">
        <f>IF(A328="","",SUMIFS(jr_qty,jr_type,"BR",jr_art,A328,jr_year,p_year))</f>
        <v/>
      </c>
      <c r="I328" s="57" t="str">
        <f>IF(A328="","",SUMIFS(jr_qty,jr_type,"BS",jr_art,A328,jr_year,p_year))</f>
        <v/>
      </c>
      <c r="J328" s="60" t="str">
        <f>IF(A328="",IF(B328="","","Référence manquante"),IF(COUNTIF($A$6:$A$505,A328)&gt;1,"Référence en double",IF(B328="","Désignation manquante",IF(C328="","Unité manquante","OK"))))</f>
        <v/>
      </c>
    </row>
    <row r="329">
      <c r="A329" s="59" t="n"/>
      <c r="B329" s="59" t="n"/>
      <c r="C329" s="54" t="n"/>
      <c r="D329" s="127" t="n"/>
      <c r="E329" s="128" t="n"/>
      <c r="F329" s="128" t="n"/>
      <c r="G329" s="57" t="str">
        <f>IF(A329="","",SUMIFS(jr_qty,jr_type,"BL",jr_art,A329,jr_year,p_year))</f>
        <v/>
      </c>
      <c r="H329" s="57" t="str">
        <f>IF(A329="","",SUMIFS(jr_qty,jr_type,"BR",jr_art,A329,jr_year,p_year))</f>
        <v/>
      </c>
      <c r="I329" s="57" t="str">
        <f>IF(A329="","",SUMIFS(jr_qty,jr_type,"BS",jr_art,A329,jr_year,p_year))</f>
        <v/>
      </c>
      <c r="J329" s="60" t="str">
        <f>IF(A329="",IF(B329="","","Référence manquante"),IF(COUNTIF($A$6:$A$505,A329)&gt;1,"Référence en double",IF(B329="","Désignation manquante",IF(C329="","Unité manquante","OK"))))</f>
        <v/>
      </c>
    </row>
    <row r="330">
      <c r="A330" s="59" t="n"/>
      <c r="B330" s="59" t="n"/>
      <c r="C330" s="54" t="n"/>
      <c r="D330" s="127" t="n"/>
      <c r="E330" s="128" t="n"/>
      <c r="F330" s="128" t="n"/>
      <c r="G330" s="57" t="str">
        <f>IF(A330="","",SUMIFS(jr_qty,jr_type,"BL",jr_art,A330,jr_year,p_year))</f>
        <v/>
      </c>
      <c r="H330" s="57" t="str">
        <f>IF(A330="","",SUMIFS(jr_qty,jr_type,"BR",jr_art,A330,jr_year,p_year))</f>
        <v/>
      </c>
      <c r="I330" s="57" t="str">
        <f>IF(A330="","",SUMIFS(jr_qty,jr_type,"BS",jr_art,A330,jr_year,p_year))</f>
        <v/>
      </c>
      <c r="J330" s="60" t="str">
        <f>IF(A330="",IF(B330="","","Référence manquante"),IF(COUNTIF($A$6:$A$505,A330)&gt;1,"Référence en double",IF(B330="","Désignation manquante",IF(C330="","Unité manquante","OK"))))</f>
        <v/>
      </c>
    </row>
    <row r="331">
      <c r="A331" s="59" t="n"/>
      <c r="B331" s="59" t="n"/>
      <c r="C331" s="54" t="n"/>
      <c r="D331" s="127" t="n"/>
      <c r="E331" s="128" t="n"/>
      <c r="F331" s="128" t="n"/>
      <c r="G331" s="57" t="str">
        <f>IF(A331="","",SUMIFS(jr_qty,jr_type,"BL",jr_art,A331,jr_year,p_year))</f>
        <v/>
      </c>
      <c r="H331" s="57" t="str">
        <f>IF(A331="","",SUMIFS(jr_qty,jr_type,"BR",jr_art,A331,jr_year,p_year))</f>
        <v/>
      </c>
      <c r="I331" s="57" t="str">
        <f>IF(A331="","",SUMIFS(jr_qty,jr_type,"BS",jr_art,A331,jr_year,p_year))</f>
        <v/>
      </c>
      <c r="J331" s="60" t="str">
        <f>IF(A331="",IF(B331="","","Référence manquante"),IF(COUNTIF($A$6:$A$505,A331)&gt;1,"Référence en double",IF(B331="","Désignation manquante",IF(C331="","Unité manquante","OK"))))</f>
        <v/>
      </c>
    </row>
    <row r="332">
      <c r="A332" s="59" t="n"/>
      <c r="B332" s="59" t="n"/>
      <c r="C332" s="54" t="n"/>
      <c r="D332" s="127" t="n"/>
      <c r="E332" s="128" t="n"/>
      <c r="F332" s="128" t="n"/>
      <c r="G332" s="57" t="str">
        <f>IF(A332="","",SUMIFS(jr_qty,jr_type,"BL",jr_art,A332,jr_year,p_year))</f>
        <v/>
      </c>
      <c r="H332" s="57" t="str">
        <f>IF(A332="","",SUMIFS(jr_qty,jr_type,"BR",jr_art,A332,jr_year,p_year))</f>
        <v/>
      </c>
      <c r="I332" s="57" t="str">
        <f>IF(A332="","",SUMIFS(jr_qty,jr_type,"BS",jr_art,A332,jr_year,p_year))</f>
        <v/>
      </c>
      <c r="J332" s="60" t="str">
        <f>IF(A332="",IF(B332="","","Référence manquante"),IF(COUNTIF($A$6:$A$505,A332)&gt;1,"Référence en double",IF(B332="","Désignation manquante",IF(C332="","Unité manquante","OK"))))</f>
        <v/>
      </c>
    </row>
    <row r="333">
      <c r="A333" s="59" t="n"/>
      <c r="B333" s="59" t="n"/>
      <c r="C333" s="54" t="n"/>
      <c r="D333" s="127" t="n"/>
      <c r="E333" s="128" t="n"/>
      <c r="F333" s="128" t="n"/>
      <c r="G333" s="57" t="str">
        <f>IF(A333="","",SUMIFS(jr_qty,jr_type,"BL",jr_art,A333,jr_year,p_year))</f>
        <v/>
      </c>
      <c r="H333" s="57" t="str">
        <f>IF(A333="","",SUMIFS(jr_qty,jr_type,"BR",jr_art,A333,jr_year,p_year))</f>
        <v/>
      </c>
      <c r="I333" s="57" t="str">
        <f>IF(A333="","",SUMIFS(jr_qty,jr_type,"BS",jr_art,A333,jr_year,p_year))</f>
        <v/>
      </c>
      <c r="J333" s="60" t="str">
        <f>IF(A333="",IF(B333="","","Référence manquante"),IF(COUNTIF($A$6:$A$505,A333)&gt;1,"Référence en double",IF(B333="","Désignation manquante",IF(C333="","Unité manquante","OK"))))</f>
        <v/>
      </c>
    </row>
    <row r="334">
      <c r="A334" s="59" t="n"/>
      <c r="B334" s="59" t="n"/>
      <c r="C334" s="54" t="n"/>
      <c r="D334" s="127" t="n"/>
      <c r="E334" s="128" t="n"/>
      <c r="F334" s="128" t="n"/>
      <c r="G334" s="57" t="str">
        <f>IF(A334="","",SUMIFS(jr_qty,jr_type,"BL",jr_art,A334,jr_year,p_year))</f>
        <v/>
      </c>
      <c r="H334" s="57" t="str">
        <f>IF(A334="","",SUMIFS(jr_qty,jr_type,"BR",jr_art,A334,jr_year,p_year))</f>
        <v/>
      </c>
      <c r="I334" s="57" t="str">
        <f>IF(A334="","",SUMIFS(jr_qty,jr_type,"BS",jr_art,A334,jr_year,p_year))</f>
        <v/>
      </c>
      <c r="J334" s="60" t="str">
        <f>IF(A334="",IF(B334="","","Référence manquante"),IF(COUNTIF($A$6:$A$505,A334)&gt;1,"Référence en double",IF(B334="","Désignation manquante",IF(C334="","Unité manquante","OK"))))</f>
        <v/>
      </c>
    </row>
    <row r="335">
      <c r="A335" s="59" t="n"/>
      <c r="B335" s="59" t="n"/>
      <c r="C335" s="54" t="n"/>
      <c r="D335" s="127" t="n"/>
      <c r="E335" s="128" t="n"/>
      <c r="F335" s="128" t="n"/>
      <c r="G335" s="57" t="str">
        <f>IF(A335="","",SUMIFS(jr_qty,jr_type,"BL",jr_art,A335,jr_year,p_year))</f>
        <v/>
      </c>
      <c r="H335" s="57" t="str">
        <f>IF(A335="","",SUMIFS(jr_qty,jr_type,"BR",jr_art,A335,jr_year,p_year))</f>
        <v/>
      </c>
      <c r="I335" s="57" t="str">
        <f>IF(A335="","",SUMIFS(jr_qty,jr_type,"BS",jr_art,A335,jr_year,p_year))</f>
        <v/>
      </c>
      <c r="J335" s="60" t="str">
        <f>IF(A335="",IF(B335="","","Référence manquante"),IF(COUNTIF($A$6:$A$505,A335)&gt;1,"Référence en double",IF(B335="","Désignation manquante",IF(C335="","Unité manquante","OK"))))</f>
        <v/>
      </c>
    </row>
    <row r="336">
      <c r="A336" s="59" t="n"/>
      <c r="B336" s="59" t="n"/>
      <c r="C336" s="54" t="n"/>
      <c r="D336" s="127" t="n"/>
      <c r="E336" s="128" t="n"/>
      <c r="F336" s="128" t="n"/>
      <c r="G336" s="57" t="str">
        <f>IF(A336="","",SUMIFS(jr_qty,jr_type,"BL",jr_art,A336,jr_year,p_year))</f>
        <v/>
      </c>
      <c r="H336" s="57" t="str">
        <f>IF(A336="","",SUMIFS(jr_qty,jr_type,"BR",jr_art,A336,jr_year,p_year))</f>
        <v/>
      </c>
      <c r="I336" s="57" t="str">
        <f>IF(A336="","",SUMIFS(jr_qty,jr_type,"BS",jr_art,A336,jr_year,p_year))</f>
        <v/>
      </c>
      <c r="J336" s="60" t="str">
        <f>IF(A336="",IF(B336="","","Référence manquante"),IF(COUNTIF($A$6:$A$505,A336)&gt;1,"Référence en double",IF(B336="","Désignation manquante",IF(C336="","Unité manquante","OK"))))</f>
        <v/>
      </c>
    </row>
    <row r="337">
      <c r="A337" s="59" t="n"/>
      <c r="B337" s="59" t="n"/>
      <c r="C337" s="54" t="n"/>
      <c r="D337" s="127" t="n"/>
      <c r="E337" s="128" t="n"/>
      <c r="F337" s="128" t="n"/>
      <c r="G337" s="57" t="str">
        <f>IF(A337="","",SUMIFS(jr_qty,jr_type,"BL",jr_art,A337,jr_year,p_year))</f>
        <v/>
      </c>
      <c r="H337" s="57" t="str">
        <f>IF(A337="","",SUMIFS(jr_qty,jr_type,"BR",jr_art,A337,jr_year,p_year))</f>
        <v/>
      </c>
      <c r="I337" s="57" t="str">
        <f>IF(A337="","",SUMIFS(jr_qty,jr_type,"BS",jr_art,A337,jr_year,p_year))</f>
        <v/>
      </c>
      <c r="J337" s="60" t="str">
        <f>IF(A337="",IF(B337="","","Référence manquante"),IF(COUNTIF($A$6:$A$505,A337)&gt;1,"Référence en double",IF(B337="","Désignation manquante",IF(C337="","Unité manquante","OK"))))</f>
        <v/>
      </c>
    </row>
    <row r="338">
      <c r="A338" s="59" t="n"/>
      <c r="B338" s="59" t="n"/>
      <c r="C338" s="54" t="n"/>
      <c r="D338" s="127" t="n"/>
      <c r="E338" s="128" t="n"/>
      <c r="F338" s="128" t="n"/>
      <c r="G338" s="57" t="str">
        <f>IF(A338="","",SUMIFS(jr_qty,jr_type,"BL",jr_art,A338,jr_year,p_year))</f>
        <v/>
      </c>
      <c r="H338" s="57" t="str">
        <f>IF(A338="","",SUMIFS(jr_qty,jr_type,"BR",jr_art,A338,jr_year,p_year))</f>
        <v/>
      </c>
      <c r="I338" s="57" t="str">
        <f>IF(A338="","",SUMIFS(jr_qty,jr_type,"BS",jr_art,A338,jr_year,p_year))</f>
        <v/>
      </c>
      <c r="J338" s="60" t="str">
        <f>IF(A338="",IF(B338="","","Référence manquante"),IF(COUNTIF($A$6:$A$505,A338)&gt;1,"Référence en double",IF(B338="","Désignation manquante",IF(C338="","Unité manquante","OK"))))</f>
        <v/>
      </c>
    </row>
    <row r="339">
      <c r="A339" s="59" t="n"/>
      <c r="B339" s="59" t="n"/>
      <c r="C339" s="54" t="n"/>
      <c r="D339" s="127" t="n"/>
      <c r="E339" s="128" t="n"/>
      <c r="F339" s="128" t="n"/>
      <c r="G339" s="57" t="str">
        <f>IF(A339="","",SUMIFS(jr_qty,jr_type,"BL",jr_art,A339,jr_year,p_year))</f>
        <v/>
      </c>
      <c r="H339" s="57" t="str">
        <f>IF(A339="","",SUMIFS(jr_qty,jr_type,"BR",jr_art,A339,jr_year,p_year))</f>
        <v/>
      </c>
      <c r="I339" s="57" t="str">
        <f>IF(A339="","",SUMIFS(jr_qty,jr_type,"BS",jr_art,A339,jr_year,p_year))</f>
        <v/>
      </c>
      <c r="J339" s="60" t="str">
        <f>IF(A339="",IF(B339="","","Référence manquante"),IF(COUNTIF($A$6:$A$505,A339)&gt;1,"Référence en double",IF(B339="","Désignation manquante",IF(C339="","Unité manquante","OK"))))</f>
        <v/>
      </c>
    </row>
    <row r="340">
      <c r="A340" s="59" t="n"/>
      <c r="B340" s="59" t="n"/>
      <c r="C340" s="54" t="n"/>
      <c r="D340" s="127" t="n"/>
      <c r="E340" s="128" t="n"/>
      <c r="F340" s="128" t="n"/>
      <c r="G340" s="57" t="str">
        <f>IF(A340="","",SUMIFS(jr_qty,jr_type,"BL",jr_art,A340,jr_year,p_year))</f>
        <v/>
      </c>
      <c r="H340" s="57" t="str">
        <f>IF(A340="","",SUMIFS(jr_qty,jr_type,"BR",jr_art,A340,jr_year,p_year))</f>
        <v/>
      </c>
      <c r="I340" s="57" t="str">
        <f>IF(A340="","",SUMIFS(jr_qty,jr_type,"BS",jr_art,A340,jr_year,p_year))</f>
        <v/>
      </c>
      <c r="J340" s="60" t="str">
        <f>IF(A340="",IF(B340="","","Référence manquante"),IF(COUNTIF($A$6:$A$505,A340)&gt;1,"Référence en double",IF(B340="","Désignation manquante",IF(C340="","Unité manquante","OK"))))</f>
        <v/>
      </c>
    </row>
    <row r="341">
      <c r="A341" s="59" t="n"/>
      <c r="B341" s="59" t="n"/>
      <c r="C341" s="54" t="n"/>
      <c r="D341" s="127" t="n"/>
      <c r="E341" s="128" t="n"/>
      <c r="F341" s="128" t="n"/>
      <c r="G341" s="57" t="str">
        <f>IF(A341="","",SUMIFS(jr_qty,jr_type,"BL",jr_art,A341,jr_year,p_year))</f>
        <v/>
      </c>
      <c r="H341" s="57" t="str">
        <f>IF(A341="","",SUMIFS(jr_qty,jr_type,"BR",jr_art,A341,jr_year,p_year))</f>
        <v/>
      </c>
      <c r="I341" s="57" t="str">
        <f>IF(A341="","",SUMIFS(jr_qty,jr_type,"BS",jr_art,A341,jr_year,p_year))</f>
        <v/>
      </c>
      <c r="J341" s="60" t="str">
        <f>IF(A341="",IF(B341="","","Référence manquante"),IF(COUNTIF($A$6:$A$505,A341)&gt;1,"Référence en double",IF(B341="","Désignation manquante",IF(C341="","Unité manquante","OK"))))</f>
        <v/>
      </c>
    </row>
    <row r="342">
      <c r="A342" s="59" t="n"/>
      <c r="B342" s="59" t="n"/>
      <c r="C342" s="54" t="n"/>
      <c r="D342" s="127" t="n"/>
      <c r="E342" s="128" t="n"/>
      <c r="F342" s="128" t="n"/>
      <c r="G342" s="57" t="str">
        <f>IF(A342="","",SUMIFS(jr_qty,jr_type,"BL",jr_art,A342,jr_year,p_year))</f>
        <v/>
      </c>
      <c r="H342" s="57" t="str">
        <f>IF(A342="","",SUMIFS(jr_qty,jr_type,"BR",jr_art,A342,jr_year,p_year))</f>
        <v/>
      </c>
      <c r="I342" s="57" t="str">
        <f>IF(A342="","",SUMIFS(jr_qty,jr_type,"BS",jr_art,A342,jr_year,p_year))</f>
        <v/>
      </c>
      <c r="J342" s="60" t="str">
        <f>IF(A342="",IF(B342="","","Référence manquante"),IF(COUNTIF($A$6:$A$505,A342)&gt;1,"Référence en double",IF(B342="","Désignation manquante",IF(C342="","Unité manquante","OK"))))</f>
        <v/>
      </c>
    </row>
    <row r="343">
      <c r="A343" s="59" t="n"/>
      <c r="B343" s="59" t="n"/>
      <c r="C343" s="54" t="n"/>
      <c r="D343" s="127" t="n"/>
      <c r="E343" s="128" t="n"/>
      <c r="F343" s="128" t="n"/>
      <c r="G343" s="57" t="str">
        <f>IF(A343="","",SUMIFS(jr_qty,jr_type,"BL",jr_art,A343,jr_year,p_year))</f>
        <v/>
      </c>
      <c r="H343" s="57" t="str">
        <f>IF(A343="","",SUMIFS(jr_qty,jr_type,"BR",jr_art,A343,jr_year,p_year))</f>
        <v/>
      </c>
      <c r="I343" s="57" t="str">
        <f>IF(A343="","",SUMIFS(jr_qty,jr_type,"BS",jr_art,A343,jr_year,p_year))</f>
        <v/>
      </c>
      <c r="J343" s="60" t="str">
        <f>IF(A343="",IF(B343="","","Référence manquante"),IF(COUNTIF($A$6:$A$505,A343)&gt;1,"Référence en double",IF(B343="","Désignation manquante",IF(C343="","Unité manquante","OK"))))</f>
        <v/>
      </c>
    </row>
    <row r="344">
      <c r="A344" s="59" t="n"/>
      <c r="B344" s="59" t="n"/>
      <c r="C344" s="54" t="n"/>
      <c r="D344" s="127" t="n"/>
      <c r="E344" s="128" t="n"/>
      <c r="F344" s="128" t="n"/>
      <c r="G344" s="57" t="str">
        <f>IF(A344="","",SUMIFS(jr_qty,jr_type,"BL",jr_art,A344,jr_year,p_year))</f>
        <v/>
      </c>
      <c r="H344" s="57" t="str">
        <f>IF(A344="","",SUMIFS(jr_qty,jr_type,"BR",jr_art,A344,jr_year,p_year))</f>
        <v/>
      </c>
      <c r="I344" s="57" t="str">
        <f>IF(A344="","",SUMIFS(jr_qty,jr_type,"BS",jr_art,A344,jr_year,p_year))</f>
        <v/>
      </c>
      <c r="J344" s="60" t="str">
        <f>IF(A344="",IF(B344="","","Référence manquante"),IF(COUNTIF($A$6:$A$505,A344)&gt;1,"Référence en double",IF(B344="","Désignation manquante",IF(C344="","Unité manquante","OK"))))</f>
        <v/>
      </c>
    </row>
    <row r="345">
      <c r="A345" s="59" t="n"/>
      <c r="B345" s="59" t="n"/>
      <c r="C345" s="54" t="n"/>
      <c r="D345" s="127" t="n"/>
      <c r="E345" s="128" t="n"/>
      <c r="F345" s="128" t="n"/>
      <c r="G345" s="57" t="str">
        <f>IF(A345="","",SUMIFS(jr_qty,jr_type,"BL",jr_art,A345,jr_year,p_year))</f>
        <v/>
      </c>
      <c r="H345" s="57" t="str">
        <f>IF(A345="","",SUMIFS(jr_qty,jr_type,"BR",jr_art,A345,jr_year,p_year))</f>
        <v/>
      </c>
      <c r="I345" s="57" t="str">
        <f>IF(A345="","",SUMIFS(jr_qty,jr_type,"BS",jr_art,A345,jr_year,p_year))</f>
        <v/>
      </c>
      <c r="J345" s="60" t="str">
        <f>IF(A345="",IF(B345="","","Référence manquante"),IF(COUNTIF($A$6:$A$505,A345)&gt;1,"Référence en double",IF(B345="","Désignation manquante",IF(C345="","Unité manquante","OK"))))</f>
        <v/>
      </c>
    </row>
    <row r="346">
      <c r="A346" s="59" t="n"/>
      <c r="B346" s="59" t="n"/>
      <c r="C346" s="54" t="n"/>
      <c r="D346" s="127" t="n"/>
      <c r="E346" s="128" t="n"/>
      <c r="F346" s="128" t="n"/>
      <c r="G346" s="57" t="str">
        <f>IF(A346="","",SUMIFS(jr_qty,jr_type,"BL",jr_art,A346,jr_year,p_year))</f>
        <v/>
      </c>
      <c r="H346" s="57" t="str">
        <f>IF(A346="","",SUMIFS(jr_qty,jr_type,"BR",jr_art,A346,jr_year,p_year))</f>
        <v/>
      </c>
      <c r="I346" s="57" t="str">
        <f>IF(A346="","",SUMIFS(jr_qty,jr_type,"BS",jr_art,A346,jr_year,p_year))</f>
        <v/>
      </c>
      <c r="J346" s="60" t="str">
        <f>IF(A346="",IF(B346="","","Référence manquante"),IF(COUNTIF($A$6:$A$505,A346)&gt;1,"Référence en double",IF(B346="","Désignation manquante",IF(C346="","Unité manquante","OK"))))</f>
        <v/>
      </c>
    </row>
    <row r="347">
      <c r="A347" s="59" t="n"/>
      <c r="B347" s="59" t="n"/>
      <c r="C347" s="54" t="n"/>
      <c r="D347" s="127" t="n"/>
      <c r="E347" s="128" t="n"/>
      <c r="F347" s="128" t="n"/>
      <c r="G347" s="57" t="str">
        <f>IF(A347="","",SUMIFS(jr_qty,jr_type,"BL",jr_art,A347,jr_year,p_year))</f>
        <v/>
      </c>
      <c r="H347" s="57" t="str">
        <f>IF(A347="","",SUMIFS(jr_qty,jr_type,"BR",jr_art,A347,jr_year,p_year))</f>
        <v/>
      </c>
      <c r="I347" s="57" t="str">
        <f>IF(A347="","",SUMIFS(jr_qty,jr_type,"BS",jr_art,A347,jr_year,p_year))</f>
        <v/>
      </c>
      <c r="J347" s="60" t="str">
        <f>IF(A347="",IF(B347="","","Référence manquante"),IF(COUNTIF($A$6:$A$505,A347)&gt;1,"Référence en double",IF(B347="","Désignation manquante",IF(C347="","Unité manquante","OK"))))</f>
        <v/>
      </c>
    </row>
    <row r="348">
      <c r="A348" s="59" t="n"/>
      <c r="B348" s="59" t="n"/>
      <c r="C348" s="54" t="n"/>
      <c r="D348" s="127" t="n"/>
      <c r="E348" s="128" t="n"/>
      <c r="F348" s="128" t="n"/>
      <c r="G348" s="57" t="str">
        <f>IF(A348="","",SUMIFS(jr_qty,jr_type,"BL",jr_art,A348,jr_year,p_year))</f>
        <v/>
      </c>
      <c r="H348" s="57" t="str">
        <f>IF(A348="","",SUMIFS(jr_qty,jr_type,"BR",jr_art,A348,jr_year,p_year))</f>
        <v/>
      </c>
      <c r="I348" s="57" t="str">
        <f>IF(A348="","",SUMIFS(jr_qty,jr_type,"BS",jr_art,A348,jr_year,p_year))</f>
        <v/>
      </c>
      <c r="J348" s="60" t="str">
        <f>IF(A348="",IF(B348="","","Référence manquante"),IF(COUNTIF($A$6:$A$505,A348)&gt;1,"Référence en double",IF(B348="","Désignation manquante",IF(C348="","Unité manquante","OK"))))</f>
        <v/>
      </c>
    </row>
    <row r="349">
      <c r="A349" s="59" t="n"/>
      <c r="B349" s="59" t="n"/>
      <c r="C349" s="54" t="n"/>
      <c r="D349" s="127" t="n"/>
      <c r="E349" s="128" t="n"/>
      <c r="F349" s="128" t="n"/>
      <c r="G349" s="57" t="str">
        <f>IF(A349="","",SUMIFS(jr_qty,jr_type,"BL",jr_art,A349,jr_year,p_year))</f>
        <v/>
      </c>
      <c r="H349" s="57" t="str">
        <f>IF(A349="","",SUMIFS(jr_qty,jr_type,"BR",jr_art,A349,jr_year,p_year))</f>
        <v/>
      </c>
      <c r="I349" s="57" t="str">
        <f>IF(A349="","",SUMIFS(jr_qty,jr_type,"BS",jr_art,A349,jr_year,p_year))</f>
        <v/>
      </c>
      <c r="J349" s="60" t="str">
        <f>IF(A349="",IF(B349="","","Référence manquante"),IF(COUNTIF($A$6:$A$505,A349)&gt;1,"Référence en double",IF(B349="","Désignation manquante",IF(C349="","Unité manquante","OK"))))</f>
        <v/>
      </c>
    </row>
    <row r="350">
      <c r="A350" s="59" t="n"/>
      <c r="B350" s="59" t="n"/>
      <c r="C350" s="54" t="n"/>
      <c r="D350" s="127" t="n"/>
      <c r="E350" s="128" t="n"/>
      <c r="F350" s="128" t="n"/>
      <c r="G350" s="57" t="str">
        <f>IF(A350="","",SUMIFS(jr_qty,jr_type,"BL",jr_art,A350,jr_year,p_year))</f>
        <v/>
      </c>
      <c r="H350" s="57" t="str">
        <f>IF(A350="","",SUMIFS(jr_qty,jr_type,"BR",jr_art,A350,jr_year,p_year))</f>
        <v/>
      </c>
      <c r="I350" s="57" t="str">
        <f>IF(A350="","",SUMIFS(jr_qty,jr_type,"BS",jr_art,A350,jr_year,p_year))</f>
        <v/>
      </c>
      <c r="J350" s="60" t="str">
        <f>IF(A350="",IF(B350="","","Référence manquante"),IF(COUNTIF($A$6:$A$505,A350)&gt;1,"Référence en double",IF(B350="","Désignation manquante",IF(C350="","Unité manquante","OK"))))</f>
        <v/>
      </c>
    </row>
    <row r="351">
      <c r="A351" s="59" t="n"/>
      <c r="B351" s="59" t="n"/>
      <c r="C351" s="54" t="n"/>
      <c r="D351" s="127" t="n"/>
      <c r="E351" s="128" t="n"/>
      <c r="F351" s="128" t="n"/>
      <c r="G351" s="57" t="str">
        <f>IF(A351="","",SUMIFS(jr_qty,jr_type,"BL",jr_art,A351,jr_year,p_year))</f>
        <v/>
      </c>
      <c r="H351" s="57" t="str">
        <f>IF(A351="","",SUMIFS(jr_qty,jr_type,"BR",jr_art,A351,jr_year,p_year))</f>
        <v/>
      </c>
      <c r="I351" s="57" t="str">
        <f>IF(A351="","",SUMIFS(jr_qty,jr_type,"BS",jr_art,A351,jr_year,p_year))</f>
        <v/>
      </c>
      <c r="J351" s="60" t="str">
        <f>IF(A351="",IF(B351="","","Référence manquante"),IF(COUNTIF($A$6:$A$505,A351)&gt;1,"Référence en double",IF(B351="","Désignation manquante",IF(C351="","Unité manquante","OK"))))</f>
        <v/>
      </c>
    </row>
    <row r="352">
      <c r="A352" s="59" t="n"/>
      <c r="B352" s="59" t="n"/>
      <c r="C352" s="54" t="n"/>
      <c r="D352" s="127" t="n"/>
      <c r="E352" s="128" t="n"/>
      <c r="F352" s="128" t="n"/>
      <c r="G352" s="57" t="str">
        <f>IF(A352="","",SUMIFS(jr_qty,jr_type,"BL",jr_art,A352,jr_year,p_year))</f>
        <v/>
      </c>
      <c r="H352" s="57" t="str">
        <f>IF(A352="","",SUMIFS(jr_qty,jr_type,"BR",jr_art,A352,jr_year,p_year))</f>
        <v/>
      </c>
      <c r="I352" s="57" t="str">
        <f>IF(A352="","",SUMIFS(jr_qty,jr_type,"BS",jr_art,A352,jr_year,p_year))</f>
        <v/>
      </c>
      <c r="J352" s="60" t="str">
        <f>IF(A352="",IF(B352="","","Référence manquante"),IF(COUNTIF($A$6:$A$505,A352)&gt;1,"Référence en double",IF(B352="","Désignation manquante",IF(C352="","Unité manquante","OK"))))</f>
        <v/>
      </c>
    </row>
    <row r="353">
      <c r="A353" s="59" t="n"/>
      <c r="B353" s="59" t="n"/>
      <c r="C353" s="54" t="n"/>
      <c r="D353" s="127" t="n"/>
      <c r="E353" s="128" t="n"/>
      <c r="F353" s="128" t="n"/>
      <c r="G353" s="57" t="str">
        <f>IF(A353="","",SUMIFS(jr_qty,jr_type,"BL",jr_art,A353,jr_year,p_year))</f>
        <v/>
      </c>
      <c r="H353" s="57" t="str">
        <f>IF(A353="","",SUMIFS(jr_qty,jr_type,"BR",jr_art,A353,jr_year,p_year))</f>
        <v/>
      </c>
      <c r="I353" s="57" t="str">
        <f>IF(A353="","",SUMIFS(jr_qty,jr_type,"BS",jr_art,A353,jr_year,p_year))</f>
        <v/>
      </c>
      <c r="J353" s="60" t="str">
        <f>IF(A353="",IF(B353="","","Référence manquante"),IF(COUNTIF($A$6:$A$505,A353)&gt;1,"Référence en double",IF(B353="","Désignation manquante",IF(C353="","Unité manquante","OK"))))</f>
        <v/>
      </c>
    </row>
    <row r="354">
      <c r="A354" s="59" t="n"/>
      <c r="B354" s="59" t="n"/>
      <c r="C354" s="54" t="n"/>
      <c r="D354" s="127" t="n"/>
      <c r="E354" s="128" t="n"/>
      <c r="F354" s="128" t="n"/>
      <c r="G354" s="57" t="str">
        <f>IF(A354="","",SUMIFS(jr_qty,jr_type,"BL",jr_art,A354,jr_year,p_year))</f>
        <v/>
      </c>
      <c r="H354" s="57" t="str">
        <f>IF(A354="","",SUMIFS(jr_qty,jr_type,"BR",jr_art,A354,jr_year,p_year))</f>
        <v/>
      </c>
      <c r="I354" s="57" t="str">
        <f>IF(A354="","",SUMIFS(jr_qty,jr_type,"BS",jr_art,A354,jr_year,p_year))</f>
        <v/>
      </c>
      <c r="J354" s="60" t="str">
        <f>IF(A354="",IF(B354="","","Référence manquante"),IF(COUNTIF($A$6:$A$505,A354)&gt;1,"Référence en double",IF(B354="","Désignation manquante",IF(C354="","Unité manquante","OK"))))</f>
        <v/>
      </c>
    </row>
    <row r="355">
      <c r="A355" s="59" t="n"/>
      <c r="B355" s="59" t="n"/>
      <c r="C355" s="54" t="n"/>
      <c r="D355" s="127" t="n"/>
      <c r="E355" s="128" t="n"/>
      <c r="F355" s="128" t="n"/>
      <c r="G355" s="57" t="str">
        <f>IF(A355="","",SUMIFS(jr_qty,jr_type,"BL",jr_art,A355,jr_year,p_year))</f>
        <v/>
      </c>
      <c r="H355" s="57" t="str">
        <f>IF(A355="","",SUMIFS(jr_qty,jr_type,"BR",jr_art,A355,jr_year,p_year))</f>
        <v/>
      </c>
      <c r="I355" s="57" t="str">
        <f>IF(A355="","",SUMIFS(jr_qty,jr_type,"BS",jr_art,A355,jr_year,p_year))</f>
        <v/>
      </c>
      <c r="J355" s="60" t="str">
        <f>IF(A355="",IF(B355="","","Référence manquante"),IF(COUNTIF($A$6:$A$505,A355)&gt;1,"Référence en double",IF(B355="","Désignation manquante",IF(C355="","Unité manquante","OK"))))</f>
        <v/>
      </c>
    </row>
    <row r="356">
      <c r="A356" s="59" t="n"/>
      <c r="B356" s="59" t="n"/>
      <c r="C356" s="54" t="n"/>
      <c r="D356" s="127" t="n"/>
      <c r="E356" s="128" t="n"/>
      <c r="F356" s="128" t="n"/>
      <c r="G356" s="57" t="str">
        <f>IF(A356="","",SUMIFS(jr_qty,jr_type,"BL",jr_art,A356,jr_year,p_year))</f>
        <v/>
      </c>
      <c r="H356" s="57" t="str">
        <f>IF(A356="","",SUMIFS(jr_qty,jr_type,"BR",jr_art,A356,jr_year,p_year))</f>
        <v/>
      </c>
      <c r="I356" s="57" t="str">
        <f>IF(A356="","",SUMIFS(jr_qty,jr_type,"BS",jr_art,A356,jr_year,p_year))</f>
        <v/>
      </c>
      <c r="J356" s="60" t="str">
        <f>IF(A356="",IF(B356="","","Référence manquante"),IF(COUNTIF($A$6:$A$505,A356)&gt;1,"Référence en double",IF(B356="","Désignation manquante",IF(C356="","Unité manquante","OK"))))</f>
        <v/>
      </c>
    </row>
    <row r="357">
      <c r="A357" s="59" t="n"/>
      <c r="B357" s="59" t="n"/>
      <c r="C357" s="54" t="n"/>
      <c r="D357" s="127" t="n"/>
      <c r="E357" s="128" t="n"/>
      <c r="F357" s="128" t="n"/>
      <c r="G357" s="57" t="str">
        <f>IF(A357="","",SUMIFS(jr_qty,jr_type,"BL",jr_art,A357,jr_year,p_year))</f>
        <v/>
      </c>
      <c r="H357" s="57" t="str">
        <f>IF(A357="","",SUMIFS(jr_qty,jr_type,"BR",jr_art,A357,jr_year,p_year))</f>
        <v/>
      </c>
      <c r="I357" s="57" t="str">
        <f>IF(A357="","",SUMIFS(jr_qty,jr_type,"BS",jr_art,A357,jr_year,p_year))</f>
        <v/>
      </c>
      <c r="J357" s="60" t="str">
        <f>IF(A357="",IF(B357="","","Référence manquante"),IF(COUNTIF($A$6:$A$505,A357)&gt;1,"Référence en double",IF(B357="","Désignation manquante",IF(C357="","Unité manquante","OK"))))</f>
        <v/>
      </c>
    </row>
    <row r="358">
      <c r="A358" s="59" t="n"/>
      <c r="B358" s="59" t="n"/>
      <c r="C358" s="54" t="n"/>
      <c r="D358" s="127" t="n"/>
      <c r="E358" s="128" t="n"/>
      <c r="F358" s="128" t="n"/>
      <c r="G358" s="57" t="str">
        <f>IF(A358="","",SUMIFS(jr_qty,jr_type,"BL",jr_art,A358,jr_year,p_year))</f>
        <v/>
      </c>
      <c r="H358" s="57" t="str">
        <f>IF(A358="","",SUMIFS(jr_qty,jr_type,"BR",jr_art,A358,jr_year,p_year))</f>
        <v/>
      </c>
      <c r="I358" s="57" t="str">
        <f>IF(A358="","",SUMIFS(jr_qty,jr_type,"BS",jr_art,A358,jr_year,p_year))</f>
        <v/>
      </c>
      <c r="J358" s="60" t="str">
        <f>IF(A358="",IF(B358="","","Référence manquante"),IF(COUNTIF($A$6:$A$505,A358)&gt;1,"Référence en double",IF(B358="","Désignation manquante",IF(C358="","Unité manquante","OK"))))</f>
        <v/>
      </c>
    </row>
    <row r="359">
      <c r="A359" s="59" t="n"/>
      <c r="B359" s="59" t="n"/>
      <c r="C359" s="54" t="n"/>
      <c r="D359" s="127" t="n"/>
      <c r="E359" s="128" t="n"/>
      <c r="F359" s="128" t="n"/>
      <c r="G359" s="57" t="str">
        <f>IF(A359="","",SUMIFS(jr_qty,jr_type,"BL",jr_art,A359,jr_year,p_year))</f>
        <v/>
      </c>
      <c r="H359" s="57" t="str">
        <f>IF(A359="","",SUMIFS(jr_qty,jr_type,"BR",jr_art,A359,jr_year,p_year))</f>
        <v/>
      </c>
      <c r="I359" s="57" t="str">
        <f>IF(A359="","",SUMIFS(jr_qty,jr_type,"BS",jr_art,A359,jr_year,p_year))</f>
        <v/>
      </c>
      <c r="J359" s="60" t="str">
        <f>IF(A359="",IF(B359="","","Référence manquante"),IF(COUNTIF($A$6:$A$505,A359)&gt;1,"Référence en double",IF(B359="","Désignation manquante",IF(C359="","Unité manquante","OK"))))</f>
        <v/>
      </c>
    </row>
    <row r="360">
      <c r="A360" s="59" t="n"/>
      <c r="B360" s="59" t="n"/>
      <c r="C360" s="54" t="n"/>
      <c r="D360" s="127" t="n"/>
      <c r="E360" s="128" t="n"/>
      <c r="F360" s="128" t="n"/>
      <c r="G360" s="57" t="str">
        <f>IF(A360="","",SUMIFS(jr_qty,jr_type,"BL",jr_art,A360,jr_year,p_year))</f>
        <v/>
      </c>
      <c r="H360" s="57" t="str">
        <f>IF(A360="","",SUMIFS(jr_qty,jr_type,"BR",jr_art,A360,jr_year,p_year))</f>
        <v/>
      </c>
      <c r="I360" s="57" t="str">
        <f>IF(A360="","",SUMIFS(jr_qty,jr_type,"BS",jr_art,A360,jr_year,p_year))</f>
        <v/>
      </c>
      <c r="J360" s="60" t="str">
        <f>IF(A360="",IF(B360="","","Référence manquante"),IF(COUNTIF($A$6:$A$505,A360)&gt;1,"Référence en double",IF(B360="","Désignation manquante",IF(C360="","Unité manquante","OK"))))</f>
        <v/>
      </c>
    </row>
    <row r="361">
      <c r="A361" s="59" t="n"/>
      <c r="B361" s="59" t="n"/>
      <c r="C361" s="54" t="n"/>
      <c r="D361" s="127" t="n"/>
      <c r="E361" s="128" t="n"/>
      <c r="F361" s="128" t="n"/>
      <c r="G361" s="57" t="str">
        <f>IF(A361="","",SUMIFS(jr_qty,jr_type,"BL",jr_art,A361,jr_year,p_year))</f>
        <v/>
      </c>
      <c r="H361" s="57" t="str">
        <f>IF(A361="","",SUMIFS(jr_qty,jr_type,"BR",jr_art,A361,jr_year,p_year))</f>
        <v/>
      </c>
      <c r="I361" s="57" t="str">
        <f>IF(A361="","",SUMIFS(jr_qty,jr_type,"BS",jr_art,A361,jr_year,p_year))</f>
        <v/>
      </c>
      <c r="J361" s="60" t="str">
        <f>IF(A361="",IF(B361="","","Référence manquante"),IF(COUNTIF($A$6:$A$505,A361)&gt;1,"Référence en double",IF(B361="","Désignation manquante",IF(C361="","Unité manquante","OK"))))</f>
        <v/>
      </c>
    </row>
    <row r="362">
      <c r="A362" s="59" t="n"/>
      <c r="B362" s="59" t="n"/>
      <c r="C362" s="54" t="n"/>
      <c r="D362" s="127" t="n"/>
      <c r="E362" s="128" t="n"/>
      <c r="F362" s="128" t="n"/>
      <c r="G362" s="57" t="str">
        <f>IF(A362="","",SUMIFS(jr_qty,jr_type,"BL",jr_art,A362,jr_year,p_year))</f>
        <v/>
      </c>
      <c r="H362" s="57" t="str">
        <f>IF(A362="","",SUMIFS(jr_qty,jr_type,"BR",jr_art,A362,jr_year,p_year))</f>
        <v/>
      </c>
      <c r="I362" s="57" t="str">
        <f>IF(A362="","",SUMIFS(jr_qty,jr_type,"BS",jr_art,A362,jr_year,p_year))</f>
        <v/>
      </c>
      <c r="J362" s="60" t="str">
        <f>IF(A362="",IF(B362="","","Référence manquante"),IF(COUNTIF($A$6:$A$505,A362)&gt;1,"Référence en double",IF(B362="","Désignation manquante",IF(C362="","Unité manquante","OK"))))</f>
        <v/>
      </c>
    </row>
    <row r="363">
      <c r="A363" s="59" t="n"/>
      <c r="B363" s="59" t="n"/>
      <c r="C363" s="54" t="n"/>
      <c r="D363" s="127" t="n"/>
      <c r="E363" s="128" t="n"/>
      <c r="F363" s="128" t="n"/>
      <c r="G363" s="57" t="str">
        <f>IF(A363="","",SUMIFS(jr_qty,jr_type,"BL",jr_art,A363,jr_year,p_year))</f>
        <v/>
      </c>
      <c r="H363" s="57" t="str">
        <f>IF(A363="","",SUMIFS(jr_qty,jr_type,"BR",jr_art,A363,jr_year,p_year))</f>
        <v/>
      </c>
      <c r="I363" s="57" t="str">
        <f>IF(A363="","",SUMIFS(jr_qty,jr_type,"BS",jr_art,A363,jr_year,p_year))</f>
        <v/>
      </c>
      <c r="J363" s="60" t="str">
        <f>IF(A363="",IF(B363="","","Référence manquante"),IF(COUNTIF($A$6:$A$505,A363)&gt;1,"Référence en double",IF(B363="","Désignation manquante",IF(C363="","Unité manquante","OK"))))</f>
        <v/>
      </c>
    </row>
    <row r="364">
      <c r="A364" s="59" t="n"/>
      <c r="B364" s="59" t="n"/>
      <c r="C364" s="54" t="n"/>
      <c r="D364" s="127" t="n"/>
      <c r="E364" s="128" t="n"/>
      <c r="F364" s="128" t="n"/>
      <c r="G364" s="57" t="str">
        <f>IF(A364="","",SUMIFS(jr_qty,jr_type,"BL",jr_art,A364,jr_year,p_year))</f>
        <v/>
      </c>
      <c r="H364" s="57" t="str">
        <f>IF(A364="","",SUMIFS(jr_qty,jr_type,"BR",jr_art,A364,jr_year,p_year))</f>
        <v/>
      </c>
      <c r="I364" s="57" t="str">
        <f>IF(A364="","",SUMIFS(jr_qty,jr_type,"BS",jr_art,A364,jr_year,p_year))</f>
        <v/>
      </c>
      <c r="J364" s="60" t="str">
        <f>IF(A364="",IF(B364="","","Référence manquante"),IF(COUNTIF($A$6:$A$505,A364)&gt;1,"Référence en double",IF(B364="","Désignation manquante",IF(C364="","Unité manquante","OK"))))</f>
        <v/>
      </c>
    </row>
    <row r="365">
      <c r="A365" s="59" t="n"/>
      <c r="B365" s="59" t="n"/>
      <c r="C365" s="54" t="n"/>
      <c r="D365" s="127" t="n"/>
      <c r="E365" s="128" t="n"/>
      <c r="F365" s="128" t="n"/>
      <c r="G365" s="57" t="str">
        <f>IF(A365="","",SUMIFS(jr_qty,jr_type,"BL",jr_art,A365,jr_year,p_year))</f>
        <v/>
      </c>
      <c r="H365" s="57" t="str">
        <f>IF(A365="","",SUMIFS(jr_qty,jr_type,"BR",jr_art,A365,jr_year,p_year))</f>
        <v/>
      </c>
      <c r="I365" s="57" t="str">
        <f>IF(A365="","",SUMIFS(jr_qty,jr_type,"BS",jr_art,A365,jr_year,p_year))</f>
        <v/>
      </c>
      <c r="J365" s="60" t="str">
        <f>IF(A365="",IF(B365="","","Référence manquante"),IF(COUNTIF($A$6:$A$505,A365)&gt;1,"Référence en double",IF(B365="","Désignation manquante",IF(C365="","Unité manquante","OK"))))</f>
        <v/>
      </c>
    </row>
    <row r="366">
      <c r="A366" s="59" t="n"/>
      <c r="B366" s="59" t="n"/>
      <c r="C366" s="54" t="n"/>
      <c r="D366" s="127" t="n"/>
      <c r="E366" s="128" t="n"/>
      <c r="F366" s="128" t="n"/>
      <c r="G366" s="57" t="str">
        <f>IF(A366="","",SUMIFS(jr_qty,jr_type,"BL",jr_art,A366,jr_year,p_year))</f>
        <v/>
      </c>
      <c r="H366" s="57" t="str">
        <f>IF(A366="","",SUMIFS(jr_qty,jr_type,"BR",jr_art,A366,jr_year,p_year))</f>
        <v/>
      </c>
      <c r="I366" s="57" t="str">
        <f>IF(A366="","",SUMIFS(jr_qty,jr_type,"BS",jr_art,A366,jr_year,p_year))</f>
        <v/>
      </c>
      <c r="J366" s="60" t="str">
        <f>IF(A366="",IF(B366="","","Référence manquante"),IF(COUNTIF($A$6:$A$505,A366)&gt;1,"Référence en double",IF(B366="","Désignation manquante",IF(C366="","Unité manquante","OK"))))</f>
        <v/>
      </c>
    </row>
    <row r="367">
      <c r="A367" s="59" t="n"/>
      <c r="B367" s="59" t="n"/>
      <c r="C367" s="54" t="n"/>
      <c r="D367" s="127" t="n"/>
      <c r="E367" s="128" t="n"/>
      <c r="F367" s="128" t="n"/>
      <c r="G367" s="57" t="str">
        <f>IF(A367="","",SUMIFS(jr_qty,jr_type,"BL",jr_art,A367,jr_year,p_year))</f>
        <v/>
      </c>
      <c r="H367" s="57" t="str">
        <f>IF(A367="","",SUMIFS(jr_qty,jr_type,"BR",jr_art,A367,jr_year,p_year))</f>
        <v/>
      </c>
      <c r="I367" s="57" t="str">
        <f>IF(A367="","",SUMIFS(jr_qty,jr_type,"BS",jr_art,A367,jr_year,p_year))</f>
        <v/>
      </c>
      <c r="J367" s="60" t="str">
        <f>IF(A367="",IF(B367="","","Référence manquante"),IF(COUNTIF($A$6:$A$505,A367)&gt;1,"Référence en double",IF(B367="","Désignation manquante",IF(C367="","Unité manquante","OK"))))</f>
        <v/>
      </c>
    </row>
    <row r="368">
      <c r="A368" s="59" t="n"/>
      <c r="B368" s="59" t="n"/>
      <c r="C368" s="54" t="n"/>
      <c r="D368" s="127" t="n"/>
      <c r="E368" s="128" t="n"/>
      <c r="F368" s="128" t="n"/>
      <c r="G368" s="57" t="str">
        <f>IF(A368="","",SUMIFS(jr_qty,jr_type,"BL",jr_art,A368,jr_year,p_year))</f>
        <v/>
      </c>
      <c r="H368" s="57" t="str">
        <f>IF(A368="","",SUMIFS(jr_qty,jr_type,"BR",jr_art,A368,jr_year,p_year))</f>
        <v/>
      </c>
      <c r="I368" s="57" t="str">
        <f>IF(A368="","",SUMIFS(jr_qty,jr_type,"BS",jr_art,A368,jr_year,p_year))</f>
        <v/>
      </c>
      <c r="J368" s="60" t="str">
        <f>IF(A368="",IF(B368="","","Référence manquante"),IF(COUNTIF($A$6:$A$505,A368)&gt;1,"Référence en double",IF(B368="","Désignation manquante",IF(C368="","Unité manquante","OK"))))</f>
        <v/>
      </c>
    </row>
    <row r="369">
      <c r="A369" s="59" t="n"/>
      <c r="B369" s="59" t="n"/>
      <c r="C369" s="54" t="n"/>
      <c r="D369" s="127" t="n"/>
      <c r="E369" s="128" t="n"/>
      <c r="F369" s="128" t="n"/>
      <c r="G369" s="57" t="str">
        <f>IF(A369="","",SUMIFS(jr_qty,jr_type,"BL",jr_art,A369,jr_year,p_year))</f>
        <v/>
      </c>
      <c r="H369" s="57" t="str">
        <f>IF(A369="","",SUMIFS(jr_qty,jr_type,"BR",jr_art,A369,jr_year,p_year))</f>
        <v/>
      </c>
      <c r="I369" s="57" t="str">
        <f>IF(A369="","",SUMIFS(jr_qty,jr_type,"BS",jr_art,A369,jr_year,p_year))</f>
        <v/>
      </c>
      <c r="J369" s="60" t="str">
        <f>IF(A369="",IF(B369="","","Référence manquante"),IF(COUNTIF($A$6:$A$505,A369)&gt;1,"Référence en double",IF(B369="","Désignation manquante",IF(C369="","Unité manquante","OK"))))</f>
        <v/>
      </c>
    </row>
    <row r="370">
      <c r="A370" s="59" t="n"/>
      <c r="B370" s="59" t="n"/>
      <c r="C370" s="54" t="n"/>
      <c r="D370" s="127" t="n"/>
      <c r="E370" s="128" t="n"/>
      <c r="F370" s="128" t="n"/>
      <c r="G370" s="57" t="str">
        <f>IF(A370="","",SUMIFS(jr_qty,jr_type,"BL",jr_art,A370,jr_year,p_year))</f>
        <v/>
      </c>
      <c r="H370" s="57" t="str">
        <f>IF(A370="","",SUMIFS(jr_qty,jr_type,"BR",jr_art,A370,jr_year,p_year))</f>
        <v/>
      </c>
      <c r="I370" s="57" t="str">
        <f>IF(A370="","",SUMIFS(jr_qty,jr_type,"BS",jr_art,A370,jr_year,p_year))</f>
        <v/>
      </c>
      <c r="J370" s="60" t="str">
        <f>IF(A370="",IF(B370="","","Référence manquante"),IF(COUNTIF($A$6:$A$505,A370)&gt;1,"Référence en double",IF(B370="","Désignation manquante",IF(C370="","Unité manquante","OK"))))</f>
        <v/>
      </c>
    </row>
    <row r="371">
      <c r="A371" s="59" t="n"/>
      <c r="B371" s="59" t="n"/>
      <c r="C371" s="54" t="n"/>
      <c r="D371" s="127" t="n"/>
      <c r="E371" s="128" t="n"/>
      <c r="F371" s="128" t="n"/>
      <c r="G371" s="57" t="str">
        <f>IF(A371="","",SUMIFS(jr_qty,jr_type,"BL",jr_art,A371,jr_year,p_year))</f>
        <v/>
      </c>
      <c r="H371" s="57" t="str">
        <f>IF(A371="","",SUMIFS(jr_qty,jr_type,"BR",jr_art,A371,jr_year,p_year))</f>
        <v/>
      </c>
      <c r="I371" s="57" t="str">
        <f>IF(A371="","",SUMIFS(jr_qty,jr_type,"BS",jr_art,A371,jr_year,p_year))</f>
        <v/>
      </c>
      <c r="J371" s="60" t="str">
        <f>IF(A371="",IF(B371="","","Référence manquante"),IF(COUNTIF($A$6:$A$505,A371)&gt;1,"Référence en double",IF(B371="","Désignation manquante",IF(C371="","Unité manquante","OK"))))</f>
        <v/>
      </c>
    </row>
    <row r="372">
      <c r="A372" s="59" t="n"/>
      <c r="B372" s="59" t="n"/>
      <c r="C372" s="54" t="n"/>
      <c r="D372" s="127" t="n"/>
      <c r="E372" s="128" t="n"/>
      <c r="F372" s="128" t="n"/>
      <c r="G372" s="57" t="str">
        <f>IF(A372="","",SUMIFS(jr_qty,jr_type,"BL",jr_art,A372,jr_year,p_year))</f>
        <v/>
      </c>
      <c r="H372" s="57" t="str">
        <f>IF(A372="","",SUMIFS(jr_qty,jr_type,"BR",jr_art,A372,jr_year,p_year))</f>
        <v/>
      </c>
      <c r="I372" s="57" t="str">
        <f>IF(A372="","",SUMIFS(jr_qty,jr_type,"BS",jr_art,A372,jr_year,p_year))</f>
        <v/>
      </c>
      <c r="J372" s="60" t="str">
        <f>IF(A372="",IF(B372="","","Référence manquante"),IF(COUNTIF($A$6:$A$505,A372)&gt;1,"Référence en double",IF(B372="","Désignation manquante",IF(C372="","Unité manquante","OK"))))</f>
        <v/>
      </c>
    </row>
    <row r="373">
      <c r="A373" s="59" t="n"/>
      <c r="B373" s="59" t="n"/>
      <c r="C373" s="54" t="n"/>
      <c r="D373" s="127" t="n"/>
      <c r="E373" s="128" t="n"/>
      <c r="F373" s="128" t="n"/>
      <c r="G373" s="57" t="str">
        <f>IF(A373="","",SUMIFS(jr_qty,jr_type,"BL",jr_art,A373,jr_year,p_year))</f>
        <v/>
      </c>
      <c r="H373" s="57" t="str">
        <f>IF(A373="","",SUMIFS(jr_qty,jr_type,"BR",jr_art,A373,jr_year,p_year))</f>
        <v/>
      </c>
      <c r="I373" s="57" t="str">
        <f>IF(A373="","",SUMIFS(jr_qty,jr_type,"BS",jr_art,A373,jr_year,p_year))</f>
        <v/>
      </c>
      <c r="J373" s="60" t="str">
        <f>IF(A373="",IF(B373="","","Référence manquante"),IF(COUNTIF($A$6:$A$505,A373)&gt;1,"Référence en double",IF(B373="","Désignation manquante",IF(C373="","Unité manquante","OK"))))</f>
        <v/>
      </c>
    </row>
    <row r="374">
      <c r="A374" s="59" t="n"/>
      <c r="B374" s="59" t="n"/>
      <c r="C374" s="54" t="n"/>
      <c r="D374" s="127" t="n"/>
      <c r="E374" s="128" t="n"/>
      <c r="F374" s="128" t="n"/>
      <c r="G374" s="57" t="str">
        <f>IF(A374="","",SUMIFS(jr_qty,jr_type,"BL",jr_art,A374,jr_year,p_year))</f>
        <v/>
      </c>
      <c r="H374" s="57" t="str">
        <f>IF(A374="","",SUMIFS(jr_qty,jr_type,"BR",jr_art,A374,jr_year,p_year))</f>
        <v/>
      </c>
      <c r="I374" s="57" t="str">
        <f>IF(A374="","",SUMIFS(jr_qty,jr_type,"BS",jr_art,A374,jr_year,p_year))</f>
        <v/>
      </c>
      <c r="J374" s="60" t="str">
        <f>IF(A374="",IF(B374="","","Référence manquante"),IF(COUNTIF($A$6:$A$505,A374)&gt;1,"Référence en double",IF(B374="","Désignation manquante",IF(C374="","Unité manquante","OK"))))</f>
        <v/>
      </c>
    </row>
    <row r="375">
      <c r="A375" s="59" t="n"/>
      <c r="B375" s="59" t="n"/>
      <c r="C375" s="54" t="n"/>
      <c r="D375" s="127" t="n"/>
      <c r="E375" s="128" t="n"/>
      <c r="F375" s="128" t="n"/>
      <c r="G375" s="57" t="str">
        <f>IF(A375="","",SUMIFS(jr_qty,jr_type,"BL",jr_art,A375,jr_year,p_year))</f>
        <v/>
      </c>
      <c r="H375" s="57" t="str">
        <f>IF(A375="","",SUMIFS(jr_qty,jr_type,"BR",jr_art,A375,jr_year,p_year))</f>
        <v/>
      </c>
      <c r="I375" s="57" t="str">
        <f>IF(A375="","",SUMIFS(jr_qty,jr_type,"BS",jr_art,A375,jr_year,p_year))</f>
        <v/>
      </c>
      <c r="J375" s="60" t="str">
        <f>IF(A375="",IF(B375="","","Référence manquante"),IF(COUNTIF($A$6:$A$505,A375)&gt;1,"Référence en double",IF(B375="","Désignation manquante",IF(C375="","Unité manquante","OK"))))</f>
        <v/>
      </c>
    </row>
    <row r="376">
      <c r="A376" s="59" t="n"/>
      <c r="B376" s="59" t="n"/>
      <c r="C376" s="54" t="n"/>
      <c r="D376" s="127" t="n"/>
      <c r="E376" s="128" t="n"/>
      <c r="F376" s="128" t="n"/>
      <c r="G376" s="57" t="str">
        <f>IF(A376="","",SUMIFS(jr_qty,jr_type,"BL",jr_art,A376,jr_year,p_year))</f>
        <v/>
      </c>
      <c r="H376" s="57" t="str">
        <f>IF(A376="","",SUMIFS(jr_qty,jr_type,"BR",jr_art,A376,jr_year,p_year))</f>
        <v/>
      </c>
      <c r="I376" s="57" t="str">
        <f>IF(A376="","",SUMIFS(jr_qty,jr_type,"BS",jr_art,A376,jr_year,p_year))</f>
        <v/>
      </c>
      <c r="J376" s="60" t="str">
        <f>IF(A376="",IF(B376="","","Référence manquante"),IF(COUNTIF($A$6:$A$505,A376)&gt;1,"Référence en double",IF(B376="","Désignation manquante",IF(C376="","Unité manquante","OK"))))</f>
        <v/>
      </c>
    </row>
    <row r="377">
      <c r="A377" s="59" t="n"/>
      <c r="B377" s="59" t="n"/>
      <c r="C377" s="54" t="n"/>
      <c r="D377" s="127" t="n"/>
      <c r="E377" s="128" t="n"/>
      <c r="F377" s="128" t="n"/>
      <c r="G377" s="57" t="str">
        <f>IF(A377="","",SUMIFS(jr_qty,jr_type,"BL",jr_art,A377,jr_year,p_year))</f>
        <v/>
      </c>
      <c r="H377" s="57" t="str">
        <f>IF(A377="","",SUMIFS(jr_qty,jr_type,"BR",jr_art,A377,jr_year,p_year))</f>
        <v/>
      </c>
      <c r="I377" s="57" t="str">
        <f>IF(A377="","",SUMIFS(jr_qty,jr_type,"BS",jr_art,A377,jr_year,p_year))</f>
        <v/>
      </c>
      <c r="J377" s="60" t="str">
        <f>IF(A377="",IF(B377="","","Référence manquante"),IF(COUNTIF($A$6:$A$505,A377)&gt;1,"Référence en double",IF(B377="","Désignation manquante",IF(C377="","Unité manquante","OK"))))</f>
        <v/>
      </c>
    </row>
    <row r="378">
      <c r="A378" s="59" t="n"/>
      <c r="B378" s="59" t="n"/>
      <c r="C378" s="54" t="n"/>
      <c r="D378" s="127" t="n"/>
      <c r="E378" s="128" t="n"/>
      <c r="F378" s="128" t="n"/>
      <c r="G378" s="57" t="str">
        <f>IF(A378="","",SUMIFS(jr_qty,jr_type,"BL",jr_art,A378,jr_year,p_year))</f>
        <v/>
      </c>
      <c r="H378" s="57" t="str">
        <f>IF(A378="","",SUMIFS(jr_qty,jr_type,"BR",jr_art,A378,jr_year,p_year))</f>
        <v/>
      </c>
      <c r="I378" s="57" t="str">
        <f>IF(A378="","",SUMIFS(jr_qty,jr_type,"BS",jr_art,A378,jr_year,p_year))</f>
        <v/>
      </c>
      <c r="J378" s="60" t="str">
        <f>IF(A378="",IF(B378="","","Référence manquante"),IF(COUNTIF($A$6:$A$505,A378)&gt;1,"Référence en double",IF(B378="","Désignation manquante",IF(C378="","Unité manquante","OK"))))</f>
        <v/>
      </c>
    </row>
    <row r="379">
      <c r="A379" s="59" t="n"/>
      <c r="B379" s="59" t="n"/>
      <c r="C379" s="54" t="n"/>
      <c r="D379" s="127" t="n"/>
      <c r="E379" s="128" t="n"/>
      <c r="F379" s="128" t="n"/>
      <c r="G379" s="57" t="str">
        <f>IF(A379="","",SUMIFS(jr_qty,jr_type,"BL",jr_art,A379,jr_year,p_year))</f>
        <v/>
      </c>
      <c r="H379" s="57" t="str">
        <f>IF(A379="","",SUMIFS(jr_qty,jr_type,"BR",jr_art,A379,jr_year,p_year))</f>
        <v/>
      </c>
      <c r="I379" s="57" t="str">
        <f>IF(A379="","",SUMIFS(jr_qty,jr_type,"BS",jr_art,A379,jr_year,p_year))</f>
        <v/>
      </c>
      <c r="J379" s="60" t="str">
        <f>IF(A379="",IF(B379="","","Référence manquante"),IF(COUNTIF($A$6:$A$505,A379)&gt;1,"Référence en double",IF(B379="","Désignation manquante",IF(C379="","Unité manquante","OK"))))</f>
        <v/>
      </c>
    </row>
    <row r="380">
      <c r="A380" s="59" t="n"/>
      <c r="B380" s="59" t="n"/>
      <c r="C380" s="54" t="n"/>
      <c r="D380" s="127" t="n"/>
      <c r="E380" s="128" t="n"/>
      <c r="F380" s="128" t="n"/>
      <c r="G380" s="57" t="str">
        <f>IF(A380="","",SUMIFS(jr_qty,jr_type,"BL",jr_art,A380,jr_year,p_year))</f>
        <v/>
      </c>
      <c r="H380" s="57" t="str">
        <f>IF(A380="","",SUMIFS(jr_qty,jr_type,"BR",jr_art,A380,jr_year,p_year))</f>
        <v/>
      </c>
      <c r="I380" s="57" t="str">
        <f>IF(A380="","",SUMIFS(jr_qty,jr_type,"BS",jr_art,A380,jr_year,p_year))</f>
        <v/>
      </c>
      <c r="J380" s="60" t="str">
        <f>IF(A380="",IF(B380="","","Référence manquante"),IF(COUNTIF($A$6:$A$505,A380)&gt;1,"Référence en double",IF(B380="","Désignation manquante",IF(C380="","Unité manquante","OK"))))</f>
        <v/>
      </c>
    </row>
    <row r="381">
      <c r="A381" s="59" t="n"/>
      <c r="B381" s="59" t="n"/>
      <c r="C381" s="54" t="n"/>
      <c r="D381" s="127" t="n"/>
      <c r="E381" s="128" t="n"/>
      <c r="F381" s="128" t="n"/>
      <c r="G381" s="57" t="str">
        <f>IF(A381="","",SUMIFS(jr_qty,jr_type,"BL",jr_art,A381,jr_year,p_year))</f>
        <v/>
      </c>
      <c r="H381" s="57" t="str">
        <f>IF(A381="","",SUMIFS(jr_qty,jr_type,"BR",jr_art,A381,jr_year,p_year))</f>
        <v/>
      </c>
      <c r="I381" s="57" t="str">
        <f>IF(A381="","",SUMIFS(jr_qty,jr_type,"BS",jr_art,A381,jr_year,p_year))</f>
        <v/>
      </c>
      <c r="J381" s="60" t="str">
        <f>IF(A381="",IF(B381="","","Référence manquante"),IF(COUNTIF($A$6:$A$505,A381)&gt;1,"Référence en double",IF(B381="","Désignation manquante",IF(C381="","Unité manquante","OK"))))</f>
        <v/>
      </c>
    </row>
    <row r="382">
      <c r="A382" s="59" t="n"/>
      <c r="B382" s="59" t="n"/>
      <c r="C382" s="54" t="n"/>
      <c r="D382" s="127" t="n"/>
      <c r="E382" s="128" t="n"/>
      <c r="F382" s="128" t="n"/>
      <c r="G382" s="57" t="str">
        <f>IF(A382="","",SUMIFS(jr_qty,jr_type,"BL",jr_art,A382,jr_year,p_year))</f>
        <v/>
      </c>
      <c r="H382" s="57" t="str">
        <f>IF(A382="","",SUMIFS(jr_qty,jr_type,"BR",jr_art,A382,jr_year,p_year))</f>
        <v/>
      </c>
      <c r="I382" s="57" t="str">
        <f>IF(A382="","",SUMIFS(jr_qty,jr_type,"BS",jr_art,A382,jr_year,p_year))</f>
        <v/>
      </c>
      <c r="J382" s="60" t="str">
        <f>IF(A382="",IF(B382="","","Référence manquante"),IF(COUNTIF($A$6:$A$505,A382)&gt;1,"Référence en double",IF(B382="","Désignation manquante",IF(C382="","Unité manquante","OK"))))</f>
        <v/>
      </c>
    </row>
    <row r="383">
      <c r="A383" s="59" t="n"/>
      <c r="B383" s="59" t="n"/>
      <c r="C383" s="54" t="n"/>
      <c r="D383" s="127" t="n"/>
      <c r="E383" s="128" t="n"/>
      <c r="F383" s="128" t="n"/>
      <c r="G383" s="57" t="str">
        <f>IF(A383="","",SUMIFS(jr_qty,jr_type,"BL",jr_art,A383,jr_year,p_year))</f>
        <v/>
      </c>
      <c r="H383" s="57" t="str">
        <f>IF(A383="","",SUMIFS(jr_qty,jr_type,"BR",jr_art,A383,jr_year,p_year))</f>
        <v/>
      </c>
      <c r="I383" s="57" t="str">
        <f>IF(A383="","",SUMIFS(jr_qty,jr_type,"BS",jr_art,A383,jr_year,p_year))</f>
        <v/>
      </c>
      <c r="J383" s="60" t="str">
        <f>IF(A383="",IF(B383="","","Référence manquante"),IF(COUNTIF($A$6:$A$505,A383)&gt;1,"Référence en double",IF(B383="","Désignation manquante",IF(C383="","Unité manquante","OK"))))</f>
        <v/>
      </c>
    </row>
    <row r="384">
      <c r="A384" s="59" t="n"/>
      <c r="B384" s="59" t="n"/>
      <c r="C384" s="54" t="n"/>
      <c r="D384" s="127" t="n"/>
      <c r="E384" s="128" t="n"/>
      <c r="F384" s="128" t="n"/>
      <c r="G384" s="57" t="str">
        <f>IF(A384="","",SUMIFS(jr_qty,jr_type,"BL",jr_art,A384,jr_year,p_year))</f>
        <v/>
      </c>
      <c r="H384" s="57" t="str">
        <f>IF(A384="","",SUMIFS(jr_qty,jr_type,"BR",jr_art,A384,jr_year,p_year))</f>
        <v/>
      </c>
      <c r="I384" s="57" t="str">
        <f>IF(A384="","",SUMIFS(jr_qty,jr_type,"BS",jr_art,A384,jr_year,p_year))</f>
        <v/>
      </c>
      <c r="J384" s="60" t="str">
        <f>IF(A384="",IF(B384="","","Référence manquante"),IF(COUNTIF($A$6:$A$505,A384)&gt;1,"Référence en double",IF(B384="","Désignation manquante",IF(C384="","Unité manquante","OK"))))</f>
        <v/>
      </c>
    </row>
    <row r="385">
      <c r="A385" s="59" t="n"/>
      <c r="B385" s="59" t="n"/>
      <c r="C385" s="54" t="n"/>
      <c r="D385" s="127" t="n"/>
      <c r="E385" s="128" t="n"/>
      <c r="F385" s="128" t="n"/>
      <c r="G385" s="57" t="str">
        <f>IF(A385="","",SUMIFS(jr_qty,jr_type,"BL",jr_art,A385,jr_year,p_year))</f>
        <v/>
      </c>
      <c r="H385" s="57" t="str">
        <f>IF(A385="","",SUMIFS(jr_qty,jr_type,"BR",jr_art,A385,jr_year,p_year))</f>
        <v/>
      </c>
      <c r="I385" s="57" t="str">
        <f>IF(A385="","",SUMIFS(jr_qty,jr_type,"BS",jr_art,A385,jr_year,p_year))</f>
        <v/>
      </c>
      <c r="J385" s="60" t="str">
        <f>IF(A385="",IF(B385="","","Référence manquante"),IF(COUNTIF($A$6:$A$505,A385)&gt;1,"Référence en double",IF(B385="","Désignation manquante",IF(C385="","Unité manquante","OK"))))</f>
        <v/>
      </c>
    </row>
    <row r="386">
      <c r="A386" s="59" t="n"/>
      <c r="B386" s="59" t="n"/>
      <c r="C386" s="54" t="n"/>
      <c r="D386" s="127" t="n"/>
      <c r="E386" s="128" t="n"/>
      <c r="F386" s="128" t="n"/>
      <c r="G386" s="57" t="str">
        <f>IF(A386="","",SUMIFS(jr_qty,jr_type,"BL",jr_art,A386,jr_year,p_year))</f>
        <v/>
      </c>
      <c r="H386" s="57" t="str">
        <f>IF(A386="","",SUMIFS(jr_qty,jr_type,"BR",jr_art,A386,jr_year,p_year))</f>
        <v/>
      </c>
      <c r="I386" s="57" t="str">
        <f>IF(A386="","",SUMIFS(jr_qty,jr_type,"BS",jr_art,A386,jr_year,p_year))</f>
        <v/>
      </c>
      <c r="J386" s="60" t="str">
        <f>IF(A386="",IF(B386="","","Référence manquante"),IF(COUNTIF($A$6:$A$505,A386)&gt;1,"Référence en double",IF(B386="","Désignation manquante",IF(C386="","Unité manquante","OK"))))</f>
        <v/>
      </c>
    </row>
    <row r="387">
      <c r="A387" s="59" t="n"/>
      <c r="B387" s="59" t="n"/>
      <c r="C387" s="54" t="n"/>
      <c r="D387" s="127" t="n"/>
      <c r="E387" s="128" t="n"/>
      <c r="F387" s="128" t="n"/>
      <c r="G387" s="57" t="str">
        <f>IF(A387="","",SUMIFS(jr_qty,jr_type,"BL",jr_art,A387,jr_year,p_year))</f>
        <v/>
      </c>
      <c r="H387" s="57" t="str">
        <f>IF(A387="","",SUMIFS(jr_qty,jr_type,"BR",jr_art,A387,jr_year,p_year))</f>
        <v/>
      </c>
      <c r="I387" s="57" t="str">
        <f>IF(A387="","",SUMIFS(jr_qty,jr_type,"BS",jr_art,A387,jr_year,p_year))</f>
        <v/>
      </c>
      <c r="J387" s="60" t="str">
        <f>IF(A387="",IF(B387="","","Référence manquante"),IF(COUNTIF($A$6:$A$505,A387)&gt;1,"Référence en double",IF(B387="","Désignation manquante",IF(C387="","Unité manquante","OK"))))</f>
        <v/>
      </c>
    </row>
    <row r="388">
      <c r="A388" s="59" t="n"/>
      <c r="B388" s="59" t="n"/>
      <c r="C388" s="54" t="n"/>
      <c r="D388" s="127" t="n"/>
      <c r="E388" s="128" t="n"/>
      <c r="F388" s="128" t="n"/>
      <c r="G388" s="57" t="str">
        <f>IF(A388="","",SUMIFS(jr_qty,jr_type,"BL",jr_art,A388,jr_year,p_year))</f>
        <v/>
      </c>
      <c r="H388" s="57" t="str">
        <f>IF(A388="","",SUMIFS(jr_qty,jr_type,"BR",jr_art,A388,jr_year,p_year))</f>
        <v/>
      </c>
      <c r="I388" s="57" t="str">
        <f>IF(A388="","",SUMIFS(jr_qty,jr_type,"BS",jr_art,A388,jr_year,p_year))</f>
        <v/>
      </c>
      <c r="J388" s="60" t="str">
        <f>IF(A388="",IF(B388="","","Référence manquante"),IF(COUNTIF($A$6:$A$505,A388)&gt;1,"Référence en double",IF(B388="","Désignation manquante",IF(C388="","Unité manquante","OK"))))</f>
        <v/>
      </c>
    </row>
    <row r="389">
      <c r="A389" s="59" t="n"/>
      <c r="B389" s="59" t="n"/>
      <c r="C389" s="54" t="n"/>
      <c r="D389" s="127" t="n"/>
      <c r="E389" s="128" t="n"/>
      <c r="F389" s="128" t="n"/>
      <c r="G389" s="57" t="str">
        <f>IF(A389="","",SUMIFS(jr_qty,jr_type,"BL",jr_art,A389,jr_year,p_year))</f>
        <v/>
      </c>
      <c r="H389" s="57" t="str">
        <f>IF(A389="","",SUMIFS(jr_qty,jr_type,"BR",jr_art,A389,jr_year,p_year))</f>
        <v/>
      </c>
      <c r="I389" s="57" t="str">
        <f>IF(A389="","",SUMIFS(jr_qty,jr_type,"BS",jr_art,A389,jr_year,p_year))</f>
        <v/>
      </c>
      <c r="J389" s="60" t="str">
        <f>IF(A389="",IF(B389="","","Référence manquante"),IF(COUNTIF($A$6:$A$505,A389)&gt;1,"Référence en double",IF(B389="","Désignation manquante",IF(C389="","Unité manquante","OK"))))</f>
        <v/>
      </c>
    </row>
    <row r="390">
      <c r="A390" s="59" t="n"/>
      <c r="B390" s="59" t="n"/>
      <c r="C390" s="54" t="n"/>
      <c r="D390" s="127" t="n"/>
      <c r="E390" s="128" t="n"/>
      <c r="F390" s="128" t="n"/>
      <c r="G390" s="57" t="str">
        <f>IF(A390="","",SUMIFS(jr_qty,jr_type,"BL",jr_art,A390,jr_year,p_year))</f>
        <v/>
      </c>
      <c r="H390" s="57" t="str">
        <f>IF(A390="","",SUMIFS(jr_qty,jr_type,"BR",jr_art,A390,jr_year,p_year))</f>
        <v/>
      </c>
      <c r="I390" s="57" t="str">
        <f>IF(A390="","",SUMIFS(jr_qty,jr_type,"BS",jr_art,A390,jr_year,p_year))</f>
        <v/>
      </c>
      <c r="J390" s="60" t="str">
        <f>IF(A390="",IF(B390="","","Référence manquante"),IF(COUNTIF($A$6:$A$505,A390)&gt;1,"Référence en double",IF(B390="","Désignation manquante",IF(C390="","Unité manquante","OK"))))</f>
        <v/>
      </c>
    </row>
    <row r="391">
      <c r="A391" s="59" t="n"/>
      <c r="B391" s="59" t="n"/>
      <c r="C391" s="54" t="n"/>
      <c r="D391" s="127" t="n"/>
      <c r="E391" s="128" t="n"/>
      <c r="F391" s="128" t="n"/>
      <c r="G391" s="57" t="str">
        <f>IF(A391="","",SUMIFS(jr_qty,jr_type,"BL",jr_art,A391,jr_year,p_year))</f>
        <v/>
      </c>
      <c r="H391" s="57" t="str">
        <f>IF(A391="","",SUMIFS(jr_qty,jr_type,"BR",jr_art,A391,jr_year,p_year))</f>
        <v/>
      </c>
      <c r="I391" s="57" t="str">
        <f>IF(A391="","",SUMIFS(jr_qty,jr_type,"BS",jr_art,A391,jr_year,p_year))</f>
        <v/>
      </c>
      <c r="J391" s="60" t="str">
        <f>IF(A391="",IF(B391="","","Référence manquante"),IF(COUNTIF($A$6:$A$505,A391)&gt;1,"Référence en double",IF(B391="","Désignation manquante",IF(C391="","Unité manquante","OK"))))</f>
        <v/>
      </c>
    </row>
    <row r="392">
      <c r="A392" s="59" t="n"/>
      <c r="B392" s="59" t="n"/>
      <c r="C392" s="54" t="n"/>
      <c r="D392" s="127" t="n"/>
      <c r="E392" s="128" t="n"/>
      <c r="F392" s="128" t="n"/>
      <c r="G392" s="57" t="str">
        <f>IF(A392="","",SUMIFS(jr_qty,jr_type,"BL",jr_art,A392,jr_year,p_year))</f>
        <v/>
      </c>
      <c r="H392" s="57" t="str">
        <f>IF(A392="","",SUMIFS(jr_qty,jr_type,"BR",jr_art,A392,jr_year,p_year))</f>
        <v/>
      </c>
      <c r="I392" s="57" t="str">
        <f>IF(A392="","",SUMIFS(jr_qty,jr_type,"BS",jr_art,A392,jr_year,p_year))</f>
        <v/>
      </c>
      <c r="J392" s="60" t="str">
        <f>IF(A392="",IF(B392="","","Référence manquante"),IF(COUNTIF($A$6:$A$505,A392)&gt;1,"Référence en double",IF(B392="","Désignation manquante",IF(C392="","Unité manquante","OK"))))</f>
        <v/>
      </c>
    </row>
    <row r="393">
      <c r="A393" s="59" t="n"/>
      <c r="B393" s="59" t="n"/>
      <c r="C393" s="54" t="n"/>
      <c r="D393" s="127" t="n"/>
      <c r="E393" s="128" t="n"/>
      <c r="F393" s="128" t="n"/>
      <c r="G393" s="57" t="str">
        <f>IF(A393="","",SUMIFS(jr_qty,jr_type,"BL",jr_art,A393,jr_year,p_year))</f>
        <v/>
      </c>
      <c r="H393" s="57" t="str">
        <f>IF(A393="","",SUMIFS(jr_qty,jr_type,"BR",jr_art,A393,jr_year,p_year))</f>
        <v/>
      </c>
      <c r="I393" s="57" t="str">
        <f>IF(A393="","",SUMIFS(jr_qty,jr_type,"BS",jr_art,A393,jr_year,p_year))</f>
        <v/>
      </c>
      <c r="J393" s="60" t="str">
        <f>IF(A393="",IF(B393="","","Référence manquante"),IF(COUNTIF($A$6:$A$505,A393)&gt;1,"Référence en double",IF(B393="","Désignation manquante",IF(C393="","Unité manquante","OK"))))</f>
        <v/>
      </c>
    </row>
    <row r="394">
      <c r="A394" s="59" t="n"/>
      <c r="B394" s="59" t="n"/>
      <c r="C394" s="54" t="n"/>
      <c r="D394" s="127" t="n"/>
      <c r="E394" s="128" t="n"/>
      <c r="F394" s="128" t="n"/>
      <c r="G394" s="57" t="str">
        <f>IF(A394="","",SUMIFS(jr_qty,jr_type,"BL",jr_art,A394,jr_year,p_year))</f>
        <v/>
      </c>
      <c r="H394" s="57" t="str">
        <f>IF(A394="","",SUMIFS(jr_qty,jr_type,"BR",jr_art,A394,jr_year,p_year))</f>
        <v/>
      </c>
      <c r="I394" s="57" t="str">
        <f>IF(A394="","",SUMIFS(jr_qty,jr_type,"BS",jr_art,A394,jr_year,p_year))</f>
        <v/>
      </c>
      <c r="J394" s="60" t="str">
        <f>IF(A394="",IF(B394="","","Référence manquante"),IF(COUNTIF($A$6:$A$505,A394)&gt;1,"Référence en double",IF(B394="","Désignation manquante",IF(C394="","Unité manquante","OK"))))</f>
        <v/>
      </c>
    </row>
    <row r="395">
      <c r="A395" s="59" t="n"/>
      <c r="B395" s="59" t="n"/>
      <c r="C395" s="54" t="n"/>
      <c r="D395" s="127" t="n"/>
      <c r="E395" s="128" t="n"/>
      <c r="F395" s="128" t="n"/>
      <c r="G395" s="57" t="str">
        <f>IF(A395="","",SUMIFS(jr_qty,jr_type,"BL",jr_art,A395,jr_year,p_year))</f>
        <v/>
      </c>
      <c r="H395" s="57" t="str">
        <f>IF(A395="","",SUMIFS(jr_qty,jr_type,"BR",jr_art,A395,jr_year,p_year))</f>
        <v/>
      </c>
      <c r="I395" s="57" t="str">
        <f>IF(A395="","",SUMIFS(jr_qty,jr_type,"BS",jr_art,A395,jr_year,p_year))</f>
        <v/>
      </c>
      <c r="J395" s="60" t="str">
        <f>IF(A395="",IF(B395="","","Référence manquante"),IF(COUNTIF($A$6:$A$505,A395)&gt;1,"Référence en double",IF(B395="","Désignation manquante",IF(C395="","Unité manquante","OK"))))</f>
        <v/>
      </c>
    </row>
    <row r="396">
      <c r="A396" s="59" t="n"/>
      <c r="B396" s="59" t="n"/>
      <c r="C396" s="54" t="n"/>
      <c r="D396" s="127" t="n"/>
      <c r="E396" s="128" t="n"/>
      <c r="F396" s="128" t="n"/>
      <c r="G396" s="57" t="str">
        <f>IF(A396="","",SUMIFS(jr_qty,jr_type,"BL",jr_art,A396,jr_year,p_year))</f>
        <v/>
      </c>
      <c r="H396" s="57" t="str">
        <f>IF(A396="","",SUMIFS(jr_qty,jr_type,"BR",jr_art,A396,jr_year,p_year))</f>
        <v/>
      </c>
      <c r="I396" s="57" t="str">
        <f>IF(A396="","",SUMIFS(jr_qty,jr_type,"BS",jr_art,A396,jr_year,p_year))</f>
        <v/>
      </c>
      <c r="J396" s="60" t="str">
        <f>IF(A396="",IF(B396="","","Référence manquante"),IF(COUNTIF($A$6:$A$505,A396)&gt;1,"Référence en double",IF(B396="","Désignation manquante",IF(C396="","Unité manquante","OK"))))</f>
        <v/>
      </c>
    </row>
    <row r="397">
      <c r="A397" s="59" t="n"/>
      <c r="B397" s="59" t="n"/>
      <c r="C397" s="54" t="n"/>
      <c r="D397" s="127" t="n"/>
      <c r="E397" s="128" t="n"/>
      <c r="F397" s="128" t="n"/>
      <c r="G397" s="57" t="str">
        <f>IF(A397="","",SUMIFS(jr_qty,jr_type,"BL",jr_art,A397,jr_year,p_year))</f>
        <v/>
      </c>
      <c r="H397" s="57" t="str">
        <f>IF(A397="","",SUMIFS(jr_qty,jr_type,"BR",jr_art,A397,jr_year,p_year))</f>
        <v/>
      </c>
      <c r="I397" s="57" t="str">
        <f>IF(A397="","",SUMIFS(jr_qty,jr_type,"BS",jr_art,A397,jr_year,p_year))</f>
        <v/>
      </c>
      <c r="J397" s="60" t="str">
        <f>IF(A397="",IF(B397="","","Référence manquante"),IF(COUNTIF($A$6:$A$505,A397)&gt;1,"Référence en double",IF(B397="","Désignation manquante",IF(C397="","Unité manquante","OK"))))</f>
        <v/>
      </c>
    </row>
    <row r="398">
      <c r="A398" s="59" t="n"/>
      <c r="B398" s="59" t="n"/>
      <c r="C398" s="54" t="n"/>
      <c r="D398" s="127" t="n"/>
      <c r="E398" s="128" t="n"/>
      <c r="F398" s="128" t="n"/>
      <c r="G398" s="57" t="str">
        <f>IF(A398="","",SUMIFS(jr_qty,jr_type,"BL",jr_art,A398,jr_year,p_year))</f>
        <v/>
      </c>
      <c r="H398" s="57" t="str">
        <f>IF(A398="","",SUMIFS(jr_qty,jr_type,"BR",jr_art,A398,jr_year,p_year))</f>
        <v/>
      </c>
      <c r="I398" s="57" t="str">
        <f>IF(A398="","",SUMIFS(jr_qty,jr_type,"BS",jr_art,A398,jr_year,p_year))</f>
        <v/>
      </c>
      <c r="J398" s="60" t="str">
        <f>IF(A398="",IF(B398="","","Référence manquante"),IF(COUNTIF($A$6:$A$505,A398)&gt;1,"Référence en double",IF(B398="","Désignation manquante",IF(C398="","Unité manquante","OK"))))</f>
        <v/>
      </c>
    </row>
    <row r="399">
      <c r="A399" s="59" t="n"/>
      <c r="B399" s="59" t="n"/>
      <c r="C399" s="54" t="n"/>
      <c r="D399" s="127" t="n"/>
      <c r="E399" s="128" t="n"/>
      <c r="F399" s="128" t="n"/>
      <c r="G399" s="57" t="str">
        <f>IF(A399="","",SUMIFS(jr_qty,jr_type,"BL",jr_art,A399,jr_year,p_year))</f>
        <v/>
      </c>
      <c r="H399" s="57" t="str">
        <f>IF(A399="","",SUMIFS(jr_qty,jr_type,"BR",jr_art,A399,jr_year,p_year))</f>
        <v/>
      </c>
      <c r="I399" s="57" t="str">
        <f>IF(A399="","",SUMIFS(jr_qty,jr_type,"BS",jr_art,A399,jr_year,p_year))</f>
        <v/>
      </c>
      <c r="J399" s="60" t="str">
        <f>IF(A399="",IF(B399="","","Référence manquante"),IF(COUNTIF($A$6:$A$505,A399)&gt;1,"Référence en double",IF(B399="","Désignation manquante",IF(C399="","Unité manquante","OK"))))</f>
        <v/>
      </c>
    </row>
    <row r="400">
      <c r="A400" s="59" t="n"/>
      <c r="B400" s="59" t="n"/>
      <c r="C400" s="54" t="n"/>
      <c r="D400" s="127" t="n"/>
      <c r="E400" s="128" t="n"/>
      <c r="F400" s="128" t="n"/>
      <c r="G400" s="57" t="str">
        <f>IF(A400="","",SUMIFS(jr_qty,jr_type,"BL",jr_art,A400,jr_year,p_year))</f>
        <v/>
      </c>
      <c r="H400" s="57" t="str">
        <f>IF(A400="","",SUMIFS(jr_qty,jr_type,"BR",jr_art,A400,jr_year,p_year))</f>
        <v/>
      </c>
      <c r="I400" s="57" t="str">
        <f>IF(A400="","",SUMIFS(jr_qty,jr_type,"BS",jr_art,A400,jr_year,p_year))</f>
        <v/>
      </c>
      <c r="J400" s="60" t="str">
        <f>IF(A400="",IF(B400="","","Référence manquante"),IF(COUNTIF($A$6:$A$505,A400)&gt;1,"Référence en double",IF(B400="","Désignation manquante",IF(C400="","Unité manquante","OK"))))</f>
        <v/>
      </c>
    </row>
    <row r="401">
      <c r="A401" s="59" t="n"/>
      <c r="B401" s="59" t="n"/>
      <c r="C401" s="54" t="n"/>
      <c r="D401" s="127" t="n"/>
      <c r="E401" s="128" t="n"/>
      <c r="F401" s="128" t="n"/>
      <c r="G401" s="57" t="str">
        <f>IF(A401="","",SUMIFS(jr_qty,jr_type,"BL",jr_art,A401,jr_year,p_year))</f>
        <v/>
      </c>
      <c r="H401" s="57" t="str">
        <f>IF(A401="","",SUMIFS(jr_qty,jr_type,"BR",jr_art,A401,jr_year,p_year))</f>
        <v/>
      </c>
      <c r="I401" s="57" t="str">
        <f>IF(A401="","",SUMIFS(jr_qty,jr_type,"BS",jr_art,A401,jr_year,p_year))</f>
        <v/>
      </c>
      <c r="J401" s="60" t="str">
        <f>IF(A401="",IF(B401="","","Référence manquante"),IF(COUNTIF($A$6:$A$505,A401)&gt;1,"Référence en double",IF(B401="","Désignation manquante",IF(C401="","Unité manquante","OK"))))</f>
        <v/>
      </c>
    </row>
    <row r="402">
      <c r="A402" s="59" t="n"/>
      <c r="B402" s="59" t="n"/>
      <c r="C402" s="54" t="n"/>
      <c r="D402" s="127" t="n"/>
      <c r="E402" s="128" t="n"/>
      <c r="F402" s="128" t="n"/>
      <c r="G402" s="57" t="str">
        <f>IF(A402="","",SUMIFS(jr_qty,jr_type,"BL",jr_art,A402,jr_year,p_year))</f>
        <v/>
      </c>
      <c r="H402" s="57" t="str">
        <f>IF(A402="","",SUMIFS(jr_qty,jr_type,"BR",jr_art,A402,jr_year,p_year))</f>
        <v/>
      </c>
      <c r="I402" s="57" t="str">
        <f>IF(A402="","",SUMIFS(jr_qty,jr_type,"BS",jr_art,A402,jr_year,p_year))</f>
        <v/>
      </c>
      <c r="J402" s="60" t="str">
        <f>IF(A402="",IF(B402="","","Référence manquante"),IF(COUNTIF($A$6:$A$505,A402)&gt;1,"Référence en double",IF(B402="","Désignation manquante",IF(C402="","Unité manquante","OK"))))</f>
        <v/>
      </c>
    </row>
    <row r="403">
      <c r="A403" s="59" t="n"/>
      <c r="B403" s="59" t="n"/>
      <c r="C403" s="54" t="n"/>
      <c r="D403" s="127" t="n"/>
      <c r="E403" s="128" t="n"/>
      <c r="F403" s="128" t="n"/>
      <c r="G403" s="57" t="str">
        <f>IF(A403="","",SUMIFS(jr_qty,jr_type,"BL",jr_art,A403,jr_year,p_year))</f>
        <v/>
      </c>
      <c r="H403" s="57" t="str">
        <f>IF(A403="","",SUMIFS(jr_qty,jr_type,"BR",jr_art,A403,jr_year,p_year))</f>
        <v/>
      </c>
      <c r="I403" s="57" t="str">
        <f>IF(A403="","",SUMIFS(jr_qty,jr_type,"BS",jr_art,A403,jr_year,p_year))</f>
        <v/>
      </c>
      <c r="J403" s="60" t="str">
        <f>IF(A403="",IF(B403="","","Référence manquante"),IF(COUNTIF($A$6:$A$505,A403)&gt;1,"Référence en double",IF(B403="","Désignation manquante",IF(C403="","Unité manquante","OK"))))</f>
        <v/>
      </c>
    </row>
    <row r="404">
      <c r="A404" s="59" t="n"/>
      <c r="B404" s="59" t="n"/>
      <c r="C404" s="54" t="n"/>
      <c r="D404" s="127" t="n"/>
      <c r="E404" s="128" t="n"/>
      <c r="F404" s="128" t="n"/>
      <c r="G404" s="57" t="str">
        <f>IF(A404="","",SUMIFS(jr_qty,jr_type,"BL",jr_art,A404,jr_year,p_year))</f>
        <v/>
      </c>
      <c r="H404" s="57" t="str">
        <f>IF(A404="","",SUMIFS(jr_qty,jr_type,"BR",jr_art,A404,jr_year,p_year))</f>
        <v/>
      </c>
      <c r="I404" s="57" t="str">
        <f>IF(A404="","",SUMIFS(jr_qty,jr_type,"BS",jr_art,A404,jr_year,p_year))</f>
        <v/>
      </c>
      <c r="J404" s="60" t="str">
        <f>IF(A404="",IF(B404="","","Référence manquante"),IF(COUNTIF($A$6:$A$505,A404)&gt;1,"Référence en double",IF(B404="","Désignation manquante",IF(C404="","Unité manquante","OK"))))</f>
        <v/>
      </c>
    </row>
    <row r="405">
      <c r="A405" s="59" t="n"/>
      <c r="B405" s="59" t="n"/>
      <c r="C405" s="54" t="n"/>
      <c r="D405" s="127" t="n"/>
      <c r="E405" s="128" t="n"/>
      <c r="F405" s="128" t="n"/>
      <c r="G405" s="57" t="str">
        <f>IF(A405="","",SUMIFS(jr_qty,jr_type,"BL",jr_art,A405,jr_year,p_year))</f>
        <v/>
      </c>
      <c r="H405" s="57" t="str">
        <f>IF(A405="","",SUMIFS(jr_qty,jr_type,"BR",jr_art,A405,jr_year,p_year))</f>
        <v/>
      </c>
      <c r="I405" s="57" t="str">
        <f>IF(A405="","",SUMIFS(jr_qty,jr_type,"BS",jr_art,A405,jr_year,p_year))</f>
        <v/>
      </c>
      <c r="J405" s="60" t="str">
        <f>IF(A405="",IF(B405="","","Référence manquante"),IF(COUNTIF($A$6:$A$505,A405)&gt;1,"Référence en double",IF(B405="","Désignation manquante",IF(C405="","Unité manquante","OK"))))</f>
        <v/>
      </c>
    </row>
    <row r="406">
      <c r="A406" s="59" t="n"/>
      <c r="B406" s="59" t="n"/>
      <c r="C406" s="54" t="n"/>
      <c r="D406" s="127" t="n"/>
      <c r="E406" s="128" t="n"/>
      <c r="F406" s="128" t="n"/>
      <c r="G406" s="57" t="str">
        <f>IF(A406="","",SUMIFS(jr_qty,jr_type,"BL",jr_art,A406,jr_year,p_year))</f>
        <v/>
      </c>
      <c r="H406" s="57" t="str">
        <f>IF(A406="","",SUMIFS(jr_qty,jr_type,"BR",jr_art,A406,jr_year,p_year))</f>
        <v/>
      </c>
      <c r="I406" s="57" t="str">
        <f>IF(A406="","",SUMIFS(jr_qty,jr_type,"BS",jr_art,A406,jr_year,p_year))</f>
        <v/>
      </c>
      <c r="J406" s="60" t="str">
        <f>IF(A406="",IF(B406="","","Référence manquante"),IF(COUNTIF($A$6:$A$505,A406)&gt;1,"Référence en double",IF(B406="","Désignation manquante",IF(C406="","Unité manquante","OK"))))</f>
        <v/>
      </c>
    </row>
    <row r="407">
      <c r="A407" s="59" t="n"/>
      <c r="B407" s="59" t="n"/>
      <c r="C407" s="54" t="n"/>
      <c r="D407" s="127" t="n"/>
      <c r="E407" s="128" t="n"/>
      <c r="F407" s="128" t="n"/>
      <c r="G407" s="57" t="str">
        <f>IF(A407="","",SUMIFS(jr_qty,jr_type,"BL",jr_art,A407,jr_year,p_year))</f>
        <v/>
      </c>
      <c r="H407" s="57" t="str">
        <f>IF(A407="","",SUMIFS(jr_qty,jr_type,"BR",jr_art,A407,jr_year,p_year))</f>
        <v/>
      </c>
      <c r="I407" s="57" t="str">
        <f>IF(A407="","",SUMIFS(jr_qty,jr_type,"BS",jr_art,A407,jr_year,p_year))</f>
        <v/>
      </c>
      <c r="J407" s="60" t="str">
        <f>IF(A407="",IF(B407="","","Référence manquante"),IF(COUNTIF($A$6:$A$505,A407)&gt;1,"Référence en double",IF(B407="","Désignation manquante",IF(C407="","Unité manquante","OK"))))</f>
        <v/>
      </c>
    </row>
    <row r="408">
      <c r="A408" s="59" t="n"/>
      <c r="B408" s="59" t="n"/>
      <c r="C408" s="54" t="n"/>
      <c r="D408" s="127" t="n"/>
      <c r="E408" s="128" t="n"/>
      <c r="F408" s="128" t="n"/>
      <c r="G408" s="57" t="str">
        <f>IF(A408="","",SUMIFS(jr_qty,jr_type,"BL",jr_art,A408,jr_year,p_year))</f>
        <v/>
      </c>
      <c r="H408" s="57" t="str">
        <f>IF(A408="","",SUMIFS(jr_qty,jr_type,"BR",jr_art,A408,jr_year,p_year))</f>
        <v/>
      </c>
      <c r="I408" s="57" t="str">
        <f>IF(A408="","",SUMIFS(jr_qty,jr_type,"BS",jr_art,A408,jr_year,p_year))</f>
        <v/>
      </c>
      <c r="J408" s="60" t="str">
        <f>IF(A408="",IF(B408="","","Référence manquante"),IF(COUNTIF($A$6:$A$505,A408)&gt;1,"Référence en double",IF(B408="","Désignation manquante",IF(C408="","Unité manquante","OK"))))</f>
        <v/>
      </c>
    </row>
    <row r="409">
      <c r="A409" s="59" t="n"/>
      <c r="B409" s="59" t="n"/>
      <c r="C409" s="54" t="n"/>
      <c r="D409" s="127" t="n"/>
      <c r="E409" s="128" t="n"/>
      <c r="F409" s="128" t="n"/>
      <c r="G409" s="57" t="str">
        <f>IF(A409="","",SUMIFS(jr_qty,jr_type,"BL",jr_art,A409,jr_year,p_year))</f>
        <v/>
      </c>
      <c r="H409" s="57" t="str">
        <f>IF(A409="","",SUMIFS(jr_qty,jr_type,"BR",jr_art,A409,jr_year,p_year))</f>
        <v/>
      </c>
      <c r="I409" s="57" t="str">
        <f>IF(A409="","",SUMIFS(jr_qty,jr_type,"BS",jr_art,A409,jr_year,p_year))</f>
        <v/>
      </c>
      <c r="J409" s="60" t="str">
        <f>IF(A409="",IF(B409="","","Référence manquante"),IF(COUNTIF($A$6:$A$505,A409)&gt;1,"Référence en double",IF(B409="","Désignation manquante",IF(C409="","Unité manquante","OK"))))</f>
        <v/>
      </c>
    </row>
    <row r="410">
      <c r="A410" s="59" t="n"/>
      <c r="B410" s="59" t="n"/>
      <c r="C410" s="54" t="n"/>
      <c r="D410" s="127" t="n"/>
      <c r="E410" s="128" t="n"/>
      <c r="F410" s="128" t="n"/>
      <c r="G410" s="57" t="str">
        <f>IF(A410="","",SUMIFS(jr_qty,jr_type,"BL",jr_art,A410,jr_year,p_year))</f>
        <v/>
      </c>
      <c r="H410" s="57" t="str">
        <f>IF(A410="","",SUMIFS(jr_qty,jr_type,"BR",jr_art,A410,jr_year,p_year))</f>
        <v/>
      </c>
      <c r="I410" s="57" t="str">
        <f>IF(A410="","",SUMIFS(jr_qty,jr_type,"BS",jr_art,A410,jr_year,p_year))</f>
        <v/>
      </c>
      <c r="J410" s="60" t="str">
        <f>IF(A410="",IF(B410="","","Référence manquante"),IF(COUNTIF($A$6:$A$505,A410)&gt;1,"Référence en double",IF(B410="","Désignation manquante",IF(C410="","Unité manquante","OK"))))</f>
        <v/>
      </c>
    </row>
    <row r="411">
      <c r="A411" s="59" t="n"/>
      <c r="B411" s="59" t="n"/>
      <c r="C411" s="54" t="n"/>
      <c r="D411" s="127" t="n"/>
      <c r="E411" s="128" t="n"/>
      <c r="F411" s="128" t="n"/>
      <c r="G411" s="57" t="str">
        <f>IF(A411="","",SUMIFS(jr_qty,jr_type,"BL",jr_art,A411,jr_year,p_year))</f>
        <v/>
      </c>
      <c r="H411" s="57" t="str">
        <f>IF(A411="","",SUMIFS(jr_qty,jr_type,"BR",jr_art,A411,jr_year,p_year))</f>
        <v/>
      </c>
      <c r="I411" s="57" t="str">
        <f>IF(A411="","",SUMIFS(jr_qty,jr_type,"BS",jr_art,A411,jr_year,p_year))</f>
        <v/>
      </c>
      <c r="J411" s="60" t="str">
        <f>IF(A411="",IF(B411="","","Référence manquante"),IF(COUNTIF($A$6:$A$505,A411)&gt;1,"Référence en double",IF(B411="","Désignation manquante",IF(C411="","Unité manquante","OK"))))</f>
        <v/>
      </c>
    </row>
    <row r="412">
      <c r="A412" s="59" t="n"/>
      <c r="B412" s="59" t="n"/>
      <c r="C412" s="54" t="n"/>
      <c r="D412" s="127" t="n"/>
      <c r="E412" s="128" t="n"/>
      <c r="F412" s="128" t="n"/>
      <c r="G412" s="57" t="str">
        <f>IF(A412="","",SUMIFS(jr_qty,jr_type,"BL",jr_art,A412,jr_year,p_year))</f>
        <v/>
      </c>
      <c r="H412" s="57" t="str">
        <f>IF(A412="","",SUMIFS(jr_qty,jr_type,"BR",jr_art,A412,jr_year,p_year))</f>
        <v/>
      </c>
      <c r="I412" s="57" t="str">
        <f>IF(A412="","",SUMIFS(jr_qty,jr_type,"BS",jr_art,A412,jr_year,p_year))</f>
        <v/>
      </c>
      <c r="J412" s="60" t="str">
        <f>IF(A412="",IF(B412="","","Référence manquante"),IF(COUNTIF($A$6:$A$505,A412)&gt;1,"Référence en double",IF(B412="","Désignation manquante",IF(C412="","Unité manquante","OK"))))</f>
        <v/>
      </c>
    </row>
    <row r="413">
      <c r="A413" s="59" t="n"/>
      <c r="B413" s="59" t="n"/>
      <c r="C413" s="54" t="n"/>
      <c r="D413" s="127" t="n"/>
      <c r="E413" s="128" t="n"/>
      <c r="F413" s="128" t="n"/>
      <c r="G413" s="57" t="str">
        <f>IF(A413="","",SUMIFS(jr_qty,jr_type,"BL",jr_art,A413,jr_year,p_year))</f>
        <v/>
      </c>
      <c r="H413" s="57" t="str">
        <f>IF(A413="","",SUMIFS(jr_qty,jr_type,"BR",jr_art,A413,jr_year,p_year))</f>
        <v/>
      </c>
      <c r="I413" s="57" t="str">
        <f>IF(A413="","",SUMIFS(jr_qty,jr_type,"BS",jr_art,A413,jr_year,p_year))</f>
        <v/>
      </c>
      <c r="J413" s="60" t="str">
        <f>IF(A413="",IF(B413="","","Référence manquante"),IF(COUNTIF($A$6:$A$505,A413)&gt;1,"Référence en double",IF(B413="","Désignation manquante",IF(C413="","Unité manquante","OK"))))</f>
        <v/>
      </c>
    </row>
    <row r="414">
      <c r="A414" s="59" t="n"/>
      <c r="B414" s="59" t="n"/>
      <c r="C414" s="54" t="n"/>
      <c r="D414" s="127" t="n"/>
      <c r="E414" s="128" t="n"/>
      <c r="F414" s="128" t="n"/>
      <c r="G414" s="57" t="str">
        <f>IF(A414="","",SUMIFS(jr_qty,jr_type,"BL",jr_art,A414,jr_year,p_year))</f>
        <v/>
      </c>
      <c r="H414" s="57" t="str">
        <f>IF(A414="","",SUMIFS(jr_qty,jr_type,"BR",jr_art,A414,jr_year,p_year))</f>
        <v/>
      </c>
      <c r="I414" s="57" t="str">
        <f>IF(A414="","",SUMIFS(jr_qty,jr_type,"BS",jr_art,A414,jr_year,p_year))</f>
        <v/>
      </c>
      <c r="J414" s="60" t="str">
        <f>IF(A414="",IF(B414="","","Référence manquante"),IF(COUNTIF($A$6:$A$505,A414)&gt;1,"Référence en double",IF(B414="","Désignation manquante",IF(C414="","Unité manquante","OK"))))</f>
        <v/>
      </c>
    </row>
    <row r="415">
      <c r="A415" s="59" t="n"/>
      <c r="B415" s="59" t="n"/>
      <c r="C415" s="54" t="n"/>
      <c r="D415" s="127" t="n"/>
      <c r="E415" s="128" t="n"/>
      <c r="F415" s="128" t="n"/>
      <c r="G415" s="57" t="str">
        <f>IF(A415="","",SUMIFS(jr_qty,jr_type,"BL",jr_art,A415,jr_year,p_year))</f>
        <v/>
      </c>
      <c r="H415" s="57" t="str">
        <f>IF(A415="","",SUMIFS(jr_qty,jr_type,"BR",jr_art,A415,jr_year,p_year))</f>
        <v/>
      </c>
      <c r="I415" s="57" t="str">
        <f>IF(A415="","",SUMIFS(jr_qty,jr_type,"BS",jr_art,A415,jr_year,p_year))</f>
        <v/>
      </c>
      <c r="J415" s="60" t="str">
        <f>IF(A415="",IF(B415="","","Référence manquante"),IF(COUNTIF($A$6:$A$505,A415)&gt;1,"Référence en double",IF(B415="","Désignation manquante",IF(C415="","Unité manquante","OK"))))</f>
        <v/>
      </c>
    </row>
    <row r="416">
      <c r="A416" s="59" t="n"/>
      <c r="B416" s="59" t="n"/>
      <c r="C416" s="54" t="n"/>
      <c r="D416" s="127" t="n"/>
      <c r="E416" s="128" t="n"/>
      <c r="F416" s="128" t="n"/>
      <c r="G416" s="57" t="str">
        <f>IF(A416="","",SUMIFS(jr_qty,jr_type,"BL",jr_art,A416,jr_year,p_year))</f>
        <v/>
      </c>
      <c r="H416" s="57" t="str">
        <f>IF(A416="","",SUMIFS(jr_qty,jr_type,"BR",jr_art,A416,jr_year,p_year))</f>
        <v/>
      </c>
      <c r="I416" s="57" t="str">
        <f>IF(A416="","",SUMIFS(jr_qty,jr_type,"BS",jr_art,A416,jr_year,p_year))</f>
        <v/>
      </c>
      <c r="J416" s="60" t="str">
        <f>IF(A416="",IF(B416="","","Référence manquante"),IF(COUNTIF($A$6:$A$505,A416)&gt;1,"Référence en double",IF(B416="","Désignation manquante",IF(C416="","Unité manquante","OK"))))</f>
        <v/>
      </c>
    </row>
    <row r="417">
      <c r="A417" s="59" t="n"/>
      <c r="B417" s="59" t="n"/>
      <c r="C417" s="54" t="n"/>
      <c r="D417" s="127" t="n"/>
      <c r="E417" s="128" t="n"/>
      <c r="F417" s="128" t="n"/>
      <c r="G417" s="57" t="str">
        <f>IF(A417="","",SUMIFS(jr_qty,jr_type,"BL",jr_art,A417,jr_year,p_year))</f>
        <v/>
      </c>
      <c r="H417" s="57" t="str">
        <f>IF(A417="","",SUMIFS(jr_qty,jr_type,"BR",jr_art,A417,jr_year,p_year))</f>
        <v/>
      </c>
      <c r="I417" s="57" t="str">
        <f>IF(A417="","",SUMIFS(jr_qty,jr_type,"BS",jr_art,A417,jr_year,p_year))</f>
        <v/>
      </c>
      <c r="J417" s="60" t="str">
        <f>IF(A417="",IF(B417="","","Référence manquante"),IF(COUNTIF($A$6:$A$505,A417)&gt;1,"Référence en double",IF(B417="","Désignation manquante",IF(C417="","Unité manquante","OK"))))</f>
        <v/>
      </c>
    </row>
    <row r="418">
      <c r="A418" s="59" t="n"/>
      <c r="B418" s="59" t="n"/>
      <c r="C418" s="54" t="n"/>
      <c r="D418" s="127" t="n"/>
      <c r="E418" s="128" t="n"/>
      <c r="F418" s="128" t="n"/>
      <c r="G418" s="57" t="str">
        <f>IF(A418="","",SUMIFS(jr_qty,jr_type,"BL",jr_art,A418,jr_year,p_year))</f>
        <v/>
      </c>
      <c r="H418" s="57" t="str">
        <f>IF(A418="","",SUMIFS(jr_qty,jr_type,"BR",jr_art,A418,jr_year,p_year))</f>
        <v/>
      </c>
      <c r="I418" s="57" t="str">
        <f>IF(A418="","",SUMIFS(jr_qty,jr_type,"BS",jr_art,A418,jr_year,p_year))</f>
        <v/>
      </c>
      <c r="J418" s="60" t="str">
        <f>IF(A418="",IF(B418="","","Référence manquante"),IF(COUNTIF($A$6:$A$505,A418)&gt;1,"Référence en double",IF(B418="","Désignation manquante",IF(C418="","Unité manquante","OK"))))</f>
        <v/>
      </c>
    </row>
    <row r="419">
      <c r="A419" s="59" t="n"/>
      <c r="B419" s="59" t="n"/>
      <c r="C419" s="54" t="n"/>
      <c r="D419" s="127" t="n"/>
      <c r="E419" s="128" t="n"/>
      <c r="F419" s="128" t="n"/>
      <c r="G419" s="57" t="str">
        <f>IF(A419="","",SUMIFS(jr_qty,jr_type,"BL",jr_art,A419,jr_year,p_year))</f>
        <v/>
      </c>
      <c r="H419" s="57" t="str">
        <f>IF(A419="","",SUMIFS(jr_qty,jr_type,"BR",jr_art,A419,jr_year,p_year))</f>
        <v/>
      </c>
      <c r="I419" s="57" t="str">
        <f>IF(A419="","",SUMIFS(jr_qty,jr_type,"BS",jr_art,A419,jr_year,p_year))</f>
        <v/>
      </c>
      <c r="J419" s="60" t="str">
        <f>IF(A419="",IF(B419="","","Référence manquante"),IF(COUNTIF($A$6:$A$505,A419)&gt;1,"Référence en double",IF(B419="","Désignation manquante",IF(C419="","Unité manquante","OK"))))</f>
        <v/>
      </c>
    </row>
    <row r="420">
      <c r="A420" s="59" t="n"/>
      <c r="B420" s="59" t="n"/>
      <c r="C420" s="54" t="n"/>
      <c r="D420" s="127" t="n"/>
      <c r="E420" s="128" t="n"/>
      <c r="F420" s="128" t="n"/>
      <c r="G420" s="57" t="str">
        <f>IF(A420="","",SUMIFS(jr_qty,jr_type,"BL",jr_art,A420,jr_year,p_year))</f>
        <v/>
      </c>
      <c r="H420" s="57" t="str">
        <f>IF(A420="","",SUMIFS(jr_qty,jr_type,"BR",jr_art,A420,jr_year,p_year))</f>
        <v/>
      </c>
      <c r="I420" s="57" t="str">
        <f>IF(A420="","",SUMIFS(jr_qty,jr_type,"BS",jr_art,A420,jr_year,p_year))</f>
        <v/>
      </c>
      <c r="J420" s="60" t="str">
        <f>IF(A420="",IF(B420="","","Référence manquante"),IF(COUNTIF($A$6:$A$505,A420)&gt;1,"Référence en double",IF(B420="","Désignation manquante",IF(C420="","Unité manquante","OK"))))</f>
        <v/>
      </c>
    </row>
    <row r="421">
      <c r="A421" s="59" t="n"/>
      <c r="B421" s="59" t="n"/>
      <c r="C421" s="54" t="n"/>
      <c r="D421" s="127" t="n"/>
      <c r="E421" s="128" t="n"/>
      <c r="F421" s="128" t="n"/>
      <c r="G421" s="57" t="str">
        <f>IF(A421="","",SUMIFS(jr_qty,jr_type,"BL",jr_art,A421,jr_year,p_year))</f>
        <v/>
      </c>
      <c r="H421" s="57" t="str">
        <f>IF(A421="","",SUMIFS(jr_qty,jr_type,"BR",jr_art,A421,jr_year,p_year))</f>
        <v/>
      </c>
      <c r="I421" s="57" t="str">
        <f>IF(A421="","",SUMIFS(jr_qty,jr_type,"BS",jr_art,A421,jr_year,p_year))</f>
        <v/>
      </c>
      <c r="J421" s="60" t="str">
        <f>IF(A421="",IF(B421="","","Référence manquante"),IF(COUNTIF($A$6:$A$505,A421)&gt;1,"Référence en double",IF(B421="","Désignation manquante",IF(C421="","Unité manquante","OK"))))</f>
        <v/>
      </c>
    </row>
    <row r="422">
      <c r="A422" s="59" t="n"/>
      <c r="B422" s="59" t="n"/>
      <c r="C422" s="54" t="n"/>
      <c r="D422" s="127" t="n"/>
      <c r="E422" s="128" t="n"/>
      <c r="F422" s="128" t="n"/>
      <c r="G422" s="57" t="str">
        <f>IF(A422="","",SUMIFS(jr_qty,jr_type,"BL",jr_art,A422,jr_year,p_year))</f>
        <v/>
      </c>
      <c r="H422" s="57" t="str">
        <f>IF(A422="","",SUMIFS(jr_qty,jr_type,"BR",jr_art,A422,jr_year,p_year))</f>
        <v/>
      </c>
      <c r="I422" s="57" t="str">
        <f>IF(A422="","",SUMIFS(jr_qty,jr_type,"BS",jr_art,A422,jr_year,p_year))</f>
        <v/>
      </c>
      <c r="J422" s="60" t="str">
        <f>IF(A422="",IF(B422="","","Référence manquante"),IF(COUNTIF($A$6:$A$505,A422)&gt;1,"Référence en double",IF(B422="","Désignation manquante",IF(C422="","Unité manquante","OK"))))</f>
        <v/>
      </c>
    </row>
    <row r="423">
      <c r="A423" s="59" t="n"/>
      <c r="B423" s="59" t="n"/>
      <c r="C423" s="54" t="n"/>
      <c r="D423" s="127" t="n"/>
      <c r="E423" s="128" t="n"/>
      <c r="F423" s="128" t="n"/>
      <c r="G423" s="57" t="str">
        <f>IF(A423="","",SUMIFS(jr_qty,jr_type,"BL",jr_art,A423,jr_year,p_year))</f>
        <v/>
      </c>
      <c r="H423" s="57" t="str">
        <f>IF(A423="","",SUMIFS(jr_qty,jr_type,"BR",jr_art,A423,jr_year,p_year))</f>
        <v/>
      </c>
      <c r="I423" s="57" t="str">
        <f>IF(A423="","",SUMIFS(jr_qty,jr_type,"BS",jr_art,A423,jr_year,p_year))</f>
        <v/>
      </c>
      <c r="J423" s="60" t="str">
        <f>IF(A423="",IF(B423="","","Référence manquante"),IF(COUNTIF($A$6:$A$505,A423)&gt;1,"Référence en double",IF(B423="","Désignation manquante",IF(C423="","Unité manquante","OK"))))</f>
        <v/>
      </c>
    </row>
    <row r="424">
      <c r="A424" s="59" t="n"/>
      <c r="B424" s="59" t="n"/>
      <c r="C424" s="54" t="n"/>
      <c r="D424" s="127" t="n"/>
      <c r="E424" s="128" t="n"/>
      <c r="F424" s="128" t="n"/>
      <c r="G424" s="57" t="str">
        <f>IF(A424="","",SUMIFS(jr_qty,jr_type,"BL",jr_art,A424,jr_year,p_year))</f>
        <v/>
      </c>
      <c r="H424" s="57" t="str">
        <f>IF(A424="","",SUMIFS(jr_qty,jr_type,"BR",jr_art,A424,jr_year,p_year))</f>
        <v/>
      </c>
      <c r="I424" s="57" t="str">
        <f>IF(A424="","",SUMIFS(jr_qty,jr_type,"BS",jr_art,A424,jr_year,p_year))</f>
        <v/>
      </c>
      <c r="J424" s="60" t="str">
        <f>IF(A424="",IF(B424="","","Référence manquante"),IF(COUNTIF($A$6:$A$505,A424)&gt;1,"Référence en double",IF(B424="","Désignation manquante",IF(C424="","Unité manquante","OK"))))</f>
        <v/>
      </c>
    </row>
    <row r="425">
      <c r="A425" s="59" t="n"/>
      <c r="B425" s="59" t="n"/>
      <c r="C425" s="54" t="n"/>
      <c r="D425" s="127" t="n"/>
      <c r="E425" s="128" t="n"/>
      <c r="F425" s="128" t="n"/>
      <c r="G425" s="57" t="str">
        <f>IF(A425="","",SUMIFS(jr_qty,jr_type,"BL",jr_art,A425,jr_year,p_year))</f>
        <v/>
      </c>
      <c r="H425" s="57" t="str">
        <f>IF(A425="","",SUMIFS(jr_qty,jr_type,"BR",jr_art,A425,jr_year,p_year))</f>
        <v/>
      </c>
      <c r="I425" s="57" t="str">
        <f>IF(A425="","",SUMIFS(jr_qty,jr_type,"BS",jr_art,A425,jr_year,p_year))</f>
        <v/>
      </c>
      <c r="J425" s="60" t="str">
        <f>IF(A425="",IF(B425="","","Référence manquante"),IF(COUNTIF($A$6:$A$505,A425)&gt;1,"Référence en double",IF(B425="","Désignation manquante",IF(C425="","Unité manquante","OK"))))</f>
        <v/>
      </c>
    </row>
    <row r="426">
      <c r="A426" s="59" t="n"/>
      <c r="B426" s="59" t="n"/>
      <c r="C426" s="54" t="n"/>
      <c r="D426" s="127" t="n"/>
      <c r="E426" s="128" t="n"/>
      <c r="F426" s="128" t="n"/>
      <c r="G426" s="57" t="str">
        <f>IF(A426="","",SUMIFS(jr_qty,jr_type,"BL",jr_art,A426,jr_year,p_year))</f>
        <v/>
      </c>
      <c r="H426" s="57" t="str">
        <f>IF(A426="","",SUMIFS(jr_qty,jr_type,"BR",jr_art,A426,jr_year,p_year))</f>
        <v/>
      </c>
      <c r="I426" s="57" t="str">
        <f>IF(A426="","",SUMIFS(jr_qty,jr_type,"BS",jr_art,A426,jr_year,p_year))</f>
        <v/>
      </c>
      <c r="J426" s="60" t="str">
        <f>IF(A426="",IF(B426="","","Référence manquante"),IF(COUNTIF($A$6:$A$505,A426)&gt;1,"Référence en double",IF(B426="","Désignation manquante",IF(C426="","Unité manquante","OK"))))</f>
        <v/>
      </c>
    </row>
    <row r="427">
      <c r="A427" s="59" t="n"/>
      <c r="B427" s="59" t="n"/>
      <c r="C427" s="54" t="n"/>
      <c r="D427" s="127" t="n"/>
      <c r="E427" s="128" t="n"/>
      <c r="F427" s="128" t="n"/>
      <c r="G427" s="57" t="str">
        <f>IF(A427="","",SUMIFS(jr_qty,jr_type,"BL",jr_art,A427,jr_year,p_year))</f>
        <v/>
      </c>
      <c r="H427" s="57" t="str">
        <f>IF(A427="","",SUMIFS(jr_qty,jr_type,"BR",jr_art,A427,jr_year,p_year))</f>
        <v/>
      </c>
      <c r="I427" s="57" t="str">
        <f>IF(A427="","",SUMIFS(jr_qty,jr_type,"BS",jr_art,A427,jr_year,p_year))</f>
        <v/>
      </c>
      <c r="J427" s="60" t="str">
        <f>IF(A427="",IF(B427="","","Référence manquante"),IF(COUNTIF($A$6:$A$505,A427)&gt;1,"Référence en double",IF(B427="","Désignation manquante",IF(C427="","Unité manquante","OK"))))</f>
        <v/>
      </c>
    </row>
    <row r="428">
      <c r="A428" s="59" t="n"/>
      <c r="B428" s="59" t="n"/>
      <c r="C428" s="54" t="n"/>
      <c r="D428" s="127" t="n"/>
      <c r="E428" s="128" t="n"/>
      <c r="F428" s="128" t="n"/>
      <c r="G428" s="57" t="str">
        <f>IF(A428="","",SUMIFS(jr_qty,jr_type,"BL",jr_art,A428,jr_year,p_year))</f>
        <v/>
      </c>
      <c r="H428" s="57" t="str">
        <f>IF(A428="","",SUMIFS(jr_qty,jr_type,"BR",jr_art,A428,jr_year,p_year))</f>
        <v/>
      </c>
      <c r="I428" s="57" t="str">
        <f>IF(A428="","",SUMIFS(jr_qty,jr_type,"BS",jr_art,A428,jr_year,p_year))</f>
        <v/>
      </c>
      <c r="J428" s="60" t="str">
        <f>IF(A428="",IF(B428="","","Référence manquante"),IF(COUNTIF($A$6:$A$505,A428)&gt;1,"Référence en double",IF(B428="","Désignation manquante",IF(C428="","Unité manquante","OK"))))</f>
        <v/>
      </c>
    </row>
    <row r="429">
      <c r="A429" s="59" t="n"/>
      <c r="B429" s="59" t="n"/>
      <c r="C429" s="54" t="n"/>
      <c r="D429" s="127" t="n"/>
      <c r="E429" s="128" t="n"/>
      <c r="F429" s="128" t="n"/>
      <c r="G429" s="57" t="str">
        <f>IF(A429="","",SUMIFS(jr_qty,jr_type,"BL",jr_art,A429,jr_year,p_year))</f>
        <v/>
      </c>
      <c r="H429" s="57" t="str">
        <f>IF(A429="","",SUMIFS(jr_qty,jr_type,"BR",jr_art,A429,jr_year,p_year))</f>
        <v/>
      </c>
      <c r="I429" s="57" t="str">
        <f>IF(A429="","",SUMIFS(jr_qty,jr_type,"BS",jr_art,A429,jr_year,p_year))</f>
        <v/>
      </c>
      <c r="J429" s="60" t="str">
        <f>IF(A429="",IF(B429="","","Référence manquante"),IF(COUNTIF($A$6:$A$505,A429)&gt;1,"Référence en double",IF(B429="","Désignation manquante",IF(C429="","Unité manquante","OK"))))</f>
        <v/>
      </c>
    </row>
    <row r="430">
      <c r="A430" s="59" t="n"/>
      <c r="B430" s="59" t="n"/>
      <c r="C430" s="54" t="n"/>
      <c r="D430" s="127" t="n"/>
      <c r="E430" s="128" t="n"/>
      <c r="F430" s="128" t="n"/>
      <c r="G430" s="57" t="str">
        <f>IF(A430="","",SUMIFS(jr_qty,jr_type,"BL",jr_art,A430,jr_year,p_year))</f>
        <v/>
      </c>
      <c r="H430" s="57" t="str">
        <f>IF(A430="","",SUMIFS(jr_qty,jr_type,"BR",jr_art,A430,jr_year,p_year))</f>
        <v/>
      </c>
      <c r="I430" s="57" t="str">
        <f>IF(A430="","",SUMIFS(jr_qty,jr_type,"BS",jr_art,A430,jr_year,p_year))</f>
        <v/>
      </c>
      <c r="J430" s="60" t="str">
        <f>IF(A430="",IF(B430="","","Référence manquante"),IF(COUNTIF($A$6:$A$505,A430)&gt;1,"Référence en double",IF(B430="","Désignation manquante",IF(C430="","Unité manquante","OK"))))</f>
        <v/>
      </c>
    </row>
    <row r="431">
      <c r="A431" s="59" t="n"/>
      <c r="B431" s="59" t="n"/>
      <c r="C431" s="54" t="n"/>
      <c r="D431" s="127" t="n"/>
      <c r="E431" s="128" t="n"/>
      <c r="F431" s="128" t="n"/>
      <c r="G431" s="57" t="str">
        <f>IF(A431="","",SUMIFS(jr_qty,jr_type,"BL",jr_art,A431,jr_year,p_year))</f>
        <v/>
      </c>
      <c r="H431" s="57" t="str">
        <f>IF(A431="","",SUMIFS(jr_qty,jr_type,"BR",jr_art,A431,jr_year,p_year))</f>
        <v/>
      </c>
      <c r="I431" s="57" t="str">
        <f>IF(A431="","",SUMIFS(jr_qty,jr_type,"BS",jr_art,A431,jr_year,p_year))</f>
        <v/>
      </c>
      <c r="J431" s="60" t="str">
        <f>IF(A431="",IF(B431="","","Référence manquante"),IF(COUNTIF($A$6:$A$505,A431)&gt;1,"Référence en double",IF(B431="","Désignation manquante",IF(C431="","Unité manquante","OK"))))</f>
        <v/>
      </c>
    </row>
    <row r="432">
      <c r="A432" s="59" t="n"/>
      <c r="B432" s="59" t="n"/>
      <c r="C432" s="54" t="n"/>
      <c r="D432" s="127" t="n"/>
      <c r="E432" s="128" t="n"/>
      <c r="F432" s="128" t="n"/>
      <c r="G432" s="57" t="str">
        <f>IF(A432="","",SUMIFS(jr_qty,jr_type,"BL",jr_art,A432,jr_year,p_year))</f>
        <v/>
      </c>
      <c r="H432" s="57" t="str">
        <f>IF(A432="","",SUMIFS(jr_qty,jr_type,"BR",jr_art,A432,jr_year,p_year))</f>
        <v/>
      </c>
      <c r="I432" s="57" t="str">
        <f>IF(A432="","",SUMIFS(jr_qty,jr_type,"BS",jr_art,A432,jr_year,p_year))</f>
        <v/>
      </c>
      <c r="J432" s="60" t="str">
        <f>IF(A432="",IF(B432="","","Référence manquante"),IF(COUNTIF($A$6:$A$505,A432)&gt;1,"Référence en double",IF(B432="","Désignation manquante",IF(C432="","Unité manquante","OK"))))</f>
        <v/>
      </c>
    </row>
    <row r="433">
      <c r="A433" s="59" t="n"/>
      <c r="B433" s="59" t="n"/>
      <c r="C433" s="54" t="n"/>
      <c r="D433" s="127" t="n"/>
      <c r="E433" s="128" t="n"/>
      <c r="F433" s="128" t="n"/>
      <c r="G433" s="57" t="str">
        <f>IF(A433="","",SUMIFS(jr_qty,jr_type,"BL",jr_art,A433,jr_year,p_year))</f>
        <v/>
      </c>
      <c r="H433" s="57" t="str">
        <f>IF(A433="","",SUMIFS(jr_qty,jr_type,"BR",jr_art,A433,jr_year,p_year))</f>
        <v/>
      </c>
      <c r="I433" s="57" t="str">
        <f>IF(A433="","",SUMIFS(jr_qty,jr_type,"BS",jr_art,A433,jr_year,p_year))</f>
        <v/>
      </c>
      <c r="J433" s="60" t="str">
        <f>IF(A433="",IF(B433="","","Référence manquante"),IF(COUNTIF($A$6:$A$505,A433)&gt;1,"Référence en double",IF(B433="","Désignation manquante",IF(C433="","Unité manquante","OK"))))</f>
        <v/>
      </c>
    </row>
    <row r="434">
      <c r="A434" s="59" t="n"/>
      <c r="B434" s="59" t="n"/>
      <c r="C434" s="54" t="n"/>
      <c r="D434" s="127" t="n"/>
      <c r="E434" s="128" t="n"/>
      <c r="F434" s="128" t="n"/>
      <c r="G434" s="57" t="str">
        <f>IF(A434="","",SUMIFS(jr_qty,jr_type,"BL",jr_art,A434,jr_year,p_year))</f>
        <v/>
      </c>
      <c r="H434" s="57" t="str">
        <f>IF(A434="","",SUMIFS(jr_qty,jr_type,"BR",jr_art,A434,jr_year,p_year))</f>
        <v/>
      </c>
      <c r="I434" s="57" t="str">
        <f>IF(A434="","",SUMIFS(jr_qty,jr_type,"BS",jr_art,A434,jr_year,p_year))</f>
        <v/>
      </c>
      <c r="J434" s="60" t="str">
        <f>IF(A434="",IF(B434="","","Référence manquante"),IF(COUNTIF($A$6:$A$505,A434)&gt;1,"Référence en double",IF(B434="","Désignation manquante",IF(C434="","Unité manquante","OK"))))</f>
        <v/>
      </c>
    </row>
    <row r="435">
      <c r="A435" s="59" t="n"/>
      <c r="B435" s="59" t="n"/>
      <c r="C435" s="54" t="n"/>
      <c r="D435" s="127" t="n"/>
      <c r="E435" s="128" t="n"/>
      <c r="F435" s="128" t="n"/>
      <c r="G435" s="57" t="str">
        <f>IF(A435="","",SUMIFS(jr_qty,jr_type,"BL",jr_art,A435,jr_year,p_year))</f>
        <v/>
      </c>
      <c r="H435" s="57" t="str">
        <f>IF(A435="","",SUMIFS(jr_qty,jr_type,"BR",jr_art,A435,jr_year,p_year))</f>
        <v/>
      </c>
      <c r="I435" s="57" t="str">
        <f>IF(A435="","",SUMIFS(jr_qty,jr_type,"BS",jr_art,A435,jr_year,p_year))</f>
        <v/>
      </c>
      <c r="J435" s="60" t="str">
        <f>IF(A435="",IF(B435="","","Référence manquante"),IF(COUNTIF($A$6:$A$505,A435)&gt;1,"Référence en double",IF(B435="","Désignation manquante",IF(C435="","Unité manquante","OK"))))</f>
        <v/>
      </c>
    </row>
    <row r="436">
      <c r="A436" s="59" t="n"/>
      <c r="B436" s="59" t="n"/>
      <c r="C436" s="54" t="n"/>
      <c r="D436" s="127" t="n"/>
      <c r="E436" s="128" t="n"/>
      <c r="F436" s="128" t="n"/>
      <c r="G436" s="57" t="str">
        <f>IF(A436="","",SUMIFS(jr_qty,jr_type,"BL",jr_art,A436,jr_year,p_year))</f>
        <v/>
      </c>
      <c r="H436" s="57" t="str">
        <f>IF(A436="","",SUMIFS(jr_qty,jr_type,"BR",jr_art,A436,jr_year,p_year))</f>
        <v/>
      </c>
      <c r="I436" s="57" t="str">
        <f>IF(A436="","",SUMIFS(jr_qty,jr_type,"BS",jr_art,A436,jr_year,p_year))</f>
        <v/>
      </c>
      <c r="J436" s="60" t="str">
        <f>IF(A436="",IF(B436="","","Référence manquante"),IF(COUNTIF($A$6:$A$505,A436)&gt;1,"Référence en double",IF(B436="","Désignation manquante",IF(C436="","Unité manquante","OK"))))</f>
        <v/>
      </c>
    </row>
    <row r="437">
      <c r="A437" s="59" t="n"/>
      <c r="B437" s="59" t="n"/>
      <c r="C437" s="54" t="n"/>
      <c r="D437" s="127" t="n"/>
      <c r="E437" s="128" t="n"/>
      <c r="F437" s="128" t="n"/>
      <c r="G437" s="57" t="str">
        <f>IF(A437="","",SUMIFS(jr_qty,jr_type,"BL",jr_art,A437,jr_year,p_year))</f>
        <v/>
      </c>
      <c r="H437" s="57" t="str">
        <f>IF(A437="","",SUMIFS(jr_qty,jr_type,"BR",jr_art,A437,jr_year,p_year))</f>
        <v/>
      </c>
      <c r="I437" s="57" t="str">
        <f>IF(A437="","",SUMIFS(jr_qty,jr_type,"BS",jr_art,A437,jr_year,p_year))</f>
        <v/>
      </c>
      <c r="J437" s="60" t="str">
        <f>IF(A437="",IF(B437="","","Référence manquante"),IF(COUNTIF($A$6:$A$505,A437)&gt;1,"Référence en double",IF(B437="","Désignation manquante",IF(C437="","Unité manquante","OK"))))</f>
        <v/>
      </c>
    </row>
    <row r="438">
      <c r="A438" s="59" t="n"/>
      <c r="B438" s="59" t="n"/>
      <c r="C438" s="54" t="n"/>
      <c r="D438" s="127" t="n"/>
      <c r="E438" s="128" t="n"/>
      <c r="F438" s="128" t="n"/>
      <c r="G438" s="57" t="str">
        <f>IF(A438="","",SUMIFS(jr_qty,jr_type,"BL",jr_art,A438,jr_year,p_year))</f>
        <v/>
      </c>
      <c r="H438" s="57" t="str">
        <f>IF(A438="","",SUMIFS(jr_qty,jr_type,"BR",jr_art,A438,jr_year,p_year))</f>
        <v/>
      </c>
      <c r="I438" s="57" t="str">
        <f>IF(A438="","",SUMIFS(jr_qty,jr_type,"BS",jr_art,A438,jr_year,p_year))</f>
        <v/>
      </c>
      <c r="J438" s="60" t="str">
        <f>IF(A438="",IF(B438="","","Référence manquante"),IF(COUNTIF($A$6:$A$505,A438)&gt;1,"Référence en double",IF(B438="","Désignation manquante",IF(C438="","Unité manquante","OK"))))</f>
        <v/>
      </c>
    </row>
    <row r="439">
      <c r="A439" s="59" t="n"/>
      <c r="B439" s="59" t="n"/>
      <c r="C439" s="54" t="n"/>
      <c r="D439" s="127" t="n"/>
      <c r="E439" s="128" t="n"/>
      <c r="F439" s="128" t="n"/>
      <c r="G439" s="57" t="str">
        <f>IF(A439="","",SUMIFS(jr_qty,jr_type,"BL",jr_art,A439,jr_year,p_year))</f>
        <v/>
      </c>
      <c r="H439" s="57" t="str">
        <f>IF(A439="","",SUMIFS(jr_qty,jr_type,"BR",jr_art,A439,jr_year,p_year))</f>
        <v/>
      </c>
      <c r="I439" s="57" t="str">
        <f>IF(A439="","",SUMIFS(jr_qty,jr_type,"BS",jr_art,A439,jr_year,p_year))</f>
        <v/>
      </c>
      <c r="J439" s="60" t="str">
        <f>IF(A439="",IF(B439="","","Référence manquante"),IF(COUNTIF($A$6:$A$505,A439)&gt;1,"Référence en double",IF(B439="","Désignation manquante",IF(C439="","Unité manquante","OK"))))</f>
        <v/>
      </c>
    </row>
    <row r="440">
      <c r="A440" s="59" t="n"/>
      <c r="B440" s="59" t="n"/>
      <c r="C440" s="54" t="n"/>
      <c r="D440" s="127" t="n"/>
      <c r="E440" s="128" t="n"/>
      <c r="F440" s="128" t="n"/>
      <c r="G440" s="57" t="str">
        <f>IF(A440="","",SUMIFS(jr_qty,jr_type,"BL",jr_art,A440,jr_year,p_year))</f>
        <v/>
      </c>
      <c r="H440" s="57" t="str">
        <f>IF(A440="","",SUMIFS(jr_qty,jr_type,"BR",jr_art,A440,jr_year,p_year))</f>
        <v/>
      </c>
      <c r="I440" s="57" t="str">
        <f>IF(A440="","",SUMIFS(jr_qty,jr_type,"BS",jr_art,A440,jr_year,p_year))</f>
        <v/>
      </c>
      <c r="J440" s="60" t="str">
        <f>IF(A440="",IF(B440="","","Référence manquante"),IF(COUNTIF($A$6:$A$505,A440)&gt;1,"Référence en double",IF(B440="","Désignation manquante",IF(C440="","Unité manquante","OK"))))</f>
        <v/>
      </c>
    </row>
    <row r="441">
      <c r="A441" s="59" t="n"/>
      <c r="B441" s="59" t="n"/>
      <c r="C441" s="54" t="n"/>
      <c r="D441" s="127" t="n"/>
      <c r="E441" s="128" t="n"/>
      <c r="F441" s="128" t="n"/>
      <c r="G441" s="57" t="str">
        <f>IF(A441="","",SUMIFS(jr_qty,jr_type,"BL",jr_art,A441,jr_year,p_year))</f>
        <v/>
      </c>
      <c r="H441" s="57" t="str">
        <f>IF(A441="","",SUMIFS(jr_qty,jr_type,"BR",jr_art,A441,jr_year,p_year))</f>
        <v/>
      </c>
      <c r="I441" s="57" t="str">
        <f>IF(A441="","",SUMIFS(jr_qty,jr_type,"BS",jr_art,A441,jr_year,p_year))</f>
        <v/>
      </c>
      <c r="J441" s="60" t="str">
        <f>IF(A441="",IF(B441="","","Référence manquante"),IF(COUNTIF($A$6:$A$505,A441)&gt;1,"Référence en double",IF(B441="","Désignation manquante",IF(C441="","Unité manquante","OK"))))</f>
        <v/>
      </c>
    </row>
    <row r="442">
      <c r="A442" s="59" t="n"/>
      <c r="B442" s="59" t="n"/>
      <c r="C442" s="54" t="n"/>
      <c r="D442" s="127" t="n"/>
      <c r="E442" s="128" t="n"/>
      <c r="F442" s="128" t="n"/>
      <c r="G442" s="57" t="str">
        <f>IF(A442="","",SUMIFS(jr_qty,jr_type,"BL",jr_art,A442,jr_year,p_year))</f>
        <v/>
      </c>
      <c r="H442" s="57" t="str">
        <f>IF(A442="","",SUMIFS(jr_qty,jr_type,"BR",jr_art,A442,jr_year,p_year))</f>
        <v/>
      </c>
      <c r="I442" s="57" t="str">
        <f>IF(A442="","",SUMIFS(jr_qty,jr_type,"BS",jr_art,A442,jr_year,p_year))</f>
        <v/>
      </c>
      <c r="J442" s="60" t="str">
        <f>IF(A442="",IF(B442="","","Référence manquante"),IF(COUNTIF($A$6:$A$505,A442)&gt;1,"Référence en double",IF(B442="","Désignation manquante",IF(C442="","Unité manquante","OK"))))</f>
        <v/>
      </c>
    </row>
    <row r="443">
      <c r="A443" s="59" t="n"/>
      <c r="B443" s="59" t="n"/>
      <c r="C443" s="54" t="n"/>
      <c r="D443" s="127" t="n"/>
      <c r="E443" s="128" t="n"/>
      <c r="F443" s="128" t="n"/>
      <c r="G443" s="57" t="str">
        <f>IF(A443="","",SUMIFS(jr_qty,jr_type,"BL",jr_art,A443,jr_year,p_year))</f>
        <v/>
      </c>
      <c r="H443" s="57" t="str">
        <f>IF(A443="","",SUMIFS(jr_qty,jr_type,"BR",jr_art,A443,jr_year,p_year))</f>
        <v/>
      </c>
      <c r="I443" s="57" t="str">
        <f>IF(A443="","",SUMIFS(jr_qty,jr_type,"BS",jr_art,A443,jr_year,p_year))</f>
        <v/>
      </c>
      <c r="J443" s="60" t="str">
        <f>IF(A443="",IF(B443="","","Référence manquante"),IF(COUNTIF($A$6:$A$505,A443)&gt;1,"Référence en double",IF(B443="","Désignation manquante",IF(C443="","Unité manquante","OK"))))</f>
        <v/>
      </c>
    </row>
    <row r="444">
      <c r="A444" s="59" t="n"/>
      <c r="B444" s="59" t="n"/>
      <c r="C444" s="54" t="n"/>
      <c r="D444" s="127" t="n"/>
      <c r="E444" s="128" t="n"/>
      <c r="F444" s="128" t="n"/>
      <c r="G444" s="57" t="str">
        <f>IF(A444="","",SUMIFS(jr_qty,jr_type,"BL",jr_art,A444,jr_year,p_year))</f>
        <v/>
      </c>
      <c r="H444" s="57" t="str">
        <f>IF(A444="","",SUMIFS(jr_qty,jr_type,"BR",jr_art,A444,jr_year,p_year))</f>
        <v/>
      </c>
      <c r="I444" s="57" t="str">
        <f>IF(A444="","",SUMIFS(jr_qty,jr_type,"BS",jr_art,A444,jr_year,p_year))</f>
        <v/>
      </c>
      <c r="J444" s="60" t="str">
        <f>IF(A444="",IF(B444="","","Référence manquante"),IF(COUNTIF($A$6:$A$505,A444)&gt;1,"Référence en double",IF(B444="","Désignation manquante",IF(C444="","Unité manquante","OK"))))</f>
        <v/>
      </c>
    </row>
    <row r="445">
      <c r="A445" s="59" t="n"/>
      <c r="B445" s="59" t="n"/>
      <c r="C445" s="54" t="n"/>
      <c r="D445" s="127" t="n"/>
      <c r="E445" s="128" t="n"/>
      <c r="F445" s="128" t="n"/>
      <c r="G445" s="57" t="str">
        <f>IF(A445="","",SUMIFS(jr_qty,jr_type,"BL",jr_art,A445,jr_year,p_year))</f>
        <v/>
      </c>
      <c r="H445" s="57" t="str">
        <f>IF(A445="","",SUMIFS(jr_qty,jr_type,"BR",jr_art,A445,jr_year,p_year))</f>
        <v/>
      </c>
      <c r="I445" s="57" t="str">
        <f>IF(A445="","",SUMIFS(jr_qty,jr_type,"BS",jr_art,A445,jr_year,p_year))</f>
        <v/>
      </c>
      <c r="J445" s="60" t="str">
        <f>IF(A445="",IF(B445="","","Référence manquante"),IF(COUNTIF($A$6:$A$505,A445)&gt;1,"Référence en double",IF(B445="","Désignation manquante",IF(C445="","Unité manquante","OK"))))</f>
        <v/>
      </c>
    </row>
    <row r="446">
      <c r="A446" s="59" t="n"/>
      <c r="B446" s="59" t="n"/>
      <c r="C446" s="54" t="n"/>
      <c r="D446" s="127" t="n"/>
      <c r="E446" s="128" t="n"/>
      <c r="F446" s="128" t="n"/>
      <c r="G446" s="57" t="str">
        <f>IF(A446="","",SUMIFS(jr_qty,jr_type,"BL",jr_art,A446,jr_year,p_year))</f>
        <v/>
      </c>
      <c r="H446" s="57" t="str">
        <f>IF(A446="","",SUMIFS(jr_qty,jr_type,"BR",jr_art,A446,jr_year,p_year))</f>
        <v/>
      </c>
      <c r="I446" s="57" t="str">
        <f>IF(A446="","",SUMIFS(jr_qty,jr_type,"BS",jr_art,A446,jr_year,p_year))</f>
        <v/>
      </c>
      <c r="J446" s="60" t="str">
        <f>IF(A446="",IF(B446="","","Référence manquante"),IF(COUNTIF($A$6:$A$505,A446)&gt;1,"Référence en double",IF(B446="","Désignation manquante",IF(C446="","Unité manquante","OK"))))</f>
        <v/>
      </c>
    </row>
    <row r="447">
      <c r="A447" s="59" t="n"/>
      <c r="B447" s="59" t="n"/>
      <c r="C447" s="54" t="n"/>
      <c r="D447" s="127" t="n"/>
      <c r="E447" s="128" t="n"/>
      <c r="F447" s="128" t="n"/>
      <c r="G447" s="57" t="str">
        <f>IF(A447="","",SUMIFS(jr_qty,jr_type,"BL",jr_art,A447,jr_year,p_year))</f>
        <v/>
      </c>
      <c r="H447" s="57" t="str">
        <f>IF(A447="","",SUMIFS(jr_qty,jr_type,"BR",jr_art,A447,jr_year,p_year))</f>
        <v/>
      </c>
      <c r="I447" s="57" t="str">
        <f>IF(A447="","",SUMIFS(jr_qty,jr_type,"BS",jr_art,A447,jr_year,p_year))</f>
        <v/>
      </c>
      <c r="J447" s="60" t="str">
        <f>IF(A447="",IF(B447="","","Référence manquante"),IF(COUNTIF($A$6:$A$505,A447)&gt;1,"Référence en double",IF(B447="","Désignation manquante",IF(C447="","Unité manquante","OK"))))</f>
        <v/>
      </c>
    </row>
    <row r="448">
      <c r="A448" s="59" t="n"/>
      <c r="B448" s="59" t="n"/>
      <c r="C448" s="54" t="n"/>
      <c r="D448" s="127" t="n"/>
      <c r="E448" s="128" t="n"/>
      <c r="F448" s="128" t="n"/>
      <c r="G448" s="57" t="str">
        <f>IF(A448="","",SUMIFS(jr_qty,jr_type,"BL",jr_art,A448,jr_year,p_year))</f>
        <v/>
      </c>
      <c r="H448" s="57" t="str">
        <f>IF(A448="","",SUMIFS(jr_qty,jr_type,"BR",jr_art,A448,jr_year,p_year))</f>
        <v/>
      </c>
      <c r="I448" s="57" t="str">
        <f>IF(A448="","",SUMIFS(jr_qty,jr_type,"BS",jr_art,A448,jr_year,p_year))</f>
        <v/>
      </c>
      <c r="J448" s="60" t="str">
        <f>IF(A448="",IF(B448="","","Référence manquante"),IF(COUNTIF($A$6:$A$505,A448)&gt;1,"Référence en double",IF(B448="","Désignation manquante",IF(C448="","Unité manquante","OK"))))</f>
        <v/>
      </c>
    </row>
    <row r="449">
      <c r="A449" s="59" t="n"/>
      <c r="B449" s="59" t="n"/>
      <c r="C449" s="54" t="n"/>
      <c r="D449" s="127" t="n"/>
      <c r="E449" s="128" t="n"/>
      <c r="F449" s="128" t="n"/>
      <c r="G449" s="57" t="str">
        <f>IF(A449="","",SUMIFS(jr_qty,jr_type,"BL",jr_art,A449,jr_year,p_year))</f>
        <v/>
      </c>
      <c r="H449" s="57" t="str">
        <f>IF(A449="","",SUMIFS(jr_qty,jr_type,"BR",jr_art,A449,jr_year,p_year))</f>
        <v/>
      </c>
      <c r="I449" s="57" t="str">
        <f>IF(A449="","",SUMIFS(jr_qty,jr_type,"BS",jr_art,A449,jr_year,p_year))</f>
        <v/>
      </c>
      <c r="J449" s="60" t="str">
        <f>IF(A449="",IF(B449="","","Référence manquante"),IF(COUNTIF($A$6:$A$505,A449)&gt;1,"Référence en double",IF(B449="","Désignation manquante",IF(C449="","Unité manquante","OK"))))</f>
        <v/>
      </c>
    </row>
    <row r="450">
      <c r="A450" s="59" t="n"/>
      <c r="B450" s="59" t="n"/>
      <c r="C450" s="54" t="n"/>
      <c r="D450" s="127" t="n"/>
      <c r="E450" s="128" t="n"/>
      <c r="F450" s="128" t="n"/>
      <c r="G450" s="57" t="str">
        <f>IF(A450="","",SUMIFS(jr_qty,jr_type,"BL",jr_art,A450,jr_year,p_year))</f>
        <v/>
      </c>
      <c r="H450" s="57" t="str">
        <f>IF(A450="","",SUMIFS(jr_qty,jr_type,"BR",jr_art,A450,jr_year,p_year))</f>
        <v/>
      </c>
      <c r="I450" s="57" t="str">
        <f>IF(A450="","",SUMIFS(jr_qty,jr_type,"BS",jr_art,A450,jr_year,p_year))</f>
        <v/>
      </c>
      <c r="J450" s="60" t="str">
        <f>IF(A450="",IF(B450="","","Référence manquante"),IF(COUNTIF($A$6:$A$505,A450)&gt;1,"Référence en double",IF(B450="","Désignation manquante",IF(C450="","Unité manquante","OK"))))</f>
        <v/>
      </c>
    </row>
    <row r="451">
      <c r="A451" s="59" t="n"/>
      <c r="B451" s="59" t="n"/>
      <c r="C451" s="54" t="n"/>
      <c r="D451" s="127" t="n"/>
      <c r="E451" s="128" t="n"/>
      <c r="F451" s="128" t="n"/>
      <c r="G451" s="57" t="str">
        <f>IF(A451="","",SUMIFS(jr_qty,jr_type,"BL",jr_art,A451,jr_year,p_year))</f>
        <v/>
      </c>
      <c r="H451" s="57" t="str">
        <f>IF(A451="","",SUMIFS(jr_qty,jr_type,"BR",jr_art,A451,jr_year,p_year))</f>
        <v/>
      </c>
      <c r="I451" s="57" t="str">
        <f>IF(A451="","",SUMIFS(jr_qty,jr_type,"BS",jr_art,A451,jr_year,p_year))</f>
        <v/>
      </c>
      <c r="J451" s="60" t="str">
        <f>IF(A451="",IF(B451="","","Référence manquante"),IF(COUNTIF($A$6:$A$505,A451)&gt;1,"Référence en double",IF(B451="","Désignation manquante",IF(C451="","Unité manquante","OK"))))</f>
        <v/>
      </c>
    </row>
    <row r="452">
      <c r="A452" s="59" t="n"/>
      <c r="B452" s="59" t="n"/>
      <c r="C452" s="54" t="n"/>
      <c r="D452" s="127" t="n"/>
      <c r="E452" s="128" t="n"/>
      <c r="F452" s="128" t="n"/>
      <c r="G452" s="57" t="str">
        <f>IF(A452="","",SUMIFS(jr_qty,jr_type,"BL",jr_art,A452,jr_year,p_year))</f>
        <v/>
      </c>
      <c r="H452" s="57" t="str">
        <f>IF(A452="","",SUMIFS(jr_qty,jr_type,"BR",jr_art,A452,jr_year,p_year))</f>
        <v/>
      </c>
      <c r="I452" s="57" t="str">
        <f>IF(A452="","",SUMIFS(jr_qty,jr_type,"BS",jr_art,A452,jr_year,p_year))</f>
        <v/>
      </c>
      <c r="J452" s="60" t="str">
        <f>IF(A452="",IF(B452="","","Référence manquante"),IF(COUNTIF($A$6:$A$505,A452)&gt;1,"Référence en double",IF(B452="","Désignation manquante",IF(C452="","Unité manquante","OK"))))</f>
        <v/>
      </c>
    </row>
    <row r="453">
      <c r="A453" s="59" t="n"/>
      <c r="B453" s="59" t="n"/>
      <c r="C453" s="54" t="n"/>
      <c r="D453" s="127" t="n"/>
      <c r="E453" s="128" t="n"/>
      <c r="F453" s="128" t="n"/>
      <c r="G453" s="57" t="str">
        <f>IF(A453="","",SUMIFS(jr_qty,jr_type,"BL",jr_art,A453,jr_year,p_year))</f>
        <v/>
      </c>
      <c r="H453" s="57" t="str">
        <f>IF(A453="","",SUMIFS(jr_qty,jr_type,"BR",jr_art,A453,jr_year,p_year))</f>
        <v/>
      </c>
      <c r="I453" s="57" t="str">
        <f>IF(A453="","",SUMIFS(jr_qty,jr_type,"BS",jr_art,A453,jr_year,p_year))</f>
        <v/>
      </c>
      <c r="J453" s="60" t="str">
        <f>IF(A453="",IF(B453="","","Référence manquante"),IF(COUNTIF($A$6:$A$505,A453)&gt;1,"Référence en double",IF(B453="","Désignation manquante",IF(C453="","Unité manquante","OK"))))</f>
        <v/>
      </c>
    </row>
    <row r="454">
      <c r="A454" s="59" t="n"/>
      <c r="B454" s="59" t="n"/>
      <c r="C454" s="54" t="n"/>
      <c r="D454" s="127" t="n"/>
      <c r="E454" s="128" t="n"/>
      <c r="F454" s="128" t="n"/>
      <c r="G454" s="57" t="str">
        <f>IF(A454="","",SUMIFS(jr_qty,jr_type,"BL",jr_art,A454,jr_year,p_year))</f>
        <v/>
      </c>
      <c r="H454" s="57" t="str">
        <f>IF(A454="","",SUMIFS(jr_qty,jr_type,"BR",jr_art,A454,jr_year,p_year))</f>
        <v/>
      </c>
      <c r="I454" s="57" t="str">
        <f>IF(A454="","",SUMIFS(jr_qty,jr_type,"BS",jr_art,A454,jr_year,p_year))</f>
        <v/>
      </c>
      <c r="J454" s="60" t="str">
        <f>IF(A454="",IF(B454="","","Référence manquante"),IF(COUNTIF($A$6:$A$505,A454)&gt;1,"Référence en double",IF(B454="","Désignation manquante",IF(C454="","Unité manquante","OK"))))</f>
        <v/>
      </c>
    </row>
    <row r="455">
      <c r="A455" s="59" t="n"/>
      <c r="B455" s="59" t="n"/>
      <c r="C455" s="54" t="n"/>
      <c r="D455" s="127" t="n"/>
      <c r="E455" s="128" t="n"/>
      <c r="F455" s="128" t="n"/>
      <c r="G455" s="57" t="str">
        <f>IF(A455="","",SUMIFS(jr_qty,jr_type,"BL",jr_art,A455,jr_year,p_year))</f>
        <v/>
      </c>
      <c r="H455" s="57" t="str">
        <f>IF(A455="","",SUMIFS(jr_qty,jr_type,"BR",jr_art,A455,jr_year,p_year))</f>
        <v/>
      </c>
      <c r="I455" s="57" t="str">
        <f>IF(A455="","",SUMIFS(jr_qty,jr_type,"BS",jr_art,A455,jr_year,p_year))</f>
        <v/>
      </c>
      <c r="J455" s="60" t="str">
        <f>IF(A455="",IF(B455="","","Référence manquante"),IF(COUNTIF($A$6:$A$505,A455)&gt;1,"Référence en double",IF(B455="","Désignation manquante",IF(C455="","Unité manquante","OK"))))</f>
        <v/>
      </c>
    </row>
    <row r="456">
      <c r="A456" s="59" t="n"/>
      <c r="B456" s="59" t="n"/>
      <c r="C456" s="54" t="n"/>
      <c r="D456" s="127" t="n"/>
      <c r="E456" s="128" t="n"/>
      <c r="F456" s="128" t="n"/>
      <c r="G456" s="57" t="str">
        <f>IF(A456="","",SUMIFS(jr_qty,jr_type,"BL",jr_art,A456,jr_year,p_year))</f>
        <v/>
      </c>
      <c r="H456" s="57" t="str">
        <f>IF(A456="","",SUMIFS(jr_qty,jr_type,"BR",jr_art,A456,jr_year,p_year))</f>
        <v/>
      </c>
      <c r="I456" s="57" t="str">
        <f>IF(A456="","",SUMIFS(jr_qty,jr_type,"BS",jr_art,A456,jr_year,p_year))</f>
        <v/>
      </c>
      <c r="J456" s="60" t="str">
        <f>IF(A456="",IF(B456="","","Référence manquante"),IF(COUNTIF($A$6:$A$505,A456)&gt;1,"Référence en double",IF(B456="","Désignation manquante",IF(C456="","Unité manquante","OK"))))</f>
        <v/>
      </c>
    </row>
    <row r="457">
      <c r="A457" s="59" t="n"/>
      <c r="B457" s="59" t="n"/>
      <c r="C457" s="54" t="n"/>
      <c r="D457" s="127" t="n"/>
      <c r="E457" s="128" t="n"/>
      <c r="F457" s="128" t="n"/>
      <c r="G457" s="57" t="str">
        <f>IF(A457="","",SUMIFS(jr_qty,jr_type,"BL",jr_art,A457,jr_year,p_year))</f>
        <v/>
      </c>
      <c r="H457" s="57" t="str">
        <f>IF(A457="","",SUMIFS(jr_qty,jr_type,"BR",jr_art,A457,jr_year,p_year))</f>
        <v/>
      </c>
      <c r="I457" s="57" t="str">
        <f>IF(A457="","",SUMIFS(jr_qty,jr_type,"BS",jr_art,A457,jr_year,p_year))</f>
        <v/>
      </c>
      <c r="J457" s="60" t="str">
        <f>IF(A457="",IF(B457="","","Référence manquante"),IF(COUNTIF($A$6:$A$505,A457)&gt;1,"Référence en double",IF(B457="","Désignation manquante",IF(C457="","Unité manquante","OK"))))</f>
        <v/>
      </c>
    </row>
    <row r="458">
      <c r="A458" s="59" t="n"/>
      <c r="B458" s="59" t="n"/>
      <c r="C458" s="54" t="n"/>
      <c r="D458" s="127" t="n"/>
      <c r="E458" s="128" t="n"/>
      <c r="F458" s="128" t="n"/>
      <c r="G458" s="57" t="str">
        <f>IF(A458="","",SUMIFS(jr_qty,jr_type,"BL",jr_art,A458,jr_year,p_year))</f>
        <v/>
      </c>
      <c r="H458" s="57" t="str">
        <f>IF(A458="","",SUMIFS(jr_qty,jr_type,"BR",jr_art,A458,jr_year,p_year))</f>
        <v/>
      </c>
      <c r="I458" s="57" t="str">
        <f>IF(A458="","",SUMIFS(jr_qty,jr_type,"BS",jr_art,A458,jr_year,p_year))</f>
        <v/>
      </c>
      <c r="J458" s="60" t="str">
        <f>IF(A458="",IF(B458="","","Référence manquante"),IF(COUNTIF($A$6:$A$505,A458)&gt;1,"Référence en double",IF(B458="","Désignation manquante",IF(C458="","Unité manquante","OK"))))</f>
        <v/>
      </c>
    </row>
    <row r="459">
      <c r="A459" s="59" t="n"/>
      <c r="B459" s="59" t="n"/>
      <c r="C459" s="54" t="n"/>
      <c r="D459" s="127" t="n"/>
      <c r="E459" s="128" t="n"/>
      <c r="F459" s="128" t="n"/>
      <c r="G459" s="57" t="str">
        <f>IF(A459="","",SUMIFS(jr_qty,jr_type,"BL",jr_art,A459,jr_year,p_year))</f>
        <v/>
      </c>
      <c r="H459" s="57" t="str">
        <f>IF(A459="","",SUMIFS(jr_qty,jr_type,"BR",jr_art,A459,jr_year,p_year))</f>
        <v/>
      </c>
      <c r="I459" s="57" t="str">
        <f>IF(A459="","",SUMIFS(jr_qty,jr_type,"BS",jr_art,A459,jr_year,p_year))</f>
        <v/>
      </c>
      <c r="J459" s="60" t="str">
        <f>IF(A459="",IF(B459="","","Référence manquante"),IF(COUNTIF($A$6:$A$505,A459)&gt;1,"Référence en double",IF(B459="","Désignation manquante",IF(C459="","Unité manquante","OK"))))</f>
        <v/>
      </c>
    </row>
    <row r="460">
      <c r="A460" s="59" t="n"/>
      <c r="B460" s="59" t="n"/>
      <c r="C460" s="54" t="n"/>
      <c r="D460" s="127" t="n"/>
      <c r="E460" s="128" t="n"/>
      <c r="F460" s="128" t="n"/>
      <c r="G460" s="57" t="str">
        <f>IF(A460="","",SUMIFS(jr_qty,jr_type,"BL",jr_art,A460,jr_year,p_year))</f>
        <v/>
      </c>
      <c r="H460" s="57" t="str">
        <f>IF(A460="","",SUMIFS(jr_qty,jr_type,"BR",jr_art,A460,jr_year,p_year))</f>
        <v/>
      </c>
      <c r="I460" s="57" t="str">
        <f>IF(A460="","",SUMIFS(jr_qty,jr_type,"BS",jr_art,A460,jr_year,p_year))</f>
        <v/>
      </c>
      <c r="J460" s="60" t="str">
        <f>IF(A460="",IF(B460="","","Référence manquante"),IF(COUNTIF($A$6:$A$505,A460)&gt;1,"Référence en double",IF(B460="","Désignation manquante",IF(C460="","Unité manquante","OK"))))</f>
        <v/>
      </c>
    </row>
    <row r="461">
      <c r="A461" s="59" t="n"/>
      <c r="B461" s="59" t="n"/>
      <c r="C461" s="54" t="n"/>
      <c r="D461" s="127" t="n"/>
      <c r="E461" s="128" t="n"/>
      <c r="F461" s="128" t="n"/>
      <c r="G461" s="57" t="str">
        <f>IF(A461="","",SUMIFS(jr_qty,jr_type,"BL",jr_art,A461,jr_year,p_year))</f>
        <v/>
      </c>
      <c r="H461" s="57" t="str">
        <f>IF(A461="","",SUMIFS(jr_qty,jr_type,"BR",jr_art,A461,jr_year,p_year))</f>
        <v/>
      </c>
      <c r="I461" s="57" t="str">
        <f>IF(A461="","",SUMIFS(jr_qty,jr_type,"BS",jr_art,A461,jr_year,p_year))</f>
        <v/>
      </c>
      <c r="J461" s="60" t="str">
        <f>IF(A461="",IF(B461="","","Référence manquante"),IF(COUNTIF($A$6:$A$505,A461)&gt;1,"Référence en double",IF(B461="","Désignation manquante",IF(C461="","Unité manquante","OK"))))</f>
        <v/>
      </c>
    </row>
    <row r="462">
      <c r="A462" s="59" t="n"/>
      <c r="B462" s="59" t="n"/>
      <c r="C462" s="54" t="n"/>
      <c r="D462" s="127" t="n"/>
      <c r="E462" s="128" t="n"/>
      <c r="F462" s="128" t="n"/>
      <c r="G462" s="57" t="str">
        <f>IF(A462="","",SUMIFS(jr_qty,jr_type,"BL",jr_art,A462,jr_year,p_year))</f>
        <v/>
      </c>
      <c r="H462" s="57" t="str">
        <f>IF(A462="","",SUMIFS(jr_qty,jr_type,"BR",jr_art,A462,jr_year,p_year))</f>
        <v/>
      </c>
      <c r="I462" s="57" t="str">
        <f>IF(A462="","",SUMIFS(jr_qty,jr_type,"BS",jr_art,A462,jr_year,p_year))</f>
        <v/>
      </c>
      <c r="J462" s="60" t="str">
        <f>IF(A462="",IF(B462="","","Référence manquante"),IF(COUNTIF($A$6:$A$505,A462)&gt;1,"Référence en double",IF(B462="","Désignation manquante",IF(C462="","Unité manquante","OK"))))</f>
        <v/>
      </c>
    </row>
    <row r="463">
      <c r="A463" s="59" t="n"/>
      <c r="B463" s="59" t="n"/>
      <c r="C463" s="54" t="n"/>
      <c r="D463" s="127" t="n"/>
      <c r="E463" s="128" t="n"/>
      <c r="F463" s="128" t="n"/>
      <c r="G463" s="57" t="str">
        <f>IF(A463="","",SUMIFS(jr_qty,jr_type,"BL",jr_art,A463,jr_year,p_year))</f>
        <v/>
      </c>
      <c r="H463" s="57" t="str">
        <f>IF(A463="","",SUMIFS(jr_qty,jr_type,"BR",jr_art,A463,jr_year,p_year))</f>
        <v/>
      </c>
      <c r="I463" s="57" t="str">
        <f>IF(A463="","",SUMIFS(jr_qty,jr_type,"BS",jr_art,A463,jr_year,p_year))</f>
        <v/>
      </c>
      <c r="J463" s="60" t="str">
        <f>IF(A463="",IF(B463="","","Référence manquante"),IF(COUNTIF($A$6:$A$505,A463)&gt;1,"Référence en double",IF(B463="","Désignation manquante",IF(C463="","Unité manquante","OK"))))</f>
        <v/>
      </c>
    </row>
    <row r="464">
      <c r="A464" s="59" t="n"/>
      <c r="B464" s="59" t="n"/>
      <c r="C464" s="54" t="n"/>
      <c r="D464" s="127" t="n"/>
      <c r="E464" s="128" t="n"/>
      <c r="F464" s="128" t="n"/>
      <c r="G464" s="57" t="str">
        <f>IF(A464="","",SUMIFS(jr_qty,jr_type,"BL",jr_art,A464,jr_year,p_year))</f>
        <v/>
      </c>
      <c r="H464" s="57" t="str">
        <f>IF(A464="","",SUMIFS(jr_qty,jr_type,"BR",jr_art,A464,jr_year,p_year))</f>
        <v/>
      </c>
      <c r="I464" s="57" t="str">
        <f>IF(A464="","",SUMIFS(jr_qty,jr_type,"BS",jr_art,A464,jr_year,p_year))</f>
        <v/>
      </c>
      <c r="J464" s="60" t="str">
        <f>IF(A464="",IF(B464="","","Référence manquante"),IF(COUNTIF($A$6:$A$505,A464)&gt;1,"Référence en double",IF(B464="","Désignation manquante",IF(C464="","Unité manquante","OK"))))</f>
        <v/>
      </c>
    </row>
    <row r="465">
      <c r="A465" s="59" t="n"/>
      <c r="B465" s="59" t="n"/>
      <c r="C465" s="54" t="n"/>
      <c r="D465" s="127" t="n"/>
      <c r="E465" s="128" t="n"/>
      <c r="F465" s="128" t="n"/>
      <c r="G465" s="57" t="str">
        <f>IF(A465="","",SUMIFS(jr_qty,jr_type,"BL",jr_art,A465,jr_year,p_year))</f>
        <v/>
      </c>
      <c r="H465" s="57" t="str">
        <f>IF(A465="","",SUMIFS(jr_qty,jr_type,"BR",jr_art,A465,jr_year,p_year))</f>
        <v/>
      </c>
      <c r="I465" s="57" t="str">
        <f>IF(A465="","",SUMIFS(jr_qty,jr_type,"BS",jr_art,A465,jr_year,p_year))</f>
        <v/>
      </c>
      <c r="J465" s="60" t="str">
        <f>IF(A465="",IF(B465="","","Référence manquante"),IF(COUNTIF($A$6:$A$505,A465)&gt;1,"Référence en double",IF(B465="","Désignation manquante",IF(C465="","Unité manquante","OK"))))</f>
        <v/>
      </c>
    </row>
    <row r="466">
      <c r="A466" s="59" t="n"/>
      <c r="B466" s="59" t="n"/>
      <c r="C466" s="54" t="n"/>
      <c r="D466" s="127" t="n"/>
      <c r="E466" s="128" t="n"/>
      <c r="F466" s="128" t="n"/>
      <c r="G466" s="57" t="str">
        <f>IF(A466="","",SUMIFS(jr_qty,jr_type,"BL",jr_art,A466,jr_year,p_year))</f>
        <v/>
      </c>
      <c r="H466" s="57" t="str">
        <f>IF(A466="","",SUMIFS(jr_qty,jr_type,"BR",jr_art,A466,jr_year,p_year))</f>
        <v/>
      </c>
      <c r="I466" s="57" t="str">
        <f>IF(A466="","",SUMIFS(jr_qty,jr_type,"BS",jr_art,A466,jr_year,p_year))</f>
        <v/>
      </c>
      <c r="J466" s="60" t="str">
        <f>IF(A466="",IF(B466="","","Référence manquante"),IF(COUNTIF($A$6:$A$505,A466)&gt;1,"Référence en double",IF(B466="","Désignation manquante",IF(C466="","Unité manquante","OK"))))</f>
        <v/>
      </c>
    </row>
    <row r="467">
      <c r="A467" s="59" t="n"/>
      <c r="B467" s="59" t="n"/>
      <c r="C467" s="54" t="n"/>
      <c r="D467" s="127" t="n"/>
      <c r="E467" s="128" t="n"/>
      <c r="F467" s="128" t="n"/>
      <c r="G467" s="57" t="str">
        <f>IF(A467="","",SUMIFS(jr_qty,jr_type,"BL",jr_art,A467,jr_year,p_year))</f>
        <v/>
      </c>
      <c r="H467" s="57" t="str">
        <f>IF(A467="","",SUMIFS(jr_qty,jr_type,"BR",jr_art,A467,jr_year,p_year))</f>
        <v/>
      </c>
      <c r="I467" s="57" t="str">
        <f>IF(A467="","",SUMIFS(jr_qty,jr_type,"BS",jr_art,A467,jr_year,p_year))</f>
        <v/>
      </c>
      <c r="J467" s="60" t="str">
        <f>IF(A467="",IF(B467="","","Référence manquante"),IF(COUNTIF($A$6:$A$505,A467)&gt;1,"Référence en double",IF(B467="","Désignation manquante",IF(C467="","Unité manquante","OK"))))</f>
        <v/>
      </c>
    </row>
    <row r="468">
      <c r="A468" s="59" t="n"/>
      <c r="B468" s="59" t="n"/>
      <c r="C468" s="54" t="n"/>
      <c r="D468" s="127" t="n"/>
      <c r="E468" s="128" t="n"/>
      <c r="F468" s="128" t="n"/>
      <c r="G468" s="57" t="str">
        <f>IF(A468="","",SUMIFS(jr_qty,jr_type,"BL",jr_art,A468,jr_year,p_year))</f>
        <v/>
      </c>
      <c r="H468" s="57" t="str">
        <f>IF(A468="","",SUMIFS(jr_qty,jr_type,"BR",jr_art,A468,jr_year,p_year))</f>
        <v/>
      </c>
      <c r="I468" s="57" t="str">
        <f>IF(A468="","",SUMIFS(jr_qty,jr_type,"BS",jr_art,A468,jr_year,p_year))</f>
        <v/>
      </c>
      <c r="J468" s="60" t="str">
        <f>IF(A468="",IF(B468="","","Référence manquante"),IF(COUNTIF($A$6:$A$505,A468)&gt;1,"Référence en double",IF(B468="","Désignation manquante",IF(C468="","Unité manquante","OK"))))</f>
        <v/>
      </c>
    </row>
    <row r="469">
      <c r="A469" s="59" t="n"/>
      <c r="B469" s="59" t="n"/>
      <c r="C469" s="54" t="n"/>
      <c r="D469" s="127" t="n"/>
      <c r="E469" s="128" t="n"/>
      <c r="F469" s="128" t="n"/>
      <c r="G469" s="57" t="str">
        <f>IF(A469="","",SUMIFS(jr_qty,jr_type,"BL",jr_art,A469,jr_year,p_year))</f>
        <v/>
      </c>
      <c r="H469" s="57" t="str">
        <f>IF(A469="","",SUMIFS(jr_qty,jr_type,"BR",jr_art,A469,jr_year,p_year))</f>
        <v/>
      </c>
      <c r="I469" s="57" t="str">
        <f>IF(A469="","",SUMIFS(jr_qty,jr_type,"BS",jr_art,A469,jr_year,p_year))</f>
        <v/>
      </c>
      <c r="J469" s="60" t="str">
        <f>IF(A469="",IF(B469="","","Référence manquante"),IF(COUNTIF($A$6:$A$505,A469)&gt;1,"Référence en double",IF(B469="","Désignation manquante",IF(C469="","Unité manquante","OK"))))</f>
        <v/>
      </c>
    </row>
    <row r="470">
      <c r="A470" s="59" t="n"/>
      <c r="B470" s="59" t="n"/>
      <c r="C470" s="54" t="n"/>
      <c r="D470" s="127" t="n"/>
      <c r="E470" s="128" t="n"/>
      <c r="F470" s="128" t="n"/>
      <c r="G470" s="57" t="str">
        <f>IF(A470="","",SUMIFS(jr_qty,jr_type,"BL",jr_art,A470,jr_year,p_year))</f>
        <v/>
      </c>
      <c r="H470" s="57" t="str">
        <f>IF(A470="","",SUMIFS(jr_qty,jr_type,"BR",jr_art,A470,jr_year,p_year))</f>
        <v/>
      </c>
      <c r="I470" s="57" t="str">
        <f>IF(A470="","",SUMIFS(jr_qty,jr_type,"BS",jr_art,A470,jr_year,p_year))</f>
        <v/>
      </c>
      <c r="J470" s="60" t="str">
        <f>IF(A470="",IF(B470="","","Référence manquante"),IF(COUNTIF($A$6:$A$505,A470)&gt;1,"Référence en double",IF(B470="","Désignation manquante",IF(C470="","Unité manquante","OK"))))</f>
        <v/>
      </c>
    </row>
    <row r="471">
      <c r="A471" s="59" t="n"/>
      <c r="B471" s="59" t="n"/>
      <c r="C471" s="54" t="n"/>
      <c r="D471" s="127" t="n"/>
      <c r="E471" s="128" t="n"/>
      <c r="F471" s="128" t="n"/>
      <c r="G471" s="57" t="str">
        <f>IF(A471="","",SUMIFS(jr_qty,jr_type,"BL",jr_art,A471,jr_year,p_year))</f>
        <v/>
      </c>
      <c r="H471" s="57" t="str">
        <f>IF(A471="","",SUMIFS(jr_qty,jr_type,"BR",jr_art,A471,jr_year,p_year))</f>
        <v/>
      </c>
      <c r="I471" s="57" t="str">
        <f>IF(A471="","",SUMIFS(jr_qty,jr_type,"BS",jr_art,A471,jr_year,p_year))</f>
        <v/>
      </c>
      <c r="J471" s="60" t="str">
        <f>IF(A471="",IF(B471="","","Référence manquante"),IF(COUNTIF($A$6:$A$505,A471)&gt;1,"Référence en double",IF(B471="","Désignation manquante",IF(C471="","Unité manquante","OK"))))</f>
        <v/>
      </c>
    </row>
    <row r="472">
      <c r="A472" s="59" t="n"/>
      <c r="B472" s="59" t="n"/>
      <c r="C472" s="54" t="n"/>
      <c r="D472" s="127" t="n"/>
      <c r="E472" s="128" t="n"/>
      <c r="F472" s="128" t="n"/>
      <c r="G472" s="57" t="str">
        <f>IF(A472="","",SUMIFS(jr_qty,jr_type,"BL",jr_art,A472,jr_year,p_year))</f>
        <v/>
      </c>
      <c r="H472" s="57" t="str">
        <f>IF(A472="","",SUMIFS(jr_qty,jr_type,"BR",jr_art,A472,jr_year,p_year))</f>
        <v/>
      </c>
      <c r="I472" s="57" t="str">
        <f>IF(A472="","",SUMIFS(jr_qty,jr_type,"BS",jr_art,A472,jr_year,p_year))</f>
        <v/>
      </c>
      <c r="J472" s="60" t="str">
        <f>IF(A472="",IF(B472="","","Référence manquante"),IF(COUNTIF($A$6:$A$505,A472)&gt;1,"Référence en double",IF(B472="","Désignation manquante",IF(C472="","Unité manquante","OK"))))</f>
        <v/>
      </c>
    </row>
    <row r="473">
      <c r="A473" s="59" t="n"/>
      <c r="B473" s="59" t="n"/>
      <c r="C473" s="54" t="n"/>
      <c r="D473" s="127" t="n"/>
      <c r="E473" s="128" t="n"/>
      <c r="F473" s="128" t="n"/>
      <c r="G473" s="57" t="str">
        <f>IF(A473="","",SUMIFS(jr_qty,jr_type,"BL",jr_art,A473,jr_year,p_year))</f>
        <v/>
      </c>
      <c r="H473" s="57" t="str">
        <f>IF(A473="","",SUMIFS(jr_qty,jr_type,"BR",jr_art,A473,jr_year,p_year))</f>
        <v/>
      </c>
      <c r="I473" s="57" t="str">
        <f>IF(A473="","",SUMIFS(jr_qty,jr_type,"BS",jr_art,A473,jr_year,p_year))</f>
        <v/>
      </c>
      <c r="J473" s="60" t="str">
        <f>IF(A473="",IF(B473="","","Référence manquante"),IF(COUNTIF($A$6:$A$505,A473)&gt;1,"Référence en double",IF(B473="","Désignation manquante",IF(C473="","Unité manquante","OK"))))</f>
        <v/>
      </c>
    </row>
    <row r="474">
      <c r="A474" s="59" t="n"/>
      <c r="B474" s="59" t="n"/>
      <c r="C474" s="54" t="n"/>
      <c r="D474" s="127" t="n"/>
      <c r="E474" s="128" t="n"/>
      <c r="F474" s="128" t="n"/>
      <c r="G474" s="57" t="str">
        <f>IF(A474="","",SUMIFS(jr_qty,jr_type,"BL",jr_art,A474,jr_year,p_year))</f>
        <v/>
      </c>
      <c r="H474" s="57" t="str">
        <f>IF(A474="","",SUMIFS(jr_qty,jr_type,"BR",jr_art,A474,jr_year,p_year))</f>
        <v/>
      </c>
      <c r="I474" s="57" t="str">
        <f>IF(A474="","",SUMIFS(jr_qty,jr_type,"BS",jr_art,A474,jr_year,p_year))</f>
        <v/>
      </c>
      <c r="J474" s="60" t="str">
        <f>IF(A474="",IF(B474="","","Référence manquante"),IF(COUNTIF($A$6:$A$505,A474)&gt;1,"Référence en double",IF(B474="","Désignation manquante",IF(C474="","Unité manquante","OK"))))</f>
        <v/>
      </c>
    </row>
    <row r="475">
      <c r="A475" s="59" t="n"/>
      <c r="B475" s="59" t="n"/>
      <c r="C475" s="54" t="n"/>
      <c r="D475" s="127" t="n"/>
      <c r="E475" s="128" t="n"/>
      <c r="F475" s="128" t="n"/>
      <c r="G475" s="57" t="str">
        <f>IF(A475="","",SUMIFS(jr_qty,jr_type,"BL",jr_art,A475,jr_year,p_year))</f>
        <v/>
      </c>
      <c r="H475" s="57" t="str">
        <f>IF(A475="","",SUMIFS(jr_qty,jr_type,"BR",jr_art,A475,jr_year,p_year))</f>
        <v/>
      </c>
      <c r="I475" s="57" t="str">
        <f>IF(A475="","",SUMIFS(jr_qty,jr_type,"BS",jr_art,A475,jr_year,p_year))</f>
        <v/>
      </c>
      <c r="J475" s="60" t="str">
        <f>IF(A475="",IF(B475="","","Référence manquante"),IF(COUNTIF($A$6:$A$505,A475)&gt;1,"Référence en double",IF(B475="","Désignation manquante",IF(C475="","Unité manquante","OK"))))</f>
        <v/>
      </c>
    </row>
    <row r="476">
      <c r="A476" s="59" t="n"/>
      <c r="B476" s="59" t="n"/>
      <c r="C476" s="54" t="n"/>
      <c r="D476" s="127" t="n"/>
      <c r="E476" s="128" t="n"/>
      <c r="F476" s="128" t="n"/>
      <c r="G476" s="57" t="str">
        <f>IF(A476="","",SUMIFS(jr_qty,jr_type,"BL",jr_art,A476,jr_year,p_year))</f>
        <v/>
      </c>
      <c r="H476" s="57" t="str">
        <f>IF(A476="","",SUMIFS(jr_qty,jr_type,"BR",jr_art,A476,jr_year,p_year))</f>
        <v/>
      </c>
      <c r="I476" s="57" t="str">
        <f>IF(A476="","",SUMIFS(jr_qty,jr_type,"BS",jr_art,A476,jr_year,p_year))</f>
        <v/>
      </c>
      <c r="J476" s="60" t="str">
        <f>IF(A476="",IF(B476="","","Référence manquante"),IF(COUNTIF($A$6:$A$505,A476)&gt;1,"Référence en double",IF(B476="","Désignation manquante",IF(C476="","Unité manquante","OK"))))</f>
        <v/>
      </c>
    </row>
    <row r="477">
      <c r="A477" s="59" t="n"/>
      <c r="B477" s="59" t="n"/>
      <c r="C477" s="54" t="n"/>
      <c r="D477" s="127" t="n"/>
      <c r="E477" s="128" t="n"/>
      <c r="F477" s="128" t="n"/>
      <c r="G477" s="57" t="str">
        <f>IF(A477="","",SUMIFS(jr_qty,jr_type,"BL",jr_art,A477,jr_year,p_year))</f>
        <v/>
      </c>
      <c r="H477" s="57" t="str">
        <f>IF(A477="","",SUMIFS(jr_qty,jr_type,"BR",jr_art,A477,jr_year,p_year))</f>
        <v/>
      </c>
      <c r="I477" s="57" t="str">
        <f>IF(A477="","",SUMIFS(jr_qty,jr_type,"BS",jr_art,A477,jr_year,p_year))</f>
        <v/>
      </c>
      <c r="J477" s="60" t="str">
        <f>IF(A477="",IF(B477="","","Référence manquante"),IF(COUNTIF($A$6:$A$505,A477)&gt;1,"Référence en double",IF(B477="","Désignation manquante",IF(C477="","Unité manquante","OK"))))</f>
        <v/>
      </c>
    </row>
    <row r="478">
      <c r="A478" s="59" t="n"/>
      <c r="B478" s="59" t="n"/>
      <c r="C478" s="54" t="n"/>
      <c r="D478" s="127" t="n"/>
      <c r="E478" s="128" t="n"/>
      <c r="F478" s="128" t="n"/>
      <c r="G478" s="57" t="str">
        <f>IF(A478="","",SUMIFS(jr_qty,jr_type,"BL",jr_art,A478,jr_year,p_year))</f>
        <v/>
      </c>
      <c r="H478" s="57" t="str">
        <f>IF(A478="","",SUMIFS(jr_qty,jr_type,"BR",jr_art,A478,jr_year,p_year))</f>
        <v/>
      </c>
      <c r="I478" s="57" t="str">
        <f>IF(A478="","",SUMIFS(jr_qty,jr_type,"BS",jr_art,A478,jr_year,p_year))</f>
        <v/>
      </c>
      <c r="J478" s="60" t="str">
        <f>IF(A478="",IF(B478="","","Référence manquante"),IF(COUNTIF($A$6:$A$505,A478)&gt;1,"Référence en double",IF(B478="","Désignation manquante",IF(C478="","Unité manquante","OK"))))</f>
        <v/>
      </c>
    </row>
    <row r="479">
      <c r="A479" s="59" t="n"/>
      <c r="B479" s="59" t="n"/>
      <c r="C479" s="54" t="n"/>
      <c r="D479" s="127" t="n"/>
      <c r="E479" s="128" t="n"/>
      <c r="F479" s="128" t="n"/>
      <c r="G479" s="57" t="str">
        <f>IF(A479="","",SUMIFS(jr_qty,jr_type,"BL",jr_art,A479,jr_year,p_year))</f>
        <v/>
      </c>
      <c r="H479" s="57" t="str">
        <f>IF(A479="","",SUMIFS(jr_qty,jr_type,"BR",jr_art,A479,jr_year,p_year))</f>
        <v/>
      </c>
      <c r="I479" s="57" t="str">
        <f>IF(A479="","",SUMIFS(jr_qty,jr_type,"BS",jr_art,A479,jr_year,p_year))</f>
        <v/>
      </c>
      <c r="J479" s="60" t="str">
        <f>IF(A479="",IF(B479="","","Référence manquante"),IF(COUNTIF($A$6:$A$505,A479)&gt;1,"Référence en double",IF(B479="","Désignation manquante",IF(C479="","Unité manquante","OK"))))</f>
        <v/>
      </c>
    </row>
    <row r="480">
      <c r="A480" s="59" t="n"/>
      <c r="B480" s="59" t="n"/>
      <c r="C480" s="54" t="n"/>
      <c r="D480" s="127" t="n"/>
      <c r="E480" s="128" t="n"/>
      <c r="F480" s="128" t="n"/>
      <c r="G480" s="57" t="str">
        <f>IF(A480="","",SUMIFS(jr_qty,jr_type,"BL",jr_art,A480,jr_year,p_year))</f>
        <v/>
      </c>
      <c r="H480" s="57" t="str">
        <f>IF(A480="","",SUMIFS(jr_qty,jr_type,"BR",jr_art,A480,jr_year,p_year))</f>
        <v/>
      </c>
      <c r="I480" s="57" t="str">
        <f>IF(A480="","",SUMIFS(jr_qty,jr_type,"BS",jr_art,A480,jr_year,p_year))</f>
        <v/>
      </c>
      <c r="J480" s="60" t="str">
        <f>IF(A480="",IF(B480="","","Référence manquante"),IF(COUNTIF($A$6:$A$505,A480)&gt;1,"Référence en double",IF(B480="","Désignation manquante",IF(C480="","Unité manquante","OK"))))</f>
        <v/>
      </c>
    </row>
    <row r="481">
      <c r="A481" s="59" t="n"/>
      <c r="B481" s="59" t="n"/>
      <c r="C481" s="54" t="n"/>
      <c r="D481" s="127" t="n"/>
      <c r="E481" s="128" t="n"/>
      <c r="F481" s="128" t="n"/>
      <c r="G481" s="57" t="str">
        <f>IF(A481="","",SUMIFS(jr_qty,jr_type,"BL",jr_art,A481,jr_year,p_year))</f>
        <v/>
      </c>
      <c r="H481" s="57" t="str">
        <f>IF(A481="","",SUMIFS(jr_qty,jr_type,"BR",jr_art,A481,jr_year,p_year))</f>
        <v/>
      </c>
      <c r="I481" s="57" t="str">
        <f>IF(A481="","",SUMIFS(jr_qty,jr_type,"BS",jr_art,A481,jr_year,p_year))</f>
        <v/>
      </c>
      <c r="J481" s="60" t="str">
        <f>IF(A481="",IF(B481="","","Référence manquante"),IF(COUNTIF($A$6:$A$505,A481)&gt;1,"Référence en double",IF(B481="","Désignation manquante",IF(C481="","Unité manquante","OK"))))</f>
        <v/>
      </c>
    </row>
    <row r="482">
      <c r="A482" s="59" t="n"/>
      <c r="B482" s="59" t="n"/>
      <c r="C482" s="54" t="n"/>
      <c r="D482" s="127" t="n"/>
      <c r="E482" s="128" t="n"/>
      <c r="F482" s="128" t="n"/>
      <c r="G482" s="57" t="str">
        <f>IF(A482="","",SUMIFS(jr_qty,jr_type,"BL",jr_art,A482,jr_year,p_year))</f>
        <v/>
      </c>
      <c r="H482" s="57" t="str">
        <f>IF(A482="","",SUMIFS(jr_qty,jr_type,"BR",jr_art,A482,jr_year,p_year))</f>
        <v/>
      </c>
      <c r="I482" s="57" t="str">
        <f>IF(A482="","",SUMIFS(jr_qty,jr_type,"BS",jr_art,A482,jr_year,p_year))</f>
        <v/>
      </c>
      <c r="J482" s="60" t="str">
        <f>IF(A482="",IF(B482="","","Référence manquante"),IF(COUNTIF($A$6:$A$505,A482)&gt;1,"Référence en double",IF(B482="","Désignation manquante",IF(C482="","Unité manquante","OK"))))</f>
        <v/>
      </c>
    </row>
    <row r="483">
      <c r="A483" s="59" t="n"/>
      <c r="B483" s="59" t="n"/>
      <c r="C483" s="54" t="n"/>
      <c r="D483" s="127" t="n"/>
      <c r="E483" s="128" t="n"/>
      <c r="F483" s="128" t="n"/>
      <c r="G483" s="57" t="str">
        <f>IF(A483="","",SUMIFS(jr_qty,jr_type,"BL",jr_art,A483,jr_year,p_year))</f>
        <v/>
      </c>
      <c r="H483" s="57" t="str">
        <f>IF(A483="","",SUMIFS(jr_qty,jr_type,"BR",jr_art,A483,jr_year,p_year))</f>
        <v/>
      </c>
      <c r="I483" s="57" t="str">
        <f>IF(A483="","",SUMIFS(jr_qty,jr_type,"BS",jr_art,A483,jr_year,p_year))</f>
        <v/>
      </c>
      <c r="J483" s="60" t="str">
        <f>IF(A483="",IF(B483="","","Référence manquante"),IF(COUNTIF($A$6:$A$505,A483)&gt;1,"Référence en double",IF(B483="","Désignation manquante",IF(C483="","Unité manquante","OK"))))</f>
        <v/>
      </c>
    </row>
    <row r="484">
      <c r="A484" s="59" t="n"/>
      <c r="B484" s="59" t="n"/>
      <c r="C484" s="54" t="n"/>
      <c r="D484" s="127" t="n"/>
      <c r="E484" s="128" t="n"/>
      <c r="F484" s="128" t="n"/>
      <c r="G484" s="57" t="str">
        <f>IF(A484="","",SUMIFS(jr_qty,jr_type,"BL",jr_art,A484,jr_year,p_year))</f>
        <v/>
      </c>
      <c r="H484" s="57" t="str">
        <f>IF(A484="","",SUMIFS(jr_qty,jr_type,"BR",jr_art,A484,jr_year,p_year))</f>
        <v/>
      </c>
      <c r="I484" s="57" t="str">
        <f>IF(A484="","",SUMIFS(jr_qty,jr_type,"BS",jr_art,A484,jr_year,p_year))</f>
        <v/>
      </c>
      <c r="J484" s="60" t="str">
        <f>IF(A484="",IF(B484="","","Référence manquante"),IF(COUNTIF($A$6:$A$505,A484)&gt;1,"Référence en double",IF(B484="","Désignation manquante",IF(C484="","Unité manquante","OK"))))</f>
        <v/>
      </c>
    </row>
    <row r="485">
      <c r="A485" s="59" t="n"/>
      <c r="B485" s="59" t="n"/>
      <c r="C485" s="54" t="n"/>
      <c r="D485" s="127" t="n"/>
      <c r="E485" s="128" t="n"/>
      <c r="F485" s="128" t="n"/>
      <c r="G485" s="57" t="str">
        <f>IF(A485="","",SUMIFS(jr_qty,jr_type,"BL",jr_art,A485,jr_year,p_year))</f>
        <v/>
      </c>
      <c r="H485" s="57" t="str">
        <f>IF(A485="","",SUMIFS(jr_qty,jr_type,"BR",jr_art,A485,jr_year,p_year))</f>
        <v/>
      </c>
      <c r="I485" s="57" t="str">
        <f>IF(A485="","",SUMIFS(jr_qty,jr_type,"BS",jr_art,A485,jr_year,p_year))</f>
        <v/>
      </c>
      <c r="J485" s="60" t="str">
        <f>IF(A485="",IF(B485="","","Référence manquante"),IF(COUNTIF($A$6:$A$505,A485)&gt;1,"Référence en double",IF(B485="","Désignation manquante",IF(C485="","Unité manquante","OK"))))</f>
        <v/>
      </c>
    </row>
    <row r="486">
      <c r="A486" s="59" t="n"/>
      <c r="B486" s="59" t="n"/>
      <c r="C486" s="54" t="n"/>
      <c r="D486" s="127" t="n"/>
      <c r="E486" s="128" t="n"/>
      <c r="F486" s="128" t="n"/>
      <c r="G486" s="57" t="str">
        <f>IF(A486="","",SUMIFS(jr_qty,jr_type,"BL",jr_art,A486,jr_year,p_year))</f>
        <v/>
      </c>
      <c r="H486" s="57" t="str">
        <f>IF(A486="","",SUMIFS(jr_qty,jr_type,"BR",jr_art,A486,jr_year,p_year))</f>
        <v/>
      </c>
      <c r="I486" s="57" t="str">
        <f>IF(A486="","",SUMIFS(jr_qty,jr_type,"BS",jr_art,A486,jr_year,p_year))</f>
        <v/>
      </c>
      <c r="J486" s="60" t="str">
        <f>IF(A486="",IF(B486="","","Référence manquante"),IF(COUNTIF($A$6:$A$505,A486)&gt;1,"Référence en double",IF(B486="","Désignation manquante",IF(C486="","Unité manquante","OK"))))</f>
        <v/>
      </c>
    </row>
    <row r="487">
      <c r="A487" s="59" t="n"/>
      <c r="B487" s="59" t="n"/>
      <c r="C487" s="54" t="n"/>
      <c r="D487" s="127" t="n"/>
      <c r="E487" s="128" t="n"/>
      <c r="F487" s="128" t="n"/>
      <c r="G487" s="57" t="str">
        <f>IF(A487="","",SUMIFS(jr_qty,jr_type,"BL",jr_art,A487,jr_year,p_year))</f>
        <v/>
      </c>
      <c r="H487" s="57" t="str">
        <f>IF(A487="","",SUMIFS(jr_qty,jr_type,"BR",jr_art,A487,jr_year,p_year))</f>
        <v/>
      </c>
      <c r="I487" s="57" t="str">
        <f>IF(A487="","",SUMIFS(jr_qty,jr_type,"BS",jr_art,A487,jr_year,p_year))</f>
        <v/>
      </c>
      <c r="J487" s="60" t="str">
        <f>IF(A487="",IF(B487="","","Référence manquante"),IF(COUNTIF($A$6:$A$505,A487)&gt;1,"Référence en double",IF(B487="","Désignation manquante",IF(C487="","Unité manquante","OK"))))</f>
        <v/>
      </c>
    </row>
    <row r="488">
      <c r="A488" s="59" t="n"/>
      <c r="B488" s="59" t="n"/>
      <c r="C488" s="54" t="n"/>
      <c r="D488" s="127" t="n"/>
      <c r="E488" s="128" t="n"/>
      <c r="F488" s="128" t="n"/>
      <c r="G488" s="57" t="str">
        <f>IF(A488="","",SUMIFS(jr_qty,jr_type,"BL",jr_art,A488,jr_year,p_year))</f>
        <v/>
      </c>
      <c r="H488" s="57" t="str">
        <f>IF(A488="","",SUMIFS(jr_qty,jr_type,"BR",jr_art,A488,jr_year,p_year))</f>
        <v/>
      </c>
      <c r="I488" s="57" t="str">
        <f>IF(A488="","",SUMIFS(jr_qty,jr_type,"BS",jr_art,A488,jr_year,p_year))</f>
        <v/>
      </c>
      <c r="J488" s="60" t="str">
        <f>IF(A488="",IF(B488="","","Référence manquante"),IF(COUNTIF($A$6:$A$505,A488)&gt;1,"Référence en double",IF(B488="","Désignation manquante",IF(C488="","Unité manquante","OK"))))</f>
        <v/>
      </c>
    </row>
    <row r="489">
      <c r="A489" s="59" t="n"/>
      <c r="B489" s="59" t="n"/>
      <c r="C489" s="54" t="n"/>
      <c r="D489" s="127" t="n"/>
      <c r="E489" s="128" t="n"/>
      <c r="F489" s="128" t="n"/>
      <c r="G489" s="57" t="str">
        <f>IF(A489="","",SUMIFS(jr_qty,jr_type,"BL",jr_art,A489,jr_year,p_year))</f>
        <v/>
      </c>
      <c r="H489" s="57" t="str">
        <f>IF(A489="","",SUMIFS(jr_qty,jr_type,"BR",jr_art,A489,jr_year,p_year))</f>
        <v/>
      </c>
      <c r="I489" s="57" t="str">
        <f>IF(A489="","",SUMIFS(jr_qty,jr_type,"BS",jr_art,A489,jr_year,p_year))</f>
        <v/>
      </c>
      <c r="J489" s="60" t="str">
        <f>IF(A489="",IF(B489="","","Référence manquante"),IF(COUNTIF($A$6:$A$505,A489)&gt;1,"Référence en double",IF(B489="","Désignation manquante",IF(C489="","Unité manquante","OK"))))</f>
        <v/>
      </c>
    </row>
    <row r="490">
      <c r="A490" s="59" t="n"/>
      <c r="B490" s="59" t="n"/>
      <c r="C490" s="54" t="n"/>
      <c r="D490" s="127" t="n"/>
      <c r="E490" s="128" t="n"/>
      <c r="F490" s="128" t="n"/>
      <c r="G490" s="57" t="str">
        <f>IF(A490="","",SUMIFS(jr_qty,jr_type,"BL",jr_art,A490,jr_year,p_year))</f>
        <v/>
      </c>
      <c r="H490" s="57" t="str">
        <f>IF(A490="","",SUMIFS(jr_qty,jr_type,"BR",jr_art,A490,jr_year,p_year))</f>
        <v/>
      </c>
      <c r="I490" s="57" t="str">
        <f>IF(A490="","",SUMIFS(jr_qty,jr_type,"BS",jr_art,A490,jr_year,p_year))</f>
        <v/>
      </c>
      <c r="J490" s="60" t="str">
        <f>IF(A490="",IF(B490="","","Référence manquante"),IF(COUNTIF($A$6:$A$505,A490)&gt;1,"Référence en double",IF(B490="","Désignation manquante",IF(C490="","Unité manquante","OK"))))</f>
        <v/>
      </c>
    </row>
    <row r="491">
      <c r="A491" s="59" t="n"/>
      <c r="B491" s="59" t="n"/>
      <c r="C491" s="54" t="n"/>
      <c r="D491" s="127" t="n"/>
      <c r="E491" s="128" t="n"/>
      <c r="F491" s="128" t="n"/>
      <c r="G491" s="57" t="str">
        <f>IF(A491="","",SUMIFS(jr_qty,jr_type,"BL",jr_art,A491,jr_year,p_year))</f>
        <v/>
      </c>
      <c r="H491" s="57" t="str">
        <f>IF(A491="","",SUMIFS(jr_qty,jr_type,"BR",jr_art,A491,jr_year,p_year))</f>
        <v/>
      </c>
      <c r="I491" s="57" t="str">
        <f>IF(A491="","",SUMIFS(jr_qty,jr_type,"BS",jr_art,A491,jr_year,p_year))</f>
        <v/>
      </c>
      <c r="J491" s="60" t="str">
        <f>IF(A491="",IF(B491="","","Référence manquante"),IF(COUNTIF($A$6:$A$505,A491)&gt;1,"Référence en double",IF(B491="","Désignation manquante",IF(C491="","Unité manquante","OK"))))</f>
        <v/>
      </c>
    </row>
    <row r="492">
      <c r="A492" s="59" t="n"/>
      <c r="B492" s="59" t="n"/>
      <c r="C492" s="54" t="n"/>
      <c r="D492" s="127" t="n"/>
      <c r="E492" s="128" t="n"/>
      <c r="F492" s="128" t="n"/>
      <c r="G492" s="57" t="str">
        <f>IF(A492="","",SUMIFS(jr_qty,jr_type,"BL",jr_art,A492,jr_year,p_year))</f>
        <v/>
      </c>
      <c r="H492" s="57" t="str">
        <f>IF(A492="","",SUMIFS(jr_qty,jr_type,"BR",jr_art,A492,jr_year,p_year))</f>
        <v/>
      </c>
      <c r="I492" s="57" t="str">
        <f>IF(A492="","",SUMIFS(jr_qty,jr_type,"BS",jr_art,A492,jr_year,p_year))</f>
        <v/>
      </c>
      <c r="J492" s="60" t="str">
        <f>IF(A492="",IF(B492="","","Référence manquante"),IF(COUNTIF($A$6:$A$505,A492)&gt;1,"Référence en double",IF(B492="","Désignation manquante",IF(C492="","Unité manquante","OK"))))</f>
        <v/>
      </c>
    </row>
    <row r="493">
      <c r="A493" s="59" t="n"/>
      <c r="B493" s="59" t="n"/>
      <c r="C493" s="54" t="n"/>
      <c r="D493" s="127" t="n"/>
      <c r="E493" s="128" t="n"/>
      <c r="F493" s="128" t="n"/>
      <c r="G493" s="57" t="str">
        <f>IF(A493="","",SUMIFS(jr_qty,jr_type,"BL",jr_art,A493,jr_year,p_year))</f>
        <v/>
      </c>
      <c r="H493" s="57" t="str">
        <f>IF(A493="","",SUMIFS(jr_qty,jr_type,"BR",jr_art,A493,jr_year,p_year))</f>
        <v/>
      </c>
      <c r="I493" s="57" t="str">
        <f>IF(A493="","",SUMIFS(jr_qty,jr_type,"BS",jr_art,A493,jr_year,p_year))</f>
        <v/>
      </c>
      <c r="J493" s="60" t="str">
        <f>IF(A493="",IF(B493="","","Référence manquante"),IF(COUNTIF($A$6:$A$505,A493)&gt;1,"Référence en double",IF(B493="","Désignation manquante",IF(C493="","Unité manquante","OK"))))</f>
        <v/>
      </c>
    </row>
    <row r="494">
      <c r="A494" s="59" t="n"/>
      <c r="B494" s="59" t="n"/>
      <c r="C494" s="54" t="n"/>
      <c r="D494" s="127" t="n"/>
      <c r="E494" s="128" t="n"/>
      <c r="F494" s="128" t="n"/>
      <c r="G494" s="57" t="str">
        <f>IF(A494="","",SUMIFS(jr_qty,jr_type,"BL",jr_art,A494,jr_year,p_year))</f>
        <v/>
      </c>
      <c r="H494" s="57" t="str">
        <f>IF(A494="","",SUMIFS(jr_qty,jr_type,"BR",jr_art,A494,jr_year,p_year))</f>
        <v/>
      </c>
      <c r="I494" s="57" t="str">
        <f>IF(A494="","",SUMIFS(jr_qty,jr_type,"BS",jr_art,A494,jr_year,p_year))</f>
        <v/>
      </c>
      <c r="J494" s="60" t="str">
        <f>IF(A494="",IF(B494="","","Référence manquante"),IF(COUNTIF($A$6:$A$505,A494)&gt;1,"Référence en double",IF(B494="","Désignation manquante",IF(C494="","Unité manquante","OK"))))</f>
        <v/>
      </c>
    </row>
    <row r="495">
      <c r="A495" s="59" t="n"/>
      <c r="B495" s="59" t="n"/>
      <c r="C495" s="54" t="n"/>
      <c r="D495" s="127" t="n"/>
      <c r="E495" s="128" t="n"/>
      <c r="F495" s="128" t="n"/>
      <c r="G495" s="57" t="str">
        <f>IF(A495="","",SUMIFS(jr_qty,jr_type,"BL",jr_art,A495,jr_year,p_year))</f>
        <v/>
      </c>
      <c r="H495" s="57" t="str">
        <f>IF(A495="","",SUMIFS(jr_qty,jr_type,"BR",jr_art,A495,jr_year,p_year))</f>
        <v/>
      </c>
      <c r="I495" s="57" t="str">
        <f>IF(A495="","",SUMIFS(jr_qty,jr_type,"BS",jr_art,A495,jr_year,p_year))</f>
        <v/>
      </c>
      <c r="J495" s="60" t="str">
        <f>IF(A495="",IF(B495="","","Référence manquante"),IF(COUNTIF($A$6:$A$505,A495)&gt;1,"Référence en double",IF(B495="","Désignation manquante",IF(C495="","Unité manquante","OK"))))</f>
        <v/>
      </c>
    </row>
    <row r="496">
      <c r="A496" s="59" t="n"/>
      <c r="B496" s="59" t="n"/>
      <c r="C496" s="54" t="n"/>
      <c r="D496" s="127" t="n"/>
      <c r="E496" s="128" t="n"/>
      <c r="F496" s="128" t="n"/>
      <c r="G496" s="57" t="str">
        <f>IF(A496="","",SUMIFS(jr_qty,jr_type,"BL",jr_art,A496,jr_year,p_year))</f>
        <v/>
      </c>
      <c r="H496" s="57" t="str">
        <f>IF(A496="","",SUMIFS(jr_qty,jr_type,"BR",jr_art,A496,jr_year,p_year))</f>
        <v/>
      </c>
      <c r="I496" s="57" t="str">
        <f>IF(A496="","",SUMIFS(jr_qty,jr_type,"BS",jr_art,A496,jr_year,p_year))</f>
        <v/>
      </c>
      <c r="J496" s="60" t="str">
        <f>IF(A496="",IF(B496="","","Référence manquante"),IF(COUNTIF($A$6:$A$505,A496)&gt;1,"Référence en double",IF(B496="","Désignation manquante",IF(C496="","Unité manquante","OK"))))</f>
        <v/>
      </c>
    </row>
    <row r="497">
      <c r="A497" s="59" t="n"/>
      <c r="B497" s="59" t="n"/>
      <c r="C497" s="54" t="n"/>
      <c r="D497" s="127" t="n"/>
      <c r="E497" s="128" t="n"/>
      <c r="F497" s="128" t="n"/>
      <c r="G497" s="57" t="str">
        <f>IF(A497="","",SUMIFS(jr_qty,jr_type,"BL",jr_art,A497,jr_year,p_year))</f>
        <v/>
      </c>
      <c r="H497" s="57" t="str">
        <f>IF(A497="","",SUMIFS(jr_qty,jr_type,"BR",jr_art,A497,jr_year,p_year))</f>
        <v/>
      </c>
      <c r="I497" s="57" t="str">
        <f>IF(A497="","",SUMIFS(jr_qty,jr_type,"BS",jr_art,A497,jr_year,p_year))</f>
        <v/>
      </c>
      <c r="J497" s="60" t="str">
        <f>IF(A497="",IF(B497="","","Référence manquante"),IF(COUNTIF($A$6:$A$505,A497)&gt;1,"Référence en double",IF(B497="","Désignation manquante",IF(C497="","Unité manquante","OK"))))</f>
        <v/>
      </c>
    </row>
    <row r="498">
      <c r="A498" s="59" t="n"/>
      <c r="B498" s="59" t="n"/>
      <c r="C498" s="54" t="n"/>
      <c r="D498" s="127" t="n"/>
      <c r="E498" s="128" t="n"/>
      <c r="F498" s="128" t="n"/>
      <c r="G498" s="57" t="str">
        <f>IF(A498="","",SUMIFS(jr_qty,jr_type,"BL",jr_art,A498,jr_year,p_year))</f>
        <v/>
      </c>
      <c r="H498" s="57" t="str">
        <f>IF(A498="","",SUMIFS(jr_qty,jr_type,"BR",jr_art,A498,jr_year,p_year))</f>
        <v/>
      </c>
      <c r="I498" s="57" t="str">
        <f>IF(A498="","",SUMIFS(jr_qty,jr_type,"BS",jr_art,A498,jr_year,p_year))</f>
        <v/>
      </c>
      <c r="J498" s="60" t="str">
        <f>IF(A498="",IF(B498="","","Référence manquante"),IF(COUNTIF($A$6:$A$505,A498)&gt;1,"Référence en double",IF(B498="","Désignation manquante",IF(C498="","Unité manquante","OK"))))</f>
        <v/>
      </c>
    </row>
    <row r="499">
      <c r="A499" s="59" t="n"/>
      <c r="B499" s="59" t="n"/>
      <c r="C499" s="54" t="n"/>
      <c r="D499" s="127" t="n"/>
      <c r="E499" s="128" t="n"/>
      <c r="F499" s="128" t="n"/>
      <c r="G499" s="57" t="str">
        <f>IF(A499="","",SUMIFS(jr_qty,jr_type,"BL",jr_art,A499,jr_year,p_year))</f>
        <v/>
      </c>
      <c r="H499" s="57" t="str">
        <f>IF(A499="","",SUMIFS(jr_qty,jr_type,"BR",jr_art,A499,jr_year,p_year))</f>
        <v/>
      </c>
      <c r="I499" s="57" t="str">
        <f>IF(A499="","",SUMIFS(jr_qty,jr_type,"BS",jr_art,A499,jr_year,p_year))</f>
        <v/>
      </c>
      <c r="J499" s="60" t="str">
        <f>IF(A499="",IF(B499="","","Référence manquante"),IF(COUNTIF($A$6:$A$505,A499)&gt;1,"Référence en double",IF(B499="","Désignation manquante",IF(C499="","Unité manquante","OK"))))</f>
        <v/>
      </c>
    </row>
    <row r="500">
      <c r="A500" s="59" t="n"/>
      <c r="B500" s="59" t="n"/>
      <c r="C500" s="54" t="n"/>
      <c r="D500" s="127" t="n"/>
      <c r="E500" s="128" t="n"/>
      <c r="F500" s="128" t="n"/>
      <c r="G500" s="57" t="str">
        <f>IF(A500="","",SUMIFS(jr_qty,jr_type,"BL",jr_art,A500,jr_year,p_year))</f>
        <v/>
      </c>
      <c r="H500" s="57" t="str">
        <f>IF(A500="","",SUMIFS(jr_qty,jr_type,"BR",jr_art,A500,jr_year,p_year))</f>
        <v/>
      </c>
      <c r="I500" s="57" t="str">
        <f>IF(A500="","",SUMIFS(jr_qty,jr_type,"BS",jr_art,A500,jr_year,p_year))</f>
        <v/>
      </c>
      <c r="J500" s="60" t="str">
        <f>IF(A500="",IF(B500="","","Référence manquante"),IF(COUNTIF($A$6:$A$505,A500)&gt;1,"Référence en double",IF(B500="","Désignation manquante",IF(C500="","Unité manquante","OK"))))</f>
        <v/>
      </c>
    </row>
    <row r="501">
      <c r="A501" s="59" t="n"/>
      <c r="B501" s="59" t="n"/>
      <c r="C501" s="54" t="n"/>
      <c r="D501" s="127" t="n"/>
      <c r="E501" s="128" t="n"/>
      <c r="F501" s="128" t="n"/>
      <c r="G501" s="57" t="str">
        <f>IF(A501="","",SUMIFS(jr_qty,jr_type,"BL",jr_art,A501,jr_year,p_year))</f>
        <v/>
      </c>
      <c r="H501" s="57" t="str">
        <f>IF(A501="","",SUMIFS(jr_qty,jr_type,"BR",jr_art,A501,jr_year,p_year))</f>
        <v/>
      </c>
      <c r="I501" s="57" t="str">
        <f>IF(A501="","",SUMIFS(jr_qty,jr_type,"BS",jr_art,A501,jr_year,p_year))</f>
        <v/>
      </c>
      <c r="J501" s="60" t="str">
        <f>IF(A501="",IF(B501="","","Référence manquante"),IF(COUNTIF($A$6:$A$505,A501)&gt;1,"Référence en double",IF(B501="","Désignation manquante",IF(C501="","Unité manquante","OK"))))</f>
        <v/>
      </c>
    </row>
    <row r="502">
      <c r="A502" s="59" t="n"/>
      <c r="B502" s="59" t="n"/>
      <c r="C502" s="54" t="n"/>
      <c r="D502" s="127" t="n"/>
      <c r="E502" s="128" t="n"/>
      <c r="F502" s="128" t="n"/>
      <c r="G502" s="57" t="str">
        <f>IF(A502="","",SUMIFS(jr_qty,jr_type,"BL",jr_art,A502,jr_year,p_year))</f>
        <v/>
      </c>
      <c r="H502" s="57" t="str">
        <f>IF(A502="","",SUMIFS(jr_qty,jr_type,"BR",jr_art,A502,jr_year,p_year))</f>
        <v/>
      </c>
      <c r="I502" s="57" t="str">
        <f>IF(A502="","",SUMIFS(jr_qty,jr_type,"BS",jr_art,A502,jr_year,p_year))</f>
        <v/>
      </c>
      <c r="J502" s="60" t="str">
        <f>IF(A502="",IF(B502="","","Référence manquante"),IF(COUNTIF($A$6:$A$505,A502)&gt;1,"Référence en double",IF(B502="","Désignation manquante",IF(C502="","Unité manquante","OK"))))</f>
        <v/>
      </c>
    </row>
    <row r="503">
      <c r="A503" s="59" t="n"/>
      <c r="B503" s="59" t="n"/>
      <c r="C503" s="54" t="n"/>
      <c r="D503" s="127" t="n"/>
      <c r="E503" s="128" t="n"/>
      <c r="F503" s="128" t="n"/>
      <c r="G503" s="57" t="str">
        <f>IF(A503="","",SUMIFS(jr_qty,jr_type,"BL",jr_art,A503,jr_year,p_year))</f>
        <v/>
      </c>
      <c r="H503" s="57" t="str">
        <f>IF(A503="","",SUMIFS(jr_qty,jr_type,"BR",jr_art,A503,jr_year,p_year))</f>
        <v/>
      </c>
      <c r="I503" s="57" t="str">
        <f>IF(A503="","",SUMIFS(jr_qty,jr_type,"BS",jr_art,A503,jr_year,p_year))</f>
        <v/>
      </c>
      <c r="J503" s="60" t="str">
        <f>IF(A503="",IF(B503="","","Référence manquante"),IF(COUNTIF($A$6:$A$505,A503)&gt;1,"Référence en double",IF(B503="","Désignation manquante",IF(C503="","Unité manquante","OK"))))</f>
        <v/>
      </c>
    </row>
    <row r="504">
      <c r="A504" s="59" t="n"/>
      <c r="B504" s="59" t="n"/>
      <c r="C504" s="54" t="n"/>
      <c r="D504" s="127" t="n"/>
      <c r="E504" s="128" t="n"/>
      <c r="F504" s="128" t="n"/>
      <c r="G504" s="57" t="str">
        <f>IF(A504="","",SUMIFS(jr_qty,jr_type,"BL",jr_art,A504,jr_year,p_year))</f>
        <v/>
      </c>
      <c r="H504" s="57" t="str">
        <f>IF(A504="","",SUMIFS(jr_qty,jr_type,"BR",jr_art,A504,jr_year,p_year))</f>
        <v/>
      </c>
      <c r="I504" s="57" t="str">
        <f>IF(A504="","",SUMIFS(jr_qty,jr_type,"BS",jr_art,A504,jr_year,p_year))</f>
        <v/>
      </c>
      <c r="J504" s="60" t="str">
        <f>IF(A504="",IF(B504="","","Référence manquante"),IF(COUNTIF($A$6:$A$505,A504)&gt;1,"Référence en double",IF(B504="","Désignation manquante",IF(C504="","Unité manquante","OK"))))</f>
        <v/>
      </c>
    </row>
    <row r="505">
      <c r="A505" s="59" t="n"/>
      <c r="B505" s="59" t="n"/>
      <c r="C505" s="54" t="n"/>
      <c r="D505" s="127" t="n"/>
      <c r="E505" s="128" t="n"/>
      <c r="F505" s="128" t="n"/>
      <c r="G505" s="57" t="str">
        <f>IF(A505="","",SUMIFS(jr_qty,jr_type,"BL",jr_art,A505,jr_year,p_year))</f>
        <v/>
      </c>
      <c r="H505" s="57" t="str">
        <f>IF(A505="","",SUMIFS(jr_qty,jr_type,"BR",jr_art,A505,jr_year,p_year))</f>
        <v/>
      </c>
      <c r="I505" s="57" t="str">
        <f>IF(A505="","",SUMIFS(jr_qty,jr_type,"BS",jr_art,A505,jr_year,p_year))</f>
        <v/>
      </c>
      <c r="J505" s="60" t="str">
        <f>IF(A505="",IF(B505="","","Référence manquante"),IF(COUNTIF($A$6:$A$505,A505)&gt;1,"Référence en double",IF(B505="","Désignation manquante",IF(C505="","Unité manquante","OK"))))</f>
        <v/>
      </c>
    </row>
  </sheetData>
  <autoFilter ref="A5:J505"/>
  <conditionalFormatting sqref="J6:J505">
    <cfRule type="expression" priority="1" dxfId="0">
      <formula>$J6="OK"</formula>
    </cfRule>
    <cfRule type="expression" priority="2" dxfId="2">
      <formula>AND($J6&lt;&gt;"",$J6&lt;&gt;"OK")</formula>
    </cfRule>
  </conditionalFormatting>
  <conditionalFormatting sqref="E6:E505">
    <cfRule type="expression" priority="3" dxfId="11">
      <formula>p_currency="MAD"</formula>
    </cfRule>
    <cfRule type="expression" priority="5" dxfId="12">
      <formula>p_currency="EUR"</formula>
    </cfRule>
    <cfRule type="expression" priority="7" dxfId="13">
      <formula>p_currency="USD"</formula>
    </cfRule>
  </conditionalFormatting>
  <conditionalFormatting sqref="F6:F505">
    <cfRule type="expression" priority="4" dxfId="11">
      <formula>p_currency="MAD"</formula>
    </cfRule>
    <cfRule type="expression" priority="6" dxfId="12">
      <formula>p_currency="EUR"</formula>
    </cfRule>
    <cfRule type="expression" priority="8" dxfId="13">
      <formula>p_currency="USD"</formula>
    </cfRule>
  </conditionalFormatting>
  <dataValidations count="6">
    <dataValidation sqref="A6:A505" showDropDown="0" showInputMessage="1" showErrorMessage="1" allowBlank="1" errorTitle="Référence" error="30 caractères au maximum." promptTitle="Référence" prompt="Référence unique de l'article (SUP-MOT-01)." type="textLength" operator="lessThanOrEqual">
      <formula1>30</formula1>
    </dataValidation>
    <dataValidation sqref="B6:B505" showDropDown="0" showInputMessage="1" showErrorMessage="1" allowBlank="1" errorTitle="Désignation" error="80 caractères au maximum." promptTitle="Désignation" prompt="Libellé imprimé sur les bons." type="textLength" operator="lessThanOrEqual">
      <formula1>80</formula1>
    </dataValidation>
    <dataValidation sqref="C6:C505" showDropDown="0" showInputMessage="1" showErrorMessage="1" allowBlank="1" errorTitle="Unité" error="Choisissez l'unité dans la liste (feuille Paramètres)." promptTitle="Unité" prompt="Choisissez l'unité dans la liste (feuille Paramètres)." type="list">
      <formula1>=p_units</formula1>
    </dataValidation>
    <dataValidation sqref="D6:D505" showDropDown="0" showInputMessage="1" showErrorMessage="1" allowBlank="1" errorTitle="Poids unitaire" error="Poids d'une unité en kilogrammes (0,85 pour 850 g). Pour un article vendu au kg, saisissez 1." promptTitle="Poids unitaire" prompt="Poids d'une unité en kilogrammes (0,85 pour 850 g). Pour un article vendu au kg, saisissez 1." type="decimal" operator="greaterThanOrEqual">
      <formula1>0</formula1>
    </dataValidation>
    <dataValidation sqref="E6:E505" showDropDown="0" showInputMessage="1" showErrorMessage="1" allowBlank="1" errorTitle="Prix de vente" error="Prix de vente unitaire hors taxes, utilisé sur les bons de livraison valorisés. Facultatif." promptTitle="Prix de vente" prompt="Prix de vente unitaire hors taxes, utilisé sur les bons de livraison valorisés. Facultatif." type="decimal" operator="greaterThanOrEqual">
      <formula1>0</formula1>
    </dataValidation>
    <dataValidation sqref="F6:F505" showDropDown="0" showInputMessage="1" showErrorMessage="1" allowBlank="1" errorTitle="Coût unitaire" error="Coût d'achat ou de revient unitaire hors taxes, utilisé pour les réceptions et les sorties. Facultatif." promptTitle="Coût unitaire" prompt="Coût d'achat ou de revient unitaire hors taxes, utilisé pour les réceptions et les sorties. Facultatif." type="decimal" operator="greaterThanOrEqual">
      <formula1>0</formula1>
    </dataValidation>
  </dataValidations>
  <hyperlinks>
    <hyperlink ref="J1" location="'Mode d''emploi'!A1"/>
  </hyperlinks>
  <printOptions horizontalCentered="1"/>
  <pageMargins left="0.4" right="0.4" top="0.5" bottom="0.5" header="0.5" footer="0.5"/>
  <pageSetup orientation="landscape" paperSize="9" fitToHeight="0" fitToWidth="1"/>
</worksheet>
</file>

<file path=xl/worksheets/sheet9.xml><?xml version="1.0" encoding="utf-8"?>
<worksheet xmlns="http://schemas.openxmlformats.org/spreadsheetml/2006/main">
  <sheetPr>
    <tabColor rgb="FF0F766E"/>
    <outlinePr summaryBelow="1" summaryRight="1"/>
    <pageSetUpPr fitToPage="1"/>
  </sheetPr>
  <dimension ref="A1:M305"/>
  <sheetViews>
    <sheetView showGridLines="0" tabSelected="0" zoomScale="100" workbookViewId="0">
      <pane xSplit="2" ySplit="5" topLeftCell="C6" activePane="bottomRight" state="frozen"/>
      <selection pane="topRight"/>
      <selection pane="bottomLeft"/>
      <selection pane="bottomRight" activeCell="A1" sqref="A1"/>
    </sheetView>
  </sheetViews>
  <sheetFormatPr baseColWidth="8" defaultRowHeight="15"/>
  <cols>
    <col width="12" customWidth="1" min="1" max="1"/>
    <col width="30" customWidth="1" min="2" max="2"/>
    <col width="36" customWidth="1" min="3" max="3"/>
    <col width="20" customWidth="1" min="4" max="4"/>
    <col width="18" customWidth="1" min="5" max="5"/>
    <col width="16" customWidth="1" min="6" max="6"/>
    <col width="18" customWidth="1" min="7" max="7"/>
    <col width="12" customWidth="1" min="8" max="8"/>
    <col width="16" customWidth="1" min="9" max="9"/>
    <col width="14" customWidth="1" min="10" max="10"/>
    <col width="18" customWidth="1" min="11" max="11"/>
    <col hidden="1" width="8" customWidth="1" min="12" max="12"/>
    <col hidden="1" width="6" customWidth="1" min="13" max="13"/>
  </cols>
  <sheetData>
    <row r="1" ht="38" customHeight="1">
      <c r="A1" s="2" t="inlineStr">
        <is>
          <t>Clients</t>
        </is>
      </c>
      <c r="B1" s="1" t="n"/>
      <c r="C1" s="1" t="n"/>
      <c r="D1" s="1" t="n"/>
      <c r="E1" s="1" t="n"/>
      <c r="F1" s="1" t="n"/>
      <c r="G1" s="1" t="n"/>
      <c r="H1" s="1" t="n"/>
      <c r="I1" s="1" t="n"/>
      <c r="J1" s="1" t="n"/>
      <c r="K1" s="18" t="inlineStr">
        <is>
          <t>⌂ Mode d'emploi</t>
        </is>
      </c>
    </row>
    <row r="2" ht="22" customHeight="1">
      <c r="A2" s="4" t="inlineStr">
        <is>
          <t>Adresse et ICE imprimés sur le bon de livraison. Le code court sert à choisir le client dans le journal.</t>
        </is>
      </c>
      <c r="B2" s="3" t="n"/>
      <c r="C2" s="3" t="n"/>
      <c r="D2" s="3" t="n"/>
      <c r="E2" s="3" t="n"/>
      <c r="F2" s="3" t="n"/>
      <c r="G2" s="3" t="n"/>
      <c r="H2" s="3" t="n"/>
      <c r="I2" s="3" t="n"/>
      <c r="J2" s="3" t="n"/>
      <c r="K2" s="3" t="n"/>
    </row>
    <row r="3" ht="18" customHeight="1">
      <c r="J3" s="16" t="inlineStr">
        <is>
          <t>Saisie</t>
        </is>
      </c>
      <c r="K3" s="17" t="inlineStr">
        <is>
          <t>Calcul auto</t>
        </is>
      </c>
    </row>
    <row r="5" ht="34" customHeight="1">
      <c r="A5" s="42" t="inlineStr">
        <is>
          <t>Code</t>
        </is>
      </c>
      <c r="B5" s="42" t="inlineStr">
        <is>
          <t>Raison sociale</t>
        </is>
      </c>
      <c r="C5" s="42" t="inlineStr">
        <is>
          <t>Adresse</t>
        </is>
      </c>
      <c r="D5" s="42" t="inlineStr">
        <is>
          <t>Code postal et ville</t>
        </is>
      </c>
      <c r="E5" s="42" t="inlineStr">
        <is>
          <t>ICE / SIRET</t>
        </is>
      </c>
      <c r="F5" s="42" t="inlineStr">
        <is>
          <t>Téléphone</t>
        </is>
      </c>
      <c r="G5" s="42" t="inlineStr">
        <is>
          <t>Contact</t>
        </is>
      </c>
      <c r="H5" s="42" t="inlineStr">
        <is>
          <t>BL (année)</t>
        </is>
      </c>
      <c r="I5" s="42" t="inlineStr">
        <is>
          <t>Valeur livrée (année)</t>
        </is>
      </c>
      <c r="J5" s="42" t="inlineStr">
        <is>
          <t>Reliquats en cours</t>
        </is>
      </c>
      <c r="K5" s="42" t="inlineStr">
        <is>
          <t>Contrôle</t>
        </is>
      </c>
      <c r="L5" s="42" t="inlineStr">
        <is>
          <t>Score</t>
        </is>
      </c>
      <c r="M5" s="42" t="inlineStr">
        <is>
          <t>Rang</t>
        </is>
      </c>
    </row>
    <row r="6">
      <c r="A6" s="129" t="n"/>
      <c r="B6" s="59" t="n"/>
      <c r="C6" s="59" t="n"/>
      <c r="D6" s="59" t="n"/>
      <c r="E6" s="58" t="n"/>
      <c r="F6" s="58" t="n"/>
      <c r="G6" s="59" t="n"/>
      <c r="H6" s="66" t="str">
        <f>IF(A6="","",COUNTIFS(jr_new,1,jr_type,"BL",jr_tiers,A6,jr_year,p_year))</f>
        <v/>
      </c>
      <c r="I6" s="64" t="str">
        <f>IF(A6="","",SUMIFS(jr_val,jr_type,"BL",jr_tiers,A6,jr_year,p_year))</f>
        <v/>
      </c>
      <c r="J6" s="66" t="str">
        <f>IF(A6="","",COUNTIFS(jr_type,"BL",jr_tiers,A6,jr_rel,"&gt;0"))</f>
        <v/>
      </c>
      <c r="K6" s="60" t="str">
        <f>IF(A6="",IF(B6="","","Code manquant"),IF(COUNTIF($A$6:$A$305,A6)&gt;1,"Code en double",IF(B6="","Raison sociale manquante","OK")))</f>
        <v/>
      </c>
      <c r="L6" s="130" t="str">
        <f>IF(OR(A6="",N(H6)=0),"",H6+I6/1000000000000)</f>
        <v/>
      </c>
      <c r="M6" s="131" t="str">
        <f>IF(L6="","",RANK(L6,$L$6:$L$305))</f>
        <v/>
      </c>
    </row>
    <row r="7">
      <c r="A7" s="129" t="n"/>
      <c r="B7" s="59" t="n"/>
      <c r="C7" s="59" t="n"/>
      <c r="D7" s="59" t="n"/>
      <c r="E7" s="58" t="n"/>
      <c r="F7" s="58" t="n"/>
      <c r="G7" s="59" t="n"/>
      <c r="H7" s="66" t="str">
        <f>IF(A7="","",COUNTIFS(jr_new,1,jr_type,"BL",jr_tiers,A7,jr_year,p_year))</f>
        <v/>
      </c>
      <c r="I7" s="64" t="str">
        <f>IF(A7="","",SUMIFS(jr_val,jr_type,"BL",jr_tiers,A7,jr_year,p_year))</f>
        <v/>
      </c>
      <c r="J7" s="66" t="str">
        <f>IF(A7="","",COUNTIFS(jr_type,"BL",jr_tiers,A7,jr_rel,"&gt;0"))</f>
        <v/>
      </c>
      <c r="K7" s="60" t="str">
        <f>IF(A7="",IF(B7="","","Code manquant"),IF(COUNTIF($A$6:$A$305,A7)&gt;1,"Code en double",IF(B7="","Raison sociale manquante","OK")))</f>
        <v/>
      </c>
      <c r="L7" s="130" t="str">
        <f>IF(OR(A7="",N(H7)=0),"",H7+I7/1000000000000)</f>
        <v/>
      </c>
      <c r="M7" s="131" t="str">
        <f>IF(L7="","",RANK(L7,$L$6:$L$305)+COUNTIF($L$6:L6,L7))</f>
        <v/>
      </c>
    </row>
    <row r="8">
      <c r="A8" s="129" t="n"/>
      <c r="B8" s="59" t="n"/>
      <c r="C8" s="59" t="n"/>
      <c r="D8" s="59" t="n"/>
      <c r="E8" s="58" t="n"/>
      <c r="F8" s="58" t="n"/>
      <c r="G8" s="59" t="n"/>
      <c r="H8" s="66" t="str">
        <f>IF(A8="","",COUNTIFS(jr_new,1,jr_type,"BL",jr_tiers,A8,jr_year,p_year))</f>
        <v/>
      </c>
      <c r="I8" s="64" t="str">
        <f>IF(A8="","",SUMIFS(jr_val,jr_type,"BL",jr_tiers,A8,jr_year,p_year))</f>
        <v/>
      </c>
      <c r="J8" s="66" t="str">
        <f>IF(A8="","",COUNTIFS(jr_type,"BL",jr_tiers,A8,jr_rel,"&gt;0"))</f>
        <v/>
      </c>
      <c r="K8" s="60" t="str">
        <f>IF(A8="",IF(B8="","","Code manquant"),IF(COUNTIF($A$6:$A$305,A8)&gt;1,"Code en double",IF(B8="","Raison sociale manquante","OK")))</f>
        <v/>
      </c>
      <c r="L8" s="130" t="str">
        <f>IF(OR(A8="",N(H8)=0),"",H8+I8/1000000000000)</f>
        <v/>
      </c>
      <c r="M8" s="131" t="str">
        <f>IF(L8="","",RANK(L8,$L$6:$L$305)+COUNTIF($L$6:L7,L8))</f>
        <v/>
      </c>
    </row>
    <row r="9">
      <c r="A9" s="129" t="n"/>
      <c r="B9" s="59" t="n"/>
      <c r="C9" s="59" t="n"/>
      <c r="D9" s="59" t="n"/>
      <c r="E9" s="58" t="n"/>
      <c r="F9" s="58" t="n"/>
      <c r="G9" s="59" t="n"/>
      <c r="H9" s="66" t="str">
        <f>IF(A9="","",COUNTIFS(jr_new,1,jr_type,"BL",jr_tiers,A9,jr_year,p_year))</f>
        <v/>
      </c>
      <c r="I9" s="64" t="str">
        <f>IF(A9="","",SUMIFS(jr_val,jr_type,"BL",jr_tiers,A9,jr_year,p_year))</f>
        <v/>
      </c>
      <c r="J9" s="66" t="str">
        <f>IF(A9="","",COUNTIFS(jr_type,"BL",jr_tiers,A9,jr_rel,"&gt;0"))</f>
        <v/>
      </c>
      <c r="K9" s="60" t="str">
        <f>IF(A9="",IF(B9="","","Code manquant"),IF(COUNTIF($A$6:$A$305,A9)&gt;1,"Code en double",IF(B9="","Raison sociale manquante","OK")))</f>
        <v/>
      </c>
      <c r="L9" s="130" t="str">
        <f>IF(OR(A9="",N(H9)=0),"",H9+I9/1000000000000)</f>
        <v/>
      </c>
      <c r="M9" s="131" t="str">
        <f>IF(L9="","",RANK(L9,$L$6:$L$305)+COUNTIF($L$6:L8,L9))</f>
        <v/>
      </c>
    </row>
    <row r="10">
      <c r="A10" s="129" t="n"/>
      <c r="B10" s="59" t="n"/>
      <c r="C10" s="59" t="n"/>
      <c r="D10" s="59" t="n"/>
      <c r="E10" s="58" t="n"/>
      <c r="F10" s="58" t="n"/>
      <c r="G10" s="59" t="n"/>
      <c r="H10" s="66" t="str">
        <f>IF(A10="","",COUNTIFS(jr_new,1,jr_type,"BL",jr_tiers,A10,jr_year,p_year))</f>
        <v/>
      </c>
      <c r="I10" s="64" t="str">
        <f>IF(A10="","",SUMIFS(jr_val,jr_type,"BL",jr_tiers,A10,jr_year,p_year))</f>
        <v/>
      </c>
      <c r="J10" s="66" t="str">
        <f>IF(A10="","",COUNTIFS(jr_type,"BL",jr_tiers,A10,jr_rel,"&gt;0"))</f>
        <v/>
      </c>
      <c r="K10" s="60" t="str">
        <f>IF(A10="",IF(B10="","","Code manquant"),IF(COUNTIF($A$6:$A$305,A10)&gt;1,"Code en double",IF(B10="","Raison sociale manquante","OK")))</f>
        <v/>
      </c>
      <c r="L10" s="130" t="str">
        <f>IF(OR(A10="",N(H10)=0),"",H10+I10/1000000000000)</f>
        <v/>
      </c>
      <c r="M10" s="131" t="str">
        <f>IF(L10="","",RANK(L10,$L$6:$L$305)+COUNTIF($L$6:L9,L10))</f>
        <v/>
      </c>
    </row>
    <row r="11">
      <c r="A11" s="129" t="n"/>
      <c r="B11" s="59" t="n"/>
      <c r="C11" s="59" t="n"/>
      <c r="D11" s="59" t="n"/>
      <c r="E11" s="58" t="n"/>
      <c r="F11" s="58" t="n"/>
      <c r="G11" s="59" t="n"/>
      <c r="H11" s="66" t="str">
        <f>IF(A11="","",COUNTIFS(jr_new,1,jr_type,"BL",jr_tiers,A11,jr_year,p_year))</f>
        <v/>
      </c>
      <c r="I11" s="64" t="str">
        <f>IF(A11="","",SUMIFS(jr_val,jr_type,"BL",jr_tiers,A11,jr_year,p_year))</f>
        <v/>
      </c>
      <c r="J11" s="66" t="str">
        <f>IF(A11="","",COUNTIFS(jr_type,"BL",jr_tiers,A11,jr_rel,"&gt;0"))</f>
        <v/>
      </c>
      <c r="K11" s="60" t="str">
        <f>IF(A11="",IF(B11="","","Code manquant"),IF(COUNTIF($A$6:$A$305,A11)&gt;1,"Code en double",IF(B11="","Raison sociale manquante","OK")))</f>
        <v/>
      </c>
      <c r="L11" s="130" t="str">
        <f>IF(OR(A11="",N(H11)=0),"",H11+I11/1000000000000)</f>
        <v/>
      </c>
      <c r="M11" s="131" t="str">
        <f>IF(L11="","",RANK(L11,$L$6:$L$305)+COUNTIF($L$6:L10,L11))</f>
        <v/>
      </c>
    </row>
    <row r="12">
      <c r="A12" s="129" t="n"/>
      <c r="B12" s="59" t="n"/>
      <c r="C12" s="59" t="n"/>
      <c r="D12" s="59" t="n"/>
      <c r="E12" s="58" t="n"/>
      <c r="F12" s="58" t="n"/>
      <c r="G12" s="59" t="n"/>
      <c r="H12" s="66" t="str">
        <f>IF(A12="","",COUNTIFS(jr_new,1,jr_type,"BL",jr_tiers,A12,jr_year,p_year))</f>
        <v/>
      </c>
      <c r="I12" s="64" t="str">
        <f>IF(A12="","",SUMIFS(jr_val,jr_type,"BL",jr_tiers,A12,jr_year,p_year))</f>
        <v/>
      </c>
      <c r="J12" s="66" t="str">
        <f>IF(A12="","",COUNTIFS(jr_type,"BL",jr_tiers,A12,jr_rel,"&gt;0"))</f>
        <v/>
      </c>
      <c r="K12" s="60" t="str">
        <f>IF(A12="",IF(B12="","","Code manquant"),IF(COUNTIF($A$6:$A$305,A12)&gt;1,"Code en double",IF(B12="","Raison sociale manquante","OK")))</f>
        <v/>
      </c>
      <c r="L12" s="130" t="str">
        <f>IF(OR(A12="",N(H12)=0),"",H12+I12/1000000000000)</f>
        <v/>
      </c>
      <c r="M12" s="131" t="str">
        <f>IF(L12="","",RANK(L12,$L$6:$L$305)+COUNTIF($L$6:L11,L12))</f>
        <v/>
      </c>
    </row>
    <row r="13">
      <c r="A13" s="129" t="n"/>
      <c r="B13" s="59" t="n"/>
      <c r="C13" s="59" t="n"/>
      <c r="D13" s="59" t="n"/>
      <c r="E13" s="58" t="n"/>
      <c r="F13" s="58" t="n"/>
      <c r="G13" s="59" t="n"/>
      <c r="H13" s="66" t="str">
        <f>IF(A13="","",COUNTIFS(jr_new,1,jr_type,"BL",jr_tiers,A13,jr_year,p_year))</f>
        <v/>
      </c>
      <c r="I13" s="64" t="str">
        <f>IF(A13="","",SUMIFS(jr_val,jr_type,"BL",jr_tiers,A13,jr_year,p_year))</f>
        <v/>
      </c>
      <c r="J13" s="66" t="str">
        <f>IF(A13="","",COUNTIFS(jr_type,"BL",jr_tiers,A13,jr_rel,"&gt;0"))</f>
        <v/>
      </c>
      <c r="K13" s="60" t="str">
        <f>IF(A13="",IF(B13="","","Code manquant"),IF(COUNTIF($A$6:$A$305,A13)&gt;1,"Code en double",IF(B13="","Raison sociale manquante","OK")))</f>
        <v/>
      </c>
      <c r="L13" s="130" t="str">
        <f>IF(OR(A13="",N(H13)=0),"",H13+I13/1000000000000)</f>
        <v/>
      </c>
      <c r="M13" s="131" t="str">
        <f>IF(L13="","",RANK(L13,$L$6:$L$305)+COUNTIF($L$6:L12,L13))</f>
        <v/>
      </c>
    </row>
    <row r="14">
      <c r="A14" s="129" t="n"/>
      <c r="B14" s="59" t="n"/>
      <c r="C14" s="59" t="n"/>
      <c r="D14" s="59" t="n"/>
      <c r="E14" s="58" t="n"/>
      <c r="F14" s="58" t="n"/>
      <c r="G14" s="59" t="n"/>
      <c r="H14" s="66" t="str">
        <f>IF(A14="","",COUNTIFS(jr_new,1,jr_type,"BL",jr_tiers,A14,jr_year,p_year))</f>
        <v/>
      </c>
      <c r="I14" s="64" t="str">
        <f>IF(A14="","",SUMIFS(jr_val,jr_type,"BL",jr_tiers,A14,jr_year,p_year))</f>
        <v/>
      </c>
      <c r="J14" s="66" t="str">
        <f>IF(A14="","",COUNTIFS(jr_type,"BL",jr_tiers,A14,jr_rel,"&gt;0"))</f>
        <v/>
      </c>
      <c r="K14" s="60" t="str">
        <f>IF(A14="",IF(B14="","","Code manquant"),IF(COUNTIF($A$6:$A$305,A14)&gt;1,"Code en double",IF(B14="","Raison sociale manquante","OK")))</f>
        <v/>
      </c>
      <c r="L14" s="130" t="str">
        <f>IF(OR(A14="",N(H14)=0),"",H14+I14/1000000000000)</f>
        <v/>
      </c>
      <c r="M14" s="131" t="str">
        <f>IF(L14="","",RANK(L14,$L$6:$L$305)+COUNTIF($L$6:L13,L14))</f>
        <v/>
      </c>
    </row>
    <row r="15">
      <c r="A15" s="129" t="n"/>
      <c r="B15" s="59" t="n"/>
      <c r="C15" s="59" t="n"/>
      <c r="D15" s="59" t="n"/>
      <c r="E15" s="58" t="n"/>
      <c r="F15" s="58" t="n"/>
      <c r="G15" s="59" t="n"/>
      <c r="H15" s="66" t="str">
        <f>IF(A15="","",COUNTIFS(jr_new,1,jr_type,"BL",jr_tiers,A15,jr_year,p_year))</f>
        <v/>
      </c>
      <c r="I15" s="64" t="str">
        <f>IF(A15="","",SUMIFS(jr_val,jr_type,"BL",jr_tiers,A15,jr_year,p_year))</f>
        <v/>
      </c>
      <c r="J15" s="66" t="str">
        <f>IF(A15="","",COUNTIFS(jr_type,"BL",jr_tiers,A15,jr_rel,"&gt;0"))</f>
        <v/>
      </c>
      <c r="K15" s="60" t="str">
        <f>IF(A15="",IF(B15="","","Code manquant"),IF(COUNTIF($A$6:$A$305,A15)&gt;1,"Code en double",IF(B15="","Raison sociale manquante","OK")))</f>
        <v/>
      </c>
      <c r="L15" s="130" t="str">
        <f>IF(OR(A15="",N(H15)=0),"",H15+I15/1000000000000)</f>
        <v/>
      </c>
      <c r="M15" s="131" t="str">
        <f>IF(L15="","",RANK(L15,$L$6:$L$305)+COUNTIF($L$6:L14,L15))</f>
        <v/>
      </c>
    </row>
    <row r="16">
      <c r="A16" s="129" t="n"/>
      <c r="B16" s="59" t="n"/>
      <c r="C16" s="59" t="n"/>
      <c r="D16" s="59" t="n"/>
      <c r="E16" s="58" t="n"/>
      <c r="F16" s="58" t="n"/>
      <c r="G16" s="59" t="n"/>
      <c r="H16" s="66" t="str">
        <f>IF(A16="","",COUNTIFS(jr_new,1,jr_type,"BL",jr_tiers,A16,jr_year,p_year))</f>
        <v/>
      </c>
      <c r="I16" s="64" t="str">
        <f>IF(A16="","",SUMIFS(jr_val,jr_type,"BL",jr_tiers,A16,jr_year,p_year))</f>
        <v/>
      </c>
      <c r="J16" s="66" t="str">
        <f>IF(A16="","",COUNTIFS(jr_type,"BL",jr_tiers,A16,jr_rel,"&gt;0"))</f>
        <v/>
      </c>
      <c r="K16" s="60" t="str">
        <f>IF(A16="",IF(B16="","","Code manquant"),IF(COUNTIF($A$6:$A$305,A16)&gt;1,"Code en double",IF(B16="","Raison sociale manquante","OK")))</f>
        <v/>
      </c>
      <c r="L16" s="130" t="str">
        <f>IF(OR(A16="",N(H16)=0),"",H16+I16/1000000000000)</f>
        <v/>
      </c>
      <c r="M16" s="131" t="str">
        <f>IF(L16="","",RANK(L16,$L$6:$L$305)+COUNTIF($L$6:L15,L16))</f>
        <v/>
      </c>
    </row>
    <row r="17">
      <c r="A17" s="129" t="n"/>
      <c r="B17" s="59" t="n"/>
      <c r="C17" s="59" t="n"/>
      <c r="D17" s="59" t="n"/>
      <c r="E17" s="58" t="n"/>
      <c r="F17" s="58" t="n"/>
      <c r="G17" s="59" t="n"/>
      <c r="H17" s="66" t="str">
        <f>IF(A17="","",COUNTIFS(jr_new,1,jr_type,"BL",jr_tiers,A17,jr_year,p_year))</f>
        <v/>
      </c>
      <c r="I17" s="64" t="str">
        <f>IF(A17="","",SUMIFS(jr_val,jr_type,"BL",jr_tiers,A17,jr_year,p_year))</f>
        <v/>
      </c>
      <c r="J17" s="66" t="str">
        <f>IF(A17="","",COUNTIFS(jr_type,"BL",jr_tiers,A17,jr_rel,"&gt;0"))</f>
        <v/>
      </c>
      <c r="K17" s="60" t="str">
        <f>IF(A17="",IF(B17="","","Code manquant"),IF(COUNTIF($A$6:$A$305,A17)&gt;1,"Code en double",IF(B17="","Raison sociale manquante","OK")))</f>
        <v/>
      </c>
      <c r="L17" s="130" t="str">
        <f>IF(OR(A17="",N(H17)=0),"",H17+I17/1000000000000)</f>
        <v/>
      </c>
      <c r="M17" s="131" t="str">
        <f>IF(L17="","",RANK(L17,$L$6:$L$305)+COUNTIF($L$6:L16,L17))</f>
        <v/>
      </c>
    </row>
    <row r="18">
      <c r="A18" s="129" t="n"/>
      <c r="B18" s="59" t="n"/>
      <c r="C18" s="59" t="n"/>
      <c r="D18" s="59" t="n"/>
      <c r="E18" s="58" t="n"/>
      <c r="F18" s="58" t="n"/>
      <c r="G18" s="59" t="n"/>
      <c r="H18" s="66" t="str">
        <f>IF(A18="","",COUNTIFS(jr_new,1,jr_type,"BL",jr_tiers,A18,jr_year,p_year))</f>
        <v/>
      </c>
      <c r="I18" s="64" t="str">
        <f>IF(A18="","",SUMIFS(jr_val,jr_type,"BL",jr_tiers,A18,jr_year,p_year))</f>
        <v/>
      </c>
      <c r="J18" s="66" t="str">
        <f>IF(A18="","",COUNTIFS(jr_type,"BL",jr_tiers,A18,jr_rel,"&gt;0"))</f>
        <v/>
      </c>
      <c r="K18" s="60" t="str">
        <f>IF(A18="",IF(B18="","","Code manquant"),IF(COUNTIF($A$6:$A$305,A18)&gt;1,"Code en double",IF(B18="","Raison sociale manquante","OK")))</f>
        <v/>
      </c>
      <c r="L18" s="130" t="str">
        <f>IF(OR(A18="",N(H18)=0),"",H18+I18/1000000000000)</f>
        <v/>
      </c>
      <c r="M18" s="131" t="str">
        <f>IF(L18="","",RANK(L18,$L$6:$L$305)+COUNTIF($L$6:L17,L18))</f>
        <v/>
      </c>
    </row>
    <row r="19">
      <c r="A19" s="129" t="n"/>
      <c r="B19" s="59" t="n"/>
      <c r="C19" s="59" t="n"/>
      <c r="D19" s="59" t="n"/>
      <c r="E19" s="58" t="n"/>
      <c r="F19" s="58" t="n"/>
      <c r="G19" s="59" t="n"/>
      <c r="H19" s="66" t="str">
        <f>IF(A19="","",COUNTIFS(jr_new,1,jr_type,"BL",jr_tiers,A19,jr_year,p_year))</f>
        <v/>
      </c>
      <c r="I19" s="64" t="str">
        <f>IF(A19="","",SUMIFS(jr_val,jr_type,"BL",jr_tiers,A19,jr_year,p_year))</f>
        <v/>
      </c>
      <c r="J19" s="66" t="str">
        <f>IF(A19="","",COUNTIFS(jr_type,"BL",jr_tiers,A19,jr_rel,"&gt;0"))</f>
        <v/>
      </c>
      <c r="K19" s="60" t="str">
        <f>IF(A19="",IF(B19="","","Code manquant"),IF(COUNTIF($A$6:$A$305,A19)&gt;1,"Code en double",IF(B19="","Raison sociale manquante","OK")))</f>
        <v/>
      </c>
      <c r="L19" s="130" t="str">
        <f>IF(OR(A19="",N(H19)=0),"",H19+I19/1000000000000)</f>
        <v/>
      </c>
      <c r="M19" s="131" t="str">
        <f>IF(L19="","",RANK(L19,$L$6:$L$305)+COUNTIF($L$6:L18,L19))</f>
        <v/>
      </c>
    </row>
    <row r="20">
      <c r="A20" s="129" t="n"/>
      <c r="B20" s="59" t="n"/>
      <c r="C20" s="59" t="n"/>
      <c r="D20" s="59" t="n"/>
      <c r="E20" s="58" t="n"/>
      <c r="F20" s="58" t="n"/>
      <c r="G20" s="59" t="n"/>
      <c r="H20" s="66" t="str">
        <f>IF(A20="","",COUNTIFS(jr_new,1,jr_type,"BL",jr_tiers,A20,jr_year,p_year))</f>
        <v/>
      </c>
      <c r="I20" s="64" t="str">
        <f>IF(A20="","",SUMIFS(jr_val,jr_type,"BL",jr_tiers,A20,jr_year,p_year))</f>
        <v/>
      </c>
      <c r="J20" s="66" t="str">
        <f>IF(A20="","",COUNTIFS(jr_type,"BL",jr_tiers,A20,jr_rel,"&gt;0"))</f>
        <v/>
      </c>
      <c r="K20" s="60" t="str">
        <f>IF(A20="",IF(B20="","","Code manquant"),IF(COUNTIF($A$6:$A$305,A20)&gt;1,"Code en double",IF(B20="","Raison sociale manquante","OK")))</f>
        <v/>
      </c>
      <c r="L20" s="130" t="str">
        <f>IF(OR(A20="",N(H20)=0),"",H20+I20/1000000000000)</f>
        <v/>
      </c>
      <c r="M20" s="131" t="str">
        <f>IF(L20="","",RANK(L20,$L$6:$L$305)+COUNTIF($L$6:L19,L20))</f>
        <v/>
      </c>
    </row>
    <row r="21">
      <c r="A21" s="129" t="n"/>
      <c r="B21" s="59" t="n"/>
      <c r="C21" s="59" t="n"/>
      <c r="D21" s="59" t="n"/>
      <c r="E21" s="58" t="n"/>
      <c r="F21" s="58" t="n"/>
      <c r="G21" s="59" t="n"/>
      <c r="H21" s="66" t="str">
        <f>IF(A21="","",COUNTIFS(jr_new,1,jr_type,"BL",jr_tiers,A21,jr_year,p_year))</f>
        <v/>
      </c>
      <c r="I21" s="64" t="str">
        <f>IF(A21="","",SUMIFS(jr_val,jr_type,"BL",jr_tiers,A21,jr_year,p_year))</f>
        <v/>
      </c>
      <c r="J21" s="66" t="str">
        <f>IF(A21="","",COUNTIFS(jr_type,"BL",jr_tiers,A21,jr_rel,"&gt;0"))</f>
        <v/>
      </c>
      <c r="K21" s="60" t="str">
        <f>IF(A21="",IF(B21="","","Code manquant"),IF(COUNTIF($A$6:$A$305,A21)&gt;1,"Code en double",IF(B21="","Raison sociale manquante","OK")))</f>
        <v/>
      </c>
      <c r="L21" s="130" t="str">
        <f>IF(OR(A21="",N(H21)=0),"",H21+I21/1000000000000)</f>
        <v/>
      </c>
      <c r="M21" s="131" t="str">
        <f>IF(L21="","",RANK(L21,$L$6:$L$305)+COUNTIF($L$6:L20,L21))</f>
        <v/>
      </c>
    </row>
    <row r="22">
      <c r="A22" s="129" t="n"/>
      <c r="B22" s="59" t="n"/>
      <c r="C22" s="59" t="n"/>
      <c r="D22" s="59" t="n"/>
      <c r="E22" s="58" t="n"/>
      <c r="F22" s="58" t="n"/>
      <c r="G22" s="59" t="n"/>
      <c r="H22" s="66" t="str">
        <f>IF(A22="","",COUNTIFS(jr_new,1,jr_type,"BL",jr_tiers,A22,jr_year,p_year))</f>
        <v/>
      </c>
      <c r="I22" s="64" t="str">
        <f>IF(A22="","",SUMIFS(jr_val,jr_type,"BL",jr_tiers,A22,jr_year,p_year))</f>
        <v/>
      </c>
      <c r="J22" s="66" t="str">
        <f>IF(A22="","",COUNTIFS(jr_type,"BL",jr_tiers,A22,jr_rel,"&gt;0"))</f>
        <v/>
      </c>
      <c r="K22" s="60" t="str">
        <f>IF(A22="",IF(B22="","","Code manquant"),IF(COUNTIF($A$6:$A$305,A22)&gt;1,"Code en double",IF(B22="","Raison sociale manquante","OK")))</f>
        <v/>
      </c>
      <c r="L22" s="130" t="str">
        <f>IF(OR(A22="",N(H22)=0),"",H22+I22/1000000000000)</f>
        <v/>
      </c>
      <c r="M22" s="131" t="str">
        <f>IF(L22="","",RANK(L22,$L$6:$L$305)+COUNTIF($L$6:L21,L22))</f>
        <v/>
      </c>
    </row>
    <row r="23">
      <c r="A23" s="129" t="n"/>
      <c r="B23" s="59" t="n"/>
      <c r="C23" s="59" t="n"/>
      <c r="D23" s="59" t="n"/>
      <c r="E23" s="58" t="n"/>
      <c r="F23" s="58" t="n"/>
      <c r="G23" s="59" t="n"/>
      <c r="H23" s="66" t="str">
        <f>IF(A23="","",COUNTIFS(jr_new,1,jr_type,"BL",jr_tiers,A23,jr_year,p_year))</f>
        <v/>
      </c>
      <c r="I23" s="64" t="str">
        <f>IF(A23="","",SUMIFS(jr_val,jr_type,"BL",jr_tiers,A23,jr_year,p_year))</f>
        <v/>
      </c>
      <c r="J23" s="66" t="str">
        <f>IF(A23="","",COUNTIFS(jr_type,"BL",jr_tiers,A23,jr_rel,"&gt;0"))</f>
        <v/>
      </c>
      <c r="K23" s="60" t="str">
        <f>IF(A23="",IF(B23="","","Code manquant"),IF(COUNTIF($A$6:$A$305,A23)&gt;1,"Code en double",IF(B23="","Raison sociale manquante","OK")))</f>
        <v/>
      </c>
      <c r="L23" s="130" t="str">
        <f>IF(OR(A23="",N(H23)=0),"",H23+I23/1000000000000)</f>
        <v/>
      </c>
      <c r="M23" s="131" t="str">
        <f>IF(L23="","",RANK(L23,$L$6:$L$305)+COUNTIF($L$6:L22,L23))</f>
        <v/>
      </c>
    </row>
    <row r="24">
      <c r="A24" s="129" t="n"/>
      <c r="B24" s="59" t="n"/>
      <c r="C24" s="59" t="n"/>
      <c r="D24" s="59" t="n"/>
      <c r="E24" s="58" t="n"/>
      <c r="F24" s="58" t="n"/>
      <c r="G24" s="59" t="n"/>
      <c r="H24" s="66" t="str">
        <f>IF(A24="","",COUNTIFS(jr_new,1,jr_type,"BL",jr_tiers,A24,jr_year,p_year))</f>
        <v/>
      </c>
      <c r="I24" s="64" t="str">
        <f>IF(A24="","",SUMIFS(jr_val,jr_type,"BL",jr_tiers,A24,jr_year,p_year))</f>
        <v/>
      </c>
      <c r="J24" s="66" t="str">
        <f>IF(A24="","",COUNTIFS(jr_type,"BL",jr_tiers,A24,jr_rel,"&gt;0"))</f>
        <v/>
      </c>
      <c r="K24" s="60" t="str">
        <f>IF(A24="",IF(B24="","","Code manquant"),IF(COUNTIF($A$6:$A$305,A24)&gt;1,"Code en double",IF(B24="","Raison sociale manquante","OK")))</f>
        <v/>
      </c>
      <c r="L24" s="130" t="str">
        <f>IF(OR(A24="",N(H24)=0),"",H24+I24/1000000000000)</f>
        <v/>
      </c>
      <c r="M24" s="131" t="str">
        <f>IF(L24="","",RANK(L24,$L$6:$L$305)+COUNTIF($L$6:L23,L24))</f>
        <v/>
      </c>
    </row>
    <row r="25">
      <c r="A25" s="129" t="n"/>
      <c r="B25" s="59" t="n"/>
      <c r="C25" s="59" t="n"/>
      <c r="D25" s="59" t="n"/>
      <c r="E25" s="58" t="n"/>
      <c r="F25" s="58" t="n"/>
      <c r="G25" s="59" t="n"/>
      <c r="H25" s="66" t="str">
        <f>IF(A25="","",COUNTIFS(jr_new,1,jr_type,"BL",jr_tiers,A25,jr_year,p_year))</f>
        <v/>
      </c>
      <c r="I25" s="64" t="str">
        <f>IF(A25="","",SUMIFS(jr_val,jr_type,"BL",jr_tiers,A25,jr_year,p_year))</f>
        <v/>
      </c>
      <c r="J25" s="66" t="str">
        <f>IF(A25="","",COUNTIFS(jr_type,"BL",jr_tiers,A25,jr_rel,"&gt;0"))</f>
        <v/>
      </c>
      <c r="K25" s="60" t="str">
        <f>IF(A25="",IF(B25="","","Code manquant"),IF(COUNTIF($A$6:$A$305,A25)&gt;1,"Code en double",IF(B25="","Raison sociale manquante","OK")))</f>
        <v/>
      </c>
      <c r="L25" s="130" t="str">
        <f>IF(OR(A25="",N(H25)=0),"",H25+I25/1000000000000)</f>
        <v/>
      </c>
      <c r="M25" s="131" t="str">
        <f>IF(L25="","",RANK(L25,$L$6:$L$305)+COUNTIF($L$6:L24,L25))</f>
        <v/>
      </c>
    </row>
    <row r="26">
      <c r="A26" s="129" t="n"/>
      <c r="B26" s="59" t="n"/>
      <c r="C26" s="59" t="n"/>
      <c r="D26" s="59" t="n"/>
      <c r="E26" s="58" t="n"/>
      <c r="F26" s="58" t="n"/>
      <c r="G26" s="59" t="n"/>
      <c r="H26" s="66" t="str">
        <f>IF(A26="","",COUNTIFS(jr_new,1,jr_type,"BL",jr_tiers,A26,jr_year,p_year))</f>
        <v/>
      </c>
      <c r="I26" s="64" t="str">
        <f>IF(A26="","",SUMIFS(jr_val,jr_type,"BL",jr_tiers,A26,jr_year,p_year))</f>
        <v/>
      </c>
      <c r="J26" s="66" t="str">
        <f>IF(A26="","",COUNTIFS(jr_type,"BL",jr_tiers,A26,jr_rel,"&gt;0"))</f>
        <v/>
      </c>
      <c r="K26" s="60" t="str">
        <f>IF(A26="",IF(B26="","","Code manquant"),IF(COUNTIF($A$6:$A$305,A26)&gt;1,"Code en double",IF(B26="","Raison sociale manquante","OK")))</f>
        <v/>
      </c>
      <c r="L26" s="130" t="str">
        <f>IF(OR(A26="",N(H26)=0),"",H26+I26/1000000000000)</f>
        <v/>
      </c>
      <c r="M26" s="131" t="str">
        <f>IF(L26="","",RANK(L26,$L$6:$L$305)+COUNTIF($L$6:L25,L26))</f>
        <v/>
      </c>
    </row>
    <row r="27">
      <c r="A27" s="129" t="n"/>
      <c r="B27" s="59" t="n"/>
      <c r="C27" s="59" t="n"/>
      <c r="D27" s="59" t="n"/>
      <c r="E27" s="58" t="n"/>
      <c r="F27" s="58" t="n"/>
      <c r="G27" s="59" t="n"/>
      <c r="H27" s="66" t="str">
        <f>IF(A27="","",COUNTIFS(jr_new,1,jr_type,"BL",jr_tiers,A27,jr_year,p_year))</f>
        <v/>
      </c>
      <c r="I27" s="64" t="str">
        <f>IF(A27="","",SUMIFS(jr_val,jr_type,"BL",jr_tiers,A27,jr_year,p_year))</f>
        <v/>
      </c>
      <c r="J27" s="66" t="str">
        <f>IF(A27="","",COUNTIFS(jr_type,"BL",jr_tiers,A27,jr_rel,"&gt;0"))</f>
        <v/>
      </c>
      <c r="K27" s="60" t="str">
        <f>IF(A27="",IF(B27="","","Code manquant"),IF(COUNTIF($A$6:$A$305,A27)&gt;1,"Code en double",IF(B27="","Raison sociale manquante","OK")))</f>
        <v/>
      </c>
      <c r="L27" s="130" t="str">
        <f>IF(OR(A27="",N(H27)=0),"",H27+I27/1000000000000)</f>
        <v/>
      </c>
      <c r="M27" s="131" t="str">
        <f>IF(L27="","",RANK(L27,$L$6:$L$305)+COUNTIF($L$6:L26,L27))</f>
        <v/>
      </c>
    </row>
    <row r="28">
      <c r="A28" s="129" t="n"/>
      <c r="B28" s="59" t="n"/>
      <c r="C28" s="59" t="n"/>
      <c r="D28" s="59" t="n"/>
      <c r="E28" s="58" t="n"/>
      <c r="F28" s="58" t="n"/>
      <c r="G28" s="59" t="n"/>
      <c r="H28" s="66" t="str">
        <f>IF(A28="","",COUNTIFS(jr_new,1,jr_type,"BL",jr_tiers,A28,jr_year,p_year))</f>
        <v/>
      </c>
      <c r="I28" s="64" t="str">
        <f>IF(A28="","",SUMIFS(jr_val,jr_type,"BL",jr_tiers,A28,jr_year,p_year))</f>
        <v/>
      </c>
      <c r="J28" s="66" t="str">
        <f>IF(A28="","",COUNTIFS(jr_type,"BL",jr_tiers,A28,jr_rel,"&gt;0"))</f>
        <v/>
      </c>
      <c r="K28" s="60" t="str">
        <f>IF(A28="",IF(B28="","","Code manquant"),IF(COUNTIF($A$6:$A$305,A28)&gt;1,"Code en double",IF(B28="","Raison sociale manquante","OK")))</f>
        <v/>
      </c>
      <c r="L28" s="130" t="str">
        <f>IF(OR(A28="",N(H28)=0),"",H28+I28/1000000000000)</f>
        <v/>
      </c>
      <c r="M28" s="131" t="str">
        <f>IF(L28="","",RANK(L28,$L$6:$L$305)+COUNTIF($L$6:L27,L28))</f>
        <v/>
      </c>
    </row>
    <row r="29">
      <c r="A29" s="129" t="n"/>
      <c r="B29" s="59" t="n"/>
      <c r="C29" s="59" t="n"/>
      <c r="D29" s="59" t="n"/>
      <c r="E29" s="58" t="n"/>
      <c r="F29" s="58" t="n"/>
      <c r="G29" s="59" t="n"/>
      <c r="H29" s="66" t="str">
        <f>IF(A29="","",COUNTIFS(jr_new,1,jr_type,"BL",jr_tiers,A29,jr_year,p_year))</f>
        <v/>
      </c>
      <c r="I29" s="64" t="str">
        <f>IF(A29="","",SUMIFS(jr_val,jr_type,"BL",jr_tiers,A29,jr_year,p_year))</f>
        <v/>
      </c>
      <c r="J29" s="66" t="str">
        <f>IF(A29="","",COUNTIFS(jr_type,"BL",jr_tiers,A29,jr_rel,"&gt;0"))</f>
        <v/>
      </c>
      <c r="K29" s="60" t="str">
        <f>IF(A29="",IF(B29="","","Code manquant"),IF(COUNTIF($A$6:$A$305,A29)&gt;1,"Code en double",IF(B29="","Raison sociale manquante","OK")))</f>
        <v/>
      </c>
      <c r="L29" s="130" t="str">
        <f>IF(OR(A29="",N(H29)=0),"",H29+I29/1000000000000)</f>
        <v/>
      </c>
      <c r="M29" s="131" t="str">
        <f>IF(L29="","",RANK(L29,$L$6:$L$305)+COUNTIF($L$6:L28,L29))</f>
        <v/>
      </c>
    </row>
    <row r="30">
      <c r="A30" s="129" t="n"/>
      <c r="B30" s="59" t="n"/>
      <c r="C30" s="59" t="n"/>
      <c r="D30" s="59" t="n"/>
      <c r="E30" s="58" t="n"/>
      <c r="F30" s="58" t="n"/>
      <c r="G30" s="59" t="n"/>
      <c r="H30" s="66" t="str">
        <f>IF(A30="","",COUNTIFS(jr_new,1,jr_type,"BL",jr_tiers,A30,jr_year,p_year))</f>
        <v/>
      </c>
      <c r="I30" s="64" t="str">
        <f>IF(A30="","",SUMIFS(jr_val,jr_type,"BL",jr_tiers,A30,jr_year,p_year))</f>
        <v/>
      </c>
      <c r="J30" s="66" t="str">
        <f>IF(A30="","",COUNTIFS(jr_type,"BL",jr_tiers,A30,jr_rel,"&gt;0"))</f>
        <v/>
      </c>
      <c r="K30" s="60" t="str">
        <f>IF(A30="",IF(B30="","","Code manquant"),IF(COUNTIF($A$6:$A$305,A30)&gt;1,"Code en double",IF(B30="","Raison sociale manquante","OK")))</f>
        <v/>
      </c>
      <c r="L30" s="130" t="str">
        <f>IF(OR(A30="",N(H30)=0),"",H30+I30/1000000000000)</f>
        <v/>
      </c>
      <c r="M30" s="131" t="str">
        <f>IF(L30="","",RANK(L30,$L$6:$L$305)+COUNTIF($L$6:L29,L30))</f>
        <v/>
      </c>
    </row>
    <row r="31">
      <c r="A31" s="129" t="n"/>
      <c r="B31" s="59" t="n"/>
      <c r="C31" s="59" t="n"/>
      <c r="D31" s="59" t="n"/>
      <c r="E31" s="58" t="n"/>
      <c r="F31" s="58" t="n"/>
      <c r="G31" s="59" t="n"/>
      <c r="H31" s="66" t="str">
        <f>IF(A31="","",COUNTIFS(jr_new,1,jr_type,"BL",jr_tiers,A31,jr_year,p_year))</f>
        <v/>
      </c>
      <c r="I31" s="64" t="str">
        <f>IF(A31="","",SUMIFS(jr_val,jr_type,"BL",jr_tiers,A31,jr_year,p_year))</f>
        <v/>
      </c>
      <c r="J31" s="66" t="str">
        <f>IF(A31="","",COUNTIFS(jr_type,"BL",jr_tiers,A31,jr_rel,"&gt;0"))</f>
        <v/>
      </c>
      <c r="K31" s="60" t="str">
        <f>IF(A31="",IF(B31="","","Code manquant"),IF(COUNTIF($A$6:$A$305,A31)&gt;1,"Code en double",IF(B31="","Raison sociale manquante","OK")))</f>
        <v/>
      </c>
      <c r="L31" s="130" t="str">
        <f>IF(OR(A31="",N(H31)=0),"",H31+I31/1000000000000)</f>
        <v/>
      </c>
      <c r="M31" s="131" t="str">
        <f>IF(L31="","",RANK(L31,$L$6:$L$305)+COUNTIF($L$6:L30,L31))</f>
        <v/>
      </c>
    </row>
    <row r="32">
      <c r="A32" s="129" t="n"/>
      <c r="B32" s="59" t="n"/>
      <c r="C32" s="59" t="n"/>
      <c r="D32" s="59" t="n"/>
      <c r="E32" s="58" t="n"/>
      <c r="F32" s="58" t="n"/>
      <c r="G32" s="59" t="n"/>
      <c r="H32" s="66" t="str">
        <f>IF(A32="","",COUNTIFS(jr_new,1,jr_type,"BL",jr_tiers,A32,jr_year,p_year))</f>
        <v/>
      </c>
      <c r="I32" s="64" t="str">
        <f>IF(A32="","",SUMIFS(jr_val,jr_type,"BL",jr_tiers,A32,jr_year,p_year))</f>
        <v/>
      </c>
      <c r="J32" s="66" t="str">
        <f>IF(A32="","",COUNTIFS(jr_type,"BL",jr_tiers,A32,jr_rel,"&gt;0"))</f>
        <v/>
      </c>
      <c r="K32" s="60" t="str">
        <f>IF(A32="",IF(B32="","","Code manquant"),IF(COUNTIF($A$6:$A$305,A32)&gt;1,"Code en double",IF(B32="","Raison sociale manquante","OK")))</f>
        <v/>
      </c>
      <c r="L32" s="130" t="str">
        <f>IF(OR(A32="",N(H32)=0),"",H32+I32/1000000000000)</f>
        <v/>
      </c>
      <c r="M32" s="131" t="str">
        <f>IF(L32="","",RANK(L32,$L$6:$L$305)+COUNTIF($L$6:L31,L32))</f>
        <v/>
      </c>
    </row>
    <row r="33">
      <c r="A33" s="129" t="n"/>
      <c r="B33" s="59" t="n"/>
      <c r="C33" s="59" t="n"/>
      <c r="D33" s="59" t="n"/>
      <c r="E33" s="58" t="n"/>
      <c r="F33" s="58" t="n"/>
      <c r="G33" s="59" t="n"/>
      <c r="H33" s="66" t="str">
        <f>IF(A33="","",COUNTIFS(jr_new,1,jr_type,"BL",jr_tiers,A33,jr_year,p_year))</f>
        <v/>
      </c>
      <c r="I33" s="64" t="str">
        <f>IF(A33="","",SUMIFS(jr_val,jr_type,"BL",jr_tiers,A33,jr_year,p_year))</f>
        <v/>
      </c>
      <c r="J33" s="66" t="str">
        <f>IF(A33="","",COUNTIFS(jr_type,"BL",jr_tiers,A33,jr_rel,"&gt;0"))</f>
        <v/>
      </c>
      <c r="K33" s="60" t="str">
        <f>IF(A33="",IF(B33="","","Code manquant"),IF(COUNTIF($A$6:$A$305,A33)&gt;1,"Code en double",IF(B33="","Raison sociale manquante","OK")))</f>
        <v/>
      </c>
      <c r="L33" s="130" t="str">
        <f>IF(OR(A33="",N(H33)=0),"",H33+I33/1000000000000)</f>
        <v/>
      </c>
      <c r="M33" s="131" t="str">
        <f>IF(L33="","",RANK(L33,$L$6:$L$305)+COUNTIF($L$6:L32,L33))</f>
        <v/>
      </c>
    </row>
    <row r="34">
      <c r="A34" s="129" t="n"/>
      <c r="B34" s="59" t="n"/>
      <c r="C34" s="59" t="n"/>
      <c r="D34" s="59" t="n"/>
      <c r="E34" s="58" t="n"/>
      <c r="F34" s="58" t="n"/>
      <c r="G34" s="59" t="n"/>
      <c r="H34" s="66" t="str">
        <f>IF(A34="","",COUNTIFS(jr_new,1,jr_type,"BL",jr_tiers,A34,jr_year,p_year))</f>
        <v/>
      </c>
      <c r="I34" s="64" t="str">
        <f>IF(A34="","",SUMIFS(jr_val,jr_type,"BL",jr_tiers,A34,jr_year,p_year))</f>
        <v/>
      </c>
      <c r="J34" s="66" t="str">
        <f>IF(A34="","",COUNTIFS(jr_type,"BL",jr_tiers,A34,jr_rel,"&gt;0"))</f>
        <v/>
      </c>
      <c r="K34" s="60" t="str">
        <f>IF(A34="",IF(B34="","","Code manquant"),IF(COUNTIF($A$6:$A$305,A34)&gt;1,"Code en double",IF(B34="","Raison sociale manquante","OK")))</f>
        <v/>
      </c>
      <c r="L34" s="130" t="str">
        <f>IF(OR(A34="",N(H34)=0),"",H34+I34/1000000000000)</f>
        <v/>
      </c>
      <c r="M34" s="131" t="str">
        <f>IF(L34="","",RANK(L34,$L$6:$L$305)+COUNTIF($L$6:L33,L34))</f>
        <v/>
      </c>
    </row>
    <row r="35">
      <c r="A35" s="129" t="n"/>
      <c r="B35" s="59" t="n"/>
      <c r="C35" s="59" t="n"/>
      <c r="D35" s="59" t="n"/>
      <c r="E35" s="58" t="n"/>
      <c r="F35" s="58" t="n"/>
      <c r="G35" s="59" t="n"/>
      <c r="H35" s="66" t="str">
        <f>IF(A35="","",COUNTIFS(jr_new,1,jr_type,"BL",jr_tiers,A35,jr_year,p_year))</f>
        <v/>
      </c>
      <c r="I35" s="64" t="str">
        <f>IF(A35="","",SUMIFS(jr_val,jr_type,"BL",jr_tiers,A35,jr_year,p_year))</f>
        <v/>
      </c>
      <c r="J35" s="66" t="str">
        <f>IF(A35="","",COUNTIFS(jr_type,"BL",jr_tiers,A35,jr_rel,"&gt;0"))</f>
        <v/>
      </c>
      <c r="K35" s="60" t="str">
        <f>IF(A35="",IF(B35="","","Code manquant"),IF(COUNTIF($A$6:$A$305,A35)&gt;1,"Code en double",IF(B35="","Raison sociale manquante","OK")))</f>
        <v/>
      </c>
      <c r="L35" s="130" t="str">
        <f>IF(OR(A35="",N(H35)=0),"",H35+I35/1000000000000)</f>
        <v/>
      </c>
      <c r="M35" s="131" t="str">
        <f>IF(L35="","",RANK(L35,$L$6:$L$305)+COUNTIF($L$6:L34,L35))</f>
        <v/>
      </c>
    </row>
    <row r="36">
      <c r="A36" s="129" t="n"/>
      <c r="B36" s="59" t="n"/>
      <c r="C36" s="59" t="n"/>
      <c r="D36" s="59" t="n"/>
      <c r="E36" s="58" t="n"/>
      <c r="F36" s="58" t="n"/>
      <c r="G36" s="59" t="n"/>
      <c r="H36" s="66" t="str">
        <f>IF(A36="","",COUNTIFS(jr_new,1,jr_type,"BL",jr_tiers,A36,jr_year,p_year))</f>
        <v/>
      </c>
      <c r="I36" s="64" t="str">
        <f>IF(A36="","",SUMIFS(jr_val,jr_type,"BL",jr_tiers,A36,jr_year,p_year))</f>
        <v/>
      </c>
      <c r="J36" s="66" t="str">
        <f>IF(A36="","",COUNTIFS(jr_type,"BL",jr_tiers,A36,jr_rel,"&gt;0"))</f>
        <v/>
      </c>
      <c r="K36" s="60" t="str">
        <f>IF(A36="",IF(B36="","","Code manquant"),IF(COUNTIF($A$6:$A$305,A36)&gt;1,"Code en double",IF(B36="","Raison sociale manquante","OK")))</f>
        <v/>
      </c>
      <c r="L36" s="130" t="str">
        <f>IF(OR(A36="",N(H36)=0),"",H36+I36/1000000000000)</f>
        <v/>
      </c>
      <c r="M36" s="131" t="str">
        <f>IF(L36="","",RANK(L36,$L$6:$L$305)+COUNTIF($L$6:L35,L36))</f>
        <v/>
      </c>
    </row>
    <row r="37">
      <c r="A37" s="129" t="n"/>
      <c r="B37" s="59" t="n"/>
      <c r="C37" s="59" t="n"/>
      <c r="D37" s="59" t="n"/>
      <c r="E37" s="58" t="n"/>
      <c r="F37" s="58" t="n"/>
      <c r="G37" s="59" t="n"/>
      <c r="H37" s="66" t="str">
        <f>IF(A37="","",COUNTIFS(jr_new,1,jr_type,"BL",jr_tiers,A37,jr_year,p_year))</f>
        <v/>
      </c>
      <c r="I37" s="64" t="str">
        <f>IF(A37="","",SUMIFS(jr_val,jr_type,"BL",jr_tiers,A37,jr_year,p_year))</f>
        <v/>
      </c>
      <c r="J37" s="66" t="str">
        <f>IF(A37="","",COUNTIFS(jr_type,"BL",jr_tiers,A37,jr_rel,"&gt;0"))</f>
        <v/>
      </c>
      <c r="K37" s="60" t="str">
        <f>IF(A37="",IF(B37="","","Code manquant"),IF(COUNTIF($A$6:$A$305,A37)&gt;1,"Code en double",IF(B37="","Raison sociale manquante","OK")))</f>
        <v/>
      </c>
      <c r="L37" s="130" t="str">
        <f>IF(OR(A37="",N(H37)=0),"",H37+I37/1000000000000)</f>
        <v/>
      </c>
      <c r="M37" s="131" t="str">
        <f>IF(L37="","",RANK(L37,$L$6:$L$305)+COUNTIF($L$6:L36,L37))</f>
        <v/>
      </c>
    </row>
    <row r="38">
      <c r="A38" s="129" t="n"/>
      <c r="B38" s="59" t="n"/>
      <c r="C38" s="59" t="n"/>
      <c r="D38" s="59" t="n"/>
      <c r="E38" s="58" t="n"/>
      <c r="F38" s="58" t="n"/>
      <c r="G38" s="59" t="n"/>
      <c r="H38" s="66" t="str">
        <f>IF(A38="","",COUNTIFS(jr_new,1,jr_type,"BL",jr_tiers,A38,jr_year,p_year))</f>
        <v/>
      </c>
      <c r="I38" s="64" t="str">
        <f>IF(A38="","",SUMIFS(jr_val,jr_type,"BL",jr_tiers,A38,jr_year,p_year))</f>
        <v/>
      </c>
      <c r="J38" s="66" t="str">
        <f>IF(A38="","",COUNTIFS(jr_type,"BL",jr_tiers,A38,jr_rel,"&gt;0"))</f>
        <v/>
      </c>
      <c r="K38" s="60" t="str">
        <f>IF(A38="",IF(B38="","","Code manquant"),IF(COUNTIF($A$6:$A$305,A38)&gt;1,"Code en double",IF(B38="","Raison sociale manquante","OK")))</f>
        <v/>
      </c>
      <c r="L38" s="130" t="str">
        <f>IF(OR(A38="",N(H38)=0),"",H38+I38/1000000000000)</f>
        <v/>
      </c>
      <c r="M38" s="131" t="str">
        <f>IF(L38="","",RANK(L38,$L$6:$L$305)+COUNTIF($L$6:L37,L38))</f>
        <v/>
      </c>
    </row>
    <row r="39">
      <c r="A39" s="129" t="n"/>
      <c r="B39" s="59" t="n"/>
      <c r="C39" s="59" t="n"/>
      <c r="D39" s="59" t="n"/>
      <c r="E39" s="58" t="n"/>
      <c r="F39" s="58" t="n"/>
      <c r="G39" s="59" t="n"/>
      <c r="H39" s="66" t="str">
        <f>IF(A39="","",COUNTIFS(jr_new,1,jr_type,"BL",jr_tiers,A39,jr_year,p_year))</f>
        <v/>
      </c>
      <c r="I39" s="64" t="str">
        <f>IF(A39="","",SUMIFS(jr_val,jr_type,"BL",jr_tiers,A39,jr_year,p_year))</f>
        <v/>
      </c>
      <c r="J39" s="66" t="str">
        <f>IF(A39="","",COUNTIFS(jr_type,"BL",jr_tiers,A39,jr_rel,"&gt;0"))</f>
        <v/>
      </c>
      <c r="K39" s="60" t="str">
        <f>IF(A39="",IF(B39="","","Code manquant"),IF(COUNTIF($A$6:$A$305,A39)&gt;1,"Code en double",IF(B39="","Raison sociale manquante","OK")))</f>
        <v/>
      </c>
      <c r="L39" s="130" t="str">
        <f>IF(OR(A39="",N(H39)=0),"",H39+I39/1000000000000)</f>
        <v/>
      </c>
      <c r="M39" s="131" t="str">
        <f>IF(L39="","",RANK(L39,$L$6:$L$305)+COUNTIF($L$6:L38,L39))</f>
        <v/>
      </c>
    </row>
    <row r="40">
      <c r="A40" s="129" t="n"/>
      <c r="B40" s="59" t="n"/>
      <c r="C40" s="59" t="n"/>
      <c r="D40" s="59" t="n"/>
      <c r="E40" s="58" t="n"/>
      <c r="F40" s="58" t="n"/>
      <c r="G40" s="59" t="n"/>
      <c r="H40" s="66" t="str">
        <f>IF(A40="","",COUNTIFS(jr_new,1,jr_type,"BL",jr_tiers,A40,jr_year,p_year))</f>
        <v/>
      </c>
      <c r="I40" s="64" t="str">
        <f>IF(A40="","",SUMIFS(jr_val,jr_type,"BL",jr_tiers,A40,jr_year,p_year))</f>
        <v/>
      </c>
      <c r="J40" s="66" t="str">
        <f>IF(A40="","",COUNTIFS(jr_type,"BL",jr_tiers,A40,jr_rel,"&gt;0"))</f>
        <v/>
      </c>
      <c r="K40" s="60" t="str">
        <f>IF(A40="",IF(B40="","","Code manquant"),IF(COUNTIF($A$6:$A$305,A40)&gt;1,"Code en double",IF(B40="","Raison sociale manquante","OK")))</f>
        <v/>
      </c>
      <c r="L40" s="130" t="str">
        <f>IF(OR(A40="",N(H40)=0),"",H40+I40/1000000000000)</f>
        <v/>
      </c>
      <c r="M40" s="131" t="str">
        <f>IF(L40="","",RANK(L40,$L$6:$L$305)+COUNTIF($L$6:L39,L40))</f>
        <v/>
      </c>
    </row>
    <row r="41">
      <c r="A41" s="129" t="n"/>
      <c r="B41" s="59" t="n"/>
      <c r="C41" s="59" t="n"/>
      <c r="D41" s="59" t="n"/>
      <c r="E41" s="58" t="n"/>
      <c r="F41" s="58" t="n"/>
      <c r="G41" s="59" t="n"/>
      <c r="H41" s="66" t="str">
        <f>IF(A41="","",COUNTIFS(jr_new,1,jr_type,"BL",jr_tiers,A41,jr_year,p_year))</f>
        <v/>
      </c>
      <c r="I41" s="64" t="str">
        <f>IF(A41="","",SUMIFS(jr_val,jr_type,"BL",jr_tiers,A41,jr_year,p_year))</f>
        <v/>
      </c>
      <c r="J41" s="66" t="str">
        <f>IF(A41="","",COUNTIFS(jr_type,"BL",jr_tiers,A41,jr_rel,"&gt;0"))</f>
        <v/>
      </c>
      <c r="K41" s="60" t="str">
        <f>IF(A41="",IF(B41="","","Code manquant"),IF(COUNTIF($A$6:$A$305,A41)&gt;1,"Code en double",IF(B41="","Raison sociale manquante","OK")))</f>
        <v/>
      </c>
      <c r="L41" s="130" t="str">
        <f>IF(OR(A41="",N(H41)=0),"",H41+I41/1000000000000)</f>
        <v/>
      </c>
      <c r="M41" s="131" t="str">
        <f>IF(L41="","",RANK(L41,$L$6:$L$305)+COUNTIF($L$6:L40,L41))</f>
        <v/>
      </c>
    </row>
    <row r="42">
      <c r="A42" s="129" t="n"/>
      <c r="B42" s="59" t="n"/>
      <c r="C42" s="59" t="n"/>
      <c r="D42" s="59" t="n"/>
      <c r="E42" s="58" t="n"/>
      <c r="F42" s="58" t="n"/>
      <c r="G42" s="59" t="n"/>
      <c r="H42" s="66" t="str">
        <f>IF(A42="","",COUNTIFS(jr_new,1,jr_type,"BL",jr_tiers,A42,jr_year,p_year))</f>
        <v/>
      </c>
      <c r="I42" s="64" t="str">
        <f>IF(A42="","",SUMIFS(jr_val,jr_type,"BL",jr_tiers,A42,jr_year,p_year))</f>
        <v/>
      </c>
      <c r="J42" s="66" t="str">
        <f>IF(A42="","",COUNTIFS(jr_type,"BL",jr_tiers,A42,jr_rel,"&gt;0"))</f>
        <v/>
      </c>
      <c r="K42" s="60" t="str">
        <f>IF(A42="",IF(B42="","","Code manquant"),IF(COUNTIF($A$6:$A$305,A42)&gt;1,"Code en double",IF(B42="","Raison sociale manquante","OK")))</f>
        <v/>
      </c>
      <c r="L42" s="130" t="str">
        <f>IF(OR(A42="",N(H42)=0),"",H42+I42/1000000000000)</f>
        <v/>
      </c>
      <c r="M42" s="131" t="str">
        <f>IF(L42="","",RANK(L42,$L$6:$L$305)+COUNTIF($L$6:L41,L42))</f>
        <v/>
      </c>
    </row>
    <row r="43">
      <c r="A43" s="129" t="n"/>
      <c r="B43" s="59" t="n"/>
      <c r="C43" s="59" t="n"/>
      <c r="D43" s="59" t="n"/>
      <c r="E43" s="58" t="n"/>
      <c r="F43" s="58" t="n"/>
      <c r="G43" s="59" t="n"/>
      <c r="H43" s="66" t="str">
        <f>IF(A43="","",COUNTIFS(jr_new,1,jr_type,"BL",jr_tiers,A43,jr_year,p_year))</f>
        <v/>
      </c>
      <c r="I43" s="64" t="str">
        <f>IF(A43="","",SUMIFS(jr_val,jr_type,"BL",jr_tiers,A43,jr_year,p_year))</f>
        <v/>
      </c>
      <c r="J43" s="66" t="str">
        <f>IF(A43="","",COUNTIFS(jr_type,"BL",jr_tiers,A43,jr_rel,"&gt;0"))</f>
        <v/>
      </c>
      <c r="K43" s="60" t="str">
        <f>IF(A43="",IF(B43="","","Code manquant"),IF(COUNTIF($A$6:$A$305,A43)&gt;1,"Code en double",IF(B43="","Raison sociale manquante","OK")))</f>
        <v/>
      </c>
      <c r="L43" s="130" t="str">
        <f>IF(OR(A43="",N(H43)=0),"",H43+I43/1000000000000)</f>
        <v/>
      </c>
      <c r="M43" s="131" t="str">
        <f>IF(L43="","",RANK(L43,$L$6:$L$305)+COUNTIF($L$6:L42,L43))</f>
        <v/>
      </c>
    </row>
    <row r="44">
      <c r="A44" s="129" t="n"/>
      <c r="B44" s="59" t="n"/>
      <c r="C44" s="59" t="n"/>
      <c r="D44" s="59" t="n"/>
      <c r="E44" s="58" t="n"/>
      <c r="F44" s="58" t="n"/>
      <c r="G44" s="59" t="n"/>
      <c r="H44" s="66" t="str">
        <f>IF(A44="","",COUNTIFS(jr_new,1,jr_type,"BL",jr_tiers,A44,jr_year,p_year))</f>
        <v/>
      </c>
      <c r="I44" s="64" t="str">
        <f>IF(A44="","",SUMIFS(jr_val,jr_type,"BL",jr_tiers,A44,jr_year,p_year))</f>
        <v/>
      </c>
      <c r="J44" s="66" t="str">
        <f>IF(A44="","",COUNTIFS(jr_type,"BL",jr_tiers,A44,jr_rel,"&gt;0"))</f>
        <v/>
      </c>
      <c r="K44" s="60" t="str">
        <f>IF(A44="",IF(B44="","","Code manquant"),IF(COUNTIF($A$6:$A$305,A44)&gt;1,"Code en double",IF(B44="","Raison sociale manquante","OK")))</f>
        <v/>
      </c>
      <c r="L44" s="130" t="str">
        <f>IF(OR(A44="",N(H44)=0),"",H44+I44/1000000000000)</f>
        <v/>
      </c>
      <c r="M44" s="131" t="str">
        <f>IF(L44="","",RANK(L44,$L$6:$L$305)+COUNTIF($L$6:L43,L44))</f>
        <v/>
      </c>
    </row>
    <row r="45">
      <c r="A45" s="129" t="n"/>
      <c r="B45" s="59" t="n"/>
      <c r="C45" s="59" t="n"/>
      <c r="D45" s="59" t="n"/>
      <c r="E45" s="58" t="n"/>
      <c r="F45" s="58" t="n"/>
      <c r="G45" s="59" t="n"/>
      <c r="H45" s="66" t="str">
        <f>IF(A45="","",COUNTIFS(jr_new,1,jr_type,"BL",jr_tiers,A45,jr_year,p_year))</f>
        <v/>
      </c>
      <c r="I45" s="64" t="str">
        <f>IF(A45="","",SUMIFS(jr_val,jr_type,"BL",jr_tiers,A45,jr_year,p_year))</f>
        <v/>
      </c>
      <c r="J45" s="66" t="str">
        <f>IF(A45="","",COUNTIFS(jr_type,"BL",jr_tiers,A45,jr_rel,"&gt;0"))</f>
        <v/>
      </c>
      <c r="K45" s="60" t="str">
        <f>IF(A45="",IF(B45="","","Code manquant"),IF(COUNTIF($A$6:$A$305,A45)&gt;1,"Code en double",IF(B45="","Raison sociale manquante","OK")))</f>
        <v/>
      </c>
      <c r="L45" s="130" t="str">
        <f>IF(OR(A45="",N(H45)=0),"",H45+I45/1000000000000)</f>
        <v/>
      </c>
      <c r="M45" s="131" t="str">
        <f>IF(L45="","",RANK(L45,$L$6:$L$305)+COUNTIF($L$6:L44,L45))</f>
        <v/>
      </c>
    </row>
    <row r="46">
      <c r="A46" s="129" t="n"/>
      <c r="B46" s="59" t="n"/>
      <c r="C46" s="59" t="n"/>
      <c r="D46" s="59" t="n"/>
      <c r="E46" s="58" t="n"/>
      <c r="F46" s="58" t="n"/>
      <c r="G46" s="59" t="n"/>
      <c r="H46" s="66" t="str">
        <f>IF(A46="","",COUNTIFS(jr_new,1,jr_type,"BL",jr_tiers,A46,jr_year,p_year))</f>
        <v/>
      </c>
      <c r="I46" s="64" t="str">
        <f>IF(A46="","",SUMIFS(jr_val,jr_type,"BL",jr_tiers,A46,jr_year,p_year))</f>
        <v/>
      </c>
      <c r="J46" s="66" t="str">
        <f>IF(A46="","",COUNTIFS(jr_type,"BL",jr_tiers,A46,jr_rel,"&gt;0"))</f>
        <v/>
      </c>
      <c r="K46" s="60" t="str">
        <f>IF(A46="",IF(B46="","","Code manquant"),IF(COUNTIF($A$6:$A$305,A46)&gt;1,"Code en double",IF(B46="","Raison sociale manquante","OK")))</f>
        <v/>
      </c>
      <c r="L46" s="130" t="str">
        <f>IF(OR(A46="",N(H46)=0),"",H46+I46/1000000000000)</f>
        <v/>
      </c>
      <c r="M46" s="131" t="str">
        <f>IF(L46="","",RANK(L46,$L$6:$L$305)+COUNTIF($L$6:L45,L46))</f>
        <v/>
      </c>
    </row>
    <row r="47">
      <c r="A47" s="129" t="n"/>
      <c r="B47" s="59" t="n"/>
      <c r="C47" s="59" t="n"/>
      <c r="D47" s="59" t="n"/>
      <c r="E47" s="58" t="n"/>
      <c r="F47" s="58" t="n"/>
      <c r="G47" s="59" t="n"/>
      <c r="H47" s="66" t="str">
        <f>IF(A47="","",COUNTIFS(jr_new,1,jr_type,"BL",jr_tiers,A47,jr_year,p_year))</f>
        <v/>
      </c>
      <c r="I47" s="64" t="str">
        <f>IF(A47="","",SUMIFS(jr_val,jr_type,"BL",jr_tiers,A47,jr_year,p_year))</f>
        <v/>
      </c>
      <c r="J47" s="66" t="str">
        <f>IF(A47="","",COUNTIFS(jr_type,"BL",jr_tiers,A47,jr_rel,"&gt;0"))</f>
        <v/>
      </c>
      <c r="K47" s="60" t="str">
        <f>IF(A47="",IF(B47="","","Code manquant"),IF(COUNTIF($A$6:$A$305,A47)&gt;1,"Code en double",IF(B47="","Raison sociale manquante","OK")))</f>
        <v/>
      </c>
      <c r="L47" s="130" t="str">
        <f>IF(OR(A47="",N(H47)=0),"",H47+I47/1000000000000)</f>
        <v/>
      </c>
      <c r="M47" s="131" t="str">
        <f>IF(L47="","",RANK(L47,$L$6:$L$305)+COUNTIF($L$6:L46,L47))</f>
        <v/>
      </c>
    </row>
    <row r="48">
      <c r="A48" s="129" t="n"/>
      <c r="B48" s="59" t="n"/>
      <c r="C48" s="59" t="n"/>
      <c r="D48" s="59" t="n"/>
      <c r="E48" s="58" t="n"/>
      <c r="F48" s="58" t="n"/>
      <c r="G48" s="59" t="n"/>
      <c r="H48" s="66" t="str">
        <f>IF(A48="","",COUNTIFS(jr_new,1,jr_type,"BL",jr_tiers,A48,jr_year,p_year))</f>
        <v/>
      </c>
      <c r="I48" s="64" t="str">
        <f>IF(A48="","",SUMIFS(jr_val,jr_type,"BL",jr_tiers,A48,jr_year,p_year))</f>
        <v/>
      </c>
      <c r="J48" s="66" t="str">
        <f>IF(A48="","",COUNTIFS(jr_type,"BL",jr_tiers,A48,jr_rel,"&gt;0"))</f>
        <v/>
      </c>
      <c r="K48" s="60" t="str">
        <f>IF(A48="",IF(B48="","","Code manquant"),IF(COUNTIF($A$6:$A$305,A48)&gt;1,"Code en double",IF(B48="","Raison sociale manquante","OK")))</f>
        <v/>
      </c>
      <c r="L48" s="130" t="str">
        <f>IF(OR(A48="",N(H48)=0),"",H48+I48/1000000000000)</f>
        <v/>
      </c>
      <c r="M48" s="131" t="str">
        <f>IF(L48="","",RANK(L48,$L$6:$L$305)+COUNTIF($L$6:L47,L48))</f>
        <v/>
      </c>
    </row>
    <row r="49">
      <c r="A49" s="129" t="n"/>
      <c r="B49" s="59" t="n"/>
      <c r="C49" s="59" t="n"/>
      <c r="D49" s="59" t="n"/>
      <c r="E49" s="58" t="n"/>
      <c r="F49" s="58" t="n"/>
      <c r="G49" s="59" t="n"/>
      <c r="H49" s="66" t="str">
        <f>IF(A49="","",COUNTIFS(jr_new,1,jr_type,"BL",jr_tiers,A49,jr_year,p_year))</f>
        <v/>
      </c>
      <c r="I49" s="64" t="str">
        <f>IF(A49="","",SUMIFS(jr_val,jr_type,"BL",jr_tiers,A49,jr_year,p_year))</f>
        <v/>
      </c>
      <c r="J49" s="66" t="str">
        <f>IF(A49="","",COUNTIFS(jr_type,"BL",jr_tiers,A49,jr_rel,"&gt;0"))</f>
        <v/>
      </c>
      <c r="K49" s="60" t="str">
        <f>IF(A49="",IF(B49="","","Code manquant"),IF(COUNTIF($A$6:$A$305,A49)&gt;1,"Code en double",IF(B49="","Raison sociale manquante","OK")))</f>
        <v/>
      </c>
      <c r="L49" s="130" t="str">
        <f>IF(OR(A49="",N(H49)=0),"",H49+I49/1000000000000)</f>
        <v/>
      </c>
      <c r="M49" s="131" t="str">
        <f>IF(L49="","",RANK(L49,$L$6:$L$305)+COUNTIF($L$6:L48,L49))</f>
        <v/>
      </c>
    </row>
    <row r="50">
      <c r="A50" s="129" t="n"/>
      <c r="B50" s="59" t="n"/>
      <c r="C50" s="59" t="n"/>
      <c r="D50" s="59" t="n"/>
      <c r="E50" s="58" t="n"/>
      <c r="F50" s="58" t="n"/>
      <c r="G50" s="59" t="n"/>
      <c r="H50" s="66" t="str">
        <f>IF(A50="","",COUNTIFS(jr_new,1,jr_type,"BL",jr_tiers,A50,jr_year,p_year))</f>
        <v/>
      </c>
      <c r="I50" s="64" t="str">
        <f>IF(A50="","",SUMIFS(jr_val,jr_type,"BL",jr_tiers,A50,jr_year,p_year))</f>
        <v/>
      </c>
      <c r="J50" s="66" t="str">
        <f>IF(A50="","",COUNTIFS(jr_type,"BL",jr_tiers,A50,jr_rel,"&gt;0"))</f>
        <v/>
      </c>
      <c r="K50" s="60" t="str">
        <f>IF(A50="",IF(B50="","","Code manquant"),IF(COUNTIF($A$6:$A$305,A50)&gt;1,"Code en double",IF(B50="","Raison sociale manquante","OK")))</f>
        <v/>
      </c>
      <c r="L50" s="130" t="str">
        <f>IF(OR(A50="",N(H50)=0),"",H50+I50/1000000000000)</f>
        <v/>
      </c>
      <c r="M50" s="131" t="str">
        <f>IF(L50="","",RANK(L50,$L$6:$L$305)+COUNTIF($L$6:L49,L50))</f>
        <v/>
      </c>
    </row>
    <row r="51">
      <c r="A51" s="129" t="n"/>
      <c r="B51" s="59" t="n"/>
      <c r="C51" s="59" t="n"/>
      <c r="D51" s="59" t="n"/>
      <c r="E51" s="58" t="n"/>
      <c r="F51" s="58" t="n"/>
      <c r="G51" s="59" t="n"/>
      <c r="H51" s="66" t="str">
        <f>IF(A51="","",COUNTIFS(jr_new,1,jr_type,"BL",jr_tiers,A51,jr_year,p_year))</f>
        <v/>
      </c>
      <c r="I51" s="64" t="str">
        <f>IF(A51="","",SUMIFS(jr_val,jr_type,"BL",jr_tiers,A51,jr_year,p_year))</f>
        <v/>
      </c>
      <c r="J51" s="66" t="str">
        <f>IF(A51="","",COUNTIFS(jr_type,"BL",jr_tiers,A51,jr_rel,"&gt;0"))</f>
        <v/>
      </c>
      <c r="K51" s="60" t="str">
        <f>IF(A51="",IF(B51="","","Code manquant"),IF(COUNTIF($A$6:$A$305,A51)&gt;1,"Code en double",IF(B51="","Raison sociale manquante","OK")))</f>
        <v/>
      </c>
      <c r="L51" s="130" t="str">
        <f>IF(OR(A51="",N(H51)=0),"",H51+I51/1000000000000)</f>
        <v/>
      </c>
      <c r="M51" s="131" t="str">
        <f>IF(L51="","",RANK(L51,$L$6:$L$305)+COUNTIF($L$6:L50,L51))</f>
        <v/>
      </c>
    </row>
    <row r="52">
      <c r="A52" s="129" t="n"/>
      <c r="B52" s="59" t="n"/>
      <c r="C52" s="59" t="n"/>
      <c r="D52" s="59" t="n"/>
      <c r="E52" s="58" t="n"/>
      <c r="F52" s="58" t="n"/>
      <c r="G52" s="59" t="n"/>
      <c r="H52" s="66" t="str">
        <f>IF(A52="","",COUNTIFS(jr_new,1,jr_type,"BL",jr_tiers,A52,jr_year,p_year))</f>
        <v/>
      </c>
      <c r="I52" s="64" t="str">
        <f>IF(A52="","",SUMIFS(jr_val,jr_type,"BL",jr_tiers,A52,jr_year,p_year))</f>
        <v/>
      </c>
      <c r="J52" s="66" t="str">
        <f>IF(A52="","",COUNTIFS(jr_type,"BL",jr_tiers,A52,jr_rel,"&gt;0"))</f>
        <v/>
      </c>
      <c r="K52" s="60" t="str">
        <f>IF(A52="",IF(B52="","","Code manquant"),IF(COUNTIF($A$6:$A$305,A52)&gt;1,"Code en double",IF(B52="","Raison sociale manquante","OK")))</f>
        <v/>
      </c>
      <c r="L52" s="130" t="str">
        <f>IF(OR(A52="",N(H52)=0),"",H52+I52/1000000000000)</f>
        <v/>
      </c>
      <c r="M52" s="131" t="str">
        <f>IF(L52="","",RANK(L52,$L$6:$L$305)+COUNTIF($L$6:L51,L52))</f>
        <v/>
      </c>
    </row>
    <row r="53">
      <c r="A53" s="129" t="n"/>
      <c r="B53" s="59" t="n"/>
      <c r="C53" s="59" t="n"/>
      <c r="D53" s="59" t="n"/>
      <c r="E53" s="58" t="n"/>
      <c r="F53" s="58" t="n"/>
      <c r="G53" s="59" t="n"/>
      <c r="H53" s="66" t="str">
        <f>IF(A53="","",COUNTIFS(jr_new,1,jr_type,"BL",jr_tiers,A53,jr_year,p_year))</f>
        <v/>
      </c>
      <c r="I53" s="64" t="str">
        <f>IF(A53="","",SUMIFS(jr_val,jr_type,"BL",jr_tiers,A53,jr_year,p_year))</f>
        <v/>
      </c>
      <c r="J53" s="66" t="str">
        <f>IF(A53="","",COUNTIFS(jr_type,"BL",jr_tiers,A53,jr_rel,"&gt;0"))</f>
        <v/>
      </c>
      <c r="K53" s="60" t="str">
        <f>IF(A53="",IF(B53="","","Code manquant"),IF(COUNTIF($A$6:$A$305,A53)&gt;1,"Code en double",IF(B53="","Raison sociale manquante","OK")))</f>
        <v/>
      </c>
      <c r="L53" s="130" t="str">
        <f>IF(OR(A53="",N(H53)=0),"",H53+I53/1000000000000)</f>
        <v/>
      </c>
      <c r="M53" s="131" t="str">
        <f>IF(L53="","",RANK(L53,$L$6:$L$305)+COUNTIF($L$6:L52,L53))</f>
        <v/>
      </c>
    </row>
    <row r="54">
      <c r="A54" s="129" t="n"/>
      <c r="B54" s="59" t="n"/>
      <c r="C54" s="59" t="n"/>
      <c r="D54" s="59" t="n"/>
      <c r="E54" s="58" t="n"/>
      <c r="F54" s="58" t="n"/>
      <c r="G54" s="59" t="n"/>
      <c r="H54" s="66" t="str">
        <f>IF(A54="","",COUNTIFS(jr_new,1,jr_type,"BL",jr_tiers,A54,jr_year,p_year))</f>
        <v/>
      </c>
      <c r="I54" s="64" t="str">
        <f>IF(A54="","",SUMIFS(jr_val,jr_type,"BL",jr_tiers,A54,jr_year,p_year))</f>
        <v/>
      </c>
      <c r="J54" s="66" t="str">
        <f>IF(A54="","",COUNTIFS(jr_type,"BL",jr_tiers,A54,jr_rel,"&gt;0"))</f>
        <v/>
      </c>
      <c r="K54" s="60" t="str">
        <f>IF(A54="",IF(B54="","","Code manquant"),IF(COUNTIF($A$6:$A$305,A54)&gt;1,"Code en double",IF(B54="","Raison sociale manquante","OK")))</f>
        <v/>
      </c>
      <c r="L54" s="130" t="str">
        <f>IF(OR(A54="",N(H54)=0),"",H54+I54/1000000000000)</f>
        <v/>
      </c>
      <c r="M54" s="131" t="str">
        <f>IF(L54="","",RANK(L54,$L$6:$L$305)+COUNTIF($L$6:L53,L54))</f>
        <v/>
      </c>
    </row>
    <row r="55">
      <c r="A55" s="129" t="n"/>
      <c r="B55" s="59" t="n"/>
      <c r="C55" s="59" t="n"/>
      <c r="D55" s="59" t="n"/>
      <c r="E55" s="58" t="n"/>
      <c r="F55" s="58" t="n"/>
      <c r="G55" s="59" t="n"/>
      <c r="H55" s="66" t="str">
        <f>IF(A55="","",COUNTIFS(jr_new,1,jr_type,"BL",jr_tiers,A55,jr_year,p_year))</f>
        <v/>
      </c>
      <c r="I55" s="64" t="str">
        <f>IF(A55="","",SUMIFS(jr_val,jr_type,"BL",jr_tiers,A55,jr_year,p_year))</f>
        <v/>
      </c>
      <c r="J55" s="66" t="str">
        <f>IF(A55="","",COUNTIFS(jr_type,"BL",jr_tiers,A55,jr_rel,"&gt;0"))</f>
        <v/>
      </c>
      <c r="K55" s="60" t="str">
        <f>IF(A55="",IF(B55="","","Code manquant"),IF(COUNTIF($A$6:$A$305,A55)&gt;1,"Code en double",IF(B55="","Raison sociale manquante","OK")))</f>
        <v/>
      </c>
      <c r="L55" s="130" t="str">
        <f>IF(OR(A55="",N(H55)=0),"",H55+I55/1000000000000)</f>
        <v/>
      </c>
      <c r="M55" s="131" t="str">
        <f>IF(L55="","",RANK(L55,$L$6:$L$305)+COUNTIF($L$6:L54,L55))</f>
        <v/>
      </c>
    </row>
    <row r="56">
      <c r="A56" s="129" t="n"/>
      <c r="B56" s="59" t="n"/>
      <c r="C56" s="59" t="n"/>
      <c r="D56" s="59" t="n"/>
      <c r="E56" s="58" t="n"/>
      <c r="F56" s="58" t="n"/>
      <c r="G56" s="59" t="n"/>
      <c r="H56" s="66" t="str">
        <f>IF(A56="","",COUNTIFS(jr_new,1,jr_type,"BL",jr_tiers,A56,jr_year,p_year))</f>
        <v/>
      </c>
      <c r="I56" s="64" t="str">
        <f>IF(A56="","",SUMIFS(jr_val,jr_type,"BL",jr_tiers,A56,jr_year,p_year))</f>
        <v/>
      </c>
      <c r="J56" s="66" t="str">
        <f>IF(A56="","",COUNTIFS(jr_type,"BL",jr_tiers,A56,jr_rel,"&gt;0"))</f>
        <v/>
      </c>
      <c r="K56" s="60" t="str">
        <f>IF(A56="",IF(B56="","","Code manquant"),IF(COUNTIF($A$6:$A$305,A56)&gt;1,"Code en double",IF(B56="","Raison sociale manquante","OK")))</f>
        <v/>
      </c>
      <c r="L56" s="130" t="str">
        <f>IF(OR(A56="",N(H56)=0),"",H56+I56/1000000000000)</f>
        <v/>
      </c>
      <c r="M56" s="131" t="str">
        <f>IF(L56="","",RANK(L56,$L$6:$L$305)+COUNTIF($L$6:L55,L56))</f>
        <v/>
      </c>
    </row>
    <row r="57">
      <c r="A57" s="129" t="n"/>
      <c r="B57" s="59" t="n"/>
      <c r="C57" s="59" t="n"/>
      <c r="D57" s="59" t="n"/>
      <c r="E57" s="58" t="n"/>
      <c r="F57" s="58" t="n"/>
      <c r="G57" s="59" t="n"/>
      <c r="H57" s="66" t="str">
        <f>IF(A57="","",COUNTIFS(jr_new,1,jr_type,"BL",jr_tiers,A57,jr_year,p_year))</f>
        <v/>
      </c>
      <c r="I57" s="64" t="str">
        <f>IF(A57="","",SUMIFS(jr_val,jr_type,"BL",jr_tiers,A57,jr_year,p_year))</f>
        <v/>
      </c>
      <c r="J57" s="66" t="str">
        <f>IF(A57="","",COUNTIFS(jr_type,"BL",jr_tiers,A57,jr_rel,"&gt;0"))</f>
        <v/>
      </c>
      <c r="K57" s="60" t="str">
        <f>IF(A57="",IF(B57="","","Code manquant"),IF(COUNTIF($A$6:$A$305,A57)&gt;1,"Code en double",IF(B57="","Raison sociale manquante","OK")))</f>
        <v/>
      </c>
      <c r="L57" s="130" t="str">
        <f>IF(OR(A57="",N(H57)=0),"",H57+I57/1000000000000)</f>
        <v/>
      </c>
      <c r="M57" s="131" t="str">
        <f>IF(L57="","",RANK(L57,$L$6:$L$305)+COUNTIF($L$6:L56,L57))</f>
        <v/>
      </c>
    </row>
    <row r="58">
      <c r="A58" s="129" t="n"/>
      <c r="B58" s="59" t="n"/>
      <c r="C58" s="59" t="n"/>
      <c r="D58" s="59" t="n"/>
      <c r="E58" s="58" t="n"/>
      <c r="F58" s="58" t="n"/>
      <c r="G58" s="59" t="n"/>
      <c r="H58" s="66" t="str">
        <f>IF(A58="","",COUNTIFS(jr_new,1,jr_type,"BL",jr_tiers,A58,jr_year,p_year))</f>
        <v/>
      </c>
      <c r="I58" s="64" t="str">
        <f>IF(A58="","",SUMIFS(jr_val,jr_type,"BL",jr_tiers,A58,jr_year,p_year))</f>
        <v/>
      </c>
      <c r="J58" s="66" t="str">
        <f>IF(A58="","",COUNTIFS(jr_type,"BL",jr_tiers,A58,jr_rel,"&gt;0"))</f>
        <v/>
      </c>
      <c r="K58" s="60" t="str">
        <f>IF(A58="",IF(B58="","","Code manquant"),IF(COUNTIF($A$6:$A$305,A58)&gt;1,"Code en double",IF(B58="","Raison sociale manquante","OK")))</f>
        <v/>
      </c>
      <c r="L58" s="130" t="str">
        <f>IF(OR(A58="",N(H58)=0),"",H58+I58/1000000000000)</f>
        <v/>
      </c>
      <c r="M58" s="131" t="str">
        <f>IF(L58="","",RANK(L58,$L$6:$L$305)+COUNTIF($L$6:L57,L58))</f>
        <v/>
      </c>
    </row>
    <row r="59">
      <c r="A59" s="129" t="n"/>
      <c r="B59" s="59" t="n"/>
      <c r="C59" s="59" t="n"/>
      <c r="D59" s="59" t="n"/>
      <c r="E59" s="58" t="n"/>
      <c r="F59" s="58" t="n"/>
      <c r="G59" s="59" t="n"/>
      <c r="H59" s="66" t="str">
        <f>IF(A59="","",COUNTIFS(jr_new,1,jr_type,"BL",jr_tiers,A59,jr_year,p_year))</f>
        <v/>
      </c>
      <c r="I59" s="64" t="str">
        <f>IF(A59="","",SUMIFS(jr_val,jr_type,"BL",jr_tiers,A59,jr_year,p_year))</f>
        <v/>
      </c>
      <c r="J59" s="66" t="str">
        <f>IF(A59="","",COUNTIFS(jr_type,"BL",jr_tiers,A59,jr_rel,"&gt;0"))</f>
        <v/>
      </c>
      <c r="K59" s="60" t="str">
        <f>IF(A59="",IF(B59="","","Code manquant"),IF(COUNTIF($A$6:$A$305,A59)&gt;1,"Code en double",IF(B59="","Raison sociale manquante","OK")))</f>
        <v/>
      </c>
      <c r="L59" s="130" t="str">
        <f>IF(OR(A59="",N(H59)=0),"",H59+I59/1000000000000)</f>
        <v/>
      </c>
      <c r="M59" s="131" t="str">
        <f>IF(L59="","",RANK(L59,$L$6:$L$305)+COUNTIF($L$6:L58,L59))</f>
        <v/>
      </c>
    </row>
    <row r="60">
      <c r="A60" s="129" t="n"/>
      <c r="B60" s="59" t="n"/>
      <c r="C60" s="59" t="n"/>
      <c r="D60" s="59" t="n"/>
      <c r="E60" s="58" t="n"/>
      <c r="F60" s="58" t="n"/>
      <c r="G60" s="59" t="n"/>
      <c r="H60" s="66" t="str">
        <f>IF(A60="","",COUNTIFS(jr_new,1,jr_type,"BL",jr_tiers,A60,jr_year,p_year))</f>
        <v/>
      </c>
      <c r="I60" s="64" t="str">
        <f>IF(A60="","",SUMIFS(jr_val,jr_type,"BL",jr_tiers,A60,jr_year,p_year))</f>
        <v/>
      </c>
      <c r="J60" s="66" t="str">
        <f>IF(A60="","",COUNTIFS(jr_type,"BL",jr_tiers,A60,jr_rel,"&gt;0"))</f>
        <v/>
      </c>
      <c r="K60" s="60" t="str">
        <f>IF(A60="",IF(B60="","","Code manquant"),IF(COUNTIF($A$6:$A$305,A60)&gt;1,"Code en double",IF(B60="","Raison sociale manquante","OK")))</f>
        <v/>
      </c>
      <c r="L60" s="130" t="str">
        <f>IF(OR(A60="",N(H60)=0),"",H60+I60/1000000000000)</f>
        <v/>
      </c>
      <c r="M60" s="131" t="str">
        <f>IF(L60="","",RANK(L60,$L$6:$L$305)+COUNTIF($L$6:L59,L60))</f>
        <v/>
      </c>
    </row>
    <row r="61">
      <c r="A61" s="129" t="n"/>
      <c r="B61" s="59" t="n"/>
      <c r="C61" s="59" t="n"/>
      <c r="D61" s="59" t="n"/>
      <c r="E61" s="58" t="n"/>
      <c r="F61" s="58" t="n"/>
      <c r="G61" s="59" t="n"/>
      <c r="H61" s="66" t="str">
        <f>IF(A61="","",COUNTIFS(jr_new,1,jr_type,"BL",jr_tiers,A61,jr_year,p_year))</f>
        <v/>
      </c>
      <c r="I61" s="64" t="str">
        <f>IF(A61="","",SUMIFS(jr_val,jr_type,"BL",jr_tiers,A61,jr_year,p_year))</f>
        <v/>
      </c>
      <c r="J61" s="66" t="str">
        <f>IF(A61="","",COUNTIFS(jr_type,"BL",jr_tiers,A61,jr_rel,"&gt;0"))</f>
        <v/>
      </c>
      <c r="K61" s="60" t="str">
        <f>IF(A61="",IF(B61="","","Code manquant"),IF(COUNTIF($A$6:$A$305,A61)&gt;1,"Code en double",IF(B61="","Raison sociale manquante","OK")))</f>
        <v/>
      </c>
      <c r="L61" s="130" t="str">
        <f>IF(OR(A61="",N(H61)=0),"",H61+I61/1000000000000)</f>
        <v/>
      </c>
      <c r="M61" s="131" t="str">
        <f>IF(L61="","",RANK(L61,$L$6:$L$305)+COUNTIF($L$6:L60,L61))</f>
        <v/>
      </c>
    </row>
    <row r="62">
      <c r="A62" s="129" t="n"/>
      <c r="B62" s="59" t="n"/>
      <c r="C62" s="59" t="n"/>
      <c r="D62" s="59" t="n"/>
      <c r="E62" s="58" t="n"/>
      <c r="F62" s="58" t="n"/>
      <c r="G62" s="59" t="n"/>
      <c r="H62" s="66" t="str">
        <f>IF(A62="","",COUNTIFS(jr_new,1,jr_type,"BL",jr_tiers,A62,jr_year,p_year))</f>
        <v/>
      </c>
      <c r="I62" s="64" t="str">
        <f>IF(A62="","",SUMIFS(jr_val,jr_type,"BL",jr_tiers,A62,jr_year,p_year))</f>
        <v/>
      </c>
      <c r="J62" s="66" t="str">
        <f>IF(A62="","",COUNTIFS(jr_type,"BL",jr_tiers,A62,jr_rel,"&gt;0"))</f>
        <v/>
      </c>
      <c r="K62" s="60" t="str">
        <f>IF(A62="",IF(B62="","","Code manquant"),IF(COUNTIF($A$6:$A$305,A62)&gt;1,"Code en double",IF(B62="","Raison sociale manquante","OK")))</f>
        <v/>
      </c>
      <c r="L62" s="130" t="str">
        <f>IF(OR(A62="",N(H62)=0),"",H62+I62/1000000000000)</f>
        <v/>
      </c>
      <c r="M62" s="131" t="str">
        <f>IF(L62="","",RANK(L62,$L$6:$L$305)+COUNTIF($L$6:L61,L62))</f>
        <v/>
      </c>
    </row>
    <row r="63">
      <c r="A63" s="129" t="n"/>
      <c r="B63" s="59" t="n"/>
      <c r="C63" s="59" t="n"/>
      <c r="D63" s="59" t="n"/>
      <c r="E63" s="58" t="n"/>
      <c r="F63" s="58" t="n"/>
      <c r="G63" s="59" t="n"/>
      <c r="H63" s="66" t="str">
        <f>IF(A63="","",COUNTIFS(jr_new,1,jr_type,"BL",jr_tiers,A63,jr_year,p_year))</f>
        <v/>
      </c>
      <c r="I63" s="64" t="str">
        <f>IF(A63="","",SUMIFS(jr_val,jr_type,"BL",jr_tiers,A63,jr_year,p_year))</f>
        <v/>
      </c>
      <c r="J63" s="66" t="str">
        <f>IF(A63="","",COUNTIFS(jr_type,"BL",jr_tiers,A63,jr_rel,"&gt;0"))</f>
        <v/>
      </c>
      <c r="K63" s="60" t="str">
        <f>IF(A63="",IF(B63="","","Code manquant"),IF(COUNTIF($A$6:$A$305,A63)&gt;1,"Code en double",IF(B63="","Raison sociale manquante","OK")))</f>
        <v/>
      </c>
      <c r="L63" s="130" t="str">
        <f>IF(OR(A63="",N(H63)=0),"",H63+I63/1000000000000)</f>
        <v/>
      </c>
      <c r="M63" s="131" t="str">
        <f>IF(L63="","",RANK(L63,$L$6:$L$305)+COUNTIF($L$6:L62,L63))</f>
        <v/>
      </c>
    </row>
    <row r="64">
      <c r="A64" s="129" t="n"/>
      <c r="B64" s="59" t="n"/>
      <c r="C64" s="59" t="n"/>
      <c r="D64" s="59" t="n"/>
      <c r="E64" s="58" t="n"/>
      <c r="F64" s="58" t="n"/>
      <c r="G64" s="59" t="n"/>
      <c r="H64" s="66" t="str">
        <f>IF(A64="","",COUNTIFS(jr_new,1,jr_type,"BL",jr_tiers,A64,jr_year,p_year))</f>
        <v/>
      </c>
      <c r="I64" s="64" t="str">
        <f>IF(A64="","",SUMIFS(jr_val,jr_type,"BL",jr_tiers,A64,jr_year,p_year))</f>
        <v/>
      </c>
      <c r="J64" s="66" t="str">
        <f>IF(A64="","",COUNTIFS(jr_type,"BL",jr_tiers,A64,jr_rel,"&gt;0"))</f>
        <v/>
      </c>
      <c r="K64" s="60" t="str">
        <f>IF(A64="",IF(B64="","","Code manquant"),IF(COUNTIF($A$6:$A$305,A64)&gt;1,"Code en double",IF(B64="","Raison sociale manquante","OK")))</f>
        <v/>
      </c>
      <c r="L64" s="130" t="str">
        <f>IF(OR(A64="",N(H64)=0),"",H64+I64/1000000000000)</f>
        <v/>
      </c>
      <c r="M64" s="131" t="str">
        <f>IF(L64="","",RANK(L64,$L$6:$L$305)+COUNTIF($L$6:L63,L64))</f>
        <v/>
      </c>
    </row>
    <row r="65">
      <c r="A65" s="129" t="n"/>
      <c r="B65" s="59" t="n"/>
      <c r="C65" s="59" t="n"/>
      <c r="D65" s="59" t="n"/>
      <c r="E65" s="58" t="n"/>
      <c r="F65" s="58" t="n"/>
      <c r="G65" s="59" t="n"/>
      <c r="H65" s="66" t="str">
        <f>IF(A65="","",COUNTIFS(jr_new,1,jr_type,"BL",jr_tiers,A65,jr_year,p_year))</f>
        <v/>
      </c>
      <c r="I65" s="64" t="str">
        <f>IF(A65="","",SUMIFS(jr_val,jr_type,"BL",jr_tiers,A65,jr_year,p_year))</f>
        <v/>
      </c>
      <c r="J65" s="66" t="str">
        <f>IF(A65="","",COUNTIFS(jr_type,"BL",jr_tiers,A65,jr_rel,"&gt;0"))</f>
        <v/>
      </c>
      <c r="K65" s="60" t="str">
        <f>IF(A65="",IF(B65="","","Code manquant"),IF(COUNTIF($A$6:$A$305,A65)&gt;1,"Code en double",IF(B65="","Raison sociale manquante","OK")))</f>
        <v/>
      </c>
      <c r="L65" s="130" t="str">
        <f>IF(OR(A65="",N(H65)=0),"",H65+I65/1000000000000)</f>
        <v/>
      </c>
      <c r="M65" s="131" t="str">
        <f>IF(L65="","",RANK(L65,$L$6:$L$305)+COUNTIF($L$6:L64,L65))</f>
        <v/>
      </c>
    </row>
    <row r="66">
      <c r="A66" s="129" t="n"/>
      <c r="B66" s="59" t="n"/>
      <c r="C66" s="59" t="n"/>
      <c r="D66" s="59" t="n"/>
      <c r="E66" s="58" t="n"/>
      <c r="F66" s="58" t="n"/>
      <c r="G66" s="59" t="n"/>
      <c r="H66" s="66" t="str">
        <f>IF(A66="","",COUNTIFS(jr_new,1,jr_type,"BL",jr_tiers,A66,jr_year,p_year))</f>
        <v/>
      </c>
      <c r="I66" s="64" t="str">
        <f>IF(A66="","",SUMIFS(jr_val,jr_type,"BL",jr_tiers,A66,jr_year,p_year))</f>
        <v/>
      </c>
      <c r="J66" s="66" t="str">
        <f>IF(A66="","",COUNTIFS(jr_type,"BL",jr_tiers,A66,jr_rel,"&gt;0"))</f>
        <v/>
      </c>
      <c r="K66" s="60" t="str">
        <f>IF(A66="",IF(B66="","","Code manquant"),IF(COUNTIF($A$6:$A$305,A66)&gt;1,"Code en double",IF(B66="","Raison sociale manquante","OK")))</f>
        <v/>
      </c>
      <c r="L66" s="130" t="str">
        <f>IF(OR(A66="",N(H66)=0),"",H66+I66/1000000000000)</f>
        <v/>
      </c>
      <c r="M66" s="131" t="str">
        <f>IF(L66="","",RANK(L66,$L$6:$L$305)+COUNTIF($L$6:L65,L66))</f>
        <v/>
      </c>
    </row>
    <row r="67">
      <c r="A67" s="129" t="n"/>
      <c r="B67" s="59" t="n"/>
      <c r="C67" s="59" t="n"/>
      <c r="D67" s="59" t="n"/>
      <c r="E67" s="58" t="n"/>
      <c r="F67" s="58" t="n"/>
      <c r="G67" s="59" t="n"/>
      <c r="H67" s="66" t="str">
        <f>IF(A67="","",COUNTIFS(jr_new,1,jr_type,"BL",jr_tiers,A67,jr_year,p_year))</f>
        <v/>
      </c>
      <c r="I67" s="64" t="str">
        <f>IF(A67="","",SUMIFS(jr_val,jr_type,"BL",jr_tiers,A67,jr_year,p_year))</f>
        <v/>
      </c>
      <c r="J67" s="66" t="str">
        <f>IF(A67="","",COUNTIFS(jr_type,"BL",jr_tiers,A67,jr_rel,"&gt;0"))</f>
        <v/>
      </c>
      <c r="K67" s="60" t="str">
        <f>IF(A67="",IF(B67="","","Code manquant"),IF(COUNTIF($A$6:$A$305,A67)&gt;1,"Code en double",IF(B67="","Raison sociale manquante","OK")))</f>
        <v/>
      </c>
      <c r="L67" s="130" t="str">
        <f>IF(OR(A67="",N(H67)=0),"",H67+I67/1000000000000)</f>
        <v/>
      </c>
      <c r="M67" s="131" t="str">
        <f>IF(L67="","",RANK(L67,$L$6:$L$305)+COUNTIF($L$6:L66,L67))</f>
        <v/>
      </c>
    </row>
    <row r="68">
      <c r="A68" s="129" t="n"/>
      <c r="B68" s="59" t="n"/>
      <c r="C68" s="59" t="n"/>
      <c r="D68" s="59" t="n"/>
      <c r="E68" s="58" t="n"/>
      <c r="F68" s="58" t="n"/>
      <c r="G68" s="59" t="n"/>
      <c r="H68" s="66" t="str">
        <f>IF(A68="","",COUNTIFS(jr_new,1,jr_type,"BL",jr_tiers,A68,jr_year,p_year))</f>
        <v/>
      </c>
      <c r="I68" s="64" t="str">
        <f>IF(A68="","",SUMIFS(jr_val,jr_type,"BL",jr_tiers,A68,jr_year,p_year))</f>
        <v/>
      </c>
      <c r="J68" s="66" t="str">
        <f>IF(A68="","",COUNTIFS(jr_type,"BL",jr_tiers,A68,jr_rel,"&gt;0"))</f>
        <v/>
      </c>
      <c r="K68" s="60" t="str">
        <f>IF(A68="",IF(B68="","","Code manquant"),IF(COUNTIF($A$6:$A$305,A68)&gt;1,"Code en double",IF(B68="","Raison sociale manquante","OK")))</f>
        <v/>
      </c>
      <c r="L68" s="130" t="str">
        <f>IF(OR(A68="",N(H68)=0),"",H68+I68/1000000000000)</f>
        <v/>
      </c>
      <c r="M68" s="131" t="str">
        <f>IF(L68="","",RANK(L68,$L$6:$L$305)+COUNTIF($L$6:L67,L68))</f>
        <v/>
      </c>
    </row>
    <row r="69">
      <c r="A69" s="129" t="n"/>
      <c r="B69" s="59" t="n"/>
      <c r="C69" s="59" t="n"/>
      <c r="D69" s="59" t="n"/>
      <c r="E69" s="58" t="n"/>
      <c r="F69" s="58" t="n"/>
      <c r="G69" s="59" t="n"/>
      <c r="H69" s="66" t="str">
        <f>IF(A69="","",COUNTIFS(jr_new,1,jr_type,"BL",jr_tiers,A69,jr_year,p_year))</f>
        <v/>
      </c>
      <c r="I69" s="64" t="str">
        <f>IF(A69="","",SUMIFS(jr_val,jr_type,"BL",jr_tiers,A69,jr_year,p_year))</f>
        <v/>
      </c>
      <c r="J69" s="66" t="str">
        <f>IF(A69="","",COUNTIFS(jr_type,"BL",jr_tiers,A69,jr_rel,"&gt;0"))</f>
        <v/>
      </c>
      <c r="K69" s="60" t="str">
        <f>IF(A69="",IF(B69="","","Code manquant"),IF(COUNTIF($A$6:$A$305,A69)&gt;1,"Code en double",IF(B69="","Raison sociale manquante","OK")))</f>
        <v/>
      </c>
      <c r="L69" s="130" t="str">
        <f>IF(OR(A69="",N(H69)=0),"",H69+I69/1000000000000)</f>
        <v/>
      </c>
      <c r="M69" s="131" t="str">
        <f>IF(L69="","",RANK(L69,$L$6:$L$305)+COUNTIF($L$6:L68,L69))</f>
        <v/>
      </c>
    </row>
    <row r="70">
      <c r="A70" s="129" t="n"/>
      <c r="B70" s="59" t="n"/>
      <c r="C70" s="59" t="n"/>
      <c r="D70" s="59" t="n"/>
      <c r="E70" s="58" t="n"/>
      <c r="F70" s="58" t="n"/>
      <c r="G70" s="59" t="n"/>
      <c r="H70" s="66" t="str">
        <f>IF(A70="","",COUNTIFS(jr_new,1,jr_type,"BL",jr_tiers,A70,jr_year,p_year))</f>
        <v/>
      </c>
      <c r="I70" s="64" t="str">
        <f>IF(A70="","",SUMIFS(jr_val,jr_type,"BL",jr_tiers,A70,jr_year,p_year))</f>
        <v/>
      </c>
      <c r="J70" s="66" t="str">
        <f>IF(A70="","",COUNTIFS(jr_type,"BL",jr_tiers,A70,jr_rel,"&gt;0"))</f>
        <v/>
      </c>
      <c r="K70" s="60" t="str">
        <f>IF(A70="",IF(B70="","","Code manquant"),IF(COUNTIF($A$6:$A$305,A70)&gt;1,"Code en double",IF(B70="","Raison sociale manquante","OK")))</f>
        <v/>
      </c>
      <c r="L70" s="130" t="str">
        <f>IF(OR(A70="",N(H70)=0),"",H70+I70/1000000000000)</f>
        <v/>
      </c>
      <c r="M70" s="131" t="str">
        <f>IF(L70="","",RANK(L70,$L$6:$L$305)+COUNTIF($L$6:L69,L70))</f>
        <v/>
      </c>
    </row>
    <row r="71">
      <c r="A71" s="129" t="n"/>
      <c r="B71" s="59" t="n"/>
      <c r="C71" s="59" t="n"/>
      <c r="D71" s="59" t="n"/>
      <c r="E71" s="58" t="n"/>
      <c r="F71" s="58" t="n"/>
      <c r="G71" s="59" t="n"/>
      <c r="H71" s="66" t="str">
        <f>IF(A71="","",COUNTIFS(jr_new,1,jr_type,"BL",jr_tiers,A71,jr_year,p_year))</f>
        <v/>
      </c>
      <c r="I71" s="64" t="str">
        <f>IF(A71="","",SUMIFS(jr_val,jr_type,"BL",jr_tiers,A71,jr_year,p_year))</f>
        <v/>
      </c>
      <c r="J71" s="66" t="str">
        <f>IF(A71="","",COUNTIFS(jr_type,"BL",jr_tiers,A71,jr_rel,"&gt;0"))</f>
        <v/>
      </c>
      <c r="K71" s="60" t="str">
        <f>IF(A71="",IF(B71="","","Code manquant"),IF(COUNTIF($A$6:$A$305,A71)&gt;1,"Code en double",IF(B71="","Raison sociale manquante","OK")))</f>
        <v/>
      </c>
      <c r="L71" s="130" t="str">
        <f>IF(OR(A71="",N(H71)=0),"",H71+I71/1000000000000)</f>
        <v/>
      </c>
      <c r="M71" s="131" t="str">
        <f>IF(L71="","",RANK(L71,$L$6:$L$305)+COUNTIF($L$6:L70,L71))</f>
        <v/>
      </c>
    </row>
    <row r="72">
      <c r="A72" s="129" t="n"/>
      <c r="B72" s="59" t="n"/>
      <c r="C72" s="59" t="n"/>
      <c r="D72" s="59" t="n"/>
      <c r="E72" s="58" t="n"/>
      <c r="F72" s="58" t="n"/>
      <c r="G72" s="59" t="n"/>
      <c r="H72" s="66" t="str">
        <f>IF(A72="","",COUNTIFS(jr_new,1,jr_type,"BL",jr_tiers,A72,jr_year,p_year))</f>
        <v/>
      </c>
      <c r="I72" s="64" t="str">
        <f>IF(A72="","",SUMIFS(jr_val,jr_type,"BL",jr_tiers,A72,jr_year,p_year))</f>
        <v/>
      </c>
      <c r="J72" s="66" t="str">
        <f>IF(A72="","",COUNTIFS(jr_type,"BL",jr_tiers,A72,jr_rel,"&gt;0"))</f>
        <v/>
      </c>
      <c r="K72" s="60" t="str">
        <f>IF(A72="",IF(B72="","","Code manquant"),IF(COUNTIF($A$6:$A$305,A72)&gt;1,"Code en double",IF(B72="","Raison sociale manquante","OK")))</f>
        <v/>
      </c>
      <c r="L72" s="130" t="str">
        <f>IF(OR(A72="",N(H72)=0),"",H72+I72/1000000000000)</f>
        <v/>
      </c>
      <c r="M72" s="131" t="str">
        <f>IF(L72="","",RANK(L72,$L$6:$L$305)+COUNTIF($L$6:L71,L72))</f>
        <v/>
      </c>
    </row>
    <row r="73">
      <c r="A73" s="129" t="n"/>
      <c r="B73" s="59" t="n"/>
      <c r="C73" s="59" t="n"/>
      <c r="D73" s="59" t="n"/>
      <c r="E73" s="58" t="n"/>
      <c r="F73" s="58" t="n"/>
      <c r="G73" s="59" t="n"/>
      <c r="H73" s="66" t="str">
        <f>IF(A73="","",COUNTIFS(jr_new,1,jr_type,"BL",jr_tiers,A73,jr_year,p_year))</f>
        <v/>
      </c>
      <c r="I73" s="64" t="str">
        <f>IF(A73="","",SUMIFS(jr_val,jr_type,"BL",jr_tiers,A73,jr_year,p_year))</f>
        <v/>
      </c>
      <c r="J73" s="66" t="str">
        <f>IF(A73="","",COUNTIFS(jr_type,"BL",jr_tiers,A73,jr_rel,"&gt;0"))</f>
        <v/>
      </c>
      <c r="K73" s="60" t="str">
        <f>IF(A73="",IF(B73="","","Code manquant"),IF(COUNTIF($A$6:$A$305,A73)&gt;1,"Code en double",IF(B73="","Raison sociale manquante","OK")))</f>
        <v/>
      </c>
      <c r="L73" s="130" t="str">
        <f>IF(OR(A73="",N(H73)=0),"",H73+I73/1000000000000)</f>
        <v/>
      </c>
      <c r="M73" s="131" t="str">
        <f>IF(L73="","",RANK(L73,$L$6:$L$305)+COUNTIF($L$6:L72,L73))</f>
        <v/>
      </c>
    </row>
    <row r="74">
      <c r="A74" s="129" t="n"/>
      <c r="B74" s="59" t="n"/>
      <c r="C74" s="59" t="n"/>
      <c r="D74" s="59" t="n"/>
      <c r="E74" s="58" t="n"/>
      <c r="F74" s="58" t="n"/>
      <c r="G74" s="59" t="n"/>
      <c r="H74" s="66" t="str">
        <f>IF(A74="","",COUNTIFS(jr_new,1,jr_type,"BL",jr_tiers,A74,jr_year,p_year))</f>
        <v/>
      </c>
      <c r="I74" s="64" t="str">
        <f>IF(A74="","",SUMIFS(jr_val,jr_type,"BL",jr_tiers,A74,jr_year,p_year))</f>
        <v/>
      </c>
      <c r="J74" s="66" t="str">
        <f>IF(A74="","",COUNTIFS(jr_type,"BL",jr_tiers,A74,jr_rel,"&gt;0"))</f>
        <v/>
      </c>
      <c r="K74" s="60" t="str">
        <f>IF(A74="",IF(B74="","","Code manquant"),IF(COUNTIF($A$6:$A$305,A74)&gt;1,"Code en double",IF(B74="","Raison sociale manquante","OK")))</f>
        <v/>
      </c>
      <c r="L74" s="130" t="str">
        <f>IF(OR(A74="",N(H74)=0),"",H74+I74/1000000000000)</f>
        <v/>
      </c>
      <c r="M74" s="131" t="str">
        <f>IF(L74="","",RANK(L74,$L$6:$L$305)+COUNTIF($L$6:L73,L74))</f>
        <v/>
      </c>
    </row>
    <row r="75">
      <c r="A75" s="129" t="n"/>
      <c r="B75" s="59" t="n"/>
      <c r="C75" s="59" t="n"/>
      <c r="D75" s="59" t="n"/>
      <c r="E75" s="58" t="n"/>
      <c r="F75" s="58" t="n"/>
      <c r="G75" s="59" t="n"/>
      <c r="H75" s="66" t="str">
        <f>IF(A75="","",COUNTIFS(jr_new,1,jr_type,"BL",jr_tiers,A75,jr_year,p_year))</f>
        <v/>
      </c>
      <c r="I75" s="64" t="str">
        <f>IF(A75="","",SUMIFS(jr_val,jr_type,"BL",jr_tiers,A75,jr_year,p_year))</f>
        <v/>
      </c>
      <c r="J75" s="66" t="str">
        <f>IF(A75="","",COUNTIFS(jr_type,"BL",jr_tiers,A75,jr_rel,"&gt;0"))</f>
        <v/>
      </c>
      <c r="K75" s="60" t="str">
        <f>IF(A75="",IF(B75="","","Code manquant"),IF(COUNTIF($A$6:$A$305,A75)&gt;1,"Code en double",IF(B75="","Raison sociale manquante","OK")))</f>
        <v/>
      </c>
      <c r="L75" s="130" t="str">
        <f>IF(OR(A75="",N(H75)=0),"",H75+I75/1000000000000)</f>
        <v/>
      </c>
      <c r="M75" s="131" t="str">
        <f>IF(L75="","",RANK(L75,$L$6:$L$305)+COUNTIF($L$6:L74,L75))</f>
        <v/>
      </c>
    </row>
    <row r="76">
      <c r="A76" s="129" t="n"/>
      <c r="B76" s="59" t="n"/>
      <c r="C76" s="59" t="n"/>
      <c r="D76" s="59" t="n"/>
      <c r="E76" s="58" t="n"/>
      <c r="F76" s="58" t="n"/>
      <c r="G76" s="59" t="n"/>
      <c r="H76" s="66" t="str">
        <f>IF(A76="","",COUNTIFS(jr_new,1,jr_type,"BL",jr_tiers,A76,jr_year,p_year))</f>
        <v/>
      </c>
      <c r="I76" s="64" t="str">
        <f>IF(A76="","",SUMIFS(jr_val,jr_type,"BL",jr_tiers,A76,jr_year,p_year))</f>
        <v/>
      </c>
      <c r="J76" s="66" t="str">
        <f>IF(A76="","",COUNTIFS(jr_type,"BL",jr_tiers,A76,jr_rel,"&gt;0"))</f>
        <v/>
      </c>
      <c r="K76" s="60" t="str">
        <f>IF(A76="",IF(B76="","","Code manquant"),IF(COUNTIF($A$6:$A$305,A76)&gt;1,"Code en double",IF(B76="","Raison sociale manquante","OK")))</f>
        <v/>
      </c>
      <c r="L76" s="130" t="str">
        <f>IF(OR(A76="",N(H76)=0),"",H76+I76/1000000000000)</f>
        <v/>
      </c>
      <c r="M76" s="131" t="str">
        <f>IF(L76="","",RANK(L76,$L$6:$L$305)+COUNTIF($L$6:L75,L76))</f>
        <v/>
      </c>
    </row>
    <row r="77">
      <c r="A77" s="129" t="n"/>
      <c r="B77" s="59" t="n"/>
      <c r="C77" s="59" t="n"/>
      <c r="D77" s="59" t="n"/>
      <c r="E77" s="58" t="n"/>
      <c r="F77" s="58" t="n"/>
      <c r="G77" s="59" t="n"/>
      <c r="H77" s="66" t="str">
        <f>IF(A77="","",COUNTIFS(jr_new,1,jr_type,"BL",jr_tiers,A77,jr_year,p_year))</f>
        <v/>
      </c>
      <c r="I77" s="64" t="str">
        <f>IF(A77="","",SUMIFS(jr_val,jr_type,"BL",jr_tiers,A77,jr_year,p_year))</f>
        <v/>
      </c>
      <c r="J77" s="66" t="str">
        <f>IF(A77="","",COUNTIFS(jr_type,"BL",jr_tiers,A77,jr_rel,"&gt;0"))</f>
        <v/>
      </c>
      <c r="K77" s="60" t="str">
        <f>IF(A77="",IF(B77="","","Code manquant"),IF(COUNTIF($A$6:$A$305,A77)&gt;1,"Code en double",IF(B77="","Raison sociale manquante","OK")))</f>
        <v/>
      </c>
      <c r="L77" s="130" t="str">
        <f>IF(OR(A77="",N(H77)=0),"",H77+I77/1000000000000)</f>
        <v/>
      </c>
      <c r="M77" s="131" t="str">
        <f>IF(L77="","",RANK(L77,$L$6:$L$305)+COUNTIF($L$6:L76,L77))</f>
        <v/>
      </c>
    </row>
    <row r="78">
      <c r="A78" s="129" t="n"/>
      <c r="B78" s="59" t="n"/>
      <c r="C78" s="59" t="n"/>
      <c r="D78" s="59" t="n"/>
      <c r="E78" s="58" t="n"/>
      <c r="F78" s="58" t="n"/>
      <c r="G78" s="59" t="n"/>
      <c r="H78" s="66" t="str">
        <f>IF(A78="","",COUNTIFS(jr_new,1,jr_type,"BL",jr_tiers,A78,jr_year,p_year))</f>
        <v/>
      </c>
      <c r="I78" s="64" t="str">
        <f>IF(A78="","",SUMIFS(jr_val,jr_type,"BL",jr_tiers,A78,jr_year,p_year))</f>
        <v/>
      </c>
      <c r="J78" s="66" t="str">
        <f>IF(A78="","",COUNTIFS(jr_type,"BL",jr_tiers,A78,jr_rel,"&gt;0"))</f>
        <v/>
      </c>
      <c r="K78" s="60" t="str">
        <f>IF(A78="",IF(B78="","","Code manquant"),IF(COUNTIF($A$6:$A$305,A78)&gt;1,"Code en double",IF(B78="","Raison sociale manquante","OK")))</f>
        <v/>
      </c>
      <c r="L78" s="130" t="str">
        <f>IF(OR(A78="",N(H78)=0),"",H78+I78/1000000000000)</f>
        <v/>
      </c>
      <c r="M78" s="131" t="str">
        <f>IF(L78="","",RANK(L78,$L$6:$L$305)+COUNTIF($L$6:L77,L78))</f>
        <v/>
      </c>
    </row>
    <row r="79">
      <c r="A79" s="129" t="n"/>
      <c r="B79" s="59" t="n"/>
      <c r="C79" s="59" t="n"/>
      <c r="D79" s="59" t="n"/>
      <c r="E79" s="58" t="n"/>
      <c r="F79" s="58" t="n"/>
      <c r="G79" s="59" t="n"/>
      <c r="H79" s="66" t="str">
        <f>IF(A79="","",COUNTIFS(jr_new,1,jr_type,"BL",jr_tiers,A79,jr_year,p_year))</f>
        <v/>
      </c>
      <c r="I79" s="64" t="str">
        <f>IF(A79="","",SUMIFS(jr_val,jr_type,"BL",jr_tiers,A79,jr_year,p_year))</f>
        <v/>
      </c>
      <c r="J79" s="66" t="str">
        <f>IF(A79="","",COUNTIFS(jr_type,"BL",jr_tiers,A79,jr_rel,"&gt;0"))</f>
        <v/>
      </c>
      <c r="K79" s="60" t="str">
        <f>IF(A79="",IF(B79="","","Code manquant"),IF(COUNTIF($A$6:$A$305,A79)&gt;1,"Code en double",IF(B79="","Raison sociale manquante","OK")))</f>
        <v/>
      </c>
      <c r="L79" s="130" t="str">
        <f>IF(OR(A79="",N(H79)=0),"",H79+I79/1000000000000)</f>
        <v/>
      </c>
      <c r="M79" s="131" t="str">
        <f>IF(L79="","",RANK(L79,$L$6:$L$305)+COUNTIF($L$6:L78,L79))</f>
        <v/>
      </c>
    </row>
    <row r="80">
      <c r="A80" s="129" t="n"/>
      <c r="B80" s="59" t="n"/>
      <c r="C80" s="59" t="n"/>
      <c r="D80" s="59" t="n"/>
      <c r="E80" s="58" t="n"/>
      <c r="F80" s="58" t="n"/>
      <c r="G80" s="59" t="n"/>
      <c r="H80" s="66" t="str">
        <f>IF(A80="","",COUNTIFS(jr_new,1,jr_type,"BL",jr_tiers,A80,jr_year,p_year))</f>
        <v/>
      </c>
      <c r="I80" s="64" t="str">
        <f>IF(A80="","",SUMIFS(jr_val,jr_type,"BL",jr_tiers,A80,jr_year,p_year))</f>
        <v/>
      </c>
      <c r="J80" s="66" t="str">
        <f>IF(A80="","",COUNTIFS(jr_type,"BL",jr_tiers,A80,jr_rel,"&gt;0"))</f>
        <v/>
      </c>
      <c r="K80" s="60" t="str">
        <f>IF(A80="",IF(B80="","","Code manquant"),IF(COUNTIF($A$6:$A$305,A80)&gt;1,"Code en double",IF(B80="","Raison sociale manquante","OK")))</f>
        <v/>
      </c>
      <c r="L80" s="130" t="str">
        <f>IF(OR(A80="",N(H80)=0),"",H80+I80/1000000000000)</f>
        <v/>
      </c>
      <c r="M80" s="131" t="str">
        <f>IF(L80="","",RANK(L80,$L$6:$L$305)+COUNTIF($L$6:L79,L80))</f>
        <v/>
      </c>
    </row>
    <row r="81">
      <c r="A81" s="129" t="n"/>
      <c r="B81" s="59" t="n"/>
      <c r="C81" s="59" t="n"/>
      <c r="D81" s="59" t="n"/>
      <c r="E81" s="58" t="n"/>
      <c r="F81" s="58" t="n"/>
      <c r="G81" s="59" t="n"/>
      <c r="H81" s="66" t="str">
        <f>IF(A81="","",COUNTIFS(jr_new,1,jr_type,"BL",jr_tiers,A81,jr_year,p_year))</f>
        <v/>
      </c>
      <c r="I81" s="64" t="str">
        <f>IF(A81="","",SUMIFS(jr_val,jr_type,"BL",jr_tiers,A81,jr_year,p_year))</f>
        <v/>
      </c>
      <c r="J81" s="66" t="str">
        <f>IF(A81="","",COUNTIFS(jr_type,"BL",jr_tiers,A81,jr_rel,"&gt;0"))</f>
        <v/>
      </c>
      <c r="K81" s="60" t="str">
        <f>IF(A81="",IF(B81="","","Code manquant"),IF(COUNTIF($A$6:$A$305,A81)&gt;1,"Code en double",IF(B81="","Raison sociale manquante","OK")))</f>
        <v/>
      </c>
      <c r="L81" s="130" t="str">
        <f>IF(OR(A81="",N(H81)=0),"",H81+I81/1000000000000)</f>
        <v/>
      </c>
      <c r="M81" s="131" t="str">
        <f>IF(L81="","",RANK(L81,$L$6:$L$305)+COUNTIF($L$6:L80,L81))</f>
        <v/>
      </c>
    </row>
    <row r="82">
      <c r="A82" s="129" t="n"/>
      <c r="B82" s="59" t="n"/>
      <c r="C82" s="59" t="n"/>
      <c r="D82" s="59" t="n"/>
      <c r="E82" s="58" t="n"/>
      <c r="F82" s="58" t="n"/>
      <c r="G82" s="59" t="n"/>
      <c r="H82" s="66" t="str">
        <f>IF(A82="","",COUNTIFS(jr_new,1,jr_type,"BL",jr_tiers,A82,jr_year,p_year))</f>
        <v/>
      </c>
      <c r="I82" s="64" t="str">
        <f>IF(A82="","",SUMIFS(jr_val,jr_type,"BL",jr_tiers,A82,jr_year,p_year))</f>
        <v/>
      </c>
      <c r="J82" s="66" t="str">
        <f>IF(A82="","",COUNTIFS(jr_type,"BL",jr_tiers,A82,jr_rel,"&gt;0"))</f>
        <v/>
      </c>
      <c r="K82" s="60" t="str">
        <f>IF(A82="",IF(B82="","","Code manquant"),IF(COUNTIF($A$6:$A$305,A82)&gt;1,"Code en double",IF(B82="","Raison sociale manquante","OK")))</f>
        <v/>
      </c>
      <c r="L82" s="130" t="str">
        <f>IF(OR(A82="",N(H82)=0),"",H82+I82/1000000000000)</f>
        <v/>
      </c>
      <c r="M82" s="131" t="str">
        <f>IF(L82="","",RANK(L82,$L$6:$L$305)+COUNTIF($L$6:L81,L82))</f>
        <v/>
      </c>
    </row>
    <row r="83">
      <c r="A83" s="129" t="n"/>
      <c r="B83" s="59" t="n"/>
      <c r="C83" s="59" t="n"/>
      <c r="D83" s="59" t="n"/>
      <c r="E83" s="58" t="n"/>
      <c r="F83" s="58" t="n"/>
      <c r="G83" s="59" t="n"/>
      <c r="H83" s="66" t="str">
        <f>IF(A83="","",COUNTIFS(jr_new,1,jr_type,"BL",jr_tiers,A83,jr_year,p_year))</f>
        <v/>
      </c>
      <c r="I83" s="64" t="str">
        <f>IF(A83="","",SUMIFS(jr_val,jr_type,"BL",jr_tiers,A83,jr_year,p_year))</f>
        <v/>
      </c>
      <c r="J83" s="66" t="str">
        <f>IF(A83="","",COUNTIFS(jr_type,"BL",jr_tiers,A83,jr_rel,"&gt;0"))</f>
        <v/>
      </c>
      <c r="K83" s="60" t="str">
        <f>IF(A83="",IF(B83="","","Code manquant"),IF(COUNTIF($A$6:$A$305,A83)&gt;1,"Code en double",IF(B83="","Raison sociale manquante","OK")))</f>
        <v/>
      </c>
      <c r="L83" s="130" t="str">
        <f>IF(OR(A83="",N(H83)=0),"",H83+I83/1000000000000)</f>
        <v/>
      </c>
      <c r="M83" s="131" t="str">
        <f>IF(L83="","",RANK(L83,$L$6:$L$305)+COUNTIF($L$6:L82,L83))</f>
        <v/>
      </c>
    </row>
    <row r="84">
      <c r="A84" s="129" t="n"/>
      <c r="B84" s="59" t="n"/>
      <c r="C84" s="59" t="n"/>
      <c r="D84" s="59" t="n"/>
      <c r="E84" s="58" t="n"/>
      <c r="F84" s="58" t="n"/>
      <c r="G84" s="59" t="n"/>
      <c r="H84" s="66" t="str">
        <f>IF(A84="","",COUNTIFS(jr_new,1,jr_type,"BL",jr_tiers,A84,jr_year,p_year))</f>
        <v/>
      </c>
      <c r="I84" s="64" t="str">
        <f>IF(A84="","",SUMIFS(jr_val,jr_type,"BL",jr_tiers,A84,jr_year,p_year))</f>
        <v/>
      </c>
      <c r="J84" s="66" t="str">
        <f>IF(A84="","",COUNTIFS(jr_type,"BL",jr_tiers,A84,jr_rel,"&gt;0"))</f>
        <v/>
      </c>
      <c r="K84" s="60" t="str">
        <f>IF(A84="",IF(B84="","","Code manquant"),IF(COUNTIF($A$6:$A$305,A84)&gt;1,"Code en double",IF(B84="","Raison sociale manquante","OK")))</f>
        <v/>
      </c>
      <c r="L84" s="130" t="str">
        <f>IF(OR(A84="",N(H84)=0),"",H84+I84/1000000000000)</f>
        <v/>
      </c>
      <c r="M84" s="131" t="str">
        <f>IF(L84="","",RANK(L84,$L$6:$L$305)+COUNTIF($L$6:L83,L84))</f>
        <v/>
      </c>
    </row>
    <row r="85">
      <c r="A85" s="129" t="n"/>
      <c r="B85" s="59" t="n"/>
      <c r="C85" s="59" t="n"/>
      <c r="D85" s="59" t="n"/>
      <c r="E85" s="58" t="n"/>
      <c r="F85" s="58" t="n"/>
      <c r="G85" s="59" t="n"/>
      <c r="H85" s="66" t="str">
        <f>IF(A85="","",COUNTIFS(jr_new,1,jr_type,"BL",jr_tiers,A85,jr_year,p_year))</f>
        <v/>
      </c>
      <c r="I85" s="64" t="str">
        <f>IF(A85="","",SUMIFS(jr_val,jr_type,"BL",jr_tiers,A85,jr_year,p_year))</f>
        <v/>
      </c>
      <c r="J85" s="66" t="str">
        <f>IF(A85="","",COUNTIFS(jr_type,"BL",jr_tiers,A85,jr_rel,"&gt;0"))</f>
        <v/>
      </c>
      <c r="K85" s="60" t="str">
        <f>IF(A85="",IF(B85="","","Code manquant"),IF(COUNTIF($A$6:$A$305,A85)&gt;1,"Code en double",IF(B85="","Raison sociale manquante","OK")))</f>
        <v/>
      </c>
      <c r="L85" s="130" t="str">
        <f>IF(OR(A85="",N(H85)=0),"",H85+I85/1000000000000)</f>
        <v/>
      </c>
      <c r="M85" s="131" t="str">
        <f>IF(L85="","",RANK(L85,$L$6:$L$305)+COUNTIF($L$6:L84,L85))</f>
        <v/>
      </c>
    </row>
    <row r="86">
      <c r="A86" s="129" t="n"/>
      <c r="B86" s="59" t="n"/>
      <c r="C86" s="59" t="n"/>
      <c r="D86" s="59" t="n"/>
      <c r="E86" s="58" t="n"/>
      <c r="F86" s="58" t="n"/>
      <c r="G86" s="59" t="n"/>
      <c r="H86" s="66" t="str">
        <f>IF(A86="","",COUNTIFS(jr_new,1,jr_type,"BL",jr_tiers,A86,jr_year,p_year))</f>
        <v/>
      </c>
      <c r="I86" s="64" t="str">
        <f>IF(A86="","",SUMIFS(jr_val,jr_type,"BL",jr_tiers,A86,jr_year,p_year))</f>
        <v/>
      </c>
      <c r="J86" s="66" t="str">
        <f>IF(A86="","",COUNTIFS(jr_type,"BL",jr_tiers,A86,jr_rel,"&gt;0"))</f>
        <v/>
      </c>
      <c r="K86" s="60" t="str">
        <f>IF(A86="",IF(B86="","","Code manquant"),IF(COUNTIF($A$6:$A$305,A86)&gt;1,"Code en double",IF(B86="","Raison sociale manquante","OK")))</f>
        <v/>
      </c>
      <c r="L86" s="130" t="str">
        <f>IF(OR(A86="",N(H86)=0),"",H86+I86/1000000000000)</f>
        <v/>
      </c>
      <c r="M86" s="131" t="str">
        <f>IF(L86="","",RANK(L86,$L$6:$L$305)+COUNTIF($L$6:L85,L86))</f>
        <v/>
      </c>
    </row>
    <row r="87">
      <c r="A87" s="129" t="n"/>
      <c r="B87" s="59" t="n"/>
      <c r="C87" s="59" t="n"/>
      <c r="D87" s="59" t="n"/>
      <c r="E87" s="58" t="n"/>
      <c r="F87" s="58" t="n"/>
      <c r="G87" s="59" t="n"/>
      <c r="H87" s="66" t="str">
        <f>IF(A87="","",COUNTIFS(jr_new,1,jr_type,"BL",jr_tiers,A87,jr_year,p_year))</f>
        <v/>
      </c>
      <c r="I87" s="64" t="str">
        <f>IF(A87="","",SUMIFS(jr_val,jr_type,"BL",jr_tiers,A87,jr_year,p_year))</f>
        <v/>
      </c>
      <c r="J87" s="66" t="str">
        <f>IF(A87="","",COUNTIFS(jr_type,"BL",jr_tiers,A87,jr_rel,"&gt;0"))</f>
        <v/>
      </c>
      <c r="K87" s="60" t="str">
        <f>IF(A87="",IF(B87="","","Code manquant"),IF(COUNTIF($A$6:$A$305,A87)&gt;1,"Code en double",IF(B87="","Raison sociale manquante","OK")))</f>
        <v/>
      </c>
      <c r="L87" s="130" t="str">
        <f>IF(OR(A87="",N(H87)=0),"",H87+I87/1000000000000)</f>
        <v/>
      </c>
      <c r="M87" s="131" t="str">
        <f>IF(L87="","",RANK(L87,$L$6:$L$305)+COUNTIF($L$6:L86,L87))</f>
        <v/>
      </c>
    </row>
    <row r="88">
      <c r="A88" s="129" t="n"/>
      <c r="B88" s="59" t="n"/>
      <c r="C88" s="59" t="n"/>
      <c r="D88" s="59" t="n"/>
      <c r="E88" s="58" t="n"/>
      <c r="F88" s="58" t="n"/>
      <c r="G88" s="59" t="n"/>
      <c r="H88" s="66" t="str">
        <f>IF(A88="","",COUNTIFS(jr_new,1,jr_type,"BL",jr_tiers,A88,jr_year,p_year))</f>
        <v/>
      </c>
      <c r="I88" s="64" t="str">
        <f>IF(A88="","",SUMIFS(jr_val,jr_type,"BL",jr_tiers,A88,jr_year,p_year))</f>
        <v/>
      </c>
      <c r="J88" s="66" t="str">
        <f>IF(A88="","",COUNTIFS(jr_type,"BL",jr_tiers,A88,jr_rel,"&gt;0"))</f>
        <v/>
      </c>
      <c r="K88" s="60" t="str">
        <f>IF(A88="",IF(B88="","","Code manquant"),IF(COUNTIF($A$6:$A$305,A88)&gt;1,"Code en double",IF(B88="","Raison sociale manquante","OK")))</f>
        <v/>
      </c>
      <c r="L88" s="130" t="str">
        <f>IF(OR(A88="",N(H88)=0),"",H88+I88/1000000000000)</f>
        <v/>
      </c>
      <c r="M88" s="131" t="str">
        <f>IF(L88="","",RANK(L88,$L$6:$L$305)+COUNTIF($L$6:L87,L88))</f>
        <v/>
      </c>
    </row>
    <row r="89">
      <c r="A89" s="129" t="n"/>
      <c r="B89" s="59" t="n"/>
      <c r="C89" s="59" t="n"/>
      <c r="D89" s="59" t="n"/>
      <c r="E89" s="58" t="n"/>
      <c r="F89" s="58" t="n"/>
      <c r="G89" s="59" t="n"/>
      <c r="H89" s="66" t="str">
        <f>IF(A89="","",COUNTIFS(jr_new,1,jr_type,"BL",jr_tiers,A89,jr_year,p_year))</f>
        <v/>
      </c>
      <c r="I89" s="64" t="str">
        <f>IF(A89="","",SUMIFS(jr_val,jr_type,"BL",jr_tiers,A89,jr_year,p_year))</f>
        <v/>
      </c>
      <c r="J89" s="66" t="str">
        <f>IF(A89="","",COUNTIFS(jr_type,"BL",jr_tiers,A89,jr_rel,"&gt;0"))</f>
        <v/>
      </c>
      <c r="K89" s="60" t="str">
        <f>IF(A89="",IF(B89="","","Code manquant"),IF(COUNTIF($A$6:$A$305,A89)&gt;1,"Code en double",IF(B89="","Raison sociale manquante","OK")))</f>
        <v/>
      </c>
      <c r="L89" s="130" t="str">
        <f>IF(OR(A89="",N(H89)=0),"",H89+I89/1000000000000)</f>
        <v/>
      </c>
      <c r="M89" s="131" t="str">
        <f>IF(L89="","",RANK(L89,$L$6:$L$305)+COUNTIF($L$6:L88,L89))</f>
        <v/>
      </c>
    </row>
    <row r="90">
      <c r="A90" s="129" t="n"/>
      <c r="B90" s="59" t="n"/>
      <c r="C90" s="59" t="n"/>
      <c r="D90" s="59" t="n"/>
      <c r="E90" s="58" t="n"/>
      <c r="F90" s="58" t="n"/>
      <c r="G90" s="59" t="n"/>
      <c r="H90" s="66" t="str">
        <f>IF(A90="","",COUNTIFS(jr_new,1,jr_type,"BL",jr_tiers,A90,jr_year,p_year))</f>
        <v/>
      </c>
      <c r="I90" s="64" t="str">
        <f>IF(A90="","",SUMIFS(jr_val,jr_type,"BL",jr_tiers,A90,jr_year,p_year))</f>
        <v/>
      </c>
      <c r="J90" s="66" t="str">
        <f>IF(A90="","",COUNTIFS(jr_type,"BL",jr_tiers,A90,jr_rel,"&gt;0"))</f>
        <v/>
      </c>
      <c r="K90" s="60" t="str">
        <f>IF(A90="",IF(B90="","","Code manquant"),IF(COUNTIF($A$6:$A$305,A90)&gt;1,"Code en double",IF(B90="","Raison sociale manquante","OK")))</f>
        <v/>
      </c>
      <c r="L90" s="130" t="str">
        <f>IF(OR(A90="",N(H90)=0),"",H90+I90/1000000000000)</f>
        <v/>
      </c>
      <c r="M90" s="131" t="str">
        <f>IF(L90="","",RANK(L90,$L$6:$L$305)+COUNTIF($L$6:L89,L90))</f>
        <v/>
      </c>
    </row>
    <row r="91">
      <c r="A91" s="129" t="n"/>
      <c r="B91" s="59" t="n"/>
      <c r="C91" s="59" t="n"/>
      <c r="D91" s="59" t="n"/>
      <c r="E91" s="58" t="n"/>
      <c r="F91" s="58" t="n"/>
      <c r="G91" s="59" t="n"/>
      <c r="H91" s="66" t="str">
        <f>IF(A91="","",COUNTIFS(jr_new,1,jr_type,"BL",jr_tiers,A91,jr_year,p_year))</f>
        <v/>
      </c>
      <c r="I91" s="64" t="str">
        <f>IF(A91="","",SUMIFS(jr_val,jr_type,"BL",jr_tiers,A91,jr_year,p_year))</f>
        <v/>
      </c>
      <c r="J91" s="66" t="str">
        <f>IF(A91="","",COUNTIFS(jr_type,"BL",jr_tiers,A91,jr_rel,"&gt;0"))</f>
        <v/>
      </c>
      <c r="K91" s="60" t="str">
        <f>IF(A91="",IF(B91="","","Code manquant"),IF(COUNTIF($A$6:$A$305,A91)&gt;1,"Code en double",IF(B91="","Raison sociale manquante","OK")))</f>
        <v/>
      </c>
      <c r="L91" s="130" t="str">
        <f>IF(OR(A91="",N(H91)=0),"",H91+I91/1000000000000)</f>
        <v/>
      </c>
      <c r="M91" s="131" t="str">
        <f>IF(L91="","",RANK(L91,$L$6:$L$305)+COUNTIF($L$6:L90,L91))</f>
        <v/>
      </c>
    </row>
    <row r="92">
      <c r="A92" s="129" t="n"/>
      <c r="B92" s="59" t="n"/>
      <c r="C92" s="59" t="n"/>
      <c r="D92" s="59" t="n"/>
      <c r="E92" s="58" t="n"/>
      <c r="F92" s="58" t="n"/>
      <c r="G92" s="59" t="n"/>
      <c r="H92" s="66" t="str">
        <f>IF(A92="","",COUNTIFS(jr_new,1,jr_type,"BL",jr_tiers,A92,jr_year,p_year))</f>
        <v/>
      </c>
      <c r="I92" s="64" t="str">
        <f>IF(A92="","",SUMIFS(jr_val,jr_type,"BL",jr_tiers,A92,jr_year,p_year))</f>
        <v/>
      </c>
      <c r="J92" s="66" t="str">
        <f>IF(A92="","",COUNTIFS(jr_type,"BL",jr_tiers,A92,jr_rel,"&gt;0"))</f>
        <v/>
      </c>
      <c r="K92" s="60" t="str">
        <f>IF(A92="",IF(B92="","","Code manquant"),IF(COUNTIF($A$6:$A$305,A92)&gt;1,"Code en double",IF(B92="","Raison sociale manquante","OK")))</f>
        <v/>
      </c>
      <c r="L92" s="130" t="str">
        <f>IF(OR(A92="",N(H92)=0),"",H92+I92/1000000000000)</f>
        <v/>
      </c>
      <c r="M92" s="131" t="str">
        <f>IF(L92="","",RANK(L92,$L$6:$L$305)+COUNTIF($L$6:L91,L92))</f>
        <v/>
      </c>
    </row>
    <row r="93">
      <c r="A93" s="129" t="n"/>
      <c r="B93" s="59" t="n"/>
      <c r="C93" s="59" t="n"/>
      <c r="D93" s="59" t="n"/>
      <c r="E93" s="58" t="n"/>
      <c r="F93" s="58" t="n"/>
      <c r="G93" s="59" t="n"/>
      <c r="H93" s="66" t="str">
        <f>IF(A93="","",COUNTIFS(jr_new,1,jr_type,"BL",jr_tiers,A93,jr_year,p_year))</f>
        <v/>
      </c>
      <c r="I93" s="64" t="str">
        <f>IF(A93="","",SUMIFS(jr_val,jr_type,"BL",jr_tiers,A93,jr_year,p_year))</f>
        <v/>
      </c>
      <c r="J93" s="66" t="str">
        <f>IF(A93="","",COUNTIFS(jr_type,"BL",jr_tiers,A93,jr_rel,"&gt;0"))</f>
        <v/>
      </c>
      <c r="K93" s="60" t="str">
        <f>IF(A93="",IF(B93="","","Code manquant"),IF(COUNTIF($A$6:$A$305,A93)&gt;1,"Code en double",IF(B93="","Raison sociale manquante","OK")))</f>
        <v/>
      </c>
      <c r="L93" s="130" t="str">
        <f>IF(OR(A93="",N(H93)=0),"",H93+I93/1000000000000)</f>
        <v/>
      </c>
      <c r="M93" s="131" t="str">
        <f>IF(L93="","",RANK(L93,$L$6:$L$305)+COUNTIF($L$6:L92,L93))</f>
        <v/>
      </c>
    </row>
    <row r="94">
      <c r="A94" s="129" t="n"/>
      <c r="B94" s="59" t="n"/>
      <c r="C94" s="59" t="n"/>
      <c r="D94" s="59" t="n"/>
      <c r="E94" s="58" t="n"/>
      <c r="F94" s="58" t="n"/>
      <c r="G94" s="59" t="n"/>
      <c r="H94" s="66" t="str">
        <f>IF(A94="","",COUNTIFS(jr_new,1,jr_type,"BL",jr_tiers,A94,jr_year,p_year))</f>
        <v/>
      </c>
      <c r="I94" s="64" t="str">
        <f>IF(A94="","",SUMIFS(jr_val,jr_type,"BL",jr_tiers,A94,jr_year,p_year))</f>
        <v/>
      </c>
      <c r="J94" s="66" t="str">
        <f>IF(A94="","",COUNTIFS(jr_type,"BL",jr_tiers,A94,jr_rel,"&gt;0"))</f>
        <v/>
      </c>
      <c r="K94" s="60" t="str">
        <f>IF(A94="",IF(B94="","","Code manquant"),IF(COUNTIF($A$6:$A$305,A94)&gt;1,"Code en double",IF(B94="","Raison sociale manquante","OK")))</f>
        <v/>
      </c>
      <c r="L94" s="130" t="str">
        <f>IF(OR(A94="",N(H94)=0),"",H94+I94/1000000000000)</f>
        <v/>
      </c>
      <c r="M94" s="131" t="str">
        <f>IF(L94="","",RANK(L94,$L$6:$L$305)+COUNTIF($L$6:L93,L94))</f>
        <v/>
      </c>
    </row>
    <row r="95">
      <c r="A95" s="129" t="n"/>
      <c r="B95" s="59" t="n"/>
      <c r="C95" s="59" t="n"/>
      <c r="D95" s="59" t="n"/>
      <c r="E95" s="58" t="n"/>
      <c r="F95" s="58" t="n"/>
      <c r="G95" s="59" t="n"/>
      <c r="H95" s="66" t="str">
        <f>IF(A95="","",COUNTIFS(jr_new,1,jr_type,"BL",jr_tiers,A95,jr_year,p_year))</f>
        <v/>
      </c>
      <c r="I95" s="64" t="str">
        <f>IF(A95="","",SUMIFS(jr_val,jr_type,"BL",jr_tiers,A95,jr_year,p_year))</f>
        <v/>
      </c>
      <c r="J95" s="66" t="str">
        <f>IF(A95="","",COUNTIFS(jr_type,"BL",jr_tiers,A95,jr_rel,"&gt;0"))</f>
        <v/>
      </c>
      <c r="K95" s="60" t="str">
        <f>IF(A95="",IF(B95="","","Code manquant"),IF(COUNTIF($A$6:$A$305,A95)&gt;1,"Code en double",IF(B95="","Raison sociale manquante","OK")))</f>
        <v/>
      </c>
      <c r="L95" s="130" t="str">
        <f>IF(OR(A95="",N(H95)=0),"",H95+I95/1000000000000)</f>
        <v/>
      </c>
      <c r="M95" s="131" t="str">
        <f>IF(L95="","",RANK(L95,$L$6:$L$305)+COUNTIF($L$6:L94,L95))</f>
        <v/>
      </c>
    </row>
    <row r="96">
      <c r="A96" s="129" t="n"/>
      <c r="B96" s="59" t="n"/>
      <c r="C96" s="59" t="n"/>
      <c r="D96" s="59" t="n"/>
      <c r="E96" s="58" t="n"/>
      <c r="F96" s="58" t="n"/>
      <c r="G96" s="59" t="n"/>
      <c r="H96" s="66" t="str">
        <f>IF(A96="","",COUNTIFS(jr_new,1,jr_type,"BL",jr_tiers,A96,jr_year,p_year))</f>
        <v/>
      </c>
      <c r="I96" s="64" t="str">
        <f>IF(A96="","",SUMIFS(jr_val,jr_type,"BL",jr_tiers,A96,jr_year,p_year))</f>
        <v/>
      </c>
      <c r="J96" s="66" t="str">
        <f>IF(A96="","",COUNTIFS(jr_type,"BL",jr_tiers,A96,jr_rel,"&gt;0"))</f>
        <v/>
      </c>
      <c r="K96" s="60" t="str">
        <f>IF(A96="",IF(B96="","","Code manquant"),IF(COUNTIF($A$6:$A$305,A96)&gt;1,"Code en double",IF(B96="","Raison sociale manquante","OK")))</f>
        <v/>
      </c>
      <c r="L96" s="130" t="str">
        <f>IF(OR(A96="",N(H96)=0),"",H96+I96/1000000000000)</f>
        <v/>
      </c>
      <c r="M96" s="131" t="str">
        <f>IF(L96="","",RANK(L96,$L$6:$L$305)+COUNTIF($L$6:L95,L96))</f>
        <v/>
      </c>
    </row>
    <row r="97">
      <c r="A97" s="129" t="n"/>
      <c r="B97" s="59" t="n"/>
      <c r="C97" s="59" t="n"/>
      <c r="D97" s="59" t="n"/>
      <c r="E97" s="58" t="n"/>
      <c r="F97" s="58" t="n"/>
      <c r="G97" s="59" t="n"/>
      <c r="H97" s="66" t="str">
        <f>IF(A97="","",COUNTIFS(jr_new,1,jr_type,"BL",jr_tiers,A97,jr_year,p_year))</f>
        <v/>
      </c>
      <c r="I97" s="64" t="str">
        <f>IF(A97="","",SUMIFS(jr_val,jr_type,"BL",jr_tiers,A97,jr_year,p_year))</f>
        <v/>
      </c>
      <c r="J97" s="66" t="str">
        <f>IF(A97="","",COUNTIFS(jr_type,"BL",jr_tiers,A97,jr_rel,"&gt;0"))</f>
        <v/>
      </c>
      <c r="K97" s="60" t="str">
        <f>IF(A97="",IF(B97="","","Code manquant"),IF(COUNTIF($A$6:$A$305,A97)&gt;1,"Code en double",IF(B97="","Raison sociale manquante","OK")))</f>
        <v/>
      </c>
      <c r="L97" s="130" t="str">
        <f>IF(OR(A97="",N(H97)=0),"",H97+I97/1000000000000)</f>
        <v/>
      </c>
      <c r="M97" s="131" t="str">
        <f>IF(L97="","",RANK(L97,$L$6:$L$305)+COUNTIF($L$6:L96,L97))</f>
        <v/>
      </c>
    </row>
    <row r="98">
      <c r="A98" s="129" t="n"/>
      <c r="B98" s="59" t="n"/>
      <c r="C98" s="59" t="n"/>
      <c r="D98" s="59" t="n"/>
      <c r="E98" s="58" t="n"/>
      <c r="F98" s="58" t="n"/>
      <c r="G98" s="59" t="n"/>
      <c r="H98" s="66" t="str">
        <f>IF(A98="","",COUNTIFS(jr_new,1,jr_type,"BL",jr_tiers,A98,jr_year,p_year))</f>
        <v/>
      </c>
      <c r="I98" s="64" t="str">
        <f>IF(A98="","",SUMIFS(jr_val,jr_type,"BL",jr_tiers,A98,jr_year,p_year))</f>
        <v/>
      </c>
      <c r="J98" s="66" t="str">
        <f>IF(A98="","",COUNTIFS(jr_type,"BL",jr_tiers,A98,jr_rel,"&gt;0"))</f>
        <v/>
      </c>
      <c r="K98" s="60" t="str">
        <f>IF(A98="",IF(B98="","","Code manquant"),IF(COUNTIF($A$6:$A$305,A98)&gt;1,"Code en double",IF(B98="","Raison sociale manquante","OK")))</f>
        <v/>
      </c>
      <c r="L98" s="130" t="str">
        <f>IF(OR(A98="",N(H98)=0),"",H98+I98/1000000000000)</f>
        <v/>
      </c>
      <c r="M98" s="131" t="str">
        <f>IF(L98="","",RANK(L98,$L$6:$L$305)+COUNTIF($L$6:L97,L98))</f>
        <v/>
      </c>
    </row>
    <row r="99">
      <c r="A99" s="129" t="n"/>
      <c r="B99" s="59" t="n"/>
      <c r="C99" s="59" t="n"/>
      <c r="D99" s="59" t="n"/>
      <c r="E99" s="58" t="n"/>
      <c r="F99" s="58" t="n"/>
      <c r="G99" s="59" t="n"/>
      <c r="H99" s="66" t="str">
        <f>IF(A99="","",COUNTIFS(jr_new,1,jr_type,"BL",jr_tiers,A99,jr_year,p_year))</f>
        <v/>
      </c>
      <c r="I99" s="64" t="str">
        <f>IF(A99="","",SUMIFS(jr_val,jr_type,"BL",jr_tiers,A99,jr_year,p_year))</f>
        <v/>
      </c>
      <c r="J99" s="66" t="str">
        <f>IF(A99="","",COUNTIFS(jr_type,"BL",jr_tiers,A99,jr_rel,"&gt;0"))</f>
        <v/>
      </c>
      <c r="K99" s="60" t="str">
        <f>IF(A99="",IF(B99="","","Code manquant"),IF(COUNTIF($A$6:$A$305,A99)&gt;1,"Code en double",IF(B99="","Raison sociale manquante","OK")))</f>
        <v/>
      </c>
      <c r="L99" s="130" t="str">
        <f>IF(OR(A99="",N(H99)=0),"",H99+I99/1000000000000)</f>
        <v/>
      </c>
      <c r="M99" s="131" t="str">
        <f>IF(L99="","",RANK(L99,$L$6:$L$305)+COUNTIF($L$6:L98,L99))</f>
        <v/>
      </c>
    </row>
    <row r="100">
      <c r="A100" s="129" t="n"/>
      <c r="B100" s="59" t="n"/>
      <c r="C100" s="59" t="n"/>
      <c r="D100" s="59" t="n"/>
      <c r="E100" s="58" t="n"/>
      <c r="F100" s="58" t="n"/>
      <c r="G100" s="59" t="n"/>
      <c r="H100" s="66" t="str">
        <f>IF(A100="","",COUNTIFS(jr_new,1,jr_type,"BL",jr_tiers,A100,jr_year,p_year))</f>
        <v/>
      </c>
      <c r="I100" s="64" t="str">
        <f>IF(A100="","",SUMIFS(jr_val,jr_type,"BL",jr_tiers,A100,jr_year,p_year))</f>
        <v/>
      </c>
      <c r="J100" s="66" t="str">
        <f>IF(A100="","",COUNTIFS(jr_type,"BL",jr_tiers,A100,jr_rel,"&gt;0"))</f>
        <v/>
      </c>
      <c r="K100" s="60" t="str">
        <f>IF(A100="",IF(B100="","","Code manquant"),IF(COUNTIF($A$6:$A$305,A100)&gt;1,"Code en double",IF(B100="","Raison sociale manquante","OK")))</f>
        <v/>
      </c>
      <c r="L100" s="130" t="str">
        <f>IF(OR(A100="",N(H100)=0),"",H100+I100/1000000000000)</f>
        <v/>
      </c>
      <c r="M100" s="131" t="str">
        <f>IF(L100="","",RANK(L100,$L$6:$L$305)+COUNTIF($L$6:L99,L100))</f>
        <v/>
      </c>
    </row>
    <row r="101">
      <c r="A101" s="129" t="n"/>
      <c r="B101" s="59" t="n"/>
      <c r="C101" s="59" t="n"/>
      <c r="D101" s="59" t="n"/>
      <c r="E101" s="58" t="n"/>
      <c r="F101" s="58" t="n"/>
      <c r="G101" s="59" t="n"/>
      <c r="H101" s="66" t="str">
        <f>IF(A101="","",COUNTIFS(jr_new,1,jr_type,"BL",jr_tiers,A101,jr_year,p_year))</f>
        <v/>
      </c>
      <c r="I101" s="64" t="str">
        <f>IF(A101="","",SUMIFS(jr_val,jr_type,"BL",jr_tiers,A101,jr_year,p_year))</f>
        <v/>
      </c>
      <c r="J101" s="66" t="str">
        <f>IF(A101="","",COUNTIFS(jr_type,"BL",jr_tiers,A101,jr_rel,"&gt;0"))</f>
        <v/>
      </c>
      <c r="K101" s="60" t="str">
        <f>IF(A101="",IF(B101="","","Code manquant"),IF(COUNTIF($A$6:$A$305,A101)&gt;1,"Code en double",IF(B101="","Raison sociale manquante","OK")))</f>
        <v/>
      </c>
      <c r="L101" s="130" t="str">
        <f>IF(OR(A101="",N(H101)=0),"",H101+I101/1000000000000)</f>
        <v/>
      </c>
      <c r="M101" s="131" t="str">
        <f>IF(L101="","",RANK(L101,$L$6:$L$305)+COUNTIF($L$6:L100,L101))</f>
        <v/>
      </c>
    </row>
    <row r="102">
      <c r="A102" s="129" t="n"/>
      <c r="B102" s="59" t="n"/>
      <c r="C102" s="59" t="n"/>
      <c r="D102" s="59" t="n"/>
      <c r="E102" s="58" t="n"/>
      <c r="F102" s="58" t="n"/>
      <c r="G102" s="59" t="n"/>
      <c r="H102" s="66" t="str">
        <f>IF(A102="","",COUNTIFS(jr_new,1,jr_type,"BL",jr_tiers,A102,jr_year,p_year))</f>
        <v/>
      </c>
      <c r="I102" s="64" t="str">
        <f>IF(A102="","",SUMIFS(jr_val,jr_type,"BL",jr_tiers,A102,jr_year,p_year))</f>
        <v/>
      </c>
      <c r="J102" s="66" t="str">
        <f>IF(A102="","",COUNTIFS(jr_type,"BL",jr_tiers,A102,jr_rel,"&gt;0"))</f>
        <v/>
      </c>
      <c r="K102" s="60" t="str">
        <f>IF(A102="",IF(B102="","","Code manquant"),IF(COUNTIF($A$6:$A$305,A102)&gt;1,"Code en double",IF(B102="","Raison sociale manquante","OK")))</f>
        <v/>
      </c>
      <c r="L102" s="130" t="str">
        <f>IF(OR(A102="",N(H102)=0),"",H102+I102/1000000000000)</f>
        <v/>
      </c>
      <c r="M102" s="131" t="str">
        <f>IF(L102="","",RANK(L102,$L$6:$L$305)+COUNTIF($L$6:L101,L102))</f>
        <v/>
      </c>
    </row>
    <row r="103">
      <c r="A103" s="129" t="n"/>
      <c r="B103" s="59" t="n"/>
      <c r="C103" s="59" t="n"/>
      <c r="D103" s="59" t="n"/>
      <c r="E103" s="58" t="n"/>
      <c r="F103" s="58" t="n"/>
      <c r="G103" s="59" t="n"/>
      <c r="H103" s="66" t="str">
        <f>IF(A103="","",COUNTIFS(jr_new,1,jr_type,"BL",jr_tiers,A103,jr_year,p_year))</f>
        <v/>
      </c>
      <c r="I103" s="64" t="str">
        <f>IF(A103="","",SUMIFS(jr_val,jr_type,"BL",jr_tiers,A103,jr_year,p_year))</f>
        <v/>
      </c>
      <c r="J103" s="66" t="str">
        <f>IF(A103="","",COUNTIFS(jr_type,"BL",jr_tiers,A103,jr_rel,"&gt;0"))</f>
        <v/>
      </c>
      <c r="K103" s="60" t="str">
        <f>IF(A103="",IF(B103="","","Code manquant"),IF(COUNTIF($A$6:$A$305,A103)&gt;1,"Code en double",IF(B103="","Raison sociale manquante","OK")))</f>
        <v/>
      </c>
      <c r="L103" s="130" t="str">
        <f>IF(OR(A103="",N(H103)=0),"",H103+I103/1000000000000)</f>
        <v/>
      </c>
      <c r="M103" s="131" t="str">
        <f>IF(L103="","",RANK(L103,$L$6:$L$305)+COUNTIF($L$6:L102,L103))</f>
        <v/>
      </c>
    </row>
    <row r="104">
      <c r="A104" s="129" t="n"/>
      <c r="B104" s="59" t="n"/>
      <c r="C104" s="59" t="n"/>
      <c r="D104" s="59" t="n"/>
      <c r="E104" s="58" t="n"/>
      <c r="F104" s="58" t="n"/>
      <c r="G104" s="59" t="n"/>
      <c r="H104" s="66" t="str">
        <f>IF(A104="","",COUNTIFS(jr_new,1,jr_type,"BL",jr_tiers,A104,jr_year,p_year))</f>
        <v/>
      </c>
      <c r="I104" s="64" t="str">
        <f>IF(A104="","",SUMIFS(jr_val,jr_type,"BL",jr_tiers,A104,jr_year,p_year))</f>
        <v/>
      </c>
      <c r="J104" s="66" t="str">
        <f>IF(A104="","",COUNTIFS(jr_type,"BL",jr_tiers,A104,jr_rel,"&gt;0"))</f>
        <v/>
      </c>
      <c r="K104" s="60" t="str">
        <f>IF(A104="",IF(B104="","","Code manquant"),IF(COUNTIF($A$6:$A$305,A104)&gt;1,"Code en double",IF(B104="","Raison sociale manquante","OK")))</f>
        <v/>
      </c>
      <c r="L104" s="130" t="str">
        <f>IF(OR(A104="",N(H104)=0),"",H104+I104/1000000000000)</f>
        <v/>
      </c>
      <c r="M104" s="131" t="str">
        <f>IF(L104="","",RANK(L104,$L$6:$L$305)+COUNTIF($L$6:L103,L104))</f>
        <v/>
      </c>
    </row>
    <row r="105">
      <c r="A105" s="129" t="n"/>
      <c r="B105" s="59" t="n"/>
      <c r="C105" s="59" t="n"/>
      <c r="D105" s="59" t="n"/>
      <c r="E105" s="58" t="n"/>
      <c r="F105" s="58" t="n"/>
      <c r="G105" s="59" t="n"/>
      <c r="H105" s="66" t="str">
        <f>IF(A105="","",COUNTIFS(jr_new,1,jr_type,"BL",jr_tiers,A105,jr_year,p_year))</f>
        <v/>
      </c>
      <c r="I105" s="64" t="str">
        <f>IF(A105="","",SUMIFS(jr_val,jr_type,"BL",jr_tiers,A105,jr_year,p_year))</f>
        <v/>
      </c>
      <c r="J105" s="66" t="str">
        <f>IF(A105="","",COUNTIFS(jr_type,"BL",jr_tiers,A105,jr_rel,"&gt;0"))</f>
        <v/>
      </c>
      <c r="K105" s="60" t="str">
        <f>IF(A105="",IF(B105="","","Code manquant"),IF(COUNTIF($A$6:$A$305,A105)&gt;1,"Code en double",IF(B105="","Raison sociale manquante","OK")))</f>
        <v/>
      </c>
      <c r="L105" s="130" t="str">
        <f>IF(OR(A105="",N(H105)=0),"",H105+I105/1000000000000)</f>
        <v/>
      </c>
      <c r="M105" s="131" t="str">
        <f>IF(L105="","",RANK(L105,$L$6:$L$305)+COUNTIF($L$6:L104,L105))</f>
        <v/>
      </c>
    </row>
    <row r="106">
      <c r="A106" s="129" t="n"/>
      <c r="B106" s="59" t="n"/>
      <c r="C106" s="59" t="n"/>
      <c r="D106" s="59" t="n"/>
      <c r="E106" s="58" t="n"/>
      <c r="F106" s="58" t="n"/>
      <c r="G106" s="59" t="n"/>
      <c r="H106" s="66" t="str">
        <f>IF(A106="","",COUNTIFS(jr_new,1,jr_type,"BL",jr_tiers,A106,jr_year,p_year))</f>
        <v/>
      </c>
      <c r="I106" s="64" t="str">
        <f>IF(A106="","",SUMIFS(jr_val,jr_type,"BL",jr_tiers,A106,jr_year,p_year))</f>
        <v/>
      </c>
      <c r="J106" s="66" t="str">
        <f>IF(A106="","",COUNTIFS(jr_type,"BL",jr_tiers,A106,jr_rel,"&gt;0"))</f>
        <v/>
      </c>
      <c r="K106" s="60" t="str">
        <f>IF(A106="",IF(B106="","","Code manquant"),IF(COUNTIF($A$6:$A$305,A106)&gt;1,"Code en double",IF(B106="","Raison sociale manquante","OK")))</f>
        <v/>
      </c>
      <c r="L106" s="130" t="str">
        <f>IF(OR(A106="",N(H106)=0),"",H106+I106/1000000000000)</f>
        <v/>
      </c>
      <c r="M106" s="131" t="str">
        <f>IF(L106="","",RANK(L106,$L$6:$L$305)+COUNTIF($L$6:L105,L106))</f>
        <v/>
      </c>
    </row>
    <row r="107">
      <c r="A107" s="129" t="n"/>
      <c r="B107" s="59" t="n"/>
      <c r="C107" s="59" t="n"/>
      <c r="D107" s="59" t="n"/>
      <c r="E107" s="58" t="n"/>
      <c r="F107" s="58" t="n"/>
      <c r="G107" s="59" t="n"/>
      <c r="H107" s="66" t="str">
        <f>IF(A107="","",COUNTIFS(jr_new,1,jr_type,"BL",jr_tiers,A107,jr_year,p_year))</f>
        <v/>
      </c>
      <c r="I107" s="64" t="str">
        <f>IF(A107="","",SUMIFS(jr_val,jr_type,"BL",jr_tiers,A107,jr_year,p_year))</f>
        <v/>
      </c>
      <c r="J107" s="66" t="str">
        <f>IF(A107="","",COUNTIFS(jr_type,"BL",jr_tiers,A107,jr_rel,"&gt;0"))</f>
        <v/>
      </c>
      <c r="K107" s="60" t="str">
        <f>IF(A107="",IF(B107="","","Code manquant"),IF(COUNTIF($A$6:$A$305,A107)&gt;1,"Code en double",IF(B107="","Raison sociale manquante","OK")))</f>
        <v/>
      </c>
      <c r="L107" s="130" t="str">
        <f>IF(OR(A107="",N(H107)=0),"",H107+I107/1000000000000)</f>
        <v/>
      </c>
      <c r="M107" s="131" t="str">
        <f>IF(L107="","",RANK(L107,$L$6:$L$305)+COUNTIF($L$6:L106,L107))</f>
        <v/>
      </c>
    </row>
    <row r="108">
      <c r="A108" s="129" t="n"/>
      <c r="B108" s="59" t="n"/>
      <c r="C108" s="59" t="n"/>
      <c r="D108" s="59" t="n"/>
      <c r="E108" s="58" t="n"/>
      <c r="F108" s="58" t="n"/>
      <c r="G108" s="59" t="n"/>
      <c r="H108" s="66" t="str">
        <f>IF(A108="","",COUNTIFS(jr_new,1,jr_type,"BL",jr_tiers,A108,jr_year,p_year))</f>
        <v/>
      </c>
      <c r="I108" s="64" t="str">
        <f>IF(A108="","",SUMIFS(jr_val,jr_type,"BL",jr_tiers,A108,jr_year,p_year))</f>
        <v/>
      </c>
      <c r="J108" s="66" t="str">
        <f>IF(A108="","",COUNTIFS(jr_type,"BL",jr_tiers,A108,jr_rel,"&gt;0"))</f>
        <v/>
      </c>
      <c r="K108" s="60" t="str">
        <f>IF(A108="",IF(B108="","","Code manquant"),IF(COUNTIF($A$6:$A$305,A108)&gt;1,"Code en double",IF(B108="","Raison sociale manquante","OK")))</f>
        <v/>
      </c>
      <c r="L108" s="130" t="str">
        <f>IF(OR(A108="",N(H108)=0),"",H108+I108/1000000000000)</f>
        <v/>
      </c>
      <c r="M108" s="131" t="str">
        <f>IF(L108="","",RANK(L108,$L$6:$L$305)+COUNTIF($L$6:L107,L108))</f>
        <v/>
      </c>
    </row>
    <row r="109">
      <c r="A109" s="129" t="n"/>
      <c r="B109" s="59" t="n"/>
      <c r="C109" s="59" t="n"/>
      <c r="D109" s="59" t="n"/>
      <c r="E109" s="58" t="n"/>
      <c r="F109" s="58" t="n"/>
      <c r="G109" s="59" t="n"/>
      <c r="H109" s="66" t="str">
        <f>IF(A109="","",COUNTIFS(jr_new,1,jr_type,"BL",jr_tiers,A109,jr_year,p_year))</f>
        <v/>
      </c>
      <c r="I109" s="64" t="str">
        <f>IF(A109="","",SUMIFS(jr_val,jr_type,"BL",jr_tiers,A109,jr_year,p_year))</f>
        <v/>
      </c>
      <c r="J109" s="66" t="str">
        <f>IF(A109="","",COUNTIFS(jr_type,"BL",jr_tiers,A109,jr_rel,"&gt;0"))</f>
        <v/>
      </c>
      <c r="K109" s="60" t="str">
        <f>IF(A109="",IF(B109="","","Code manquant"),IF(COUNTIF($A$6:$A$305,A109)&gt;1,"Code en double",IF(B109="","Raison sociale manquante","OK")))</f>
        <v/>
      </c>
      <c r="L109" s="130" t="str">
        <f>IF(OR(A109="",N(H109)=0),"",H109+I109/1000000000000)</f>
        <v/>
      </c>
      <c r="M109" s="131" t="str">
        <f>IF(L109="","",RANK(L109,$L$6:$L$305)+COUNTIF($L$6:L108,L109))</f>
        <v/>
      </c>
    </row>
    <row r="110">
      <c r="A110" s="129" t="n"/>
      <c r="B110" s="59" t="n"/>
      <c r="C110" s="59" t="n"/>
      <c r="D110" s="59" t="n"/>
      <c r="E110" s="58" t="n"/>
      <c r="F110" s="58" t="n"/>
      <c r="G110" s="59" t="n"/>
      <c r="H110" s="66" t="str">
        <f>IF(A110="","",COUNTIFS(jr_new,1,jr_type,"BL",jr_tiers,A110,jr_year,p_year))</f>
        <v/>
      </c>
      <c r="I110" s="64" t="str">
        <f>IF(A110="","",SUMIFS(jr_val,jr_type,"BL",jr_tiers,A110,jr_year,p_year))</f>
        <v/>
      </c>
      <c r="J110" s="66" t="str">
        <f>IF(A110="","",COUNTIFS(jr_type,"BL",jr_tiers,A110,jr_rel,"&gt;0"))</f>
        <v/>
      </c>
      <c r="K110" s="60" t="str">
        <f>IF(A110="",IF(B110="","","Code manquant"),IF(COUNTIF($A$6:$A$305,A110)&gt;1,"Code en double",IF(B110="","Raison sociale manquante","OK")))</f>
        <v/>
      </c>
      <c r="L110" s="130" t="str">
        <f>IF(OR(A110="",N(H110)=0),"",H110+I110/1000000000000)</f>
        <v/>
      </c>
      <c r="M110" s="131" t="str">
        <f>IF(L110="","",RANK(L110,$L$6:$L$305)+COUNTIF($L$6:L109,L110))</f>
        <v/>
      </c>
    </row>
    <row r="111">
      <c r="A111" s="129" t="n"/>
      <c r="B111" s="59" t="n"/>
      <c r="C111" s="59" t="n"/>
      <c r="D111" s="59" t="n"/>
      <c r="E111" s="58" t="n"/>
      <c r="F111" s="58" t="n"/>
      <c r="G111" s="59" t="n"/>
      <c r="H111" s="66" t="str">
        <f>IF(A111="","",COUNTIFS(jr_new,1,jr_type,"BL",jr_tiers,A111,jr_year,p_year))</f>
        <v/>
      </c>
      <c r="I111" s="64" t="str">
        <f>IF(A111="","",SUMIFS(jr_val,jr_type,"BL",jr_tiers,A111,jr_year,p_year))</f>
        <v/>
      </c>
      <c r="J111" s="66" t="str">
        <f>IF(A111="","",COUNTIFS(jr_type,"BL",jr_tiers,A111,jr_rel,"&gt;0"))</f>
        <v/>
      </c>
      <c r="K111" s="60" t="str">
        <f>IF(A111="",IF(B111="","","Code manquant"),IF(COUNTIF($A$6:$A$305,A111)&gt;1,"Code en double",IF(B111="","Raison sociale manquante","OK")))</f>
        <v/>
      </c>
      <c r="L111" s="130" t="str">
        <f>IF(OR(A111="",N(H111)=0),"",H111+I111/1000000000000)</f>
        <v/>
      </c>
      <c r="M111" s="131" t="str">
        <f>IF(L111="","",RANK(L111,$L$6:$L$305)+COUNTIF($L$6:L110,L111))</f>
        <v/>
      </c>
    </row>
    <row r="112">
      <c r="A112" s="129" t="n"/>
      <c r="B112" s="59" t="n"/>
      <c r="C112" s="59" t="n"/>
      <c r="D112" s="59" t="n"/>
      <c r="E112" s="58" t="n"/>
      <c r="F112" s="58" t="n"/>
      <c r="G112" s="59" t="n"/>
      <c r="H112" s="66" t="str">
        <f>IF(A112="","",COUNTIFS(jr_new,1,jr_type,"BL",jr_tiers,A112,jr_year,p_year))</f>
        <v/>
      </c>
      <c r="I112" s="64" t="str">
        <f>IF(A112="","",SUMIFS(jr_val,jr_type,"BL",jr_tiers,A112,jr_year,p_year))</f>
        <v/>
      </c>
      <c r="J112" s="66" t="str">
        <f>IF(A112="","",COUNTIFS(jr_type,"BL",jr_tiers,A112,jr_rel,"&gt;0"))</f>
        <v/>
      </c>
      <c r="K112" s="60" t="str">
        <f>IF(A112="",IF(B112="","","Code manquant"),IF(COUNTIF($A$6:$A$305,A112)&gt;1,"Code en double",IF(B112="","Raison sociale manquante","OK")))</f>
        <v/>
      </c>
      <c r="L112" s="130" t="str">
        <f>IF(OR(A112="",N(H112)=0),"",H112+I112/1000000000000)</f>
        <v/>
      </c>
      <c r="M112" s="131" t="str">
        <f>IF(L112="","",RANK(L112,$L$6:$L$305)+COUNTIF($L$6:L111,L112))</f>
        <v/>
      </c>
    </row>
    <row r="113">
      <c r="A113" s="129" t="n"/>
      <c r="B113" s="59" t="n"/>
      <c r="C113" s="59" t="n"/>
      <c r="D113" s="59" t="n"/>
      <c r="E113" s="58" t="n"/>
      <c r="F113" s="58" t="n"/>
      <c r="G113" s="59" t="n"/>
      <c r="H113" s="66" t="str">
        <f>IF(A113="","",COUNTIFS(jr_new,1,jr_type,"BL",jr_tiers,A113,jr_year,p_year))</f>
        <v/>
      </c>
      <c r="I113" s="64" t="str">
        <f>IF(A113="","",SUMIFS(jr_val,jr_type,"BL",jr_tiers,A113,jr_year,p_year))</f>
        <v/>
      </c>
      <c r="J113" s="66" t="str">
        <f>IF(A113="","",COUNTIFS(jr_type,"BL",jr_tiers,A113,jr_rel,"&gt;0"))</f>
        <v/>
      </c>
      <c r="K113" s="60" t="str">
        <f>IF(A113="",IF(B113="","","Code manquant"),IF(COUNTIF($A$6:$A$305,A113)&gt;1,"Code en double",IF(B113="","Raison sociale manquante","OK")))</f>
        <v/>
      </c>
      <c r="L113" s="130" t="str">
        <f>IF(OR(A113="",N(H113)=0),"",H113+I113/1000000000000)</f>
        <v/>
      </c>
      <c r="M113" s="131" t="str">
        <f>IF(L113="","",RANK(L113,$L$6:$L$305)+COUNTIF($L$6:L112,L113))</f>
        <v/>
      </c>
    </row>
    <row r="114">
      <c r="A114" s="129" t="n"/>
      <c r="B114" s="59" t="n"/>
      <c r="C114" s="59" t="n"/>
      <c r="D114" s="59" t="n"/>
      <c r="E114" s="58" t="n"/>
      <c r="F114" s="58" t="n"/>
      <c r="G114" s="59" t="n"/>
      <c r="H114" s="66" t="str">
        <f>IF(A114="","",COUNTIFS(jr_new,1,jr_type,"BL",jr_tiers,A114,jr_year,p_year))</f>
        <v/>
      </c>
      <c r="I114" s="64" t="str">
        <f>IF(A114="","",SUMIFS(jr_val,jr_type,"BL",jr_tiers,A114,jr_year,p_year))</f>
        <v/>
      </c>
      <c r="J114" s="66" t="str">
        <f>IF(A114="","",COUNTIFS(jr_type,"BL",jr_tiers,A114,jr_rel,"&gt;0"))</f>
        <v/>
      </c>
      <c r="K114" s="60" t="str">
        <f>IF(A114="",IF(B114="","","Code manquant"),IF(COUNTIF($A$6:$A$305,A114)&gt;1,"Code en double",IF(B114="","Raison sociale manquante","OK")))</f>
        <v/>
      </c>
      <c r="L114" s="130" t="str">
        <f>IF(OR(A114="",N(H114)=0),"",H114+I114/1000000000000)</f>
        <v/>
      </c>
      <c r="M114" s="131" t="str">
        <f>IF(L114="","",RANK(L114,$L$6:$L$305)+COUNTIF($L$6:L113,L114))</f>
        <v/>
      </c>
    </row>
    <row r="115">
      <c r="A115" s="129" t="n"/>
      <c r="B115" s="59" t="n"/>
      <c r="C115" s="59" t="n"/>
      <c r="D115" s="59" t="n"/>
      <c r="E115" s="58" t="n"/>
      <c r="F115" s="58" t="n"/>
      <c r="G115" s="59" t="n"/>
      <c r="H115" s="66" t="str">
        <f>IF(A115="","",COUNTIFS(jr_new,1,jr_type,"BL",jr_tiers,A115,jr_year,p_year))</f>
        <v/>
      </c>
      <c r="I115" s="64" t="str">
        <f>IF(A115="","",SUMIFS(jr_val,jr_type,"BL",jr_tiers,A115,jr_year,p_year))</f>
        <v/>
      </c>
      <c r="J115" s="66" t="str">
        <f>IF(A115="","",COUNTIFS(jr_type,"BL",jr_tiers,A115,jr_rel,"&gt;0"))</f>
        <v/>
      </c>
      <c r="K115" s="60" t="str">
        <f>IF(A115="",IF(B115="","","Code manquant"),IF(COUNTIF($A$6:$A$305,A115)&gt;1,"Code en double",IF(B115="","Raison sociale manquante","OK")))</f>
        <v/>
      </c>
      <c r="L115" s="130" t="str">
        <f>IF(OR(A115="",N(H115)=0),"",H115+I115/1000000000000)</f>
        <v/>
      </c>
      <c r="M115" s="131" t="str">
        <f>IF(L115="","",RANK(L115,$L$6:$L$305)+COUNTIF($L$6:L114,L115))</f>
        <v/>
      </c>
    </row>
    <row r="116">
      <c r="A116" s="129" t="n"/>
      <c r="B116" s="59" t="n"/>
      <c r="C116" s="59" t="n"/>
      <c r="D116" s="59" t="n"/>
      <c r="E116" s="58" t="n"/>
      <c r="F116" s="58" t="n"/>
      <c r="G116" s="59" t="n"/>
      <c r="H116" s="66" t="str">
        <f>IF(A116="","",COUNTIFS(jr_new,1,jr_type,"BL",jr_tiers,A116,jr_year,p_year))</f>
        <v/>
      </c>
      <c r="I116" s="64" t="str">
        <f>IF(A116="","",SUMIFS(jr_val,jr_type,"BL",jr_tiers,A116,jr_year,p_year))</f>
        <v/>
      </c>
      <c r="J116" s="66" t="str">
        <f>IF(A116="","",COUNTIFS(jr_type,"BL",jr_tiers,A116,jr_rel,"&gt;0"))</f>
        <v/>
      </c>
      <c r="K116" s="60" t="str">
        <f>IF(A116="",IF(B116="","","Code manquant"),IF(COUNTIF($A$6:$A$305,A116)&gt;1,"Code en double",IF(B116="","Raison sociale manquante","OK")))</f>
        <v/>
      </c>
      <c r="L116" s="130" t="str">
        <f>IF(OR(A116="",N(H116)=0),"",H116+I116/1000000000000)</f>
        <v/>
      </c>
      <c r="M116" s="131" t="str">
        <f>IF(L116="","",RANK(L116,$L$6:$L$305)+COUNTIF($L$6:L115,L116))</f>
        <v/>
      </c>
    </row>
    <row r="117">
      <c r="A117" s="129" t="n"/>
      <c r="B117" s="59" t="n"/>
      <c r="C117" s="59" t="n"/>
      <c r="D117" s="59" t="n"/>
      <c r="E117" s="58" t="n"/>
      <c r="F117" s="58" t="n"/>
      <c r="G117" s="59" t="n"/>
      <c r="H117" s="66" t="str">
        <f>IF(A117="","",COUNTIFS(jr_new,1,jr_type,"BL",jr_tiers,A117,jr_year,p_year))</f>
        <v/>
      </c>
      <c r="I117" s="64" t="str">
        <f>IF(A117="","",SUMIFS(jr_val,jr_type,"BL",jr_tiers,A117,jr_year,p_year))</f>
        <v/>
      </c>
      <c r="J117" s="66" t="str">
        <f>IF(A117="","",COUNTIFS(jr_type,"BL",jr_tiers,A117,jr_rel,"&gt;0"))</f>
        <v/>
      </c>
      <c r="K117" s="60" t="str">
        <f>IF(A117="",IF(B117="","","Code manquant"),IF(COUNTIF($A$6:$A$305,A117)&gt;1,"Code en double",IF(B117="","Raison sociale manquante","OK")))</f>
        <v/>
      </c>
      <c r="L117" s="130" t="str">
        <f>IF(OR(A117="",N(H117)=0),"",H117+I117/1000000000000)</f>
        <v/>
      </c>
      <c r="M117" s="131" t="str">
        <f>IF(L117="","",RANK(L117,$L$6:$L$305)+COUNTIF($L$6:L116,L117))</f>
        <v/>
      </c>
    </row>
    <row r="118">
      <c r="A118" s="129" t="n"/>
      <c r="B118" s="59" t="n"/>
      <c r="C118" s="59" t="n"/>
      <c r="D118" s="59" t="n"/>
      <c r="E118" s="58" t="n"/>
      <c r="F118" s="58" t="n"/>
      <c r="G118" s="59" t="n"/>
      <c r="H118" s="66" t="str">
        <f>IF(A118="","",COUNTIFS(jr_new,1,jr_type,"BL",jr_tiers,A118,jr_year,p_year))</f>
        <v/>
      </c>
      <c r="I118" s="64" t="str">
        <f>IF(A118="","",SUMIFS(jr_val,jr_type,"BL",jr_tiers,A118,jr_year,p_year))</f>
        <v/>
      </c>
      <c r="J118" s="66" t="str">
        <f>IF(A118="","",COUNTIFS(jr_type,"BL",jr_tiers,A118,jr_rel,"&gt;0"))</f>
        <v/>
      </c>
      <c r="K118" s="60" t="str">
        <f>IF(A118="",IF(B118="","","Code manquant"),IF(COUNTIF($A$6:$A$305,A118)&gt;1,"Code en double",IF(B118="","Raison sociale manquante","OK")))</f>
        <v/>
      </c>
      <c r="L118" s="130" t="str">
        <f>IF(OR(A118="",N(H118)=0),"",H118+I118/1000000000000)</f>
        <v/>
      </c>
      <c r="M118" s="131" t="str">
        <f>IF(L118="","",RANK(L118,$L$6:$L$305)+COUNTIF($L$6:L117,L118))</f>
        <v/>
      </c>
    </row>
    <row r="119">
      <c r="A119" s="129" t="n"/>
      <c r="B119" s="59" t="n"/>
      <c r="C119" s="59" t="n"/>
      <c r="D119" s="59" t="n"/>
      <c r="E119" s="58" t="n"/>
      <c r="F119" s="58" t="n"/>
      <c r="G119" s="59" t="n"/>
      <c r="H119" s="66" t="str">
        <f>IF(A119="","",COUNTIFS(jr_new,1,jr_type,"BL",jr_tiers,A119,jr_year,p_year))</f>
        <v/>
      </c>
      <c r="I119" s="64" t="str">
        <f>IF(A119="","",SUMIFS(jr_val,jr_type,"BL",jr_tiers,A119,jr_year,p_year))</f>
        <v/>
      </c>
      <c r="J119" s="66" t="str">
        <f>IF(A119="","",COUNTIFS(jr_type,"BL",jr_tiers,A119,jr_rel,"&gt;0"))</f>
        <v/>
      </c>
      <c r="K119" s="60" t="str">
        <f>IF(A119="",IF(B119="","","Code manquant"),IF(COUNTIF($A$6:$A$305,A119)&gt;1,"Code en double",IF(B119="","Raison sociale manquante","OK")))</f>
        <v/>
      </c>
      <c r="L119" s="130" t="str">
        <f>IF(OR(A119="",N(H119)=0),"",H119+I119/1000000000000)</f>
        <v/>
      </c>
      <c r="M119" s="131" t="str">
        <f>IF(L119="","",RANK(L119,$L$6:$L$305)+COUNTIF($L$6:L118,L119))</f>
        <v/>
      </c>
    </row>
    <row r="120">
      <c r="A120" s="129" t="n"/>
      <c r="B120" s="59" t="n"/>
      <c r="C120" s="59" t="n"/>
      <c r="D120" s="59" t="n"/>
      <c r="E120" s="58" t="n"/>
      <c r="F120" s="58" t="n"/>
      <c r="G120" s="59" t="n"/>
      <c r="H120" s="66" t="str">
        <f>IF(A120="","",COUNTIFS(jr_new,1,jr_type,"BL",jr_tiers,A120,jr_year,p_year))</f>
        <v/>
      </c>
      <c r="I120" s="64" t="str">
        <f>IF(A120="","",SUMIFS(jr_val,jr_type,"BL",jr_tiers,A120,jr_year,p_year))</f>
        <v/>
      </c>
      <c r="J120" s="66" t="str">
        <f>IF(A120="","",COUNTIFS(jr_type,"BL",jr_tiers,A120,jr_rel,"&gt;0"))</f>
        <v/>
      </c>
      <c r="K120" s="60" t="str">
        <f>IF(A120="",IF(B120="","","Code manquant"),IF(COUNTIF($A$6:$A$305,A120)&gt;1,"Code en double",IF(B120="","Raison sociale manquante","OK")))</f>
        <v/>
      </c>
      <c r="L120" s="130" t="str">
        <f>IF(OR(A120="",N(H120)=0),"",H120+I120/1000000000000)</f>
        <v/>
      </c>
      <c r="M120" s="131" t="str">
        <f>IF(L120="","",RANK(L120,$L$6:$L$305)+COUNTIF($L$6:L119,L120))</f>
        <v/>
      </c>
    </row>
    <row r="121">
      <c r="A121" s="129" t="n"/>
      <c r="B121" s="59" t="n"/>
      <c r="C121" s="59" t="n"/>
      <c r="D121" s="59" t="n"/>
      <c r="E121" s="58" t="n"/>
      <c r="F121" s="58" t="n"/>
      <c r="G121" s="59" t="n"/>
      <c r="H121" s="66" t="str">
        <f>IF(A121="","",COUNTIFS(jr_new,1,jr_type,"BL",jr_tiers,A121,jr_year,p_year))</f>
        <v/>
      </c>
      <c r="I121" s="64" t="str">
        <f>IF(A121="","",SUMIFS(jr_val,jr_type,"BL",jr_tiers,A121,jr_year,p_year))</f>
        <v/>
      </c>
      <c r="J121" s="66" t="str">
        <f>IF(A121="","",COUNTIFS(jr_type,"BL",jr_tiers,A121,jr_rel,"&gt;0"))</f>
        <v/>
      </c>
      <c r="K121" s="60" t="str">
        <f>IF(A121="",IF(B121="","","Code manquant"),IF(COUNTIF($A$6:$A$305,A121)&gt;1,"Code en double",IF(B121="","Raison sociale manquante","OK")))</f>
        <v/>
      </c>
      <c r="L121" s="130" t="str">
        <f>IF(OR(A121="",N(H121)=0),"",H121+I121/1000000000000)</f>
        <v/>
      </c>
      <c r="M121" s="131" t="str">
        <f>IF(L121="","",RANK(L121,$L$6:$L$305)+COUNTIF($L$6:L120,L121))</f>
        <v/>
      </c>
    </row>
    <row r="122">
      <c r="A122" s="129" t="n"/>
      <c r="B122" s="59" t="n"/>
      <c r="C122" s="59" t="n"/>
      <c r="D122" s="59" t="n"/>
      <c r="E122" s="58" t="n"/>
      <c r="F122" s="58" t="n"/>
      <c r="G122" s="59" t="n"/>
      <c r="H122" s="66" t="str">
        <f>IF(A122="","",COUNTIFS(jr_new,1,jr_type,"BL",jr_tiers,A122,jr_year,p_year))</f>
        <v/>
      </c>
      <c r="I122" s="64" t="str">
        <f>IF(A122="","",SUMIFS(jr_val,jr_type,"BL",jr_tiers,A122,jr_year,p_year))</f>
        <v/>
      </c>
      <c r="J122" s="66" t="str">
        <f>IF(A122="","",COUNTIFS(jr_type,"BL",jr_tiers,A122,jr_rel,"&gt;0"))</f>
        <v/>
      </c>
      <c r="K122" s="60" t="str">
        <f>IF(A122="",IF(B122="","","Code manquant"),IF(COUNTIF($A$6:$A$305,A122)&gt;1,"Code en double",IF(B122="","Raison sociale manquante","OK")))</f>
        <v/>
      </c>
      <c r="L122" s="130" t="str">
        <f>IF(OR(A122="",N(H122)=0),"",H122+I122/1000000000000)</f>
        <v/>
      </c>
      <c r="M122" s="131" t="str">
        <f>IF(L122="","",RANK(L122,$L$6:$L$305)+COUNTIF($L$6:L121,L122))</f>
        <v/>
      </c>
    </row>
    <row r="123">
      <c r="A123" s="129" t="n"/>
      <c r="B123" s="59" t="n"/>
      <c r="C123" s="59" t="n"/>
      <c r="D123" s="59" t="n"/>
      <c r="E123" s="58" t="n"/>
      <c r="F123" s="58" t="n"/>
      <c r="G123" s="59" t="n"/>
      <c r="H123" s="66" t="str">
        <f>IF(A123="","",COUNTIFS(jr_new,1,jr_type,"BL",jr_tiers,A123,jr_year,p_year))</f>
        <v/>
      </c>
      <c r="I123" s="64" t="str">
        <f>IF(A123="","",SUMIFS(jr_val,jr_type,"BL",jr_tiers,A123,jr_year,p_year))</f>
        <v/>
      </c>
      <c r="J123" s="66" t="str">
        <f>IF(A123="","",COUNTIFS(jr_type,"BL",jr_tiers,A123,jr_rel,"&gt;0"))</f>
        <v/>
      </c>
      <c r="K123" s="60" t="str">
        <f>IF(A123="",IF(B123="","","Code manquant"),IF(COUNTIF($A$6:$A$305,A123)&gt;1,"Code en double",IF(B123="","Raison sociale manquante","OK")))</f>
        <v/>
      </c>
      <c r="L123" s="130" t="str">
        <f>IF(OR(A123="",N(H123)=0),"",H123+I123/1000000000000)</f>
        <v/>
      </c>
      <c r="M123" s="131" t="str">
        <f>IF(L123="","",RANK(L123,$L$6:$L$305)+COUNTIF($L$6:L122,L123))</f>
        <v/>
      </c>
    </row>
    <row r="124">
      <c r="A124" s="129" t="n"/>
      <c r="B124" s="59" t="n"/>
      <c r="C124" s="59" t="n"/>
      <c r="D124" s="59" t="n"/>
      <c r="E124" s="58" t="n"/>
      <c r="F124" s="58" t="n"/>
      <c r="G124" s="59" t="n"/>
      <c r="H124" s="66" t="str">
        <f>IF(A124="","",COUNTIFS(jr_new,1,jr_type,"BL",jr_tiers,A124,jr_year,p_year))</f>
        <v/>
      </c>
      <c r="I124" s="64" t="str">
        <f>IF(A124="","",SUMIFS(jr_val,jr_type,"BL",jr_tiers,A124,jr_year,p_year))</f>
        <v/>
      </c>
      <c r="J124" s="66" t="str">
        <f>IF(A124="","",COUNTIFS(jr_type,"BL",jr_tiers,A124,jr_rel,"&gt;0"))</f>
        <v/>
      </c>
      <c r="K124" s="60" t="str">
        <f>IF(A124="",IF(B124="","","Code manquant"),IF(COUNTIF($A$6:$A$305,A124)&gt;1,"Code en double",IF(B124="","Raison sociale manquante","OK")))</f>
        <v/>
      </c>
      <c r="L124" s="130" t="str">
        <f>IF(OR(A124="",N(H124)=0),"",H124+I124/1000000000000)</f>
        <v/>
      </c>
      <c r="M124" s="131" t="str">
        <f>IF(L124="","",RANK(L124,$L$6:$L$305)+COUNTIF($L$6:L123,L124))</f>
        <v/>
      </c>
    </row>
    <row r="125">
      <c r="A125" s="129" t="n"/>
      <c r="B125" s="59" t="n"/>
      <c r="C125" s="59" t="n"/>
      <c r="D125" s="59" t="n"/>
      <c r="E125" s="58" t="n"/>
      <c r="F125" s="58" t="n"/>
      <c r="G125" s="59" t="n"/>
      <c r="H125" s="66" t="str">
        <f>IF(A125="","",COUNTIFS(jr_new,1,jr_type,"BL",jr_tiers,A125,jr_year,p_year))</f>
        <v/>
      </c>
      <c r="I125" s="64" t="str">
        <f>IF(A125="","",SUMIFS(jr_val,jr_type,"BL",jr_tiers,A125,jr_year,p_year))</f>
        <v/>
      </c>
      <c r="J125" s="66" t="str">
        <f>IF(A125="","",COUNTIFS(jr_type,"BL",jr_tiers,A125,jr_rel,"&gt;0"))</f>
        <v/>
      </c>
      <c r="K125" s="60" t="str">
        <f>IF(A125="",IF(B125="","","Code manquant"),IF(COUNTIF($A$6:$A$305,A125)&gt;1,"Code en double",IF(B125="","Raison sociale manquante","OK")))</f>
        <v/>
      </c>
      <c r="L125" s="130" t="str">
        <f>IF(OR(A125="",N(H125)=0),"",H125+I125/1000000000000)</f>
        <v/>
      </c>
      <c r="M125" s="131" t="str">
        <f>IF(L125="","",RANK(L125,$L$6:$L$305)+COUNTIF($L$6:L124,L125))</f>
        <v/>
      </c>
    </row>
    <row r="126">
      <c r="A126" s="129" t="n"/>
      <c r="B126" s="59" t="n"/>
      <c r="C126" s="59" t="n"/>
      <c r="D126" s="59" t="n"/>
      <c r="E126" s="58" t="n"/>
      <c r="F126" s="58" t="n"/>
      <c r="G126" s="59" t="n"/>
      <c r="H126" s="66" t="str">
        <f>IF(A126="","",COUNTIFS(jr_new,1,jr_type,"BL",jr_tiers,A126,jr_year,p_year))</f>
        <v/>
      </c>
      <c r="I126" s="64" t="str">
        <f>IF(A126="","",SUMIFS(jr_val,jr_type,"BL",jr_tiers,A126,jr_year,p_year))</f>
        <v/>
      </c>
      <c r="J126" s="66" t="str">
        <f>IF(A126="","",COUNTIFS(jr_type,"BL",jr_tiers,A126,jr_rel,"&gt;0"))</f>
        <v/>
      </c>
      <c r="K126" s="60" t="str">
        <f>IF(A126="",IF(B126="","","Code manquant"),IF(COUNTIF($A$6:$A$305,A126)&gt;1,"Code en double",IF(B126="","Raison sociale manquante","OK")))</f>
        <v/>
      </c>
      <c r="L126" s="130" t="str">
        <f>IF(OR(A126="",N(H126)=0),"",H126+I126/1000000000000)</f>
        <v/>
      </c>
      <c r="M126" s="131" t="str">
        <f>IF(L126="","",RANK(L126,$L$6:$L$305)+COUNTIF($L$6:L125,L126))</f>
        <v/>
      </c>
    </row>
    <row r="127">
      <c r="A127" s="129" t="n"/>
      <c r="B127" s="59" t="n"/>
      <c r="C127" s="59" t="n"/>
      <c r="D127" s="59" t="n"/>
      <c r="E127" s="58" t="n"/>
      <c r="F127" s="58" t="n"/>
      <c r="G127" s="59" t="n"/>
      <c r="H127" s="66" t="str">
        <f>IF(A127="","",COUNTIFS(jr_new,1,jr_type,"BL",jr_tiers,A127,jr_year,p_year))</f>
        <v/>
      </c>
      <c r="I127" s="64" t="str">
        <f>IF(A127="","",SUMIFS(jr_val,jr_type,"BL",jr_tiers,A127,jr_year,p_year))</f>
        <v/>
      </c>
      <c r="J127" s="66" t="str">
        <f>IF(A127="","",COUNTIFS(jr_type,"BL",jr_tiers,A127,jr_rel,"&gt;0"))</f>
        <v/>
      </c>
      <c r="K127" s="60" t="str">
        <f>IF(A127="",IF(B127="","","Code manquant"),IF(COUNTIF($A$6:$A$305,A127)&gt;1,"Code en double",IF(B127="","Raison sociale manquante","OK")))</f>
        <v/>
      </c>
      <c r="L127" s="130" t="str">
        <f>IF(OR(A127="",N(H127)=0),"",H127+I127/1000000000000)</f>
        <v/>
      </c>
      <c r="M127" s="131" t="str">
        <f>IF(L127="","",RANK(L127,$L$6:$L$305)+COUNTIF($L$6:L126,L127))</f>
        <v/>
      </c>
    </row>
    <row r="128">
      <c r="A128" s="129" t="n"/>
      <c r="B128" s="59" t="n"/>
      <c r="C128" s="59" t="n"/>
      <c r="D128" s="59" t="n"/>
      <c r="E128" s="58" t="n"/>
      <c r="F128" s="58" t="n"/>
      <c r="G128" s="59" t="n"/>
      <c r="H128" s="66" t="str">
        <f>IF(A128="","",COUNTIFS(jr_new,1,jr_type,"BL",jr_tiers,A128,jr_year,p_year))</f>
        <v/>
      </c>
      <c r="I128" s="64" t="str">
        <f>IF(A128="","",SUMIFS(jr_val,jr_type,"BL",jr_tiers,A128,jr_year,p_year))</f>
        <v/>
      </c>
      <c r="J128" s="66" t="str">
        <f>IF(A128="","",COUNTIFS(jr_type,"BL",jr_tiers,A128,jr_rel,"&gt;0"))</f>
        <v/>
      </c>
      <c r="K128" s="60" t="str">
        <f>IF(A128="",IF(B128="","","Code manquant"),IF(COUNTIF($A$6:$A$305,A128)&gt;1,"Code en double",IF(B128="","Raison sociale manquante","OK")))</f>
        <v/>
      </c>
      <c r="L128" s="130" t="str">
        <f>IF(OR(A128="",N(H128)=0),"",H128+I128/1000000000000)</f>
        <v/>
      </c>
      <c r="M128" s="131" t="str">
        <f>IF(L128="","",RANK(L128,$L$6:$L$305)+COUNTIF($L$6:L127,L128))</f>
        <v/>
      </c>
    </row>
    <row r="129">
      <c r="A129" s="129" t="n"/>
      <c r="B129" s="59" t="n"/>
      <c r="C129" s="59" t="n"/>
      <c r="D129" s="59" t="n"/>
      <c r="E129" s="58" t="n"/>
      <c r="F129" s="58" t="n"/>
      <c r="G129" s="59" t="n"/>
      <c r="H129" s="66" t="str">
        <f>IF(A129="","",COUNTIFS(jr_new,1,jr_type,"BL",jr_tiers,A129,jr_year,p_year))</f>
        <v/>
      </c>
      <c r="I129" s="64" t="str">
        <f>IF(A129="","",SUMIFS(jr_val,jr_type,"BL",jr_tiers,A129,jr_year,p_year))</f>
        <v/>
      </c>
      <c r="J129" s="66" t="str">
        <f>IF(A129="","",COUNTIFS(jr_type,"BL",jr_tiers,A129,jr_rel,"&gt;0"))</f>
        <v/>
      </c>
      <c r="K129" s="60" t="str">
        <f>IF(A129="",IF(B129="","","Code manquant"),IF(COUNTIF($A$6:$A$305,A129)&gt;1,"Code en double",IF(B129="","Raison sociale manquante","OK")))</f>
        <v/>
      </c>
      <c r="L129" s="130" t="str">
        <f>IF(OR(A129="",N(H129)=0),"",H129+I129/1000000000000)</f>
        <v/>
      </c>
      <c r="M129" s="131" t="str">
        <f>IF(L129="","",RANK(L129,$L$6:$L$305)+COUNTIF($L$6:L128,L129))</f>
        <v/>
      </c>
    </row>
    <row r="130">
      <c r="A130" s="129" t="n"/>
      <c r="B130" s="59" t="n"/>
      <c r="C130" s="59" t="n"/>
      <c r="D130" s="59" t="n"/>
      <c r="E130" s="58" t="n"/>
      <c r="F130" s="58" t="n"/>
      <c r="G130" s="59" t="n"/>
      <c r="H130" s="66" t="str">
        <f>IF(A130="","",COUNTIFS(jr_new,1,jr_type,"BL",jr_tiers,A130,jr_year,p_year))</f>
        <v/>
      </c>
      <c r="I130" s="64" t="str">
        <f>IF(A130="","",SUMIFS(jr_val,jr_type,"BL",jr_tiers,A130,jr_year,p_year))</f>
        <v/>
      </c>
      <c r="J130" s="66" t="str">
        <f>IF(A130="","",COUNTIFS(jr_type,"BL",jr_tiers,A130,jr_rel,"&gt;0"))</f>
        <v/>
      </c>
      <c r="K130" s="60" t="str">
        <f>IF(A130="",IF(B130="","","Code manquant"),IF(COUNTIF($A$6:$A$305,A130)&gt;1,"Code en double",IF(B130="","Raison sociale manquante","OK")))</f>
        <v/>
      </c>
      <c r="L130" s="130" t="str">
        <f>IF(OR(A130="",N(H130)=0),"",H130+I130/1000000000000)</f>
        <v/>
      </c>
      <c r="M130" s="131" t="str">
        <f>IF(L130="","",RANK(L130,$L$6:$L$305)+COUNTIF($L$6:L129,L130))</f>
        <v/>
      </c>
    </row>
    <row r="131">
      <c r="A131" s="129" t="n"/>
      <c r="B131" s="59" t="n"/>
      <c r="C131" s="59" t="n"/>
      <c r="D131" s="59" t="n"/>
      <c r="E131" s="58" t="n"/>
      <c r="F131" s="58" t="n"/>
      <c r="G131" s="59" t="n"/>
      <c r="H131" s="66" t="str">
        <f>IF(A131="","",COUNTIFS(jr_new,1,jr_type,"BL",jr_tiers,A131,jr_year,p_year))</f>
        <v/>
      </c>
      <c r="I131" s="64" t="str">
        <f>IF(A131="","",SUMIFS(jr_val,jr_type,"BL",jr_tiers,A131,jr_year,p_year))</f>
        <v/>
      </c>
      <c r="J131" s="66" t="str">
        <f>IF(A131="","",COUNTIFS(jr_type,"BL",jr_tiers,A131,jr_rel,"&gt;0"))</f>
        <v/>
      </c>
      <c r="K131" s="60" t="str">
        <f>IF(A131="",IF(B131="","","Code manquant"),IF(COUNTIF($A$6:$A$305,A131)&gt;1,"Code en double",IF(B131="","Raison sociale manquante","OK")))</f>
        <v/>
      </c>
      <c r="L131" s="130" t="str">
        <f>IF(OR(A131="",N(H131)=0),"",H131+I131/1000000000000)</f>
        <v/>
      </c>
      <c r="M131" s="131" t="str">
        <f>IF(L131="","",RANK(L131,$L$6:$L$305)+COUNTIF($L$6:L130,L131))</f>
        <v/>
      </c>
    </row>
    <row r="132">
      <c r="A132" s="129" t="n"/>
      <c r="B132" s="59" t="n"/>
      <c r="C132" s="59" t="n"/>
      <c r="D132" s="59" t="n"/>
      <c r="E132" s="58" t="n"/>
      <c r="F132" s="58" t="n"/>
      <c r="G132" s="59" t="n"/>
      <c r="H132" s="66" t="str">
        <f>IF(A132="","",COUNTIFS(jr_new,1,jr_type,"BL",jr_tiers,A132,jr_year,p_year))</f>
        <v/>
      </c>
      <c r="I132" s="64" t="str">
        <f>IF(A132="","",SUMIFS(jr_val,jr_type,"BL",jr_tiers,A132,jr_year,p_year))</f>
        <v/>
      </c>
      <c r="J132" s="66" t="str">
        <f>IF(A132="","",COUNTIFS(jr_type,"BL",jr_tiers,A132,jr_rel,"&gt;0"))</f>
        <v/>
      </c>
      <c r="K132" s="60" t="str">
        <f>IF(A132="",IF(B132="","","Code manquant"),IF(COUNTIF($A$6:$A$305,A132)&gt;1,"Code en double",IF(B132="","Raison sociale manquante","OK")))</f>
        <v/>
      </c>
      <c r="L132" s="130" t="str">
        <f>IF(OR(A132="",N(H132)=0),"",H132+I132/1000000000000)</f>
        <v/>
      </c>
      <c r="M132" s="131" t="str">
        <f>IF(L132="","",RANK(L132,$L$6:$L$305)+COUNTIF($L$6:L131,L132))</f>
        <v/>
      </c>
    </row>
    <row r="133">
      <c r="A133" s="129" t="n"/>
      <c r="B133" s="59" t="n"/>
      <c r="C133" s="59" t="n"/>
      <c r="D133" s="59" t="n"/>
      <c r="E133" s="58" t="n"/>
      <c r="F133" s="58" t="n"/>
      <c r="G133" s="59" t="n"/>
      <c r="H133" s="66" t="str">
        <f>IF(A133="","",COUNTIFS(jr_new,1,jr_type,"BL",jr_tiers,A133,jr_year,p_year))</f>
        <v/>
      </c>
      <c r="I133" s="64" t="str">
        <f>IF(A133="","",SUMIFS(jr_val,jr_type,"BL",jr_tiers,A133,jr_year,p_year))</f>
        <v/>
      </c>
      <c r="J133" s="66" t="str">
        <f>IF(A133="","",COUNTIFS(jr_type,"BL",jr_tiers,A133,jr_rel,"&gt;0"))</f>
        <v/>
      </c>
      <c r="K133" s="60" t="str">
        <f>IF(A133="",IF(B133="","","Code manquant"),IF(COUNTIF($A$6:$A$305,A133)&gt;1,"Code en double",IF(B133="","Raison sociale manquante","OK")))</f>
        <v/>
      </c>
      <c r="L133" s="130" t="str">
        <f>IF(OR(A133="",N(H133)=0),"",H133+I133/1000000000000)</f>
        <v/>
      </c>
      <c r="M133" s="131" t="str">
        <f>IF(L133="","",RANK(L133,$L$6:$L$305)+COUNTIF($L$6:L132,L133))</f>
        <v/>
      </c>
    </row>
    <row r="134">
      <c r="A134" s="129" t="n"/>
      <c r="B134" s="59" t="n"/>
      <c r="C134" s="59" t="n"/>
      <c r="D134" s="59" t="n"/>
      <c r="E134" s="58" t="n"/>
      <c r="F134" s="58" t="n"/>
      <c r="G134" s="59" t="n"/>
      <c r="H134" s="66" t="str">
        <f>IF(A134="","",COUNTIFS(jr_new,1,jr_type,"BL",jr_tiers,A134,jr_year,p_year))</f>
        <v/>
      </c>
      <c r="I134" s="64" t="str">
        <f>IF(A134="","",SUMIFS(jr_val,jr_type,"BL",jr_tiers,A134,jr_year,p_year))</f>
        <v/>
      </c>
      <c r="J134" s="66" t="str">
        <f>IF(A134="","",COUNTIFS(jr_type,"BL",jr_tiers,A134,jr_rel,"&gt;0"))</f>
        <v/>
      </c>
      <c r="K134" s="60" t="str">
        <f>IF(A134="",IF(B134="","","Code manquant"),IF(COUNTIF($A$6:$A$305,A134)&gt;1,"Code en double",IF(B134="","Raison sociale manquante","OK")))</f>
        <v/>
      </c>
      <c r="L134" s="130" t="str">
        <f>IF(OR(A134="",N(H134)=0),"",H134+I134/1000000000000)</f>
        <v/>
      </c>
      <c r="M134" s="131" t="str">
        <f>IF(L134="","",RANK(L134,$L$6:$L$305)+COUNTIF($L$6:L133,L134))</f>
        <v/>
      </c>
    </row>
    <row r="135">
      <c r="A135" s="129" t="n"/>
      <c r="B135" s="59" t="n"/>
      <c r="C135" s="59" t="n"/>
      <c r="D135" s="59" t="n"/>
      <c r="E135" s="58" t="n"/>
      <c r="F135" s="58" t="n"/>
      <c r="G135" s="59" t="n"/>
      <c r="H135" s="66" t="str">
        <f>IF(A135="","",COUNTIFS(jr_new,1,jr_type,"BL",jr_tiers,A135,jr_year,p_year))</f>
        <v/>
      </c>
      <c r="I135" s="64" t="str">
        <f>IF(A135="","",SUMIFS(jr_val,jr_type,"BL",jr_tiers,A135,jr_year,p_year))</f>
        <v/>
      </c>
      <c r="J135" s="66" t="str">
        <f>IF(A135="","",COUNTIFS(jr_type,"BL",jr_tiers,A135,jr_rel,"&gt;0"))</f>
        <v/>
      </c>
      <c r="K135" s="60" t="str">
        <f>IF(A135="",IF(B135="","","Code manquant"),IF(COUNTIF($A$6:$A$305,A135)&gt;1,"Code en double",IF(B135="","Raison sociale manquante","OK")))</f>
        <v/>
      </c>
      <c r="L135" s="130" t="str">
        <f>IF(OR(A135="",N(H135)=0),"",H135+I135/1000000000000)</f>
        <v/>
      </c>
      <c r="M135" s="131" t="str">
        <f>IF(L135="","",RANK(L135,$L$6:$L$305)+COUNTIF($L$6:L134,L135))</f>
        <v/>
      </c>
    </row>
    <row r="136">
      <c r="A136" s="129" t="n"/>
      <c r="B136" s="59" t="n"/>
      <c r="C136" s="59" t="n"/>
      <c r="D136" s="59" t="n"/>
      <c r="E136" s="58" t="n"/>
      <c r="F136" s="58" t="n"/>
      <c r="G136" s="59" t="n"/>
      <c r="H136" s="66" t="str">
        <f>IF(A136="","",COUNTIFS(jr_new,1,jr_type,"BL",jr_tiers,A136,jr_year,p_year))</f>
        <v/>
      </c>
      <c r="I136" s="64" t="str">
        <f>IF(A136="","",SUMIFS(jr_val,jr_type,"BL",jr_tiers,A136,jr_year,p_year))</f>
        <v/>
      </c>
      <c r="J136" s="66" t="str">
        <f>IF(A136="","",COUNTIFS(jr_type,"BL",jr_tiers,A136,jr_rel,"&gt;0"))</f>
        <v/>
      </c>
      <c r="K136" s="60" t="str">
        <f>IF(A136="",IF(B136="","","Code manquant"),IF(COUNTIF($A$6:$A$305,A136)&gt;1,"Code en double",IF(B136="","Raison sociale manquante","OK")))</f>
        <v/>
      </c>
      <c r="L136" s="130" t="str">
        <f>IF(OR(A136="",N(H136)=0),"",H136+I136/1000000000000)</f>
        <v/>
      </c>
      <c r="M136" s="131" t="str">
        <f>IF(L136="","",RANK(L136,$L$6:$L$305)+COUNTIF($L$6:L135,L136))</f>
        <v/>
      </c>
    </row>
    <row r="137">
      <c r="A137" s="129" t="n"/>
      <c r="B137" s="59" t="n"/>
      <c r="C137" s="59" t="n"/>
      <c r="D137" s="59" t="n"/>
      <c r="E137" s="58" t="n"/>
      <c r="F137" s="58" t="n"/>
      <c r="G137" s="59" t="n"/>
      <c r="H137" s="66" t="str">
        <f>IF(A137="","",COUNTIFS(jr_new,1,jr_type,"BL",jr_tiers,A137,jr_year,p_year))</f>
        <v/>
      </c>
      <c r="I137" s="64" t="str">
        <f>IF(A137="","",SUMIFS(jr_val,jr_type,"BL",jr_tiers,A137,jr_year,p_year))</f>
        <v/>
      </c>
      <c r="J137" s="66" t="str">
        <f>IF(A137="","",COUNTIFS(jr_type,"BL",jr_tiers,A137,jr_rel,"&gt;0"))</f>
        <v/>
      </c>
      <c r="K137" s="60" t="str">
        <f>IF(A137="",IF(B137="","","Code manquant"),IF(COUNTIF($A$6:$A$305,A137)&gt;1,"Code en double",IF(B137="","Raison sociale manquante","OK")))</f>
        <v/>
      </c>
      <c r="L137" s="130" t="str">
        <f>IF(OR(A137="",N(H137)=0),"",H137+I137/1000000000000)</f>
        <v/>
      </c>
      <c r="M137" s="131" t="str">
        <f>IF(L137="","",RANK(L137,$L$6:$L$305)+COUNTIF($L$6:L136,L137))</f>
        <v/>
      </c>
    </row>
    <row r="138">
      <c r="A138" s="129" t="n"/>
      <c r="B138" s="59" t="n"/>
      <c r="C138" s="59" t="n"/>
      <c r="D138" s="59" t="n"/>
      <c r="E138" s="58" t="n"/>
      <c r="F138" s="58" t="n"/>
      <c r="G138" s="59" t="n"/>
      <c r="H138" s="66" t="str">
        <f>IF(A138="","",COUNTIFS(jr_new,1,jr_type,"BL",jr_tiers,A138,jr_year,p_year))</f>
        <v/>
      </c>
      <c r="I138" s="64" t="str">
        <f>IF(A138="","",SUMIFS(jr_val,jr_type,"BL",jr_tiers,A138,jr_year,p_year))</f>
        <v/>
      </c>
      <c r="J138" s="66" t="str">
        <f>IF(A138="","",COUNTIFS(jr_type,"BL",jr_tiers,A138,jr_rel,"&gt;0"))</f>
        <v/>
      </c>
      <c r="K138" s="60" t="str">
        <f>IF(A138="",IF(B138="","","Code manquant"),IF(COUNTIF($A$6:$A$305,A138)&gt;1,"Code en double",IF(B138="","Raison sociale manquante","OK")))</f>
        <v/>
      </c>
      <c r="L138" s="130" t="str">
        <f>IF(OR(A138="",N(H138)=0),"",H138+I138/1000000000000)</f>
        <v/>
      </c>
      <c r="M138" s="131" t="str">
        <f>IF(L138="","",RANK(L138,$L$6:$L$305)+COUNTIF($L$6:L137,L138))</f>
        <v/>
      </c>
    </row>
    <row r="139">
      <c r="A139" s="129" t="n"/>
      <c r="B139" s="59" t="n"/>
      <c r="C139" s="59" t="n"/>
      <c r="D139" s="59" t="n"/>
      <c r="E139" s="58" t="n"/>
      <c r="F139" s="58" t="n"/>
      <c r="G139" s="59" t="n"/>
      <c r="H139" s="66" t="str">
        <f>IF(A139="","",COUNTIFS(jr_new,1,jr_type,"BL",jr_tiers,A139,jr_year,p_year))</f>
        <v/>
      </c>
      <c r="I139" s="64" t="str">
        <f>IF(A139="","",SUMIFS(jr_val,jr_type,"BL",jr_tiers,A139,jr_year,p_year))</f>
        <v/>
      </c>
      <c r="J139" s="66" t="str">
        <f>IF(A139="","",COUNTIFS(jr_type,"BL",jr_tiers,A139,jr_rel,"&gt;0"))</f>
        <v/>
      </c>
      <c r="K139" s="60" t="str">
        <f>IF(A139="",IF(B139="","","Code manquant"),IF(COUNTIF($A$6:$A$305,A139)&gt;1,"Code en double",IF(B139="","Raison sociale manquante","OK")))</f>
        <v/>
      </c>
      <c r="L139" s="130" t="str">
        <f>IF(OR(A139="",N(H139)=0),"",H139+I139/1000000000000)</f>
        <v/>
      </c>
      <c r="M139" s="131" t="str">
        <f>IF(L139="","",RANK(L139,$L$6:$L$305)+COUNTIF($L$6:L138,L139))</f>
        <v/>
      </c>
    </row>
    <row r="140">
      <c r="A140" s="129" t="n"/>
      <c r="B140" s="59" t="n"/>
      <c r="C140" s="59" t="n"/>
      <c r="D140" s="59" t="n"/>
      <c r="E140" s="58" t="n"/>
      <c r="F140" s="58" t="n"/>
      <c r="G140" s="59" t="n"/>
      <c r="H140" s="66" t="str">
        <f>IF(A140="","",COUNTIFS(jr_new,1,jr_type,"BL",jr_tiers,A140,jr_year,p_year))</f>
        <v/>
      </c>
      <c r="I140" s="64" t="str">
        <f>IF(A140="","",SUMIFS(jr_val,jr_type,"BL",jr_tiers,A140,jr_year,p_year))</f>
        <v/>
      </c>
      <c r="J140" s="66" t="str">
        <f>IF(A140="","",COUNTIFS(jr_type,"BL",jr_tiers,A140,jr_rel,"&gt;0"))</f>
        <v/>
      </c>
      <c r="K140" s="60" t="str">
        <f>IF(A140="",IF(B140="","","Code manquant"),IF(COUNTIF($A$6:$A$305,A140)&gt;1,"Code en double",IF(B140="","Raison sociale manquante","OK")))</f>
        <v/>
      </c>
      <c r="L140" s="130" t="str">
        <f>IF(OR(A140="",N(H140)=0),"",H140+I140/1000000000000)</f>
        <v/>
      </c>
      <c r="M140" s="131" t="str">
        <f>IF(L140="","",RANK(L140,$L$6:$L$305)+COUNTIF($L$6:L139,L140))</f>
        <v/>
      </c>
    </row>
    <row r="141">
      <c r="A141" s="129" t="n"/>
      <c r="B141" s="59" t="n"/>
      <c r="C141" s="59" t="n"/>
      <c r="D141" s="59" t="n"/>
      <c r="E141" s="58" t="n"/>
      <c r="F141" s="58" t="n"/>
      <c r="G141" s="59" t="n"/>
      <c r="H141" s="66" t="str">
        <f>IF(A141="","",COUNTIFS(jr_new,1,jr_type,"BL",jr_tiers,A141,jr_year,p_year))</f>
        <v/>
      </c>
      <c r="I141" s="64" t="str">
        <f>IF(A141="","",SUMIFS(jr_val,jr_type,"BL",jr_tiers,A141,jr_year,p_year))</f>
        <v/>
      </c>
      <c r="J141" s="66" t="str">
        <f>IF(A141="","",COUNTIFS(jr_type,"BL",jr_tiers,A141,jr_rel,"&gt;0"))</f>
        <v/>
      </c>
      <c r="K141" s="60" t="str">
        <f>IF(A141="",IF(B141="","","Code manquant"),IF(COUNTIF($A$6:$A$305,A141)&gt;1,"Code en double",IF(B141="","Raison sociale manquante","OK")))</f>
        <v/>
      </c>
      <c r="L141" s="130" t="str">
        <f>IF(OR(A141="",N(H141)=0),"",H141+I141/1000000000000)</f>
        <v/>
      </c>
      <c r="M141" s="131" t="str">
        <f>IF(L141="","",RANK(L141,$L$6:$L$305)+COUNTIF($L$6:L140,L141))</f>
        <v/>
      </c>
    </row>
    <row r="142">
      <c r="A142" s="129" t="n"/>
      <c r="B142" s="59" t="n"/>
      <c r="C142" s="59" t="n"/>
      <c r="D142" s="59" t="n"/>
      <c r="E142" s="58" t="n"/>
      <c r="F142" s="58" t="n"/>
      <c r="G142" s="59" t="n"/>
      <c r="H142" s="66" t="str">
        <f>IF(A142="","",COUNTIFS(jr_new,1,jr_type,"BL",jr_tiers,A142,jr_year,p_year))</f>
        <v/>
      </c>
      <c r="I142" s="64" t="str">
        <f>IF(A142="","",SUMIFS(jr_val,jr_type,"BL",jr_tiers,A142,jr_year,p_year))</f>
        <v/>
      </c>
      <c r="J142" s="66" t="str">
        <f>IF(A142="","",COUNTIFS(jr_type,"BL",jr_tiers,A142,jr_rel,"&gt;0"))</f>
        <v/>
      </c>
      <c r="K142" s="60" t="str">
        <f>IF(A142="",IF(B142="","","Code manquant"),IF(COUNTIF($A$6:$A$305,A142)&gt;1,"Code en double",IF(B142="","Raison sociale manquante","OK")))</f>
        <v/>
      </c>
      <c r="L142" s="130" t="str">
        <f>IF(OR(A142="",N(H142)=0),"",H142+I142/1000000000000)</f>
        <v/>
      </c>
      <c r="M142" s="131" t="str">
        <f>IF(L142="","",RANK(L142,$L$6:$L$305)+COUNTIF($L$6:L141,L142))</f>
        <v/>
      </c>
    </row>
    <row r="143">
      <c r="A143" s="129" t="n"/>
      <c r="B143" s="59" t="n"/>
      <c r="C143" s="59" t="n"/>
      <c r="D143" s="59" t="n"/>
      <c r="E143" s="58" t="n"/>
      <c r="F143" s="58" t="n"/>
      <c r="G143" s="59" t="n"/>
      <c r="H143" s="66" t="str">
        <f>IF(A143="","",COUNTIFS(jr_new,1,jr_type,"BL",jr_tiers,A143,jr_year,p_year))</f>
        <v/>
      </c>
      <c r="I143" s="64" t="str">
        <f>IF(A143="","",SUMIFS(jr_val,jr_type,"BL",jr_tiers,A143,jr_year,p_year))</f>
        <v/>
      </c>
      <c r="J143" s="66" t="str">
        <f>IF(A143="","",COUNTIFS(jr_type,"BL",jr_tiers,A143,jr_rel,"&gt;0"))</f>
        <v/>
      </c>
      <c r="K143" s="60" t="str">
        <f>IF(A143="",IF(B143="","","Code manquant"),IF(COUNTIF($A$6:$A$305,A143)&gt;1,"Code en double",IF(B143="","Raison sociale manquante","OK")))</f>
        <v/>
      </c>
      <c r="L143" s="130" t="str">
        <f>IF(OR(A143="",N(H143)=0),"",H143+I143/1000000000000)</f>
        <v/>
      </c>
      <c r="M143" s="131" t="str">
        <f>IF(L143="","",RANK(L143,$L$6:$L$305)+COUNTIF($L$6:L142,L143))</f>
        <v/>
      </c>
    </row>
    <row r="144">
      <c r="A144" s="129" t="n"/>
      <c r="B144" s="59" t="n"/>
      <c r="C144" s="59" t="n"/>
      <c r="D144" s="59" t="n"/>
      <c r="E144" s="58" t="n"/>
      <c r="F144" s="58" t="n"/>
      <c r="G144" s="59" t="n"/>
      <c r="H144" s="66" t="str">
        <f>IF(A144="","",COUNTIFS(jr_new,1,jr_type,"BL",jr_tiers,A144,jr_year,p_year))</f>
        <v/>
      </c>
      <c r="I144" s="64" t="str">
        <f>IF(A144="","",SUMIFS(jr_val,jr_type,"BL",jr_tiers,A144,jr_year,p_year))</f>
        <v/>
      </c>
      <c r="J144" s="66" t="str">
        <f>IF(A144="","",COUNTIFS(jr_type,"BL",jr_tiers,A144,jr_rel,"&gt;0"))</f>
        <v/>
      </c>
      <c r="K144" s="60" t="str">
        <f>IF(A144="",IF(B144="","","Code manquant"),IF(COUNTIF($A$6:$A$305,A144)&gt;1,"Code en double",IF(B144="","Raison sociale manquante","OK")))</f>
        <v/>
      </c>
      <c r="L144" s="130" t="str">
        <f>IF(OR(A144="",N(H144)=0),"",H144+I144/1000000000000)</f>
        <v/>
      </c>
      <c r="M144" s="131" t="str">
        <f>IF(L144="","",RANK(L144,$L$6:$L$305)+COUNTIF($L$6:L143,L144))</f>
        <v/>
      </c>
    </row>
    <row r="145">
      <c r="A145" s="129" t="n"/>
      <c r="B145" s="59" t="n"/>
      <c r="C145" s="59" t="n"/>
      <c r="D145" s="59" t="n"/>
      <c r="E145" s="58" t="n"/>
      <c r="F145" s="58" t="n"/>
      <c r="G145" s="59" t="n"/>
      <c r="H145" s="66" t="str">
        <f>IF(A145="","",COUNTIFS(jr_new,1,jr_type,"BL",jr_tiers,A145,jr_year,p_year))</f>
        <v/>
      </c>
      <c r="I145" s="64" t="str">
        <f>IF(A145="","",SUMIFS(jr_val,jr_type,"BL",jr_tiers,A145,jr_year,p_year))</f>
        <v/>
      </c>
      <c r="J145" s="66" t="str">
        <f>IF(A145="","",COUNTIFS(jr_type,"BL",jr_tiers,A145,jr_rel,"&gt;0"))</f>
        <v/>
      </c>
      <c r="K145" s="60" t="str">
        <f>IF(A145="",IF(B145="","","Code manquant"),IF(COUNTIF($A$6:$A$305,A145)&gt;1,"Code en double",IF(B145="","Raison sociale manquante","OK")))</f>
        <v/>
      </c>
      <c r="L145" s="130" t="str">
        <f>IF(OR(A145="",N(H145)=0),"",H145+I145/1000000000000)</f>
        <v/>
      </c>
      <c r="M145" s="131" t="str">
        <f>IF(L145="","",RANK(L145,$L$6:$L$305)+COUNTIF($L$6:L144,L145))</f>
        <v/>
      </c>
    </row>
    <row r="146">
      <c r="A146" s="129" t="n"/>
      <c r="B146" s="59" t="n"/>
      <c r="C146" s="59" t="n"/>
      <c r="D146" s="59" t="n"/>
      <c r="E146" s="58" t="n"/>
      <c r="F146" s="58" t="n"/>
      <c r="G146" s="59" t="n"/>
      <c r="H146" s="66" t="str">
        <f>IF(A146="","",COUNTIFS(jr_new,1,jr_type,"BL",jr_tiers,A146,jr_year,p_year))</f>
        <v/>
      </c>
      <c r="I146" s="64" t="str">
        <f>IF(A146="","",SUMIFS(jr_val,jr_type,"BL",jr_tiers,A146,jr_year,p_year))</f>
        <v/>
      </c>
      <c r="J146" s="66" t="str">
        <f>IF(A146="","",COUNTIFS(jr_type,"BL",jr_tiers,A146,jr_rel,"&gt;0"))</f>
        <v/>
      </c>
      <c r="K146" s="60" t="str">
        <f>IF(A146="",IF(B146="","","Code manquant"),IF(COUNTIF($A$6:$A$305,A146)&gt;1,"Code en double",IF(B146="","Raison sociale manquante","OK")))</f>
        <v/>
      </c>
      <c r="L146" s="130" t="str">
        <f>IF(OR(A146="",N(H146)=0),"",H146+I146/1000000000000)</f>
        <v/>
      </c>
      <c r="M146" s="131" t="str">
        <f>IF(L146="","",RANK(L146,$L$6:$L$305)+COUNTIF($L$6:L145,L146))</f>
        <v/>
      </c>
    </row>
    <row r="147">
      <c r="A147" s="129" t="n"/>
      <c r="B147" s="59" t="n"/>
      <c r="C147" s="59" t="n"/>
      <c r="D147" s="59" t="n"/>
      <c r="E147" s="58" t="n"/>
      <c r="F147" s="58" t="n"/>
      <c r="G147" s="59" t="n"/>
      <c r="H147" s="66" t="str">
        <f>IF(A147="","",COUNTIFS(jr_new,1,jr_type,"BL",jr_tiers,A147,jr_year,p_year))</f>
        <v/>
      </c>
      <c r="I147" s="64" t="str">
        <f>IF(A147="","",SUMIFS(jr_val,jr_type,"BL",jr_tiers,A147,jr_year,p_year))</f>
        <v/>
      </c>
      <c r="J147" s="66" t="str">
        <f>IF(A147="","",COUNTIFS(jr_type,"BL",jr_tiers,A147,jr_rel,"&gt;0"))</f>
        <v/>
      </c>
      <c r="K147" s="60" t="str">
        <f>IF(A147="",IF(B147="","","Code manquant"),IF(COUNTIF($A$6:$A$305,A147)&gt;1,"Code en double",IF(B147="","Raison sociale manquante","OK")))</f>
        <v/>
      </c>
      <c r="L147" s="130" t="str">
        <f>IF(OR(A147="",N(H147)=0),"",H147+I147/1000000000000)</f>
        <v/>
      </c>
      <c r="M147" s="131" t="str">
        <f>IF(L147="","",RANK(L147,$L$6:$L$305)+COUNTIF($L$6:L146,L147))</f>
        <v/>
      </c>
    </row>
    <row r="148">
      <c r="A148" s="129" t="n"/>
      <c r="B148" s="59" t="n"/>
      <c r="C148" s="59" t="n"/>
      <c r="D148" s="59" t="n"/>
      <c r="E148" s="58" t="n"/>
      <c r="F148" s="58" t="n"/>
      <c r="G148" s="59" t="n"/>
      <c r="H148" s="66" t="str">
        <f>IF(A148="","",COUNTIFS(jr_new,1,jr_type,"BL",jr_tiers,A148,jr_year,p_year))</f>
        <v/>
      </c>
      <c r="I148" s="64" t="str">
        <f>IF(A148="","",SUMIFS(jr_val,jr_type,"BL",jr_tiers,A148,jr_year,p_year))</f>
        <v/>
      </c>
      <c r="J148" s="66" t="str">
        <f>IF(A148="","",COUNTIFS(jr_type,"BL",jr_tiers,A148,jr_rel,"&gt;0"))</f>
        <v/>
      </c>
      <c r="K148" s="60" t="str">
        <f>IF(A148="",IF(B148="","","Code manquant"),IF(COUNTIF($A$6:$A$305,A148)&gt;1,"Code en double",IF(B148="","Raison sociale manquante","OK")))</f>
        <v/>
      </c>
      <c r="L148" s="130" t="str">
        <f>IF(OR(A148="",N(H148)=0),"",H148+I148/1000000000000)</f>
        <v/>
      </c>
      <c r="M148" s="131" t="str">
        <f>IF(L148="","",RANK(L148,$L$6:$L$305)+COUNTIF($L$6:L147,L148))</f>
        <v/>
      </c>
    </row>
    <row r="149">
      <c r="A149" s="129" t="n"/>
      <c r="B149" s="59" t="n"/>
      <c r="C149" s="59" t="n"/>
      <c r="D149" s="59" t="n"/>
      <c r="E149" s="58" t="n"/>
      <c r="F149" s="58" t="n"/>
      <c r="G149" s="59" t="n"/>
      <c r="H149" s="66" t="str">
        <f>IF(A149="","",COUNTIFS(jr_new,1,jr_type,"BL",jr_tiers,A149,jr_year,p_year))</f>
        <v/>
      </c>
      <c r="I149" s="64" t="str">
        <f>IF(A149="","",SUMIFS(jr_val,jr_type,"BL",jr_tiers,A149,jr_year,p_year))</f>
        <v/>
      </c>
      <c r="J149" s="66" t="str">
        <f>IF(A149="","",COUNTIFS(jr_type,"BL",jr_tiers,A149,jr_rel,"&gt;0"))</f>
        <v/>
      </c>
      <c r="K149" s="60" t="str">
        <f>IF(A149="",IF(B149="","","Code manquant"),IF(COUNTIF($A$6:$A$305,A149)&gt;1,"Code en double",IF(B149="","Raison sociale manquante","OK")))</f>
        <v/>
      </c>
      <c r="L149" s="130" t="str">
        <f>IF(OR(A149="",N(H149)=0),"",H149+I149/1000000000000)</f>
        <v/>
      </c>
      <c r="M149" s="131" t="str">
        <f>IF(L149="","",RANK(L149,$L$6:$L$305)+COUNTIF($L$6:L148,L149))</f>
        <v/>
      </c>
    </row>
    <row r="150">
      <c r="A150" s="129" t="n"/>
      <c r="B150" s="59" t="n"/>
      <c r="C150" s="59" t="n"/>
      <c r="D150" s="59" t="n"/>
      <c r="E150" s="58" t="n"/>
      <c r="F150" s="58" t="n"/>
      <c r="G150" s="59" t="n"/>
      <c r="H150" s="66" t="str">
        <f>IF(A150="","",COUNTIFS(jr_new,1,jr_type,"BL",jr_tiers,A150,jr_year,p_year))</f>
        <v/>
      </c>
      <c r="I150" s="64" t="str">
        <f>IF(A150="","",SUMIFS(jr_val,jr_type,"BL",jr_tiers,A150,jr_year,p_year))</f>
        <v/>
      </c>
      <c r="J150" s="66" t="str">
        <f>IF(A150="","",COUNTIFS(jr_type,"BL",jr_tiers,A150,jr_rel,"&gt;0"))</f>
        <v/>
      </c>
      <c r="K150" s="60" t="str">
        <f>IF(A150="",IF(B150="","","Code manquant"),IF(COUNTIF($A$6:$A$305,A150)&gt;1,"Code en double",IF(B150="","Raison sociale manquante","OK")))</f>
        <v/>
      </c>
      <c r="L150" s="130" t="str">
        <f>IF(OR(A150="",N(H150)=0),"",H150+I150/1000000000000)</f>
        <v/>
      </c>
      <c r="M150" s="131" t="str">
        <f>IF(L150="","",RANK(L150,$L$6:$L$305)+COUNTIF($L$6:L149,L150))</f>
        <v/>
      </c>
    </row>
    <row r="151">
      <c r="A151" s="129" t="n"/>
      <c r="B151" s="59" t="n"/>
      <c r="C151" s="59" t="n"/>
      <c r="D151" s="59" t="n"/>
      <c r="E151" s="58" t="n"/>
      <c r="F151" s="58" t="n"/>
      <c r="G151" s="59" t="n"/>
      <c r="H151" s="66" t="str">
        <f>IF(A151="","",COUNTIFS(jr_new,1,jr_type,"BL",jr_tiers,A151,jr_year,p_year))</f>
        <v/>
      </c>
      <c r="I151" s="64" t="str">
        <f>IF(A151="","",SUMIFS(jr_val,jr_type,"BL",jr_tiers,A151,jr_year,p_year))</f>
        <v/>
      </c>
      <c r="J151" s="66" t="str">
        <f>IF(A151="","",COUNTIFS(jr_type,"BL",jr_tiers,A151,jr_rel,"&gt;0"))</f>
        <v/>
      </c>
      <c r="K151" s="60" t="str">
        <f>IF(A151="",IF(B151="","","Code manquant"),IF(COUNTIF($A$6:$A$305,A151)&gt;1,"Code en double",IF(B151="","Raison sociale manquante","OK")))</f>
        <v/>
      </c>
      <c r="L151" s="130" t="str">
        <f>IF(OR(A151="",N(H151)=0),"",H151+I151/1000000000000)</f>
        <v/>
      </c>
      <c r="M151" s="131" t="str">
        <f>IF(L151="","",RANK(L151,$L$6:$L$305)+COUNTIF($L$6:L150,L151))</f>
        <v/>
      </c>
    </row>
    <row r="152">
      <c r="A152" s="129" t="n"/>
      <c r="B152" s="59" t="n"/>
      <c r="C152" s="59" t="n"/>
      <c r="D152" s="59" t="n"/>
      <c r="E152" s="58" t="n"/>
      <c r="F152" s="58" t="n"/>
      <c r="G152" s="59" t="n"/>
      <c r="H152" s="66" t="str">
        <f>IF(A152="","",COUNTIFS(jr_new,1,jr_type,"BL",jr_tiers,A152,jr_year,p_year))</f>
        <v/>
      </c>
      <c r="I152" s="64" t="str">
        <f>IF(A152="","",SUMIFS(jr_val,jr_type,"BL",jr_tiers,A152,jr_year,p_year))</f>
        <v/>
      </c>
      <c r="J152" s="66" t="str">
        <f>IF(A152="","",COUNTIFS(jr_type,"BL",jr_tiers,A152,jr_rel,"&gt;0"))</f>
        <v/>
      </c>
      <c r="K152" s="60" t="str">
        <f>IF(A152="",IF(B152="","","Code manquant"),IF(COUNTIF($A$6:$A$305,A152)&gt;1,"Code en double",IF(B152="","Raison sociale manquante","OK")))</f>
        <v/>
      </c>
      <c r="L152" s="130" t="str">
        <f>IF(OR(A152="",N(H152)=0),"",H152+I152/1000000000000)</f>
        <v/>
      </c>
      <c r="M152" s="131" t="str">
        <f>IF(L152="","",RANK(L152,$L$6:$L$305)+COUNTIF($L$6:L151,L152))</f>
        <v/>
      </c>
    </row>
    <row r="153">
      <c r="A153" s="129" t="n"/>
      <c r="B153" s="59" t="n"/>
      <c r="C153" s="59" t="n"/>
      <c r="D153" s="59" t="n"/>
      <c r="E153" s="58" t="n"/>
      <c r="F153" s="58" t="n"/>
      <c r="G153" s="59" t="n"/>
      <c r="H153" s="66" t="str">
        <f>IF(A153="","",COUNTIFS(jr_new,1,jr_type,"BL",jr_tiers,A153,jr_year,p_year))</f>
        <v/>
      </c>
      <c r="I153" s="64" t="str">
        <f>IF(A153="","",SUMIFS(jr_val,jr_type,"BL",jr_tiers,A153,jr_year,p_year))</f>
        <v/>
      </c>
      <c r="J153" s="66" t="str">
        <f>IF(A153="","",COUNTIFS(jr_type,"BL",jr_tiers,A153,jr_rel,"&gt;0"))</f>
        <v/>
      </c>
      <c r="K153" s="60" t="str">
        <f>IF(A153="",IF(B153="","","Code manquant"),IF(COUNTIF($A$6:$A$305,A153)&gt;1,"Code en double",IF(B153="","Raison sociale manquante","OK")))</f>
        <v/>
      </c>
      <c r="L153" s="130" t="str">
        <f>IF(OR(A153="",N(H153)=0),"",H153+I153/1000000000000)</f>
        <v/>
      </c>
      <c r="M153" s="131" t="str">
        <f>IF(L153="","",RANK(L153,$L$6:$L$305)+COUNTIF($L$6:L152,L153))</f>
        <v/>
      </c>
    </row>
    <row r="154">
      <c r="A154" s="129" t="n"/>
      <c r="B154" s="59" t="n"/>
      <c r="C154" s="59" t="n"/>
      <c r="D154" s="59" t="n"/>
      <c r="E154" s="58" t="n"/>
      <c r="F154" s="58" t="n"/>
      <c r="G154" s="59" t="n"/>
      <c r="H154" s="66" t="str">
        <f>IF(A154="","",COUNTIFS(jr_new,1,jr_type,"BL",jr_tiers,A154,jr_year,p_year))</f>
        <v/>
      </c>
      <c r="I154" s="64" t="str">
        <f>IF(A154="","",SUMIFS(jr_val,jr_type,"BL",jr_tiers,A154,jr_year,p_year))</f>
        <v/>
      </c>
      <c r="J154" s="66" t="str">
        <f>IF(A154="","",COUNTIFS(jr_type,"BL",jr_tiers,A154,jr_rel,"&gt;0"))</f>
        <v/>
      </c>
      <c r="K154" s="60" t="str">
        <f>IF(A154="",IF(B154="","","Code manquant"),IF(COUNTIF($A$6:$A$305,A154)&gt;1,"Code en double",IF(B154="","Raison sociale manquante","OK")))</f>
        <v/>
      </c>
      <c r="L154" s="130" t="str">
        <f>IF(OR(A154="",N(H154)=0),"",H154+I154/1000000000000)</f>
        <v/>
      </c>
      <c r="M154" s="131" t="str">
        <f>IF(L154="","",RANK(L154,$L$6:$L$305)+COUNTIF($L$6:L153,L154))</f>
        <v/>
      </c>
    </row>
    <row r="155">
      <c r="A155" s="129" t="n"/>
      <c r="B155" s="59" t="n"/>
      <c r="C155" s="59" t="n"/>
      <c r="D155" s="59" t="n"/>
      <c r="E155" s="58" t="n"/>
      <c r="F155" s="58" t="n"/>
      <c r="G155" s="59" t="n"/>
      <c r="H155" s="66" t="str">
        <f>IF(A155="","",COUNTIFS(jr_new,1,jr_type,"BL",jr_tiers,A155,jr_year,p_year))</f>
        <v/>
      </c>
      <c r="I155" s="64" t="str">
        <f>IF(A155="","",SUMIFS(jr_val,jr_type,"BL",jr_tiers,A155,jr_year,p_year))</f>
        <v/>
      </c>
      <c r="J155" s="66" t="str">
        <f>IF(A155="","",COUNTIFS(jr_type,"BL",jr_tiers,A155,jr_rel,"&gt;0"))</f>
        <v/>
      </c>
      <c r="K155" s="60" t="str">
        <f>IF(A155="",IF(B155="","","Code manquant"),IF(COUNTIF($A$6:$A$305,A155)&gt;1,"Code en double",IF(B155="","Raison sociale manquante","OK")))</f>
        <v/>
      </c>
      <c r="L155" s="130" t="str">
        <f>IF(OR(A155="",N(H155)=0),"",H155+I155/1000000000000)</f>
        <v/>
      </c>
      <c r="M155" s="131" t="str">
        <f>IF(L155="","",RANK(L155,$L$6:$L$305)+COUNTIF($L$6:L154,L155))</f>
        <v/>
      </c>
    </row>
    <row r="156">
      <c r="A156" s="129" t="n"/>
      <c r="B156" s="59" t="n"/>
      <c r="C156" s="59" t="n"/>
      <c r="D156" s="59" t="n"/>
      <c r="E156" s="58" t="n"/>
      <c r="F156" s="58" t="n"/>
      <c r="G156" s="59" t="n"/>
      <c r="H156" s="66" t="str">
        <f>IF(A156="","",COUNTIFS(jr_new,1,jr_type,"BL",jr_tiers,A156,jr_year,p_year))</f>
        <v/>
      </c>
      <c r="I156" s="64" t="str">
        <f>IF(A156="","",SUMIFS(jr_val,jr_type,"BL",jr_tiers,A156,jr_year,p_year))</f>
        <v/>
      </c>
      <c r="J156" s="66" t="str">
        <f>IF(A156="","",COUNTIFS(jr_type,"BL",jr_tiers,A156,jr_rel,"&gt;0"))</f>
        <v/>
      </c>
      <c r="K156" s="60" t="str">
        <f>IF(A156="",IF(B156="","","Code manquant"),IF(COUNTIF($A$6:$A$305,A156)&gt;1,"Code en double",IF(B156="","Raison sociale manquante","OK")))</f>
        <v/>
      </c>
      <c r="L156" s="130" t="str">
        <f>IF(OR(A156="",N(H156)=0),"",H156+I156/1000000000000)</f>
        <v/>
      </c>
      <c r="M156" s="131" t="str">
        <f>IF(L156="","",RANK(L156,$L$6:$L$305)+COUNTIF($L$6:L155,L156))</f>
        <v/>
      </c>
    </row>
    <row r="157">
      <c r="A157" s="129" t="n"/>
      <c r="B157" s="59" t="n"/>
      <c r="C157" s="59" t="n"/>
      <c r="D157" s="59" t="n"/>
      <c r="E157" s="58" t="n"/>
      <c r="F157" s="58" t="n"/>
      <c r="G157" s="59" t="n"/>
      <c r="H157" s="66" t="str">
        <f>IF(A157="","",COUNTIFS(jr_new,1,jr_type,"BL",jr_tiers,A157,jr_year,p_year))</f>
        <v/>
      </c>
      <c r="I157" s="64" t="str">
        <f>IF(A157="","",SUMIFS(jr_val,jr_type,"BL",jr_tiers,A157,jr_year,p_year))</f>
        <v/>
      </c>
      <c r="J157" s="66" t="str">
        <f>IF(A157="","",COUNTIFS(jr_type,"BL",jr_tiers,A157,jr_rel,"&gt;0"))</f>
        <v/>
      </c>
      <c r="K157" s="60" t="str">
        <f>IF(A157="",IF(B157="","","Code manquant"),IF(COUNTIF($A$6:$A$305,A157)&gt;1,"Code en double",IF(B157="","Raison sociale manquante","OK")))</f>
        <v/>
      </c>
      <c r="L157" s="130" t="str">
        <f>IF(OR(A157="",N(H157)=0),"",H157+I157/1000000000000)</f>
        <v/>
      </c>
      <c r="M157" s="131" t="str">
        <f>IF(L157="","",RANK(L157,$L$6:$L$305)+COUNTIF($L$6:L156,L157))</f>
        <v/>
      </c>
    </row>
    <row r="158">
      <c r="A158" s="129" t="n"/>
      <c r="B158" s="59" t="n"/>
      <c r="C158" s="59" t="n"/>
      <c r="D158" s="59" t="n"/>
      <c r="E158" s="58" t="n"/>
      <c r="F158" s="58" t="n"/>
      <c r="G158" s="59" t="n"/>
      <c r="H158" s="66" t="str">
        <f>IF(A158="","",COUNTIFS(jr_new,1,jr_type,"BL",jr_tiers,A158,jr_year,p_year))</f>
        <v/>
      </c>
      <c r="I158" s="64" t="str">
        <f>IF(A158="","",SUMIFS(jr_val,jr_type,"BL",jr_tiers,A158,jr_year,p_year))</f>
        <v/>
      </c>
      <c r="J158" s="66" t="str">
        <f>IF(A158="","",COUNTIFS(jr_type,"BL",jr_tiers,A158,jr_rel,"&gt;0"))</f>
        <v/>
      </c>
      <c r="K158" s="60" t="str">
        <f>IF(A158="",IF(B158="","","Code manquant"),IF(COUNTIF($A$6:$A$305,A158)&gt;1,"Code en double",IF(B158="","Raison sociale manquante","OK")))</f>
        <v/>
      </c>
      <c r="L158" s="130" t="str">
        <f>IF(OR(A158="",N(H158)=0),"",H158+I158/1000000000000)</f>
        <v/>
      </c>
      <c r="M158" s="131" t="str">
        <f>IF(L158="","",RANK(L158,$L$6:$L$305)+COUNTIF($L$6:L157,L158))</f>
        <v/>
      </c>
    </row>
    <row r="159">
      <c r="A159" s="129" t="n"/>
      <c r="B159" s="59" t="n"/>
      <c r="C159" s="59" t="n"/>
      <c r="D159" s="59" t="n"/>
      <c r="E159" s="58" t="n"/>
      <c r="F159" s="58" t="n"/>
      <c r="G159" s="59" t="n"/>
      <c r="H159" s="66" t="str">
        <f>IF(A159="","",COUNTIFS(jr_new,1,jr_type,"BL",jr_tiers,A159,jr_year,p_year))</f>
        <v/>
      </c>
      <c r="I159" s="64" t="str">
        <f>IF(A159="","",SUMIFS(jr_val,jr_type,"BL",jr_tiers,A159,jr_year,p_year))</f>
        <v/>
      </c>
      <c r="J159" s="66" t="str">
        <f>IF(A159="","",COUNTIFS(jr_type,"BL",jr_tiers,A159,jr_rel,"&gt;0"))</f>
        <v/>
      </c>
      <c r="K159" s="60" t="str">
        <f>IF(A159="",IF(B159="","","Code manquant"),IF(COUNTIF($A$6:$A$305,A159)&gt;1,"Code en double",IF(B159="","Raison sociale manquante","OK")))</f>
        <v/>
      </c>
      <c r="L159" s="130" t="str">
        <f>IF(OR(A159="",N(H159)=0),"",H159+I159/1000000000000)</f>
        <v/>
      </c>
      <c r="M159" s="131" t="str">
        <f>IF(L159="","",RANK(L159,$L$6:$L$305)+COUNTIF($L$6:L158,L159))</f>
        <v/>
      </c>
    </row>
    <row r="160">
      <c r="A160" s="129" t="n"/>
      <c r="B160" s="59" t="n"/>
      <c r="C160" s="59" t="n"/>
      <c r="D160" s="59" t="n"/>
      <c r="E160" s="58" t="n"/>
      <c r="F160" s="58" t="n"/>
      <c r="G160" s="59" t="n"/>
      <c r="H160" s="66" t="str">
        <f>IF(A160="","",COUNTIFS(jr_new,1,jr_type,"BL",jr_tiers,A160,jr_year,p_year))</f>
        <v/>
      </c>
      <c r="I160" s="64" t="str">
        <f>IF(A160="","",SUMIFS(jr_val,jr_type,"BL",jr_tiers,A160,jr_year,p_year))</f>
        <v/>
      </c>
      <c r="J160" s="66" t="str">
        <f>IF(A160="","",COUNTIFS(jr_type,"BL",jr_tiers,A160,jr_rel,"&gt;0"))</f>
        <v/>
      </c>
      <c r="K160" s="60" t="str">
        <f>IF(A160="",IF(B160="","","Code manquant"),IF(COUNTIF($A$6:$A$305,A160)&gt;1,"Code en double",IF(B160="","Raison sociale manquante","OK")))</f>
        <v/>
      </c>
      <c r="L160" s="130" t="str">
        <f>IF(OR(A160="",N(H160)=0),"",H160+I160/1000000000000)</f>
        <v/>
      </c>
      <c r="M160" s="131" t="str">
        <f>IF(L160="","",RANK(L160,$L$6:$L$305)+COUNTIF($L$6:L159,L160))</f>
        <v/>
      </c>
    </row>
    <row r="161">
      <c r="A161" s="129" t="n"/>
      <c r="B161" s="59" t="n"/>
      <c r="C161" s="59" t="n"/>
      <c r="D161" s="59" t="n"/>
      <c r="E161" s="58" t="n"/>
      <c r="F161" s="58" t="n"/>
      <c r="G161" s="59" t="n"/>
      <c r="H161" s="66" t="str">
        <f>IF(A161="","",COUNTIFS(jr_new,1,jr_type,"BL",jr_tiers,A161,jr_year,p_year))</f>
        <v/>
      </c>
      <c r="I161" s="64" t="str">
        <f>IF(A161="","",SUMIFS(jr_val,jr_type,"BL",jr_tiers,A161,jr_year,p_year))</f>
        <v/>
      </c>
      <c r="J161" s="66" t="str">
        <f>IF(A161="","",COUNTIFS(jr_type,"BL",jr_tiers,A161,jr_rel,"&gt;0"))</f>
        <v/>
      </c>
      <c r="K161" s="60" t="str">
        <f>IF(A161="",IF(B161="","","Code manquant"),IF(COUNTIF($A$6:$A$305,A161)&gt;1,"Code en double",IF(B161="","Raison sociale manquante","OK")))</f>
        <v/>
      </c>
      <c r="L161" s="130" t="str">
        <f>IF(OR(A161="",N(H161)=0),"",H161+I161/1000000000000)</f>
        <v/>
      </c>
      <c r="M161" s="131" t="str">
        <f>IF(L161="","",RANK(L161,$L$6:$L$305)+COUNTIF($L$6:L160,L161))</f>
        <v/>
      </c>
    </row>
    <row r="162">
      <c r="A162" s="129" t="n"/>
      <c r="B162" s="59" t="n"/>
      <c r="C162" s="59" t="n"/>
      <c r="D162" s="59" t="n"/>
      <c r="E162" s="58" t="n"/>
      <c r="F162" s="58" t="n"/>
      <c r="G162" s="59" t="n"/>
      <c r="H162" s="66" t="str">
        <f>IF(A162="","",COUNTIFS(jr_new,1,jr_type,"BL",jr_tiers,A162,jr_year,p_year))</f>
        <v/>
      </c>
      <c r="I162" s="64" t="str">
        <f>IF(A162="","",SUMIFS(jr_val,jr_type,"BL",jr_tiers,A162,jr_year,p_year))</f>
        <v/>
      </c>
      <c r="J162" s="66" t="str">
        <f>IF(A162="","",COUNTIFS(jr_type,"BL",jr_tiers,A162,jr_rel,"&gt;0"))</f>
        <v/>
      </c>
      <c r="K162" s="60" t="str">
        <f>IF(A162="",IF(B162="","","Code manquant"),IF(COUNTIF($A$6:$A$305,A162)&gt;1,"Code en double",IF(B162="","Raison sociale manquante","OK")))</f>
        <v/>
      </c>
      <c r="L162" s="130" t="str">
        <f>IF(OR(A162="",N(H162)=0),"",H162+I162/1000000000000)</f>
        <v/>
      </c>
      <c r="M162" s="131" t="str">
        <f>IF(L162="","",RANK(L162,$L$6:$L$305)+COUNTIF($L$6:L161,L162))</f>
        <v/>
      </c>
    </row>
    <row r="163">
      <c r="A163" s="129" t="n"/>
      <c r="B163" s="59" t="n"/>
      <c r="C163" s="59" t="n"/>
      <c r="D163" s="59" t="n"/>
      <c r="E163" s="58" t="n"/>
      <c r="F163" s="58" t="n"/>
      <c r="G163" s="59" t="n"/>
      <c r="H163" s="66" t="str">
        <f>IF(A163="","",COUNTIFS(jr_new,1,jr_type,"BL",jr_tiers,A163,jr_year,p_year))</f>
        <v/>
      </c>
      <c r="I163" s="64" t="str">
        <f>IF(A163="","",SUMIFS(jr_val,jr_type,"BL",jr_tiers,A163,jr_year,p_year))</f>
        <v/>
      </c>
      <c r="J163" s="66" t="str">
        <f>IF(A163="","",COUNTIFS(jr_type,"BL",jr_tiers,A163,jr_rel,"&gt;0"))</f>
        <v/>
      </c>
      <c r="K163" s="60" t="str">
        <f>IF(A163="",IF(B163="","","Code manquant"),IF(COUNTIF($A$6:$A$305,A163)&gt;1,"Code en double",IF(B163="","Raison sociale manquante","OK")))</f>
        <v/>
      </c>
      <c r="L163" s="130" t="str">
        <f>IF(OR(A163="",N(H163)=0),"",H163+I163/1000000000000)</f>
        <v/>
      </c>
      <c r="M163" s="131" t="str">
        <f>IF(L163="","",RANK(L163,$L$6:$L$305)+COUNTIF($L$6:L162,L163))</f>
        <v/>
      </c>
    </row>
    <row r="164">
      <c r="A164" s="129" t="n"/>
      <c r="B164" s="59" t="n"/>
      <c r="C164" s="59" t="n"/>
      <c r="D164" s="59" t="n"/>
      <c r="E164" s="58" t="n"/>
      <c r="F164" s="58" t="n"/>
      <c r="G164" s="59" t="n"/>
      <c r="H164" s="66" t="str">
        <f>IF(A164="","",COUNTIFS(jr_new,1,jr_type,"BL",jr_tiers,A164,jr_year,p_year))</f>
        <v/>
      </c>
      <c r="I164" s="64" t="str">
        <f>IF(A164="","",SUMIFS(jr_val,jr_type,"BL",jr_tiers,A164,jr_year,p_year))</f>
        <v/>
      </c>
      <c r="J164" s="66" t="str">
        <f>IF(A164="","",COUNTIFS(jr_type,"BL",jr_tiers,A164,jr_rel,"&gt;0"))</f>
        <v/>
      </c>
      <c r="K164" s="60" t="str">
        <f>IF(A164="",IF(B164="","","Code manquant"),IF(COUNTIF($A$6:$A$305,A164)&gt;1,"Code en double",IF(B164="","Raison sociale manquante","OK")))</f>
        <v/>
      </c>
      <c r="L164" s="130" t="str">
        <f>IF(OR(A164="",N(H164)=0),"",H164+I164/1000000000000)</f>
        <v/>
      </c>
      <c r="M164" s="131" t="str">
        <f>IF(L164="","",RANK(L164,$L$6:$L$305)+COUNTIF($L$6:L163,L164))</f>
        <v/>
      </c>
    </row>
    <row r="165">
      <c r="A165" s="129" t="n"/>
      <c r="B165" s="59" t="n"/>
      <c r="C165" s="59" t="n"/>
      <c r="D165" s="59" t="n"/>
      <c r="E165" s="58" t="n"/>
      <c r="F165" s="58" t="n"/>
      <c r="G165" s="59" t="n"/>
      <c r="H165" s="66" t="str">
        <f>IF(A165="","",COUNTIFS(jr_new,1,jr_type,"BL",jr_tiers,A165,jr_year,p_year))</f>
        <v/>
      </c>
      <c r="I165" s="64" t="str">
        <f>IF(A165="","",SUMIFS(jr_val,jr_type,"BL",jr_tiers,A165,jr_year,p_year))</f>
        <v/>
      </c>
      <c r="J165" s="66" t="str">
        <f>IF(A165="","",COUNTIFS(jr_type,"BL",jr_tiers,A165,jr_rel,"&gt;0"))</f>
        <v/>
      </c>
      <c r="K165" s="60" t="str">
        <f>IF(A165="",IF(B165="","","Code manquant"),IF(COUNTIF($A$6:$A$305,A165)&gt;1,"Code en double",IF(B165="","Raison sociale manquante","OK")))</f>
        <v/>
      </c>
      <c r="L165" s="130" t="str">
        <f>IF(OR(A165="",N(H165)=0),"",H165+I165/1000000000000)</f>
        <v/>
      </c>
      <c r="M165" s="131" t="str">
        <f>IF(L165="","",RANK(L165,$L$6:$L$305)+COUNTIF($L$6:L164,L165))</f>
        <v/>
      </c>
    </row>
    <row r="166">
      <c r="A166" s="129" t="n"/>
      <c r="B166" s="59" t="n"/>
      <c r="C166" s="59" t="n"/>
      <c r="D166" s="59" t="n"/>
      <c r="E166" s="58" t="n"/>
      <c r="F166" s="58" t="n"/>
      <c r="G166" s="59" t="n"/>
      <c r="H166" s="66" t="str">
        <f>IF(A166="","",COUNTIFS(jr_new,1,jr_type,"BL",jr_tiers,A166,jr_year,p_year))</f>
        <v/>
      </c>
      <c r="I166" s="64" t="str">
        <f>IF(A166="","",SUMIFS(jr_val,jr_type,"BL",jr_tiers,A166,jr_year,p_year))</f>
        <v/>
      </c>
      <c r="J166" s="66" t="str">
        <f>IF(A166="","",COUNTIFS(jr_type,"BL",jr_tiers,A166,jr_rel,"&gt;0"))</f>
        <v/>
      </c>
      <c r="K166" s="60" t="str">
        <f>IF(A166="",IF(B166="","","Code manquant"),IF(COUNTIF($A$6:$A$305,A166)&gt;1,"Code en double",IF(B166="","Raison sociale manquante","OK")))</f>
        <v/>
      </c>
      <c r="L166" s="130" t="str">
        <f>IF(OR(A166="",N(H166)=0),"",H166+I166/1000000000000)</f>
        <v/>
      </c>
      <c r="M166" s="131" t="str">
        <f>IF(L166="","",RANK(L166,$L$6:$L$305)+COUNTIF($L$6:L165,L166))</f>
        <v/>
      </c>
    </row>
    <row r="167">
      <c r="A167" s="129" t="n"/>
      <c r="B167" s="59" t="n"/>
      <c r="C167" s="59" t="n"/>
      <c r="D167" s="59" t="n"/>
      <c r="E167" s="58" t="n"/>
      <c r="F167" s="58" t="n"/>
      <c r="G167" s="59" t="n"/>
      <c r="H167" s="66" t="str">
        <f>IF(A167="","",COUNTIFS(jr_new,1,jr_type,"BL",jr_tiers,A167,jr_year,p_year))</f>
        <v/>
      </c>
      <c r="I167" s="64" t="str">
        <f>IF(A167="","",SUMIFS(jr_val,jr_type,"BL",jr_tiers,A167,jr_year,p_year))</f>
        <v/>
      </c>
      <c r="J167" s="66" t="str">
        <f>IF(A167="","",COUNTIFS(jr_type,"BL",jr_tiers,A167,jr_rel,"&gt;0"))</f>
        <v/>
      </c>
      <c r="K167" s="60" t="str">
        <f>IF(A167="",IF(B167="","","Code manquant"),IF(COUNTIF($A$6:$A$305,A167)&gt;1,"Code en double",IF(B167="","Raison sociale manquante","OK")))</f>
        <v/>
      </c>
      <c r="L167" s="130" t="str">
        <f>IF(OR(A167="",N(H167)=0),"",H167+I167/1000000000000)</f>
        <v/>
      </c>
      <c r="M167" s="131" t="str">
        <f>IF(L167="","",RANK(L167,$L$6:$L$305)+COUNTIF($L$6:L166,L167))</f>
        <v/>
      </c>
    </row>
    <row r="168">
      <c r="A168" s="129" t="n"/>
      <c r="B168" s="59" t="n"/>
      <c r="C168" s="59" t="n"/>
      <c r="D168" s="59" t="n"/>
      <c r="E168" s="58" t="n"/>
      <c r="F168" s="58" t="n"/>
      <c r="G168" s="59" t="n"/>
      <c r="H168" s="66" t="str">
        <f>IF(A168="","",COUNTIFS(jr_new,1,jr_type,"BL",jr_tiers,A168,jr_year,p_year))</f>
        <v/>
      </c>
      <c r="I168" s="64" t="str">
        <f>IF(A168="","",SUMIFS(jr_val,jr_type,"BL",jr_tiers,A168,jr_year,p_year))</f>
        <v/>
      </c>
      <c r="J168" s="66" t="str">
        <f>IF(A168="","",COUNTIFS(jr_type,"BL",jr_tiers,A168,jr_rel,"&gt;0"))</f>
        <v/>
      </c>
      <c r="K168" s="60" t="str">
        <f>IF(A168="",IF(B168="","","Code manquant"),IF(COUNTIF($A$6:$A$305,A168)&gt;1,"Code en double",IF(B168="","Raison sociale manquante","OK")))</f>
        <v/>
      </c>
      <c r="L168" s="130" t="str">
        <f>IF(OR(A168="",N(H168)=0),"",H168+I168/1000000000000)</f>
        <v/>
      </c>
      <c r="M168" s="131" t="str">
        <f>IF(L168="","",RANK(L168,$L$6:$L$305)+COUNTIF($L$6:L167,L168))</f>
        <v/>
      </c>
    </row>
    <row r="169">
      <c r="A169" s="129" t="n"/>
      <c r="B169" s="59" t="n"/>
      <c r="C169" s="59" t="n"/>
      <c r="D169" s="59" t="n"/>
      <c r="E169" s="58" t="n"/>
      <c r="F169" s="58" t="n"/>
      <c r="G169" s="59" t="n"/>
      <c r="H169" s="66" t="str">
        <f>IF(A169="","",COUNTIFS(jr_new,1,jr_type,"BL",jr_tiers,A169,jr_year,p_year))</f>
        <v/>
      </c>
      <c r="I169" s="64" t="str">
        <f>IF(A169="","",SUMIFS(jr_val,jr_type,"BL",jr_tiers,A169,jr_year,p_year))</f>
        <v/>
      </c>
      <c r="J169" s="66" t="str">
        <f>IF(A169="","",COUNTIFS(jr_type,"BL",jr_tiers,A169,jr_rel,"&gt;0"))</f>
        <v/>
      </c>
      <c r="K169" s="60" t="str">
        <f>IF(A169="",IF(B169="","","Code manquant"),IF(COUNTIF($A$6:$A$305,A169)&gt;1,"Code en double",IF(B169="","Raison sociale manquante","OK")))</f>
        <v/>
      </c>
      <c r="L169" s="130" t="str">
        <f>IF(OR(A169="",N(H169)=0),"",H169+I169/1000000000000)</f>
        <v/>
      </c>
      <c r="M169" s="131" t="str">
        <f>IF(L169="","",RANK(L169,$L$6:$L$305)+COUNTIF($L$6:L168,L169))</f>
        <v/>
      </c>
    </row>
    <row r="170">
      <c r="A170" s="129" t="n"/>
      <c r="B170" s="59" t="n"/>
      <c r="C170" s="59" t="n"/>
      <c r="D170" s="59" t="n"/>
      <c r="E170" s="58" t="n"/>
      <c r="F170" s="58" t="n"/>
      <c r="G170" s="59" t="n"/>
      <c r="H170" s="66" t="str">
        <f>IF(A170="","",COUNTIFS(jr_new,1,jr_type,"BL",jr_tiers,A170,jr_year,p_year))</f>
        <v/>
      </c>
      <c r="I170" s="64" t="str">
        <f>IF(A170="","",SUMIFS(jr_val,jr_type,"BL",jr_tiers,A170,jr_year,p_year))</f>
        <v/>
      </c>
      <c r="J170" s="66" t="str">
        <f>IF(A170="","",COUNTIFS(jr_type,"BL",jr_tiers,A170,jr_rel,"&gt;0"))</f>
        <v/>
      </c>
      <c r="K170" s="60" t="str">
        <f>IF(A170="",IF(B170="","","Code manquant"),IF(COUNTIF($A$6:$A$305,A170)&gt;1,"Code en double",IF(B170="","Raison sociale manquante","OK")))</f>
        <v/>
      </c>
      <c r="L170" s="130" t="str">
        <f>IF(OR(A170="",N(H170)=0),"",H170+I170/1000000000000)</f>
        <v/>
      </c>
      <c r="M170" s="131" t="str">
        <f>IF(L170="","",RANK(L170,$L$6:$L$305)+COUNTIF($L$6:L169,L170))</f>
        <v/>
      </c>
    </row>
    <row r="171">
      <c r="A171" s="129" t="n"/>
      <c r="B171" s="59" t="n"/>
      <c r="C171" s="59" t="n"/>
      <c r="D171" s="59" t="n"/>
      <c r="E171" s="58" t="n"/>
      <c r="F171" s="58" t="n"/>
      <c r="G171" s="59" t="n"/>
      <c r="H171" s="66" t="str">
        <f>IF(A171="","",COUNTIFS(jr_new,1,jr_type,"BL",jr_tiers,A171,jr_year,p_year))</f>
        <v/>
      </c>
      <c r="I171" s="64" t="str">
        <f>IF(A171="","",SUMIFS(jr_val,jr_type,"BL",jr_tiers,A171,jr_year,p_year))</f>
        <v/>
      </c>
      <c r="J171" s="66" t="str">
        <f>IF(A171="","",COUNTIFS(jr_type,"BL",jr_tiers,A171,jr_rel,"&gt;0"))</f>
        <v/>
      </c>
      <c r="K171" s="60" t="str">
        <f>IF(A171="",IF(B171="","","Code manquant"),IF(COUNTIF($A$6:$A$305,A171)&gt;1,"Code en double",IF(B171="","Raison sociale manquante","OK")))</f>
        <v/>
      </c>
      <c r="L171" s="130" t="str">
        <f>IF(OR(A171="",N(H171)=0),"",H171+I171/1000000000000)</f>
        <v/>
      </c>
      <c r="M171" s="131" t="str">
        <f>IF(L171="","",RANK(L171,$L$6:$L$305)+COUNTIF($L$6:L170,L171))</f>
        <v/>
      </c>
    </row>
    <row r="172">
      <c r="A172" s="129" t="n"/>
      <c r="B172" s="59" t="n"/>
      <c r="C172" s="59" t="n"/>
      <c r="D172" s="59" t="n"/>
      <c r="E172" s="58" t="n"/>
      <c r="F172" s="58" t="n"/>
      <c r="G172" s="59" t="n"/>
      <c r="H172" s="66" t="str">
        <f>IF(A172="","",COUNTIFS(jr_new,1,jr_type,"BL",jr_tiers,A172,jr_year,p_year))</f>
        <v/>
      </c>
      <c r="I172" s="64" t="str">
        <f>IF(A172="","",SUMIFS(jr_val,jr_type,"BL",jr_tiers,A172,jr_year,p_year))</f>
        <v/>
      </c>
      <c r="J172" s="66" t="str">
        <f>IF(A172="","",COUNTIFS(jr_type,"BL",jr_tiers,A172,jr_rel,"&gt;0"))</f>
        <v/>
      </c>
      <c r="K172" s="60" t="str">
        <f>IF(A172="",IF(B172="","","Code manquant"),IF(COUNTIF($A$6:$A$305,A172)&gt;1,"Code en double",IF(B172="","Raison sociale manquante","OK")))</f>
        <v/>
      </c>
      <c r="L172" s="130" t="str">
        <f>IF(OR(A172="",N(H172)=0),"",H172+I172/1000000000000)</f>
        <v/>
      </c>
      <c r="M172" s="131" t="str">
        <f>IF(L172="","",RANK(L172,$L$6:$L$305)+COUNTIF($L$6:L171,L172))</f>
        <v/>
      </c>
    </row>
    <row r="173">
      <c r="A173" s="129" t="n"/>
      <c r="B173" s="59" t="n"/>
      <c r="C173" s="59" t="n"/>
      <c r="D173" s="59" t="n"/>
      <c r="E173" s="58" t="n"/>
      <c r="F173" s="58" t="n"/>
      <c r="G173" s="59" t="n"/>
      <c r="H173" s="66" t="str">
        <f>IF(A173="","",COUNTIFS(jr_new,1,jr_type,"BL",jr_tiers,A173,jr_year,p_year))</f>
        <v/>
      </c>
      <c r="I173" s="64" t="str">
        <f>IF(A173="","",SUMIFS(jr_val,jr_type,"BL",jr_tiers,A173,jr_year,p_year))</f>
        <v/>
      </c>
      <c r="J173" s="66" t="str">
        <f>IF(A173="","",COUNTIFS(jr_type,"BL",jr_tiers,A173,jr_rel,"&gt;0"))</f>
        <v/>
      </c>
      <c r="K173" s="60" t="str">
        <f>IF(A173="",IF(B173="","","Code manquant"),IF(COUNTIF($A$6:$A$305,A173)&gt;1,"Code en double",IF(B173="","Raison sociale manquante","OK")))</f>
        <v/>
      </c>
      <c r="L173" s="130" t="str">
        <f>IF(OR(A173="",N(H173)=0),"",H173+I173/1000000000000)</f>
        <v/>
      </c>
      <c r="M173" s="131" t="str">
        <f>IF(L173="","",RANK(L173,$L$6:$L$305)+COUNTIF($L$6:L172,L173))</f>
        <v/>
      </c>
    </row>
    <row r="174">
      <c r="A174" s="129" t="n"/>
      <c r="B174" s="59" t="n"/>
      <c r="C174" s="59" t="n"/>
      <c r="D174" s="59" t="n"/>
      <c r="E174" s="58" t="n"/>
      <c r="F174" s="58" t="n"/>
      <c r="G174" s="59" t="n"/>
      <c r="H174" s="66" t="str">
        <f>IF(A174="","",COUNTIFS(jr_new,1,jr_type,"BL",jr_tiers,A174,jr_year,p_year))</f>
        <v/>
      </c>
      <c r="I174" s="64" t="str">
        <f>IF(A174="","",SUMIFS(jr_val,jr_type,"BL",jr_tiers,A174,jr_year,p_year))</f>
        <v/>
      </c>
      <c r="J174" s="66" t="str">
        <f>IF(A174="","",COUNTIFS(jr_type,"BL",jr_tiers,A174,jr_rel,"&gt;0"))</f>
        <v/>
      </c>
      <c r="K174" s="60" t="str">
        <f>IF(A174="",IF(B174="","","Code manquant"),IF(COUNTIF($A$6:$A$305,A174)&gt;1,"Code en double",IF(B174="","Raison sociale manquante","OK")))</f>
        <v/>
      </c>
      <c r="L174" s="130" t="str">
        <f>IF(OR(A174="",N(H174)=0),"",H174+I174/1000000000000)</f>
        <v/>
      </c>
      <c r="M174" s="131" t="str">
        <f>IF(L174="","",RANK(L174,$L$6:$L$305)+COUNTIF($L$6:L173,L174))</f>
        <v/>
      </c>
    </row>
    <row r="175">
      <c r="A175" s="129" t="n"/>
      <c r="B175" s="59" t="n"/>
      <c r="C175" s="59" t="n"/>
      <c r="D175" s="59" t="n"/>
      <c r="E175" s="58" t="n"/>
      <c r="F175" s="58" t="n"/>
      <c r="G175" s="59" t="n"/>
      <c r="H175" s="66" t="str">
        <f>IF(A175="","",COUNTIFS(jr_new,1,jr_type,"BL",jr_tiers,A175,jr_year,p_year))</f>
        <v/>
      </c>
      <c r="I175" s="64" t="str">
        <f>IF(A175="","",SUMIFS(jr_val,jr_type,"BL",jr_tiers,A175,jr_year,p_year))</f>
        <v/>
      </c>
      <c r="J175" s="66" t="str">
        <f>IF(A175="","",COUNTIFS(jr_type,"BL",jr_tiers,A175,jr_rel,"&gt;0"))</f>
        <v/>
      </c>
      <c r="K175" s="60" t="str">
        <f>IF(A175="",IF(B175="","","Code manquant"),IF(COUNTIF($A$6:$A$305,A175)&gt;1,"Code en double",IF(B175="","Raison sociale manquante","OK")))</f>
        <v/>
      </c>
      <c r="L175" s="130" t="str">
        <f>IF(OR(A175="",N(H175)=0),"",H175+I175/1000000000000)</f>
        <v/>
      </c>
      <c r="M175" s="131" t="str">
        <f>IF(L175="","",RANK(L175,$L$6:$L$305)+COUNTIF($L$6:L174,L175))</f>
        <v/>
      </c>
    </row>
    <row r="176">
      <c r="A176" s="129" t="n"/>
      <c r="B176" s="59" t="n"/>
      <c r="C176" s="59" t="n"/>
      <c r="D176" s="59" t="n"/>
      <c r="E176" s="58" t="n"/>
      <c r="F176" s="58" t="n"/>
      <c r="G176" s="59" t="n"/>
      <c r="H176" s="66" t="str">
        <f>IF(A176="","",COUNTIFS(jr_new,1,jr_type,"BL",jr_tiers,A176,jr_year,p_year))</f>
        <v/>
      </c>
      <c r="I176" s="64" t="str">
        <f>IF(A176="","",SUMIFS(jr_val,jr_type,"BL",jr_tiers,A176,jr_year,p_year))</f>
        <v/>
      </c>
      <c r="J176" s="66" t="str">
        <f>IF(A176="","",COUNTIFS(jr_type,"BL",jr_tiers,A176,jr_rel,"&gt;0"))</f>
        <v/>
      </c>
      <c r="K176" s="60" t="str">
        <f>IF(A176="",IF(B176="","","Code manquant"),IF(COUNTIF($A$6:$A$305,A176)&gt;1,"Code en double",IF(B176="","Raison sociale manquante","OK")))</f>
        <v/>
      </c>
      <c r="L176" s="130" t="str">
        <f>IF(OR(A176="",N(H176)=0),"",H176+I176/1000000000000)</f>
        <v/>
      </c>
      <c r="M176" s="131" t="str">
        <f>IF(L176="","",RANK(L176,$L$6:$L$305)+COUNTIF($L$6:L175,L176))</f>
        <v/>
      </c>
    </row>
    <row r="177">
      <c r="A177" s="129" t="n"/>
      <c r="B177" s="59" t="n"/>
      <c r="C177" s="59" t="n"/>
      <c r="D177" s="59" t="n"/>
      <c r="E177" s="58" t="n"/>
      <c r="F177" s="58" t="n"/>
      <c r="G177" s="59" t="n"/>
      <c r="H177" s="66" t="str">
        <f>IF(A177="","",COUNTIFS(jr_new,1,jr_type,"BL",jr_tiers,A177,jr_year,p_year))</f>
        <v/>
      </c>
      <c r="I177" s="64" t="str">
        <f>IF(A177="","",SUMIFS(jr_val,jr_type,"BL",jr_tiers,A177,jr_year,p_year))</f>
        <v/>
      </c>
      <c r="J177" s="66" t="str">
        <f>IF(A177="","",COUNTIFS(jr_type,"BL",jr_tiers,A177,jr_rel,"&gt;0"))</f>
        <v/>
      </c>
      <c r="K177" s="60" t="str">
        <f>IF(A177="",IF(B177="","","Code manquant"),IF(COUNTIF($A$6:$A$305,A177)&gt;1,"Code en double",IF(B177="","Raison sociale manquante","OK")))</f>
        <v/>
      </c>
      <c r="L177" s="130" t="str">
        <f>IF(OR(A177="",N(H177)=0),"",H177+I177/1000000000000)</f>
        <v/>
      </c>
      <c r="M177" s="131" t="str">
        <f>IF(L177="","",RANK(L177,$L$6:$L$305)+COUNTIF($L$6:L176,L177))</f>
        <v/>
      </c>
    </row>
    <row r="178">
      <c r="A178" s="129" t="n"/>
      <c r="B178" s="59" t="n"/>
      <c r="C178" s="59" t="n"/>
      <c r="D178" s="59" t="n"/>
      <c r="E178" s="58" t="n"/>
      <c r="F178" s="58" t="n"/>
      <c r="G178" s="59" t="n"/>
      <c r="H178" s="66" t="str">
        <f>IF(A178="","",COUNTIFS(jr_new,1,jr_type,"BL",jr_tiers,A178,jr_year,p_year))</f>
        <v/>
      </c>
      <c r="I178" s="64" t="str">
        <f>IF(A178="","",SUMIFS(jr_val,jr_type,"BL",jr_tiers,A178,jr_year,p_year))</f>
        <v/>
      </c>
      <c r="J178" s="66" t="str">
        <f>IF(A178="","",COUNTIFS(jr_type,"BL",jr_tiers,A178,jr_rel,"&gt;0"))</f>
        <v/>
      </c>
      <c r="K178" s="60" t="str">
        <f>IF(A178="",IF(B178="","","Code manquant"),IF(COUNTIF($A$6:$A$305,A178)&gt;1,"Code en double",IF(B178="","Raison sociale manquante","OK")))</f>
        <v/>
      </c>
      <c r="L178" s="130" t="str">
        <f>IF(OR(A178="",N(H178)=0),"",H178+I178/1000000000000)</f>
        <v/>
      </c>
      <c r="M178" s="131" t="str">
        <f>IF(L178="","",RANK(L178,$L$6:$L$305)+COUNTIF($L$6:L177,L178))</f>
        <v/>
      </c>
    </row>
    <row r="179">
      <c r="A179" s="129" t="n"/>
      <c r="B179" s="59" t="n"/>
      <c r="C179" s="59" t="n"/>
      <c r="D179" s="59" t="n"/>
      <c r="E179" s="58" t="n"/>
      <c r="F179" s="58" t="n"/>
      <c r="G179" s="59" t="n"/>
      <c r="H179" s="66" t="str">
        <f>IF(A179="","",COUNTIFS(jr_new,1,jr_type,"BL",jr_tiers,A179,jr_year,p_year))</f>
        <v/>
      </c>
      <c r="I179" s="64" t="str">
        <f>IF(A179="","",SUMIFS(jr_val,jr_type,"BL",jr_tiers,A179,jr_year,p_year))</f>
        <v/>
      </c>
      <c r="J179" s="66" t="str">
        <f>IF(A179="","",COUNTIFS(jr_type,"BL",jr_tiers,A179,jr_rel,"&gt;0"))</f>
        <v/>
      </c>
      <c r="K179" s="60" t="str">
        <f>IF(A179="",IF(B179="","","Code manquant"),IF(COUNTIF($A$6:$A$305,A179)&gt;1,"Code en double",IF(B179="","Raison sociale manquante","OK")))</f>
        <v/>
      </c>
      <c r="L179" s="130" t="str">
        <f>IF(OR(A179="",N(H179)=0),"",H179+I179/1000000000000)</f>
        <v/>
      </c>
      <c r="M179" s="131" t="str">
        <f>IF(L179="","",RANK(L179,$L$6:$L$305)+COUNTIF($L$6:L178,L179))</f>
        <v/>
      </c>
    </row>
    <row r="180">
      <c r="A180" s="129" t="n"/>
      <c r="B180" s="59" t="n"/>
      <c r="C180" s="59" t="n"/>
      <c r="D180" s="59" t="n"/>
      <c r="E180" s="58" t="n"/>
      <c r="F180" s="58" t="n"/>
      <c r="G180" s="59" t="n"/>
      <c r="H180" s="66" t="str">
        <f>IF(A180="","",COUNTIFS(jr_new,1,jr_type,"BL",jr_tiers,A180,jr_year,p_year))</f>
        <v/>
      </c>
      <c r="I180" s="64" t="str">
        <f>IF(A180="","",SUMIFS(jr_val,jr_type,"BL",jr_tiers,A180,jr_year,p_year))</f>
        <v/>
      </c>
      <c r="J180" s="66" t="str">
        <f>IF(A180="","",COUNTIFS(jr_type,"BL",jr_tiers,A180,jr_rel,"&gt;0"))</f>
        <v/>
      </c>
      <c r="K180" s="60" t="str">
        <f>IF(A180="",IF(B180="","","Code manquant"),IF(COUNTIF($A$6:$A$305,A180)&gt;1,"Code en double",IF(B180="","Raison sociale manquante","OK")))</f>
        <v/>
      </c>
      <c r="L180" s="130" t="str">
        <f>IF(OR(A180="",N(H180)=0),"",H180+I180/1000000000000)</f>
        <v/>
      </c>
      <c r="M180" s="131" t="str">
        <f>IF(L180="","",RANK(L180,$L$6:$L$305)+COUNTIF($L$6:L179,L180))</f>
        <v/>
      </c>
    </row>
    <row r="181">
      <c r="A181" s="129" t="n"/>
      <c r="B181" s="59" t="n"/>
      <c r="C181" s="59" t="n"/>
      <c r="D181" s="59" t="n"/>
      <c r="E181" s="58" t="n"/>
      <c r="F181" s="58" t="n"/>
      <c r="G181" s="59" t="n"/>
      <c r="H181" s="66" t="str">
        <f>IF(A181="","",COUNTIFS(jr_new,1,jr_type,"BL",jr_tiers,A181,jr_year,p_year))</f>
        <v/>
      </c>
      <c r="I181" s="64" t="str">
        <f>IF(A181="","",SUMIFS(jr_val,jr_type,"BL",jr_tiers,A181,jr_year,p_year))</f>
        <v/>
      </c>
      <c r="J181" s="66" t="str">
        <f>IF(A181="","",COUNTIFS(jr_type,"BL",jr_tiers,A181,jr_rel,"&gt;0"))</f>
        <v/>
      </c>
      <c r="K181" s="60" t="str">
        <f>IF(A181="",IF(B181="","","Code manquant"),IF(COUNTIF($A$6:$A$305,A181)&gt;1,"Code en double",IF(B181="","Raison sociale manquante","OK")))</f>
        <v/>
      </c>
      <c r="L181" s="130" t="str">
        <f>IF(OR(A181="",N(H181)=0),"",H181+I181/1000000000000)</f>
        <v/>
      </c>
      <c r="M181" s="131" t="str">
        <f>IF(L181="","",RANK(L181,$L$6:$L$305)+COUNTIF($L$6:L180,L181))</f>
        <v/>
      </c>
    </row>
    <row r="182">
      <c r="A182" s="129" t="n"/>
      <c r="B182" s="59" t="n"/>
      <c r="C182" s="59" t="n"/>
      <c r="D182" s="59" t="n"/>
      <c r="E182" s="58" t="n"/>
      <c r="F182" s="58" t="n"/>
      <c r="G182" s="59" t="n"/>
      <c r="H182" s="66" t="str">
        <f>IF(A182="","",COUNTIFS(jr_new,1,jr_type,"BL",jr_tiers,A182,jr_year,p_year))</f>
        <v/>
      </c>
      <c r="I182" s="64" t="str">
        <f>IF(A182="","",SUMIFS(jr_val,jr_type,"BL",jr_tiers,A182,jr_year,p_year))</f>
        <v/>
      </c>
      <c r="J182" s="66" t="str">
        <f>IF(A182="","",COUNTIFS(jr_type,"BL",jr_tiers,A182,jr_rel,"&gt;0"))</f>
        <v/>
      </c>
      <c r="K182" s="60" t="str">
        <f>IF(A182="",IF(B182="","","Code manquant"),IF(COUNTIF($A$6:$A$305,A182)&gt;1,"Code en double",IF(B182="","Raison sociale manquante","OK")))</f>
        <v/>
      </c>
      <c r="L182" s="130" t="str">
        <f>IF(OR(A182="",N(H182)=0),"",H182+I182/1000000000000)</f>
        <v/>
      </c>
      <c r="M182" s="131" t="str">
        <f>IF(L182="","",RANK(L182,$L$6:$L$305)+COUNTIF($L$6:L181,L182))</f>
        <v/>
      </c>
    </row>
    <row r="183">
      <c r="A183" s="129" t="n"/>
      <c r="B183" s="59" t="n"/>
      <c r="C183" s="59" t="n"/>
      <c r="D183" s="59" t="n"/>
      <c r="E183" s="58" t="n"/>
      <c r="F183" s="58" t="n"/>
      <c r="G183" s="59" t="n"/>
      <c r="H183" s="66" t="str">
        <f>IF(A183="","",COUNTIFS(jr_new,1,jr_type,"BL",jr_tiers,A183,jr_year,p_year))</f>
        <v/>
      </c>
      <c r="I183" s="64" t="str">
        <f>IF(A183="","",SUMIFS(jr_val,jr_type,"BL",jr_tiers,A183,jr_year,p_year))</f>
        <v/>
      </c>
      <c r="J183" s="66" t="str">
        <f>IF(A183="","",COUNTIFS(jr_type,"BL",jr_tiers,A183,jr_rel,"&gt;0"))</f>
        <v/>
      </c>
      <c r="K183" s="60" t="str">
        <f>IF(A183="",IF(B183="","","Code manquant"),IF(COUNTIF($A$6:$A$305,A183)&gt;1,"Code en double",IF(B183="","Raison sociale manquante","OK")))</f>
        <v/>
      </c>
      <c r="L183" s="130" t="str">
        <f>IF(OR(A183="",N(H183)=0),"",H183+I183/1000000000000)</f>
        <v/>
      </c>
      <c r="M183" s="131" t="str">
        <f>IF(L183="","",RANK(L183,$L$6:$L$305)+COUNTIF($L$6:L182,L183))</f>
        <v/>
      </c>
    </row>
    <row r="184">
      <c r="A184" s="129" t="n"/>
      <c r="B184" s="59" t="n"/>
      <c r="C184" s="59" t="n"/>
      <c r="D184" s="59" t="n"/>
      <c r="E184" s="58" t="n"/>
      <c r="F184" s="58" t="n"/>
      <c r="G184" s="59" t="n"/>
      <c r="H184" s="66" t="str">
        <f>IF(A184="","",COUNTIFS(jr_new,1,jr_type,"BL",jr_tiers,A184,jr_year,p_year))</f>
        <v/>
      </c>
      <c r="I184" s="64" t="str">
        <f>IF(A184="","",SUMIFS(jr_val,jr_type,"BL",jr_tiers,A184,jr_year,p_year))</f>
        <v/>
      </c>
      <c r="J184" s="66" t="str">
        <f>IF(A184="","",COUNTIFS(jr_type,"BL",jr_tiers,A184,jr_rel,"&gt;0"))</f>
        <v/>
      </c>
      <c r="K184" s="60" t="str">
        <f>IF(A184="",IF(B184="","","Code manquant"),IF(COUNTIF($A$6:$A$305,A184)&gt;1,"Code en double",IF(B184="","Raison sociale manquante","OK")))</f>
        <v/>
      </c>
      <c r="L184" s="130" t="str">
        <f>IF(OR(A184="",N(H184)=0),"",H184+I184/1000000000000)</f>
        <v/>
      </c>
      <c r="M184" s="131" t="str">
        <f>IF(L184="","",RANK(L184,$L$6:$L$305)+COUNTIF($L$6:L183,L184))</f>
        <v/>
      </c>
    </row>
    <row r="185">
      <c r="A185" s="129" t="n"/>
      <c r="B185" s="59" t="n"/>
      <c r="C185" s="59" t="n"/>
      <c r="D185" s="59" t="n"/>
      <c r="E185" s="58" t="n"/>
      <c r="F185" s="58" t="n"/>
      <c r="G185" s="59" t="n"/>
      <c r="H185" s="66" t="str">
        <f>IF(A185="","",COUNTIFS(jr_new,1,jr_type,"BL",jr_tiers,A185,jr_year,p_year))</f>
        <v/>
      </c>
      <c r="I185" s="64" t="str">
        <f>IF(A185="","",SUMIFS(jr_val,jr_type,"BL",jr_tiers,A185,jr_year,p_year))</f>
        <v/>
      </c>
      <c r="J185" s="66" t="str">
        <f>IF(A185="","",COUNTIFS(jr_type,"BL",jr_tiers,A185,jr_rel,"&gt;0"))</f>
        <v/>
      </c>
      <c r="K185" s="60" t="str">
        <f>IF(A185="",IF(B185="","","Code manquant"),IF(COUNTIF($A$6:$A$305,A185)&gt;1,"Code en double",IF(B185="","Raison sociale manquante","OK")))</f>
        <v/>
      </c>
      <c r="L185" s="130" t="str">
        <f>IF(OR(A185="",N(H185)=0),"",H185+I185/1000000000000)</f>
        <v/>
      </c>
      <c r="M185" s="131" t="str">
        <f>IF(L185="","",RANK(L185,$L$6:$L$305)+COUNTIF($L$6:L184,L185))</f>
        <v/>
      </c>
    </row>
    <row r="186">
      <c r="A186" s="129" t="n"/>
      <c r="B186" s="59" t="n"/>
      <c r="C186" s="59" t="n"/>
      <c r="D186" s="59" t="n"/>
      <c r="E186" s="58" t="n"/>
      <c r="F186" s="58" t="n"/>
      <c r="G186" s="59" t="n"/>
      <c r="H186" s="66" t="str">
        <f>IF(A186="","",COUNTIFS(jr_new,1,jr_type,"BL",jr_tiers,A186,jr_year,p_year))</f>
        <v/>
      </c>
      <c r="I186" s="64" t="str">
        <f>IF(A186="","",SUMIFS(jr_val,jr_type,"BL",jr_tiers,A186,jr_year,p_year))</f>
        <v/>
      </c>
      <c r="J186" s="66" t="str">
        <f>IF(A186="","",COUNTIFS(jr_type,"BL",jr_tiers,A186,jr_rel,"&gt;0"))</f>
        <v/>
      </c>
      <c r="K186" s="60" t="str">
        <f>IF(A186="",IF(B186="","","Code manquant"),IF(COUNTIF($A$6:$A$305,A186)&gt;1,"Code en double",IF(B186="","Raison sociale manquante","OK")))</f>
        <v/>
      </c>
      <c r="L186" s="130" t="str">
        <f>IF(OR(A186="",N(H186)=0),"",H186+I186/1000000000000)</f>
        <v/>
      </c>
      <c r="M186" s="131" t="str">
        <f>IF(L186="","",RANK(L186,$L$6:$L$305)+COUNTIF($L$6:L185,L186))</f>
        <v/>
      </c>
    </row>
    <row r="187">
      <c r="A187" s="129" t="n"/>
      <c r="B187" s="59" t="n"/>
      <c r="C187" s="59" t="n"/>
      <c r="D187" s="59" t="n"/>
      <c r="E187" s="58" t="n"/>
      <c r="F187" s="58" t="n"/>
      <c r="G187" s="59" t="n"/>
      <c r="H187" s="66" t="str">
        <f>IF(A187="","",COUNTIFS(jr_new,1,jr_type,"BL",jr_tiers,A187,jr_year,p_year))</f>
        <v/>
      </c>
      <c r="I187" s="64" t="str">
        <f>IF(A187="","",SUMIFS(jr_val,jr_type,"BL",jr_tiers,A187,jr_year,p_year))</f>
        <v/>
      </c>
      <c r="J187" s="66" t="str">
        <f>IF(A187="","",COUNTIFS(jr_type,"BL",jr_tiers,A187,jr_rel,"&gt;0"))</f>
        <v/>
      </c>
      <c r="K187" s="60" t="str">
        <f>IF(A187="",IF(B187="","","Code manquant"),IF(COUNTIF($A$6:$A$305,A187)&gt;1,"Code en double",IF(B187="","Raison sociale manquante","OK")))</f>
        <v/>
      </c>
      <c r="L187" s="130" t="str">
        <f>IF(OR(A187="",N(H187)=0),"",H187+I187/1000000000000)</f>
        <v/>
      </c>
      <c r="M187" s="131" t="str">
        <f>IF(L187="","",RANK(L187,$L$6:$L$305)+COUNTIF($L$6:L186,L187))</f>
        <v/>
      </c>
    </row>
    <row r="188">
      <c r="A188" s="129" t="n"/>
      <c r="B188" s="59" t="n"/>
      <c r="C188" s="59" t="n"/>
      <c r="D188" s="59" t="n"/>
      <c r="E188" s="58" t="n"/>
      <c r="F188" s="58" t="n"/>
      <c r="G188" s="59" t="n"/>
      <c r="H188" s="66" t="str">
        <f>IF(A188="","",COUNTIFS(jr_new,1,jr_type,"BL",jr_tiers,A188,jr_year,p_year))</f>
        <v/>
      </c>
      <c r="I188" s="64" t="str">
        <f>IF(A188="","",SUMIFS(jr_val,jr_type,"BL",jr_tiers,A188,jr_year,p_year))</f>
        <v/>
      </c>
      <c r="J188" s="66" t="str">
        <f>IF(A188="","",COUNTIFS(jr_type,"BL",jr_tiers,A188,jr_rel,"&gt;0"))</f>
        <v/>
      </c>
      <c r="K188" s="60" t="str">
        <f>IF(A188="",IF(B188="","","Code manquant"),IF(COUNTIF($A$6:$A$305,A188)&gt;1,"Code en double",IF(B188="","Raison sociale manquante","OK")))</f>
        <v/>
      </c>
      <c r="L188" s="130" t="str">
        <f>IF(OR(A188="",N(H188)=0),"",H188+I188/1000000000000)</f>
        <v/>
      </c>
      <c r="M188" s="131" t="str">
        <f>IF(L188="","",RANK(L188,$L$6:$L$305)+COUNTIF($L$6:L187,L188))</f>
        <v/>
      </c>
    </row>
    <row r="189">
      <c r="A189" s="129" t="n"/>
      <c r="B189" s="59" t="n"/>
      <c r="C189" s="59" t="n"/>
      <c r="D189" s="59" t="n"/>
      <c r="E189" s="58" t="n"/>
      <c r="F189" s="58" t="n"/>
      <c r="G189" s="59" t="n"/>
      <c r="H189" s="66" t="str">
        <f>IF(A189="","",COUNTIFS(jr_new,1,jr_type,"BL",jr_tiers,A189,jr_year,p_year))</f>
        <v/>
      </c>
      <c r="I189" s="64" t="str">
        <f>IF(A189="","",SUMIFS(jr_val,jr_type,"BL",jr_tiers,A189,jr_year,p_year))</f>
        <v/>
      </c>
      <c r="J189" s="66" t="str">
        <f>IF(A189="","",COUNTIFS(jr_type,"BL",jr_tiers,A189,jr_rel,"&gt;0"))</f>
        <v/>
      </c>
      <c r="K189" s="60" t="str">
        <f>IF(A189="",IF(B189="","","Code manquant"),IF(COUNTIF($A$6:$A$305,A189)&gt;1,"Code en double",IF(B189="","Raison sociale manquante","OK")))</f>
        <v/>
      </c>
      <c r="L189" s="130" t="str">
        <f>IF(OR(A189="",N(H189)=0),"",H189+I189/1000000000000)</f>
        <v/>
      </c>
      <c r="M189" s="131" t="str">
        <f>IF(L189="","",RANK(L189,$L$6:$L$305)+COUNTIF($L$6:L188,L189))</f>
        <v/>
      </c>
    </row>
    <row r="190">
      <c r="A190" s="129" t="n"/>
      <c r="B190" s="59" t="n"/>
      <c r="C190" s="59" t="n"/>
      <c r="D190" s="59" t="n"/>
      <c r="E190" s="58" t="n"/>
      <c r="F190" s="58" t="n"/>
      <c r="G190" s="59" t="n"/>
      <c r="H190" s="66" t="str">
        <f>IF(A190="","",COUNTIFS(jr_new,1,jr_type,"BL",jr_tiers,A190,jr_year,p_year))</f>
        <v/>
      </c>
      <c r="I190" s="64" t="str">
        <f>IF(A190="","",SUMIFS(jr_val,jr_type,"BL",jr_tiers,A190,jr_year,p_year))</f>
        <v/>
      </c>
      <c r="J190" s="66" t="str">
        <f>IF(A190="","",COUNTIFS(jr_type,"BL",jr_tiers,A190,jr_rel,"&gt;0"))</f>
        <v/>
      </c>
      <c r="K190" s="60" t="str">
        <f>IF(A190="",IF(B190="","","Code manquant"),IF(COUNTIF($A$6:$A$305,A190)&gt;1,"Code en double",IF(B190="","Raison sociale manquante","OK")))</f>
        <v/>
      </c>
      <c r="L190" s="130" t="str">
        <f>IF(OR(A190="",N(H190)=0),"",H190+I190/1000000000000)</f>
        <v/>
      </c>
      <c r="M190" s="131" t="str">
        <f>IF(L190="","",RANK(L190,$L$6:$L$305)+COUNTIF($L$6:L189,L190))</f>
        <v/>
      </c>
    </row>
    <row r="191">
      <c r="A191" s="129" t="n"/>
      <c r="B191" s="59" t="n"/>
      <c r="C191" s="59" t="n"/>
      <c r="D191" s="59" t="n"/>
      <c r="E191" s="58" t="n"/>
      <c r="F191" s="58" t="n"/>
      <c r="G191" s="59" t="n"/>
      <c r="H191" s="66" t="str">
        <f>IF(A191="","",COUNTIFS(jr_new,1,jr_type,"BL",jr_tiers,A191,jr_year,p_year))</f>
        <v/>
      </c>
      <c r="I191" s="64" t="str">
        <f>IF(A191="","",SUMIFS(jr_val,jr_type,"BL",jr_tiers,A191,jr_year,p_year))</f>
        <v/>
      </c>
      <c r="J191" s="66" t="str">
        <f>IF(A191="","",COUNTIFS(jr_type,"BL",jr_tiers,A191,jr_rel,"&gt;0"))</f>
        <v/>
      </c>
      <c r="K191" s="60" t="str">
        <f>IF(A191="",IF(B191="","","Code manquant"),IF(COUNTIF($A$6:$A$305,A191)&gt;1,"Code en double",IF(B191="","Raison sociale manquante","OK")))</f>
        <v/>
      </c>
      <c r="L191" s="130" t="str">
        <f>IF(OR(A191="",N(H191)=0),"",H191+I191/1000000000000)</f>
        <v/>
      </c>
      <c r="M191" s="131" t="str">
        <f>IF(L191="","",RANK(L191,$L$6:$L$305)+COUNTIF($L$6:L190,L191))</f>
        <v/>
      </c>
    </row>
    <row r="192">
      <c r="A192" s="129" t="n"/>
      <c r="B192" s="59" t="n"/>
      <c r="C192" s="59" t="n"/>
      <c r="D192" s="59" t="n"/>
      <c r="E192" s="58" t="n"/>
      <c r="F192" s="58" t="n"/>
      <c r="G192" s="59" t="n"/>
      <c r="H192" s="66" t="str">
        <f>IF(A192="","",COUNTIFS(jr_new,1,jr_type,"BL",jr_tiers,A192,jr_year,p_year))</f>
        <v/>
      </c>
      <c r="I192" s="64" t="str">
        <f>IF(A192="","",SUMIFS(jr_val,jr_type,"BL",jr_tiers,A192,jr_year,p_year))</f>
        <v/>
      </c>
      <c r="J192" s="66" t="str">
        <f>IF(A192="","",COUNTIFS(jr_type,"BL",jr_tiers,A192,jr_rel,"&gt;0"))</f>
        <v/>
      </c>
      <c r="K192" s="60" t="str">
        <f>IF(A192="",IF(B192="","","Code manquant"),IF(COUNTIF($A$6:$A$305,A192)&gt;1,"Code en double",IF(B192="","Raison sociale manquante","OK")))</f>
        <v/>
      </c>
      <c r="L192" s="130" t="str">
        <f>IF(OR(A192="",N(H192)=0),"",H192+I192/1000000000000)</f>
        <v/>
      </c>
      <c r="M192" s="131" t="str">
        <f>IF(L192="","",RANK(L192,$L$6:$L$305)+COUNTIF($L$6:L191,L192))</f>
        <v/>
      </c>
    </row>
    <row r="193">
      <c r="A193" s="129" t="n"/>
      <c r="B193" s="59" t="n"/>
      <c r="C193" s="59" t="n"/>
      <c r="D193" s="59" t="n"/>
      <c r="E193" s="58" t="n"/>
      <c r="F193" s="58" t="n"/>
      <c r="G193" s="59" t="n"/>
      <c r="H193" s="66" t="str">
        <f>IF(A193="","",COUNTIFS(jr_new,1,jr_type,"BL",jr_tiers,A193,jr_year,p_year))</f>
        <v/>
      </c>
      <c r="I193" s="64" t="str">
        <f>IF(A193="","",SUMIFS(jr_val,jr_type,"BL",jr_tiers,A193,jr_year,p_year))</f>
        <v/>
      </c>
      <c r="J193" s="66" t="str">
        <f>IF(A193="","",COUNTIFS(jr_type,"BL",jr_tiers,A193,jr_rel,"&gt;0"))</f>
        <v/>
      </c>
      <c r="K193" s="60" t="str">
        <f>IF(A193="",IF(B193="","","Code manquant"),IF(COUNTIF($A$6:$A$305,A193)&gt;1,"Code en double",IF(B193="","Raison sociale manquante","OK")))</f>
        <v/>
      </c>
      <c r="L193" s="130" t="str">
        <f>IF(OR(A193="",N(H193)=0),"",H193+I193/1000000000000)</f>
        <v/>
      </c>
      <c r="M193" s="131" t="str">
        <f>IF(L193="","",RANK(L193,$L$6:$L$305)+COUNTIF($L$6:L192,L193))</f>
        <v/>
      </c>
    </row>
    <row r="194">
      <c r="A194" s="129" t="n"/>
      <c r="B194" s="59" t="n"/>
      <c r="C194" s="59" t="n"/>
      <c r="D194" s="59" t="n"/>
      <c r="E194" s="58" t="n"/>
      <c r="F194" s="58" t="n"/>
      <c r="G194" s="59" t="n"/>
      <c r="H194" s="66" t="str">
        <f>IF(A194="","",COUNTIFS(jr_new,1,jr_type,"BL",jr_tiers,A194,jr_year,p_year))</f>
        <v/>
      </c>
      <c r="I194" s="64" t="str">
        <f>IF(A194="","",SUMIFS(jr_val,jr_type,"BL",jr_tiers,A194,jr_year,p_year))</f>
        <v/>
      </c>
      <c r="J194" s="66" t="str">
        <f>IF(A194="","",COUNTIFS(jr_type,"BL",jr_tiers,A194,jr_rel,"&gt;0"))</f>
        <v/>
      </c>
      <c r="K194" s="60" t="str">
        <f>IF(A194="",IF(B194="","","Code manquant"),IF(COUNTIF($A$6:$A$305,A194)&gt;1,"Code en double",IF(B194="","Raison sociale manquante","OK")))</f>
        <v/>
      </c>
      <c r="L194" s="130" t="str">
        <f>IF(OR(A194="",N(H194)=0),"",H194+I194/1000000000000)</f>
        <v/>
      </c>
      <c r="M194" s="131" t="str">
        <f>IF(L194="","",RANK(L194,$L$6:$L$305)+COUNTIF($L$6:L193,L194))</f>
        <v/>
      </c>
    </row>
    <row r="195">
      <c r="A195" s="129" t="n"/>
      <c r="B195" s="59" t="n"/>
      <c r="C195" s="59" t="n"/>
      <c r="D195" s="59" t="n"/>
      <c r="E195" s="58" t="n"/>
      <c r="F195" s="58" t="n"/>
      <c r="G195" s="59" t="n"/>
      <c r="H195" s="66" t="str">
        <f>IF(A195="","",COUNTIFS(jr_new,1,jr_type,"BL",jr_tiers,A195,jr_year,p_year))</f>
        <v/>
      </c>
      <c r="I195" s="64" t="str">
        <f>IF(A195="","",SUMIFS(jr_val,jr_type,"BL",jr_tiers,A195,jr_year,p_year))</f>
        <v/>
      </c>
      <c r="J195" s="66" t="str">
        <f>IF(A195="","",COUNTIFS(jr_type,"BL",jr_tiers,A195,jr_rel,"&gt;0"))</f>
        <v/>
      </c>
      <c r="K195" s="60" t="str">
        <f>IF(A195="",IF(B195="","","Code manquant"),IF(COUNTIF($A$6:$A$305,A195)&gt;1,"Code en double",IF(B195="","Raison sociale manquante","OK")))</f>
        <v/>
      </c>
      <c r="L195" s="130" t="str">
        <f>IF(OR(A195="",N(H195)=0),"",H195+I195/1000000000000)</f>
        <v/>
      </c>
      <c r="M195" s="131" t="str">
        <f>IF(L195="","",RANK(L195,$L$6:$L$305)+COUNTIF($L$6:L194,L195))</f>
        <v/>
      </c>
    </row>
    <row r="196">
      <c r="A196" s="129" t="n"/>
      <c r="B196" s="59" t="n"/>
      <c r="C196" s="59" t="n"/>
      <c r="D196" s="59" t="n"/>
      <c r="E196" s="58" t="n"/>
      <c r="F196" s="58" t="n"/>
      <c r="G196" s="59" t="n"/>
      <c r="H196" s="66" t="str">
        <f>IF(A196="","",COUNTIFS(jr_new,1,jr_type,"BL",jr_tiers,A196,jr_year,p_year))</f>
        <v/>
      </c>
      <c r="I196" s="64" t="str">
        <f>IF(A196="","",SUMIFS(jr_val,jr_type,"BL",jr_tiers,A196,jr_year,p_year))</f>
        <v/>
      </c>
      <c r="J196" s="66" t="str">
        <f>IF(A196="","",COUNTIFS(jr_type,"BL",jr_tiers,A196,jr_rel,"&gt;0"))</f>
        <v/>
      </c>
      <c r="K196" s="60" t="str">
        <f>IF(A196="",IF(B196="","","Code manquant"),IF(COUNTIF($A$6:$A$305,A196)&gt;1,"Code en double",IF(B196="","Raison sociale manquante","OK")))</f>
        <v/>
      </c>
      <c r="L196" s="130" t="str">
        <f>IF(OR(A196="",N(H196)=0),"",H196+I196/1000000000000)</f>
        <v/>
      </c>
      <c r="M196" s="131" t="str">
        <f>IF(L196="","",RANK(L196,$L$6:$L$305)+COUNTIF($L$6:L195,L196))</f>
        <v/>
      </c>
    </row>
    <row r="197">
      <c r="A197" s="129" t="n"/>
      <c r="B197" s="59" t="n"/>
      <c r="C197" s="59" t="n"/>
      <c r="D197" s="59" t="n"/>
      <c r="E197" s="58" t="n"/>
      <c r="F197" s="58" t="n"/>
      <c r="G197" s="59" t="n"/>
      <c r="H197" s="66" t="str">
        <f>IF(A197="","",COUNTIFS(jr_new,1,jr_type,"BL",jr_tiers,A197,jr_year,p_year))</f>
        <v/>
      </c>
      <c r="I197" s="64" t="str">
        <f>IF(A197="","",SUMIFS(jr_val,jr_type,"BL",jr_tiers,A197,jr_year,p_year))</f>
        <v/>
      </c>
      <c r="J197" s="66" t="str">
        <f>IF(A197="","",COUNTIFS(jr_type,"BL",jr_tiers,A197,jr_rel,"&gt;0"))</f>
        <v/>
      </c>
      <c r="K197" s="60" t="str">
        <f>IF(A197="",IF(B197="","","Code manquant"),IF(COUNTIF($A$6:$A$305,A197)&gt;1,"Code en double",IF(B197="","Raison sociale manquante","OK")))</f>
        <v/>
      </c>
      <c r="L197" s="130" t="str">
        <f>IF(OR(A197="",N(H197)=0),"",H197+I197/1000000000000)</f>
        <v/>
      </c>
      <c r="M197" s="131" t="str">
        <f>IF(L197="","",RANK(L197,$L$6:$L$305)+COUNTIF($L$6:L196,L197))</f>
        <v/>
      </c>
    </row>
    <row r="198">
      <c r="A198" s="129" t="n"/>
      <c r="B198" s="59" t="n"/>
      <c r="C198" s="59" t="n"/>
      <c r="D198" s="59" t="n"/>
      <c r="E198" s="58" t="n"/>
      <c r="F198" s="58" t="n"/>
      <c r="G198" s="59" t="n"/>
      <c r="H198" s="66" t="str">
        <f>IF(A198="","",COUNTIFS(jr_new,1,jr_type,"BL",jr_tiers,A198,jr_year,p_year))</f>
        <v/>
      </c>
      <c r="I198" s="64" t="str">
        <f>IF(A198="","",SUMIFS(jr_val,jr_type,"BL",jr_tiers,A198,jr_year,p_year))</f>
        <v/>
      </c>
      <c r="J198" s="66" t="str">
        <f>IF(A198="","",COUNTIFS(jr_type,"BL",jr_tiers,A198,jr_rel,"&gt;0"))</f>
        <v/>
      </c>
      <c r="K198" s="60" t="str">
        <f>IF(A198="",IF(B198="","","Code manquant"),IF(COUNTIF($A$6:$A$305,A198)&gt;1,"Code en double",IF(B198="","Raison sociale manquante","OK")))</f>
        <v/>
      </c>
      <c r="L198" s="130" t="str">
        <f>IF(OR(A198="",N(H198)=0),"",H198+I198/1000000000000)</f>
        <v/>
      </c>
      <c r="M198" s="131" t="str">
        <f>IF(L198="","",RANK(L198,$L$6:$L$305)+COUNTIF($L$6:L197,L198))</f>
        <v/>
      </c>
    </row>
    <row r="199">
      <c r="A199" s="129" t="n"/>
      <c r="B199" s="59" t="n"/>
      <c r="C199" s="59" t="n"/>
      <c r="D199" s="59" t="n"/>
      <c r="E199" s="58" t="n"/>
      <c r="F199" s="58" t="n"/>
      <c r="G199" s="59" t="n"/>
      <c r="H199" s="66" t="str">
        <f>IF(A199="","",COUNTIFS(jr_new,1,jr_type,"BL",jr_tiers,A199,jr_year,p_year))</f>
        <v/>
      </c>
      <c r="I199" s="64" t="str">
        <f>IF(A199="","",SUMIFS(jr_val,jr_type,"BL",jr_tiers,A199,jr_year,p_year))</f>
        <v/>
      </c>
      <c r="J199" s="66" t="str">
        <f>IF(A199="","",COUNTIFS(jr_type,"BL",jr_tiers,A199,jr_rel,"&gt;0"))</f>
        <v/>
      </c>
      <c r="K199" s="60" t="str">
        <f>IF(A199="",IF(B199="","","Code manquant"),IF(COUNTIF($A$6:$A$305,A199)&gt;1,"Code en double",IF(B199="","Raison sociale manquante","OK")))</f>
        <v/>
      </c>
      <c r="L199" s="130" t="str">
        <f>IF(OR(A199="",N(H199)=0),"",H199+I199/1000000000000)</f>
        <v/>
      </c>
      <c r="M199" s="131" t="str">
        <f>IF(L199="","",RANK(L199,$L$6:$L$305)+COUNTIF($L$6:L198,L199))</f>
        <v/>
      </c>
    </row>
    <row r="200">
      <c r="A200" s="129" t="n"/>
      <c r="B200" s="59" t="n"/>
      <c r="C200" s="59" t="n"/>
      <c r="D200" s="59" t="n"/>
      <c r="E200" s="58" t="n"/>
      <c r="F200" s="58" t="n"/>
      <c r="G200" s="59" t="n"/>
      <c r="H200" s="66" t="str">
        <f>IF(A200="","",COUNTIFS(jr_new,1,jr_type,"BL",jr_tiers,A200,jr_year,p_year))</f>
        <v/>
      </c>
      <c r="I200" s="64" t="str">
        <f>IF(A200="","",SUMIFS(jr_val,jr_type,"BL",jr_tiers,A200,jr_year,p_year))</f>
        <v/>
      </c>
      <c r="J200" s="66" t="str">
        <f>IF(A200="","",COUNTIFS(jr_type,"BL",jr_tiers,A200,jr_rel,"&gt;0"))</f>
        <v/>
      </c>
      <c r="K200" s="60" t="str">
        <f>IF(A200="",IF(B200="","","Code manquant"),IF(COUNTIF($A$6:$A$305,A200)&gt;1,"Code en double",IF(B200="","Raison sociale manquante","OK")))</f>
        <v/>
      </c>
      <c r="L200" s="130" t="str">
        <f>IF(OR(A200="",N(H200)=0),"",H200+I200/1000000000000)</f>
        <v/>
      </c>
      <c r="M200" s="131" t="str">
        <f>IF(L200="","",RANK(L200,$L$6:$L$305)+COUNTIF($L$6:L199,L200))</f>
        <v/>
      </c>
    </row>
    <row r="201">
      <c r="A201" s="129" t="n"/>
      <c r="B201" s="59" t="n"/>
      <c r="C201" s="59" t="n"/>
      <c r="D201" s="59" t="n"/>
      <c r="E201" s="58" t="n"/>
      <c r="F201" s="58" t="n"/>
      <c r="G201" s="59" t="n"/>
      <c r="H201" s="66" t="str">
        <f>IF(A201="","",COUNTIFS(jr_new,1,jr_type,"BL",jr_tiers,A201,jr_year,p_year))</f>
        <v/>
      </c>
      <c r="I201" s="64" t="str">
        <f>IF(A201="","",SUMIFS(jr_val,jr_type,"BL",jr_tiers,A201,jr_year,p_year))</f>
        <v/>
      </c>
      <c r="J201" s="66" t="str">
        <f>IF(A201="","",COUNTIFS(jr_type,"BL",jr_tiers,A201,jr_rel,"&gt;0"))</f>
        <v/>
      </c>
      <c r="K201" s="60" t="str">
        <f>IF(A201="",IF(B201="","","Code manquant"),IF(COUNTIF($A$6:$A$305,A201)&gt;1,"Code en double",IF(B201="","Raison sociale manquante","OK")))</f>
        <v/>
      </c>
      <c r="L201" s="130" t="str">
        <f>IF(OR(A201="",N(H201)=0),"",H201+I201/1000000000000)</f>
        <v/>
      </c>
      <c r="M201" s="131" t="str">
        <f>IF(L201="","",RANK(L201,$L$6:$L$305)+COUNTIF($L$6:L200,L201))</f>
        <v/>
      </c>
    </row>
    <row r="202">
      <c r="A202" s="129" t="n"/>
      <c r="B202" s="59" t="n"/>
      <c r="C202" s="59" t="n"/>
      <c r="D202" s="59" t="n"/>
      <c r="E202" s="58" t="n"/>
      <c r="F202" s="58" t="n"/>
      <c r="G202" s="59" t="n"/>
      <c r="H202" s="66" t="str">
        <f>IF(A202="","",COUNTIFS(jr_new,1,jr_type,"BL",jr_tiers,A202,jr_year,p_year))</f>
        <v/>
      </c>
      <c r="I202" s="64" t="str">
        <f>IF(A202="","",SUMIFS(jr_val,jr_type,"BL",jr_tiers,A202,jr_year,p_year))</f>
        <v/>
      </c>
      <c r="J202" s="66" t="str">
        <f>IF(A202="","",COUNTIFS(jr_type,"BL",jr_tiers,A202,jr_rel,"&gt;0"))</f>
        <v/>
      </c>
      <c r="K202" s="60" t="str">
        <f>IF(A202="",IF(B202="","","Code manquant"),IF(COUNTIF($A$6:$A$305,A202)&gt;1,"Code en double",IF(B202="","Raison sociale manquante","OK")))</f>
        <v/>
      </c>
      <c r="L202" s="130" t="str">
        <f>IF(OR(A202="",N(H202)=0),"",H202+I202/1000000000000)</f>
        <v/>
      </c>
      <c r="M202" s="131" t="str">
        <f>IF(L202="","",RANK(L202,$L$6:$L$305)+COUNTIF($L$6:L201,L202))</f>
        <v/>
      </c>
    </row>
    <row r="203">
      <c r="A203" s="129" t="n"/>
      <c r="B203" s="59" t="n"/>
      <c r="C203" s="59" t="n"/>
      <c r="D203" s="59" t="n"/>
      <c r="E203" s="58" t="n"/>
      <c r="F203" s="58" t="n"/>
      <c r="G203" s="59" t="n"/>
      <c r="H203" s="66" t="str">
        <f>IF(A203="","",COUNTIFS(jr_new,1,jr_type,"BL",jr_tiers,A203,jr_year,p_year))</f>
        <v/>
      </c>
      <c r="I203" s="64" t="str">
        <f>IF(A203="","",SUMIFS(jr_val,jr_type,"BL",jr_tiers,A203,jr_year,p_year))</f>
        <v/>
      </c>
      <c r="J203" s="66" t="str">
        <f>IF(A203="","",COUNTIFS(jr_type,"BL",jr_tiers,A203,jr_rel,"&gt;0"))</f>
        <v/>
      </c>
      <c r="K203" s="60" t="str">
        <f>IF(A203="",IF(B203="","","Code manquant"),IF(COUNTIF($A$6:$A$305,A203)&gt;1,"Code en double",IF(B203="","Raison sociale manquante","OK")))</f>
        <v/>
      </c>
      <c r="L203" s="130" t="str">
        <f>IF(OR(A203="",N(H203)=0),"",H203+I203/1000000000000)</f>
        <v/>
      </c>
      <c r="M203" s="131" t="str">
        <f>IF(L203="","",RANK(L203,$L$6:$L$305)+COUNTIF($L$6:L202,L203))</f>
        <v/>
      </c>
    </row>
    <row r="204">
      <c r="A204" s="129" t="n"/>
      <c r="B204" s="59" t="n"/>
      <c r="C204" s="59" t="n"/>
      <c r="D204" s="59" t="n"/>
      <c r="E204" s="58" t="n"/>
      <c r="F204" s="58" t="n"/>
      <c r="G204" s="59" t="n"/>
      <c r="H204" s="66" t="str">
        <f>IF(A204="","",COUNTIFS(jr_new,1,jr_type,"BL",jr_tiers,A204,jr_year,p_year))</f>
        <v/>
      </c>
      <c r="I204" s="64" t="str">
        <f>IF(A204="","",SUMIFS(jr_val,jr_type,"BL",jr_tiers,A204,jr_year,p_year))</f>
        <v/>
      </c>
      <c r="J204" s="66" t="str">
        <f>IF(A204="","",COUNTIFS(jr_type,"BL",jr_tiers,A204,jr_rel,"&gt;0"))</f>
        <v/>
      </c>
      <c r="K204" s="60" t="str">
        <f>IF(A204="",IF(B204="","","Code manquant"),IF(COUNTIF($A$6:$A$305,A204)&gt;1,"Code en double",IF(B204="","Raison sociale manquante","OK")))</f>
        <v/>
      </c>
      <c r="L204" s="130" t="str">
        <f>IF(OR(A204="",N(H204)=0),"",H204+I204/1000000000000)</f>
        <v/>
      </c>
      <c r="M204" s="131" t="str">
        <f>IF(L204="","",RANK(L204,$L$6:$L$305)+COUNTIF($L$6:L203,L204))</f>
        <v/>
      </c>
    </row>
    <row r="205">
      <c r="A205" s="129" t="n"/>
      <c r="B205" s="59" t="n"/>
      <c r="C205" s="59" t="n"/>
      <c r="D205" s="59" t="n"/>
      <c r="E205" s="58" t="n"/>
      <c r="F205" s="58" t="n"/>
      <c r="G205" s="59" t="n"/>
      <c r="H205" s="66" t="str">
        <f>IF(A205="","",COUNTIFS(jr_new,1,jr_type,"BL",jr_tiers,A205,jr_year,p_year))</f>
        <v/>
      </c>
      <c r="I205" s="64" t="str">
        <f>IF(A205="","",SUMIFS(jr_val,jr_type,"BL",jr_tiers,A205,jr_year,p_year))</f>
        <v/>
      </c>
      <c r="J205" s="66" t="str">
        <f>IF(A205="","",COUNTIFS(jr_type,"BL",jr_tiers,A205,jr_rel,"&gt;0"))</f>
        <v/>
      </c>
      <c r="K205" s="60" t="str">
        <f>IF(A205="",IF(B205="","","Code manquant"),IF(COUNTIF($A$6:$A$305,A205)&gt;1,"Code en double",IF(B205="","Raison sociale manquante","OK")))</f>
        <v/>
      </c>
      <c r="L205" s="130" t="str">
        <f>IF(OR(A205="",N(H205)=0),"",H205+I205/1000000000000)</f>
        <v/>
      </c>
      <c r="M205" s="131" t="str">
        <f>IF(L205="","",RANK(L205,$L$6:$L$305)+COUNTIF($L$6:L204,L205))</f>
        <v/>
      </c>
    </row>
    <row r="206">
      <c r="A206" s="129" t="n"/>
      <c r="B206" s="59" t="n"/>
      <c r="C206" s="59" t="n"/>
      <c r="D206" s="59" t="n"/>
      <c r="E206" s="58" t="n"/>
      <c r="F206" s="58" t="n"/>
      <c r="G206" s="59" t="n"/>
      <c r="H206" s="66" t="str">
        <f>IF(A206="","",COUNTIFS(jr_new,1,jr_type,"BL",jr_tiers,A206,jr_year,p_year))</f>
        <v/>
      </c>
      <c r="I206" s="64" t="str">
        <f>IF(A206="","",SUMIFS(jr_val,jr_type,"BL",jr_tiers,A206,jr_year,p_year))</f>
        <v/>
      </c>
      <c r="J206" s="66" t="str">
        <f>IF(A206="","",COUNTIFS(jr_type,"BL",jr_tiers,A206,jr_rel,"&gt;0"))</f>
        <v/>
      </c>
      <c r="K206" s="60" t="str">
        <f>IF(A206="",IF(B206="","","Code manquant"),IF(COUNTIF($A$6:$A$305,A206)&gt;1,"Code en double",IF(B206="","Raison sociale manquante","OK")))</f>
        <v/>
      </c>
      <c r="L206" s="130" t="str">
        <f>IF(OR(A206="",N(H206)=0),"",H206+I206/1000000000000)</f>
        <v/>
      </c>
      <c r="M206" s="131" t="str">
        <f>IF(L206="","",RANK(L206,$L$6:$L$305)+COUNTIF($L$6:L205,L206))</f>
        <v/>
      </c>
    </row>
    <row r="207">
      <c r="A207" s="129" t="n"/>
      <c r="B207" s="59" t="n"/>
      <c r="C207" s="59" t="n"/>
      <c r="D207" s="59" t="n"/>
      <c r="E207" s="58" t="n"/>
      <c r="F207" s="58" t="n"/>
      <c r="G207" s="59" t="n"/>
      <c r="H207" s="66" t="str">
        <f>IF(A207="","",COUNTIFS(jr_new,1,jr_type,"BL",jr_tiers,A207,jr_year,p_year))</f>
        <v/>
      </c>
      <c r="I207" s="64" t="str">
        <f>IF(A207="","",SUMIFS(jr_val,jr_type,"BL",jr_tiers,A207,jr_year,p_year))</f>
        <v/>
      </c>
      <c r="J207" s="66" t="str">
        <f>IF(A207="","",COUNTIFS(jr_type,"BL",jr_tiers,A207,jr_rel,"&gt;0"))</f>
        <v/>
      </c>
      <c r="K207" s="60" t="str">
        <f>IF(A207="",IF(B207="","","Code manquant"),IF(COUNTIF($A$6:$A$305,A207)&gt;1,"Code en double",IF(B207="","Raison sociale manquante","OK")))</f>
        <v/>
      </c>
      <c r="L207" s="130" t="str">
        <f>IF(OR(A207="",N(H207)=0),"",H207+I207/1000000000000)</f>
        <v/>
      </c>
      <c r="M207" s="131" t="str">
        <f>IF(L207="","",RANK(L207,$L$6:$L$305)+COUNTIF($L$6:L206,L207))</f>
        <v/>
      </c>
    </row>
    <row r="208">
      <c r="A208" s="129" t="n"/>
      <c r="B208" s="59" t="n"/>
      <c r="C208" s="59" t="n"/>
      <c r="D208" s="59" t="n"/>
      <c r="E208" s="58" t="n"/>
      <c r="F208" s="58" t="n"/>
      <c r="G208" s="59" t="n"/>
      <c r="H208" s="66" t="str">
        <f>IF(A208="","",COUNTIFS(jr_new,1,jr_type,"BL",jr_tiers,A208,jr_year,p_year))</f>
        <v/>
      </c>
      <c r="I208" s="64" t="str">
        <f>IF(A208="","",SUMIFS(jr_val,jr_type,"BL",jr_tiers,A208,jr_year,p_year))</f>
        <v/>
      </c>
      <c r="J208" s="66" t="str">
        <f>IF(A208="","",COUNTIFS(jr_type,"BL",jr_tiers,A208,jr_rel,"&gt;0"))</f>
        <v/>
      </c>
      <c r="K208" s="60" t="str">
        <f>IF(A208="",IF(B208="","","Code manquant"),IF(COUNTIF($A$6:$A$305,A208)&gt;1,"Code en double",IF(B208="","Raison sociale manquante","OK")))</f>
        <v/>
      </c>
      <c r="L208" s="130" t="str">
        <f>IF(OR(A208="",N(H208)=0),"",H208+I208/1000000000000)</f>
        <v/>
      </c>
      <c r="M208" s="131" t="str">
        <f>IF(L208="","",RANK(L208,$L$6:$L$305)+COUNTIF($L$6:L207,L208))</f>
        <v/>
      </c>
    </row>
    <row r="209">
      <c r="A209" s="129" t="n"/>
      <c r="B209" s="59" t="n"/>
      <c r="C209" s="59" t="n"/>
      <c r="D209" s="59" t="n"/>
      <c r="E209" s="58" t="n"/>
      <c r="F209" s="58" t="n"/>
      <c r="G209" s="59" t="n"/>
      <c r="H209" s="66" t="str">
        <f>IF(A209="","",COUNTIFS(jr_new,1,jr_type,"BL",jr_tiers,A209,jr_year,p_year))</f>
        <v/>
      </c>
      <c r="I209" s="64" t="str">
        <f>IF(A209="","",SUMIFS(jr_val,jr_type,"BL",jr_tiers,A209,jr_year,p_year))</f>
        <v/>
      </c>
      <c r="J209" s="66" t="str">
        <f>IF(A209="","",COUNTIFS(jr_type,"BL",jr_tiers,A209,jr_rel,"&gt;0"))</f>
        <v/>
      </c>
      <c r="K209" s="60" t="str">
        <f>IF(A209="",IF(B209="","","Code manquant"),IF(COUNTIF($A$6:$A$305,A209)&gt;1,"Code en double",IF(B209="","Raison sociale manquante","OK")))</f>
        <v/>
      </c>
      <c r="L209" s="130" t="str">
        <f>IF(OR(A209="",N(H209)=0),"",H209+I209/1000000000000)</f>
        <v/>
      </c>
      <c r="M209" s="131" t="str">
        <f>IF(L209="","",RANK(L209,$L$6:$L$305)+COUNTIF($L$6:L208,L209))</f>
        <v/>
      </c>
    </row>
    <row r="210">
      <c r="A210" s="129" t="n"/>
      <c r="B210" s="59" t="n"/>
      <c r="C210" s="59" t="n"/>
      <c r="D210" s="59" t="n"/>
      <c r="E210" s="58" t="n"/>
      <c r="F210" s="58" t="n"/>
      <c r="G210" s="59" t="n"/>
      <c r="H210" s="66" t="str">
        <f>IF(A210="","",COUNTIFS(jr_new,1,jr_type,"BL",jr_tiers,A210,jr_year,p_year))</f>
        <v/>
      </c>
      <c r="I210" s="64" t="str">
        <f>IF(A210="","",SUMIFS(jr_val,jr_type,"BL",jr_tiers,A210,jr_year,p_year))</f>
        <v/>
      </c>
      <c r="J210" s="66" t="str">
        <f>IF(A210="","",COUNTIFS(jr_type,"BL",jr_tiers,A210,jr_rel,"&gt;0"))</f>
        <v/>
      </c>
      <c r="K210" s="60" t="str">
        <f>IF(A210="",IF(B210="","","Code manquant"),IF(COUNTIF($A$6:$A$305,A210)&gt;1,"Code en double",IF(B210="","Raison sociale manquante","OK")))</f>
        <v/>
      </c>
      <c r="L210" s="130" t="str">
        <f>IF(OR(A210="",N(H210)=0),"",H210+I210/1000000000000)</f>
        <v/>
      </c>
      <c r="M210" s="131" t="str">
        <f>IF(L210="","",RANK(L210,$L$6:$L$305)+COUNTIF($L$6:L209,L210))</f>
        <v/>
      </c>
    </row>
    <row r="211">
      <c r="A211" s="129" t="n"/>
      <c r="B211" s="59" t="n"/>
      <c r="C211" s="59" t="n"/>
      <c r="D211" s="59" t="n"/>
      <c r="E211" s="58" t="n"/>
      <c r="F211" s="58" t="n"/>
      <c r="G211" s="59" t="n"/>
      <c r="H211" s="66" t="str">
        <f>IF(A211="","",COUNTIFS(jr_new,1,jr_type,"BL",jr_tiers,A211,jr_year,p_year))</f>
        <v/>
      </c>
      <c r="I211" s="64" t="str">
        <f>IF(A211="","",SUMIFS(jr_val,jr_type,"BL",jr_tiers,A211,jr_year,p_year))</f>
        <v/>
      </c>
      <c r="J211" s="66" t="str">
        <f>IF(A211="","",COUNTIFS(jr_type,"BL",jr_tiers,A211,jr_rel,"&gt;0"))</f>
        <v/>
      </c>
      <c r="K211" s="60" t="str">
        <f>IF(A211="",IF(B211="","","Code manquant"),IF(COUNTIF($A$6:$A$305,A211)&gt;1,"Code en double",IF(B211="","Raison sociale manquante","OK")))</f>
        <v/>
      </c>
      <c r="L211" s="130" t="str">
        <f>IF(OR(A211="",N(H211)=0),"",H211+I211/1000000000000)</f>
        <v/>
      </c>
      <c r="M211" s="131" t="str">
        <f>IF(L211="","",RANK(L211,$L$6:$L$305)+COUNTIF($L$6:L210,L211))</f>
        <v/>
      </c>
    </row>
    <row r="212">
      <c r="A212" s="129" t="n"/>
      <c r="B212" s="59" t="n"/>
      <c r="C212" s="59" t="n"/>
      <c r="D212" s="59" t="n"/>
      <c r="E212" s="58" t="n"/>
      <c r="F212" s="58" t="n"/>
      <c r="G212" s="59" t="n"/>
      <c r="H212" s="66" t="str">
        <f>IF(A212="","",COUNTIFS(jr_new,1,jr_type,"BL",jr_tiers,A212,jr_year,p_year))</f>
        <v/>
      </c>
      <c r="I212" s="64" t="str">
        <f>IF(A212="","",SUMIFS(jr_val,jr_type,"BL",jr_tiers,A212,jr_year,p_year))</f>
        <v/>
      </c>
      <c r="J212" s="66" t="str">
        <f>IF(A212="","",COUNTIFS(jr_type,"BL",jr_tiers,A212,jr_rel,"&gt;0"))</f>
        <v/>
      </c>
      <c r="K212" s="60" t="str">
        <f>IF(A212="",IF(B212="","","Code manquant"),IF(COUNTIF($A$6:$A$305,A212)&gt;1,"Code en double",IF(B212="","Raison sociale manquante","OK")))</f>
        <v/>
      </c>
      <c r="L212" s="130" t="str">
        <f>IF(OR(A212="",N(H212)=0),"",H212+I212/1000000000000)</f>
        <v/>
      </c>
      <c r="M212" s="131" t="str">
        <f>IF(L212="","",RANK(L212,$L$6:$L$305)+COUNTIF($L$6:L211,L212))</f>
        <v/>
      </c>
    </row>
    <row r="213">
      <c r="A213" s="129" t="n"/>
      <c r="B213" s="59" t="n"/>
      <c r="C213" s="59" t="n"/>
      <c r="D213" s="59" t="n"/>
      <c r="E213" s="58" t="n"/>
      <c r="F213" s="58" t="n"/>
      <c r="G213" s="59" t="n"/>
      <c r="H213" s="66" t="str">
        <f>IF(A213="","",COUNTIFS(jr_new,1,jr_type,"BL",jr_tiers,A213,jr_year,p_year))</f>
        <v/>
      </c>
      <c r="I213" s="64" t="str">
        <f>IF(A213="","",SUMIFS(jr_val,jr_type,"BL",jr_tiers,A213,jr_year,p_year))</f>
        <v/>
      </c>
      <c r="J213" s="66" t="str">
        <f>IF(A213="","",COUNTIFS(jr_type,"BL",jr_tiers,A213,jr_rel,"&gt;0"))</f>
        <v/>
      </c>
      <c r="K213" s="60" t="str">
        <f>IF(A213="",IF(B213="","","Code manquant"),IF(COUNTIF($A$6:$A$305,A213)&gt;1,"Code en double",IF(B213="","Raison sociale manquante","OK")))</f>
        <v/>
      </c>
      <c r="L213" s="130" t="str">
        <f>IF(OR(A213="",N(H213)=0),"",H213+I213/1000000000000)</f>
        <v/>
      </c>
      <c r="M213" s="131" t="str">
        <f>IF(L213="","",RANK(L213,$L$6:$L$305)+COUNTIF($L$6:L212,L213))</f>
        <v/>
      </c>
    </row>
    <row r="214">
      <c r="A214" s="129" t="n"/>
      <c r="B214" s="59" t="n"/>
      <c r="C214" s="59" t="n"/>
      <c r="D214" s="59" t="n"/>
      <c r="E214" s="58" t="n"/>
      <c r="F214" s="58" t="n"/>
      <c r="G214" s="59" t="n"/>
      <c r="H214" s="66" t="str">
        <f>IF(A214="","",COUNTIFS(jr_new,1,jr_type,"BL",jr_tiers,A214,jr_year,p_year))</f>
        <v/>
      </c>
      <c r="I214" s="64" t="str">
        <f>IF(A214="","",SUMIFS(jr_val,jr_type,"BL",jr_tiers,A214,jr_year,p_year))</f>
        <v/>
      </c>
      <c r="J214" s="66" t="str">
        <f>IF(A214="","",COUNTIFS(jr_type,"BL",jr_tiers,A214,jr_rel,"&gt;0"))</f>
        <v/>
      </c>
      <c r="K214" s="60" t="str">
        <f>IF(A214="",IF(B214="","","Code manquant"),IF(COUNTIF($A$6:$A$305,A214)&gt;1,"Code en double",IF(B214="","Raison sociale manquante","OK")))</f>
        <v/>
      </c>
      <c r="L214" s="130" t="str">
        <f>IF(OR(A214="",N(H214)=0),"",H214+I214/1000000000000)</f>
        <v/>
      </c>
      <c r="M214" s="131" t="str">
        <f>IF(L214="","",RANK(L214,$L$6:$L$305)+COUNTIF($L$6:L213,L214))</f>
        <v/>
      </c>
    </row>
    <row r="215">
      <c r="A215" s="129" t="n"/>
      <c r="B215" s="59" t="n"/>
      <c r="C215" s="59" t="n"/>
      <c r="D215" s="59" t="n"/>
      <c r="E215" s="58" t="n"/>
      <c r="F215" s="58" t="n"/>
      <c r="G215" s="59" t="n"/>
      <c r="H215" s="66" t="str">
        <f>IF(A215="","",COUNTIFS(jr_new,1,jr_type,"BL",jr_tiers,A215,jr_year,p_year))</f>
        <v/>
      </c>
      <c r="I215" s="64" t="str">
        <f>IF(A215="","",SUMIFS(jr_val,jr_type,"BL",jr_tiers,A215,jr_year,p_year))</f>
        <v/>
      </c>
      <c r="J215" s="66" t="str">
        <f>IF(A215="","",COUNTIFS(jr_type,"BL",jr_tiers,A215,jr_rel,"&gt;0"))</f>
        <v/>
      </c>
      <c r="K215" s="60" t="str">
        <f>IF(A215="",IF(B215="","","Code manquant"),IF(COUNTIF($A$6:$A$305,A215)&gt;1,"Code en double",IF(B215="","Raison sociale manquante","OK")))</f>
        <v/>
      </c>
      <c r="L215" s="130" t="str">
        <f>IF(OR(A215="",N(H215)=0),"",H215+I215/1000000000000)</f>
        <v/>
      </c>
      <c r="M215" s="131" t="str">
        <f>IF(L215="","",RANK(L215,$L$6:$L$305)+COUNTIF($L$6:L214,L215))</f>
        <v/>
      </c>
    </row>
    <row r="216">
      <c r="A216" s="129" t="n"/>
      <c r="B216" s="59" t="n"/>
      <c r="C216" s="59" t="n"/>
      <c r="D216" s="59" t="n"/>
      <c r="E216" s="58" t="n"/>
      <c r="F216" s="58" t="n"/>
      <c r="G216" s="59" t="n"/>
      <c r="H216" s="66" t="str">
        <f>IF(A216="","",COUNTIFS(jr_new,1,jr_type,"BL",jr_tiers,A216,jr_year,p_year))</f>
        <v/>
      </c>
      <c r="I216" s="64" t="str">
        <f>IF(A216="","",SUMIFS(jr_val,jr_type,"BL",jr_tiers,A216,jr_year,p_year))</f>
        <v/>
      </c>
      <c r="J216" s="66" t="str">
        <f>IF(A216="","",COUNTIFS(jr_type,"BL",jr_tiers,A216,jr_rel,"&gt;0"))</f>
        <v/>
      </c>
      <c r="K216" s="60" t="str">
        <f>IF(A216="",IF(B216="","","Code manquant"),IF(COUNTIF($A$6:$A$305,A216)&gt;1,"Code en double",IF(B216="","Raison sociale manquante","OK")))</f>
        <v/>
      </c>
      <c r="L216" s="130" t="str">
        <f>IF(OR(A216="",N(H216)=0),"",H216+I216/1000000000000)</f>
        <v/>
      </c>
      <c r="M216" s="131" t="str">
        <f>IF(L216="","",RANK(L216,$L$6:$L$305)+COUNTIF($L$6:L215,L216))</f>
        <v/>
      </c>
    </row>
    <row r="217">
      <c r="A217" s="129" t="n"/>
      <c r="B217" s="59" t="n"/>
      <c r="C217" s="59" t="n"/>
      <c r="D217" s="59" t="n"/>
      <c r="E217" s="58" t="n"/>
      <c r="F217" s="58" t="n"/>
      <c r="G217" s="59" t="n"/>
      <c r="H217" s="66" t="str">
        <f>IF(A217="","",COUNTIFS(jr_new,1,jr_type,"BL",jr_tiers,A217,jr_year,p_year))</f>
        <v/>
      </c>
      <c r="I217" s="64" t="str">
        <f>IF(A217="","",SUMIFS(jr_val,jr_type,"BL",jr_tiers,A217,jr_year,p_year))</f>
        <v/>
      </c>
      <c r="J217" s="66" t="str">
        <f>IF(A217="","",COUNTIFS(jr_type,"BL",jr_tiers,A217,jr_rel,"&gt;0"))</f>
        <v/>
      </c>
      <c r="K217" s="60" t="str">
        <f>IF(A217="",IF(B217="","","Code manquant"),IF(COUNTIF($A$6:$A$305,A217)&gt;1,"Code en double",IF(B217="","Raison sociale manquante","OK")))</f>
        <v/>
      </c>
      <c r="L217" s="130" t="str">
        <f>IF(OR(A217="",N(H217)=0),"",H217+I217/1000000000000)</f>
        <v/>
      </c>
      <c r="M217" s="131" t="str">
        <f>IF(L217="","",RANK(L217,$L$6:$L$305)+COUNTIF($L$6:L216,L217))</f>
        <v/>
      </c>
    </row>
    <row r="218">
      <c r="A218" s="129" t="n"/>
      <c r="B218" s="59" t="n"/>
      <c r="C218" s="59" t="n"/>
      <c r="D218" s="59" t="n"/>
      <c r="E218" s="58" t="n"/>
      <c r="F218" s="58" t="n"/>
      <c r="G218" s="59" t="n"/>
      <c r="H218" s="66" t="str">
        <f>IF(A218="","",COUNTIFS(jr_new,1,jr_type,"BL",jr_tiers,A218,jr_year,p_year))</f>
        <v/>
      </c>
      <c r="I218" s="64" t="str">
        <f>IF(A218="","",SUMIFS(jr_val,jr_type,"BL",jr_tiers,A218,jr_year,p_year))</f>
        <v/>
      </c>
      <c r="J218" s="66" t="str">
        <f>IF(A218="","",COUNTIFS(jr_type,"BL",jr_tiers,A218,jr_rel,"&gt;0"))</f>
        <v/>
      </c>
      <c r="K218" s="60" t="str">
        <f>IF(A218="",IF(B218="","","Code manquant"),IF(COUNTIF($A$6:$A$305,A218)&gt;1,"Code en double",IF(B218="","Raison sociale manquante","OK")))</f>
        <v/>
      </c>
      <c r="L218" s="130" t="str">
        <f>IF(OR(A218="",N(H218)=0),"",H218+I218/1000000000000)</f>
        <v/>
      </c>
      <c r="M218" s="131" t="str">
        <f>IF(L218="","",RANK(L218,$L$6:$L$305)+COUNTIF($L$6:L217,L218))</f>
        <v/>
      </c>
    </row>
    <row r="219">
      <c r="A219" s="129" t="n"/>
      <c r="B219" s="59" t="n"/>
      <c r="C219" s="59" t="n"/>
      <c r="D219" s="59" t="n"/>
      <c r="E219" s="58" t="n"/>
      <c r="F219" s="58" t="n"/>
      <c r="G219" s="59" t="n"/>
      <c r="H219" s="66" t="str">
        <f>IF(A219="","",COUNTIFS(jr_new,1,jr_type,"BL",jr_tiers,A219,jr_year,p_year))</f>
        <v/>
      </c>
      <c r="I219" s="64" t="str">
        <f>IF(A219="","",SUMIFS(jr_val,jr_type,"BL",jr_tiers,A219,jr_year,p_year))</f>
        <v/>
      </c>
      <c r="J219" s="66" t="str">
        <f>IF(A219="","",COUNTIFS(jr_type,"BL",jr_tiers,A219,jr_rel,"&gt;0"))</f>
        <v/>
      </c>
      <c r="K219" s="60" t="str">
        <f>IF(A219="",IF(B219="","","Code manquant"),IF(COUNTIF($A$6:$A$305,A219)&gt;1,"Code en double",IF(B219="","Raison sociale manquante","OK")))</f>
        <v/>
      </c>
      <c r="L219" s="130" t="str">
        <f>IF(OR(A219="",N(H219)=0),"",H219+I219/1000000000000)</f>
        <v/>
      </c>
      <c r="M219" s="131" t="str">
        <f>IF(L219="","",RANK(L219,$L$6:$L$305)+COUNTIF($L$6:L218,L219))</f>
        <v/>
      </c>
    </row>
    <row r="220">
      <c r="A220" s="129" t="n"/>
      <c r="B220" s="59" t="n"/>
      <c r="C220" s="59" t="n"/>
      <c r="D220" s="59" t="n"/>
      <c r="E220" s="58" t="n"/>
      <c r="F220" s="58" t="n"/>
      <c r="G220" s="59" t="n"/>
      <c r="H220" s="66" t="str">
        <f>IF(A220="","",COUNTIFS(jr_new,1,jr_type,"BL",jr_tiers,A220,jr_year,p_year))</f>
        <v/>
      </c>
      <c r="I220" s="64" t="str">
        <f>IF(A220="","",SUMIFS(jr_val,jr_type,"BL",jr_tiers,A220,jr_year,p_year))</f>
        <v/>
      </c>
      <c r="J220" s="66" t="str">
        <f>IF(A220="","",COUNTIFS(jr_type,"BL",jr_tiers,A220,jr_rel,"&gt;0"))</f>
        <v/>
      </c>
      <c r="K220" s="60" t="str">
        <f>IF(A220="",IF(B220="","","Code manquant"),IF(COUNTIF($A$6:$A$305,A220)&gt;1,"Code en double",IF(B220="","Raison sociale manquante","OK")))</f>
        <v/>
      </c>
      <c r="L220" s="130" t="str">
        <f>IF(OR(A220="",N(H220)=0),"",H220+I220/1000000000000)</f>
        <v/>
      </c>
      <c r="M220" s="131" t="str">
        <f>IF(L220="","",RANK(L220,$L$6:$L$305)+COUNTIF($L$6:L219,L220))</f>
        <v/>
      </c>
    </row>
    <row r="221">
      <c r="A221" s="129" t="n"/>
      <c r="B221" s="59" t="n"/>
      <c r="C221" s="59" t="n"/>
      <c r="D221" s="59" t="n"/>
      <c r="E221" s="58" t="n"/>
      <c r="F221" s="58" t="n"/>
      <c r="G221" s="59" t="n"/>
      <c r="H221" s="66" t="str">
        <f>IF(A221="","",COUNTIFS(jr_new,1,jr_type,"BL",jr_tiers,A221,jr_year,p_year))</f>
        <v/>
      </c>
      <c r="I221" s="64" t="str">
        <f>IF(A221="","",SUMIFS(jr_val,jr_type,"BL",jr_tiers,A221,jr_year,p_year))</f>
        <v/>
      </c>
      <c r="J221" s="66" t="str">
        <f>IF(A221="","",COUNTIFS(jr_type,"BL",jr_tiers,A221,jr_rel,"&gt;0"))</f>
        <v/>
      </c>
      <c r="K221" s="60" t="str">
        <f>IF(A221="",IF(B221="","","Code manquant"),IF(COUNTIF($A$6:$A$305,A221)&gt;1,"Code en double",IF(B221="","Raison sociale manquante","OK")))</f>
        <v/>
      </c>
      <c r="L221" s="130" t="str">
        <f>IF(OR(A221="",N(H221)=0),"",H221+I221/1000000000000)</f>
        <v/>
      </c>
      <c r="M221" s="131" t="str">
        <f>IF(L221="","",RANK(L221,$L$6:$L$305)+COUNTIF($L$6:L220,L221))</f>
        <v/>
      </c>
    </row>
    <row r="222">
      <c r="A222" s="129" t="n"/>
      <c r="B222" s="59" t="n"/>
      <c r="C222" s="59" t="n"/>
      <c r="D222" s="59" t="n"/>
      <c r="E222" s="58" t="n"/>
      <c r="F222" s="58" t="n"/>
      <c r="G222" s="59" t="n"/>
      <c r="H222" s="66" t="str">
        <f>IF(A222="","",COUNTIFS(jr_new,1,jr_type,"BL",jr_tiers,A222,jr_year,p_year))</f>
        <v/>
      </c>
      <c r="I222" s="64" t="str">
        <f>IF(A222="","",SUMIFS(jr_val,jr_type,"BL",jr_tiers,A222,jr_year,p_year))</f>
        <v/>
      </c>
      <c r="J222" s="66" t="str">
        <f>IF(A222="","",COUNTIFS(jr_type,"BL",jr_tiers,A222,jr_rel,"&gt;0"))</f>
        <v/>
      </c>
      <c r="K222" s="60" t="str">
        <f>IF(A222="",IF(B222="","","Code manquant"),IF(COUNTIF($A$6:$A$305,A222)&gt;1,"Code en double",IF(B222="","Raison sociale manquante","OK")))</f>
        <v/>
      </c>
      <c r="L222" s="130" t="str">
        <f>IF(OR(A222="",N(H222)=0),"",H222+I222/1000000000000)</f>
        <v/>
      </c>
      <c r="M222" s="131" t="str">
        <f>IF(L222="","",RANK(L222,$L$6:$L$305)+COUNTIF($L$6:L221,L222))</f>
        <v/>
      </c>
    </row>
    <row r="223">
      <c r="A223" s="129" t="n"/>
      <c r="B223" s="59" t="n"/>
      <c r="C223" s="59" t="n"/>
      <c r="D223" s="59" t="n"/>
      <c r="E223" s="58" t="n"/>
      <c r="F223" s="58" t="n"/>
      <c r="G223" s="59" t="n"/>
      <c r="H223" s="66" t="str">
        <f>IF(A223="","",COUNTIFS(jr_new,1,jr_type,"BL",jr_tiers,A223,jr_year,p_year))</f>
        <v/>
      </c>
      <c r="I223" s="64" t="str">
        <f>IF(A223="","",SUMIFS(jr_val,jr_type,"BL",jr_tiers,A223,jr_year,p_year))</f>
        <v/>
      </c>
      <c r="J223" s="66" t="str">
        <f>IF(A223="","",COUNTIFS(jr_type,"BL",jr_tiers,A223,jr_rel,"&gt;0"))</f>
        <v/>
      </c>
      <c r="K223" s="60" t="str">
        <f>IF(A223="",IF(B223="","","Code manquant"),IF(COUNTIF($A$6:$A$305,A223)&gt;1,"Code en double",IF(B223="","Raison sociale manquante","OK")))</f>
        <v/>
      </c>
      <c r="L223" s="130" t="str">
        <f>IF(OR(A223="",N(H223)=0),"",H223+I223/1000000000000)</f>
        <v/>
      </c>
      <c r="M223" s="131" t="str">
        <f>IF(L223="","",RANK(L223,$L$6:$L$305)+COUNTIF($L$6:L222,L223))</f>
        <v/>
      </c>
    </row>
    <row r="224">
      <c r="A224" s="129" t="n"/>
      <c r="B224" s="59" t="n"/>
      <c r="C224" s="59" t="n"/>
      <c r="D224" s="59" t="n"/>
      <c r="E224" s="58" t="n"/>
      <c r="F224" s="58" t="n"/>
      <c r="G224" s="59" t="n"/>
      <c r="H224" s="66" t="str">
        <f>IF(A224="","",COUNTIFS(jr_new,1,jr_type,"BL",jr_tiers,A224,jr_year,p_year))</f>
        <v/>
      </c>
      <c r="I224" s="64" t="str">
        <f>IF(A224="","",SUMIFS(jr_val,jr_type,"BL",jr_tiers,A224,jr_year,p_year))</f>
        <v/>
      </c>
      <c r="J224" s="66" t="str">
        <f>IF(A224="","",COUNTIFS(jr_type,"BL",jr_tiers,A224,jr_rel,"&gt;0"))</f>
        <v/>
      </c>
      <c r="K224" s="60" t="str">
        <f>IF(A224="",IF(B224="","","Code manquant"),IF(COUNTIF($A$6:$A$305,A224)&gt;1,"Code en double",IF(B224="","Raison sociale manquante","OK")))</f>
        <v/>
      </c>
      <c r="L224" s="130" t="str">
        <f>IF(OR(A224="",N(H224)=0),"",H224+I224/1000000000000)</f>
        <v/>
      </c>
      <c r="M224" s="131" t="str">
        <f>IF(L224="","",RANK(L224,$L$6:$L$305)+COUNTIF($L$6:L223,L224))</f>
        <v/>
      </c>
    </row>
    <row r="225">
      <c r="A225" s="129" t="n"/>
      <c r="B225" s="59" t="n"/>
      <c r="C225" s="59" t="n"/>
      <c r="D225" s="59" t="n"/>
      <c r="E225" s="58" t="n"/>
      <c r="F225" s="58" t="n"/>
      <c r="G225" s="59" t="n"/>
      <c r="H225" s="66" t="str">
        <f>IF(A225="","",COUNTIFS(jr_new,1,jr_type,"BL",jr_tiers,A225,jr_year,p_year))</f>
        <v/>
      </c>
      <c r="I225" s="64" t="str">
        <f>IF(A225="","",SUMIFS(jr_val,jr_type,"BL",jr_tiers,A225,jr_year,p_year))</f>
        <v/>
      </c>
      <c r="J225" s="66" t="str">
        <f>IF(A225="","",COUNTIFS(jr_type,"BL",jr_tiers,A225,jr_rel,"&gt;0"))</f>
        <v/>
      </c>
      <c r="K225" s="60" t="str">
        <f>IF(A225="",IF(B225="","","Code manquant"),IF(COUNTIF($A$6:$A$305,A225)&gt;1,"Code en double",IF(B225="","Raison sociale manquante","OK")))</f>
        <v/>
      </c>
      <c r="L225" s="130" t="str">
        <f>IF(OR(A225="",N(H225)=0),"",H225+I225/1000000000000)</f>
        <v/>
      </c>
      <c r="M225" s="131" t="str">
        <f>IF(L225="","",RANK(L225,$L$6:$L$305)+COUNTIF($L$6:L224,L225))</f>
        <v/>
      </c>
    </row>
    <row r="226">
      <c r="A226" s="129" t="n"/>
      <c r="B226" s="59" t="n"/>
      <c r="C226" s="59" t="n"/>
      <c r="D226" s="59" t="n"/>
      <c r="E226" s="58" t="n"/>
      <c r="F226" s="58" t="n"/>
      <c r="G226" s="59" t="n"/>
      <c r="H226" s="66" t="str">
        <f>IF(A226="","",COUNTIFS(jr_new,1,jr_type,"BL",jr_tiers,A226,jr_year,p_year))</f>
        <v/>
      </c>
      <c r="I226" s="64" t="str">
        <f>IF(A226="","",SUMIFS(jr_val,jr_type,"BL",jr_tiers,A226,jr_year,p_year))</f>
        <v/>
      </c>
      <c r="J226" s="66" t="str">
        <f>IF(A226="","",COUNTIFS(jr_type,"BL",jr_tiers,A226,jr_rel,"&gt;0"))</f>
        <v/>
      </c>
      <c r="K226" s="60" t="str">
        <f>IF(A226="",IF(B226="","","Code manquant"),IF(COUNTIF($A$6:$A$305,A226)&gt;1,"Code en double",IF(B226="","Raison sociale manquante","OK")))</f>
        <v/>
      </c>
      <c r="L226" s="130" t="str">
        <f>IF(OR(A226="",N(H226)=0),"",H226+I226/1000000000000)</f>
        <v/>
      </c>
      <c r="M226" s="131" t="str">
        <f>IF(L226="","",RANK(L226,$L$6:$L$305)+COUNTIF($L$6:L225,L226))</f>
        <v/>
      </c>
    </row>
    <row r="227">
      <c r="A227" s="129" t="n"/>
      <c r="B227" s="59" t="n"/>
      <c r="C227" s="59" t="n"/>
      <c r="D227" s="59" t="n"/>
      <c r="E227" s="58" t="n"/>
      <c r="F227" s="58" t="n"/>
      <c r="G227" s="59" t="n"/>
      <c r="H227" s="66" t="str">
        <f>IF(A227="","",COUNTIFS(jr_new,1,jr_type,"BL",jr_tiers,A227,jr_year,p_year))</f>
        <v/>
      </c>
      <c r="I227" s="64" t="str">
        <f>IF(A227="","",SUMIFS(jr_val,jr_type,"BL",jr_tiers,A227,jr_year,p_year))</f>
        <v/>
      </c>
      <c r="J227" s="66" t="str">
        <f>IF(A227="","",COUNTIFS(jr_type,"BL",jr_tiers,A227,jr_rel,"&gt;0"))</f>
        <v/>
      </c>
      <c r="K227" s="60" t="str">
        <f>IF(A227="",IF(B227="","","Code manquant"),IF(COUNTIF($A$6:$A$305,A227)&gt;1,"Code en double",IF(B227="","Raison sociale manquante","OK")))</f>
        <v/>
      </c>
      <c r="L227" s="130" t="str">
        <f>IF(OR(A227="",N(H227)=0),"",H227+I227/1000000000000)</f>
        <v/>
      </c>
      <c r="M227" s="131" t="str">
        <f>IF(L227="","",RANK(L227,$L$6:$L$305)+COUNTIF($L$6:L226,L227))</f>
        <v/>
      </c>
    </row>
    <row r="228">
      <c r="A228" s="129" t="n"/>
      <c r="B228" s="59" t="n"/>
      <c r="C228" s="59" t="n"/>
      <c r="D228" s="59" t="n"/>
      <c r="E228" s="58" t="n"/>
      <c r="F228" s="58" t="n"/>
      <c r="G228" s="59" t="n"/>
      <c r="H228" s="66" t="str">
        <f>IF(A228="","",COUNTIFS(jr_new,1,jr_type,"BL",jr_tiers,A228,jr_year,p_year))</f>
        <v/>
      </c>
      <c r="I228" s="64" t="str">
        <f>IF(A228="","",SUMIFS(jr_val,jr_type,"BL",jr_tiers,A228,jr_year,p_year))</f>
        <v/>
      </c>
      <c r="J228" s="66" t="str">
        <f>IF(A228="","",COUNTIFS(jr_type,"BL",jr_tiers,A228,jr_rel,"&gt;0"))</f>
        <v/>
      </c>
      <c r="K228" s="60" t="str">
        <f>IF(A228="",IF(B228="","","Code manquant"),IF(COUNTIF($A$6:$A$305,A228)&gt;1,"Code en double",IF(B228="","Raison sociale manquante","OK")))</f>
        <v/>
      </c>
      <c r="L228" s="130" t="str">
        <f>IF(OR(A228="",N(H228)=0),"",H228+I228/1000000000000)</f>
        <v/>
      </c>
      <c r="M228" s="131" t="str">
        <f>IF(L228="","",RANK(L228,$L$6:$L$305)+COUNTIF($L$6:L227,L228))</f>
        <v/>
      </c>
    </row>
    <row r="229">
      <c r="A229" s="129" t="n"/>
      <c r="B229" s="59" t="n"/>
      <c r="C229" s="59" t="n"/>
      <c r="D229" s="59" t="n"/>
      <c r="E229" s="58" t="n"/>
      <c r="F229" s="58" t="n"/>
      <c r="G229" s="59" t="n"/>
      <c r="H229" s="66" t="str">
        <f>IF(A229="","",COUNTIFS(jr_new,1,jr_type,"BL",jr_tiers,A229,jr_year,p_year))</f>
        <v/>
      </c>
      <c r="I229" s="64" t="str">
        <f>IF(A229="","",SUMIFS(jr_val,jr_type,"BL",jr_tiers,A229,jr_year,p_year))</f>
        <v/>
      </c>
      <c r="J229" s="66" t="str">
        <f>IF(A229="","",COUNTIFS(jr_type,"BL",jr_tiers,A229,jr_rel,"&gt;0"))</f>
        <v/>
      </c>
      <c r="K229" s="60" t="str">
        <f>IF(A229="",IF(B229="","","Code manquant"),IF(COUNTIF($A$6:$A$305,A229)&gt;1,"Code en double",IF(B229="","Raison sociale manquante","OK")))</f>
        <v/>
      </c>
      <c r="L229" s="130" t="str">
        <f>IF(OR(A229="",N(H229)=0),"",H229+I229/1000000000000)</f>
        <v/>
      </c>
      <c r="M229" s="131" t="str">
        <f>IF(L229="","",RANK(L229,$L$6:$L$305)+COUNTIF($L$6:L228,L229))</f>
        <v/>
      </c>
    </row>
    <row r="230">
      <c r="A230" s="129" t="n"/>
      <c r="B230" s="59" t="n"/>
      <c r="C230" s="59" t="n"/>
      <c r="D230" s="59" t="n"/>
      <c r="E230" s="58" t="n"/>
      <c r="F230" s="58" t="n"/>
      <c r="G230" s="59" t="n"/>
      <c r="H230" s="66" t="str">
        <f>IF(A230="","",COUNTIFS(jr_new,1,jr_type,"BL",jr_tiers,A230,jr_year,p_year))</f>
        <v/>
      </c>
      <c r="I230" s="64" t="str">
        <f>IF(A230="","",SUMIFS(jr_val,jr_type,"BL",jr_tiers,A230,jr_year,p_year))</f>
        <v/>
      </c>
      <c r="J230" s="66" t="str">
        <f>IF(A230="","",COUNTIFS(jr_type,"BL",jr_tiers,A230,jr_rel,"&gt;0"))</f>
        <v/>
      </c>
      <c r="K230" s="60" t="str">
        <f>IF(A230="",IF(B230="","","Code manquant"),IF(COUNTIF($A$6:$A$305,A230)&gt;1,"Code en double",IF(B230="","Raison sociale manquante","OK")))</f>
        <v/>
      </c>
      <c r="L230" s="130" t="str">
        <f>IF(OR(A230="",N(H230)=0),"",H230+I230/1000000000000)</f>
        <v/>
      </c>
      <c r="M230" s="131" t="str">
        <f>IF(L230="","",RANK(L230,$L$6:$L$305)+COUNTIF($L$6:L229,L230))</f>
        <v/>
      </c>
    </row>
    <row r="231">
      <c r="A231" s="129" t="n"/>
      <c r="B231" s="59" t="n"/>
      <c r="C231" s="59" t="n"/>
      <c r="D231" s="59" t="n"/>
      <c r="E231" s="58" t="n"/>
      <c r="F231" s="58" t="n"/>
      <c r="G231" s="59" t="n"/>
      <c r="H231" s="66" t="str">
        <f>IF(A231="","",COUNTIFS(jr_new,1,jr_type,"BL",jr_tiers,A231,jr_year,p_year))</f>
        <v/>
      </c>
      <c r="I231" s="64" t="str">
        <f>IF(A231="","",SUMIFS(jr_val,jr_type,"BL",jr_tiers,A231,jr_year,p_year))</f>
        <v/>
      </c>
      <c r="J231" s="66" t="str">
        <f>IF(A231="","",COUNTIFS(jr_type,"BL",jr_tiers,A231,jr_rel,"&gt;0"))</f>
        <v/>
      </c>
      <c r="K231" s="60" t="str">
        <f>IF(A231="",IF(B231="","","Code manquant"),IF(COUNTIF($A$6:$A$305,A231)&gt;1,"Code en double",IF(B231="","Raison sociale manquante","OK")))</f>
        <v/>
      </c>
      <c r="L231" s="130" t="str">
        <f>IF(OR(A231="",N(H231)=0),"",H231+I231/1000000000000)</f>
        <v/>
      </c>
      <c r="M231" s="131" t="str">
        <f>IF(L231="","",RANK(L231,$L$6:$L$305)+COUNTIF($L$6:L230,L231))</f>
        <v/>
      </c>
    </row>
    <row r="232">
      <c r="A232" s="129" t="n"/>
      <c r="B232" s="59" t="n"/>
      <c r="C232" s="59" t="n"/>
      <c r="D232" s="59" t="n"/>
      <c r="E232" s="58" t="n"/>
      <c r="F232" s="58" t="n"/>
      <c r="G232" s="59" t="n"/>
      <c r="H232" s="66" t="str">
        <f>IF(A232="","",COUNTIFS(jr_new,1,jr_type,"BL",jr_tiers,A232,jr_year,p_year))</f>
        <v/>
      </c>
      <c r="I232" s="64" t="str">
        <f>IF(A232="","",SUMIFS(jr_val,jr_type,"BL",jr_tiers,A232,jr_year,p_year))</f>
        <v/>
      </c>
      <c r="J232" s="66" t="str">
        <f>IF(A232="","",COUNTIFS(jr_type,"BL",jr_tiers,A232,jr_rel,"&gt;0"))</f>
        <v/>
      </c>
      <c r="K232" s="60" t="str">
        <f>IF(A232="",IF(B232="","","Code manquant"),IF(COUNTIF($A$6:$A$305,A232)&gt;1,"Code en double",IF(B232="","Raison sociale manquante","OK")))</f>
        <v/>
      </c>
      <c r="L232" s="130" t="str">
        <f>IF(OR(A232="",N(H232)=0),"",H232+I232/1000000000000)</f>
        <v/>
      </c>
      <c r="M232" s="131" t="str">
        <f>IF(L232="","",RANK(L232,$L$6:$L$305)+COUNTIF($L$6:L231,L232))</f>
        <v/>
      </c>
    </row>
    <row r="233">
      <c r="A233" s="129" t="n"/>
      <c r="B233" s="59" t="n"/>
      <c r="C233" s="59" t="n"/>
      <c r="D233" s="59" t="n"/>
      <c r="E233" s="58" t="n"/>
      <c r="F233" s="58" t="n"/>
      <c r="G233" s="59" t="n"/>
      <c r="H233" s="66" t="str">
        <f>IF(A233="","",COUNTIFS(jr_new,1,jr_type,"BL",jr_tiers,A233,jr_year,p_year))</f>
        <v/>
      </c>
      <c r="I233" s="64" t="str">
        <f>IF(A233="","",SUMIFS(jr_val,jr_type,"BL",jr_tiers,A233,jr_year,p_year))</f>
        <v/>
      </c>
      <c r="J233" s="66" t="str">
        <f>IF(A233="","",COUNTIFS(jr_type,"BL",jr_tiers,A233,jr_rel,"&gt;0"))</f>
        <v/>
      </c>
      <c r="K233" s="60" t="str">
        <f>IF(A233="",IF(B233="","","Code manquant"),IF(COUNTIF($A$6:$A$305,A233)&gt;1,"Code en double",IF(B233="","Raison sociale manquante","OK")))</f>
        <v/>
      </c>
      <c r="L233" s="130" t="str">
        <f>IF(OR(A233="",N(H233)=0),"",H233+I233/1000000000000)</f>
        <v/>
      </c>
      <c r="M233" s="131" t="str">
        <f>IF(L233="","",RANK(L233,$L$6:$L$305)+COUNTIF($L$6:L232,L233))</f>
        <v/>
      </c>
    </row>
    <row r="234">
      <c r="A234" s="129" t="n"/>
      <c r="B234" s="59" t="n"/>
      <c r="C234" s="59" t="n"/>
      <c r="D234" s="59" t="n"/>
      <c r="E234" s="58" t="n"/>
      <c r="F234" s="58" t="n"/>
      <c r="G234" s="59" t="n"/>
      <c r="H234" s="66" t="str">
        <f>IF(A234="","",COUNTIFS(jr_new,1,jr_type,"BL",jr_tiers,A234,jr_year,p_year))</f>
        <v/>
      </c>
      <c r="I234" s="64" t="str">
        <f>IF(A234="","",SUMIFS(jr_val,jr_type,"BL",jr_tiers,A234,jr_year,p_year))</f>
        <v/>
      </c>
      <c r="J234" s="66" t="str">
        <f>IF(A234="","",COUNTIFS(jr_type,"BL",jr_tiers,A234,jr_rel,"&gt;0"))</f>
        <v/>
      </c>
      <c r="K234" s="60" t="str">
        <f>IF(A234="",IF(B234="","","Code manquant"),IF(COUNTIF($A$6:$A$305,A234)&gt;1,"Code en double",IF(B234="","Raison sociale manquante","OK")))</f>
        <v/>
      </c>
      <c r="L234" s="130" t="str">
        <f>IF(OR(A234="",N(H234)=0),"",H234+I234/1000000000000)</f>
        <v/>
      </c>
      <c r="M234" s="131" t="str">
        <f>IF(L234="","",RANK(L234,$L$6:$L$305)+COUNTIF($L$6:L233,L234))</f>
        <v/>
      </c>
    </row>
    <row r="235">
      <c r="A235" s="129" t="n"/>
      <c r="B235" s="59" t="n"/>
      <c r="C235" s="59" t="n"/>
      <c r="D235" s="59" t="n"/>
      <c r="E235" s="58" t="n"/>
      <c r="F235" s="58" t="n"/>
      <c r="G235" s="59" t="n"/>
      <c r="H235" s="66" t="str">
        <f>IF(A235="","",COUNTIFS(jr_new,1,jr_type,"BL",jr_tiers,A235,jr_year,p_year))</f>
        <v/>
      </c>
      <c r="I235" s="64" t="str">
        <f>IF(A235="","",SUMIFS(jr_val,jr_type,"BL",jr_tiers,A235,jr_year,p_year))</f>
        <v/>
      </c>
      <c r="J235" s="66" t="str">
        <f>IF(A235="","",COUNTIFS(jr_type,"BL",jr_tiers,A235,jr_rel,"&gt;0"))</f>
        <v/>
      </c>
      <c r="K235" s="60" t="str">
        <f>IF(A235="",IF(B235="","","Code manquant"),IF(COUNTIF($A$6:$A$305,A235)&gt;1,"Code en double",IF(B235="","Raison sociale manquante","OK")))</f>
        <v/>
      </c>
      <c r="L235" s="130" t="str">
        <f>IF(OR(A235="",N(H235)=0),"",H235+I235/1000000000000)</f>
        <v/>
      </c>
      <c r="M235" s="131" t="str">
        <f>IF(L235="","",RANK(L235,$L$6:$L$305)+COUNTIF($L$6:L234,L235))</f>
        <v/>
      </c>
    </row>
    <row r="236">
      <c r="A236" s="129" t="n"/>
      <c r="B236" s="59" t="n"/>
      <c r="C236" s="59" t="n"/>
      <c r="D236" s="59" t="n"/>
      <c r="E236" s="58" t="n"/>
      <c r="F236" s="58" t="n"/>
      <c r="G236" s="59" t="n"/>
      <c r="H236" s="66" t="str">
        <f>IF(A236="","",COUNTIFS(jr_new,1,jr_type,"BL",jr_tiers,A236,jr_year,p_year))</f>
        <v/>
      </c>
      <c r="I236" s="64" t="str">
        <f>IF(A236="","",SUMIFS(jr_val,jr_type,"BL",jr_tiers,A236,jr_year,p_year))</f>
        <v/>
      </c>
      <c r="J236" s="66" t="str">
        <f>IF(A236="","",COUNTIFS(jr_type,"BL",jr_tiers,A236,jr_rel,"&gt;0"))</f>
        <v/>
      </c>
      <c r="K236" s="60" t="str">
        <f>IF(A236="",IF(B236="","","Code manquant"),IF(COUNTIF($A$6:$A$305,A236)&gt;1,"Code en double",IF(B236="","Raison sociale manquante","OK")))</f>
        <v/>
      </c>
      <c r="L236" s="130" t="str">
        <f>IF(OR(A236="",N(H236)=0),"",H236+I236/1000000000000)</f>
        <v/>
      </c>
      <c r="M236" s="131" t="str">
        <f>IF(L236="","",RANK(L236,$L$6:$L$305)+COUNTIF($L$6:L235,L236))</f>
        <v/>
      </c>
    </row>
    <row r="237">
      <c r="A237" s="129" t="n"/>
      <c r="B237" s="59" t="n"/>
      <c r="C237" s="59" t="n"/>
      <c r="D237" s="59" t="n"/>
      <c r="E237" s="58" t="n"/>
      <c r="F237" s="58" t="n"/>
      <c r="G237" s="59" t="n"/>
      <c r="H237" s="66" t="str">
        <f>IF(A237="","",COUNTIFS(jr_new,1,jr_type,"BL",jr_tiers,A237,jr_year,p_year))</f>
        <v/>
      </c>
      <c r="I237" s="64" t="str">
        <f>IF(A237="","",SUMIFS(jr_val,jr_type,"BL",jr_tiers,A237,jr_year,p_year))</f>
        <v/>
      </c>
      <c r="J237" s="66" t="str">
        <f>IF(A237="","",COUNTIFS(jr_type,"BL",jr_tiers,A237,jr_rel,"&gt;0"))</f>
        <v/>
      </c>
      <c r="K237" s="60" t="str">
        <f>IF(A237="",IF(B237="","","Code manquant"),IF(COUNTIF($A$6:$A$305,A237)&gt;1,"Code en double",IF(B237="","Raison sociale manquante","OK")))</f>
        <v/>
      </c>
      <c r="L237" s="130" t="str">
        <f>IF(OR(A237="",N(H237)=0),"",H237+I237/1000000000000)</f>
        <v/>
      </c>
      <c r="M237" s="131" t="str">
        <f>IF(L237="","",RANK(L237,$L$6:$L$305)+COUNTIF($L$6:L236,L237))</f>
        <v/>
      </c>
    </row>
    <row r="238">
      <c r="A238" s="129" t="n"/>
      <c r="B238" s="59" t="n"/>
      <c r="C238" s="59" t="n"/>
      <c r="D238" s="59" t="n"/>
      <c r="E238" s="58" t="n"/>
      <c r="F238" s="58" t="n"/>
      <c r="G238" s="59" t="n"/>
      <c r="H238" s="66" t="str">
        <f>IF(A238="","",COUNTIFS(jr_new,1,jr_type,"BL",jr_tiers,A238,jr_year,p_year))</f>
        <v/>
      </c>
      <c r="I238" s="64" t="str">
        <f>IF(A238="","",SUMIFS(jr_val,jr_type,"BL",jr_tiers,A238,jr_year,p_year))</f>
        <v/>
      </c>
      <c r="J238" s="66" t="str">
        <f>IF(A238="","",COUNTIFS(jr_type,"BL",jr_tiers,A238,jr_rel,"&gt;0"))</f>
        <v/>
      </c>
      <c r="K238" s="60" t="str">
        <f>IF(A238="",IF(B238="","","Code manquant"),IF(COUNTIF($A$6:$A$305,A238)&gt;1,"Code en double",IF(B238="","Raison sociale manquante","OK")))</f>
        <v/>
      </c>
      <c r="L238" s="130" t="str">
        <f>IF(OR(A238="",N(H238)=0),"",H238+I238/1000000000000)</f>
        <v/>
      </c>
      <c r="M238" s="131" t="str">
        <f>IF(L238="","",RANK(L238,$L$6:$L$305)+COUNTIF($L$6:L237,L238))</f>
        <v/>
      </c>
    </row>
    <row r="239">
      <c r="A239" s="129" t="n"/>
      <c r="B239" s="59" t="n"/>
      <c r="C239" s="59" t="n"/>
      <c r="D239" s="59" t="n"/>
      <c r="E239" s="58" t="n"/>
      <c r="F239" s="58" t="n"/>
      <c r="G239" s="59" t="n"/>
      <c r="H239" s="66" t="str">
        <f>IF(A239="","",COUNTIFS(jr_new,1,jr_type,"BL",jr_tiers,A239,jr_year,p_year))</f>
        <v/>
      </c>
      <c r="I239" s="64" t="str">
        <f>IF(A239="","",SUMIFS(jr_val,jr_type,"BL",jr_tiers,A239,jr_year,p_year))</f>
        <v/>
      </c>
      <c r="J239" s="66" t="str">
        <f>IF(A239="","",COUNTIFS(jr_type,"BL",jr_tiers,A239,jr_rel,"&gt;0"))</f>
        <v/>
      </c>
      <c r="K239" s="60" t="str">
        <f>IF(A239="",IF(B239="","","Code manquant"),IF(COUNTIF($A$6:$A$305,A239)&gt;1,"Code en double",IF(B239="","Raison sociale manquante","OK")))</f>
        <v/>
      </c>
      <c r="L239" s="130" t="str">
        <f>IF(OR(A239="",N(H239)=0),"",H239+I239/1000000000000)</f>
        <v/>
      </c>
      <c r="M239" s="131" t="str">
        <f>IF(L239="","",RANK(L239,$L$6:$L$305)+COUNTIF($L$6:L238,L239))</f>
        <v/>
      </c>
    </row>
    <row r="240">
      <c r="A240" s="129" t="n"/>
      <c r="B240" s="59" t="n"/>
      <c r="C240" s="59" t="n"/>
      <c r="D240" s="59" t="n"/>
      <c r="E240" s="58" t="n"/>
      <c r="F240" s="58" t="n"/>
      <c r="G240" s="59" t="n"/>
      <c r="H240" s="66" t="str">
        <f>IF(A240="","",COUNTIFS(jr_new,1,jr_type,"BL",jr_tiers,A240,jr_year,p_year))</f>
        <v/>
      </c>
      <c r="I240" s="64" t="str">
        <f>IF(A240="","",SUMIFS(jr_val,jr_type,"BL",jr_tiers,A240,jr_year,p_year))</f>
        <v/>
      </c>
      <c r="J240" s="66" t="str">
        <f>IF(A240="","",COUNTIFS(jr_type,"BL",jr_tiers,A240,jr_rel,"&gt;0"))</f>
        <v/>
      </c>
      <c r="K240" s="60" t="str">
        <f>IF(A240="",IF(B240="","","Code manquant"),IF(COUNTIF($A$6:$A$305,A240)&gt;1,"Code en double",IF(B240="","Raison sociale manquante","OK")))</f>
        <v/>
      </c>
      <c r="L240" s="130" t="str">
        <f>IF(OR(A240="",N(H240)=0),"",H240+I240/1000000000000)</f>
        <v/>
      </c>
      <c r="M240" s="131" t="str">
        <f>IF(L240="","",RANK(L240,$L$6:$L$305)+COUNTIF($L$6:L239,L240))</f>
        <v/>
      </c>
    </row>
    <row r="241">
      <c r="A241" s="129" t="n"/>
      <c r="B241" s="59" t="n"/>
      <c r="C241" s="59" t="n"/>
      <c r="D241" s="59" t="n"/>
      <c r="E241" s="58" t="n"/>
      <c r="F241" s="58" t="n"/>
      <c r="G241" s="59" t="n"/>
      <c r="H241" s="66" t="str">
        <f>IF(A241="","",COUNTIFS(jr_new,1,jr_type,"BL",jr_tiers,A241,jr_year,p_year))</f>
        <v/>
      </c>
      <c r="I241" s="64" t="str">
        <f>IF(A241="","",SUMIFS(jr_val,jr_type,"BL",jr_tiers,A241,jr_year,p_year))</f>
        <v/>
      </c>
      <c r="J241" s="66" t="str">
        <f>IF(A241="","",COUNTIFS(jr_type,"BL",jr_tiers,A241,jr_rel,"&gt;0"))</f>
        <v/>
      </c>
      <c r="K241" s="60" t="str">
        <f>IF(A241="",IF(B241="","","Code manquant"),IF(COUNTIF($A$6:$A$305,A241)&gt;1,"Code en double",IF(B241="","Raison sociale manquante","OK")))</f>
        <v/>
      </c>
      <c r="L241" s="130" t="str">
        <f>IF(OR(A241="",N(H241)=0),"",H241+I241/1000000000000)</f>
        <v/>
      </c>
      <c r="M241" s="131" t="str">
        <f>IF(L241="","",RANK(L241,$L$6:$L$305)+COUNTIF($L$6:L240,L241))</f>
        <v/>
      </c>
    </row>
    <row r="242">
      <c r="A242" s="129" t="n"/>
      <c r="B242" s="59" t="n"/>
      <c r="C242" s="59" t="n"/>
      <c r="D242" s="59" t="n"/>
      <c r="E242" s="58" t="n"/>
      <c r="F242" s="58" t="n"/>
      <c r="G242" s="59" t="n"/>
      <c r="H242" s="66" t="str">
        <f>IF(A242="","",COUNTIFS(jr_new,1,jr_type,"BL",jr_tiers,A242,jr_year,p_year))</f>
        <v/>
      </c>
      <c r="I242" s="64" t="str">
        <f>IF(A242="","",SUMIFS(jr_val,jr_type,"BL",jr_tiers,A242,jr_year,p_year))</f>
        <v/>
      </c>
      <c r="J242" s="66" t="str">
        <f>IF(A242="","",COUNTIFS(jr_type,"BL",jr_tiers,A242,jr_rel,"&gt;0"))</f>
        <v/>
      </c>
      <c r="K242" s="60" t="str">
        <f>IF(A242="",IF(B242="","","Code manquant"),IF(COUNTIF($A$6:$A$305,A242)&gt;1,"Code en double",IF(B242="","Raison sociale manquante","OK")))</f>
        <v/>
      </c>
      <c r="L242" s="130" t="str">
        <f>IF(OR(A242="",N(H242)=0),"",H242+I242/1000000000000)</f>
        <v/>
      </c>
      <c r="M242" s="131" t="str">
        <f>IF(L242="","",RANK(L242,$L$6:$L$305)+COUNTIF($L$6:L241,L242))</f>
        <v/>
      </c>
    </row>
    <row r="243">
      <c r="A243" s="129" t="n"/>
      <c r="B243" s="59" t="n"/>
      <c r="C243" s="59" t="n"/>
      <c r="D243" s="59" t="n"/>
      <c r="E243" s="58" t="n"/>
      <c r="F243" s="58" t="n"/>
      <c r="G243" s="59" t="n"/>
      <c r="H243" s="66" t="str">
        <f>IF(A243="","",COUNTIFS(jr_new,1,jr_type,"BL",jr_tiers,A243,jr_year,p_year))</f>
        <v/>
      </c>
      <c r="I243" s="64" t="str">
        <f>IF(A243="","",SUMIFS(jr_val,jr_type,"BL",jr_tiers,A243,jr_year,p_year))</f>
        <v/>
      </c>
      <c r="J243" s="66" t="str">
        <f>IF(A243="","",COUNTIFS(jr_type,"BL",jr_tiers,A243,jr_rel,"&gt;0"))</f>
        <v/>
      </c>
      <c r="K243" s="60" t="str">
        <f>IF(A243="",IF(B243="","","Code manquant"),IF(COUNTIF($A$6:$A$305,A243)&gt;1,"Code en double",IF(B243="","Raison sociale manquante","OK")))</f>
        <v/>
      </c>
      <c r="L243" s="130" t="str">
        <f>IF(OR(A243="",N(H243)=0),"",H243+I243/1000000000000)</f>
        <v/>
      </c>
      <c r="M243" s="131" t="str">
        <f>IF(L243="","",RANK(L243,$L$6:$L$305)+COUNTIF($L$6:L242,L243))</f>
        <v/>
      </c>
    </row>
    <row r="244">
      <c r="A244" s="129" t="n"/>
      <c r="B244" s="59" t="n"/>
      <c r="C244" s="59" t="n"/>
      <c r="D244" s="59" t="n"/>
      <c r="E244" s="58" t="n"/>
      <c r="F244" s="58" t="n"/>
      <c r="G244" s="59" t="n"/>
      <c r="H244" s="66" t="str">
        <f>IF(A244="","",COUNTIFS(jr_new,1,jr_type,"BL",jr_tiers,A244,jr_year,p_year))</f>
        <v/>
      </c>
      <c r="I244" s="64" t="str">
        <f>IF(A244="","",SUMIFS(jr_val,jr_type,"BL",jr_tiers,A244,jr_year,p_year))</f>
        <v/>
      </c>
      <c r="J244" s="66" t="str">
        <f>IF(A244="","",COUNTIFS(jr_type,"BL",jr_tiers,A244,jr_rel,"&gt;0"))</f>
        <v/>
      </c>
      <c r="K244" s="60" t="str">
        <f>IF(A244="",IF(B244="","","Code manquant"),IF(COUNTIF($A$6:$A$305,A244)&gt;1,"Code en double",IF(B244="","Raison sociale manquante","OK")))</f>
        <v/>
      </c>
      <c r="L244" s="130" t="str">
        <f>IF(OR(A244="",N(H244)=0),"",H244+I244/1000000000000)</f>
        <v/>
      </c>
      <c r="M244" s="131" t="str">
        <f>IF(L244="","",RANK(L244,$L$6:$L$305)+COUNTIF($L$6:L243,L244))</f>
        <v/>
      </c>
    </row>
    <row r="245">
      <c r="A245" s="129" t="n"/>
      <c r="B245" s="59" t="n"/>
      <c r="C245" s="59" t="n"/>
      <c r="D245" s="59" t="n"/>
      <c r="E245" s="58" t="n"/>
      <c r="F245" s="58" t="n"/>
      <c r="G245" s="59" t="n"/>
      <c r="H245" s="66" t="str">
        <f>IF(A245="","",COUNTIFS(jr_new,1,jr_type,"BL",jr_tiers,A245,jr_year,p_year))</f>
        <v/>
      </c>
      <c r="I245" s="64" t="str">
        <f>IF(A245="","",SUMIFS(jr_val,jr_type,"BL",jr_tiers,A245,jr_year,p_year))</f>
        <v/>
      </c>
      <c r="J245" s="66" t="str">
        <f>IF(A245="","",COUNTIFS(jr_type,"BL",jr_tiers,A245,jr_rel,"&gt;0"))</f>
        <v/>
      </c>
      <c r="K245" s="60" t="str">
        <f>IF(A245="",IF(B245="","","Code manquant"),IF(COUNTIF($A$6:$A$305,A245)&gt;1,"Code en double",IF(B245="","Raison sociale manquante","OK")))</f>
        <v/>
      </c>
      <c r="L245" s="130" t="str">
        <f>IF(OR(A245="",N(H245)=0),"",H245+I245/1000000000000)</f>
        <v/>
      </c>
      <c r="M245" s="131" t="str">
        <f>IF(L245="","",RANK(L245,$L$6:$L$305)+COUNTIF($L$6:L244,L245))</f>
        <v/>
      </c>
    </row>
    <row r="246">
      <c r="A246" s="129" t="n"/>
      <c r="B246" s="59" t="n"/>
      <c r="C246" s="59" t="n"/>
      <c r="D246" s="59" t="n"/>
      <c r="E246" s="58" t="n"/>
      <c r="F246" s="58" t="n"/>
      <c r="G246" s="59" t="n"/>
      <c r="H246" s="66" t="str">
        <f>IF(A246="","",COUNTIFS(jr_new,1,jr_type,"BL",jr_tiers,A246,jr_year,p_year))</f>
        <v/>
      </c>
      <c r="I246" s="64" t="str">
        <f>IF(A246="","",SUMIFS(jr_val,jr_type,"BL",jr_tiers,A246,jr_year,p_year))</f>
        <v/>
      </c>
      <c r="J246" s="66" t="str">
        <f>IF(A246="","",COUNTIFS(jr_type,"BL",jr_tiers,A246,jr_rel,"&gt;0"))</f>
        <v/>
      </c>
      <c r="K246" s="60" t="str">
        <f>IF(A246="",IF(B246="","","Code manquant"),IF(COUNTIF($A$6:$A$305,A246)&gt;1,"Code en double",IF(B246="","Raison sociale manquante","OK")))</f>
        <v/>
      </c>
      <c r="L246" s="130" t="str">
        <f>IF(OR(A246="",N(H246)=0),"",H246+I246/1000000000000)</f>
        <v/>
      </c>
      <c r="M246" s="131" t="str">
        <f>IF(L246="","",RANK(L246,$L$6:$L$305)+COUNTIF($L$6:L245,L246))</f>
        <v/>
      </c>
    </row>
    <row r="247">
      <c r="A247" s="129" t="n"/>
      <c r="B247" s="59" t="n"/>
      <c r="C247" s="59" t="n"/>
      <c r="D247" s="59" t="n"/>
      <c r="E247" s="58" t="n"/>
      <c r="F247" s="58" t="n"/>
      <c r="G247" s="59" t="n"/>
      <c r="H247" s="66" t="str">
        <f>IF(A247="","",COUNTIFS(jr_new,1,jr_type,"BL",jr_tiers,A247,jr_year,p_year))</f>
        <v/>
      </c>
      <c r="I247" s="64" t="str">
        <f>IF(A247="","",SUMIFS(jr_val,jr_type,"BL",jr_tiers,A247,jr_year,p_year))</f>
        <v/>
      </c>
      <c r="J247" s="66" t="str">
        <f>IF(A247="","",COUNTIFS(jr_type,"BL",jr_tiers,A247,jr_rel,"&gt;0"))</f>
        <v/>
      </c>
      <c r="K247" s="60" t="str">
        <f>IF(A247="",IF(B247="","","Code manquant"),IF(COUNTIF($A$6:$A$305,A247)&gt;1,"Code en double",IF(B247="","Raison sociale manquante","OK")))</f>
        <v/>
      </c>
      <c r="L247" s="130" t="str">
        <f>IF(OR(A247="",N(H247)=0),"",H247+I247/1000000000000)</f>
        <v/>
      </c>
      <c r="M247" s="131" t="str">
        <f>IF(L247="","",RANK(L247,$L$6:$L$305)+COUNTIF($L$6:L246,L247))</f>
        <v/>
      </c>
    </row>
    <row r="248">
      <c r="A248" s="129" t="n"/>
      <c r="B248" s="59" t="n"/>
      <c r="C248" s="59" t="n"/>
      <c r="D248" s="59" t="n"/>
      <c r="E248" s="58" t="n"/>
      <c r="F248" s="58" t="n"/>
      <c r="G248" s="59" t="n"/>
      <c r="H248" s="66" t="str">
        <f>IF(A248="","",COUNTIFS(jr_new,1,jr_type,"BL",jr_tiers,A248,jr_year,p_year))</f>
        <v/>
      </c>
      <c r="I248" s="64" t="str">
        <f>IF(A248="","",SUMIFS(jr_val,jr_type,"BL",jr_tiers,A248,jr_year,p_year))</f>
        <v/>
      </c>
      <c r="J248" s="66" t="str">
        <f>IF(A248="","",COUNTIFS(jr_type,"BL",jr_tiers,A248,jr_rel,"&gt;0"))</f>
        <v/>
      </c>
      <c r="K248" s="60" t="str">
        <f>IF(A248="",IF(B248="","","Code manquant"),IF(COUNTIF($A$6:$A$305,A248)&gt;1,"Code en double",IF(B248="","Raison sociale manquante","OK")))</f>
        <v/>
      </c>
      <c r="L248" s="130" t="str">
        <f>IF(OR(A248="",N(H248)=0),"",H248+I248/1000000000000)</f>
        <v/>
      </c>
      <c r="M248" s="131" t="str">
        <f>IF(L248="","",RANK(L248,$L$6:$L$305)+COUNTIF($L$6:L247,L248))</f>
        <v/>
      </c>
    </row>
    <row r="249">
      <c r="A249" s="129" t="n"/>
      <c r="B249" s="59" t="n"/>
      <c r="C249" s="59" t="n"/>
      <c r="D249" s="59" t="n"/>
      <c r="E249" s="58" t="n"/>
      <c r="F249" s="58" t="n"/>
      <c r="G249" s="59" t="n"/>
      <c r="H249" s="66" t="str">
        <f>IF(A249="","",COUNTIFS(jr_new,1,jr_type,"BL",jr_tiers,A249,jr_year,p_year))</f>
        <v/>
      </c>
      <c r="I249" s="64" t="str">
        <f>IF(A249="","",SUMIFS(jr_val,jr_type,"BL",jr_tiers,A249,jr_year,p_year))</f>
        <v/>
      </c>
      <c r="J249" s="66" t="str">
        <f>IF(A249="","",COUNTIFS(jr_type,"BL",jr_tiers,A249,jr_rel,"&gt;0"))</f>
        <v/>
      </c>
      <c r="K249" s="60" t="str">
        <f>IF(A249="",IF(B249="","","Code manquant"),IF(COUNTIF($A$6:$A$305,A249)&gt;1,"Code en double",IF(B249="","Raison sociale manquante","OK")))</f>
        <v/>
      </c>
      <c r="L249" s="130" t="str">
        <f>IF(OR(A249="",N(H249)=0),"",H249+I249/1000000000000)</f>
        <v/>
      </c>
      <c r="M249" s="131" t="str">
        <f>IF(L249="","",RANK(L249,$L$6:$L$305)+COUNTIF($L$6:L248,L249))</f>
        <v/>
      </c>
    </row>
    <row r="250">
      <c r="A250" s="129" t="n"/>
      <c r="B250" s="59" t="n"/>
      <c r="C250" s="59" t="n"/>
      <c r="D250" s="59" t="n"/>
      <c r="E250" s="58" t="n"/>
      <c r="F250" s="58" t="n"/>
      <c r="G250" s="59" t="n"/>
      <c r="H250" s="66" t="str">
        <f>IF(A250="","",COUNTIFS(jr_new,1,jr_type,"BL",jr_tiers,A250,jr_year,p_year))</f>
        <v/>
      </c>
      <c r="I250" s="64" t="str">
        <f>IF(A250="","",SUMIFS(jr_val,jr_type,"BL",jr_tiers,A250,jr_year,p_year))</f>
        <v/>
      </c>
      <c r="J250" s="66" t="str">
        <f>IF(A250="","",COUNTIFS(jr_type,"BL",jr_tiers,A250,jr_rel,"&gt;0"))</f>
        <v/>
      </c>
      <c r="K250" s="60" t="str">
        <f>IF(A250="",IF(B250="","","Code manquant"),IF(COUNTIF($A$6:$A$305,A250)&gt;1,"Code en double",IF(B250="","Raison sociale manquante","OK")))</f>
        <v/>
      </c>
      <c r="L250" s="130" t="str">
        <f>IF(OR(A250="",N(H250)=0),"",H250+I250/1000000000000)</f>
        <v/>
      </c>
      <c r="M250" s="131" t="str">
        <f>IF(L250="","",RANK(L250,$L$6:$L$305)+COUNTIF($L$6:L249,L250))</f>
        <v/>
      </c>
    </row>
    <row r="251">
      <c r="A251" s="129" t="n"/>
      <c r="B251" s="59" t="n"/>
      <c r="C251" s="59" t="n"/>
      <c r="D251" s="59" t="n"/>
      <c r="E251" s="58" t="n"/>
      <c r="F251" s="58" t="n"/>
      <c r="G251" s="59" t="n"/>
      <c r="H251" s="66" t="str">
        <f>IF(A251="","",COUNTIFS(jr_new,1,jr_type,"BL",jr_tiers,A251,jr_year,p_year))</f>
        <v/>
      </c>
      <c r="I251" s="64" t="str">
        <f>IF(A251="","",SUMIFS(jr_val,jr_type,"BL",jr_tiers,A251,jr_year,p_year))</f>
        <v/>
      </c>
      <c r="J251" s="66" t="str">
        <f>IF(A251="","",COUNTIFS(jr_type,"BL",jr_tiers,A251,jr_rel,"&gt;0"))</f>
        <v/>
      </c>
      <c r="K251" s="60" t="str">
        <f>IF(A251="",IF(B251="","","Code manquant"),IF(COUNTIF($A$6:$A$305,A251)&gt;1,"Code en double",IF(B251="","Raison sociale manquante","OK")))</f>
        <v/>
      </c>
      <c r="L251" s="130" t="str">
        <f>IF(OR(A251="",N(H251)=0),"",H251+I251/1000000000000)</f>
        <v/>
      </c>
      <c r="M251" s="131" t="str">
        <f>IF(L251="","",RANK(L251,$L$6:$L$305)+COUNTIF($L$6:L250,L251))</f>
        <v/>
      </c>
    </row>
    <row r="252">
      <c r="A252" s="129" t="n"/>
      <c r="B252" s="59" t="n"/>
      <c r="C252" s="59" t="n"/>
      <c r="D252" s="59" t="n"/>
      <c r="E252" s="58" t="n"/>
      <c r="F252" s="58" t="n"/>
      <c r="G252" s="59" t="n"/>
      <c r="H252" s="66" t="str">
        <f>IF(A252="","",COUNTIFS(jr_new,1,jr_type,"BL",jr_tiers,A252,jr_year,p_year))</f>
        <v/>
      </c>
      <c r="I252" s="64" t="str">
        <f>IF(A252="","",SUMIFS(jr_val,jr_type,"BL",jr_tiers,A252,jr_year,p_year))</f>
        <v/>
      </c>
      <c r="J252" s="66" t="str">
        <f>IF(A252="","",COUNTIFS(jr_type,"BL",jr_tiers,A252,jr_rel,"&gt;0"))</f>
        <v/>
      </c>
      <c r="K252" s="60" t="str">
        <f>IF(A252="",IF(B252="","","Code manquant"),IF(COUNTIF($A$6:$A$305,A252)&gt;1,"Code en double",IF(B252="","Raison sociale manquante","OK")))</f>
        <v/>
      </c>
      <c r="L252" s="130" t="str">
        <f>IF(OR(A252="",N(H252)=0),"",H252+I252/1000000000000)</f>
        <v/>
      </c>
      <c r="M252" s="131" t="str">
        <f>IF(L252="","",RANK(L252,$L$6:$L$305)+COUNTIF($L$6:L251,L252))</f>
        <v/>
      </c>
    </row>
    <row r="253">
      <c r="A253" s="129" t="n"/>
      <c r="B253" s="59" t="n"/>
      <c r="C253" s="59" t="n"/>
      <c r="D253" s="59" t="n"/>
      <c r="E253" s="58" t="n"/>
      <c r="F253" s="58" t="n"/>
      <c r="G253" s="59" t="n"/>
      <c r="H253" s="66" t="str">
        <f>IF(A253="","",COUNTIFS(jr_new,1,jr_type,"BL",jr_tiers,A253,jr_year,p_year))</f>
        <v/>
      </c>
      <c r="I253" s="64" t="str">
        <f>IF(A253="","",SUMIFS(jr_val,jr_type,"BL",jr_tiers,A253,jr_year,p_year))</f>
        <v/>
      </c>
      <c r="J253" s="66" t="str">
        <f>IF(A253="","",COUNTIFS(jr_type,"BL",jr_tiers,A253,jr_rel,"&gt;0"))</f>
        <v/>
      </c>
      <c r="K253" s="60" t="str">
        <f>IF(A253="",IF(B253="","","Code manquant"),IF(COUNTIF($A$6:$A$305,A253)&gt;1,"Code en double",IF(B253="","Raison sociale manquante","OK")))</f>
        <v/>
      </c>
      <c r="L253" s="130" t="str">
        <f>IF(OR(A253="",N(H253)=0),"",H253+I253/1000000000000)</f>
        <v/>
      </c>
      <c r="M253" s="131" t="str">
        <f>IF(L253="","",RANK(L253,$L$6:$L$305)+COUNTIF($L$6:L252,L253))</f>
        <v/>
      </c>
    </row>
    <row r="254">
      <c r="A254" s="129" t="n"/>
      <c r="B254" s="59" t="n"/>
      <c r="C254" s="59" t="n"/>
      <c r="D254" s="59" t="n"/>
      <c r="E254" s="58" t="n"/>
      <c r="F254" s="58" t="n"/>
      <c r="G254" s="59" t="n"/>
      <c r="H254" s="66" t="str">
        <f>IF(A254="","",COUNTIFS(jr_new,1,jr_type,"BL",jr_tiers,A254,jr_year,p_year))</f>
        <v/>
      </c>
      <c r="I254" s="64" t="str">
        <f>IF(A254="","",SUMIFS(jr_val,jr_type,"BL",jr_tiers,A254,jr_year,p_year))</f>
        <v/>
      </c>
      <c r="J254" s="66" t="str">
        <f>IF(A254="","",COUNTIFS(jr_type,"BL",jr_tiers,A254,jr_rel,"&gt;0"))</f>
        <v/>
      </c>
      <c r="K254" s="60" t="str">
        <f>IF(A254="",IF(B254="","","Code manquant"),IF(COUNTIF($A$6:$A$305,A254)&gt;1,"Code en double",IF(B254="","Raison sociale manquante","OK")))</f>
        <v/>
      </c>
      <c r="L254" s="130" t="str">
        <f>IF(OR(A254="",N(H254)=0),"",H254+I254/1000000000000)</f>
        <v/>
      </c>
      <c r="M254" s="131" t="str">
        <f>IF(L254="","",RANK(L254,$L$6:$L$305)+COUNTIF($L$6:L253,L254))</f>
        <v/>
      </c>
    </row>
    <row r="255">
      <c r="A255" s="129" t="n"/>
      <c r="B255" s="59" t="n"/>
      <c r="C255" s="59" t="n"/>
      <c r="D255" s="59" t="n"/>
      <c r="E255" s="58" t="n"/>
      <c r="F255" s="58" t="n"/>
      <c r="G255" s="59" t="n"/>
      <c r="H255" s="66" t="str">
        <f>IF(A255="","",COUNTIFS(jr_new,1,jr_type,"BL",jr_tiers,A255,jr_year,p_year))</f>
        <v/>
      </c>
      <c r="I255" s="64" t="str">
        <f>IF(A255="","",SUMIFS(jr_val,jr_type,"BL",jr_tiers,A255,jr_year,p_year))</f>
        <v/>
      </c>
      <c r="J255" s="66" t="str">
        <f>IF(A255="","",COUNTIFS(jr_type,"BL",jr_tiers,A255,jr_rel,"&gt;0"))</f>
        <v/>
      </c>
      <c r="K255" s="60" t="str">
        <f>IF(A255="",IF(B255="","","Code manquant"),IF(COUNTIF($A$6:$A$305,A255)&gt;1,"Code en double",IF(B255="","Raison sociale manquante","OK")))</f>
        <v/>
      </c>
      <c r="L255" s="130" t="str">
        <f>IF(OR(A255="",N(H255)=0),"",H255+I255/1000000000000)</f>
        <v/>
      </c>
      <c r="M255" s="131" t="str">
        <f>IF(L255="","",RANK(L255,$L$6:$L$305)+COUNTIF($L$6:L254,L255))</f>
        <v/>
      </c>
    </row>
    <row r="256">
      <c r="A256" s="129" t="n"/>
      <c r="B256" s="59" t="n"/>
      <c r="C256" s="59" t="n"/>
      <c r="D256" s="59" t="n"/>
      <c r="E256" s="58" t="n"/>
      <c r="F256" s="58" t="n"/>
      <c r="G256" s="59" t="n"/>
      <c r="H256" s="66" t="str">
        <f>IF(A256="","",COUNTIFS(jr_new,1,jr_type,"BL",jr_tiers,A256,jr_year,p_year))</f>
        <v/>
      </c>
      <c r="I256" s="64" t="str">
        <f>IF(A256="","",SUMIFS(jr_val,jr_type,"BL",jr_tiers,A256,jr_year,p_year))</f>
        <v/>
      </c>
      <c r="J256" s="66" t="str">
        <f>IF(A256="","",COUNTIFS(jr_type,"BL",jr_tiers,A256,jr_rel,"&gt;0"))</f>
        <v/>
      </c>
      <c r="K256" s="60" t="str">
        <f>IF(A256="",IF(B256="","","Code manquant"),IF(COUNTIF($A$6:$A$305,A256)&gt;1,"Code en double",IF(B256="","Raison sociale manquante","OK")))</f>
        <v/>
      </c>
      <c r="L256" s="130" t="str">
        <f>IF(OR(A256="",N(H256)=0),"",H256+I256/1000000000000)</f>
        <v/>
      </c>
      <c r="M256" s="131" t="str">
        <f>IF(L256="","",RANK(L256,$L$6:$L$305)+COUNTIF($L$6:L255,L256))</f>
        <v/>
      </c>
    </row>
    <row r="257">
      <c r="A257" s="129" t="n"/>
      <c r="B257" s="59" t="n"/>
      <c r="C257" s="59" t="n"/>
      <c r="D257" s="59" t="n"/>
      <c r="E257" s="58" t="n"/>
      <c r="F257" s="58" t="n"/>
      <c r="G257" s="59" t="n"/>
      <c r="H257" s="66" t="str">
        <f>IF(A257="","",COUNTIFS(jr_new,1,jr_type,"BL",jr_tiers,A257,jr_year,p_year))</f>
        <v/>
      </c>
      <c r="I257" s="64" t="str">
        <f>IF(A257="","",SUMIFS(jr_val,jr_type,"BL",jr_tiers,A257,jr_year,p_year))</f>
        <v/>
      </c>
      <c r="J257" s="66" t="str">
        <f>IF(A257="","",COUNTIFS(jr_type,"BL",jr_tiers,A257,jr_rel,"&gt;0"))</f>
        <v/>
      </c>
      <c r="K257" s="60" t="str">
        <f>IF(A257="",IF(B257="","","Code manquant"),IF(COUNTIF($A$6:$A$305,A257)&gt;1,"Code en double",IF(B257="","Raison sociale manquante","OK")))</f>
        <v/>
      </c>
      <c r="L257" s="130" t="str">
        <f>IF(OR(A257="",N(H257)=0),"",H257+I257/1000000000000)</f>
        <v/>
      </c>
      <c r="M257" s="131" t="str">
        <f>IF(L257="","",RANK(L257,$L$6:$L$305)+COUNTIF($L$6:L256,L257))</f>
        <v/>
      </c>
    </row>
    <row r="258">
      <c r="A258" s="129" t="n"/>
      <c r="B258" s="59" t="n"/>
      <c r="C258" s="59" t="n"/>
      <c r="D258" s="59" t="n"/>
      <c r="E258" s="58" t="n"/>
      <c r="F258" s="58" t="n"/>
      <c r="G258" s="59" t="n"/>
      <c r="H258" s="66" t="str">
        <f>IF(A258="","",COUNTIFS(jr_new,1,jr_type,"BL",jr_tiers,A258,jr_year,p_year))</f>
        <v/>
      </c>
      <c r="I258" s="64" t="str">
        <f>IF(A258="","",SUMIFS(jr_val,jr_type,"BL",jr_tiers,A258,jr_year,p_year))</f>
        <v/>
      </c>
      <c r="J258" s="66" t="str">
        <f>IF(A258="","",COUNTIFS(jr_type,"BL",jr_tiers,A258,jr_rel,"&gt;0"))</f>
        <v/>
      </c>
      <c r="K258" s="60" t="str">
        <f>IF(A258="",IF(B258="","","Code manquant"),IF(COUNTIF($A$6:$A$305,A258)&gt;1,"Code en double",IF(B258="","Raison sociale manquante","OK")))</f>
        <v/>
      </c>
      <c r="L258" s="130" t="str">
        <f>IF(OR(A258="",N(H258)=0),"",H258+I258/1000000000000)</f>
        <v/>
      </c>
      <c r="M258" s="131" t="str">
        <f>IF(L258="","",RANK(L258,$L$6:$L$305)+COUNTIF($L$6:L257,L258))</f>
        <v/>
      </c>
    </row>
    <row r="259">
      <c r="A259" s="129" t="n"/>
      <c r="B259" s="59" t="n"/>
      <c r="C259" s="59" t="n"/>
      <c r="D259" s="59" t="n"/>
      <c r="E259" s="58" t="n"/>
      <c r="F259" s="58" t="n"/>
      <c r="G259" s="59" t="n"/>
      <c r="H259" s="66" t="str">
        <f>IF(A259="","",COUNTIFS(jr_new,1,jr_type,"BL",jr_tiers,A259,jr_year,p_year))</f>
        <v/>
      </c>
      <c r="I259" s="64" t="str">
        <f>IF(A259="","",SUMIFS(jr_val,jr_type,"BL",jr_tiers,A259,jr_year,p_year))</f>
        <v/>
      </c>
      <c r="J259" s="66" t="str">
        <f>IF(A259="","",COUNTIFS(jr_type,"BL",jr_tiers,A259,jr_rel,"&gt;0"))</f>
        <v/>
      </c>
      <c r="K259" s="60" t="str">
        <f>IF(A259="",IF(B259="","","Code manquant"),IF(COUNTIF($A$6:$A$305,A259)&gt;1,"Code en double",IF(B259="","Raison sociale manquante","OK")))</f>
        <v/>
      </c>
      <c r="L259" s="130" t="str">
        <f>IF(OR(A259="",N(H259)=0),"",H259+I259/1000000000000)</f>
        <v/>
      </c>
      <c r="M259" s="131" t="str">
        <f>IF(L259="","",RANK(L259,$L$6:$L$305)+COUNTIF($L$6:L258,L259))</f>
        <v/>
      </c>
    </row>
    <row r="260">
      <c r="A260" s="129" t="n"/>
      <c r="B260" s="59" t="n"/>
      <c r="C260" s="59" t="n"/>
      <c r="D260" s="59" t="n"/>
      <c r="E260" s="58" t="n"/>
      <c r="F260" s="58" t="n"/>
      <c r="G260" s="59" t="n"/>
      <c r="H260" s="66" t="str">
        <f>IF(A260="","",COUNTIFS(jr_new,1,jr_type,"BL",jr_tiers,A260,jr_year,p_year))</f>
        <v/>
      </c>
      <c r="I260" s="64" t="str">
        <f>IF(A260="","",SUMIFS(jr_val,jr_type,"BL",jr_tiers,A260,jr_year,p_year))</f>
        <v/>
      </c>
      <c r="J260" s="66" t="str">
        <f>IF(A260="","",COUNTIFS(jr_type,"BL",jr_tiers,A260,jr_rel,"&gt;0"))</f>
        <v/>
      </c>
      <c r="K260" s="60" t="str">
        <f>IF(A260="",IF(B260="","","Code manquant"),IF(COUNTIF($A$6:$A$305,A260)&gt;1,"Code en double",IF(B260="","Raison sociale manquante","OK")))</f>
        <v/>
      </c>
      <c r="L260" s="130" t="str">
        <f>IF(OR(A260="",N(H260)=0),"",H260+I260/1000000000000)</f>
        <v/>
      </c>
      <c r="M260" s="131" t="str">
        <f>IF(L260="","",RANK(L260,$L$6:$L$305)+COUNTIF($L$6:L259,L260))</f>
        <v/>
      </c>
    </row>
    <row r="261">
      <c r="A261" s="129" t="n"/>
      <c r="B261" s="59" t="n"/>
      <c r="C261" s="59" t="n"/>
      <c r="D261" s="59" t="n"/>
      <c r="E261" s="58" t="n"/>
      <c r="F261" s="58" t="n"/>
      <c r="G261" s="59" t="n"/>
      <c r="H261" s="66" t="str">
        <f>IF(A261="","",COUNTIFS(jr_new,1,jr_type,"BL",jr_tiers,A261,jr_year,p_year))</f>
        <v/>
      </c>
      <c r="I261" s="64" t="str">
        <f>IF(A261="","",SUMIFS(jr_val,jr_type,"BL",jr_tiers,A261,jr_year,p_year))</f>
        <v/>
      </c>
      <c r="J261" s="66" t="str">
        <f>IF(A261="","",COUNTIFS(jr_type,"BL",jr_tiers,A261,jr_rel,"&gt;0"))</f>
        <v/>
      </c>
      <c r="K261" s="60" t="str">
        <f>IF(A261="",IF(B261="","","Code manquant"),IF(COUNTIF($A$6:$A$305,A261)&gt;1,"Code en double",IF(B261="","Raison sociale manquante","OK")))</f>
        <v/>
      </c>
      <c r="L261" s="130" t="str">
        <f>IF(OR(A261="",N(H261)=0),"",H261+I261/1000000000000)</f>
        <v/>
      </c>
      <c r="M261" s="131" t="str">
        <f>IF(L261="","",RANK(L261,$L$6:$L$305)+COUNTIF($L$6:L260,L261))</f>
        <v/>
      </c>
    </row>
    <row r="262">
      <c r="A262" s="129" t="n"/>
      <c r="B262" s="59" t="n"/>
      <c r="C262" s="59" t="n"/>
      <c r="D262" s="59" t="n"/>
      <c r="E262" s="58" t="n"/>
      <c r="F262" s="58" t="n"/>
      <c r="G262" s="59" t="n"/>
      <c r="H262" s="66" t="str">
        <f>IF(A262="","",COUNTIFS(jr_new,1,jr_type,"BL",jr_tiers,A262,jr_year,p_year))</f>
        <v/>
      </c>
      <c r="I262" s="64" t="str">
        <f>IF(A262="","",SUMIFS(jr_val,jr_type,"BL",jr_tiers,A262,jr_year,p_year))</f>
        <v/>
      </c>
      <c r="J262" s="66" t="str">
        <f>IF(A262="","",COUNTIFS(jr_type,"BL",jr_tiers,A262,jr_rel,"&gt;0"))</f>
        <v/>
      </c>
      <c r="K262" s="60" t="str">
        <f>IF(A262="",IF(B262="","","Code manquant"),IF(COUNTIF($A$6:$A$305,A262)&gt;1,"Code en double",IF(B262="","Raison sociale manquante","OK")))</f>
        <v/>
      </c>
      <c r="L262" s="130" t="str">
        <f>IF(OR(A262="",N(H262)=0),"",H262+I262/1000000000000)</f>
        <v/>
      </c>
      <c r="M262" s="131" t="str">
        <f>IF(L262="","",RANK(L262,$L$6:$L$305)+COUNTIF($L$6:L261,L262))</f>
        <v/>
      </c>
    </row>
    <row r="263">
      <c r="A263" s="129" t="n"/>
      <c r="B263" s="59" t="n"/>
      <c r="C263" s="59" t="n"/>
      <c r="D263" s="59" t="n"/>
      <c r="E263" s="58" t="n"/>
      <c r="F263" s="58" t="n"/>
      <c r="G263" s="59" t="n"/>
      <c r="H263" s="66" t="str">
        <f>IF(A263="","",COUNTIFS(jr_new,1,jr_type,"BL",jr_tiers,A263,jr_year,p_year))</f>
        <v/>
      </c>
      <c r="I263" s="64" t="str">
        <f>IF(A263="","",SUMIFS(jr_val,jr_type,"BL",jr_tiers,A263,jr_year,p_year))</f>
        <v/>
      </c>
      <c r="J263" s="66" t="str">
        <f>IF(A263="","",COUNTIFS(jr_type,"BL",jr_tiers,A263,jr_rel,"&gt;0"))</f>
        <v/>
      </c>
      <c r="K263" s="60" t="str">
        <f>IF(A263="",IF(B263="","","Code manquant"),IF(COUNTIF($A$6:$A$305,A263)&gt;1,"Code en double",IF(B263="","Raison sociale manquante","OK")))</f>
        <v/>
      </c>
      <c r="L263" s="130" t="str">
        <f>IF(OR(A263="",N(H263)=0),"",H263+I263/1000000000000)</f>
        <v/>
      </c>
      <c r="M263" s="131" t="str">
        <f>IF(L263="","",RANK(L263,$L$6:$L$305)+COUNTIF($L$6:L262,L263))</f>
        <v/>
      </c>
    </row>
    <row r="264">
      <c r="A264" s="129" t="n"/>
      <c r="B264" s="59" t="n"/>
      <c r="C264" s="59" t="n"/>
      <c r="D264" s="59" t="n"/>
      <c r="E264" s="58" t="n"/>
      <c r="F264" s="58" t="n"/>
      <c r="G264" s="59" t="n"/>
      <c r="H264" s="66" t="str">
        <f>IF(A264="","",COUNTIFS(jr_new,1,jr_type,"BL",jr_tiers,A264,jr_year,p_year))</f>
        <v/>
      </c>
      <c r="I264" s="64" t="str">
        <f>IF(A264="","",SUMIFS(jr_val,jr_type,"BL",jr_tiers,A264,jr_year,p_year))</f>
        <v/>
      </c>
      <c r="J264" s="66" t="str">
        <f>IF(A264="","",COUNTIFS(jr_type,"BL",jr_tiers,A264,jr_rel,"&gt;0"))</f>
        <v/>
      </c>
      <c r="K264" s="60" t="str">
        <f>IF(A264="",IF(B264="","","Code manquant"),IF(COUNTIF($A$6:$A$305,A264)&gt;1,"Code en double",IF(B264="","Raison sociale manquante","OK")))</f>
        <v/>
      </c>
      <c r="L264" s="130" t="str">
        <f>IF(OR(A264="",N(H264)=0),"",H264+I264/1000000000000)</f>
        <v/>
      </c>
      <c r="M264" s="131" t="str">
        <f>IF(L264="","",RANK(L264,$L$6:$L$305)+COUNTIF($L$6:L263,L264))</f>
        <v/>
      </c>
    </row>
    <row r="265">
      <c r="A265" s="129" t="n"/>
      <c r="B265" s="59" t="n"/>
      <c r="C265" s="59" t="n"/>
      <c r="D265" s="59" t="n"/>
      <c r="E265" s="58" t="n"/>
      <c r="F265" s="58" t="n"/>
      <c r="G265" s="59" t="n"/>
      <c r="H265" s="66" t="str">
        <f>IF(A265="","",COUNTIFS(jr_new,1,jr_type,"BL",jr_tiers,A265,jr_year,p_year))</f>
        <v/>
      </c>
      <c r="I265" s="64" t="str">
        <f>IF(A265="","",SUMIFS(jr_val,jr_type,"BL",jr_tiers,A265,jr_year,p_year))</f>
        <v/>
      </c>
      <c r="J265" s="66" t="str">
        <f>IF(A265="","",COUNTIFS(jr_type,"BL",jr_tiers,A265,jr_rel,"&gt;0"))</f>
        <v/>
      </c>
      <c r="K265" s="60" t="str">
        <f>IF(A265="",IF(B265="","","Code manquant"),IF(COUNTIF($A$6:$A$305,A265)&gt;1,"Code en double",IF(B265="","Raison sociale manquante","OK")))</f>
        <v/>
      </c>
      <c r="L265" s="130" t="str">
        <f>IF(OR(A265="",N(H265)=0),"",H265+I265/1000000000000)</f>
        <v/>
      </c>
      <c r="M265" s="131" t="str">
        <f>IF(L265="","",RANK(L265,$L$6:$L$305)+COUNTIF($L$6:L264,L265))</f>
        <v/>
      </c>
    </row>
    <row r="266">
      <c r="A266" s="129" t="n"/>
      <c r="B266" s="59" t="n"/>
      <c r="C266" s="59" t="n"/>
      <c r="D266" s="59" t="n"/>
      <c r="E266" s="58" t="n"/>
      <c r="F266" s="58" t="n"/>
      <c r="G266" s="59" t="n"/>
      <c r="H266" s="66" t="str">
        <f>IF(A266="","",COUNTIFS(jr_new,1,jr_type,"BL",jr_tiers,A266,jr_year,p_year))</f>
        <v/>
      </c>
      <c r="I266" s="64" t="str">
        <f>IF(A266="","",SUMIFS(jr_val,jr_type,"BL",jr_tiers,A266,jr_year,p_year))</f>
        <v/>
      </c>
      <c r="J266" s="66" t="str">
        <f>IF(A266="","",COUNTIFS(jr_type,"BL",jr_tiers,A266,jr_rel,"&gt;0"))</f>
        <v/>
      </c>
      <c r="K266" s="60" t="str">
        <f>IF(A266="",IF(B266="","","Code manquant"),IF(COUNTIF($A$6:$A$305,A266)&gt;1,"Code en double",IF(B266="","Raison sociale manquante","OK")))</f>
        <v/>
      </c>
      <c r="L266" s="130" t="str">
        <f>IF(OR(A266="",N(H266)=0),"",H266+I266/1000000000000)</f>
        <v/>
      </c>
      <c r="M266" s="131" t="str">
        <f>IF(L266="","",RANK(L266,$L$6:$L$305)+COUNTIF($L$6:L265,L266))</f>
        <v/>
      </c>
    </row>
    <row r="267">
      <c r="A267" s="129" t="n"/>
      <c r="B267" s="59" t="n"/>
      <c r="C267" s="59" t="n"/>
      <c r="D267" s="59" t="n"/>
      <c r="E267" s="58" t="n"/>
      <c r="F267" s="58" t="n"/>
      <c r="G267" s="59" t="n"/>
      <c r="H267" s="66" t="str">
        <f>IF(A267="","",COUNTIFS(jr_new,1,jr_type,"BL",jr_tiers,A267,jr_year,p_year))</f>
        <v/>
      </c>
      <c r="I267" s="64" t="str">
        <f>IF(A267="","",SUMIFS(jr_val,jr_type,"BL",jr_tiers,A267,jr_year,p_year))</f>
        <v/>
      </c>
      <c r="J267" s="66" t="str">
        <f>IF(A267="","",COUNTIFS(jr_type,"BL",jr_tiers,A267,jr_rel,"&gt;0"))</f>
        <v/>
      </c>
      <c r="K267" s="60" t="str">
        <f>IF(A267="",IF(B267="","","Code manquant"),IF(COUNTIF($A$6:$A$305,A267)&gt;1,"Code en double",IF(B267="","Raison sociale manquante","OK")))</f>
        <v/>
      </c>
      <c r="L267" s="130" t="str">
        <f>IF(OR(A267="",N(H267)=0),"",H267+I267/1000000000000)</f>
        <v/>
      </c>
      <c r="M267" s="131" t="str">
        <f>IF(L267="","",RANK(L267,$L$6:$L$305)+COUNTIF($L$6:L266,L267))</f>
        <v/>
      </c>
    </row>
    <row r="268">
      <c r="A268" s="129" t="n"/>
      <c r="B268" s="59" t="n"/>
      <c r="C268" s="59" t="n"/>
      <c r="D268" s="59" t="n"/>
      <c r="E268" s="58" t="n"/>
      <c r="F268" s="58" t="n"/>
      <c r="G268" s="59" t="n"/>
      <c r="H268" s="66" t="str">
        <f>IF(A268="","",COUNTIFS(jr_new,1,jr_type,"BL",jr_tiers,A268,jr_year,p_year))</f>
        <v/>
      </c>
      <c r="I268" s="64" t="str">
        <f>IF(A268="","",SUMIFS(jr_val,jr_type,"BL",jr_tiers,A268,jr_year,p_year))</f>
        <v/>
      </c>
      <c r="J268" s="66" t="str">
        <f>IF(A268="","",COUNTIFS(jr_type,"BL",jr_tiers,A268,jr_rel,"&gt;0"))</f>
        <v/>
      </c>
      <c r="K268" s="60" t="str">
        <f>IF(A268="",IF(B268="","","Code manquant"),IF(COUNTIF($A$6:$A$305,A268)&gt;1,"Code en double",IF(B268="","Raison sociale manquante","OK")))</f>
        <v/>
      </c>
      <c r="L268" s="130" t="str">
        <f>IF(OR(A268="",N(H268)=0),"",H268+I268/1000000000000)</f>
        <v/>
      </c>
      <c r="M268" s="131" t="str">
        <f>IF(L268="","",RANK(L268,$L$6:$L$305)+COUNTIF($L$6:L267,L268))</f>
        <v/>
      </c>
    </row>
    <row r="269">
      <c r="A269" s="129" t="n"/>
      <c r="B269" s="59" t="n"/>
      <c r="C269" s="59" t="n"/>
      <c r="D269" s="59" t="n"/>
      <c r="E269" s="58" t="n"/>
      <c r="F269" s="58" t="n"/>
      <c r="G269" s="59" t="n"/>
      <c r="H269" s="66" t="str">
        <f>IF(A269="","",COUNTIFS(jr_new,1,jr_type,"BL",jr_tiers,A269,jr_year,p_year))</f>
        <v/>
      </c>
      <c r="I269" s="64" t="str">
        <f>IF(A269="","",SUMIFS(jr_val,jr_type,"BL",jr_tiers,A269,jr_year,p_year))</f>
        <v/>
      </c>
      <c r="J269" s="66" t="str">
        <f>IF(A269="","",COUNTIFS(jr_type,"BL",jr_tiers,A269,jr_rel,"&gt;0"))</f>
        <v/>
      </c>
      <c r="K269" s="60" t="str">
        <f>IF(A269="",IF(B269="","","Code manquant"),IF(COUNTIF($A$6:$A$305,A269)&gt;1,"Code en double",IF(B269="","Raison sociale manquante","OK")))</f>
        <v/>
      </c>
      <c r="L269" s="130" t="str">
        <f>IF(OR(A269="",N(H269)=0),"",H269+I269/1000000000000)</f>
        <v/>
      </c>
      <c r="M269" s="131" t="str">
        <f>IF(L269="","",RANK(L269,$L$6:$L$305)+COUNTIF($L$6:L268,L269))</f>
        <v/>
      </c>
    </row>
    <row r="270">
      <c r="A270" s="129" t="n"/>
      <c r="B270" s="59" t="n"/>
      <c r="C270" s="59" t="n"/>
      <c r="D270" s="59" t="n"/>
      <c r="E270" s="58" t="n"/>
      <c r="F270" s="58" t="n"/>
      <c r="G270" s="59" t="n"/>
      <c r="H270" s="66" t="str">
        <f>IF(A270="","",COUNTIFS(jr_new,1,jr_type,"BL",jr_tiers,A270,jr_year,p_year))</f>
        <v/>
      </c>
      <c r="I270" s="64" t="str">
        <f>IF(A270="","",SUMIFS(jr_val,jr_type,"BL",jr_tiers,A270,jr_year,p_year))</f>
        <v/>
      </c>
      <c r="J270" s="66" t="str">
        <f>IF(A270="","",COUNTIFS(jr_type,"BL",jr_tiers,A270,jr_rel,"&gt;0"))</f>
        <v/>
      </c>
      <c r="K270" s="60" t="str">
        <f>IF(A270="",IF(B270="","","Code manquant"),IF(COUNTIF($A$6:$A$305,A270)&gt;1,"Code en double",IF(B270="","Raison sociale manquante","OK")))</f>
        <v/>
      </c>
      <c r="L270" s="130" t="str">
        <f>IF(OR(A270="",N(H270)=0),"",H270+I270/1000000000000)</f>
        <v/>
      </c>
      <c r="M270" s="131" t="str">
        <f>IF(L270="","",RANK(L270,$L$6:$L$305)+COUNTIF($L$6:L269,L270))</f>
        <v/>
      </c>
    </row>
    <row r="271">
      <c r="A271" s="129" t="n"/>
      <c r="B271" s="59" t="n"/>
      <c r="C271" s="59" t="n"/>
      <c r="D271" s="59" t="n"/>
      <c r="E271" s="58" t="n"/>
      <c r="F271" s="58" t="n"/>
      <c r="G271" s="59" t="n"/>
      <c r="H271" s="66" t="str">
        <f>IF(A271="","",COUNTIFS(jr_new,1,jr_type,"BL",jr_tiers,A271,jr_year,p_year))</f>
        <v/>
      </c>
      <c r="I271" s="64" t="str">
        <f>IF(A271="","",SUMIFS(jr_val,jr_type,"BL",jr_tiers,A271,jr_year,p_year))</f>
        <v/>
      </c>
      <c r="J271" s="66" t="str">
        <f>IF(A271="","",COUNTIFS(jr_type,"BL",jr_tiers,A271,jr_rel,"&gt;0"))</f>
        <v/>
      </c>
      <c r="K271" s="60" t="str">
        <f>IF(A271="",IF(B271="","","Code manquant"),IF(COUNTIF($A$6:$A$305,A271)&gt;1,"Code en double",IF(B271="","Raison sociale manquante","OK")))</f>
        <v/>
      </c>
      <c r="L271" s="130" t="str">
        <f>IF(OR(A271="",N(H271)=0),"",H271+I271/1000000000000)</f>
        <v/>
      </c>
      <c r="M271" s="131" t="str">
        <f>IF(L271="","",RANK(L271,$L$6:$L$305)+COUNTIF($L$6:L270,L271))</f>
        <v/>
      </c>
    </row>
    <row r="272">
      <c r="A272" s="129" t="n"/>
      <c r="B272" s="59" t="n"/>
      <c r="C272" s="59" t="n"/>
      <c r="D272" s="59" t="n"/>
      <c r="E272" s="58" t="n"/>
      <c r="F272" s="58" t="n"/>
      <c r="G272" s="59" t="n"/>
      <c r="H272" s="66" t="str">
        <f>IF(A272="","",COUNTIFS(jr_new,1,jr_type,"BL",jr_tiers,A272,jr_year,p_year))</f>
        <v/>
      </c>
      <c r="I272" s="64" t="str">
        <f>IF(A272="","",SUMIFS(jr_val,jr_type,"BL",jr_tiers,A272,jr_year,p_year))</f>
        <v/>
      </c>
      <c r="J272" s="66" t="str">
        <f>IF(A272="","",COUNTIFS(jr_type,"BL",jr_tiers,A272,jr_rel,"&gt;0"))</f>
        <v/>
      </c>
      <c r="K272" s="60" t="str">
        <f>IF(A272="",IF(B272="","","Code manquant"),IF(COUNTIF($A$6:$A$305,A272)&gt;1,"Code en double",IF(B272="","Raison sociale manquante","OK")))</f>
        <v/>
      </c>
      <c r="L272" s="130" t="str">
        <f>IF(OR(A272="",N(H272)=0),"",H272+I272/1000000000000)</f>
        <v/>
      </c>
      <c r="M272" s="131" t="str">
        <f>IF(L272="","",RANK(L272,$L$6:$L$305)+COUNTIF($L$6:L271,L272))</f>
        <v/>
      </c>
    </row>
    <row r="273">
      <c r="A273" s="129" t="n"/>
      <c r="B273" s="59" t="n"/>
      <c r="C273" s="59" t="n"/>
      <c r="D273" s="59" t="n"/>
      <c r="E273" s="58" t="n"/>
      <c r="F273" s="58" t="n"/>
      <c r="G273" s="59" t="n"/>
      <c r="H273" s="66" t="str">
        <f>IF(A273="","",COUNTIFS(jr_new,1,jr_type,"BL",jr_tiers,A273,jr_year,p_year))</f>
        <v/>
      </c>
      <c r="I273" s="64" t="str">
        <f>IF(A273="","",SUMIFS(jr_val,jr_type,"BL",jr_tiers,A273,jr_year,p_year))</f>
        <v/>
      </c>
      <c r="J273" s="66" t="str">
        <f>IF(A273="","",COUNTIFS(jr_type,"BL",jr_tiers,A273,jr_rel,"&gt;0"))</f>
        <v/>
      </c>
      <c r="K273" s="60" t="str">
        <f>IF(A273="",IF(B273="","","Code manquant"),IF(COUNTIF($A$6:$A$305,A273)&gt;1,"Code en double",IF(B273="","Raison sociale manquante","OK")))</f>
        <v/>
      </c>
      <c r="L273" s="130" t="str">
        <f>IF(OR(A273="",N(H273)=0),"",H273+I273/1000000000000)</f>
        <v/>
      </c>
      <c r="M273" s="131" t="str">
        <f>IF(L273="","",RANK(L273,$L$6:$L$305)+COUNTIF($L$6:L272,L273))</f>
        <v/>
      </c>
    </row>
    <row r="274">
      <c r="A274" s="129" t="n"/>
      <c r="B274" s="59" t="n"/>
      <c r="C274" s="59" t="n"/>
      <c r="D274" s="59" t="n"/>
      <c r="E274" s="58" t="n"/>
      <c r="F274" s="58" t="n"/>
      <c r="G274" s="59" t="n"/>
      <c r="H274" s="66" t="str">
        <f>IF(A274="","",COUNTIFS(jr_new,1,jr_type,"BL",jr_tiers,A274,jr_year,p_year))</f>
        <v/>
      </c>
      <c r="I274" s="64" t="str">
        <f>IF(A274="","",SUMIFS(jr_val,jr_type,"BL",jr_tiers,A274,jr_year,p_year))</f>
        <v/>
      </c>
      <c r="J274" s="66" t="str">
        <f>IF(A274="","",COUNTIFS(jr_type,"BL",jr_tiers,A274,jr_rel,"&gt;0"))</f>
        <v/>
      </c>
      <c r="K274" s="60" t="str">
        <f>IF(A274="",IF(B274="","","Code manquant"),IF(COUNTIF($A$6:$A$305,A274)&gt;1,"Code en double",IF(B274="","Raison sociale manquante","OK")))</f>
        <v/>
      </c>
      <c r="L274" s="130" t="str">
        <f>IF(OR(A274="",N(H274)=0),"",H274+I274/1000000000000)</f>
        <v/>
      </c>
      <c r="M274" s="131" t="str">
        <f>IF(L274="","",RANK(L274,$L$6:$L$305)+COUNTIF($L$6:L273,L274))</f>
        <v/>
      </c>
    </row>
    <row r="275">
      <c r="A275" s="129" t="n"/>
      <c r="B275" s="59" t="n"/>
      <c r="C275" s="59" t="n"/>
      <c r="D275" s="59" t="n"/>
      <c r="E275" s="58" t="n"/>
      <c r="F275" s="58" t="n"/>
      <c r="G275" s="59" t="n"/>
      <c r="H275" s="66" t="str">
        <f>IF(A275="","",COUNTIFS(jr_new,1,jr_type,"BL",jr_tiers,A275,jr_year,p_year))</f>
        <v/>
      </c>
      <c r="I275" s="64" t="str">
        <f>IF(A275="","",SUMIFS(jr_val,jr_type,"BL",jr_tiers,A275,jr_year,p_year))</f>
        <v/>
      </c>
      <c r="J275" s="66" t="str">
        <f>IF(A275="","",COUNTIFS(jr_type,"BL",jr_tiers,A275,jr_rel,"&gt;0"))</f>
        <v/>
      </c>
      <c r="K275" s="60" t="str">
        <f>IF(A275="",IF(B275="","","Code manquant"),IF(COUNTIF($A$6:$A$305,A275)&gt;1,"Code en double",IF(B275="","Raison sociale manquante","OK")))</f>
        <v/>
      </c>
      <c r="L275" s="130" t="str">
        <f>IF(OR(A275="",N(H275)=0),"",H275+I275/1000000000000)</f>
        <v/>
      </c>
      <c r="M275" s="131" t="str">
        <f>IF(L275="","",RANK(L275,$L$6:$L$305)+COUNTIF($L$6:L274,L275))</f>
        <v/>
      </c>
    </row>
    <row r="276">
      <c r="A276" s="129" t="n"/>
      <c r="B276" s="59" t="n"/>
      <c r="C276" s="59" t="n"/>
      <c r="D276" s="59" t="n"/>
      <c r="E276" s="58" t="n"/>
      <c r="F276" s="58" t="n"/>
      <c r="G276" s="59" t="n"/>
      <c r="H276" s="66" t="str">
        <f>IF(A276="","",COUNTIFS(jr_new,1,jr_type,"BL",jr_tiers,A276,jr_year,p_year))</f>
        <v/>
      </c>
      <c r="I276" s="64" t="str">
        <f>IF(A276="","",SUMIFS(jr_val,jr_type,"BL",jr_tiers,A276,jr_year,p_year))</f>
        <v/>
      </c>
      <c r="J276" s="66" t="str">
        <f>IF(A276="","",COUNTIFS(jr_type,"BL",jr_tiers,A276,jr_rel,"&gt;0"))</f>
        <v/>
      </c>
      <c r="K276" s="60" t="str">
        <f>IF(A276="",IF(B276="","","Code manquant"),IF(COUNTIF($A$6:$A$305,A276)&gt;1,"Code en double",IF(B276="","Raison sociale manquante","OK")))</f>
        <v/>
      </c>
      <c r="L276" s="130" t="str">
        <f>IF(OR(A276="",N(H276)=0),"",H276+I276/1000000000000)</f>
        <v/>
      </c>
      <c r="M276" s="131" t="str">
        <f>IF(L276="","",RANK(L276,$L$6:$L$305)+COUNTIF($L$6:L275,L276))</f>
        <v/>
      </c>
    </row>
    <row r="277">
      <c r="A277" s="129" t="n"/>
      <c r="B277" s="59" t="n"/>
      <c r="C277" s="59" t="n"/>
      <c r="D277" s="59" t="n"/>
      <c r="E277" s="58" t="n"/>
      <c r="F277" s="58" t="n"/>
      <c r="G277" s="59" t="n"/>
      <c r="H277" s="66" t="str">
        <f>IF(A277="","",COUNTIFS(jr_new,1,jr_type,"BL",jr_tiers,A277,jr_year,p_year))</f>
        <v/>
      </c>
      <c r="I277" s="64" t="str">
        <f>IF(A277="","",SUMIFS(jr_val,jr_type,"BL",jr_tiers,A277,jr_year,p_year))</f>
        <v/>
      </c>
      <c r="J277" s="66" t="str">
        <f>IF(A277="","",COUNTIFS(jr_type,"BL",jr_tiers,A277,jr_rel,"&gt;0"))</f>
        <v/>
      </c>
      <c r="K277" s="60" t="str">
        <f>IF(A277="",IF(B277="","","Code manquant"),IF(COUNTIF($A$6:$A$305,A277)&gt;1,"Code en double",IF(B277="","Raison sociale manquante","OK")))</f>
        <v/>
      </c>
      <c r="L277" s="130" t="str">
        <f>IF(OR(A277="",N(H277)=0),"",H277+I277/1000000000000)</f>
        <v/>
      </c>
      <c r="M277" s="131" t="str">
        <f>IF(L277="","",RANK(L277,$L$6:$L$305)+COUNTIF($L$6:L276,L277))</f>
        <v/>
      </c>
    </row>
    <row r="278">
      <c r="A278" s="129" t="n"/>
      <c r="B278" s="59" t="n"/>
      <c r="C278" s="59" t="n"/>
      <c r="D278" s="59" t="n"/>
      <c r="E278" s="58" t="n"/>
      <c r="F278" s="58" t="n"/>
      <c r="G278" s="59" t="n"/>
      <c r="H278" s="66" t="str">
        <f>IF(A278="","",COUNTIFS(jr_new,1,jr_type,"BL",jr_tiers,A278,jr_year,p_year))</f>
        <v/>
      </c>
      <c r="I278" s="64" t="str">
        <f>IF(A278="","",SUMIFS(jr_val,jr_type,"BL",jr_tiers,A278,jr_year,p_year))</f>
        <v/>
      </c>
      <c r="J278" s="66" t="str">
        <f>IF(A278="","",COUNTIFS(jr_type,"BL",jr_tiers,A278,jr_rel,"&gt;0"))</f>
        <v/>
      </c>
      <c r="K278" s="60" t="str">
        <f>IF(A278="",IF(B278="","","Code manquant"),IF(COUNTIF($A$6:$A$305,A278)&gt;1,"Code en double",IF(B278="","Raison sociale manquante","OK")))</f>
        <v/>
      </c>
      <c r="L278" s="130" t="str">
        <f>IF(OR(A278="",N(H278)=0),"",H278+I278/1000000000000)</f>
        <v/>
      </c>
      <c r="M278" s="131" t="str">
        <f>IF(L278="","",RANK(L278,$L$6:$L$305)+COUNTIF($L$6:L277,L278))</f>
        <v/>
      </c>
    </row>
    <row r="279">
      <c r="A279" s="129" t="n"/>
      <c r="B279" s="59" t="n"/>
      <c r="C279" s="59" t="n"/>
      <c r="D279" s="59" t="n"/>
      <c r="E279" s="58" t="n"/>
      <c r="F279" s="58" t="n"/>
      <c r="G279" s="59" t="n"/>
      <c r="H279" s="66" t="str">
        <f>IF(A279="","",COUNTIFS(jr_new,1,jr_type,"BL",jr_tiers,A279,jr_year,p_year))</f>
        <v/>
      </c>
      <c r="I279" s="64" t="str">
        <f>IF(A279="","",SUMIFS(jr_val,jr_type,"BL",jr_tiers,A279,jr_year,p_year))</f>
        <v/>
      </c>
      <c r="J279" s="66" t="str">
        <f>IF(A279="","",COUNTIFS(jr_type,"BL",jr_tiers,A279,jr_rel,"&gt;0"))</f>
        <v/>
      </c>
      <c r="K279" s="60" t="str">
        <f>IF(A279="",IF(B279="","","Code manquant"),IF(COUNTIF($A$6:$A$305,A279)&gt;1,"Code en double",IF(B279="","Raison sociale manquante","OK")))</f>
        <v/>
      </c>
      <c r="L279" s="130" t="str">
        <f>IF(OR(A279="",N(H279)=0),"",H279+I279/1000000000000)</f>
        <v/>
      </c>
      <c r="M279" s="131" t="str">
        <f>IF(L279="","",RANK(L279,$L$6:$L$305)+COUNTIF($L$6:L278,L279))</f>
        <v/>
      </c>
    </row>
    <row r="280">
      <c r="A280" s="129" t="n"/>
      <c r="B280" s="59" t="n"/>
      <c r="C280" s="59" t="n"/>
      <c r="D280" s="59" t="n"/>
      <c r="E280" s="58" t="n"/>
      <c r="F280" s="58" t="n"/>
      <c r="G280" s="59" t="n"/>
      <c r="H280" s="66" t="str">
        <f>IF(A280="","",COUNTIFS(jr_new,1,jr_type,"BL",jr_tiers,A280,jr_year,p_year))</f>
        <v/>
      </c>
      <c r="I280" s="64" t="str">
        <f>IF(A280="","",SUMIFS(jr_val,jr_type,"BL",jr_tiers,A280,jr_year,p_year))</f>
        <v/>
      </c>
      <c r="J280" s="66" t="str">
        <f>IF(A280="","",COUNTIFS(jr_type,"BL",jr_tiers,A280,jr_rel,"&gt;0"))</f>
        <v/>
      </c>
      <c r="K280" s="60" t="str">
        <f>IF(A280="",IF(B280="","","Code manquant"),IF(COUNTIF($A$6:$A$305,A280)&gt;1,"Code en double",IF(B280="","Raison sociale manquante","OK")))</f>
        <v/>
      </c>
      <c r="L280" s="130" t="str">
        <f>IF(OR(A280="",N(H280)=0),"",H280+I280/1000000000000)</f>
        <v/>
      </c>
      <c r="M280" s="131" t="str">
        <f>IF(L280="","",RANK(L280,$L$6:$L$305)+COUNTIF($L$6:L279,L280))</f>
        <v/>
      </c>
    </row>
    <row r="281">
      <c r="A281" s="129" t="n"/>
      <c r="B281" s="59" t="n"/>
      <c r="C281" s="59" t="n"/>
      <c r="D281" s="59" t="n"/>
      <c r="E281" s="58" t="n"/>
      <c r="F281" s="58" t="n"/>
      <c r="G281" s="59" t="n"/>
      <c r="H281" s="66" t="str">
        <f>IF(A281="","",COUNTIFS(jr_new,1,jr_type,"BL",jr_tiers,A281,jr_year,p_year))</f>
        <v/>
      </c>
      <c r="I281" s="64" t="str">
        <f>IF(A281="","",SUMIFS(jr_val,jr_type,"BL",jr_tiers,A281,jr_year,p_year))</f>
        <v/>
      </c>
      <c r="J281" s="66" t="str">
        <f>IF(A281="","",COUNTIFS(jr_type,"BL",jr_tiers,A281,jr_rel,"&gt;0"))</f>
        <v/>
      </c>
      <c r="K281" s="60" t="str">
        <f>IF(A281="",IF(B281="","","Code manquant"),IF(COUNTIF($A$6:$A$305,A281)&gt;1,"Code en double",IF(B281="","Raison sociale manquante","OK")))</f>
        <v/>
      </c>
      <c r="L281" s="130" t="str">
        <f>IF(OR(A281="",N(H281)=0),"",H281+I281/1000000000000)</f>
        <v/>
      </c>
      <c r="M281" s="131" t="str">
        <f>IF(L281="","",RANK(L281,$L$6:$L$305)+COUNTIF($L$6:L280,L281))</f>
        <v/>
      </c>
    </row>
    <row r="282">
      <c r="A282" s="129" t="n"/>
      <c r="B282" s="59" t="n"/>
      <c r="C282" s="59" t="n"/>
      <c r="D282" s="59" t="n"/>
      <c r="E282" s="58" t="n"/>
      <c r="F282" s="58" t="n"/>
      <c r="G282" s="59" t="n"/>
      <c r="H282" s="66" t="str">
        <f>IF(A282="","",COUNTIFS(jr_new,1,jr_type,"BL",jr_tiers,A282,jr_year,p_year))</f>
        <v/>
      </c>
      <c r="I282" s="64" t="str">
        <f>IF(A282="","",SUMIFS(jr_val,jr_type,"BL",jr_tiers,A282,jr_year,p_year))</f>
        <v/>
      </c>
      <c r="J282" s="66" t="str">
        <f>IF(A282="","",COUNTIFS(jr_type,"BL",jr_tiers,A282,jr_rel,"&gt;0"))</f>
        <v/>
      </c>
      <c r="K282" s="60" t="str">
        <f>IF(A282="",IF(B282="","","Code manquant"),IF(COUNTIF($A$6:$A$305,A282)&gt;1,"Code en double",IF(B282="","Raison sociale manquante","OK")))</f>
        <v/>
      </c>
      <c r="L282" s="130" t="str">
        <f>IF(OR(A282="",N(H282)=0),"",H282+I282/1000000000000)</f>
        <v/>
      </c>
      <c r="M282" s="131" t="str">
        <f>IF(L282="","",RANK(L282,$L$6:$L$305)+COUNTIF($L$6:L281,L282))</f>
        <v/>
      </c>
    </row>
    <row r="283">
      <c r="A283" s="129" t="n"/>
      <c r="B283" s="59" t="n"/>
      <c r="C283" s="59" t="n"/>
      <c r="D283" s="59" t="n"/>
      <c r="E283" s="58" t="n"/>
      <c r="F283" s="58" t="n"/>
      <c r="G283" s="59" t="n"/>
      <c r="H283" s="66" t="str">
        <f>IF(A283="","",COUNTIFS(jr_new,1,jr_type,"BL",jr_tiers,A283,jr_year,p_year))</f>
        <v/>
      </c>
      <c r="I283" s="64" t="str">
        <f>IF(A283="","",SUMIFS(jr_val,jr_type,"BL",jr_tiers,A283,jr_year,p_year))</f>
        <v/>
      </c>
      <c r="J283" s="66" t="str">
        <f>IF(A283="","",COUNTIFS(jr_type,"BL",jr_tiers,A283,jr_rel,"&gt;0"))</f>
        <v/>
      </c>
      <c r="K283" s="60" t="str">
        <f>IF(A283="",IF(B283="","","Code manquant"),IF(COUNTIF($A$6:$A$305,A283)&gt;1,"Code en double",IF(B283="","Raison sociale manquante","OK")))</f>
        <v/>
      </c>
      <c r="L283" s="130" t="str">
        <f>IF(OR(A283="",N(H283)=0),"",H283+I283/1000000000000)</f>
        <v/>
      </c>
      <c r="M283" s="131" t="str">
        <f>IF(L283="","",RANK(L283,$L$6:$L$305)+COUNTIF($L$6:L282,L283))</f>
        <v/>
      </c>
    </row>
    <row r="284">
      <c r="A284" s="129" t="n"/>
      <c r="B284" s="59" t="n"/>
      <c r="C284" s="59" t="n"/>
      <c r="D284" s="59" t="n"/>
      <c r="E284" s="58" t="n"/>
      <c r="F284" s="58" t="n"/>
      <c r="G284" s="59" t="n"/>
      <c r="H284" s="66" t="str">
        <f>IF(A284="","",COUNTIFS(jr_new,1,jr_type,"BL",jr_tiers,A284,jr_year,p_year))</f>
        <v/>
      </c>
      <c r="I284" s="64" t="str">
        <f>IF(A284="","",SUMIFS(jr_val,jr_type,"BL",jr_tiers,A284,jr_year,p_year))</f>
        <v/>
      </c>
      <c r="J284" s="66" t="str">
        <f>IF(A284="","",COUNTIFS(jr_type,"BL",jr_tiers,A284,jr_rel,"&gt;0"))</f>
        <v/>
      </c>
      <c r="K284" s="60" t="str">
        <f>IF(A284="",IF(B284="","","Code manquant"),IF(COUNTIF($A$6:$A$305,A284)&gt;1,"Code en double",IF(B284="","Raison sociale manquante","OK")))</f>
        <v/>
      </c>
      <c r="L284" s="130" t="str">
        <f>IF(OR(A284="",N(H284)=0),"",H284+I284/1000000000000)</f>
        <v/>
      </c>
      <c r="M284" s="131" t="str">
        <f>IF(L284="","",RANK(L284,$L$6:$L$305)+COUNTIF($L$6:L283,L284))</f>
        <v/>
      </c>
    </row>
    <row r="285">
      <c r="A285" s="129" t="n"/>
      <c r="B285" s="59" t="n"/>
      <c r="C285" s="59" t="n"/>
      <c r="D285" s="59" t="n"/>
      <c r="E285" s="58" t="n"/>
      <c r="F285" s="58" t="n"/>
      <c r="G285" s="59" t="n"/>
      <c r="H285" s="66" t="str">
        <f>IF(A285="","",COUNTIFS(jr_new,1,jr_type,"BL",jr_tiers,A285,jr_year,p_year))</f>
        <v/>
      </c>
      <c r="I285" s="64" t="str">
        <f>IF(A285="","",SUMIFS(jr_val,jr_type,"BL",jr_tiers,A285,jr_year,p_year))</f>
        <v/>
      </c>
      <c r="J285" s="66" t="str">
        <f>IF(A285="","",COUNTIFS(jr_type,"BL",jr_tiers,A285,jr_rel,"&gt;0"))</f>
        <v/>
      </c>
      <c r="K285" s="60" t="str">
        <f>IF(A285="",IF(B285="","","Code manquant"),IF(COUNTIF($A$6:$A$305,A285)&gt;1,"Code en double",IF(B285="","Raison sociale manquante","OK")))</f>
        <v/>
      </c>
      <c r="L285" s="130" t="str">
        <f>IF(OR(A285="",N(H285)=0),"",H285+I285/1000000000000)</f>
        <v/>
      </c>
      <c r="M285" s="131" t="str">
        <f>IF(L285="","",RANK(L285,$L$6:$L$305)+COUNTIF($L$6:L284,L285))</f>
        <v/>
      </c>
    </row>
    <row r="286">
      <c r="A286" s="129" t="n"/>
      <c r="B286" s="59" t="n"/>
      <c r="C286" s="59" t="n"/>
      <c r="D286" s="59" t="n"/>
      <c r="E286" s="58" t="n"/>
      <c r="F286" s="58" t="n"/>
      <c r="G286" s="59" t="n"/>
      <c r="H286" s="66" t="str">
        <f>IF(A286="","",COUNTIFS(jr_new,1,jr_type,"BL",jr_tiers,A286,jr_year,p_year))</f>
        <v/>
      </c>
      <c r="I286" s="64" t="str">
        <f>IF(A286="","",SUMIFS(jr_val,jr_type,"BL",jr_tiers,A286,jr_year,p_year))</f>
        <v/>
      </c>
      <c r="J286" s="66" t="str">
        <f>IF(A286="","",COUNTIFS(jr_type,"BL",jr_tiers,A286,jr_rel,"&gt;0"))</f>
        <v/>
      </c>
      <c r="K286" s="60" t="str">
        <f>IF(A286="",IF(B286="","","Code manquant"),IF(COUNTIF($A$6:$A$305,A286)&gt;1,"Code en double",IF(B286="","Raison sociale manquante","OK")))</f>
        <v/>
      </c>
      <c r="L286" s="130" t="str">
        <f>IF(OR(A286="",N(H286)=0),"",H286+I286/1000000000000)</f>
        <v/>
      </c>
      <c r="M286" s="131" t="str">
        <f>IF(L286="","",RANK(L286,$L$6:$L$305)+COUNTIF($L$6:L285,L286))</f>
        <v/>
      </c>
    </row>
    <row r="287">
      <c r="A287" s="129" t="n"/>
      <c r="B287" s="59" t="n"/>
      <c r="C287" s="59" t="n"/>
      <c r="D287" s="59" t="n"/>
      <c r="E287" s="58" t="n"/>
      <c r="F287" s="58" t="n"/>
      <c r="G287" s="59" t="n"/>
      <c r="H287" s="66" t="str">
        <f>IF(A287="","",COUNTIFS(jr_new,1,jr_type,"BL",jr_tiers,A287,jr_year,p_year))</f>
        <v/>
      </c>
      <c r="I287" s="64" t="str">
        <f>IF(A287="","",SUMIFS(jr_val,jr_type,"BL",jr_tiers,A287,jr_year,p_year))</f>
        <v/>
      </c>
      <c r="J287" s="66" t="str">
        <f>IF(A287="","",COUNTIFS(jr_type,"BL",jr_tiers,A287,jr_rel,"&gt;0"))</f>
        <v/>
      </c>
      <c r="K287" s="60" t="str">
        <f>IF(A287="",IF(B287="","","Code manquant"),IF(COUNTIF($A$6:$A$305,A287)&gt;1,"Code en double",IF(B287="","Raison sociale manquante","OK")))</f>
        <v/>
      </c>
      <c r="L287" s="130" t="str">
        <f>IF(OR(A287="",N(H287)=0),"",H287+I287/1000000000000)</f>
        <v/>
      </c>
      <c r="M287" s="131" t="str">
        <f>IF(L287="","",RANK(L287,$L$6:$L$305)+COUNTIF($L$6:L286,L287))</f>
        <v/>
      </c>
    </row>
    <row r="288">
      <c r="A288" s="129" t="n"/>
      <c r="B288" s="59" t="n"/>
      <c r="C288" s="59" t="n"/>
      <c r="D288" s="59" t="n"/>
      <c r="E288" s="58" t="n"/>
      <c r="F288" s="58" t="n"/>
      <c r="G288" s="59" t="n"/>
      <c r="H288" s="66" t="str">
        <f>IF(A288="","",COUNTIFS(jr_new,1,jr_type,"BL",jr_tiers,A288,jr_year,p_year))</f>
        <v/>
      </c>
      <c r="I288" s="64" t="str">
        <f>IF(A288="","",SUMIFS(jr_val,jr_type,"BL",jr_tiers,A288,jr_year,p_year))</f>
        <v/>
      </c>
      <c r="J288" s="66" t="str">
        <f>IF(A288="","",COUNTIFS(jr_type,"BL",jr_tiers,A288,jr_rel,"&gt;0"))</f>
        <v/>
      </c>
      <c r="K288" s="60" t="str">
        <f>IF(A288="",IF(B288="","","Code manquant"),IF(COUNTIF($A$6:$A$305,A288)&gt;1,"Code en double",IF(B288="","Raison sociale manquante","OK")))</f>
        <v/>
      </c>
      <c r="L288" s="130" t="str">
        <f>IF(OR(A288="",N(H288)=0),"",H288+I288/1000000000000)</f>
        <v/>
      </c>
      <c r="M288" s="131" t="str">
        <f>IF(L288="","",RANK(L288,$L$6:$L$305)+COUNTIF($L$6:L287,L288))</f>
        <v/>
      </c>
    </row>
    <row r="289">
      <c r="A289" s="129" t="n"/>
      <c r="B289" s="59" t="n"/>
      <c r="C289" s="59" t="n"/>
      <c r="D289" s="59" t="n"/>
      <c r="E289" s="58" t="n"/>
      <c r="F289" s="58" t="n"/>
      <c r="G289" s="59" t="n"/>
      <c r="H289" s="66" t="str">
        <f>IF(A289="","",COUNTIFS(jr_new,1,jr_type,"BL",jr_tiers,A289,jr_year,p_year))</f>
        <v/>
      </c>
      <c r="I289" s="64" t="str">
        <f>IF(A289="","",SUMIFS(jr_val,jr_type,"BL",jr_tiers,A289,jr_year,p_year))</f>
        <v/>
      </c>
      <c r="J289" s="66" t="str">
        <f>IF(A289="","",COUNTIFS(jr_type,"BL",jr_tiers,A289,jr_rel,"&gt;0"))</f>
        <v/>
      </c>
      <c r="K289" s="60" t="str">
        <f>IF(A289="",IF(B289="","","Code manquant"),IF(COUNTIF($A$6:$A$305,A289)&gt;1,"Code en double",IF(B289="","Raison sociale manquante","OK")))</f>
        <v/>
      </c>
      <c r="L289" s="130" t="str">
        <f>IF(OR(A289="",N(H289)=0),"",H289+I289/1000000000000)</f>
        <v/>
      </c>
      <c r="M289" s="131" t="str">
        <f>IF(L289="","",RANK(L289,$L$6:$L$305)+COUNTIF($L$6:L288,L289))</f>
        <v/>
      </c>
    </row>
    <row r="290">
      <c r="A290" s="129" t="n"/>
      <c r="B290" s="59" t="n"/>
      <c r="C290" s="59" t="n"/>
      <c r="D290" s="59" t="n"/>
      <c r="E290" s="58" t="n"/>
      <c r="F290" s="58" t="n"/>
      <c r="G290" s="59" t="n"/>
      <c r="H290" s="66" t="str">
        <f>IF(A290="","",COUNTIFS(jr_new,1,jr_type,"BL",jr_tiers,A290,jr_year,p_year))</f>
        <v/>
      </c>
      <c r="I290" s="64" t="str">
        <f>IF(A290="","",SUMIFS(jr_val,jr_type,"BL",jr_tiers,A290,jr_year,p_year))</f>
        <v/>
      </c>
      <c r="J290" s="66" t="str">
        <f>IF(A290="","",COUNTIFS(jr_type,"BL",jr_tiers,A290,jr_rel,"&gt;0"))</f>
        <v/>
      </c>
      <c r="K290" s="60" t="str">
        <f>IF(A290="",IF(B290="","","Code manquant"),IF(COUNTIF($A$6:$A$305,A290)&gt;1,"Code en double",IF(B290="","Raison sociale manquante","OK")))</f>
        <v/>
      </c>
      <c r="L290" s="130" t="str">
        <f>IF(OR(A290="",N(H290)=0),"",H290+I290/1000000000000)</f>
        <v/>
      </c>
      <c r="M290" s="131" t="str">
        <f>IF(L290="","",RANK(L290,$L$6:$L$305)+COUNTIF($L$6:L289,L290))</f>
        <v/>
      </c>
    </row>
    <row r="291">
      <c r="A291" s="129" t="n"/>
      <c r="B291" s="59" t="n"/>
      <c r="C291" s="59" t="n"/>
      <c r="D291" s="59" t="n"/>
      <c r="E291" s="58" t="n"/>
      <c r="F291" s="58" t="n"/>
      <c r="G291" s="59" t="n"/>
      <c r="H291" s="66" t="str">
        <f>IF(A291="","",COUNTIFS(jr_new,1,jr_type,"BL",jr_tiers,A291,jr_year,p_year))</f>
        <v/>
      </c>
      <c r="I291" s="64" t="str">
        <f>IF(A291="","",SUMIFS(jr_val,jr_type,"BL",jr_tiers,A291,jr_year,p_year))</f>
        <v/>
      </c>
      <c r="J291" s="66" t="str">
        <f>IF(A291="","",COUNTIFS(jr_type,"BL",jr_tiers,A291,jr_rel,"&gt;0"))</f>
        <v/>
      </c>
      <c r="K291" s="60" t="str">
        <f>IF(A291="",IF(B291="","","Code manquant"),IF(COUNTIF($A$6:$A$305,A291)&gt;1,"Code en double",IF(B291="","Raison sociale manquante","OK")))</f>
        <v/>
      </c>
      <c r="L291" s="130" t="str">
        <f>IF(OR(A291="",N(H291)=0),"",H291+I291/1000000000000)</f>
        <v/>
      </c>
      <c r="M291" s="131" t="str">
        <f>IF(L291="","",RANK(L291,$L$6:$L$305)+COUNTIF($L$6:L290,L291))</f>
        <v/>
      </c>
    </row>
    <row r="292">
      <c r="A292" s="129" t="n"/>
      <c r="B292" s="59" t="n"/>
      <c r="C292" s="59" t="n"/>
      <c r="D292" s="59" t="n"/>
      <c r="E292" s="58" t="n"/>
      <c r="F292" s="58" t="n"/>
      <c r="G292" s="59" t="n"/>
      <c r="H292" s="66" t="str">
        <f>IF(A292="","",COUNTIFS(jr_new,1,jr_type,"BL",jr_tiers,A292,jr_year,p_year))</f>
        <v/>
      </c>
      <c r="I292" s="64" t="str">
        <f>IF(A292="","",SUMIFS(jr_val,jr_type,"BL",jr_tiers,A292,jr_year,p_year))</f>
        <v/>
      </c>
      <c r="J292" s="66" t="str">
        <f>IF(A292="","",COUNTIFS(jr_type,"BL",jr_tiers,A292,jr_rel,"&gt;0"))</f>
        <v/>
      </c>
      <c r="K292" s="60" t="str">
        <f>IF(A292="",IF(B292="","","Code manquant"),IF(COUNTIF($A$6:$A$305,A292)&gt;1,"Code en double",IF(B292="","Raison sociale manquante","OK")))</f>
        <v/>
      </c>
      <c r="L292" s="130" t="str">
        <f>IF(OR(A292="",N(H292)=0),"",H292+I292/1000000000000)</f>
        <v/>
      </c>
      <c r="M292" s="131" t="str">
        <f>IF(L292="","",RANK(L292,$L$6:$L$305)+COUNTIF($L$6:L291,L292))</f>
        <v/>
      </c>
    </row>
    <row r="293">
      <c r="A293" s="129" t="n"/>
      <c r="B293" s="59" t="n"/>
      <c r="C293" s="59" t="n"/>
      <c r="D293" s="59" t="n"/>
      <c r="E293" s="58" t="n"/>
      <c r="F293" s="58" t="n"/>
      <c r="G293" s="59" t="n"/>
      <c r="H293" s="66" t="str">
        <f>IF(A293="","",COUNTIFS(jr_new,1,jr_type,"BL",jr_tiers,A293,jr_year,p_year))</f>
        <v/>
      </c>
      <c r="I293" s="64" t="str">
        <f>IF(A293="","",SUMIFS(jr_val,jr_type,"BL",jr_tiers,A293,jr_year,p_year))</f>
        <v/>
      </c>
      <c r="J293" s="66" t="str">
        <f>IF(A293="","",COUNTIFS(jr_type,"BL",jr_tiers,A293,jr_rel,"&gt;0"))</f>
        <v/>
      </c>
      <c r="K293" s="60" t="str">
        <f>IF(A293="",IF(B293="","","Code manquant"),IF(COUNTIF($A$6:$A$305,A293)&gt;1,"Code en double",IF(B293="","Raison sociale manquante","OK")))</f>
        <v/>
      </c>
      <c r="L293" s="130" t="str">
        <f>IF(OR(A293="",N(H293)=0),"",H293+I293/1000000000000)</f>
        <v/>
      </c>
      <c r="M293" s="131" t="str">
        <f>IF(L293="","",RANK(L293,$L$6:$L$305)+COUNTIF($L$6:L292,L293))</f>
        <v/>
      </c>
    </row>
    <row r="294">
      <c r="A294" s="129" t="n"/>
      <c r="B294" s="59" t="n"/>
      <c r="C294" s="59" t="n"/>
      <c r="D294" s="59" t="n"/>
      <c r="E294" s="58" t="n"/>
      <c r="F294" s="58" t="n"/>
      <c r="G294" s="59" t="n"/>
      <c r="H294" s="66" t="str">
        <f>IF(A294="","",COUNTIFS(jr_new,1,jr_type,"BL",jr_tiers,A294,jr_year,p_year))</f>
        <v/>
      </c>
      <c r="I294" s="64" t="str">
        <f>IF(A294="","",SUMIFS(jr_val,jr_type,"BL",jr_tiers,A294,jr_year,p_year))</f>
        <v/>
      </c>
      <c r="J294" s="66" t="str">
        <f>IF(A294="","",COUNTIFS(jr_type,"BL",jr_tiers,A294,jr_rel,"&gt;0"))</f>
        <v/>
      </c>
      <c r="K294" s="60" t="str">
        <f>IF(A294="",IF(B294="","","Code manquant"),IF(COUNTIF($A$6:$A$305,A294)&gt;1,"Code en double",IF(B294="","Raison sociale manquante","OK")))</f>
        <v/>
      </c>
      <c r="L294" s="130" t="str">
        <f>IF(OR(A294="",N(H294)=0),"",H294+I294/1000000000000)</f>
        <v/>
      </c>
      <c r="M294" s="131" t="str">
        <f>IF(L294="","",RANK(L294,$L$6:$L$305)+COUNTIF($L$6:L293,L294))</f>
        <v/>
      </c>
    </row>
    <row r="295">
      <c r="A295" s="129" t="n"/>
      <c r="B295" s="59" t="n"/>
      <c r="C295" s="59" t="n"/>
      <c r="D295" s="59" t="n"/>
      <c r="E295" s="58" t="n"/>
      <c r="F295" s="58" t="n"/>
      <c r="G295" s="59" t="n"/>
      <c r="H295" s="66" t="str">
        <f>IF(A295="","",COUNTIFS(jr_new,1,jr_type,"BL",jr_tiers,A295,jr_year,p_year))</f>
        <v/>
      </c>
      <c r="I295" s="64" t="str">
        <f>IF(A295="","",SUMIFS(jr_val,jr_type,"BL",jr_tiers,A295,jr_year,p_year))</f>
        <v/>
      </c>
      <c r="J295" s="66" t="str">
        <f>IF(A295="","",COUNTIFS(jr_type,"BL",jr_tiers,A295,jr_rel,"&gt;0"))</f>
        <v/>
      </c>
      <c r="K295" s="60" t="str">
        <f>IF(A295="",IF(B295="","","Code manquant"),IF(COUNTIF($A$6:$A$305,A295)&gt;1,"Code en double",IF(B295="","Raison sociale manquante","OK")))</f>
        <v/>
      </c>
      <c r="L295" s="130" t="str">
        <f>IF(OR(A295="",N(H295)=0),"",H295+I295/1000000000000)</f>
        <v/>
      </c>
      <c r="M295" s="131" t="str">
        <f>IF(L295="","",RANK(L295,$L$6:$L$305)+COUNTIF($L$6:L294,L295))</f>
        <v/>
      </c>
    </row>
    <row r="296">
      <c r="A296" s="129" t="n"/>
      <c r="B296" s="59" t="n"/>
      <c r="C296" s="59" t="n"/>
      <c r="D296" s="59" t="n"/>
      <c r="E296" s="58" t="n"/>
      <c r="F296" s="58" t="n"/>
      <c r="G296" s="59" t="n"/>
      <c r="H296" s="66" t="str">
        <f>IF(A296="","",COUNTIFS(jr_new,1,jr_type,"BL",jr_tiers,A296,jr_year,p_year))</f>
        <v/>
      </c>
      <c r="I296" s="64" t="str">
        <f>IF(A296="","",SUMIFS(jr_val,jr_type,"BL",jr_tiers,A296,jr_year,p_year))</f>
        <v/>
      </c>
      <c r="J296" s="66" t="str">
        <f>IF(A296="","",COUNTIFS(jr_type,"BL",jr_tiers,A296,jr_rel,"&gt;0"))</f>
        <v/>
      </c>
      <c r="K296" s="60" t="str">
        <f>IF(A296="",IF(B296="","","Code manquant"),IF(COUNTIF($A$6:$A$305,A296)&gt;1,"Code en double",IF(B296="","Raison sociale manquante","OK")))</f>
        <v/>
      </c>
      <c r="L296" s="130" t="str">
        <f>IF(OR(A296="",N(H296)=0),"",H296+I296/1000000000000)</f>
        <v/>
      </c>
      <c r="M296" s="131" t="str">
        <f>IF(L296="","",RANK(L296,$L$6:$L$305)+COUNTIF($L$6:L295,L296))</f>
        <v/>
      </c>
    </row>
    <row r="297">
      <c r="A297" s="129" t="n"/>
      <c r="B297" s="59" t="n"/>
      <c r="C297" s="59" t="n"/>
      <c r="D297" s="59" t="n"/>
      <c r="E297" s="58" t="n"/>
      <c r="F297" s="58" t="n"/>
      <c r="G297" s="59" t="n"/>
      <c r="H297" s="66" t="str">
        <f>IF(A297="","",COUNTIFS(jr_new,1,jr_type,"BL",jr_tiers,A297,jr_year,p_year))</f>
        <v/>
      </c>
      <c r="I297" s="64" t="str">
        <f>IF(A297="","",SUMIFS(jr_val,jr_type,"BL",jr_tiers,A297,jr_year,p_year))</f>
        <v/>
      </c>
      <c r="J297" s="66" t="str">
        <f>IF(A297="","",COUNTIFS(jr_type,"BL",jr_tiers,A297,jr_rel,"&gt;0"))</f>
        <v/>
      </c>
      <c r="K297" s="60" t="str">
        <f>IF(A297="",IF(B297="","","Code manquant"),IF(COUNTIF($A$6:$A$305,A297)&gt;1,"Code en double",IF(B297="","Raison sociale manquante","OK")))</f>
        <v/>
      </c>
      <c r="L297" s="130" t="str">
        <f>IF(OR(A297="",N(H297)=0),"",H297+I297/1000000000000)</f>
        <v/>
      </c>
      <c r="M297" s="131" t="str">
        <f>IF(L297="","",RANK(L297,$L$6:$L$305)+COUNTIF($L$6:L296,L297))</f>
        <v/>
      </c>
    </row>
    <row r="298">
      <c r="A298" s="129" t="n"/>
      <c r="B298" s="59" t="n"/>
      <c r="C298" s="59" t="n"/>
      <c r="D298" s="59" t="n"/>
      <c r="E298" s="58" t="n"/>
      <c r="F298" s="58" t="n"/>
      <c r="G298" s="59" t="n"/>
      <c r="H298" s="66" t="str">
        <f>IF(A298="","",COUNTIFS(jr_new,1,jr_type,"BL",jr_tiers,A298,jr_year,p_year))</f>
        <v/>
      </c>
      <c r="I298" s="64" t="str">
        <f>IF(A298="","",SUMIFS(jr_val,jr_type,"BL",jr_tiers,A298,jr_year,p_year))</f>
        <v/>
      </c>
      <c r="J298" s="66" t="str">
        <f>IF(A298="","",COUNTIFS(jr_type,"BL",jr_tiers,A298,jr_rel,"&gt;0"))</f>
        <v/>
      </c>
      <c r="K298" s="60" t="str">
        <f>IF(A298="",IF(B298="","","Code manquant"),IF(COUNTIF($A$6:$A$305,A298)&gt;1,"Code en double",IF(B298="","Raison sociale manquante","OK")))</f>
        <v/>
      </c>
      <c r="L298" s="130" t="str">
        <f>IF(OR(A298="",N(H298)=0),"",H298+I298/1000000000000)</f>
        <v/>
      </c>
      <c r="M298" s="131" t="str">
        <f>IF(L298="","",RANK(L298,$L$6:$L$305)+COUNTIF($L$6:L297,L298))</f>
        <v/>
      </c>
    </row>
    <row r="299">
      <c r="A299" s="129" t="n"/>
      <c r="B299" s="59" t="n"/>
      <c r="C299" s="59" t="n"/>
      <c r="D299" s="59" t="n"/>
      <c r="E299" s="58" t="n"/>
      <c r="F299" s="58" t="n"/>
      <c r="G299" s="59" t="n"/>
      <c r="H299" s="66" t="str">
        <f>IF(A299="","",COUNTIFS(jr_new,1,jr_type,"BL",jr_tiers,A299,jr_year,p_year))</f>
        <v/>
      </c>
      <c r="I299" s="64" t="str">
        <f>IF(A299="","",SUMIFS(jr_val,jr_type,"BL",jr_tiers,A299,jr_year,p_year))</f>
        <v/>
      </c>
      <c r="J299" s="66" t="str">
        <f>IF(A299="","",COUNTIFS(jr_type,"BL",jr_tiers,A299,jr_rel,"&gt;0"))</f>
        <v/>
      </c>
      <c r="K299" s="60" t="str">
        <f>IF(A299="",IF(B299="","","Code manquant"),IF(COUNTIF($A$6:$A$305,A299)&gt;1,"Code en double",IF(B299="","Raison sociale manquante","OK")))</f>
        <v/>
      </c>
      <c r="L299" s="130" t="str">
        <f>IF(OR(A299="",N(H299)=0),"",H299+I299/1000000000000)</f>
        <v/>
      </c>
      <c r="M299" s="131" t="str">
        <f>IF(L299="","",RANK(L299,$L$6:$L$305)+COUNTIF($L$6:L298,L299))</f>
        <v/>
      </c>
    </row>
    <row r="300">
      <c r="A300" s="129" t="n"/>
      <c r="B300" s="59" t="n"/>
      <c r="C300" s="59" t="n"/>
      <c r="D300" s="59" t="n"/>
      <c r="E300" s="58" t="n"/>
      <c r="F300" s="58" t="n"/>
      <c r="G300" s="59" t="n"/>
      <c r="H300" s="66" t="str">
        <f>IF(A300="","",COUNTIFS(jr_new,1,jr_type,"BL",jr_tiers,A300,jr_year,p_year))</f>
        <v/>
      </c>
      <c r="I300" s="64" t="str">
        <f>IF(A300="","",SUMIFS(jr_val,jr_type,"BL",jr_tiers,A300,jr_year,p_year))</f>
        <v/>
      </c>
      <c r="J300" s="66" t="str">
        <f>IF(A300="","",COUNTIFS(jr_type,"BL",jr_tiers,A300,jr_rel,"&gt;0"))</f>
        <v/>
      </c>
      <c r="K300" s="60" t="str">
        <f>IF(A300="",IF(B300="","","Code manquant"),IF(COUNTIF($A$6:$A$305,A300)&gt;1,"Code en double",IF(B300="","Raison sociale manquante","OK")))</f>
        <v/>
      </c>
      <c r="L300" s="130" t="str">
        <f>IF(OR(A300="",N(H300)=0),"",H300+I300/1000000000000)</f>
        <v/>
      </c>
      <c r="M300" s="131" t="str">
        <f>IF(L300="","",RANK(L300,$L$6:$L$305)+COUNTIF($L$6:L299,L300))</f>
        <v/>
      </c>
    </row>
    <row r="301">
      <c r="A301" s="129" t="n"/>
      <c r="B301" s="59" t="n"/>
      <c r="C301" s="59" t="n"/>
      <c r="D301" s="59" t="n"/>
      <c r="E301" s="58" t="n"/>
      <c r="F301" s="58" t="n"/>
      <c r="G301" s="59" t="n"/>
      <c r="H301" s="66" t="str">
        <f>IF(A301="","",COUNTIFS(jr_new,1,jr_type,"BL",jr_tiers,A301,jr_year,p_year))</f>
        <v/>
      </c>
      <c r="I301" s="64" t="str">
        <f>IF(A301="","",SUMIFS(jr_val,jr_type,"BL",jr_tiers,A301,jr_year,p_year))</f>
        <v/>
      </c>
      <c r="J301" s="66" t="str">
        <f>IF(A301="","",COUNTIFS(jr_type,"BL",jr_tiers,A301,jr_rel,"&gt;0"))</f>
        <v/>
      </c>
      <c r="K301" s="60" t="str">
        <f>IF(A301="",IF(B301="","","Code manquant"),IF(COUNTIF($A$6:$A$305,A301)&gt;1,"Code en double",IF(B301="","Raison sociale manquante","OK")))</f>
        <v/>
      </c>
      <c r="L301" s="130" t="str">
        <f>IF(OR(A301="",N(H301)=0),"",H301+I301/1000000000000)</f>
        <v/>
      </c>
      <c r="M301" s="131" t="str">
        <f>IF(L301="","",RANK(L301,$L$6:$L$305)+COUNTIF($L$6:L300,L301))</f>
        <v/>
      </c>
    </row>
    <row r="302">
      <c r="A302" s="129" t="n"/>
      <c r="B302" s="59" t="n"/>
      <c r="C302" s="59" t="n"/>
      <c r="D302" s="59" t="n"/>
      <c r="E302" s="58" t="n"/>
      <c r="F302" s="58" t="n"/>
      <c r="G302" s="59" t="n"/>
      <c r="H302" s="66" t="str">
        <f>IF(A302="","",COUNTIFS(jr_new,1,jr_type,"BL",jr_tiers,A302,jr_year,p_year))</f>
        <v/>
      </c>
      <c r="I302" s="64" t="str">
        <f>IF(A302="","",SUMIFS(jr_val,jr_type,"BL",jr_tiers,A302,jr_year,p_year))</f>
        <v/>
      </c>
      <c r="J302" s="66" t="str">
        <f>IF(A302="","",COUNTIFS(jr_type,"BL",jr_tiers,A302,jr_rel,"&gt;0"))</f>
        <v/>
      </c>
      <c r="K302" s="60" t="str">
        <f>IF(A302="",IF(B302="","","Code manquant"),IF(COUNTIF($A$6:$A$305,A302)&gt;1,"Code en double",IF(B302="","Raison sociale manquante","OK")))</f>
        <v/>
      </c>
      <c r="L302" s="130" t="str">
        <f>IF(OR(A302="",N(H302)=0),"",H302+I302/1000000000000)</f>
        <v/>
      </c>
      <c r="M302" s="131" t="str">
        <f>IF(L302="","",RANK(L302,$L$6:$L$305)+COUNTIF($L$6:L301,L302))</f>
        <v/>
      </c>
    </row>
    <row r="303">
      <c r="A303" s="129" t="n"/>
      <c r="B303" s="59" t="n"/>
      <c r="C303" s="59" t="n"/>
      <c r="D303" s="59" t="n"/>
      <c r="E303" s="58" t="n"/>
      <c r="F303" s="58" t="n"/>
      <c r="G303" s="59" t="n"/>
      <c r="H303" s="66" t="str">
        <f>IF(A303="","",COUNTIFS(jr_new,1,jr_type,"BL",jr_tiers,A303,jr_year,p_year))</f>
        <v/>
      </c>
      <c r="I303" s="64" t="str">
        <f>IF(A303="","",SUMIFS(jr_val,jr_type,"BL",jr_tiers,A303,jr_year,p_year))</f>
        <v/>
      </c>
      <c r="J303" s="66" t="str">
        <f>IF(A303="","",COUNTIFS(jr_type,"BL",jr_tiers,A303,jr_rel,"&gt;0"))</f>
        <v/>
      </c>
      <c r="K303" s="60" t="str">
        <f>IF(A303="",IF(B303="","","Code manquant"),IF(COUNTIF($A$6:$A$305,A303)&gt;1,"Code en double",IF(B303="","Raison sociale manquante","OK")))</f>
        <v/>
      </c>
      <c r="L303" s="130" t="str">
        <f>IF(OR(A303="",N(H303)=0),"",H303+I303/1000000000000)</f>
        <v/>
      </c>
      <c r="M303" s="131" t="str">
        <f>IF(L303="","",RANK(L303,$L$6:$L$305)+COUNTIF($L$6:L302,L303))</f>
        <v/>
      </c>
    </row>
    <row r="304">
      <c r="A304" s="129" t="n"/>
      <c r="B304" s="59" t="n"/>
      <c r="C304" s="59" t="n"/>
      <c r="D304" s="59" t="n"/>
      <c r="E304" s="58" t="n"/>
      <c r="F304" s="58" t="n"/>
      <c r="G304" s="59" t="n"/>
      <c r="H304" s="66" t="str">
        <f>IF(A304="","",COUNTIFS(jr_new,1,jr_type,"BL",jr_tiers,A304,jr_year,p_year))</f>
        <v/>
      </c>
      <c r="I304" s="64" t="str">
        <f>IF(A304="","",SUMIFS(jr_val,jr_type,"BL",jr_tiers,A304,jr_year,p_year))</f>
        <v/>
      </c>
      <c r="J304" s="66" t="str">
        <f>IF(A304="","",COUNTIFS(jr_type,"BL",jr_tiers,A304,jr_rel,"&gt;0"))</f>
        <v/>
      </c>
      <c r="K304" s="60" t="str">
        <f>IF(A304="",IF(B304="","","Code manquant"),IF(COUNTIF($A$6:$A$305,A304)&gt;1,"Code en double",IF(B304="","Raison sociale manquante","OK")))</f>
        <v/>
      </c>
      <c r="L304" s="130" t="str">
        <f>IF(OR(A304="",N(H304)=0),"",H304+I304/1000000000000)</f>
        <v/>
      </c>
      <c r="M304" s="131" t="str">
        <f>IF(L304="","",RANK(L304,$L$6:$L$305)+COUNTIF($L$6:L303,L304))</f>
        <v/>
      </c>
    </row>
    <row r="305">
      <c r="A305" s="129" t="n"/>
      <c r="B305" s="59" t="n"/>
      <c r="C305" s="59" t="n"/>
      <c r="D305" s="59" t="n"/>
      <c r="E305" s="58" t="n"/>
      <c r="F305" s="58" t="n"/>
      <c r="G305" s="59" t="n"/>
      <c r="H305" s="66" t="str">
        <f>IF(A305="","",COUNTIFS(jr_new,1,jr_type,"BL",jr_tiers,A305,jr_year,p_year))</f>
        <v/>
      </c>
      <c r="I305" s="64" t="str">
        <f>IF(A305="","",SUMIFS(jr_val,jr_type,"BL",jr_tiers,A305,jr_year,p_year))</f>
        <v/>
      </c>
      <c r="J305" s="66" t="str">
        <f>IF(A305="","",COUNTIFS(jr_type,"BL",jr_tiers,A305,jr_rel,"&gt;0"))</f>
        <v/>
      </c>
      <c r="K305" s="60" t="str">
        <f>IF(A305="",IF(B305="","","Code manquant"),IF(COUNTIF($A$6:$A$305,A305)&gt;1,"Code en double",IF(B305="","Raison sociale manquante","OK")))</f>
        <v/>
      </c>
      <c r="L305" s="130" t="str">
        <f>IF(OR(A305="",N(H305)=0),"",H305+I305/1000000000000)</f>
        <v/>
      </c>
      <c r="M305" s="131" t="str">
        <f>IF(L305="","",RANK(L305,$L$6:$L$305)+COUNTIF($L$6:L304,L305))</f>
        <v/>
      </c>
    </row>
  </sheetData>
  <autoFilter ref="A5:K305"/>
  <conditionalFormatting sqref="K6:K305">
    <cfRule type="expression" priority="1" dxfId="0">
      <formula>$K6="OK"</formula>
    </cfRule>
    <cfRule type="expression" priority="2" dxfId="2">
      <formula>AND($K6&lt;&gt;"",$K6&lt;&gt;"OK")</formula>
    </cfRule>
  </conditionalFormatting>
  <conditionalFormatting sqref="J6:J305">
    <cfRule type="expression" priority="3" dxfId="1">
      <formula>N($J6)&gt;0</formula>
    </cfRule>
  </conditionalFormatting>
  <conditionalFormatting sqref="I6:I305">
    <cfRule type="expression" priority="4" dxfId="11">
      <formula>p_currency="MAD"</formula>
    </cfRule>
    <cfRule type="expression" priority="5" dxfId="12">
      <formula>p_currency="EUR"</formula>
    </cfRule>
    <cfRule type="expression" priority="6" dxfId="13">
      <formula>p_currency="USD"</formula>
    </cfRule>
  </conditionalFormatting>
  <dataValidations count="2">
    <dataValidation sqref="A6:A305" showDropDown="0" showInputMessage="1" showErrorMessage="1" allowBlank="1" errorTitle="Code" error="20 caractères au maximum." promptTitle="Code" prompt="Code court et unique du client, sans espace (ATLAS, C001...)." type="textLength" operator="lessThanOrEqual">
      <formula1>20</formula1>
    </dataValidation>
    <dataValidation sqref="B6:G305" showDropDown="0" showInputMessage="1" showErrorMessage="1" allowBlank="1" errorTitle="Fiche client" error="120 caractères au maximum." promptTitle="Fiche client" prompt="Texte libre. La raison sociale, l'adresse, la ville et l'ICE s'impriment sur les bons." type="textLength" operator="lessThanOrEqual">
      <formula1>120</formula1>
    </dataValidation>
  </dataValidations>
  <hyperlinks>
    <hyperlink ref="K1" location="'Mode d''emploi'!A1"/>
  </hyperlinks>
  <printOptions horizontalCentered="1"/>
  <pageMargins left="0.4" right="0.4" top="0.5" bottom="0.5" header="0.5" footer="0.5"/>
  <pageSetup orientation="landscape" paperSize="9" fitToHeight="0" fitToWidth="1"/>
</worksheet>
</file>

<file path=xl/worksheets/sheet10.xml><?xml version="1.0" encoding="utf-8"?>
<worksheet xmlns="http://schemas.openxmlformats.org/spreadsheetml/2006/main">
  <sheetPr>
    <tabColor rgb="FF0F766E"/>
    <outlinePr summaryBelow="1" summaryRight="1"/>
    <pageSetUpPr fitToPage="1"/>
  </sheetPr>
  <dimension ref="A1:M205"/>
  <sheetViews>
    <sheetView showGridLines="0" tabSelected="0" zoomScale="100" workbookViewId="0">
      <pane xSplit="2" ySplit="5" topLeftCell="C6" activePane="bottomRight" state="frozen"/>
      <selection pane="topRight"/>
      <selection pane="bottomLeft"/>
      <selection pane="bottomRight" activeCell="A1" sqref="A1"/>
    </sheetView>
  </sheetViews>
  <sheetFormatPr baseColWidth="8" defaultRowHeight="15"/>
  <cols>
    <col width="12" customWidth="1" min="1" max="1"/>
    <col width="30" customWidth="1" min="2" max="2"/>
    <col width="36" customWidth="1" min="3" max="3"/>
    <col width="20" customWidth="1" min="4" max="4"/>
    <col width="18" customWidth="1" min="5" max="5"/>
    <col width="16" customWidth="1" min="6" max="6"/>
    <col width="18" customWidth="1" min="7" max="7"/>
    <col width="12" customWidth="1" min="8" max="8"/>
    <col width="16" customWidth="1" min="9" max="9"/>
    <col width="14" customWidth="1" min="10" max="10"/>
    <col width="18" customWidth="1" min="11" max="11"/>
    <col hidden="1" width="8" customWidth="1" min="12" max="12"/>
    <col hidden="1" width="6" customWidth="1" min="13" max="13"/>
  </cols>
  <sheetData>
    <row r="1" ht="38" customHeight="1">
      <c r="A1" s="2" t="inlineStr">
        <is>
          <t>Fournisseurs</t>
        </is>
      </c>
      <c r="B1" s="1" t="n"/>
      <c r="C1" s="1" t="n"/>
      <c r="D1" s="1" t="n"/>
      <c r="E1" s="1" t="n"/>
      <c r="F1" s="1" t="n"/>
      <c r="G1" s="1" t="n"/>
      <c r="H1" s="1" t="n"/>
      <c r="I1" s="1" t="n"/>
      <c r="J1" s="1" t="n"/>
      <c r="K1" s="18" t="inlineStr">
        <is>
          <t>⌂ Mode d'emploi</t>
        </is>
      </c>
    </row>
    <row r="2" ht="22" customHeight="1">
      <c r="A2" s="4" t="inlineStr">
        <is>
          <t>Adresse et ICE imprimés sur le bon de réception. Le code court sert à choisir le fournisseur dans le journal.</t>
        </is>
      </c>
      <c r="B2" s="3" t="n"/>
      <c r="C2" s="3" t="n"/>
      <c r="D2" s="3" t="n"/>
      <c r="E2" s="3" t="n"/>
      <c r="F2" s="3" t="n"/>
      <c r="G2" s="3" t="n"/>
      <c r="H2" s="3" t="n"/>
      <c r="I2" s="3" t="n"/>
      <c r="J2" s="3" t="n"/>
      <c r="K2" s="3" t="n"/>
    </row>
    <row r="3" ht="18" customHeight="1">
      <c r="J3" s="16" t="inlineStr">
        <is>
          <t>Saisie</t>
        </is>
      </c>
      <c r="K3" s="17" t="inlineStr">
        <is>
          <t>Calcul auto</t>
        </is>
      </c>
    </row>
    <row r="5" ht="34" customHeight="1">
      <c r="A5" s="42" t="inlineStr">
        <is>
          <t>Code</t>
        </is>
      </c>
      <c r="B5" s="42" t="inlineStr">
        <is>
          <t>Raison sociale</t>
        </is>
      </c>
      <c r="C5" s="42" t="inlineStr">
        <is>
          <t>Adresse</t>
        </is>
      </c>
      <c r="D5" s="42" t="inlineStr">
        <is>
          <t>Code postal et ville</t>
        </is>
      </c>
      <c r="E5" s="42" t="inlineStr">
        <is>
          <t>ICE / SIRET</t>
        </is>
      </c>
      <c r="F5" s="42" t="inlineStr">
        <is>
          <t>Téléphone</t>
        </is>
      </c>
      <c r="G5" s="42" t="inlineStr">
        <is>
          <t>Contact</t>
        </is>
      </c>
      <c r="H5" s="42" t="inlineStr">
        <is>
          <t>Réceptions (année)</t>
        </is>
      </c>
      <c r="I5" s="42" t="inlineStr">
        <is>
          <t>Valeur reçue (année)</t>
        </is>
      </c>
      <c r="J5" s="42" t="inlineStr">
        <is>
          <t>Lignes avec réserves</t>
        </is>
      </c>
      <c r="K5" s="42" t="inlineStr">
        <is>
          <t>Contrôle</t>
        </is>
      </c>
      <c r="L5" s="42" t="inlineStr">
        <is>
          <t>Score</t>
        </is>
      </c>
      <c r="M5" s="42" t="inlineStr">
        <is>
          <t>Rang</t>
        </is>
      </c>
    </row>
    <row r="6">
      <c r="A6" s="129" t="n"/>
      <c r="B6" s="59" t="n"/>
      <c r="C6" s="59" t="n"/>
      <c r="D6" s="59" t="n"/>
      <c r="E6" s="58" t="n"/>
      <c r="F6" s="58" t="n"/>
      <c r="G6" s="59" t="n"/>
      <c r="H6" s="66" t="str">
        <f>IF(A6="","",COUNTIFS(jr_new,1,jr_type,"BR",jr_tiers,A6,jr_year,p_year))</f>
        <v/>
      </c>
      <c r="I6" s="64" t="str">
        <f>IF(A6="","",SUMIFS(jr_val,jr_type,"BR",jr_tiers,A6,jr_year,p_year))</f>
        <v/>
      </c>
      <c r="J6" s="66" t="str">
        <f>IF(A6="","",COUNTIFS(jr_type,"BR",jr_tiers,A6,jr_etat,"Avec réserves",jr_year,p_year)+COUNTIFS(jr_type,"BR",jr_tiers,A6,jr_etat,"Refusé",jr_year,p_year))</f>
        <v/>
      </c>
      <c r="K6" s="60" t="str">
        <f>IF(A6="",IF(B6="","","Code manquant"),IF(COUNTIF($A$6:$A$205,A6)&gt;1,"Code en double",IF(B6="","Raison sociale manquante","OK")))</f>
        <v/>
      </c>
      <c r="L6" s="130" t="str">
        <f>IF(OR(A6="",N(H6)=0),"",H6+I6/1000000000000)</f>
        <v/>
      </c>
      <c r="M6" s="131" t="str">
        <f>IF(L6="","",RANK(L6,$L$6:$L$205))</f>
        <v/>
      </c>
    </row>
    <row r="7">
      <c r="A7" s="129" t="n"/>
      <c r="B7" s="59" t="n"/>
      <c r="C7" s="59" t="n"/>
      <c r="D7" s="59" t="n"/>
      <c r="E7" s="58" t="n"/>
      <c r="F7" s="58" t="n"/>
      <c r="G7" s="59" t="n"/>
      <c r="H7" s="66" t="str">
        <f>IF(A7="","",COUNTIFS(jr_new,1,jr_type,"BR",jr_tiers,A7,jr_year,p_year))</f>
        <v/>
      </c>
      <c r="I7" s="64" t="str">
        <f>IF(A7="","",SUMIFS(jr_val,jr_type,"BR",jr_tiers,A7,jr_year,p_year))</f>
        <v/>
      </c>
      <c r="J7" s="66" t="str">
        <f>IF(A7="","",COUNTIFS(jr_type,"BR",jr_tiers,A7,jr_etat,"Avec réserves",jr_year,p_year)+COUNTIFS(jr_type,"BR",jr_tiers,A7,jr_etat,"Refusé",jr_year,p_year))</f>
        <v/>
      </c>
      <c r="K7" s="60" t="str">
        <f>IF(A7="",IF(B7="","","Code manquant"),IF(COUNTIF($A$6:$A$205,A7)&gt;1,"Code en double",IF(B7="","Raison sociale manquante","OK")))</f>
        <v/>
      </c>
      <c r="L7" s="130" t="str">
        <f>IF(OR(A7="",N(H7)=0),"",H7+I7/1000000000000)</f>
        <v/>
      </c>
      <c r="M7" s="131" t="str">
        <f>IF(L7="","",RANK(L7,$L$6:$L$205)+COUNTIF($L$6:L6,L7))</f>
        <v/>
      </c>
    </row>
    <row r="8">
      <c r="A8" s="129" t="n"/>
      <c r="B8" s="59" t="n"/>
      <c r="C8" s="59" t="n"/>
      <c r="D8" s="59" t="n"/>
      <c r="E8" s="58" t="n"/>
      <c r="F8" s="58" t="n"/>
      <c r="G8" s="59" t="n"/>
      <c r="H8" s="66" t="str">
        <f>IF(A8="","",COUNTIFS(jr_new,1,jr_type,"BR",jr_tiers,A8,jr_year,p_year))</f>
        <v/>
      </c>
      <c r="I8" s="64" t="str">
        <f>IF(A8="","",SUMIFS(jr_val,jr_type,"BR",jr_tiers,A8,jr_year,p_year))</f>
        <v/>
      </c>
      <c r="J8" s="66" t="str">
        <f>IF(A8="","",COUNTIFS(jr_type,"BR",jr_tiers,A8,jr_etat,"Avec réserves",jr_year,p_year)+COUNTIFS(jr_type,"BR",jr_tiers,A8,jr_etat,"Refusé",jr_year,p_year))</f>
        <v/>
      </c>
      <c r="K8" s="60" t="str">
        <f>IF(A8="",IF(B8="","","Code manquant"),IF(COUNTIF($A$6:$A$205,A8)&gt;1,"Code en double",IF(B8="","Raison sociale manquante","OK")))</f>
        <v/>
      </c>
      <c r="L8" s="130" t="str">
        <f>IF(OR(A8="",N(H8)=0),"",H8+I8/1000000000000)</f>
        <v/>
      </c>
      <c r="M8" s="131" t="str">
        <f>IF(L8="","",RANK(L8,$L$6:$L$205)+COUNTIF($L$6:L7,L8))</f>
        <v/>
      </c>
    </row>
    <row r="9">
      <c r="A9" s="129" t="n"/>
      <c r="B9" s="59" t="n"/>
      <c r="C9" s="59" t="n"/>
      <c r="D9" s="59" t="n"/>
      <c r="E9" s="58" t="n"/>
      <c r="F9" s="58" t="n"/>
      <c r="G9" s="59" t="n"/>
      <c r="H9" s="66" t="str">
        <f>IF(A9="","",COUNTIFS(jr_new,1,jr_type,"BR",jr_tiers,A9,jr_year,p_year))</f>
        <v/>
      </c>
      <c r="I9" s="64" t="str">
        <f>IF(A9="","",SUMIFS(jr_val,jr_type,"BR",jr_tiers,A9,jr_year,p_year))</f>
        <v/>
      </c>
      <c r="J9" s="66" t="str">
        <f>IF(A9="","",COUNTIFS(jr_type,"BR",jr_tiers,A9,jr_etat,"Avec réserves",jr_year,p_year)+COUNTIFS(jr_type,"BR",jr_tiers,A9,jr_etat,"Refusé",jr_year,p_year))</f>
        <v/>
      </c>
      <c r="K9" s="60" t="str">
        <f>IF(A9="",IF(B9="","","Code manquant"),IF(COUNTIF($A$6:$A$205,A9)&gt;1,"Code en double",IF(B9="","Raison sociale manquante","OK")))</f>
        <v/>
      </c>
      <c r="L9" s="130" t="str">
        <f>IF(OR(A9="",N(H9)=0),"",H9+I9/1000000000000)</f>
        <v/>
      </c>
      <c r="M9" s="131" t="str">
        <f>IF(L9="","",RANK(L9,$L$6:$L$205)+COUNTIF($L$6:L8,L9))</f>
        <v/>
      </c>
    </row>
    <row r="10">
      <c r="A10" s="129" t="n"/>
      <c r="B10" s="59" t="n"/>
      <c r="C10" s="59" t="n"/>
      <c r="D10" s="59" t="n"/>
      <c r="E10" s="58" t="n"/>
      <c r="F10" s="58" t="n"/>
      <c r="G10" s="59" t="n"/>
      <c r="H10" s="66" t="str">
        <f>IF(A10="","",COUNTIFS(jr_new,1,jr_type,"BR",jr_tiers,A10,jr_year,p_year))</f>
        <v/>
      </c>
      <c r="I10" s="64" t="str">
        <f>IF(A10="","",SUMIFS(jr_val,jr_type,"BR",jr_tiers,A10,jr_year,p_year))</f>
        <v/>
      </c>
      <c r="J10" s="66" t="str">
        <f>IF(A10="","",COUNTIFS(jr_type,"BR",jr_tiers,A10,jr_etat,"Avec réserves",jr_year,p_year)+COUNTIFS(jr_type,"BR",jr_tiers,A10,jr_etat,"Refusé",jr_year,p_year))</f>
        <v/>
      </c>
      <c r="K10" s="60" t="str">
        <f>IF(A10="",IF(B10="","","Code manquant"),IF(COUNTIF($A$6:$A$205,A10)&gt;1,"Code en double",IF(B10="","Raison sociale manquante","OK")))</f>
        <v/>
      </c>
      <c r="L10" s="130" t="str">
        <f>IF(OR(A10="",N(H10)=0),"",H10+I10/1000000000000)</f>
        <v/>
      </c>
      <c r="M10" s="131" t="str">
        <f>IF(L10="","",RANK(L10,$L$6:$L$205)+COUNTIF($L$6:L9,L10))</f>
        <v/>
      </c>
    </row>
    <row r="11">
      <c r="A11" s="129" t="n"/>
      <c r="B11" s="59" t="n"/>
      <c r="C11" s="59" t="n"/>
      <c r="D11" s="59" t="n"/>
      <c r="E11" s="58" t="n"/>
      <c r="F11" s="58" t="n"/>
      <c r="G11" s="59" t="n"/>
      <c r="H11" s="66" t="str">
        <f>IF(A11="","",COUNTIFS(jr_new,1,jr_type,"BR",jr_tiers,A11,jr_year,p_year))</f>
        <v/>
      </c>
      <c r="I11" s="64" t="str">
        <f>IF(A11="","",SUMIFS(jr_val,jr_type,"BR",jr_tiers,A11,jr_year,p_year))</f>
        <v/>
      </c>
      <c r="J11" s="66" t="str">
        <f>IF(A11="","",COUNTIFS(jr_type,"BR",jr_tiers,A11,jr_etat,"Avec réserves",jr_year,p_year)+COUNTIFS(jr_type,"BR",jr_tiers,A11,jr_etat,"Refusé",jr_year,p_year))</f>
        <v/>
      </c>
      <c r="K11" s="60" t="str">
        <f>IF(A11="",IF(B11="","","Code manquant"),IF(COUNTIF($A$6:$A$205,A11)&gt;1,"Code en double",IF(B11="","Raison sociale manquante","OK")))</f>
        <v/>
      </c>
      <c r="L11" s="130" t="str">
        <f>IF(OR(A11="",N(H11)=0),"",H11+I11/1000000000000)</f>
        <v/>
      </c>
      <c r="M11" s="131" t="str">
        <f>IF(L11="","",RANK(L11,$L$6:$L$205)+COUNTIF($L$6:L10,L11))</f>
        <v/>
      </c>
    </row>
    <row r="12">
      <c r="A12" s="129" t="n"/>
      <c r="B12" s="59" t="n"/>
      <c r="C12" s="59" t="n"/>
      <c r="D12" s="59" t="n"/>
      <c r="E12" s="58" t="n"/>
      <c r="F12" s="58" t="n"/>
      <c r="G12" s="59" t="n"/>
      <c r="H12" s="66" t="str">
        <f>IF(A12="","",COUNTIFS(jr_new,1,jr_type,"BR",jr_tiers,A12,jr_year,p_year))</f>
        <v/>
      </c>
      <c r="I12" s="64" t="str">
        <f>IF(A12="","",SUMIFS(jr_val,jr_type,"BR",jr_tiers,A12,jr_year,p_year))</f>
        <v/>
      </c>
      <c r="J12" s="66" t="str">
        <f>IF(A12="","",COUNTIFS(jr_type,"BR",jr_tiers,A12,jr_etat,"Avec réserves",jr_year,p_year)+COUNTIFS(jr_type,"BR",jr_tiers,A12,jr_etat,"Refusé",jr_year,p_year))</f>
        <v/>
      </c>
      <c r="K12" s="60" t="str">
        <f>IF(A12="",IF(B12="","","Code manquant"),IF(COUNTIF($A$6:$A$205,A12)&gt;1,"Code en double",IF(B12="","Raison sociale manquante","OK")))</f>
        <v/>
      </c>
      <c r="L12" s="130" t="str">
        <f>IF(OR(A12="",N(H12)=0),"",H12+I12/1000000000000)</f>
        <v/>
      </c>
      <c r="M12" s="131" t="str">
        <f>IF(L12="","",RANK(L12,$L$6:$L$205)+COUNTIF($L$6:L11,L12))</f>
        <v/>
      </c>
    </row>
    <row r="13">
      <c r="A13" s="129" t="n"/>
      <c r="B13" s="59" t="n"/>
      <c r="C13" s="59" t="n"/>
      <c r="D13" s="59" t="n"/>
      <c r="E13" s="58" t="n"/>
      <c r="F13" s="58" t="n"/>
      <c r="G13" s="59" t="n"/>
      <c r="H13" s="66" t="str">
        <f>IF(A13="","",COUNTIFS(jr_new,1,jr_type,"BR",jr_tiers,A13,jr_year,p_year))</f>
        <v/>
      </c>
      <c r="I13" s="64" t="str">
        <f>IF(A13="","",SUMIFS(jr_val,jr_type,"BR",jr_tiers,A13,jr_year,p_year))</f>
        <v/>
      </c>
      <c r="J13" s="66" t="str">
        <f>IF(A13="","",COUNTIFS(jr_type,"BR",jr_tiers,A13,jr_etat,"Avec réserves",jr_year,p_year)+COUNTIFS(jr_type,"BR",jr_tiers,A13,jr_etat,"Refusé",jr_year,p_year))</f>
        <v/>
      </c>
      <c r="K13" s="60" t="str">
        <f>IF(A13="",IF(B13="","","Code manquant"),IF(COUNTIF($A$6:$A$205,A13)&gt;1,"Code en double",IF(B13="","Raison sociale manquante","OK")))</f>
        <v/>
      </c>
      <c r="L13" s="130" t="str">
        <f>IF(OR(A13="",N(H13)=0),"",H13+I13/1000000000000)</f>
        <v/>
      </c>
      <c r="M13" s="131" t="str">
        <f>IF(L13="","",RANK(L13,$L$6:$L$205)+COUNTIF($L$6:L12,L13))</f>
        <v/>
      </c>
    </row>
    <row r="14">
      <c r="A14" s="129" t="n"/>
      <c r="B14" s="59" t="n"/>
      <c r="C14" s="59" t="n"/>
      <c r="D14" s="59" t="n"/>
      <c r="E14" s="58" t="n"/>
      <c r="F14" s="58" t="n"/>
      <c r="G14" s="59" t="n"/>
      <c r="H14" s="66" t="str">
        <f>IF(A14="","",COUNTIFS(jr_new,1,jr_type,"BR",jr_tiers,A14,jr_year,p_year))</f>
        <v/>
      </c>
      <c r="I14" s="64" t="str">
        <f>IF(A14="","",SUMIFS(jr_val,jr_type,"BR",jr_tiers,A14,jr_year,p_year))</f>
        <v/>
      </c>
      <c r="J14" s="66" t="str">
        <f>IF(A14="","",COUNTIFS(jr_type,"BR",jr_tiers,A14,jr_etat,"Avec réserves",jr_year,p_year)+COUNTIFS(jr_type,"BR",jr_tiers,A14,jr_etat,"Refusé",jr_year,p_year))</f>
        <v/>
      </c>
      <c r="K14" s="60" t="str">
        <f>IF(A14="",IF(B14="","","Code manquant"),IF(COUNTIF($A$6:$A$205,A14)&gt;1,"Code en double",IF(B14="","Raison sociale manquante","OK")))</f>
        <v/>
      </c>
      <c r="L14" s="130" t="str">
        <f>IF(OR(A14="",N(H14)=0),"",H14+I14/1000000000000)</f>
        <v/>
      </c>
      <c r="M14" s="131" t="str">
        <f>IF(L14="","",RANK(L14,$L$6:$L$205)+COUNTIF($L$6:L13,L14))</f>
        <v/>
      </c>
    </row>
    <row r="15">
      <c r="A15" s="129" t="n"/>
      <c r="B15" s="59" t="n"/>
      <c r="C15" s="59" t="n"/>
      <c r="D15" s="59" t="n"/>
      <c r="E15" s="58" t="n"/>
      <c r="F15" s="58" t="n"/>
      <c r="G15" s="59" t="n"/>
      <c r="H15" s="66" t="str">
        <f>IF(A15="","",COUNTIFS(jr_new,1,jr_type,"BR",jr_tiers,A15,jr_year,p_year))</f>
        <v/>
      </c>
      <c r="I15" s="64" t="str">
        <f>IF(A15="","",SUMIFS(jr_val,jr_type,"BR",jr_tiers,A15,jr_year,p_year))</f>
        <v/>
      </c>
      <c r="J15" s="66" t="str">
        <f>IF(A15="","",COUNTIFS(jr_type,"BR",jr_tiers,A15,jr_etat,"Avec réserves",jr_year,p_year)+COUNTIFS(jr_type,"BR",jr_tiers,A15,jr_etat,"Refusé",jr_year,p_year))</f>
        <v/>
      </c>
      <c r="K15" s="60" t="str">
        <f>IF(A15="",IF(B15="","","Code manquant"),IF(COUNTIF($A$6:$A$205,A15)&gt;1,"Code en double",IF(B15="","Raison sociale manquante","OK")))</f>
        <v/>
      </c>
      <c r="L15" s="130" t="str">
        <f>IF(OR(A15="",N(H15)=0),"",H15+I15/1000000000000)</f>
        <v/>
      </c>
      <c r="M15" s="131" t="str">
        <f>IF(L15="","",RANK(L15,$L$6:$L$205)+COUNTIF($L$6:L14,L15))</f>
        <v/>
      </c>
    </row>
    <row r="16">
      <c r="A16" s="129" t="n"/>
      <c r="B16" s="59" t="n"/>
      <c r="C16" s="59" t="n"/>
      <c r="D16" s="59" t="n"/>
      <c r="E16" s="58" t="n"/>
      <c r="F16" s="58" t="n"/>
      <c r="G16" s="59" t="n"/>
      <c r="H16" s="66" t="str">
        <f>IF(A16="","",COUNTIFS(jr_new,1,jr_type,"BR",jr_tiers,A16,jr_year,p_year))</f>
        <v/>
      </c>
      <c r="I16" s="64" t="str">
        <f>IF(A16="","",SUMIFS(jr_val,jr_type,"BR",jr_tiers,A16,jr_year,p_year))</f>
        <v/>
      </c>
      <c r="J16" s="66" t="str">
        <f>IF(A16="","",COUNTIFS(jr_type,"BR",jr_tiers,A16,jr_etat,"Avec réserves",jr_year,p_year)+COUNTIFS(jr_type,"BR",jr_tiers,A16,jr_etat,"Refusé",jr_year,p_year))</f>
        <v/>
      </c>
      <c r="K16" s="60" t="str">
        <f>IF(A16="",IF(B16="","","Code manquant"),IF(COUNTIF($A$6:$A$205,A16)&gt;1,"Code en double",IF(B16="","Raison sociale manquante","OK")))</f>
        <v/>
      </c>
      <c r="L16" s="130" t="str">
        <f>IF(OR(A16="",N(H16)=0),"",H16+I16/1000000000000)</f>
        <v/>
      </c>
      <c r="M16" s="131" t="str">
        <f>IF(L16="","",RANK(L16,$L$6:$L$205)+COUNTIF($L$6:L15,L16))</f>
        <v/>
      </c>
    </row>
    <row r="17">
      <c r="A17" s="129" t="n"/>
      <c r="B17" s="59" t="n"/>
      <c r="C17" s="59" t="n"/>
      <c r="D17" s="59" t="n"/>
      <c r="E17" s="58" t="n"/>
      <c r="F17" s="58" t="n"/>
      <c r="G17" s="59" t="n"/>
      <c r="H17" s="66" t="str">
        <f>IF(A17="","",COUNTIFS(jr_new,1,jr_type,"BR",jr_tiers,A17,jr_year,p_year))</f>
        <v/>
      </c>
      <c r="I17" s="64" t="str">
        <f>IF(A17="","",SUMIFS(jr_val,jr_type,"BR",jr_tiers,A17,jr_year,p_year))</f>
        <v/>
      </c>
      <c r="J17" s="66" t="str">
        <f>IF(A17="","",COUNTIFS(jr_type,"BR",jr_tiers,A17,jr_etat,"Avec réserves",jr_year,p_year)+COUNTIFS(jr_type,"BR",jr_tiers,A17,jr_etat,"Refusé",jr_year,p_year))</f>
        <v/>
      </c>
      <c r="K17" s="60" t="str">
        <f>IF(A17="",IF(B17="","","Code manquant"),IF(COUNTIF($A$6:$A$205,A17)&gt;1,"Code en double",IF(B17="","Raison sociale manquante","OK")))</f>
        <v/>
      </c>
      <c r="L17" s="130" t="str">
        <f>IF(OR(A17="",N(H17)=0),"",H17+I17/1000000000000)</f>
        <v/>
      </c>
      <c r="M17" s="131" t="str">
        <f>IF(L17="","",RANK(L17,$L$6:$L$205)+COUNTIF($L$6:L16,L17))</f>
        <v/>
      </c>
    </row>
    <row r="18">
      <c r="A18" s="129" t="n"/>
      <c r="B18" s="59" t="n"/>
      <c r="C18" s="59" t="n"/>
      <c r="D18" s="59" t="n"/>
      <c r="E18" s="58" t="n"/>
      <c r="F18" s="58" t="n"/>
      <c r="G18" s="59" t="n"/>
      <c r="H18" s="66" t="str">
        <f>IF(A18="","",COUNTIFS(jr_new,1,jr_type,"BR",jr_tiers,A18,jr_year,p_year))</f>
        <v/>
      </c>
      <c r="I18" s="64" t="str">
        <f>IF(A18="","",SUMIFS(jr_val,jr_type,"BR",jr_tiers,A18,jr_year,p_year))</f>
        <v/>
      </c>
      <c r="J18" s="66" t="str">
        <f>IF(A18="","",COUNTIFS(jr_type,"BR",jr_tiers,A18,jr_etat,"Avec réserves",jr_year,p_year)+COUNTIFS(jr_type,"BR",jr_tiers,A18,jr_etat,"Refusé",jr_year,p_year))</f>
        <v/>
      </c>
      <c r="K18" s="60" t="str">
        <f>IF(A18="",IF(B18="","","Code manquant"),IF(COUNTIF($A$6:$A$205,A18)&gt;1,"Code en double",IF(B18="","Raison sociale manquante","OK")))</f>
        <v/>
      </c>
      <c r="L18" s="130" t="str">
        <f>IF(OR(A18="",N(H18)=0),"",H18+I18/1000000000000)</f>
        <v/>
      </c>
      <c r="M18" s="131" t="str">
        <f>IF(L18="","",RANK(L18,$L$6:$L$205)+COUNTIF($L$6:L17,L18))</f>
        <v/>
      </c>
    </row>
    <row r="19">
      <c r="A19" s="129" t="n"/>
      <c r="B19" s="59" t="n"/>
      <c r="C19" s="59" t="n"/>
      <c r="D19" s="59" t="n"/>
      <c r="E19" s="58" t="n"/>
      <c r="F19" s="58" t="n"/>
      <c r="G19" s="59" t="n"/>
      <c r="H19" s="66" t="str">
        <f>IF(A19="","",COUNTIFS(jr_new,1,jr_type,"BR",jr_tiers,A19,jr_year,p_year))</f>
        <v/>
      </c>
      <c r="I19" s="64" t="str">
        <f>IF(A19="","",SUMIFS(jr_val,jr_type,"BR",jr_tiers,A19,jr_year,p_year))</f>
        <v/>
      </c>
      <c r="J19" s="66" t="str">
        <f>IF(A19="","",COUNTIFS(jr_type,"BR",jr_tiers,A19,jr_etat,"Avec réserves",jr_year,p_year)+COUNTIFS(jr_type,"BR",jr_tiers,A19,jr_etat,"Refusé",jr_year,p_year))</f>
        <v/>
      </c>
      <c r="K19" s="60" t="str">
        <f>IF(A19="",IF(B19="","","Code manquant"),IF(COUNTIF($A$6:$A$205,A19)&gt;1,"Code en double",IF(B19="","Raison sociale manquante","OK")))</f>
        <v/>
      </c>
      <c r="L19" s="130" t="str">
        <f>IF(OR(A19="",N(H19)=0),"",H19+I19/1000000000000)</f>
        <v/>
      </c>
      <c r="M19" s="131" t="str">
        <f>IF(L19="","",RANK(L19,$L$6:$L$205)+COUNTIF($L$6:L18,L19))</f>
        <v/>
      </c>
    </row>
    <row r="20">
      <c r="A20" s="129" t="n"/>
      <c r="B20" s="59" t="n"/>
      <c r="C20" s="59" t="n"/>
      <c r="D20" s="59" t="n"/>
      <c r="E20" s="58" t="n"/>
      <c r="F20" s="58" t="n"/>
      <c r="G20" s="59" t="n"/>
      <c r="H20" s="66" t="str">
        <f>IF(A20="","",COUNTIFS(jr_new,1,jr_type,"BR",jr_tiers,A20,jr_year,p_year))</f>
        <v/>
      </c>
      <c r="I20" s="64" t="str">
        <f>IF(A20="","",SUMIFS(jr_val,jr_type,"BR",jr_tiers,A20,jr_year,p_year))</f>
        <v/>
      </c>
      <c r="J20" s="66" t="str">
        <f>IF(A20="","",COUNTIFS(jr_type,"BR",jr_tiers,A20,jr_etat,"Avec réserves",jr_year,p_year)+COUNTIFS(jr_type,"BR",jr_tiers,A20,jr_etat,"Refusé",jr_year,p_year))</f>
        <v/>
      </c>
      <c r="K20" s="60" t="str">
        <f>IF(A20="",IF(B20="","","Code manquant"),IF(COUNTIF($A$6:$A$205,A20)&gt;1,"Code en double",IF(B20="","Raison sociale manquante","OK")))</f>
        <v/>
      </c>
      <c r="L20" s="130" t="str">
        <f>IF(OR(A20="",N(H20)=0),"",H20+I20/1000000000000)</f>
        <v/>
      </c>
      <c r="M20" s="131" t="str">
        <f>IF(L20="","",RANK(L20,$L$6:$L$205)+COUNTIF($L$6:L19,L20))</f>
        <v/>
      </c>
    </row>
    <row r="21">
      <c r="A21" s="129" t="n"/>
      <c r="B21" s="59" t="n"/>
      <c r="C21" s="59" t="n"/>
      <c r="D21" s="59" t="n"/>
      <c r="E21" s="58" t="n"/>
      <c r="F21" s="58" t="n"/>
      <c r="G21" s="59" t="n"/>
      <c r="H21" s="66" t="str">
        <f>IF(A21="","",COUNTIFS(jr_new,1,jr_type,"BR",jr_tiers,A21,jr_year,p_year))</f>
        <v/>
      </c>
      <c r="I21" s="64" t="str">
        <f>IF(A21="","",SUMIFS(jr_val,jr_type,"BR",jr_tiers,A21,jr_year,p_year))</f>
        <v/>
      </c>
      <c r="J21" s="66" t="str">
        <f>IF(A21="","",COUNTIFS(jr_type,"BR",jr_tiers,A21,jr_etat,"Avec réserves",jr_year,p_year)+COUNTIFS(jr_type,"BR",jr_tiers,A21,jr_etat,"Refusé",jr_year,p_year))</f>
        <v/>
      </c>
      <c r="K21" s="60" t="str">
        <f>IF(A21="",IF(B21="","","Code manquant"),IF(COUNTIF($A$6:$A$205,A21)&gt;1,"Code en double",IF(B21="","Raison sociale manquante","OK")))</f>
        <v/>
      </c>
      <c r="L21" s="130" t="str">
        <f>IF(OR(A21="",N(H21)=0),"",H21+I21/1000000000000)</f>
        <v/>
      </c>
      <c r="M21" s="131" t="str">
        <f>IF(L21="","",RANK(L21,$L$6:$L$205)+COUNTIF($L$6:L20,L21))</f>
        <v/>
      </c>
    </row>
    <row r="22">
      <c r="A22" s="129" t="n"/>
      <c r="B22" s="59" t="n"/>
      <c r="C22" s="59" t="n"/>
      <c r="D22" s="59" t="n"/>
      <c r="E22" s="58" t="n"/>
      <c r="F22" s="58" t="n"/>
      <c r="G22" s="59" t="n"/>
      <c r="H22" s="66" t="str">
        <f>IF(A22="","",COUNTIFS(jr_new,1,jr_type,"BR",jr_tiers,A22,jr_year,p_year))</f>
        <v/>
      </c>
      <c r="I22" s="64" t="str">
        <f>IF(A22="","",SUMIFS(jr_val,jr_type,"BR",jr_tiers,A22,jr_year,p_year))</f>
        <v/>
      </c>
      <c r="J22" s="66" t="str">
        <f>IF(A22="","",COUNTIFS(jr_type,"BR",jr_tiers,A22,jr_etat,"Avec réserves",jr_year,p_year)+COUNTIFS(jr_type,"BR",jr_tiers,A22,jr_etat,"Refusé",jr_year,p_year))</f>
        <v/>
      </c>
      <c r="K22" s="60" t="str">
        <f>IF(A22="",IF(B22="","","Code manquant"),IF(COUNTIF($A$6:$A$205,A22)&gt;1,"Code en double",IF(B22="","Raison sociale manquante","OK")))</f>
        <v/>
      </c>
      <c r="L22" s="130" t="str">
        <f>IF(OR(A22="",N(H22)=0),"",H22+I22/1000000000000)</f>
        <v/>
      </c>
      <c r="M22" s="131" t="str">
        <f>IF(L22="","",RANK(L22,$L$6:$L$205)+COUNTIF($L$6:L21,L22))</f>
        <v/>
      </c>
    </row>
    <row r="23">
      <c r="A23" s="129" t="n"/>
      <c r="B23" s="59" t="n"/>
      <c r="C23" s="59" t="n"/>
      <c r="D23" s="59" t="n"/>
      <c r="E23" s="58" t="n"/>
      <c r="F23" s="58" t="n"/>
      <c r="G23" s="59" t="n"/>
      <c r="H23" s="66" t="str">
        <f>IF(A23="","",COUNTIFS(jr_new,1,jr_type,"BR",jr_tiers,A23,jr_year,p_year))</f>
        <v/>
      </c>
      <c r="I23" s="64" t="str">
        <f>IF(A23="","",SUMIFS(jr_val,jr_type,"BR",jr_tiers,A23,jr_year,p_year))</f>
        <v/>
      </c>
      <c r="J23" s="66" t="str">
        <f>IF(A23="","",COUNTIFS(jr_type,"BR",jr_tiers,A23,jr_etat,"Avec réserves",jr_year,p_year)+COUNTIFS(jr_type,"BR",jr_tiers,A23,jr_etat,"Refusé",jr_year,p_year))</f>
        <v/>
      </c>
      <c r="K23" s="60" t="str">
        <f>IF(A23="",IF(B23="","","Code manquant"),IF(COUNTIF($A$6:$A$205,A23)&gt;1,"Code en double",IF(B23="","Raison sociale manquante","OK")))</f>
        <v/>
      </c>
      <c r="L23" s="130" t="str">
        <f>IF(OR(A23="",N(H23)=0),"",H23+I23/1000000000000)</f>
        <v/>
      </c>
      <c r="M23" s="131" t="str">
        <f>IF(L23="","",RANK(L23,$L$6:$L$205)+COUNTIF($L$6:L22,L23))</f>
        <v/>
      </c>
    </row>
    <row r="24">
      <c r="A24" s="129" t="n"/>
      <c r="B24" s="59" t="n"/>
      <c r="C24" s="59" t="n"/>
      <c r="D24" s="59" t="n"/>
      <c r="E24" s="58" t="n"/>
      <c r="F24" s="58" t="n"/>
      <c r="G24" s="59" t="n"/>
      <c r="H24" s="66" t="str">
        <f>IF(A24="","",COUNTIFS(jr_new,1,jr_type,"BR",jr_tiers,A24,jr_year,p_year))</f>
        <v/>
      </c>
      <c r="I24" s="64" t="str">
        <f>IF(A24="","",SUMIFS(jr_val,jr_type,"BR",jr_tiers,A24,jr_year,p_year))</f>
        <v/>
      </c>
      <c r="J24" s="66" t="str">
        <f>IF(A24="","",COUNTIFS(jr_type,"BR",jr_tiers,A24,jr_etat,"Avec réserves",jr_year,p_year)+COUNTIFS(jr_type,"BR",jr_tiers,A24,jr_etat,"Refusé",jr_year,p_year))</f>
        <v/>
      </c>
      <c r="K24" s="60" t="str">
        <f>IF(A24="",IF(B24="","","Code manquant"),IF(COUNTIF($A$6:$A$205,A24)&gt;1,"Code en double",IF(B24="","Raison sociale manquante","OK")))</f>
        <v/>
      </c>
      <c r="L24" s="130" t="str">
        <f>IF(OR(A24="",N(H24)=0),"",H24+I24/1000000000000)</f>
        <v/>
      </c>
      <c r="M24" s="131" t="str">
        <f>IF(L24="","",RANK(L24,$L$6:$L$205)+COUNTIF($L$6:L23,L24))</f>
        <v/>
      </c>
    </row>
    <row r="25">
      <c r="A25" s="129" t="n"/>
      <c r="B25" s="59" t="n"/>
      <c r="C25" s="59" t="n"/>
      <c r="D25" s="59" t="n"/>
      <c r="E25" s="58" t="n"/>
      <c r="F25" s="58" t="n"/>
      <c r="G25" s="59" t="n"/>
      <c r="H25" s="66" t="str">
        <f>IF(A25="","",COUNTIFS(jr_new,1,jr_type,"BR",jr_tiers,A25,jr_year,p_year))</f>
        <v/>
      </c>
      <c r="I25" s="64" t="str">
        <f>IF(A25="","",SUMIFS(jr_val,jr_type,"BR",jr_tiers,A25,jr_year,p_year))</f>
        <v/>
      </c>
      <c r="J25" s="66" t="str">
        <f>IF(A25="","",COUNTIFS(jr_type,"BR",jr_tiers,A25,jr_etat,"Avec réserves",jr_year,p_year)+COUNTIFS(jr_type,"BR",jr_tiers,A25,jr_etat,"Refusé",jr_year,p_year))</f>
        <v/>
      </c>
      <c r="K25" s="60" t="str">
        <f>IF(A25="",IF(B25="","","Code manquant"),IF(COUNTIF($A$6:$A$205,A25)&gt;1,"Code en double",IF(B25="","Raison sociale manquante","OK")))</f>
        <v/>
      </c>
      <c r="L25" s="130" t="str">
        <f>IF(OR(A25="",N(H25)=0),"",H25+I25/1000000000000)</f>
        <v/>
      </c>
      <c r="M25" s="131" t="str">
        <f>IF(L25="","",RANK(L25,$L$6:$L$205)+COUNTIF($L$6:L24,L25))</f>
        <v/>
      </c>
    </row>
    <row r="26">
      <c r="A26" s="129" t="n"/>
      <c r="B26" s="59" t="n"/>
      <c r="C26" s="59" t="n"/>
      <c r="D26" s="59" t="n"/>
      <c r="E26" s="58" t="n"/>
      <c r="F26" s="58" t="n"/>
      <c r="G26" s="59" t="n"/>
      <c r="H26" s="66" t="str">
        <f>IF(A26="","",COUNTIFS(jr_new,1,jr_type,"BR",jr_tiers,A26,jr_year,p_year))</f>
        <v/>
      </c>
      <c r="I26" s="64" t="str">
        <f>IF(A26="","",SUMIFS(jr_val,jr_type,"BR",jr_tiers,A26,jr_year,p_year))</f>
        <v/>
      </c>
      <c r="J26" s="66" t="str">
        <f>IF(A26="","",COUNTIFS(jr_type,"BR",jr_tiers,A26,jr_etat,"Avec réserves",jr_year,p_year)+COUNTIFS(jr_type,"BR",jr_tiers,A26,jr_etat,"Refusé",jr_year,p_year))</f>
        <v/>
      </c>
      <c r="K26" s="60" t="str">
        <f>IF(A26="",IF(B26="","","Code manquant"),IF(COUNTIF($A$6:$A$205,A26)&gt;1,"Code en double",IF(B26="","Raison sociale manquante","OK")))</f>
        <v/>
      </c>
      <c r="L26" s="130" t="str">
        <f>IF(OR(A26="",N(H26)=0),"",H26+I26/1000000000000)</f>
        <v/>
      </c>
      <c r="M26" s="131" t="str">
        <f>IF(L26="","",RANK(L26,$L$6:$L$205)+COUNTIF($L$6:L25,L26))</f>
        <v/>
      </c>
    </row>
    <row r="27">
      <c r="A27" s="129" t="n"/>
      <c r="B27" s="59" t="n"/>
      <c r="C27" s="59" t="n"/>
      <c r="D27" s="59" t="n"/>
      <c r="E27" s="58" t="n"/>
      <c r="F27" s="58" t="n"/>
      <c r="G27" s="59" t="n"/>
      <c r="H27" s="66" t="str">
        <f>IF(A27="","",COUNTIFS(jr_new,1,jr_type,"BR",jr_tiers,A27,jr_year,p_year))</f>
        <v/>
      </c>
      <c r="I27" s="64" t="str">
        <f>IF(A27="","",SUMIFS(jr_val,jr_type,"BR",jr_tiers,A27,jr_year,p_year))</f>
        <v/>
      </c>
      <c r="J27" s="66" t="str">
        <f>IF(A27="","",COUNTIFS(jr_type,"BR",jr_tiers,A27,jr_etat,"Avec réserves",jr_year,p_year)+COUNTIFS(jr_type,"BR",jr_tiers,A27,jr_etat,"Refusé",jr_year,p_year))</f>
        <v/>
      </c>
      <c r="K27" s="60" t="str">
        <f>IF(A27="",IF(B27="","","Code manquant"),IF(COUNTIF($A$6:$A$205,A27)&gt;1,"Code en double",IF(B27="","Raison sociale manquante","OK")))</f>
        <v/>
      </c>
      <c r="L27" s="130" t="str">
        <f>IF(OR(A27="",N(H27)=0),"",H27+I27/1000000000000)</f>
        <v/>
      </c>
      <c r="M27" s="131" t="str">
        <f>IF(L27="","",RANK(L27,$L$6:$L$205)+COUNTIF($L$6:L26,L27))</f>
        <v/>
      </c>
    </row>
    <row r="28">
      <c r="A28" s="129" t="n"/>
      <c r="B28" s="59" t="n"/>
      <c r="C28" s="59" t="n"/>
      <c r="D28" s="59" t="n"/>
      <c r="E28" s="58" t="n"/>
      <c r="F28" s="58" t="n"/>
      <c r="G28" s="59" t="n"/>
      <c r="H28" s="66" t="str">
        <f>IF(A28="","",COUNTIFS(jr_new,1,jr_type,"BR",jr_tiers,A28,jr_year,p_year))</f>
        <v/>
      </c>
      <c r="I28" s="64" t="str">
        <f>IF(A28="","",SUMIFS(jr_val,jr_type,"BR",jr_tiers,A28,jr_year,p_year))</f>
        <v/>
      </c>
      <c r="J28" s="66" t="str">
        <f>IF(A28="","",COUNTIFS(jr_type,"BR",jr_tiers,A28,jr_etat,"Avec réserves",jr_year,p_year)+COUNTIFS(jr_type,"BR",jr_tiers,A28,jr_etat,"Refusé",jr_year,p_year))</f>
        <v/>
      </c>
      <c r="K28" s="60" t="str">
        <f>IF(A28="",IF(B28="","","Code manquant"),IF(COUNTIF($A$6:$A$205,A28)&gt;1,"Code en double",IF(B28="","Raison sociale manquante","OK")))</f>
        <v/>
      </c>
      <c r="L28" s="130" t="str">
        <f>IF(OR(A28="",N(H28)=0),"",H28+I28/1000000000000)</f>
        <v/>
      </c>
      <c r="M28" s="131" t="str">
        <f>IF(L28="","",RANK(L28,$L$6:$L$205)+COUNTIF($L$6:L27,L28))</f>
        <v/>
      </c>
    </row>
    <row r="29">
      <c r="A29" s="129" t="n"/>
      <c r="B29" s="59" t="n"/>
      <c r="C29" s="59" t="n"/>
      <c r="D29" s="59" t="n"/>
      <c r="E29" s="58" t="n"/>
      <c r="F29" s="58" t="n"/>
      <c r="G29" s="59" t="n"/>
      <c r="H29" s="66" t="str">
        <f>IF(A29="","",COUNTIFS(jr_new,1,jr_type,"BR",jr_tiers,A29,jr_year,p_year))</f>
        <v/>
      </c>
      <c r="I29" s="64" t="str">
        <f>IF(A29="","",SUMIFS(jr_val,jr_type,"BR",jr_tiers,A29,jr_year,p_year))</f>
        <v/>
      </c>
      <c r="J29" s="66" t="str">
        <f>IF(A29="","",COUNTIFS(jr_type,"BR",jr_tiers,A29,jr_etat,"Avec réserves",jr_year,p_year)+COUNTIFS(jr_type,"BR",jr_tiers,A29,jr_etat,"Refusé",jr_year,p_year))</f>
        <v/>
      </c>
      <c r="K29" s="60" t="str">
        <f>IF(A29="",IF(B29="","","Code manquant"),IF(COUNTIF($A$6:$A$205,A29)&gt;1,"Code en double",IF(B29="","Raison sociale manquante","OK")))</f>
        <v/>
      </c>
      <c r="L29" s="130" t="str">
        <f>IF(OR(A29="",N(H29)=0),"",H29+I29/1000000000000)</f>
        <v/>
      </c>
      <c r="M29" s="131" t="str">
        <f>IF(L29="","",RANK(L29,$L$6:$L$205)+COUNTIF($L$6:L28,L29))</f>
        <v/>
      </c>
    </row>
    <row r="30">
      <c r="A30" s="129" t="n"/>
      <c r="B30" s="59" t="n"/>
      <c r="C30" s="59" t="n"/>
      <c r="D30" s="59" t="n"/>
      <c r="E30" s="58" t="n"/>
      <c r="F30" s="58" t="n"/>
      <c r="G30" s="59" t="n"/>
      <c r="H30" s="66" t="str">
        <f>IF(A30="","",COUNTIFS(jr_new,1,jr_type,"BR",jr_tiers,A30,jr_year,p_year))</f>
        <v/>
      </c>
      <c r="I30" s="64" t="str">
        <f>IF(A30="","",SUMIFS(jr_val,jr_type,"BR",jr_tiers,A30,jr_year,p_year))</f>
        <v/>
      </c>
      <c r="J30" s="66" t="str">
        <f>IF(A30="","",COUNTIFS(jr_type,"BR",jr_tiers,A30,jr_etat,"Avec réserves",jr_year,p_year)+COUNTIFS(jr_type,"BR",jr_tiers,A30,jr_etat,"Refusé",jr_year,p_year))</f>
        <v/>
      </c>
      <c r="K30" s="60" t="str">
        <f>IF(A30="",IF(B30="","","Code manquant"),IF(COUNTIF($A$6:$A$205,A30)&gt;1,"Code en double",IF(B30="","Raison sociale manquante","OK")))</f>
        <v/>
      </c>
      <c r="L30" s="130" t="str">
        <f>IF(OR(A30="",N(H30)=0),"",H30+I30/1000000000000)</f>
        <v/>
      </c>
      <c r="M30" s="131" t="str">
        <f>IF(L30="","",RANK(L30,$L$6:$L$205)+COUNTIF($L$6:L29,L30))</f>
        <v/>
      </c>
    </row>
    <row r="31">
      <c r="A31" s="129" t="n"/>
      <c r="B31" s="59" t="n"/>
      <c r="C31" s="59" t="n"/>
      <c r="D31" s="59" t="n"/>
      <c r="E31" s="58" t="n"/>
      <c r="F31" s="58" t="n"/>
      <c r="G31" s="59" t="n"/>
      <c r="H31" s="66" t="str">
        <f>IF(A31="","",COUNTIFS(jr_new,1,jr_type,"BR",jr_tiers,A31,jr_year,p_year))</f>
        <v/>
      </c>
      <c r="I31" s="64" t="str">
        <f>IF(A31="","",SUMIFS(jr_val,jr_type,"BR",jr_tiers,A31,jr_year,p_year))</f>
        <v/>
      </c>
      <c r="J31" s="66" t="str">
        <f>IF(A31="","",COUNTIFS(jr_type,"BR",jr_tiers,A31,jr_etat,"Avec réserves",jr_year,p_year)+COUNTIFS(jr_type,"BR",jr_tiers,A31,jr_etat,"Refusé",jr_year,p_year))</f>
        <v/>
      </c>
      <c r="K31" s="60" t="str">
        <f>IF(A31="",IF(B31="","","Code manquant"),IF(COUNTIF($A$6:$A$205,A31)&gt;1,"Code en double",IF(B31="","Raison sociale manquante","OK")))</f>
        <v/>
      </c>
      <c r="L31" s="130" t="str">
        <f>IF(OR(A31="",N(H31)=0),"",H31+I31/1000000000000)</f>
        <v/>
      </c>
      <c r="M31" s="131" t="str">
        <f>IF(L31="","",RANK(L31,$L$6:$L$205)+COUNTIF($L$6:L30,L31))</f>
        <v/>
      </c>
    </row>
    <row r="32">
      <c r="A32" s="129" t="n"/>
      <c r="B32" s="59" t="n"/>
      <c r="C32" s="59" t="n"/>
      <c r="D32" s="59" t="n"/>
      <c r="E32" s="58" t="n"/>
      <c r="F32" s="58" t="n"/>
      <c r="G32" s="59" t="n"/>
      <c r="H32" s="66" t="str">
        <f>IF(A32="","",COUNTIFS(jr_new,1,jr_type,"BR",jr_tiers,A32,jr_year,p_year))</f>
        <v/>
      </c>
      <c r="I32" s="64" t="str">
        <f>IF(A32="","",SUMIFS(jr_val,jr_type,"BR",jr_tiers,A32,jr_year,p_year))</f>
        <v/>
      </c>
      <c r="J32" s="66" t="str">
        <f>IF(A32="","",COUNTIFS(jr_type,"BR",jr_tiers,A32,jr_etat,"Avec réserves",jr_year,p_year)+COUNTIFS(jr_type,"BR",jr_tiers,A32,jr_etat,"Refusé",jr_year,p_year))</f>
        <v/>
      </c>
      <c r="K32" s="60" t="str">
        <f>IF(A32="",IF(B32="","","Code manquant"),IF(COUNTIF($A$6:$A$205,A32)&gt;1,"Code en double",IF(B32="","Raison sociale manquante","OK")))</f>
        <v/>
      </c>
      <c r="L32" s="130" t="str">
        <f>IF(OR(A32="",N(H32)=0),"",H32+I32/1000000000000)</f>
        <v/>
      </c>
      <c r="M32" s="131" t="str">
        <f>IF(L32="","",RANK(L32,$L$6:$L$205)+COUNTIF($L$6:L31,L32))</f>
        <v/>
      </c>
    </row>
    <row r="33">
      <c r="A33" s="129" t="n"/>
      <c r="B33" s="59" t="n"/>
      <c r="C33" s="59" t="n"/>
      <c r="D33" s="59" t="n"/>
      <c r="E33" s="58" t="n"/>
      <c r="F33" s="58" t="n"/>
      <c r="G33" s="59" t="n"/>
      <c r="H33" s="66" t="str">
        <f>IF(A33="","",COUNTIFS(jr_new,1,jr_type,"BR",jr_tiers,A33,jr_year,p_year))</f>
        <v/>
      </c>
      <c r="I33" s="64" t="str">
        <f>IF(A33="","",SUMIFS(jr_val,jr_type,"BR",jr_tiers,A33,jr_year,p_year))</f>
        <v/>
      </c>
      <c r="J33" s="66" t="str">
        <f>IF(A33="","",COUNTIFS(jr_type,"BR",jr_tiers,A33,jr_etat,"Avec réserves",jr_year,p_year)+COUNTIFS(jr_type,"BR",jr_tiers,A33,jr_etat,"Refusé",jr_year,p_year))</f>
        <v/>
      </c>
      <c r="K33" s="60" t="str">
        <f>IF(A33="",IF(B33="","","Code manquant"),IF(COUNTIF($A$6:$A$205,A33)&gt;1,"Code en double",IF(B33="","Raison sociale manquante","OK")))</f>
        <v/>
      </c>
      <c r="L33" s="130" t="str">
        <f>IF(OR(A33="",N(H33)=0),"",H33+I33/1000000000000)</f>
        <v/>
      </c>
      <c r="M33" s="131" t="str">
        <f>IF(L33="","",RANK(L33,$L$6:$L$205)+COUNTIF($L$6:L32,L33))</f>
        <v/>
      </c>
    </row>
    <row r="34">
      <c r="A34" s="129" t="n"/>
      <c r="B34" s="59" t="n"/>
      <c r="C34" s="59" t="n"/>
      <c r="D34" s="59" t="n"/>
      <c r="E34" s="58" t="n"/>
      <c r="F34" s="58" t="n"/>
      <c r="G34" s="59" t="n"/>
      <c r="H34" s="66" t="str">
        <f>IF(A34="","",COUNTIFS(jr_new,1,jr_type,"BR",jr_tiers,A34,jr_year,p_year))</f>
        <v/>
      </c>
      <c r="I34" s="64" t="str">
        <f>IF(A34="","",SUMIFS(jr_val,jr_type,"BR",jr_tiers,A34,jr_year,p_year))</f>
        <v/>
      </c>
      <c r="J34" s="66" t="str">
        <f>IF(A34="","",COUNTIFS(jr_type,"BR",jr_tiers,A34,jr_etat,"Avec réserves",jr_year,p_year)+COUNTIFS(jr_type,"BR",jr_tiers,A34,jr_etat,"Refusé",jr_year,p_year))</f>
        <v/>
      </c>
      <c r="K34" s="60" t="str">
        <f>IF(A34="",IF(B34="","","Code manquant"),IF(COUNTIF($A$6:$A$205,A34)&gt;1,"Code en double",IF(B34="","Raison sociale manquante","OK")))</f>
        <v/>
      </c>
      <c r="L34" s="130" t="str">
        <f>IF(OR(A34="",N(H34)=0),"",H34+I34/1000000000000)</f>
        <v/>
      </c>
      <c r="M34" s="131" t="str">
        <f>IF(L34="","",RANK(L34,$L$6:$L$205)+COUNTIF($L$6:L33,L34))</f>
        <v/>
      </c>
    </row>
    <row r="35">
      <c r="A35" s="129" t="n"/>
      <c r="B35" s="59" t="n"/>
      <c r="C35" s="59" t="n"/>
      <c r="D35" s="59" t="n"/>
      <c r="E35" s="58" t="n"/>
      <c r="F35" s="58" t="n"/>
      <c r="G35" s="59" t="n"/>
      <c r="H35" s="66" t="str">
        <f>IF(A35="","",COUNTIFS(jr_new,1,jr_type,"BR",jr_tiers,A35,jr_year,p_year))</f>
        <v/>
      </c>
      <c r="I35" s="64" t="str">
        <f>IF(A35="","",SUMIFS(jr_val,jr_type,"BR",jr_tiers,A35,jr_year,p_year))</f>
        <v/>
      </c>
      <c r="J35" s="66" t="str">
        <f>IF(A35="","",COUNTIFS(jr_type,"BR",jr_tiers,A35,jr_etat,"Avec réserves",jr_year,p_year)+COUNTIFS(jr_type,"BR",jr_tiers,A35,jr_etat,"Refusé",jr_year,p_year))</f>
        <v/>
      </c>
      <c r="K35" s="60" t="str">
        <f>IF(A35="",IF(B35="","","Code manquant"),IF(COUNTIF($A$6:$A$205,A35)&gt;1,"Code en double",IF(B35="","Raison sociale manquante","OK")))</f>
        <v/>
      </c>
      <c r="L35" s="130" t="str">
        <f>IF(OR(A35="",N(H35)=0),"",H35+I35/1000000000000)</f>
        <v/>
      </c>
      <c r="M35" s="131" t="str">
        <f>IF(L35="","",RANK(L35,$L$6:$L$205)+COUNTIF($L$6:L34,L35))</f>
        <v/>
      </c>
    </row>
    <row r="36">
      <c r="A36" s="129" t="n"/>
      <c r="B36" s="59" t="n"/>
      <c r="C36" s="59" t="n"/>
      <c r="D36" s="59" t="n"/>
      <c r="E36" s="58" t="n"/>
      <c r="F36" s="58" t="n"/>
      <c r="G36" s="59" t="n"/>
      <c r="H36" s="66" t="str">
        <f>IF(A36="","",COUNTIFS(jr_new,1,jr_type,"BR",jr_tiers,A36,jr_year,p_year))</f>
        <v/>
      </c>
      <c r="I36" s="64" t="str">
        <f>IF(A36="","",SUMIFS(jr_val,jr_type,"BR",jr_tiers,A36,jr_year,p_year))</f>
        <v/>
      </c>
      <c r="J36" s="66" t="str">
        <f>IF(A36="","",COUNTIFS(jr_type,"BR",jr_tiers,A36,jr_etat,"Avec réserves",jr_year,p_year)+COUNTIFS(jr_type,"BR",jr_tiers,A36,jr_etat,"Refusé",jr_year,p_year))</f>
        <v/>
      </c>
      <c r="K36" s="60" t="str">
        <f>IF(A36="",IF(B36="","","Code manquant"),IF(COUNTIF($A$6:$A$205,A36)&gt;1,"Code en double",IF(B36="","Raison sociale manquante","OK")))</f>
        <v/>
      </c>
      <c r="L36" s="130" t="str">
        <f>IF(OR(A36="",N(H36)=0),"",H36+I36/1000000000000)</f>
        <v/>
      </c>
      <c r="M36" s="131" t="str">
        <f>IF(L36="","",RANK(L36,$L$6:$L$205)+COUNTIF($L$6:L35,L36))</f>
        <v/>
      </c>
    </row>
    <row r="37">
      <c r="A37" s="129" t="n"/>
      <c r="B37" s="59" t="n"/>
      <c r="C37" s="59" t="n"/>
      <c r="D37" s="59" t="n"/>
      <c r="E37" s="58" t="n"/>
      <c r="F37" s="58" t="n"/>
      <c r="G37" s="59" t="n"/>
      <c r="H37" s="66" t="str">
        <f>IF(A37="","",COUNTIFS(jr_new,1,jr_type,"BR",jr_tiers,A37,jr_year,p_year))</f>
        <v/>
      </c>
      <c r="I37" s="64" t="str">
        <f>IF(A37="","",SUMIFS(jr_val,jr_type,"BR",jr_tiers,A37,jr_year,p_year))</f>
        <v/>
      </c>
      <c r="J37" s="66" t="str">
        <f>IF(A37="","",COUNTIFS(jr_type,"BR",jr_tiers,A37,jr_etat,"Avec réserves",jr_year,p_year)+COUNTIFS(jr_type,"BR",jr_tiers,A37,jr_etat,"Refusé",jr_year,p_year))</f>
        <v/>
      </c>
      <c r="K37" s="60" t="str">
        <f>IF(A37="",IF(B37="","","Code manquant"),IF(COUNTIF($A$6:$A$205,A37)&gt;1,"Code en double",IF(B37="","Raison sociale manquante","OK")))</f>
        <v/>
      </c>
      <c r="L37" s="130" t="str">
        <f>IF(OR(A37="",N(H37)=0),"",H37+I37/1000000000000)</f>
        <v/>
      </c>
      <c r="M37" s="131" t="str">
        <f>IF(L37="","",RANK(L37,$L$6:$L$205)+COUNTIF($L$6:L36,L37))</f>
        <v/>
      </c>
    </row>
    <row r="38">
      <c r="A38" s="129" t="n"/>
      <c r="B38" s="59" t="n"/>
      <c r="C38" s="59" t="n"/>
      <c r="D38" s="59" t="n"/>
      <c r="E38" s="58" t="n"/>
      <c r="F38" s="58" t="n"/>
      <c r="G38" s="59" t="n"/>
      <c r="H38" s="66" t="str">
        <f>IF(A38="","",COUNTIFS(jr_new,1,jr_type,"BR",jr_tiers,A38,jr_year,p_year))</f>
        <v/>
      </c>
      <c r="I38" s="64" t="str">
        <f>IF(A38="","",SUMIFS(jr_val,jr_type,"BR",jr_tiers,A38,jr_year,p_year))</f>
        <v/>
      </c>
      <c r="J38" s="66" t="str">
        <f>IF(A38="","",COUNTIFS(jr_type,"BR",jr_tiers,A38,jr_etat,"Avec réserves",jr_year,p_year)+COUNTIFS(jr_type,"BR",jr_tiers,A38,jr_etat,"Refusé",jr_year,p_year))</f>
        <v/>
      </c>
      <c r="K38" s="60" t="str">
        <f>IF(A38="",IF(B38="","","Code manquant"),IF(COUNTIF($A$6:$A$205,A38)&gt;1,"Code en double",IF(B38="","Raison sociale manquante","OK")))</f>
        <v/>
      </c>
      <c r="L38" s="130" t="str">
        <f>IF(OR(A38="",N(H38)=0),"",H38+I38/1000000000000)</f>
        <v/>
      </c>
      <c r="M38" s="131" t="str">
        <f>IF(L38="","",RANK(L38,$L$6:$L$205)+COUNTIF($L$6:L37,L38))</f>
        <v/>
      </c>
    </row>
    <row r="39">
      <c r="A39" s="129" t="n"/>
      <c r="B39" s="59" t="n"/>
      <c r="C39" s="59" t="n"/>
      <c r="D39" s="59" t="n"/>
      <c r="E39" s="58" t="n"/>
      <c r="F39" s="58" t="n"/>
      <c r="G39" s="59" t="n"/>
      <c r="H39" s="66" t="str">
        <f>IF(A39="","",COUNTIFS(jr_new,1,jr_type,"BR",jr_tiers,A39,jr_year,p_year))</f>
        <v/>
      </c>
      <c r="I39" s="64" t="str">
        <f>IF(A39="","",SUMIFS(jr_val,jr_type,"BR",jr_tiers,A39,jr_year,p_year))</f>
        <v/>
      </c>
      <c r="J39" s="66" t="str">
        <f>IF(A39="","",COUNTIFS(jr_type,"BR",jr_tiers,A39,jr_etat,"Avec réserves",jr_year,p_year)+COUNTIFS(jr_type,"BR",jr_tiers,A39,jr_etat,"Refusé",jr_year,p_year))</f>
        <v/>
      </c>
      <c r="K39" s="60" t="str">
        <f>IF(A39="",IF(B39="","","Code manquant"),IF(COUNTIF($A$6:$A$205,A39)&gt;1,"Code en double",IF(B39="","Raison sociale manquante","OK")))</f>
        <v/>
      </c>
      <c r="L39" s="130" t="str">
        <f>IF(OR(A39="",N(H39)=0),"",H39+I39/1000000000000)</f>
        <v/>
      </c>
      <c r="M39" s="131" t="str">
        <f>IF(L39="","",RANK(L39,$L$6:$L$205)+COUNTIF($L$6:L38,L39))</f>
        <v/>
      </c>
    </row>
    <row r="40">
      <c r="A40" s="129" t="n"/>
      <c r="B40" s="59" t="n"/>
      <c r="C40" s="59" t="n"/>
      <c r="D40" s="59" t="n"/>
      <c r="E40" s="58" t="n"/>
      <c r="F40" s="58" t="n"/>
      <c r="G40" s="59" t="n"/>
      <c r="H40" s="66" t="str">
        <f>IF(A40="","",COUNTIFS(jr_new,1,jr_type,"BR",jr_tiers,A40,jr_year,p_year))</f>
        <v/>
      </c>
      <c r="I40" s="64" t="str">
        <f>IF(A40="","",SUMIFS(jr_val,jr_type,"BR",jr_tiers,A40,jr_year,p_year))</f>
        <v/>
      </c>
      <c r="J40" s="66" t="str">
        <f>IF(A40="","",COUNTIFS(jr_type,"BR",jr_tiers,A40,jr_etat,"Avec réserves",jr_year,p_year)+COUNTIFS(jr_type,"BR",jr_tiers,A40,jr_etat,"Refusé",jr_year,p_year))</f>
        <v/>
      </c>
      <c r="K40" s="60" t="str">
        <f>IF(A40="",IF(B40="","","Code manquant"),IF(COUNTIF($A$6:$A$205,A40)&gt;1,"Code en double",IF(B40="","Raison sociale manquante","OK")))</f>
        <v/>
      </c>
      <c r="L40" s="130" t="str">
        <f>IF(OR(A40="",N(H40)=0),"",H40+I40/1000000000000)</f>
        <v/>
      </c>
      <c r="M40" s="131" t="str">
        <f>IF(L40="","",RANK(L40,$L$6:$L$205)+COUNTIF($L$6:L39,L40))</f>
        <v/>
      </c>
    </row>
    <row r="41">
      <c r="A41" s="129" t="n"/>
      <c r="B41" s="59" t="n"/>
      <c r="C41" s="59" t="n"/>
      <c r="D41" s="59" t="n"/>
      <c r="E41" s="58" t="n"/>
      <c r="F41" s="58" t="n"/>
      <c r="G41" s="59" t="n"/>
      <c r="H41" s="66" t="str">
        <f>IF(A41="","",COUNTIFS(jr_new,1,jr_type,"BR",jr_tiers,A41,jr_year,p_year))</f>
        <v/>
      </c>
      <c r="I41" s="64" t="str">
        <f>IF(A41="","",SUMIFS(jr_val,jr_type,"BR",jr_tiers,A41,jr_year,p_year))</f>
        <v/>
      </c>
      <c r="J41" s="66" t="str">
        <f>IF(A41="","",COUNTIFS(jr_type,"BR",jr_tiers,A41,jr_etat,"Avec réserves",jr_year,p_year)+COUNTIFS(jr_type,"BR",jr_tiers,A41,jr_etat,"Refusé",jr_year,p_year))</f>
        <v/>
      </c>
      <c r="K41" s="60" t="str">
        <f>IF(A41="",IF(B41="","","Code manquant"),IF(COUNTIF($A$6:$A$205,A41)&gt;1,"Code en double",IF(B41="","Raison sociale manquante","OK")))</f>
        <v/>
      </c>
      <c r="L41" s="130" t="str">
        <f>IF(OR(A41="",N(H41)=0),"",H41+I41/1000000000000)</f>
        <v/>
      </c>
      <c r="M41" s="131" t="str">
        <f>IF(L41="","",RANK(L41,$L$6:$L$205)+COUNTIF($L$6:L40,L41))</f>
        <v/>
      </c>
    </row>
    <row r="42">
      <c r="A42" s="129" t="n"/>
      <c r="B42" s="59" t="n"/>
      <c r="C42" s="59" t="n"/>
      <c r="D42" s="59" t="n"/>
      <c r="E42" s="58" t="n"/>
      <c r="F42" s="58" t="n"/>
      <c r="G42" s="59" t="n"/>
      <c r="H42" s="66" t="str">
        <f>IF(A42="","",COUNTIFS(jr_new,1,jr_type,"BR",jr_tiers,A42,jr_year,p_year))</f>
        <v/>
      </c>
      <c r="I42" s="64" t="str">
        <f>IF(A42="","",SUMIFS(jr_val,jr_type,"BR",jr_tiers,A42,jr_year,p_year))</f>
        <v/>
      </c>
      <c r="J42" s="66" t="str">
        <f>IF(A42="","",COUNTIFS(jr_type,"BR",jr_tiers,A42,jr_etat,"Avec réserves",jr_year,p_year)+COUNTIFS(jr_type,"BR",jr_tiers,A42,jr_etat,"Refusé",jr_year,p_year))</f>
        <v/>
      </c>
      <c r="K42" s="60" t="str">
        <f>IF(A42="",IF(B42="","","Code manquant"),IF(COUNTIF($A$6:$A$205,A42)&gt;1,"Code en double",IF(B42="","Raison sociale manquante","OK")))</f>
        <v/>
      </c>
      <c r="L42" s="130" t="str">
        <f>IF(OR(A42="",N(H42)=0),"",H42+I42/1000000000000)</f>
        <v/>
      </c>
      <c r="M42" s="131" t="str">
        <f>IF(L42="","",RANK(L42,$L$6:$L$205)+COUNTIF($L$6:L41,L42))</f>
        <v/>
      </c>
    </row>
    <row r="43">
      <c r="A43" s="129" t="n"/>
      <c r="B43" s="59" t="n"/>
      <c r="C43" s="59" t="n"/>
      <c r="D43" s="59" t="n"/>
      <c r="E43" s="58" t="n"/>
      <c r="F43" s="58" t="n"/>
      <c r="G43" s="59" t="n"/>
      <c r="H43" s="66" t="str">
        <f>IF(A43="","",COUNTIFS(jr_new,1,jr_type,"BR",jr_tiers,A43,jr_year,p_year))</f>
        <v/>
      </c>
      <c r="I43" s="64" t="str">
        <f>IF(A43="","",SUMIFS(jr_val,jr_type,"BR",jr_tiers,A43,jr_year,p_year))</f>
        <v/>
      </c>
      <c r="J43" s="66" t="str">
        <f>IF(A43="","",COUNTIFS(jr_type,"BR",jr_tiers,A43,jr_etat,"Avec réserves",jr_year,p_year)+COUNTIFS(jr_type,"BR",jr_tiers,A43,jr_etat,"Refusé",jr_year,p_year))</f>
        <v/>
      </c>
      <c r="K43" s="60" t="str">
        <f>IF(A43="",IF(B43="","","Code manquant"),IF(COUNTIF($A$6:$A$205,A43)&gt;1,"Code en double",IF(B43="","Raison sociale manquante","OK")))</f>
        <v/>
      </c>
      <c r="L43" s="130" t="str">
        <f>IF(OR(A43="",N(H43)=0),"",H43+I43/1000000000000)</f>
        <v/>
      </c>
      <c r="M43" s="131" t="str">
        <f>IF(L43="","",RANK(L43,$L$6:$L$205)+COUNTIF($L$6:L42,L43))</f>
        <v/>
      </c>
    </row>
    <row r="44">
      <c r="A44" s="129" t="n"/>
      <c r="B44" s="59" t="n"/>
      <c r="C44" s="59" t="n"/>
      <c r="D44" s="59" t="n"/>
      <c r="E44" s="58" t="n"/>
      <c r="F44" s="58" t="n"/>
      <c r="G44" s="59" t="n"/>
      <c r="H44" s="66" t="str">
        <f>IF(A44="","",COUNTIFS(jr_new,1,jr_type,"BR",jr_tiers,A44,jr_year,p_year))</f>
        <v/>
      </c>
      <c r="I44" s="64" t="str">
        <f>IF(A44="","",SUMIFS(jr_val,jr_type,"BR",jr_tiers,A44,jr_year,p_year))</f>
        <v/>
      </c>
      <c r="J44" s="66" t="str">
        <f>IF(A44="","",COUNTIFS(jr_type,"BR",jr_tiers,A44,jr_etat,"Avec réserves",jr_year,p_year)+COUNTIFS(jr_type,"BR",jr_tiers,A44,jr_etat,"Refusé",jr_year,p_year))</f>
        <v/>
      </c>
      <c r="K44" s="60" t="str">
        <f>IF(A44="",IF(B44="","","Code manquant"),IF(COUNTIF($A$6:$A$205,A44)&gt;1,"Code en double",IF(B44="","Raison sociale manquante","OK")))</f>
        <v/>
      </c>
      <c r="L44" s="130" t="str">
        <f>IF(OR(A44="",N(H44)=0),"",H44+I44/1000000000000)</f>
        <v/>
      </c>
      <c r="M44" s="131" t="str">
        <f>IF(L44="","",RANK(L44,$L$6:$L$205)+COUNTIF($L$6:L43,L44))</f>
        <v/>
      </c>
    </row>
    <row r="45">
      <c r="A45" s="129" t="n"/>
      <c r="B45" s="59" t="n"/>
      <c r="C45" s="59" t="n"/>
      <c r="D45" s="59" t="n"/>
      <c r="E45" s="58" t="n"/>
      <c r="F45" s="58" t="n"/>
      <c r="G45" s="59" t="n"/>
      <c r="H45" s="66" t="str">
        <f>IF(A45="","",COUNTIFS(jr_new,1,jr_type,"BR",jr_tiers,A45,jr_year,p_year))</f>
        <v/>
      </c>
      <c r="I45" s="64" t="str">
        <f>IF(A45="","",SUMIFS(jr_val,jr_type,"BR",jr_tiers,A45,jr_year,p_year))</f>
        <v/>
      </c>
      <c r="J45" s="66" t="str">
        <f>IF(A45="","",COUNTIFS(jr_type,"BR",jr_tiers,A45,jr_etat,"Avec réserves",jr_year,p_year)+COUNTIFS(jr_type,"BR",jr_tiers,A45,jr_etat,"Refusé",jr_year,p_year))</f>
        <v/>
      </c>
      <c r="K45" s="60" t="str">
        <f>IF(A45="",IF(B45="","","Code manquant"),IF(COUNTIF($A$6:$A$205,A45)&gt;1,"Code en double",IF(B45="","Raison sociale manquante","OK")))</f>
        <v/>
      </c>
      <c r="L45" s="130" t="str">
        <f>IF(OR(A45="",N(H45)=0),"",H45+I45/1000000000000)</f>
        <v/>
      </c>
      <c r="M45" s="131" t="str">
        <f>IF(L45="","",RANK(L45,$L$6:$L$205)+COUNTIF($L$6:L44,L45))</f>
        <v/>
      </c>
    </row>
    <row r="46">
      <c r="A46" s="129" t="n"/>
      <c r="B46" s="59" t="n"/>
      <c r="C46" s="59" t="n"/>
      <c r="D46" s="59" t="n"/>
      <c r="E46" s="58" t="n"/>
      <c r="F46" s="58" t="n"/>
      <c r="G46" s="59" t="n"/>
      <c r="H46" s="66" t="str">
        <f>IF(A46="","",COUNTIFS(jr_new,1,jr_type,"BR",jr_tiers,A46,jr_year,p_year))</f>
        <v/>
      </c>
      <c r="I46" s="64" t="str">
        <f>IF(A46="","",SUMIFS(jr_val,jr_type,"BR",jr_tiers,A46,jr_year,p_year))</f>
        <v/>
      </c>
      <c r="J46" s="66" t="str">
        <f>IF(A46="","",COUNTIFS(jr_type,"BR",jr_tiers,A46,jr_etat,"Avec réserves",jr_year,p_year)+COUNTIFS(jr_type,"BR",jr_tiers,A46,jr_etat,"Refusé",jr_year,p_year))</f>
        <v/>
      </c>
      <c r="K46" s="60" t="str">
        <f>IF(A46="",IF(B46="","","Code manquant"),IF(COUNTIF($A$6:$A$205,A46)&gt;1,"Code en double",IF(B46="","Raison sociale manquante","OK")))</f>
        <v/>
      </c>
      <c r="L46" s="130" t="str">
        <f>IF(OR(A46="",N(H46)=0),"",H46+I46/1000000000000)</f>
        <v/>
      </c>
      <c r="M46" s="131" t="str">
        <f>IF(L46="","",RANK(L46,$L$6:$L$205)+COUNTIF($L$6:L45,L46))</f>
        <v/>
      </c>
    </row>
    <row r="47">
      <c r="A47" s="129" t="n"/>
      <c r="B47" s="59" t="n"/>
      <c r="C47" s="59" t="n"/>
      <c r="D47" s="59" t="n"/>
      <c r="E47" s="58" t="n"/>
      <c r="F47" s="58" t="n"/>
      <c r="G47" s="59" t="n"/>
      <c r="H47" s="66" t="str">
        <f>IF(A47="","",COUNTIFS(jr_new,1,jr_type,"BR",jr_tiers,A47,jr_year,p_year))</f>
        <v/>
      </c>
      <c r="I47" s="64" t="str">
        <f>IF(A47="","",SUMIFS(jr_val,jr_type,"BR",jr_tiers,A47,jr_year,p_year))</f>
        <v/>
      </c>
      <c r="J47" s="66" t="str">
        <f>IF(A47="","",COUNTIFS(jr_type,"BR",jr_tiers,A47,jr_etat,"Avec réserves",jr_year,p_year)+COUNTIFS(jr_type,"BR",jr_tiers,A47,jr_etat,"Refusé",jr_year,p_year))</f>
        <v/>
      </c>
      <c r="K47" s="60" t="str">
        <f>IF(A47="",IF(B47="","","Code manquant"),IF(COUNTIF($A$6:$A$205,A47)&gt;1,"Code en double",IF(B47="","Raison sociale manquante","OK")))</f>
        <v/>
      </c>
      <c r="L47" s="130" t="str">
        <f>IF(OR(A47="",N(H47)=0),"",H47+I47/1000000000000)</f>
        <v/>
      </c>
      <c r="M47" s="131" t="str">
        <f>IF(L47="","",RANK(L47,$L$6:$L$205)+COUNTIF($L$6:L46,L47))</f>
        <v/>
      </c>
    </row>
    <row r="48">
      <c r="A48" s="129" t="n"/>
      <c r="B48" s="59" t="n"/>
      <c r="C48" s="59" t="n"/>
      <c r="D48" s="59" t="n"/>
      <c r="E48" s="58" t="n"/>
      <c r="F48" s="58" t="n"/>
      <c r="G48" s="59" t="n"/>
      <c r="H48" s="66" t="str">
        <f>IF(A48="","",COUNTIFS(jr_new,1,jr_type,"BR",jr_tiers,A48,jr_year,p_year))</f>
        <v/>
      </c>
      <c r="I48" s="64" t="str">
        <f>IF(A48="","",SUMIFS(jr_val,jr_type,"BR",jr_tiers,A48,jr_year,p_year))</f>
        <v/>
      </c>
      <c r="J48" s="66" t="str">
        <f>IF(A48="","",COUNTIFS(jr_type,"BR",jr_tiers,A48,jr_etat,"Avec réserves",jr_year,p_year)+COUNTIFS(jr_type,"BR",jr_tiers,A48,jr_etat,"Refusé",jr_year,p_year))</f>
        <v/>
      </c>
      <c r="K48" s="60" t="str">
        <f>IF(A48="",IF(B48="","","Code manquant"),IF(COUNTIF($A$6:$A$205,A48)&gt;1,"Code en double",IF(B48="","Raison sociale manquante","OK")))</f>
        <v/>
      </c>
      <c r="L48" s="130" t="str">
        <f>IF(OR(A48="",N(H48)=0),"",H48+I48/1000000000000)</f>
        <v/>
      </c>
      <c r="M48" s="131" t="str">
        <f>IF(L48="","",RANK(L48,$L$6:$L$205)+COUNTIF($L$6:L47,L48))</f>
        <v/>
      </c>
    </row>
    <row r="49">
      <c r="A49" s="129" t="n"/>
      <c r="B49" s="59" t="n"/>
      <c r="C49" s="59" t="n"/>
      <c r="D49" s="59" t="n"/>
      <c r="E49" s="58" t="n"/>
      <c r="F49" s="58" t="n"/>
      <c r="G49" s="59" t="n"/>
      <c r="H49" s="66" t="str">
        <f>IF(A49="","",COUNTIFS(jr_new,1,jr_type,"BR",jr_tiers,A49,jr_year,p_year))</f>
        <v/>
      </c>
      <c r="I49" s="64" t="str">
        <f>IF(A49="","",SUMIFS(jr_val,jr_type,"BR",jr_tiers,A49,jr_year,p_year))</f>
        <v/>
      </c>
      <c r="J49" s="66" t="str">
        <f>IF(A49="","",COUNTIFS(jr_type,"BR",jr_tiers,A49,jr_etat,"Avec réserves",jr_year,p_year)+COUNTIFS(jr_type,"BR",jr_tiers,A49,jr_etat,"Refusé",jr_year,p_year))</f>
        <v/>
      </c>
      <c r="K49" s="60" t="str">
        <f>IF(A49="",IF(B49="","","Code manquant"),IF(COUNTIF($A$6:$A$205,A49)&gt;1,"Code en double",IF(B49="","Raison sociale manquante","OK")))</f>
        <v/>
      </c>
      <c r="L49" s="130" t="str">
        <f>IF(OR(A49="",N(H49)=0),"",H49+I49/1000000000000)</f>
        <v/>
      </c>
      <c r="M49" s="131" t="str">
        <f>IF(L49="","",RANK(L49,$L$6:$L$205)+COUNTIF($L$6:L48,L49))</f>
        <v/>
      </c>
    </row>
    <row r="50">
      <c r="A50" s="129" t="n"/>
      <c r="B50" s="59" t="n"/>
      <c r="C50" s="59" t="n"/>
      <c r="D50" s="59" t="n"/>
      <c r="E50" s="58" t="n"/>
      <c r="F50" s="58" t="n"/>
      <c r="G50" s="59" t="n"/>
      <c r="H50" s="66" t="str">
        <f>IF(A50="","",COUNTIFS(jr_new,1,jr_type,"BR",jr_tiers,A50,jr_year,p_year))</f>
        <v/>
      </c>
      <c r="I50" s="64" t="str">
        <f>IF(A50="","",SUMIFS(jr_val,jr_type,"BR",jr_tiers,A50,jr_year,p_year))</f>
        <v/>
      </c>
      <c r="J50" s="66" t="str">
        <f>IF(A50="","",COUNTIFS(jr_type,"BR",jr_tiers,A50,jr_etat,"Avec réserves",jr_year,p_year)+COUNTIFS(jr_type,"BR",jr_tiers,A50,jr_etat,"Refusé",jr_year,p_year))</f>
        <v/>
      </c>
      <c r="K50" s="60" t="str">
        <f>IF(A50="",IF(B50="","","Code manquant"),IF(COUNTIF($A$6:$A$205,A50)&gt;1,"Code en double",IF(B50="","Raison sociale manquante","OK")))</f>
        <v/>
      </c>
      <c r="L50" s="130" t="str">
        <f>IF(OR(A50="",N(H50)=0),"",H50+I50/1000000000000)</f>
        <v/>
      </c>
      <c r="M50" s="131" t="str">
        <f>IF(L50="","",RANK(L50,$L$6:$L$205)+COUNTIF($L$6:L49,L50))</f>
        <v/>
      </c>
    </row>
    <row r="51">
      <c r="A51" s="129" t="n"/>
      <c r="B51" s="59" t="n"/>
      <c r="C51" s="59" t="n"/>
      <c r="D51" s="59" t="n"/>
      <c r="E51" s="58" t="n"/>
      <c r="F51" s="58" t="n"/>
      <c r="G51" s="59" t="n"/>
      <c r="H51" s="66" t="str">
        <f>IF(A51="","",COUNTIFS(jr_new,1,jr_type,"BR",jr_tiers,A51,jr_year,p_year))</f>
        <v/>
      </c>
      <c r="I51" s="64" t="str">
        <f>IF(A51="","",SUMIFS(jr_val,jr_type,"BR",jr_tiers,A51,jr_year,p_year))</f>
        <v/>
      </c>
      <c r="J51" s="66" t="str">
        <f>IF(A51="","",COUNTIFS(jr_type,"BR",jr_tiers,A51,jr_etat,"Avec réserves",jr_year,p_year)+COUNTIFS(jr_type,"BR",jr_tiers,A51,jr_etat,"Refusé",jr_year,p_year))</f>
        <v/>
      </c>
      <c r="K51" s="60" t="str">
        <f>IF(A51="",IF(B51="","","Code manquant"),IF(COUNTIF($A$6:$A$205,A51)&gt;1,"Code en double",IF(B51="","Raison sociale manquante","OK")))</f>
        <v/>
      </c>
      <c r="L51" s="130" t="str">
        <f>IF(OR(A51="",N(H51)=0),"",H51+I51/1000000000000)</f>
        <v/>
      </c>
      <c r="M51" s="131" t="str">
        <f>IF(L51="","",RANK(L51,$L$6:$L$205)+COUNTIF($L$6:L50,L51))</f>
        <v/>
      </c>
    </row>
    <row r="52">
      <c r="A52" s="129" t="n"/>
      <c r="B52" s="59" t="n"/>
      <c r="C52" s="59" t="n"/>
      <c r="D52" s="59" t="n"/>
      <c r="E52" s="58" t="n"/>
      <c r="F52" s="58" t="n"/>
      <c r="G52" s="59" t="n"/>
      <c r="H52" s="66" t="str">
        <f>IF(A52="","",COUNTIFS(jr_new,1,jr_type,"BR",jr_tiers,A52,jr_year,p_year))</f>
        <v/>
      </c>
      <c r="I52" s="64" t="str">
        <f>IF(A52="","",SUMIFS(jr_val,jr_type,"BR",jr_tiers,A52,jr_year,p_year))</f>
        <v/>
      </c>
      <c r="J52" s="66" t="str">
        <f>IF(A52="","",COUNTIFS(jr_type,"BR",jr_tiers,A52,jr_etat,"Avec réserves",jr_year,p_year)+COUNTIFS(jr_type,"BR",jr_tiers,A52,jr_etat,"Refusé",jr_year,p_year))</f>
        <v/>
      </c>
      <c r="K52" s="60" t="str">
        <f>IF(A52="",IF(B52="","","Code manquant"),IF(COUNTIF($A$6:$A$205,A52)&gt;1,"Code en double",IF(B52="","Raison sociale manquante","OK")))</f>
        <v/>
      </c>
      <c r="L52" s="130" t="str">
        <f>IF(OR(A52="",N(H52)=0),"",H52+I52/1000000000000)</f>
        <v/>
      </c>
      <c r="M52" s="131" t="str">
        <f>IF(L52="","",RANK(L52,$L$6:$L$205)+COUNTIF($L$6:L51,L52))</f>
        <v/>
      </c>
    </row>
    <row r="53">
      <c r="A53" s="129" t="n"/>
      <c r="B53" s="59" t="n"/>
      <c r="C53" s="59" t="n"/>
      <c r="D53" s="59" t="n"/>
      <c r="E53" s="58" t="n"/>
      <c r="F53" s="58" t="n"/>
      <c r="G53" s="59" t="n"/>
      <c r="H53" s="66" t="str">
        <f>IF(A53="","",COUNTIFS(jr_new,1,jr_type,"BR",jr_tiers,A53,jr_year,p_year))</f>
        <v/>
      </c>
      <c r="I53" s="64" t="str">
        <f>IF(A53="","",SUMIFS(jr_val,jr_type,"BR",jr_tiers,A53,jr_year,p_year))</f>
        <v/>
      </c>
      <c r="J53" s="66" t="str">
        <f>IF(A53="","",COUNTIFS(jr_type,"BR",jr_tiers,A53,jr_etat,"Avec réserves",jr_year,p_year)+COUNTIFS(jr_type,"BR",jr_tiers,A53,jr_etat,"Refusé",jr_year,p_year))</f>
        <v/>
      </c>
      <c r="K53" s="60" t="str">
        <f>IF(A53="",IF(B53="","","Code manquant"),IF(COUNTIF($A$6:$A$205,A53)&gt;1,"Code en double",IF(B53="","Raison sociale manquante","OK")))</f>
        <v/>
      </c>
      <c r="L53" s="130" t="str">
        <f>IF(OR(A53="",N(H53)=0),"",H53+I53/1000000000000)</f>
        <v/>
      </c>
      <c r="M53" s="131" t="str">
        <f>IF(L53="","",RANK(L53,$L$6:$L$205)+COUNTIF($L$6:L52,L53))</f>
        <v/>
      </c>
    </row>
    <row r="54">
      <c r="A54" s="129" t="n"/>
      <c r="B54" s="59" t="n"/>
      <c r="C54" s="59" t="n"/>
      <c r="D54" s="59" t="n"/>
      <c r="E54" s="58" t="n"/>
      <c r="F54" s="58" t="n"/>
      <c r="G54" s="59" t="n"/>
      <c r="H54" s="66" t="str">
        <f>IF(A54="","",COUNTIFS(jr_new,1,jr_type,"BR",jr_tiers,A54,jr_year,p_year))</f>
        <v/>
      </c>
      <c r="I54" s="64" t="str">
        <f>IF(A54="","",SUMIFS(jr_val,jr_type,"BR",jr_tiers,A54,jr_year,p_year))</f>
        <v/>
      </c>
      <c r="J54" s="66" t="str">
        <f>IF(A54="","",COUNTIFS(jr_type,"BR",jr_tiers,A54,jr_etat,"Avec réserves",jr_year,p_year)+COUNTIFS(jr_type,"BR",jr_tiers,A54,jr_etat,"Refusé",jr_year,p_year))</f>
        <v/>
      </c>
      <c r="K54" s="60" t="str">
        <f>IF(A54="",IF(B54="","","Code manquant"),IF(COUNTIF($A$6:$A$205,A54)&gt;1,"Code en double",IF(B54="","Raison sociale manquante","OK")))</f>
        <v/>
      </c>
      <c r="L54" s="130" t="str">
        <f>IF(OR(A54="",N(H54)=0),"",H54+I54/1000000000000)</f>
        <v/>
      </c>
      <c r="M54" s="131" t="str">
        <f>IF(L54="","",RANK(L54,$L$6:$L$205)+COUNTIF($L$6:L53,L54))</f>
        <v/>
      </c>
    </row>
    <row r="55">
      <c r="A55" s="129" t="n"/>
      <c r="B55" s="59" t="n"/>
      <c r="C55" s="59" t="n"/>
      <c r="D55" s="59" t="n"/>
      <c r="E55" s="58" t="n"/>
      <c r="F55" s="58" t="n"/>
      <c r="G55" s="59" t="n"/>
      <c r="H55" s="66" t="str">
        <f>IF(A55="","",COUNTIFS(jr_new,1,jr_type,"BR",jr_tiers,A55,jr_year,p_year))</f>
        <v/>
      </c>
      <c r="I55" s="64" t="str">
        <f>IF(A55="","",SUMIFS(jr_val,jr_type,"BR",jr_tiers,A55,jr_year,p_year))</f>
        <v/>
      </c>
      <c r="J55" s="66" t="str">
        <f>IF(A55="","",COUNTIFS(jr_type,"BR",jr_tiers,A55,jr_etat,"Avec réserves",jr_year,p_year)+COUNTIFS(jr_type,"BR",jr_tiers,A55,jr_etat,"Refusé",jr_year,p_year))</f>
        <v/>
      </c>
      <c r="K55" s="60" t="str">
        <f>IF(A55="",IF(B55="","","Code manquant"),IF(COUNTIF($A$6:$A$205,A55)&gt;1,"Code en double",IF(B55="","Raison sociale manquante","OK")))</f>
        <v/>
      </c>
      <c r="L55" s="130" t="str">
        <f>IF(OR(A55="",N(H55)=0),"",H55+I55/1000000000000)</f>
        <v/>
      </c>
      <c r="M55" s="131" t="str">
        <f>IF(L55="","",RANK(L55,$L$6:$L$205)+COUNTIF($L$6:L54,L55))</f>
        <v/>
      </c>
    </row>
    <row r="56">
      <c r="A56" s="129" t="n"/>
      <c r="B56" s="59" t="n"/>
      <c r="C56" s="59" t="n"/>
      <c r="D56" s="59" t="n"/>
      <c r="E56" s="58" t="n"/>
      <c r="F56" s="58" t="n"/>
      <c r="G56" s="59" t="n"/>
      <c r="H56" s="66" t="str">
        <f>IF(A56="","",COUNTIFS(jr_new,1,jr_type,"BR",jr_tiers,A56,jr_year,p_year))</f>
        <v/>
      </c>
      <c r="I56" s="64" t="str">
        <f>IF(A56="","",SUMIFS(jr_val,jr_type,"BR",jr_tiers,A56,jr_year,p_year))</f>
        <v/>
      </c>
      <c r="J56" s="66" t="str">
        <f>IF(A56="","",COUNTIFS(jr_type,"BR",jr_tiers,A56,jr_etat,"Avec réserves",jr_year,p_year)+COUNTIFS(jr_type,"BR",jr_tiers,A56,jr_etat,"Refusé",jr_year,p_year))</f>
        <v/>
      </c>
      <c r="K56" s="60" t="str">
        <f>IF(A56="",IF(B56="","","Code manquant"),IF(COUNTIF($A$6:$A$205,A56)&gt;1,"Code en double",IF(B56="","Raison sociale manquante","OK")))</f>
        <v/>
      </c>
      <c r="L56" s="130" t="str">
        <f>IF(OR(A56="",N(H56)=0),"",H56+I56/1000000000000)</f>
        <v/>
      </c>
      <c r="M56" s="131" t="str">
        <f>IF(L56="","",RANK(L56,$L$6:$L$205)+COUNTIF($L$6:L55,L56))</f>
        <v/>
      </c>
    </row>
    <row r="57">
      <c r="A57" s="129" t="n"/>
      <c r="B57" s="59" t="n"/>
      <c r="C57" s="59" t="n"/>
      <c r="D57" s="59" t="n"/>
      <c r="E57" s="58" t="n"/>
      <c r="F57" s="58" t="n"/>
      <c r="G57" s="59" t="n"/>
      <c r="H57" s="66" t="str">
        <f>IF(A57="","",COUNTIFS(jr_new,1,jr_type,"BR",jr_tiers,A57,jr_year,p_year))</f>
        <v/>
      </c>
      <c r="I57" s="64" t="str">
        <f>IF(A57="","",SUMIFS(jr_val,jr_type,"BR",jr_tiers,A57,jr_year,p_year))</f>
        <v/>
      </c>
      <c r="J57" s="66" t="str">
        <f>IF(A57="","",COUNTIFS(jr_type,"BR",jr_tiers,A57,jr_etat,"Avec réserves",jr_year,p_year)+COUNTIFS(jr_type,"BR",jr_tiers,A57,jr_etat,"Refusé",jr_year,p_year))</f>
        <v/>
      </c>
      <c r="K57" s="60" t="str">
        <f>IF(A57="",IF(B57="","","Code manquant"),IF(COUNTIF($A$6:$A$205,A57)&gt;1,"Code en double",IF(B57="","Raison sociale manquante","OK")))</f>
        <v/>
      </c>
      <c r="L57" s="130" t="str">
        <f>IF(OR(A57="",N(H57)=0),"",H57+I57/1000000000000)</f>
        <v/>
      </c>
      <c r="M57" s="131" t="str">
        <f>IF(L57="","",RANK(L57,$L$6:$L$205)+COUNTIF($L$6:L56,L57))</f>
        <v/>
      </c>
    </row>
    <row r="58">
      <c r="A58" s="129" t="n"/>
      <c r="B58" s="59" t="n"/>
      <c r="C58" s="59" t="n"/>
      <c r="D58" s="59" t="n"/>
      <c r="E58" s="58" t="n"/>
      <c r="F58" s="58" t="n"/>
      <c r="G58" s="59" t="n"/>
      <c r="H58" s="66" t="str">
        <f>IF(A58="","",COUNTIFS(jr_new,1,jr_type,"BR",jr_tiers,A58,jr_year,p_year))</f>
        <v/>
      </c>
      <c r="I58" s="64" t="str">
        <f>IF(A58="","",SUMIFS(jr_val,jr_type,"BR",jr_tiers,A58,jr_year,p_year))</f>
        <v/>
      </c>
      <c r="J58" s="66" t="str">
        <f>IF(A58="","",COUNTIFS(jr_type,"BR",jr_tiers,A58,jr_etat,"Avec réserves",jr_year,p_year)+COUNTIFS(jr_type,"BR",jr_tiers,A58,jr_etat,"Refusé",jr_year,p_year))</f>
        <v/>
      </c>
      <c r="K58" s="60" t="str">
        <f>IF(A58="",IF(B58="","","Code manquant"),IF(COUNTIF($A$6:$A$205,A58)&gt;1,"Code en double",IF(B58="","Raison sociale manquante","OK")))</f>
        <v/>
      </c>
      <c r="L58" s="130" t="str">
        <f>IF(OR(A58="",N(H58)=0),"",H58+I58/1000000000000)</f>
        <v/>
      </c>
      <c r="M58" s="131" t="str">
        <f>IF(L58="","",RANK(L58,$L$6:$L$205)+COUNTIF($L$6:L57,L58))</f>
        <v/>
      </c>
    </row>
    <row r="59">
      <c r="A59" s="129" t="n"/>
      <c r="B59" s="59" t="n"/>
      <c r="C59" s="59" t="n"/>
      <c r="D59" s="59" t="n"/>
      <c r="E59" s="58" t="n"/>
      <c r="F59" s="58" t="n"/>
      <c r="G59" s="59" t="n"/>
      <c r="H59" s="66" t="str">
        <f>IF(A59="","",COUNTIFS(jr_new,1,jr_type,"BR",jr_tiers,A59,jr_year,p_year))</f>
        <v/>
      </c>
      <c r="I59" s="64" t="str">
        <f>IF(A59="","",SUMIFS(jr_val,jr_type,"BR",jr_tiers,A59,jr_year,p_year))</f>
        <v/>
      </c>
      <c r="J59" s="66" t="str">
        <f>IF(A59="","",COUNTIFS(jr_type,"BR",jr_tiers,A59,jr_etat,"Avec réserves",jr_year,p_year)+COUNTIFS(jr_type,"BR",jr_tiers,A59,jr_etat,"Refusé",jr_year,p_year))</f>
        <v/>
      </c>
      <c r="K59" s="60" t="str">
        <f>IF(A59="",IF(B59="","","Code manquant"),IF(COUNTIF($A$6:$A$205,A59)&gt;1,"Code en double",IF(B59="","Raison sociale manquante","OK")))</f>
        <v/>
      </c>
      <c r="L59" s="130" t="str">
        <f>IF(OR(A59="",N(H59)=0),"",H59+I59/1000000000000)</f>
        <v/>
      </c>
      <c r="M59" s="131" t="str">
        <f>IF(L59="","",RANK(L59,$L$6:$L$205)+COUNTIF($L$6:L58,L59))</f>
        <v/>
      </c>
    </row>
    <row r="60">
      <c r="A60" s="129" t="n"/>
      <c r="B60" s="59" t="n"/>
      <c r="C60" s="59" t="n"/>
      <c r="D60" s="59" t="n"/>
      <c r="E60" s="58" t="n"/>
      <c r="F60" s="58" t="n"/>
      <c r="G60" s="59" t="n"/>
      <c r="H60" s="66" t="str">
        <f>IF(A60="","",COUNTIFS(jr_new,1,jr_type,"BR",jr_tiers,A60,jr_year,p_year))</f>
        <v/>
      </c>
      <c r="I60" s="64" t="str">
        <f>IF(A60="","",SUMIFS(jr_val,jr_type,"BR",jr_tiers,A60,jr_year,p_year))</f>
        <v/>
      </c>
      <c r="J60" s="66" t="str">
        <f>IF(A60="","",COUNTIFS(jr_type,"BR",jr_tiers,A60,jr_etat,"Avec réserves",jr_year,p_year)+COUNTIFS(jr_type,"BR",jr_tiers,A60,jr_etat,"Refusé",jr_year,p_year))</f>
        <v/>
      </c>
      <c r="K60" s="60" t="str">
        <f>IF(A60="",IF(B60="","","Code manquant"),IF(COUNTIF($A$6:$A$205,A60)&gt;1,"Code en double",IF(B60="","Raison sociale manquante","OK")))</f>
        <v/>
      </c>
      <c r="L60" s="130" t="str">
        <f>IF(OR(A60="",N(H60)=0),"",H60+I60/1000000000000)</f>
        <v/>
      </c>
      <c r="M60" s="131" t="str">
        <f>IF(L60="","",RANK(L60,$L$6:$L$205)+COUNTIF($L$6:L59,L60))</f>
        <v/>
      </c>
    </row>
    <row r="61">
      <c r="A61" s="129" t="n"/>
      <c r="B61" s="59" t="n"/>
      <c r="C61" s="59" t="n"/>
      <c r="D61" s="59" t="n"/>
      <c r="E61" s="58" t="n"/>
      <c r="F61" s="58" t="n"/>
      <c r="G61" s="59" t="n"/>
      <c r="H61" s="66" t="str">
        <f>IF(A61="","",COUNTIFS(jr_new,1,jr_type,"BR",jr_tiers,A61,jr_year,p_year))</f>
        <v/>
      </c>
      <c r="I61" s="64" t="str">
        <f>IF(A61="","",SUMIFS(jr_val,jr_type,"BR",jr_tiers,A61,jr_year,p_year))</f>
        <v/>
      </c>
      <c r="J61" s="66" t="str">
        <f>IF(A61="","",COUNTIFS(jr_type,"BR",jr_tiers,A61,jr_etat,"Avec réserves",jr_year,p_year)+COUNTIFS(jr_type,"BR",jr_tiers,A61,jr_etat,"Refusé",jr_year,p_year))</f>
        <v/>
      </c>
      <c r="K61" s="60" t="str">
        <f>IF(A61="",IF(B61="","","Code manquant"),IF(COUNTIF($A$6:$A$205,A61)&gt;1,"Code en double",IF(B61="","Raison sociale manquante","OK")))</f>
        <v/>
      </c>
      <c r="L61" s="130" t="str">
        <f>IF(OR(A61="",N(H61)=0),"",H61+I61/1000000000000)</f>
        <v/>
      </c>
      <c r="M61" s="131" t="str">
        <f>IF(L61="","",RANK(L61,$L$6:$L$205)+COUNTIF($L$6:L60,L61))</f>
        <v/>
      </c>
    </row>
    <row r="62">
      <c r="A62" s="129" t="n"/>
      <c r="B62" s="59" t="n"/>
      <c r="C62" s="59" t="n"/>
      <c r="D62" s="59" t="n"/>
      <c r="E62" s="58" t="n"/>
      <c r="F62" s="58" t="n"/>
      <c r="G62" s="59" t="n"/>
      <c r="H62" s="66" t="str">
        <f>IF(A62="","",COUNTIFS(jr_new,1,jr_type,"BR",jr_tiers,A62,jr_year,p_year))</f>
        <v/>
      </c>
      <c r="I62" s="64" t="str">
        <f>IF(A62="","",SUMIFS(jr_val,jr_type,"BR",jr_tiers,A62,jr_year,p_year))</f>
        <v/>
      </c>
      <c r="J62" s="66" t="str">
        <f>IF(A62="","",COUNTIFS(jr_type,"BR",jr_tiers,A62,jr_etat,"Avec réserves",jr_year,p_year)+COUNTIFS(jr_type,"BR",jr_tiers,A62,jr_etat,"Refusé",jr_year,p_year))</f>
        <v/>
      </c>
      <c r="K62" s="60" t="str">
        <f>IF(A62="",IF(B62="","","Code manquant"),IF(COUNTIF($A$6:$A$205,A62)&gt;1,"Code en double",IF(B62="","Raison sociale manquante","OK")))</f>
        <v/>
      </c>
      <c r="L62" s="130" t="str">
        <f>IF(OR(A62="",N(H62)=0),"",H62+I62/1000000000000)</f>
        <v/>
      </c>
      <c r="M62" s="131" t="str">
        <f>IF(L62="","",RANK(L62,$L$6:$L$205)+COUNTIF($L$6:L61,L62))</f>
        <v/>
      </c>
    </row>
    <row r="63">
      <c r="A63" s="129" t="n"/>
      <c r="B63" s="59" t="n"/>
      <c r="C63" s="59" t="n"/>
      <c r="D63" s="59" t="n"/>
      <c r="E63" s="58" t="n"/>
      <c r="F63" s="58" t="n"/>
      <c r="G63" s="59" t="n"/>
      <c r="H63" s="66" t="str">
        <f>IF(A63="","",COUNTIFS(jr_new,1,jr_type,"BR",jr_tiers,A63,jr_year,p_year))</f>
        <v/>
      </c>
      <c r="I63" s="64" t="str">
        <f>IF(A63="","",SUMIFS(jr_val,jr_type,"BR",jr_tiers,A63,jr_year,p_year))</f>
        <v/>
      </c>
      <c r="J63" s="66" t="str">
        <f>IF(A63="","",COUNTIFS(jr_type,"BR",jr_tiers,A63,jr_etat,"Avec réserves",jr_year,p_year)+COUNTIFS(jr_type,"BR",jr_tiers,A63,jr_etat,"Refusé",jr_year,p_year))</f>
        <v/>
      </c>
      <c r="K63" s="60" t="str">
        <f>IF(A63="",IF(B63="","","Code manquant"),IF(COUNTIF($A$6:$A$205,A63)&gt;1,"Code en double",IF(B63="","Raison sociale manquante","OK")))</f>
        <v/>
      </c>
      <c r="L63" s="130" t="str">
        <f>IF(OR(A63="",N(H63)=0),"",H63+I63/1000000000000)</f>
        <v/>
      </c>
      <c r="M63" s="131" t="str">
        <f>IF(L63="","",RANK(L63,$L$6:$L$205)+COUNTIF($L$6:L62,L63))</f>
        <v/>
      </c>
    </row>
    <row r="64">
      <c r="A64" s="129" t="n"/>
      <c r="B64" s="59" t="n"/>
      <c r="C64" s="59" t="n"/>
      <c r="D64" s="59" t="n"/>
      <c r="E64" s="58" t="n"/>
      <c r="F64" s="58" t="n"/>
      <c r="G64" s="59" t="n"/>
      <c r="H64" s="66" t="str">
        <f>IF(A64="","",COUNTIFS(jr_new,1,jr_type,"BR",jr_tiers,A64,jr_year,p_year))</f>
        <v/>
      </c>
      <c r="I64" s="64" t="str">
        <f>IF(A64="","",SUMIFS(jr_val,jr_type,"BR",jr_tiers,A64,jr_year,p_year))</f>
        <v/>
      </c>
      <c r="J64" s="66" t="str">
        <f>IF(A64="","",COUNTIFS(jr_type,"BR",jr_tiers,A64,jr_etat,"Avec réserves",jr_year,p_year)+COUNTIFS(jr_type,"BR",jr_tiers,A64,jr_etat,"Refusé",jr_year,p_year))</f>
        <v/>
      </c>
      <c r="K64" s="60" t="str">
        <f>IF(A64="",IF(B64="","","Code manquant"),IF(COUNTIF($A$6:$A$205,A64)&gt;1,"Code en double",IF(B64="","Raison sociale manquante","OK")))</f>
        <v/>
      </c>
      <c r="L64" s="130" t="str">
        <f>IF(OR(A64="",N(H64)=0),"",H64+I64/1000000000000)</f>
        <v/>
      </c>
      <c r="M64" s="131" t="str">
        <f>IF(L64="","",RANK(L64,$L$6:$L$205)+COUNTIF($L$6:L63,L64))</f>
        <v/>
      </c>
    </row>
    <row r="65">
      <c r="A65" s="129" t="n"/>
      <c r="B65" s="59" t="n"/>
      <c r="C65" s="59" t="n"/>
      <c r="D65" s="59" t="n"/>
      <c r="E65" s="58" t="n"/>
      <c r="F65" s="58" t="n"/>
      <c r="G65" s="59" t="n"/>
      <c r="H65" s="66" t="str">
        <f>IF(A65="","",COUNTIFS(jr_new,1,jr_type,"BR",jr_tiers,A65,jr_year,p_year))</f>
        <v/>
      </c>
      <c r="I65" s="64" t="str">
        <f>IF(A65="","",SUMIFS(jr_val,jr_type,"BR",jr_tiers,A65,jr_year,p_year))</f>
        <v/>
      </c>
      <c r="J65" s="66" t="str">
        <f>IF(A65="","",COUNTIFS(jr_type,"BR",jr_tiers,A65,jr_etat,"Avec réserves",jr_year,p_year)+COUNTIFS(jr_type,"BR",jr_tiers,A65,jr_etat,"Refusé",jr_year,p_year))</f>
        <v/>
      </c>
      <c r="K65" s="60" t="str">
        <f>IF(A65="",IF(B65="","","Code manquant"),IF(COUNTIF($A$6:$A$205,A65)&gt;1,"Code en double",IF(B65="","Raison sociale manquante","OK")))</f>
        <v/>
      </c>
      <c r="L65" s="130" t="str">
        <f>IF(OR(A65="",N(H65)=0),"",H65+I65/1000000000000)</f>
        <v/>
      </c>
      <c r="M65" s="131" t="str">
        <f>IF(L65="","",RANK(L65,$L$6:$L$205)+COUNTIF($L$6:L64,L65))</f>
        <v/>
      </c>
    </row>
    <row r="66">
      <c r="A66" s="129" t="n"/>
      <c r="B66" s="59" t="n"/>
      <c r="C66" s="59" t="n"/>
      <c r="D66" s="59" t="n"/>
      <c r="E66" s="58" t="n"/>
      <c r="F66" s="58" t="n"/>
      <c r="G66" s="59" t="n"/>
      <c r="H66" s="66" t="str">
        <f>IF(A66="","",COUNTIFS(jr_new,1,jr_type,"BR",jr_tiers,A66,jr_year,p_year))</f>
        <v/>
      </c>
      <c r="I66" s="64" t="str">
        <f>IF(A66="","",SUMIFS(jr_val,jr_type,"BR",jr_tiers,A66,jr_year,p_year))</f>
        <v/>
      </c>
      <c r="J66" s="66" t="str">
        <f>IF(A66="","",COUNTIFS(jr_type,"BR",jr_tiers,A66,jr_etat,"Avec réserves",jr_year,p_year)+COUNTIFS(jr_type,"BR",jr_tiers,A66,jr_etat,"Refusé",jr_year,p_year))</f>
        <v/>
      </c>
      <c r="K66" s="60" t="str">
        <f>IF(A66="",IF(B66="","","Code manquant"),IF(COUNTIF($A$6:$A$205,A66)&gt;1,"Code en double",IF(B66="","Raison sociale manquante","OK")))</f>
        <v/>
      </c>
      <c r="L66" s="130" t="str">
        <f>IF(OR(A66="",N(H66)=0),"",H66+I66/1000000000000)</f>
        <v/>
      </c>
      <c r="M66" s="131" t="str">
        <f>IF(L66="","",RANK(L66,$L$6:$L$205)+COUNTIF($L$6:L65,L66))</f>
        <v/>
      </c>
    </row>
    <row r="67">
      <c r="A67" s="129" t="n"/>
      <c r="B67" s="59" t="n"/>
      <c r="C67" s="59" t="n"/>
      <c r="D67" s="59" t="n"/>
      <c r="E67" s="58" t="n"/>
      <c r="F67" s="58" t="n"/>
      <c r="G67" s="59" t="n"/>
      <c r="H67" s="66" t="str">
        <f>IF(A67="","",COUNTIFS(jr_new,1,jr_type,"BR",jr_tiers,A67,jr_year,p_year))</f>
        <v/>
      </c>
      <c r="I67" s="64" t="str">
        <f>IF(A67="","",SUMIFS(jr_val,jr_type,"BR",jr_tiers,A67,jr_year,p_year))</f>
        <v/>
      </c>
      <c r="J67" s="66" t="str">
        <f>IF(A67="","",COUNTIFS(jr_type,"BR",jr_tiers,A67,jr_etat,"Avec réserves",jr_year,p_year)+COUNTIFS(jr_type,"BR",jr_tiers,A67,jr_etat,"Refusé",jr_year,p_year))</f>
        <v/>
      </c>
      <c r="K67" s="60" t="str">
        <f>IF(A67="",IF(B67="","","Code manquant"),IF(COUNTIF($A$6:$A$205,A67)&gt;1,"Code en double",IF(B67="","Raison sociale manquante","OK")))</f>
        <v/>
      </c>
      <c r="L67" s="130" t="str">
        <f>IF(OR(A67="",N(H67)=0),"",H67+I67/1000000000000)</f>
        <v/>
      </c>
      <c r="M67" s="131" t="str">
        <f>IF(L67="","",RANK(L67,$L$6:$L$205)+COUNTIF($L$6:L66,L67))</f>
        <v/>
      </c>
    </row>
    <row r="68">
      <c r="A68" s="129" t="n"/>
      <c r="B68" s="59" t="n"/>
      <c r="C68" s="59" t="n"/>
      <c r="D68" s="59" t="n"/>
      <c r="E68" s="58" t="n"/>
      <c r="F68" s="58" t="n"/>
      <c r="G68" s="59" t="n"/>
      <c r="H68" s="66" t="str">
        <f>IF(A68="","",COUNTIFS(jr_new,1,jr_type,"BR",jr_tiers,A68,jr_year,p_year))</f>
        <v/>
      </c>
      <c r="I68" s="64" t="str">
        <f>IF(A68="","",SUMIFS(jr_val,jr_type,"BR",jr_tiers,A68,jr_year,p_year))</f>
        <v/>
      </c>
      <c r="J68" s="66" t="str">
        <f>IF(A68="","",COUNTIFS(jr_type,"BR",jr_tiers,A68,jr_etat,"Avec réserves",jr_year,p_year)+COUNTIFS(jr_type,"BR",jr_tiers,A68,jr_etat,"Refusé",jr_year,p_year))</f>
        <v/>
      </c>
      <c r="K68" s="60" t="str">
        <f>IF(A68="",IF(B68="","","Code manquant"),IF(COUNTIF($A$6:$A$205,A68)&gt;1,"Code en double",IF(B68="","Raison sociale manquante","OK")))</f>
        <v/>
      </c>
      <c r="L68" s="130" t="str">
        <f>IF(OR(A68="",N(H68)=0),"",H68+I68/1000000000000)</f>
        <v/>
      </c>
      <c r="M68" s="131" t="str">
        <f>IF(L68="","",RANK(L68,$L$6:$L$205)+COUNTIF($L$6:L67,L68))</f>
        <v/>
      </c>
    </row>
    <row r="69">
      <c r="A69" s="129" t="n"/>
      <c r="B69" s="59" t="n"/>
      <c r="C69" s="59" t="n"/>
      <c r="D69" s="59" t="n"/>
      <c r="E69" s="58" t="n"/>
      <c r="F69" s="58" t="n"/>
      <c r="G69" s="59" t="n"/>
      <c r="H69" s="66" t="str">
        <f>IF(A69="","",COUNTIFS(jr_new,1,jr_type,"BR",jr_tiers,A69,jr_year,p_year))</f>
        <v/>
      </c>
      <c r="I69" s="64" t="str">
        <f>IF(A69="","",SUMIFS(jr_val,jr_type,"BR",jr_tiers,A69,jr_year,p_year))</f>
        <v/>
      </c>
      <c r="J69" s="66" t="str">
        <f>IF(A69="","",COUNTIFS(jr_type,"BR",jr_tiers,A69,jr_etat,"Avec réserves",jr_year,p_year)+COUNTIFS(jr_type,"BR",jr_tiers,A69,jr_etat,"Refusé",jr_year,p_year))</f>
        <v/>
      </c>
      <c r="K69" s="60" t="str">
        <f>IF(A69="",IF(B69="","","Code manquant"),IF(COUNTIF($A$6:$A$205,A69)&gt;1,"Code en double",IF(B69="","Raison sociale manquante","OK")))</f>
        <v/>
      </c>
      <c r="L69" s="130" t="str">
        <f>IF(OR(A69="",N(H69)=0),"",H69+I69/1000000000000)</f>
        <v/>
      </c>
      <c r="M69" s="131" t="str">
        <f>IF(L69="","",RANK(L69,$L$6:$L$205)+COUNTIF($L$6:L68,L69))</f>
        <v/>
      </c>
    </row>
    <row r="70">
      <c r="A70" s="129" t="n"/>
      <c r="B70" s="59" t="n"/>
      <c r="C70" s="59" t="n"/>
      <c r="D70" s="59" t="n"/>
      <c r="E70" s="58" t="n"/>
      <c r="F70" s="58" t="n"/>
      <c r="G70" s="59" t="n"/>
      <c r="H70" s="66" t="str">
        <f>IF(A70="","",COUNTIFS(jr_new,1,jr_type,"BR",jr_tiers,A70,jr_year,p_year))</f>
        <v/>
      </c>
      <c r="I70" s="64" t="str">
        <f>IF(A70="","",SUMIFS(jr_val,jr_type,"BR",jr_tiers,A70,jr_year,p_year))</f>
        <v/>
      </c>
      <c r="J70" s="66" t="str">
        <f>IF(A70="","",COUNTIFS(jr_type,"BR",jr_tiers,A70,jr_etat,"Avec réserves",jr_year,p_year)+COUNTIFS(jr_type,"BR",jr_tiers,A70,jr_etat,"Refusé",jr_year,p_year))</f>
        <v/>
      </c>
      <c r="K70" s="60" t="str">
        <f>IF(A70="",IF(B70="","","Code manquant"),IF(COUNTIF($A$6:$A$205,A70)&gt;1,"Code en double",IF(B70="","Raison sociale manquante","OK")))</f>
        <v/>
      </c>
      <c r="L70" s="130" t="str">
        <f>IF(OR(A70="",N(H70)=0),"",H70+I70/1000000000000)</f>
        <v/>
      </c>
      <c r="M70" s="131" t="str">
        <f>IF(L70="","",RANK(L70,$L$6:$L$205)+COUNTIF($L$6:L69,L70))</f>
        <v/>
      </c>
    </row>
    <row r="71">
      <c r="A71" s="129" t="n"/>
      <c r="B71" s="59" t="n"/>
      <c r="C71" s="59" t="n"/>
      <c r="D71" s="59" t="n"/>
      <c r="E71" s="58" t="n"/>
      <c r="F71" s="58" t="n"/>
      <c r="G71" s="59" t="n"/>
      <c r="H71" s="66" t="str">
        <f>IF(A71="","",COUNTIFS(jr_new,1,jr_type,"BR",jr_tiers,A71,jr_year,p_year))</f>
        <v/>
      </c>
      <c r="I71" s="64" t="str">
        <f>IF(A71="","",SUMIFS(jr_val,jr_type,"BR",jr_tiers,A71,jr_year,p_year))</f>
        <v/>
      </c>
      <c r="J71" s="66" t="str">
        <f>IF(A71="","",COUNTIFS(jr_type,"BR",jr_tiers,A71,jr_etat,"Avec réserves",jr_year,p_year)+COUNTIFS(jr_type,"BR",jr_tiers,A71,jr_etat,"Refusé",jr_year,p_year))</f>
        <v/>
      </c>
      <c r="K71" s="60" t="str">
        <f>IF(A71="",IF(B71="","","Code manquant"),IF(COUNTIF($A$6:$A$205,A71)&gt;1,"Code en double",IF(B71="","Raison sociale manquante","OK")))</f>
        <v/>
      </c>
      <c r="L71" s="130" t="str">
        <f>IF(OR(A71="",N(H71)=0),"",H71+I71/1000000000000)</f>
        <v/>
      </c>
      <c r="M71" s="131" t="str">
        <f>IF(L71="","",RANK(L71,$L$6:$L$205)+COUNTIF($L$6:L70,L71))</f>
        <v/>
      </c>
    </row>
    <row r="72">
      <c r="A72" s="129" t="n"/>
      <c r="B72" s="59" t="n"/>
      <c r="C72" s="59" t="n"/>
      <c r="D72" s="59" t="n"/>
      <c r="E72" s="58" t="n"/>
      <c r="F72" s="58" t="n"/>
      <c r="G72" s="59" t="n"/>
      <c r="H72" s="66" t="str">
        <f>IF(A72="","",COUNTIFS(jr_new,1,jr_type,"BR",jr_tiers,A72,jr_year,p_year))</f>
        <v/>
      </c>
      <c r="I72" s="64" t="str">
        <f>IF(A72="","",SUMIFS(jr_val,jr_type,"BR",jr_tiers,A72,jr_year,p_year))</f>
        <v/>
      </c>
      <c r="J72" s="66" t="str">
        <f>IF(A72="","",COUNTIFS(jr_type,"BR",jr_tiers,A72,jr_etat,"Avec réserves",jr_year,p_year)+COUNTIFS(jr_type,"BR",jr_tiers,A72,jr_etat,"Refusé",jr_year,p_year))</f>
        <v/>
      </c>
      <c r="K72" s="60" t="str">
        <f>IF(A72="",IF(B72="","","Code manquant"),IF(COUNTIF($A$6:$A$205,A72)&gt;1,"Code en double",IF(B72="","Raison sociale manquante","OK")))</f>
        <v/>
      </c>
      <c r="L72" s="130" t="str">
        <f>IF(OR(A72="",N(H72)=0),"",H72+I72/1000000000000)</f>
        <v/>
      </c>
      <c r="M72" s="131" t="str">
        <f>IF(L72="","",RANK(L72,$L$6:$L$205)+COUNTIF($L$6:L71,L72))</f>
        <v/>
      </c>
    </row>
    <row r="73">
      <c r="A73" s="129" t="n"/>
      <c r="B73" s="59" t="n"/>
      <c r="C73" s="59" t="n"/>
      <c r="D73" s="59" t="n"/>
      <c r="E73" s="58" t="n"/>
      <c r="F73" s="58" t="n"/>
      <c r="G73" s="59" t="n"/>
      <c r="H73" s="66" t="str">
        <f>IF(A73="","",COUNTIFS(jr_new,1,jr_type,"BR",jr_tiers,A73,jr_year,p_year))</f>
        <v/>
      </c>
      <c r="I73" s="64" t="str">
        <f>IF(A73="","",SUMIFS(jr_val,jr_type,"BR",jr_tiers,A73,jr_year,p_year))</f>
        <v/>
      </c>
      <c r="J73" s="66" t="str">
        <f>IF(A73="","",COUNTIFS(jr_type,"BR",jr_tiers,A73,jr_etat,"Avec réserves",jr_year,p_year)+COUNTIFS(jr_type,"BR",jr_tiers,A73,jr_etat,"Refusé",jr_year,p_year))</f>
        <v/>
      </c>
      <c r="K73" s="60" t="str">
        <f>IF(A73="",IF(B73="","","Code manquant"),IF(COUNTIF($A$6:$A$205,A73)&gt;1,"Code en double",IF(B73="","Raison sociale manquante","OK")))</f>
        <v/>
      </c>
      <c r="L73" s="130" t="str">
        <f>IF(OR(A73="",N(H73)=0),"",H73+I73/1000000000000)</f>
        <v/>
      </c>
      <c r="M73" s="131" t="str">
        <f>IF(L73="","",RANK(L73,$L$6:$L$205)+COUNTIF($L$6:L72,L73))</f>
        <v/>
      </c>
    </row>
    <row r="74">
      <c r="A74" s="129" t="n"/>
      <c r="B74" s="59" t="n"/>
      <c r="C74" s="59" t="n"/>
      <c r="D74" s="59" t="n"/>
      <c r="E74" s="58" t="n"/>
      <c r="F74" s="58" t="n"/>
      <c r="G74" s="59" t="n"/>
      <c r="H74" s="66" t="str">
        <f>IF(A74="","",COUNTIFS(jr_new,1,jr_type,"BR",jr_tiers,A74,jr_year,p_year))</f>
        <v/>
      </c>
      <c r="I74" s="64" t="str">
        <f>IF(A74="","",SUMIFS(jr_val,jr_type,"BR",jr_tiers,A74,jr_year,p_year))</f>
        <v/>
      </c>
      <c r="J74" s="66" t="str">
        <f>IF(A74="","",COUNTIFS(jr_type,"BR",jr_tiers,A74,jr_etat,"Avec réserves",jr_year,p_year)+COUNTIFS(jr_type,"BR",jr_tiers,A74,jr_etat,"Refusé",jr_year,p_year))</f>
        <v/>
      </c>
      <c r="K74" s="60" t="str">
        <f>IF(A74="",IF(B74="","","Code manquant"),IF(COUNTIF($A$6:$A$205,A74)&gt;1,"Code en double",IF(B74="","Raison sociale manquante","OK")))</f>
        <v/>
      </c>
      <c r="L74" s="130" t="str">
        <f>IF(OR(A74="",N(H74)=0),"",H74+I74/1000000000000)</f>
        <v/>
      </c>
      <c r="M74" s="131" t="str">
        <f>IF(L74="","",RANK(L74,$L$6:$L$205)+COUNTIF($L$6:L73,L74))</f>
        <v/>
      </c>
    </row>
    <row r="75">
      <c r="A75" s="129" t="n"/>
      <c r="B75" s="59" t="n"/>
      <c r="C75" s="59" t="n"/>
      <c r="D75" s="59" t="n"/>
      <c r="E75" s="58" t="n"/>
      <c r="F75" s="58" t="n"/>
      <c r="G75" s="59" t="n"/>
      <c r="H75" s="66" t="str">
        <f>IF(A75="","",COUNTIFS(jr_new,1,jr_type,"BR",jr_tiers,A75,jr_year,p_year))</f>
        <v/>
      </c>
      <c r="I75" s="64" t="str">
        <f>IF(A75="","",SUMIFS(jr_val,jr_type,"BR",jr_tiers,A75,jr_year,p_year))</f>
        <v/>
      </c>
      <c r="J75" s="66" t="str">
        <f>IF(A75="","",COUNTIFS(jr_type,"BR",jr_tiers,A75,jr_etat,"Avec réserves",jr_year,p_year)+COUNTIFS(jr_type,"BR",jr_tiers,A75,jr_etat,"Refusé",jr_year,p_year))</f>
        <v/>
      </c>
      <c r="K75" s="60" t="str">
        <f>IF(A75="",IF(B75="","","Code manquant"),IF(COUNTIF($A$6:$A$205,A75)&gt;1,"Code en double",IF(B75="","Raison sociale manquante","OK")))</f>
        <v/>
      </c>
      <c r="L75" s="130" t="str">
        <f>IF(OR(A75="",N(H75)=0),"",H75+I75/1000000000000)</f>
        <v/>
      </c>
      <c r="M75" s="131" t="str">
        <f>IF(L75="","",RANK(L75,$L$6:$L$205)+COUNTIF($L$6:L74,L75))</f>
        <v/>
      </c>
    </row>
    <row r="76">
      <c r="A76" s="129" t="n"/>
      <c r="B76" s="59" t="n"/>
      <c r="C76" s="59" t="n"/>
      <c r="D76" s="59" t="n"/>
      <c r="E76" s="58" t="n"/>
      <c r="F76" s="58" t="n"/>
      <c r="G76" s="59" t="n"/>
      <c r="H76" s="66" t="str">
        <f>IF(A76="","",COUNTIFS(jr_new,1,jr_type,"BR",jr_tiers,A76,jr_year,p_year))</f>
        <v/>
      </c>
      <c r="I76" s="64" t="str">
        <f>IF(A76="","",SUMIFS(jr_val,jr_type,"BR",jr_tiers,A76,jr_year,p_year))</f>
        <v/>
      </c>
      <c r="J76" s="66" t="str">
        <f>IF(A76="","",COUNTIFS(jr_type,"BR",jr_tiers,A76,jr_etat,"Avec réserves",jr_year,p_year)+COUNTIFS(jr_type,"BR",jr_tiers,A76,jr_etat,"Refusé",jr_year,p_year))</f>
        <v/>
      </c>
      <c r="K76" s="60" t="str">
        <f>IF(A76="",IF(B76="","","Code manquant"),IF(COUNTIF($A$6:$A$205,A76)&gt;1,"Code en double",IF(B76="","Raison sociale manquante","OK")))</f>
        <v/>
      </c>
      <c r="L76" s="130" t="str">
        <f>IF(OR(A76="",N(H76)=0),"",H76+I76/1000000000000)</f>
        <v/>
      </c>
      <c r="M76" s="131" t="str">
        <f>IF(L76="","",RANK(L76,$L$6:$L$205)+COUNTIF($L$6:L75,L76))</f>
        <v/>
      </c>
    </row>
    <row r="77">
      <c r="A77" s="129" t="n"/>
      <c r="B77" s="59" t="n"/>
      <c r="C77" s="59" t="n"/>
      <c r="D77" s="59" t="n"/>
      <c r="E77" s="58" t="n"/>
      <c r="F77" s="58" t="n"/>
      <c r="G77" s="59" t="n"/>
      <c r="H77" s="66" t="str">
        <f>IF(A77="","",COUNTIFS(jr_new,1,jr_type,"BR",jr_tiers,A77,jr_year,p_year))</f>
        <v/>
      </c>
      <c r="I77" s="64" t="str">
        <f>IF(A77="","",SUMIFS(jr_val,jr_type,"BR",jr_tiers,A77,jr_year,p_year))</f>
        <v/>
      </c>
      <c r="J77" s="66" t="str">
        <f>IF(A77="","",COUNTIFS(jr_type,"BR",jr_tiers,A77,jr_etat,"Avec réserves",jr_year,p_year)+COUNTIFS(jr_type,"BR",jr_tiers,A77,jr_etat,"Refusé",jr_year,p_year))</f>
        <v/>
      </c>
      <c r="K77" s="60" t="str">
        <f>IF(A77="",IF(B77="","","Code manquant"),IF(COUNTIF($A$6:$A$205,A77)&gt;1,"Code en double",IF(B77="","Raison sociale manquante","OK")))</f>
        <v/>
      </c>
      <c r="L77" s="130" t="str">
        <f>IF(OR(A77="",N(H77)=0),"",H77+I77/1000000000000)</f>
        <v/>
      </c>
      <c r="M77" s="131" t="str">
        <f>IF(L77="","",RANK(L77,$L$6:$L$205)+COUNTIF($L$6:L76,L77))</f>
        <v/>
      </c>
    </row>
    <row r="78">
      <c r="A78" s="129" t="n"/>
      <c r="B78" s="59" t="n"/>
      <c r="C78" s="59" t="n"/>
      <c r="D78" s="59" t="n"/>
      <c r="E78" s="58" t="n"/>
      <c r="F78" s="58" t="n"/>
      <c r="G78" s="59" t="n"/>
      <c r="H78" s="66" t="str">
        <f>IF(A78="","",COUNTIFS(jr_new,1,jr_type,"BR",jr_tiers,A78,jr_year,p_year))</f>
        <v/>
      </c>
      <c r="I78" s="64" t="str">
        <f>IF(A78="","",SUMIFS(jr_val,jr_type,"BR",jr_tiers,A78,jr_year,p_year))</f>
        <v/>
      </c>
      <c r="J78" s="66" t="str">
        <f>IF(A78="","",COUNTIFS(jr_type,"BR",jr_tiers,A78,jr_etat,"Avec réserves",jr_year,p_year)+COUNTIFS(jr_type,"BR",jr_tiers,A78,jr_etat,"Refusé",jr_year,p_year))</f>
        <v/>
      </c>
      <c r="K78" s="60" t="str">
        <f>IF(A78="",IF(B78="","","Code manquant"),IF(COUNTIF($A$6:$A$205,A78)&gt;1,"Code en double",IF(B78="","Raison sociale manquante","OK")))</f>
        <v/>
      </c>
      <c r="L78" s="130" t="str">
        <f>IF(OR(A78="",N(H78)=0),"",H78+I78/1000000000000)</f>
        <v/>
      </c>
      <c r="M78" s="131" t="str">
        <f>IF(L78="","",RANK(L78,$L$6:$L$205)+COUNTIF($L$6:L77,L78))</f>
        <v/>
      </c>
    </row>
    <row r="79">
      <c r="A79" s="129" t="n"/>
      <c r="B79" s="59" t="n"/>
      <c r="C79" s="59" t="n"/>
      <c r="D79" s="59" t="n"/>
      <c r="E79" s="58" t="n"/>
      <c r="F79" s="58" t="n"/>
      <c r="G79" s="59" t="n"/>
      <c r="H79" s="66" t="str">
        <f>IF(A79="","",COUNTIFS(jr_new,1,jr_type,"BR",jr_tiers,A79,jr_year,p_year))</f>
        <v/>
      </c>
      <c r="I79" s="64" t="str">
        <f>IF(A79="","",SUMIFS(jr_val,jr_type,"BR",jr_tiers,A79,jr_year,p_year))</f>
        <v/>
      </c>
      <c r="J79" s="66" t="str">
        <f>IF(A79="","",COUNTIFS(jr_type,"BR",jr_tiers,A79,jr_etat,"Avec réserves",jr_year,p_year)+COUNTIFS(jr_type,"BR",jr_tiers,A79,jr_etat,"Refusé",jr_year,p_year))</f>
        <v/>
      </c>
      <c r="K79" s="60" t="str">
        <f>IF(A79="",IF(B79="","","Code manquant"),IF(COUNTIF($A$6:$A$205,A79)&gt;1,"Code en double",IF(B79="","Raison sociale manquante","OK")))</f>
        <v/>
      </c>
      <c r="L79" s="130" t="str">
        <f>IF(OR(A79="",N(H79)=0),"",H79+I79/1000000000000)</f>
        <v/>
      </c>
      <c r="M79" s="131" t="str">
        <f>IF(L79="","",RANK(L79,$L$6:$L$205)+COUNTIF($L$6:L78,L79))</f>
        <v/>
      </c>
    </row>
    <row r="80">
      <c r="A80" s="129" t="n"/>
      <c r="B80" s="59" t="n"/>
      <c r="C80" s="59" t="n"/>
      <c r="D80" s="59" t="n"/>
      <c r="E80" s="58" t="n"/>
      <c r="F80" s="58" t="n"/>
      <c r="G80" s="59" t="n"/>
      <c r="H80" s="66" t="str">
        <f>IF(A80="","",COUNTIFS(jr_new,1,jr_type,"BR",jr_tiers,A80,jr_year,p_year))</f>
        <v/>
      </c>
      <c r="I80" s="64" t="str">
        <f>IF(A80="","",SUMIFS(jr_val,jr_type,"BR",jr_tiers,A80,jr_year,p_year))</f>
        <v/>
      </c>
      <c r="J80" s="66" t="str">
        <f>IF(A80="","",COUNTIFS(jr_type,"BR",jr_tiers,A80,jr_etat,"Avec réserves",jr_year,p_year)+COUNTIFS(jr_type,"BR",jr_tiers,A80,jr_etat,"Refusé",jr_year,p_year))</f>
        <v/>
      </c>
      <c r="K80" s="60" t="str">
        <f>IF(A80="",IF(B80="","","Code manquant"),IF(COUNTIF($A$6:$A$205,A80)&gt;1,"Code en double",IF(B80="","Raison sociale manquante","OK")))</f>
        <v/>
      </c>
      <c r="L80" s="130" t="str">
        <f>IF(OR(A80="",N(H80)=0),"",H80+I80/1000000000000)</f>
        <v/>
      </c>
      <c r="M80" s="131" t="str">
        <f>IF(L80="","",RANK(L80,$L$6:$L$205)+COUNTIF($L$6:L79,L80))</f>
        <v/>
      </c>
    </row>
    <row r="81">
      <c r="A81" s="129" t="n"/>
      <c r="B81" s="59" t="n"/>
      <c r="C81" s="59" t="n"/>
      <c r="D81" s="59" t="n"/>
      <c r="E81" s="58" t="n"/>
      <c r="F81" s="58" t="n"/>
      <c r="G81" s="59" t="n"/>
      <c r="H81" s="66" t="str">
        <f>IF(A81="","",COUNTIFS(jr_new,1,jr_type,"BR",jr_tiers,A81,jr_year,p_year))</f>
        <v/>
      </c>
      <c r="I81" s="64" t="str">
        <f>IF(A81="","",SUMIFS(jr_val,jr_type,"BR",jr_tiers,A81,jr_year,p_year))</f>
        <v/>
      </c>
      <c r="J81" s="66" t="str">
        <f>IF(A81="","",COUNTIFS(jr_type,"BR",jr_tiers,A81,jr_etat,"Avec réserves",jr_year,p_year)+COUNTIFS(jr_type,"BR",jr_tiers,A81,jr_etat,"Refusé",jr_year,p_year))</f>
        <v/>
      </c>
      <c r="K81" s="60" t="str">
        <f>IF(A81="",IF(B81="","","Code manquant"),IF(COUNTIF($A$6:$A$205,A81)&gt;1,"Code en double",IF(B81="","Raison sociale manquante","OK")))</f>
        <v/>
      </c>
      <c r="L81" s="130" t="str">
        <f>IF(OR(A81="",N(H81)=0),"",H81+I81/1000000000000)</f>
        <v/>
      </c>
      <c r="M81" s="131" t="str">
        <f>IF(L81="","",RANK(L81,$L$6:$L$205)+COUNTIF($L$6:L80,L81))</f>
        <v/>
      </c>
    </row>
    <row r="82">
      <c r="A82" s="129" t="n"/>
      <c r="B82" s="59" t="n"/>
      <c r="C82" s="59" t="n"/>
      <c r="D82" s="59" t="n"/>
      <c r="E82" s="58" t="n"/>
      <c r="F82" s="58" t="n"/>
      <c r="G82" s="59" t="n"/>
      <c r="H82" s="66" t="str">
        <f>IF(A82="","",COUNTIFS(jr_new,1,jr_type,"BR",jr_tiers,A82,jr_year,p_year))</f>
        <v/>
      </c>
      <c r="I82" s="64" t="str">
        <f>IF(A82="","",SUMIFS(jr_val,jr_type,"BR",jr_tiers,A82,jr_year,p_year))</f>
        <v/>
      </c>
      <c r="J82" s="66" t="str">
        <f>IF(A82="","",COUNTIFS(jr_type,"BR",jr_tiers,A82,jr_etat,"Avec réserves",jr_year,p_year)+COUNTIFS(jr_type,"BR",jr_tiers,A82,jr_etat,"Refusé",jr_year,p_year))</f>
        <v/>
      </c>
      <c r="K82" s="60" t="str">
        <f>IF(A82="",IF(B82="","","Code manquant"),IF(COUNTIF($A$6:$A$205,A82)&gt;1,"Code en double",IF(B82="","Raison sociale manquante","OK")))</f>
        <v/>
      </c>
      <c r="L82" s="130" t="str">
        <f>IF(OR(A82="",N(H82)=0),"",H82+I82/1000000000000)</f>
        <v/>
      </c>
      <c r="M82" s="131" t="str">
        <f>IF(L82="","",RANK(L82,$L$6:$L$205)+COUNTIF($L$6:L81,L82))</f>
        <v/>
      </c>
    </row>
    <row r="83">
      <c r="A83" s="129" t="n"/>
      <c r="B83" s="59" t="n"/>
      <c r="C83" s="59" t="n"/>
      <c r="D83" s="59" t="n"/>
      <c r="E83" s="58" t="n"/>
      <c r="F83" s="58" t="n"/>
      <c r="G83" s="59" t="n"/>
      <c r="H83" s="66" t="str">
        <f>IF(A83="","",COUNTIFS(jr_new,1,jr_type,"BR",jr_tiers,A83,jr_year,p_year))</f>
        <v/>
      </c>
      <c r="I83" s="64" t="str">
        <f>IF(A83="","",SUMIFS(jr_val,jr_type,"BR",jr_tiers,A83,jr_year,p_year))</f>
        <v/>
      </c>
      <c r="J83" s="66" t="str">
        <f>IF(A83="","",COUNTIFS(jr_type,"BR",jr_tiers,A83,jr_etat,"Avec réserves",jr_year,p_year)+COUNTIFS(jr_type,"BR",jr_tiers,A83,jr_etat,"Refusé",jr_year,p_year))</f>
        <v/>
      </c>
      <c r="K83" s="60" t="str">
        <f>IF(A83="",IF(B83="","","Code manquant"),IF(COUNTIF($A$6:$A$205,A83)&gt;1,"Code en double",IF(B83="","Raison sociale manquante","OK")))</f>
        <v/>
      </c>
      <c r="L83" s="130" t="str">
        <f>IF(OR(A83="",N(H83)=0),"",H83+I83/1000000000000)</f>
        <v/>
      </c>
      <c r="M83" s="131" t="str">
        <f>IF(L83="","",RANK(L83,$L$6:$L$205)+COUNTIF($L$6:L82,L83))</f>
        <v/>
      </c>
    </row>
    <row r="84">
      <c r="A84" s="129" t="n"/>
      <c r="B84" s="59" t="n"/>
      <c r="C84" s="59" t="n"/>
      <c r="D84" s="59" t="n"/>
      <c r="E84" s="58" t="n"/>
      <c r="F84" s="58" t="n"/>
      <c r="G84" s="59" t="n"/>
      <c r="H84" s="66" t="str">
        <f>IF(A84="","",COUNTIFS(jr_new,1,jr_type,"BR",jr_tiers,A84,jr_year,p_year))</f>
        <v/>
      </c>
      <c r="I84" s="64" t="str">
        <f>IF(A84="","",SUMIFS(jr_val,jr_type,"BR",jr_tiers,A84,jr_year,p_year))</f>
        <v/>
      </c>
      <c r="J84" s="66" t="str">
        <f>IF(A84="","",COUNTIFS(jr_type,"BR",jr_tiers,A84,jr_etat,"Avec réserves",jr_year,p_year)+COUNTIFS(jr_type,"BR",jr_tiers,A84,jr_etat,"Refusé",jr_year,p_year))</f>
        <v/>
      </c>
      <c r="K84" s="60" t="str">
        <f>IF(A84="",IF(B84="","","Code manquant"),IF(COUNTIF($A$6:$A$205,A84)&gt;1,"Code en double",IF(B84="","Raison sociale manquante","OK")))</f>
        <v/>
      </c>
      <c r="L84" s="130" t="str">
        <f>IF(OR(A84="",N(H84)=0),"",H84+I84/1000000000000)</f>
        <v/>
      </c>
      <c r="M84" s="131" t="str">
        <f>IF(L84="","",RANK(L84,$L$6:$L$205)+COUNTIF($L$6:L83,L84))</f>
        <v/>
      </c>
    </row>
    <row r="85">
      <c r="A85" s="129" t="n"/>
      <c r="B85" s="59" t="n"/>
      <c r="C85" s="59" t="n"/>
      <c r="D85" s="59" t="n"/>
      <c r="E85" s="58" t="n"/>
      <c r="F85" s="58" t="n"/>
      <c r="G85" s="59" t="n"/>
      <c r="H85" s="66" t="str">
        <f>IF(A85="","",COUNTIFS(jr_new,1,jr_type,"BR",jr_tiers,A85,jr_year,p_year))</f>
        <v/>
      </c>
      <c r="I85" s="64" t="str">
        <f>IF(A85="","",SUMIFS(jr_val,jr_type,"BR",jr_tiers,A85,jr_year,p_year))</f>
        <v/>
      </c>
      <c r="J85" s="66" t="str">
        <f>IF(A85="","",COUNTIFS(jr_type,"BR",jr_tiers,A85,jr_etat,"Avec réserves",jr_year,p_year)+COUNTIFS(jr_type,"BR",jr_tiers,A85,jr_etat,"Refusé",jr_year,p_year))</f>
        <v/>
      </c>
      <c r="K85" s="60" t="str">
        <f>IF(A85="",IF(B85="","","Code manquant"),IF(COUNTIF($A$6:$A$205,A85)&gt;1,"Code en double",IF(B85="","Raison sociale manquante","OK")))</f>
        <v/>
      </c>
      <c r="L85" s="130" t="str">
        <f>IF(OR(A85="",N(H85)=0),"",H85+I85/1000000000000)</f>
        <v/>
      </c>
      <c r="M85" s="131" t="str">
        <f>IF(L85="","",RANK(L85,$L$6:$L$205)+COUNTIF($L$6:L84,L85))</f>
        <v/>
      </c>
    </row>
    <row r="86">
      <c r="A86" s="129" t="n"/>
      <c r="B86" s="59" t="n"/>
      <c r="C86" s="59" t="n"/>
      <c r="D86" s="59" t="n"/>
      <c r="E86" s="58" t="n"/>
      <c r="F86" s="58" t="n"/>
      <c r="G86" s="59" t="n"/>
      <c r="H86" s="66" t="str">
        <f>IF(A86="","",COUNTIFS(jr_new,1,jr_type,"BR",jr_tiers,A86,jr_year,p_year))</f>
        <v/>
      </c>
      <c r="I86" s="64" t="str">
        <f>IF(A86="","",SUMIFS(jr_val,jr_type,"BR",jr_tiers,A86,jr_year,p_year))</f>
        <v/>
      </c>
      <c r="J86" s="66" t="str">
        <f>IF(A86="","",COUNTIFS(jr_type,"BR",jr_tiers,A86,jr_etat,"Avec réserves",jr_year,p_year)+COUNTIFS(jr_type,"BR",jr_tiers,A86,jr_etat,"Refusé",jr_year,p_year))</f>
        <v/>
      </c>
      <c r="K86" s="60" t="str">
        <f>IF(A86="",IF(B86="","","Code manquant"),IF(COUNTIF($A$6:$A$205,A86)&gt;1,"Code en double",IF(B86="","Raison sociale manquante","OK")))</f>
        <v/>
      </c>
      <c r="L86" s="130" t="str">
        <f>IF(OR(A86="",N(H86)=0),"",H86+I86/1000000000000)</f>
        <v/>
      </c>
      <c r="M86" s="131" t="str">
        <f>IF(L86="","",RANK(L86,$L$6:$L$205)+COUNTIF($L$6:L85,L86))</f>
        <v/>
      </c>
    </row>
    <row r="87">
      <c r="A87" s="129" t="n"/>
      <c r="B87" s="59" t="n"/>
      <c r="C87" s="59" t="n"/>
      <c r="D87" s="59" t="n"/>
      <c r="E87" s="58" t="n"/>
      <c r="F87" s="58" t="n"/>
      <c r="G87" s="59" t="n"/>
      <c r="H87" s="66" t="str">
        <f>IF(A87="","",COUNTIFS(jr_new,1,jr_type,"BR",jr_tiers,A87,jr_year,p_year))</f>
        <v/>
      </c>
      <c r="I87" s="64" t="str">
        <f>IF(A87="","",SUMIFS(jr_val,jr_type,"BR",jr_tiers,A87,jr_year,p_year))</f>
        <v/>
      </c>
      <c r="J87" s="66" t="str">
        <f>IF(A87="","",COUNTIFS(jr_type,"BR",jr_tiers,A87,jr_etat,"Avec réserves",jr_year,p_year)+COUNTIFS(jr_type,"BR",jr_tiers,A87,jr_etat,"Refusé",jr_year,p_year))</f>
        <v/>
      </c>
      <c r="K87" s="60" t="str">
        <f>IF(A87="",IF(B87="","","Code manquant"),IF(COUNTIF($A$6:$A$205,A87)&gt;1,"Code en double",IF(B87="","Raison sociale manquante","OK")))</f>
        <v/>
      </c>
      <c r="L87" s="130" t="str">
        <f>IF(OR(A87="",N(H87)=0),"",H87+I87/1000000000000)</f>
        <v/>
      </c>
      <c r="M87" s="131" t="str">
        <f>IF(L87="","",RANK(L87,$L$6:$L$205)+COUNTIF($L$6:L86,L87))</f>
        <v/>
      </c>
    </row>
    <row r="88">
      <c r="A88" s="129" t="n"/>
      <c r="B88" s="59" t="n"/>
      <c r="C88" s="59" t="n"/>
      <c r="D88" s="59" t="n"/>
      <c r="E88" s="58" t="n"/>
      <c r="F88" s="58" t="n"/>
      <c r="G88" s="59" t="n"/>
      <c r="H88" s="66" t="str">
        <f>IF(A88="","",COUNTIFS(jr_new,1,jr_type,"BR",jr_tiers,A88,jr_year,p_year))</f>
        <v/>
      </c>
      <c r="I88" s="64" t="str">
        <f>IF(A88="","",SUMIFS(jr_val,jr_type,"BR",jr_tiers,A88,jr_year,p_year))</f>
        <v/>
      </c>
      <c r="J88" s="66" t="str">
        <f>IF(A88="","",COUNTIFS(jr_type,"BR",jr_tiers,A88,jr_etat,"Avec réserves",jr_year,p_year)+COUNTIFS(jr_type,"BR",jr_tiers,A88,jr_etat,"Refusé",jr_year,p_year))</f>
        <v/>
      </c>
      <c r="K88" s="60" t="str">
        <f>IF(A88="",IF(B88="","","Code manquant"),IF(COUNTIF($A$6:$A$205,A88)&gt;1,"Code en double",IF(B88="","Raison sociale manquante","OK")))</f>
        <v/>
      </c>
      <c r="L88" s="130" t="str">
        <f>IF(OR(A88="",N(H88)=0),"",H88+I88/1000000000000)</f>
        <v/>
      </c>
      <c r="M88" s="131" t="str">
        <f>IF(L88="","",RANK(L88,$L$6:$L$205)+COUNTIF($L$6:L87,L88))</f>
        <v/>
      </c>
    </row>
    <row r="89">
      <c r="A89" s="129" t="n"/>
      <c r="B89" s="59" t="n"/>
      <c r="C89" s="59" t="n"/>
      <c r="D89" s="59" t="n"/>
      <c r="E89" s="58" t="n"/>
      <c r="F89" s="58" t="n"/>
      <c r="G89" s="59" t="n"/>
      <c r="H89" s="66" t="str">
        <f>IF(A89="","",COUNTIFS(jr_new,1,jr_type,"BR",jr_tiers,A89,jr_year,p_year))</f>
        <v/>
      </c>
      <c r="I89" s="64" t="str">
        <f>IF(A89="","",SUMIFS(jr_val,jr_type,"BR",jr_tiers,A89,jr_year,p_year))</f>
        <v/>
      </c>
      <c r="J89" s="66" t="str">
        <f>IF(A89="","",COUNTIFS(jr_type,"BR",jr_tiers,A89,jr_etat,"Avec réserves",jr_year,p_year)+COUNTIFS(jr_type,"BR",jr_tiers,A89,jr_etat,"Refusé",jr_year,p_year))</f>
        <v/>
      </c>
      <c r="K89" s="60" t="str">
        <f>IF(A89="",IF(B89="","","Code manquant"),IF(COUNTIF($A$6:$A$205,A89)&gt;1,"Code en double",IF(B89="","Raison sociale manquante","OK")))</f>
        <v/>
      </c>
      <c r="L89" s="130" t="str">
        <f>IF(OR(A89="",N(H89)=0),"",H89+I89/1000000000000)</f>
        <v/>
      </c>
      <c r="M89" s="131" t="str">
        <f>IF(L89="","",RANK(L89,$L$6:$L$205)+COUNTIF($L$6:L88,L89))</f>
        <v/>
      </c>
    </row>
    <row r="90">
      <c r="A90" s="129" t="n"/>
      <c r="B90" s="59" t="n"/>
      <c r="C90" s="59" t="n"/>
      <c r="D90" s="59" t="n"/>
      <c r="E90" s="58" t="n"/>
      <c r="F90" s="58" t="n"/>
      <c r="G90" s="59" t="n"/>
      <c r="H90" s="66" t="str">
        <f>IF(A90="","",COUNTIFS(jr_new,1,jr_type,"BR",jr_tiers,A90,jr_year,p_year))</f>
        <v/>
      </c>
      <c r="I90" s="64" t="str">
        <f>IF(A90="","",SUMIFS(jr_val,jr_type,"BR",jr_tiers,A90,jr_year,p_year))</f>
        <v/>
      </c>
      <c r="J90" s="66" t="str">
        <f>IF(A90="","",COUNTIFS(jr_type,"BR",jr_tiers,A90,jr_etat,"Avec réserves",jr_year,p_year)+COUNTIFS(jr_type,"BR",jr_tiers,A90,jr_etat,"Refusé",jr_year,p_year))</f>
        <v/>
      </c>
      <c r="K90" s="60" t="str">
        <f>IF(A90="",IF(B90="","","Code manquant"),IF(COUNTIF($A$6:$A$205,A90)&gt;1,"Code en double",IF(B90="","Raison sociale manquante","OK")))</f>
        <v/>
      </c>
      <c r="L90" s="130" t="str">
        <f>IF(OR(A90="",N(H90)=0),"",H90+I90/1000000000000)</f>
        <v/>
      </c>
      <c r="M90" s="131" t="str">
        <f>IF(L90="","",RANK(L90,$L$6:$L$205)+COUNTIF($L$6:L89,L90))</f>
        <v/>
      </c>
    </row>
    <row r="91">
      <c r="A91" s="129" t="n"/>
      <c r="B91" s="59" t="n"/>
      <c r="C91" s="59" t="n"/>
      <c r="D91" s="59" t="n"/>
      <c r="E91" s="58" t="n"/>
      <c r="F91" s="58" t="n"/>
      <c r="G91" s="59" t="n"/>
      <c r="H91" s="66" t="str">
        <f>IF(A91="","",COUNTIFS(jr_new,1,jr_type,"BR",jr_tiers,A91,jr_year,p_year))</f>
        <v/>
      </c>
      <c r="I91" s="64" t="str">
        <f>IF(A91="","",SUMIFS(jr_val,jr_type,"BR",jr_tiers,A91,jr_year,p_year))</f>
        <v/>
      </c>
      <c r="J91" s="66" t="str">
        <f>IF(A91="","",COUNTIFS(jr_type,"BR",jr_tiers,A91,jr_etat,"Avec réserves",jr_year,p_year)+COUNTIFS(jr_type,"BR",jr_tiers,A91,jr_etat,"Refusé",jr_year,p_year))</f>
        <v/>
      </c>
      <c r="K91" s="60" t="str">
        <f>IF(A91="",IF(B91="","","Code manquant"),IF(COUNTIF($A$6:$A$205,A91)&gt;1,"Code en double",IF(B91="","Raison sociale manquante","OK")))</f>
        <v/>
      </c>
      <c r="L91" s="130" t="str">
        <f>IF(OR(A91="",N(H91)=0),"",H91+I91/1000000000000)</f>
        <v/>
      </c>
      <c r="M91" s="131" t="str">
        <f>IF(L91="","",RANK(L91,$L$6:$L$205)+COUNTIF($L$6:L90,L91))</f>
        <v/>
      </c>
    </row>
    <row r="92">
      <c r="A92" s="129" t="n"/>
      <c r="B92" s="59" t="n"/>
      <c r="C92" s="59" t="n"/>
      <c r="D92" s="59" t="n"/>
      <c r="E92" s="58" t="n"/>
      <c r="F92" s="58" t="n"/>
      <c r="G92" s="59" t="n"/>
      <c r="H92" s="66" t="str">
        <f>IF(A92="","",COUNTIFS(jr_new,1,jr_type,"BR",jr_tiers,A92,jr_year,p_year))</f>
        <v/>
      </c>
      <c r="I92" s="64" t="str">
        <f>IF(A92="","",SUMIFS(jr_val,jr_type,"BR",jr_tiers,A92,jr_year,p_year))</f>
        <v/>
      </c>
      <c r="J92" s="66" t="str">
        <f>IF(A92="","",COUNTIFS(jr_type,"BR",jr_tiers,A92,jr_etat,"Avec réserves",jr_year,p_year)+COUNTIFS(jr_type,"BR",jr_tiers,A92,jr_etat,"Refusé",jr_year,p_year))</f>
        <v/>
      </c>
      <c r="K92" s="60" t="str">
        <f>IF(A92="",IF(B92="","","Code manquant"),IF(COUNTIF($A$6:$A$205,A92)&gt;1,"Code en double",IF(B92="","Raison sociale manquante","OK")))</f>
        <v/>
      </c>
      <c r="L92" s="130" t="str">
        <f>IF(OR(A92="",N(H92)=0),"",H92+I92/1000000000000)</f>
        <v/>
      </c>
      <c r="M92" s="131" t="str">
        <f>IF(L92="","",RANK(L92,$L$6:$L$205)+COUNTIF($L$6:L91,L92))</f>
        <v/>
      </c>
    </row>
    <row r="93">
      <c r="A93" s="129" t="n"/>
      <c r="B93" s="59" t="n"/>
      <c r="C93" s="59" t="n"/>
      <c r="D93" s="59" t="n"/>
      <c r="E93" s="58" t="n"/>
      <c r="F93" s="58" t="n"/>
      <c r="G93" s="59" t="n"/>
      <c r="H93" s="66" t="str">
        <f>IF(A93="","",COUNTIFS(jr_new,1,jr_type,"BR",jr_tiers,A93,jr_year,p_year))</f>
        <v/>
      </c>
      <c r="I93" s="64" t="str">
        <f>IF(A93="","",SUMIFS(jr_val,jr_type,"BR",jr_tiers,A93,jr_year,p_year))</f>
        <v/>
      </c>
      <c r="J93" s="66" t="str">
        <f>IF(A93="","",COUNTIFS(jr_type,"BR",jr_tiers,A93,jr_etat,"Avec réserves",jr_year,p_year)+COUNTIFS(jr_type,"BR",jr_tiers,A93,jr_etat,"Refusé",jr_year,p_year))</f>
        <v/>
      </c>
      <c r="K93" s="60" t="str">
        <f>IF(A93="",IF(B93="","","Code manquant"),IF(COUNTIF($A$6:$A$205,A93)&gt;1,"Code en double",IF(B93="","Raison sociale manquante","OK")))</f>
        <v/>
      </c>
      <c r="L93" s="130" t="str">
        <f>IF(OR(A93="",N(H93)=0),"",H93+I93/1000000000000)</f>
        <v/>
      </c>
      <c r="M93" s="131" t="str">
        <f>IF(L93="","",RANK(L93,$L$6:$L$205)+COUNTIF($L$6:L92,L93))</f>
        <v/>
      </c>
    </row>
    <row r="94">
      <c r="A94" s="129" t="n"/>
      <c r="B94" s="59" t="n"/>
      <c r="C94" s="59" t="n"/>
      <c r="D94" s="59" t="n"/>
      <c r="E94" s="58" t="n"/>
      <c r="F94" s="58" t="n"/>
      <c r="G94" s="59" t="n"/>
      <c r="H94" s="66" t="str">
        <f>IF(A94="","",COUNTIFS(jr_new,1,jr_type,"BR",jr_tiers,A94,jr_year,p_year))</f>
        <v/>
      </c>
      <c r="I94" s="64" t="str">
        <f>IF(A94="","",SUMIFS(jr_val,jr_type,"BR",jr_tiers,A94,jr_year,p_year))</f>
        <v/>
      </c>
      <c r="J94" s="66" t="str">
        <f>IF(A94="","",COUNTIFS(jr_type,"BR",jr_tiers,A94,jr_etat,"Avec réserves",jr_year,p_year)+COUNTIFS(jr_type,"BR",jr_tiers,A94,jr_etat,"Refusé",jr_year,p_year))</f>
        <v/>
      </c>
      <c r="K94" s="60" t="str">
        <f>IF(A94="",IF(B94="","","Code manquant"),IF(COUNTIF($A$6:$A$205,A94)&gt;1,"Code en double",IF(B94="","Raison sociale manquante","OK")))</f>
        <v/>
      </c>
      <c r="L94" s="130" t="str">
        <f>IF(OR(A94="",N(H94)=0),"",H94+I94/1000000000000)</f>
        <v/>
      </c>
      <c r="M94" s="131" t="str">
        <f>IF(L94="","",RANK(L94,$L$6:$L$205)+COUNTIF($L$6:L93,L94))</f>
        <v/>
      </c>
    </row>
    <row r="95">
      <c r="A95" s="129" t="n"/>
      <c r="B95" s="59" t="n"/>
      <c r="C95" s="59" t="n"/>
      <c r="D95" s="59" t="n"/>
      <c r="E95" s="58" t="n"/>
      <c r="F95" s="58" t="n"/>
      <c r="G95" s="59" t="n"/>
      <c r="H95" s="66" t="str">
        <f>IF(A95="","",COUNTIFS(jr_new,1,jr_type,"BR",jr_tiers,A95,jr_year,p_year))</f>
        <v/>
      </c>
      <c r="I95" s="64" t="str">
        <f>IF(A95="","",SUMIFS(jr_val,jr_type,"BR",jr_tiers,A95,jr_year,p_year))</f>
        <v/>
      </c>
      <c r="J95" s="66" t="str">
        <f>IF(A95="","",COUNTIFS(jr_type,"BR",jr_tiers,A95,jr_etat,"Avec réserves",jr_year,p_year)+COUNTIFS(jr_type,"BR",jr_tiers,A95,jr_etat,"Refusé",jr_year,p_year))</f>
        <v/>
      </c>
      <c r="K95" s="60" t="str">
        <f>IF(A95="",IF(B95="","","Code manquant"),IF(COUNTIF($A$6:$A$205,A95)&gt;1,"Code en double",IF(B95="","Raison sociale manquante","OK")))</f>
        <v/>
      </c>
      <c r="L95" s="130" t="str">
        <f>IF(OR(A95="",N(H95)=0),"",H95+I95/1000000000000)</f>
        <v/>
      </c>
      <c r="M95" s="131" t="str">
        <f>IF(L95="","",RANK(L95,$L$6:$L$205)+COUNTIF($L$6:L94,L95))</f>
        <v/>
      </c>
    </row>
    <row r="96">
      <c r="A96" s="129" t="n"/>
      <c r="B96" s="59" t="n"/>
      <c r="C96" s="59" t="n"/>
      <c r="D96" s="59" t="n"/>
      <c r="E96" s="58" t="n"/>
      <c r="F96" s="58" t="n"/>
      <c r="G96" s="59" t="n"/>
      <c r="H96" s="66" t="str">
        <f>IF(A96="","",COUNTIFS(jr_new,1,jr_type,"BR",jr_tiers,A96,jr_year,p_year))</f>
        <v/>
      </c>
      <c r="I96" s="64" t="str">
        <f>IF(A96="","",SUMIFS(jr_val,jr_type,"BR",jr_tiers,A96,jr_year,p_year))</f>
        <v/>
      </c>
      <c r="J96" s="66" t="str">
        <f>IF(A96="","",COUNTIFS(jr_type,"BR",jr_tiers,A96,jr_etat,"Avec réserves",jr_year,p_year)+COUNTIFS(jr_type,"BR",jr_tiers,A96,jr_etat,"Refusé",jr_year,p_year))</f>
        <v/>
      </c>
      <c r="K96" s="60" t="str">
        <f>IF(A96="",IF(B96="","","Code manquant"),IF(COUNTIF($A$6:$A$205,A96)&gt;1,"Code en double",IF(B96="","Raison sociale manquante","OK")))</f>
        <v/>
      </c>
      <c r="L96" s="130" t="str">
        <f>IF(OR(A96="",N(H96)=0),"",H96+I96/1000000000000)</f>
        <v/>
      </c>
      <c r="M96" s="131" t="str">
        <f>IF(L96="","",RANK(L96,$L$6:$L$205)+COUNTIF($L$6:L95,L96))</f>
        <v/>
      </c>
    </row>
    <row r="97">
      <c r="A97" s="129" t="n"/>
      <c r="B97" s="59" t="n"/>
      <c r="C97" s="59" t="n"/>
      <c r="D97" s="59" t="n"/>
      <c r="E97" s="58" t="n"/>
      <c r="F97" s="58" t="n"/>
      <c r="G97" s="59" t="n"/>
      <c r="H97" s="66" t="str">
        <f>IF(A97="","",COUNTIFS(jr_new,1,jr_type,"BR",jr_tiers,A97,jr_year,p_year))</f>
        <v/>
      </c>
      <c r="I97" s="64" t="str">
        <f>IF(A97="","",SUMIFS(jr_val,jr_type,"BR",jr_tiers,A97,jr_year,p_year))</f>
        <v/>
      </c>
      <c r="J97" s="66" t="str">
        <f>IF(A97="","",COUNTIFS(jr_type,"BR",jr_tiers,A97,jr_etat,"Avec réserves",jr_year,p_year)+COUNTIFS(jr_type,"BR",jr_tiers,A97,jr_etat,"Refusé",jr_year,p_year))</f>
        <v/>
      </c>
      <c r="K97" s="60" t="str">
        <f>IF(A97="",IF(B97="","","Code manquant"),IF(COUNTIF($A$6:$A$205,A97)&gt;1,"Code en double",IF(B97="","Raison sociale manquante","OK")))</f>
        <v/>
      </c>
      <c r="L97" s="130" t="str">
        <f>IF(OR(A97="",N(H97)=0),"",H97+I97/1000000000000)</f>
        <v/>
      </c>
      <c r="M97" s="131" t="str">
        <f>IF(L97="","",RANK(L97,$L$6:$L$205)+COUNTIF($L$6:L96,L97))</f>
        <v/>
      </c>
    </row>
    <row r="98">
      <c r="A98" s="129" t="n"/>
      <c r="B98" s="59" t="n"/>
      <c r="C98" s="59" t="n"/>
      <c r="D98" s="59" t="n"/>
      <c r="E98" s="58" t="n"/>
      <c r="F98" s="58" t="n"/>
      <c r="G98" s="59" t="n"/>
      <c r="H98" s="66" t="str">
        <f>IF(A98="","",COUNTIFS(jr_new,1,jr_type,"BR",jr_tiers,A98,jr_year,p_year))</f>
        <v/>
      </c>
      <c r="I98" s="64" t="str">
        <f>IF(A98="","",SUMIFS(jr_val,jr_type,"BR",jr_tiers,A98,jr_year,p_year))</f>
        <v/>
      </c>
      <c r="J98" s="66" t="str">
        <f>IF(A98="","",COUNTIFS(jr_type,"BR",jr_tiers,A98,jr_etat,"Avec réserves",jr_year,p_year)+COUNTIFS(jr_type,"BR",jr_tiers,A98,jr_etat,"Refusé",jr_year,p_year))</f>
        <v/>
      </c>
      <c r="K98" s="60" t="str">
        <f>IF(A98="",IF(B98="","","Code manquant"),IF(COUNTIF($A$6:$A$205,A98)&gt;1,"Code en double",IF(B98="","Raison sociale manquante","OK")))</f>
        <v/>
      </c>
      <c r="L98" s="130" t="str">
        <f>IF(OR(A98="",N(H98)=0),"",H98+I98/1000000000000)</f>
        <v/>
      </c>
      <c r="M98" s="131" t="str">
        <f>IF(L98="","",RANK(L98,$L$6:$L$205)+COUNTIF($L$6:L97,L98))</f>
        <v/>
      </c>
    </row>
    <row r="99">
      <c r="A99" s="129" t="n"/>
      <c r="B99" s="59" t="n"/>
      <c r="C99" s="59" t="n"/>
      <c r="D99" s="59" t="n"/>
      <c r="E99" s="58" t="n"/>
      <c r="F99" s="58" t="n"/>
      <c r="G99" s="59" t="n"/>
      <c r="H99" s="66" t="str">
        <f>IF(A99="","",COUNTIFS(jr_new,1,jr_type,"BR",jr_tiers,A99,jr_year,p_year))</f>
        <v/>
      </c>
      <c r="I99" s="64" t="str">
        <f>IF(A99="","",SUMIFS(jr_val,jr_type,"BR",jr_tiers,A99,jr_year,p_year))</f>
        <v/>
      </c>
      <c r="J99" s="66" t="str">
        <f>IF(A99="","",COUNTIFS(jr_type,"BR",jr_tiers,A99,jr_etat,"Avec réserves",jr_year,p_year)+COUNTIFS(jr_type,"BR",jr_tiers,A99,jr_etat,"Refusé",jr_year,p_year))</f>
        <v/>
      </c>
      <c r="K99" s="60" t="str">
        <f>IF(A99="",IF(B99="","","Code manquant"),IF(COUNTIF($A$6:$A$205,A99)&gt;1,"Code en double",IF(B99="","Raison sociale manquante","OK")))</f>
        <v/>
      </c>
      <c r="L99" s="130" t="str">
        <f>IF(OR(A99="",N(H99)=0),"",H99+I99/1000000000000)</f>
        <v/>
      </c>
      <c r="M99" s="131" t="str">
        <f>IF(L99="","",RANK(L99,$L$6:$L$205)+COUNTIF($L$6:L98,L99))</f>
        <v/>
      </c>
    </row>
    <row r="100">
      <c r="A100" s="129" t="n"/>
      <c r="B100" s="59" t="n"/>
      <c r="C100" s="59" t="n"/>
      <c r="D100" s="59" t="n"/>
      <c r="E100" s="58" t="n"/>
      <c r="F100" s="58" t="n"/>
      <c r="G100" s="59" t="n"/>
      <c r="H100" s="66" t="str">
        <f>IF(A100="","",COUNTIFS(jr_new,1,jr_type,"BR",jr_tiers,A100,jr_year,p_year))</f>
        <v/>
      </c>
      <c r="I100" s="64" t="str">
        <f>IF(A100="","",SUMIFS(jr_val,jr_type,"BR",jr_tiers,A100,jr_year,p_year))</f>
        <v/>
      </c>
      <c r="J100" s="66" t="str">
        <f>IF(A100="","",COUNTIFS(jr_type,"BR",jr_tiers,A100,jr_etat,"Avec réserves",jr_year,p_year)+COUNTIFS(jr_type,"BR",jr_tiers,A100,jr_etat,"Refusé",jr_year,p_year))</f>
        <v/>
      </c>
      <c r="K100" s="60" t="str">
        <f>IF(A100="",IF(B100="","","Code manquant"),IF(COUNTIF($A$6:$A$205,A100)&gt;1,"Code en double",IF(B100="","Raison sociale manquante","OK")))</f>
        <v/>
      </c>
      <c r="L100" s="130" t="str">
        <f>IF(OR(A100="",N(H100)=0),"",H100+I100/1000000000000)</f>
        <v/>
      </c>
      <c r="M100" s="131" t="str">
        <f>IF(L100="","",RANK(L100,$L$6:$L$205)+COUNTIF($L$6:L99,L100))</f>
        <v/>
      </c>
    </row>
    <row r="101">
      <c r="A101" s="129" t="n"/>
      <c r="B101" s="59" t="n"/>
      <c r="C101" s="59" t="n"/>
      <c r="D101" s="59" t="n"/>
      <c r="E101" s="58" t="n"/>
      <c r="F101" s="58" t="n"/>
      <c r="G101" s="59" t="n"/>
      <c r="H101" s="66" t="str">
        <f>IF(A101="","",COUNTIFS(jr_new,1,jr_type,"BR",jr_tiers,A101,jr_year,p_year))</f>
        <v/>
      </c>
      <c r="I101" s="64" t="str">
        <f>IF(A101="","",SUMIFS(jr_val,jr_type,"BR",jr_tiers,A101,jr_year,p_year))</f>
        <v/>
      </c>
      <c r="J101" s="66" t="str">
        <f>IF(A101="","",COUNTIFS(jr_type,"BR",jr_tiers,A101,jr_etat,"Avec réserves",jr_year,p_year)+COUNTIFS(jr_type,"BR",jr_tiers,A101,jr_etat,"Refusé",jr_year,p_year))</f>
        <v/>
      </c>
      <c r="K101" s="60" t="str">
        <f>IF(A101="",IF(B101="","","Code manquant"),IF(COUNTIF($A$6:$A$205,A101)&gt;1,"Code en double",IF(B101="","Raison sociale manquante","OK")))</f>
        <v/>
      </c>
      <c r="L101" s="130" t="str">
        <f>IF(OR(A101="",N(H101)=0),"",H101+I101/1000000000000)</f>
        <v/>
      </c>
      <c r="M101" s="131" t="str">
        <f>IF(L101="","",RANK(L101,$L$6:$L$205)+COUNTIF($L$6:L100,L101))</f>
        <v/>
      </c>
    </row>
    <row r="102">
      <c r="A102" s="129" t="n"/>
      <c r="B102" s="59" t="n"/>
      <c r="C102" s="59" t="n"/>
      <c r="D102" s="59" t="n"/>
      <c r="E102" s="58" t="n"/>
      <c r="F102" s="58" t="n"/>
      <c r="G102" s="59" t="n"/>
      <c r="H102" s="66" t="str">
        <f>IF(A102="","",COUNTIFS(jr_new,1,jr_type,"BR",jr_tiers,A102,jr_year,p_year))</f>
        <v/>
      </c>
      <c r="I102" s="64" t="str">
        <f>IF(A102="","",SUMIFS(jr_val,jr_type,"BR",jr_tiers,A102,jr_year,p_year))</f>
        <v/>
      </c>
      <c r="J102" s="66" t="str">
        <f>IF(A102="","",COUNTIFS(jr_type,"BR",jr_tiers,A102,jr_etat,"Avec réserves",jr_year,p_year)+COUNTIFS(jr_type,"BR",jr_tiers,A102,jr_etat,"Refusé",jr_year,p_year))</f>
        <v/>
      </c>
      <c r="K102" s="60" t="str">
        <f>IF(A102="",IF(B102="","","Code manquant"),IF(COUNTIF($A$6:$A$205,A102)&gt;1,"Code en double",IF(B102="","Raison sociale manquante","OK")))</f>
        <v/>
      </c>
      <c r="L102" s="130" t="str">
        <f>IF(OR(A102="",N(H102)=0),"",H102+I102/1000000000000)</f>
        <v/>
      </c>
      <c r="M102" s="131" t="str">
        <f>IF(L102="","",RANK(L102,$L$6:$L$205)+COUNTIF($L$6:L101,L102))</f>
        <v/>
      </c>
    </row>
    <row r="103">
      <c r="A103" s="129" t="n"/>
      <c r="B103" s="59" t="n"/>
      <c r="C103" s="59" t="n"/>
      <c r="D103" s="59" t="n"/>
      <c r="E103" s="58" t="n"/>
      <c r="F103" s="58" t="n"/>
      <c r="G103" s="59" t="n"/>
      <c r="H103" s="66" t="str">
        <f>IF(A103="","",COUNTIFS(jr_new,1,jr_type,"BR",jr_tiers,A103,jr_year,p_year))</f>
        <v/>
      </c>
      <c r="I103" s="64" t="str">
        <f>IF(A103="","",SUMIFS(jr_val,jr_type,"BR",jr_tiers,A103,jr_year,p_year))</f>
        <v/>
      </c>
      <c r="J103" s="66" t="str">
        <f>IF(A103="","",COUNTIFS(jr_type,"BR",jr_tiers,A103,jr_etat,"Avec réserves",jr_year,p_year)+COUNTIFS(jr_type,"BR",jr_tiers,A103,jr_etat,"Refusé",jr_year,p_year))</f>
        <v/>
      </c>
      <c r="K103" s="60" t="str">
        <f>IF(A103="",IF(B103="","","Code manquant"),IF(COUNTIF($A$6:$A$205,A103)&gt;1,"Code en double",IF(B103="","Raison sociale manquante","OK")))</f>
        <v/>
      </c>
      <c r="L103" s="130" t="str">
        <f>IF(OR(A103="",N(H103)=0),"",H103+I103/1000000000000)</f>
        <v/>
      </c>
      <c r="M103" s="131" t="str">
        <f>IF(L103="","",RANK(L103,$L$6:$L$205)+COUNTIF($L$6:L102,L103))</f>
        <v/>
      </c>
    </row>
    <row r="104">
      <c r="A104" s="129" t="n"/>
      <c r="B104" s="59" t="n"/>
      <c r="C104" s="59" t="n"/>
      <c r="D104" s="59" t="n"/>
      <c r="E104" s="58" t="n"/>
      <c r="F104" s="58" t="n"/>
      <c r="G104" s="59" t="n"/>
      <c r="H104" s="66" t="str">
        <f>IF(A104="","",COUNTIFS(jr_new,1,jr_type,"BR",jr_tiers,A104,jr_year,p_year))</f>
        <v/>
      </c>
      <c r="I104" s="64" t="str">
        <f>IF(A104="","",SUMIFS(jr_val,jr_type,"BR",jr_tiers,A104,jr_year,p_year))</f>
        <v/>
      </c>
      <c r="J104" s="66" t="str">
        <f>IF(A104="","",COUNTIFS(jr_type,"BR",jr_tiers,A104,jr_etat,"Avec réserves",jr_year,p_year)+COUNTIFS(jr_type,"BR",jr_tiers,A104,jr_etat,"Refusé",jr_year,p_year))</f>
        <v/>
      </c>
      <c r="K104" s="60" t="str">
        <f>IF(A104="",IF(B104="","","Code manquant"),IF(COUNTIF($A$6:$A$205,A104)&gt;1,"Code en double",IF(B104="","Raison sociale manquante","OK")))</f>
        <v/>
      </c>
      <c r="L104" s="130" t="str">
        <f>IF(OR(A104="",N(H104)=0),"",H104+I104/1000000000000)</f>
        <v/>
      </c>
      <c r="M104" s="131" t="str">
        <f>IF(L104="","",RANK(L104,$L$6:$L$205)+COUNTIF($L$6:L103,L104))</f>
        <v/>
      </c>
    </row>
    <row r="105">
      <c r="A105" s="129" t="n"/>
      <c r="B105" s="59" t="n"/>
      <c r="C105" s="59" t="n"/>
      <c r="D105" s="59" t="n"/>
      <c r="E105" s="58" t="n"/>
      <c r="F105" s="58" t="n"/>
      <c r="G105" s="59" t="n"/>
      <c r="H105" s="66" t="str">
        <f>IF(A105="","",COUNTIFS(jr_new,1,jr_type,"BR",jr_tiers,A105,jr_year,p_year))</f>
        <v/>
      </c>
      <c r="I105" s="64" t="str">
        <f>IF(A105="","",SUMIFS(jr_val,jr_type,"BR",jr_tiers,A105,jr_year,p_year))</f>
        <v/>
      </c>
      <c r="J105" s="66" t="str">
        <f>IF(A105="","",COUNTIFS(jr_type,"BR",jr_tiers,A105,jr_etat,"Avec réserves",jr_year,p_year)+COUNTIFS(jr_type,"BR",jr_tiers,A105,jr_etat,"Refusé",jr_year,p_year))</f>
        <v/>
      </c>
      <c r="K105" s="60" t="str">
        <f>IF(A105="",IF(B105="","","Code manquant"),IF(COUNTIF($A$6:$A$205,A105)&gt;1,"Code en double",IF(B105="","Raison sociale manquante","OK")))</f>
        <v/>
      </c>
      <c r="L105" s="130" t="str">
        <f>IF(OR(A105="",N(H105)=0),"",H105+I105/1000000000000)</f>
        <v/>
      </c>
      <c r="M105" s="131" t="str">
        <f>IF(L105="","",RANK(L105,$L$6:$L$205)+COUNTIF($L$6:L104,L105))</f>
        <v/>
      </c>
    </row>
    <row r="106">
      <c r="A106" s="129" t="n"/>
      <c r="B106" s="59" t="n"/>
      <c r="C106" s="59" t="n"/>
      <c r="D106" s="59" t="n"/>
      <c r="E106" s="58" t="n"/>
      <c r="F106" s="58" t="n"/>
      <c r="G106" s="59" t="n"/>
      <c r="H106" s="66" t="str">
        <f>IF(A106="","",COUNTIFS(jr_new,1,jr_type,"BR",jr_tiers,A106,jr_year,p_year))</f>
        <v/>
      </c>
      <c r="I106" s="64" t="str">
        <f>IF(A106="","",SUMIFS(jr_val,jr_type,"BR",jr_tiers,A106,jr_year,p_year))</f>
        <v/>
      </c>
      <c r="J106" s="66" t="str">
        <f>IF(A106="","",COUNTIFS(jr_type,"BR",jr_tiers,A106,jr_etat,"Avec réserves",jr_year,p_year)+COUNTIFS(jr_type,"BR",jr_tiers,A106,jr_etat,"Refusé",jr_year,p_year))</f>
        <v/>
      </c>
      <c r="K106" s="60" t="str">
        <f>IF(A106="",IF(B106="","","Code manquant"),IF(COUNTIF($A$6:$A$205,A106)&gt;1,"Code en double",IF(B106="","Raison sociale manquante","OK")))</f>
        <v/>
      </c>
      <c r="L106" s="130" t="str">
        <f>IF(OR(A106="",N(H106)=0),"",H106+I106/1000000000000)</f>
        <v/>
      </c>
      <c r="M106" s="131" t="str">
        <f>IF(L106="","",RANK(L106,$L$6:$L$205)+COUNTIF($L$6:L105,L106))</f>
        <v/>
      </c>
    </row>
    <row r="107">
      <c r="A107" s="129" t="n"/>
      <c r="B107" s="59" t="n"/>
      <c r="C107" s="59" t="n"/>
      <c r="D107" s="59" t="n"/>
      <c r="E107" s="58" t="n"/>
      <c r="F107" s="58" t="n"/>
      <c r="G107" s="59" t="n"/>
      <c r="H107" s="66" t="str">
        <f>IF(A107="","",COUNTIFS(jr_new,1,jr_type,"BR",jr_tiers,A107,jr_year,p_year))</f>
        <v/>
      </c>
      <c r="I107" s="64" t="str">
        <f>IF(A107="","",SUMIFS(jr_val,jr_type,"BR",jr_tiers,A107,jr_year,p_year))</f>
        <v/>
      </c>
      <c r="J107" s="66" t="str">
        <f>IF(A107="","",COUNTIFS(jr_type,"BR",jr_tiers,A107,jr_etat,"Avec réserves",jr_year,p_year)+COUNTIFS(jr_type,"BR",jr_tiers,A107,jr_etat,"Refusé",jr_year,p_year))</f>
        <v/>
      </c>
      <c r="K107" s="60" t="str">
        <f>IF(A107="",IF(B107="","","Code manquant"),IF(COUNTIF($A$6:$A$205,A107)&gt;1,"Code en double",IF(B107="","Raison sociale manquante","OK")))</f>
        <v/>
      </c>
      <c r="L107" s="130" t="str">
        <f>IF(OR(A107="",N(H107)=0),"",H107+I107/1000000000000)</f>
        <v/>
      </c>
      <c r="M107" s="131" t="str">
        <f>IF(L107="","",RANK(L107,$L$6:$L$205)+COUNTIF($L$6:L106,L107))</f>
        <v/>
      </c>
    </row>
    <row r="108">
      <c r="A108" s="129" t="n"/>
      <c r="B108" s="59" t="n"/>
      <c r="C108" s="59" t="n"/>
      <c r="D108" s="59" t="n"/>
      <c r="E108" s="58" t="n"/>
      <c r="F108" s="58" t="n"/>
      <c r="G108" s="59" t="n"/>
      <c r="H108" s="66" t="str">
        <f>IF(A108="","",COUNTIFS(jr_new,1,jr_type,"BR",jr_tiers,A108,jr_year,p_year))</f>
        <v/>
      </c>
      <c r="I108" s="64" t="str">
        <f>IF(A108="","",SUMIFS(jr_val,jr_type,"BR",jr_tiers,A108,jr_year,p_year))</f>
        <v/>
      </c>
      <c r="J108" s="66" t="str">
        <f>IF(A108="","",COUNTIFS(jr_type,"BR",jr_tiers,A108,jr_etat,"Avec réserves",jr_year,p_year)+COUNTIFS(jr_type,"BR",jr_tiers,A108,jr_etat,"Refusé",jr_year,p_year))</f>
        <v/>
      </c>
      <c r="K108" s="60" t="str">
        <f>IF(A108="",IF(B108="","","Code manquant"),IF(COUNTIF($A$6:$A$205,A108)&gt;1,"Code en double",IF(B108="","Raison sociale manquante","OK")))</f>
        <v/>
      </c>
      <c r="L108" s="130" t="str">
        <f>IF(OR(A108="",N(H108)=0),"",H108+I108/1000000000000)</f>
        <v/>
      </c>
      <c r="M108" s="131" t="str">
        <f>IF(L108="","",RANK(L108,$L$6:$L$205)+COUNTIF($L$6:L107,L108))</f>
        <v/>
      </c>
    </row>
    <row r="109">
      <c r="A109" s="129" t="n"/>
      <c r="B109" s="59" t="n"/>
      <c r="C109" s="59" t="n"/>
      <c r="D109" s="59" t="n"/>
      <c r="E109" s="58" t="n"/>
      <c r="F109" s="58" t="n"/>
      <c r="G109" s="59" t="n"/>
      <c r="H109" s="66" t="str">
        <f>IF(A109="","",COUNTIFS(jr_new,1,jr_type,"BR",jr_tiers,A109,jr_year,p_year))</f>
        <v/>
      </c>
      <c r="I109" s="64" t="str">
        <f>IF(A109="","",SUMIFS(jr_val,jr_type,"BR",jr_tiers,A109,jr_year,p_year))</f>
        <v/>
      </c>
      <c r="J109" s="66" t="str">
        <f>IF(A109="","",COUNTIFS(jr_type,"BR",jr_tiers,A109,jr_etat,"Avec réserves",jr_year,p_year)+COUNTIFS(jr_type,"BR",jr_tiers,A109,jr_etat,"Refusé",jr_year,p_year))</f>
        <v/>
      </c>
      <c r="K109" s="60" t="str">
        <f>IF(A109="",IF(B109="","","Code manquant"),IF(COUNTIF($A$6:$A$205,A109)&gt;1,"Code en double",IF(B109="","Raison sociale manquante","OK")))</f>
        <v/>
      </c>
      <c r="L109" s="130" t="str">
        <f>IF(OR(A109="",N(H109)=0),"",H109+I109/1000000000000)</f>
        <v/>
      </c>
      <c r="M109" s="131" t="str">
        <f>IF(L109="","",RANK(L109,$L$6:$L$205)+COUNTIF($L$6:L108,L109))</f>
        <v/>
      </c>
    </row>
    <row r="110">
      <c r="A110" s="129" t="n"/>
      <c r="B110" s="59" t="n"/>
      <c r="C110" s="59" t="n"/>
      <c r="D110" s="59" t="n"/>
      <c r="E110" s="58" t="n"/>
      <c r="F110" s="58" t="n"/>
      <c r="G110" s="59" t="n"/>
      <c r="H110" s="66" t="str">
        <f>IF(A110="","",COUNTIFS(jr_new,1,jr_type,"BR",jr_tiers,A110,jr_year,p_year))</f>
        <v/>
      </c>
      <c r="I110" s="64" t="str">
        <f>IF(A110="","",SUMIFS(jr_val,jr_type,"BR",jr_tiers,A110,jr_year,p_year))</f>
        <v/>
      </c>
      <c r="J110" s="66" t="str">
        <f>IF(A110="","",COUNTIFS(jr_type,"BR",jr_tiers,A110,jr_etat,"Avec réserves",jr_year,p_year)+COUNTIFS(jr_type,"BR",jr_tiers,A110,jr_etat,"Refusé",jr_year,p_year))</f>
        <v/>
      </c>
      <c r="K110" s="60" t="str">
        <f>IF(A110="",IF(B110="","","Code manquant"),IF(COUNTIF($A$6:$A$205,A110)&gt;1,"Code en double",IF(B110="","Raison sociale manquante","OK")))</f>
        <v/>
      </c>
      <c r="L110" s="130" t="str">
        <f>IF(OR(A110="",N(H110)=0),"",H110+I110/1000000000000)</f>
        <v/>
      </c>
      <c r="M110" s="131" t="str">
        <f>IF(L110="","",RANK(L110,$L$6:$L$205)+COUNTIF($L$6:L109,L110))</f>
        <v/>
      </c>
    </row>
    <row r="111">
      <c r="A111" s="129" t="n"/>
      <c r="B111" s="59" t="n"/>
      <c r="C111" s="59" t="n"/>
      <c r="D111" s="59" t="n"/>
      <c r="E111" s="58" t="n"/>
      <c r="F111" s="58" t="n"/>
      <c r="G111" s="59" t="n"/>
      <c r="H111" s="66" t="str">
        <f>IF(A111="","",COUNTIFS(jr_new,1,jr_type,"BR",jr_tiers,A111,jr_year,p_year))</f>
        <v/>
      </c>
      <c r="I111" s="64" t="str">
        <f>IF(A111="","",SUMIFS(jr_val,jr_type,"BR",jr_tiers,A111,jr_year,p_year))</f>
        <v/>
      </c>
      <c r="J111" s="66" t="str">
        <f>IF(A111="","",COUNTIFS(jr_type,"BR",jr_tiers,A111,jr_etat,"Avec réserves",jr_year,p_year)+COUNTIFS(jr_type,"BR",jr_tiers,A111,jr_etat,"Refusé",jr_year,p_year))</f>
        <v/>
      </c>
      <c r="K111" s="60" t="str">
        <f>IF(A111="",IF(B111="","","Code manquant"),IF(COUNTIF($A$6:$A$205,A111)&gt;1,"Code en double",IF(B111="","Raison sociale manquante","OK")))</f>
        <v/>
      </c>
      <c r="L111" s="130" t="str">
        <f>IF(OR(A111="",N(H111)=0),"",H111+I111/1000000000000)</f>
        <v/>
      </c>
      <c r="M111" s="131" t="str">
        <f>IF(L111="","",RANK(L111,$L$6:$L$205)+COUNTIF($L$6:L110,L111))</f>
        <v/>
      </c>
    </row>
    <row r="112">
      <c r="A112" s="129" t="n"/>
      <c r="B112" s="59" t="n"/>
      <c r="C112" s="59" t="n"/>
      <c r="D112" s="59" t="n"/>
      <c r="E112" s="58" t="n"/>
      <c r="F112" s="58" t="n"/>
      <c r="G112" s="59" t="n"/>
      <c r="H112" s="66" t="str">
        <f>IF(A112="","",COUNTIFS(jr_new,1,jr_type,"BR",jr_tiers,A112,jr_year,p_year))</f>
        <v/>
      </c>
      <c r="I112" s="64" t="str">
        <f>IF(A112="","",SUMIFS(jr_val,jr_type,"BR",jr_tiers,A112,jr_year,p_year))</f>
        <v/>
      </c>
      <c r="J112" s="66" t="str">
        <f>IF(A112="","",COUNTIFS(jr_type,"BR",jr_tiers,A112,jr_etat,"Avec réserves",jr_year,p_year)+COUNTIFS(jr_type,"BR",jr_tiers,A112,jr_etat,"Refusé",jr_year,p_year))</f>
        <v/>
      </c>
      <c r="K112" s="60" t="str">
        <f>IF(A112="",IF(B112="","","Code manquant"),IF(COUNTIF($A$6:$A$205,A112)&gt;1,"Code en double",IF(B112="","Raison sociale manquante","OK")))</f>
        <v/>
      </c>
      <c r="L112" s="130" t="str">
        <f>IF(OR(A112="",N(H112)=0),"",H112+I112/1000000000000)</f>
        <v/>
      </c>
      <c r="M112" s="131" t="str">
        <f>IF(L112="","",RANK(L112,$L$6:$L$205)+COUNTIF($L$6:L111,L112))</f>
        <v/>
      </c>
    </row>
    <row r="113">
      <c r="A113" s="129" t="n"/>
      <c r="B113" s="59" t="n"/>
      <c r="C113" s="59" t="n"/>
      <c r="D113" s="59" t="n"/>
      <c r="E113" s="58" t="n"/>
      <c r="F113" s="58" t="n"/>
      <c r="G113" s="59" t="n"/>
      <c r="H113" s="66" t="str">
        <f>IF(A113="","",COUNTIFS(jr_new,1,jr_type,"BR",jr_tiers,A113,jr_year,p_year))</f>
        <v/>
      </c>
      <c r="I113" s="64" t="str">
        <f>IF(A113="","",SUMIFS(jr_val,jr_type,"BR",jr_tiers,A113,jr_year,p_year))</f>
        <v/>
      </c>
      <c r="J113" s="66" t="str">
        <f>IF(A113="","",COUNTIFS(jr_type,"BR",jr_tiers,A113,jr_etat,"Avec réserves",jr_year,p_year)+COUNTIFS(jr_type,"BR",jr_tiers,A113,jr_etat,"Refusé",jr_year,p_year))</f>
        <v/>
      </c>
      <c r="K113" s="60" t="str">
        <f>IF(A113="",IF(B113="","","Code manquant"),IF(COUNTIF($A$6:$A$205,A113)&gt;1,"Code en double",IF(B113="","Raison sociale manquante","OK")))</f>
        <v/>
      </c>
      <c r="L113" s="130" t="str">
        <f>IF(OR(A113="",N(H113)=0),"",H113+I113/1000000000000)</f>
        <v/>
      </c>
      <c r="M113" s="131" t="str">
        <f>IF(L113="","",RANK(L113,$L$6:$L$205)+COUNTIF($L$6:L112,L113))</f>
        <v/>
      </c>
    </row>
    <row r="114">
      <c r="A114" s="129" t="n"/>
      <c r="B114" s="59" t="n"/>
      <c r="C114" s="59" t="n"/>
      <c r="D114" s="59" t="n"/>
      <c r="E114" s="58" t="n"/>
      <c r="F114" s="58" t="n"/>
      <c r="G114" s="59" t="n"/>
      <c r="H114" s="66" t="str">
        <f>IF(A114="","",COUNTIFS(jr_new,1,jr_type,"BR",jr_tiers,A114,jr_year,p_year))</f>
        <v/>
      </c>
      <c r="I114" s="64" t="str">
        <f>IF(A114="","",SUMIFS(jr_val,jr_type,"BR",jr_tiers,A114,jr_year,p_year))</f>
        <v/>
      </c>
      <c r="J114" s="66" t="str">
        <f>IF(A114="","",COUNTIFS(jr_type,"BR",jr_tiers,A114,jr_etat,"Avec réserves",jr_year,p_year)+COUNTIFS(jr_type,"BR",jr_tiers,A114,jr_etat,"Refusé",jr_year,p_year))</f>
        <v/>
      </c>
      <c r="K114" s="60" t="str">
        <f>IF(A114="",IF(B114="","","Code manquant"),IF(COUNTIF($A$6:$A$205,A114)&gt;1,"Code en double",IF(B114="","Raison sociale manquante","OK")))</f>
        <v/>
      </c>
      <c r="L114" s="130" t="str">
        <f>IF(OR(A114="",N(H114)=0),"",H114+I114/1000000000000)</f>
        <v/>
      </c>
      <c r="M114" s="131" t="str">
        <f>IF(L114="","",RANK(L114,$L$6:$L$205)+COUNTIF($L$6:L113,L114))</f>
        <v/>
      </c>
    </row>
    <row r="115">
      <c r="A115" s="129" t="n"/>
      <c r="B115" s="59" t="n"/>
      <c r="C115" s="59" t="n"/>
      <c r="D115" s="59" t="n"/>
      <c r="E115" s="58" t="n"/>
      <c r="F115" s="58" t="n"/>
      <c r="G115" s="59" t="n"/>
      <c r="H115" s="66" t="str">
        <f>IF(A115="","",COUNTIFS(jr_new,1,jr_type,"BR",jr_tiers,A115,jr_year,p_year))</f>
        <v/>
      </c>
      <c r="I115" s="64" t="str">
        <f>IF(A115="","",SUMIFS(jr_val,jr_type,"BR",jr_tiers,A115,jr_year,p_year))</f>
        <v/>
      </c>
      <c r="J115" s="66" t="str">
        <f>IF(A115="","",COUNTIFS(jr_type,"BR",jr_tiers,A115,jr_etat,"Avec réserves",jr_year,p_year)+COUNTIFS(jr_type,"BR",jr_tiers,A115,jr_etat,"Refusé",jr_year,p_year))</f>
        <v/>
      </c>
      <c r="K115" s="60" t="str">
        <f>IF(A115="",IF(B115="","","Code manquant"),IF(COUNTIF($A$6:$A$205,A115)&gt;1,"Code en double",IF(B115="","Raison sociale manquante","OK")))</f>
        <v/>
      </c>
      <c r="L115" s="130" t="str">
        <f>IF(OR(A115="",N(H115)=0),"",H115+I115/1000000000000)</f>
        <v/>
      </c>
      <c r="M115" s="131" t="str">
        <f>IF(L115="","",RANK(L115,$L$6:$L$205)+COUNTIF($L$6:L114,L115))</f>
        <v/>
      </c>
    </row>
    <row r="116">
      <c r="A116" s="129" t="n"/>
      <c r="B116" s="59" t="n"/>
      <c r="C116" s="59" t="n"/>
      <c r="D116" s="59" t="n"/>
      <c r="E116" s="58" t="n"/>
      <c r="F116" s="58" t="n"/>
      <c r="G116" s="59" t="n"/>
      <c r="H116" s="66" t="str">
        <f>IF(A116="","",COUNTIFS(jr_new,1,jr_type,"BR",jr_tiers,A116,jr_year,p_year))</f>
        <v/>
      </c>
      <c r="I116" s="64" t="str">
        <f>IF(A116="","",SUMIFS(jr_val,jr_type,"BR",jr_tiers,A116,jr_year,p_year))</f>
        <v/>
      </c>
      <c r="J116" s="66" t="str">
        <f>IF(A116="","",COUNTIFS(jr_type,"BR",jr_tiers,A116,jr_etat,"Avec réserves",jr_year,p_year)+COUNTIFS(jr_type,"BR",jr_tiers,A116,jr_etat,"Refusé",jr_year,p_year))</f>
        <v/>
      </c>
      <c r="K116" s="60" t="str">
        <f>IF(A116="",IF(B116="","","Code manquant"),IF(COUNTIF($A$6:$A$205,A116)&gt;1,"Code en double",IF(B116="","Raison sociale manquante","OK")))</f>
        <v/>
      </c>
      <c r="L116" s="130" t="str">
        <f>IF(OR(A116="",N(H116)=0),"",H116+I116/1000000000000)</f>
        <v/>
      </c>
      <c r="M116" s="131" t="str">
        <f>IF(L116="","",RANK(L116,$L$6:$L$205)+COUNTIF($L$6:L115,L116))</f>
        <v/>
      </c>
    </row>
    <row r="117">
      <c r="A117" s="129" t="n"/>
      <c r="B117" s="59" t="n"/>
      <c r="C117" s="59" t="n"/>
      <c r="D117" s="59" t="n"/>
      <c r="E117" s="58" t="n"/>
      <c r="F117" s="58" t="n"/>
      <c r="G117" s="59" t="n"/>
      <c r="H117" s="66" t="str">
        <f>IF(A117="","",COUNTIFS(jr_new,1,jr_type,"BR",jr_tiers,A117,jr_year,p_year))</f>
        <v/>
      </c>
      <c r="I117" s="64" t="str">
        <f>IF(A117="","",SUMIFS(jr_val,jr_type,"BR",jr_tiers,A117,jr_year,p_year))</f>
        <v/>
      </c>
      <c r="J117" s="66" t="str">
        <f>IF(A117="","",COUNTIFS(jr_type,"BR",jr_tiers,A117,jr_etat,"Avec réserves",jr_year,p_year)+COUNTIFS(jr_type,"BR",jr_tiers,A117,jr_etat,"Refusé",jr_year,p_year))</f>
        <v/>
      </c>
      <c r="K117" s="60" t="str">
        <f>IF(A117="",IF(B117="","","Code manquant"),IF(COUNTIF($A$6:$A$205,A117)&gt;1,"Code en double",IF(B117="","Raison sociale manquante","OK")))</f>
        <v/>
      </c>
      <c r="L117" s="130" t="str">
        <f>IF(OR(A117="",N(H117)=0),"",H117+I117/1000000000000)</f>
        <v/>
      </c>
      <c r="M117" s="131" t="str">
        <f>IF(L117="","",RANK(L117,$L$6:$L$205)+COUNTIF($L$6:L116,L117))</f>
        <v/>
      </c>
    </row>
    <row r="118">
      <c r="A118" s="129" t="n"/>
      <c r="B118" s="59" t="n"/>
      <c r="C118" s="59" t="n"/>
      <c r="D118" s="59" t="n"/>
      <c r="E118" s="58" t="n"/>
      <c r="F118" s="58" t="n"/>
      <c r="G118" s="59" t="n"/>
      <c r="H118" s="66" t="str">
        <f>IF(A118="","",COUNTIFS(jr_new,1,jr_type,"BR",jr_tiers,A118,jr_year,p_year))</f>
        <v/>
      </c>
      <c r="I118" s="64" t="str">
        <f>IF(A118="","",SUMIFS(jr_val,jr_type,"BR",jr_tiers,A118,jr_year,p_year))</f>
        <v/>
      </c>
      <c r="J118" s="66" t="str">
        <f>IF(A118="","",COUNTIFS(jr_type,"BR",jr_tiers,A118,jr_etat,"Avec réserves",jr_year,p_year)+COUNTIFS(jr_type,"BR",jr_tiers,A118,jr_etat,"Refusé",jr_year,p_year))</f>
        <v/>
      </c>
      <c r="K118" s="60" t="str">
        <f>IF(A118="",IF(B118="","","Code manquant"),IF(COUNTIF($A$6:$A$205,A118)&gt;1,"Code en double",IF(B118="","Raison sociale manquante","OK")))</f>
        <v/>
      </c>
      <c r="L118" s="130" t="str">
        <f>IF(OR(A118="",N(H118)=0),"",H118+I118/1000000000000)</f>
        <v/>
      </c>
      <c r="M118" s="131" t="str">
        <f>IF(L118="","",RANK(L118,$L$6:$L$205)+COUNTIF($L$6:L117,L118))</f>
        <v/>
      </c>
    </row>
    <row r="119">
      <c r="A119" s="129" t="n"/>
      <c r="B119" s="59" t="n"/>
      <c r="C119" s="59" t="n"/>
      <c r="D119" s="59" t="n"/>
      <c r="E119" s="58" t="n"/>
      <c r="F119" s="58" t="n"/>
      <c r="G119" s="59" t="n"/>
      <c r="H119" s="66" t="str">
        <f>IF(A119="","",COUNTIFS(jr_new,1,jr_type,"BR",jr_tiers,A119,jr_year,p_year))</f>
        <v/>
      </c>
      <c r="I119" s="64" t="str">
        <f>IF(A119="","",SUMIFS(jr_val,jr_type,"BR",jr_tiers,A119,jr_year,p_year))</f>
        <v/>
      </c>
      <c r="J119" s="66" t="str">
        <f>IF(A119="","",COUNTIFS(jr_type,"BR",jr_tiers,A119,jr_etat,"Avec réserves",jr_year,p_year)+COUNTIFS(jr_type,"BR",jr_tiers,A119,jr_etat,"Refusé",jr_year,p_year))</f>
        <v/>
      </c>
      <c r="K119" s="60" t="str">
        <f>IF(A119="",IF(B119="","","Code manquant"),IF(COUNTIF($A$6:$A$205,A119)&gt;1,"Code en double",IF(B119="","Raison sociale manquante","OK")))</f>
        <v/>
      </c>
      <c r="L119" s="130" t="str">
        <f>IF(OR(A119="",N(H119)=0),"",H119+I119/1000000000000)</f>
        <v/>
      </c>
      <c r="M119" s="131" t="str">
        <f>IF(L119="","",RANK(L119,$L$6:$L$205)+COUNTIF($L$6:L118,L119))</f>
        <v/>
      </c>
    </row>
    <row r="120">
      <c r="A120" s="129" t="n"/>
      <c r="B120" s="59" t="n"/>
      <c r="C120" s="59" t="n"/>
      <c r="D120" s="59" t="n"/>
      <c r="E120" s="58" t="n"/>
      <c r="F120" s="58" t="n"/>
      <c r="G120" s="59" t="n"/>
      <c r="H120" s="66" t="str">
        <f>IF(A120="","",COUNTIFS(jr_new,1,jr_type,"BR",jr_tiers,A120,jr_year,p_year))</f>
        <v/>
      </c>
      <c r="I120" s="64" t="str">
        <f>IF(A120="","",SUMIFS(jr_val,jr_type,"BR",jr_tiers,A120,jr_year,p_year))</f>
        <v/>
      </c>
      <c r="J120" s="66" t="str">
        <f>IF(A120="","",COUNTIFS(jr_type,"BR",jr_tiers,A120,jr_etat,"Avec réserves",jr_year,p_year)+COUNTIFS(jr_type,"BR",jr_tiers,A120,jr_etat,"Refusé",jr_year,p_year))</f>
        <v/>
      </c>
      <c r="K120" s="60" t="str">
        <f>IF(A120="",IF(B120="","","Code manquant"),IF(COUNTIF($A$6:$A$205,A120)&gt;1,"Code en double",IF(B120="","Raison sociale manquante","OK")))</f>
        <v/>
      </c>
      <c r="L120" s="130" t="str">
        <f>IF(OR(A120="",N(H120)=0),"",H120+I120/1000000000000)</f>
        <v/>
      </c>
      <c r="M120" s="131" t="str">
        <f>IF(L120="","",RANK(L120,$L$6:$L$205)+COUNTIF($L$6:L119,L120))</f>
        <v/>
      </c>
    </row>
    <row r="121">
      <c r="A121" s="129" t="n"/>
      <c r="B121" s="59" t="n"/>
      <c r="C121" s="59" t="n"/>
      <c r="D121" s="59" t="n"/>
      <c r="E121" s="58" t="n"/>
      <c r="F121" s="58" t="n"/>
      <c r="G121" s="59" t="n"/>
      <c r="H121" s="66" t="str">
        <f>IF(A121="","",COUNTIFS(jr_new,1,jr_type,"BR",jr_tiers,A121,jr_year,p_year))</f>
        <v/>
      </c>
      <c r="I121" s="64" t="str">
        <f>IF(A121="","",SUMIFS(jr_val,jr_type,"BR",jr_tiers,A121,jr_year,p_year))</f>
        <v/>
      </c>
      <c r="J121" s="66" t="str">
        <f>IF(A121="","",COUNTIFS(jr_type,"BR",jr_tiers,A121,jr_etat,"Avec réserves",jr_year,p_year)+COUNTIFS(jr_type,"BR",jr_tiers,A121,jr_etat,"Refusé",jr_year,p_year))</f>
        <v/>
      </c>
      <c r="K121" s="60" t="str">
        <f>IF(A121="",IF(B121="","","Code manquant"),IF(COUNTIF($A$6:$A$205,A121)&gt;1,"Code en double",IF(B121="","Raison sociale manquante","OK")))</f>
        <v/>
      </c>
      <c r="L121" s="130" t="str">
        <f>IF(OR(A121="",N(H121)=0),"",H121+I121/1000000000000)</f>
        <v/>
      </c>
      <c r="M121" s="131" t="str">
        <f>IF(L121="","",RANK(L121,$L$6:$L$205)+COUNTIF($L$6:L120,L121))</f>
        <v/>
      </c>
    </row>
    <row r="122">
      <c r="A122" s="129" t="n"/>
      <c r="B122" s="59" t="n"/>
      <c r="C122" s="59" t="n"/>
      <c r="D122" s="59" t="n"/>
      <c r="E122" s="58" t="n"/>
      <c r="F122" s="58" t="n"/>
      <c r="G122" s="59" t="n"/>
      <c r="H122" s="66" t="str">
        <f>IF(A122="","",COUNTIFS(jr_new,1,jr_type,"BR",jr_tiers,A122,jr_year,p_year))</f>
        <v/>
      </c>
      <c r="I122" s="64" t="str">
        <f>IF(A122="","",SUMIFS(jr_val,jr_type,"BR",jr_tiers,A122,jr_year,p_year))</f>
        <v/>
      </c>
      <c r="J122" s="66" t="str">
        <f>IF(A122="","",COUNTIFS(jr_type,"BR",jr_tiers,A122,jr_etat,"Avec réserves",jr_year,p_year)+COUNTIFS(jr_type,"BR",jr_tiers,A122,jr_etat,"Refusé",jr_year,p_year))</f>
        <v/>
      </c>
      <c r="K122" s="60" t="str">
        <f>IF(A122="",IF(B122="","","Code manquant"),IF(COUNTIF($A$6:$A$205,A122)&gt;1,"Code en double",IF(B122="","Raison sociale manquante","OK")))</f>
        <v/>
      </c>
      <c r="L122" s="130" t="str">
        <f>IF(OR(A122="",N(H122)=0),"",H122+I122/1000000000000)</f>
        <v/>
      </c>
      <c r="M122" s="131" t="str">
        <f>IF(L122="","",RANK(L122,$L$6:$L$205)+COUNTIF($L$6:L121,L122))</f>
        <v/>
      </c>
    </row>
    <row r="123">
      <c r="A123" s="129" t="n"/>
      <c r="B123" s="59" t="n"/>
      <c r="C123" s="59" t="n"/>
      <c r="D123" s="59" t="n"/>
      <c r="E123" s="58" t="n"/>
      <c r="F123" s="58" t="n"/>
      <c r="G123" s="59" t="n"/>
      <c r="H123" s="66" t="str">
        <f>IF(A123="","",COUNTIFS(jr_new,1,jr_type,"BR",jr_tiers,A123,jr_year,p_year))</f>
        <v/>
      </c>
      <c r="I123" s="64" t="str">
        <f>IF(A123="","",SUMIFS(jr_val,jr_type,"BR",jr_tiers,A123,jr_year,p_year))</f>
        <v/>
      </c>
      <c r="J123" s="66" t="str">
        <f>IF(A123="","",COUNTIFS(jr_type,"BR",jr_tiers,A123,jr_etat,"Avec réserves",jr_year,p_year)+COUNTIFS(jr_type,"BR",jr_tiers,A123,jr_etat,"Refusé",jr_year,p_year))</f>
        <v/>
      </c>
      <c r="K123" s="60" t="str">
        <f>IF(A123="",IF(B123="","","Code manquant"),IF(COUNTIF($A$6:$A$205,A123)&gt;1,"Code en double",IF(B123="","Raison sociale manquante","OK")))</f>
        <v/>
      </c>
      <c r="L123" s="130" t="str">
        <f>IF(OR(A123="",N(H123)=0),"",H123+I123/1000000000000)</f>
        <v/>
      </c>
      <c r="M123" s="131" t="str">
        <f>IF(L123="","",RANK(L123,$L$6:$L$205)+COUNTIF($L$6:L122,L123))</f>
        <v/>
      </c>
    </row>
    <row r="124">
      <c r="A124" s="129" t="n"/>
      <c r="B124" s="59" t="n"/>
      <c r="C124" s="59" t="n"/>
      <c r="D124" s="59" t="n"/>
      <c r="E124" s="58" t="n"/>
      <c r="F124" s="58" t="n"/>
      <c r="G124" s="59" t="n"/>
      <c r="H124" s="66" t="str">
        <f>IF(A124="","",COUNTIFS(jr_new,1,jr_type,"BR",jr_tiers,A124,jr_year,p_year))</f>
        <v/>
      </c>
      <c r="I124" s="64" t="str">
        <f>IF(A124="","",SUMIFS(jr_val,jr_type,"BR",jr_tiers,A124,jr_year,p_year))</f>
        <v/>
      </c>
      <c r="J124" s="66" t="str">
        <f>IF(A124="","",COUNTIFS(jr_type,"BR",jr_tiers,A124,jr_etat,"Avec réserves",jr_year,p_year)+COUNTIFS(jr_type,"BR",jr_tiers,A124,jr_etat,"Refusé",jr_year,p_year))</f>
        <v/>
      </c>
      <c r="K124" s="60" t="str">
        <f>IF(A124="",IF(B124="","","Code manquant"),IF(COUNTIF($A$6:$A$205,A124)&gt;1,"Code en double",IF(B124="","Raison sociale manquante","OK")))</f>
        <v/>
      </c>
      <c r="L124" s="130" t="str">
        <f>IF(OR(A124="",N(H124)=0),"",H124+I124/1000000000000)</f>
        <v/>
      </c>
      <c r="M124" s="131" t="str">
        <f>IF(L124="","",RANK(L124,$L$6:$L$205)+COUNTIF($L$6:L123,L124))</f>
        <v/>
      </c>
    </row>
    <row r="125">
      <c r="A125" s="129" t="n"/>
      <c r="B125" s="59" t="n"/>
      <c r="C125" s="59" t="n"/>
      <c r="D125" s="59" t="n"/>
      <c r="E125" s="58" t="n"/>
      <c r="F125" s="58" t="n"/>
      <c r="G125" s="59" t="n"/>
      <c r="H125" s="66" t="str">
        <f>IF(A125="","",COUNTIFS(jr_new,1,jr_type,"BR",jr_tiers,A125,jr_year,p_year))</f>
        <v/>
      </c>
      <c r="I125" s="64" t="str">
        <f>IF(A125="","",SUMIFS(jr_val,jr_type,"BR",jr_tiers,A125,jr_year,p_year))</f>
        <v/>
      </c>
      <c r="J125" s="66" t="str">
        <f>IF(A125="","",COUNTIFS(jr_type,"BR",jr_tiers,A125,jr_etat,"Avec réserves",jr_year,p_year)+COUNTIFS(jr_type,"BR",jr_tiers,A125,jr_etat,"Refusé",jr_year,p_year))</f>
        <v/>
      </c>
      <c r="K125" s="60" t="str">
        <f>IF(A125="",IF(B125="","","Code manquant"),IF(COUNTIF($A$6:$A$205,A125)&gt;1,"Code en double",IF(B125="","Raison sociale manquante","OK")))</f>
        <v/>
      </c>
      <c r="L125" s="130" t="str">
        <f>IF(OR(A125="",N(H125)=0),"",H125+I125/1000000000000)</f>
        <v/>
      </c>
      <c r="M125" s="131" t="str">
        <f>IF(L125="","",RANK(L125,$L$6:$L$205)+COUNTIF($L$6:L124,L125))</f>
        <v/>
      </c>
    </row>
    <row r="126">
      <c r="A126" s="129" t="n"/>
      <c r="B126" s="59" t="n"/>
      <c r="C126" s="59" t="n"/>
      <c r="D126" s="59" t="n"/>
      <c r="E126" s="58" t="n"/>
      <c r="F126" s="58" t="n"/>
      <c r="G126" s="59" t="n"/>
      <c r="H126" s="66" t="str">
        <f>IF(A126="","",COUNTIFS(jr_new,1,jr_type,"BR",jr_tiers,A126,jr_year,p_year))</f>
        <v/>
      </c>
      <c r="I126" s="64" t="str">
        <f>IF(A126="","",SUMIFS(jr_val,jr_type,"BR",jr_tiers,A126,jr_year,p_year))</f>
        <v/>
      </c>
      <c r="J126" s="66" t="str">
        <f>IF(A126="","",COUNTIFS(jr_type,"BR",jr_tiers,A126,jr_etat,"Avec réserves",jr_year,p_year)+COUNTIFS(jr_type,"BR",jr_tiers,A126,jr_etat,"Refusé",jr_year,p_year))</f>
        <v/>
      </c>
      <c r="K126" s="60" t="str">
        <f>IF(A126="",IF(B126="","","Code manquant"),IF(COUNTIF($A$6:$A$205,A126)&gt;1,"Code en double",IF(B126="","Raison sociale manquante","OK")))</f>
        <v/>
      </c>
      <c r="L126" s="130" t="str">
        <f>IF(OR(A126="",N(H126)=0),"",H126+I126/1000000000000)</f>
        <v/>
      </c>
      <c r="M126" s="131" t="str">
        <f>IF(L126="","",RANK(L126,$L$6:$L$205)+COUNTIF($L$6:L125,L126))</f>
        <v/>
      </c>
    </row>
    <row r="127">
      <c r="A127" s="129" t="n"/>
      <c r="B127" s="59" t="n"/>
      <c r="C127" s="59" t="n"/>
      <c r="D127" s="59" t="n"/>
      <c r="E127" s="58" t="n"/>
      <c r="F127" s="58" t="n"/>
      <c r="G127" s="59" t="n"/>
      <c r="H127" s="66" t="str">
        <f>IF(A127="","",COUNTIFS(jr_new,1,jr_type,"BR",jr_tiers,A127,jr_year,p_year))</f>
        <v/>
      </c>
      <c r="I127" s="64" t="str">
        <f>IF(A127="","",SUMIFS(jr_val,jr_type,"BR",jr_tiers,A127,jr_year,p_year))</f>
        <v/>
      </c>
      <c r="J127" s="66" t="str">
        <f>IF(A127="","",COUNTIFS(jr_type,"BR",jr_tiers,A127,jr_etat,"Avec réserves",jr_year,p_year)+COUNTIFS(jr_type,"BR",jr_tiers,A127,jr_etat,"Refusé",jr_year,p_year))</f>
        <v/>
      </c>
      <c r="K127" s="60" t="str">
        <f>IF(A127="",IF(B127="","","Code manquant"),IF(COUNTIF($A$6:$A$205,A127)&gt;1,"Code en double",IF(B127="","Raison sociale manquante","OK")))</f>
        <v/>
      </c>
      <c r="L127" s="130" t="str">
        <f>IF(OR(A127="",N(H127)=0),"",H127+I127/1000000000000)</f>
        <v/>
      </c>
      <c r="M127" s="131" t="str">
        <f>IF(L127="","",RANK(L127,$L$6:$L$205)+COUNTIF($L$6:L126,L127))</f>
        <v/>
      </c>
    </row>
    <row r="128">
      <c r="A128" s="129" t="n"/>
      <c r="B128" s="59" t="n"/>
      <c r="C128" s="59" t="n"/>
      <c r="D128" s="59" t="n"/>
      <c r="E128" s="58" t="n"/>
      <c r="F128" s="58" t="n"/>
      <c r="G128" s="59" t="n"/>
      <c r="H128" s="66" t="str">
        <f>IF(A128="","",COUNTIFS(jr_new,1,jr_type,"BR",jr_tiers,A128,jr_year,p_year))</f>
        <v/>
      </c>
      <c r="I128" s="64" t="str">
        <f>IF(A128="","",SUMIFS(jr_val,jr_type,"BR",jr_tiers,A128,jr_year,p_year))</f>
        <v/>
      </c>
      <c r="J128" s="66" t="str">
        <f>IF(A128="","",COUNTIFS(jr_type,"BR",jr_tiers,A128,jr_etat,"Avec réserves",jr_year,p_year)+COUNTIFS(jr_type,"BR",jr_tiers,A128,jr_etat,"Refusé",jr_year,p_year))</f>
        <v/>
      </c>
      <c r="K128" s="60" t="str">
        <f>IF(A128="",IF(B128="","","Code manquant"),IF(COUNTIF($A$6:$A$205,A128)&gt;1,"Code en double",IF(B128="","Raison sociale manquante","OK")))</f>
        <v/>
      </c>
      <c r="L128" s="130" t="str">
        <f>IF(OR(A128="",N(H128)=0),"",H128+I128/1000000000000)</f>
        <v/>
      </c>
      <c r="M128" s="131" t="str">
        <f>IF(L128="","",RANK(L128,$L$6:$L$205)+COUNTIF($L$6:L127,L128))</f>
        <v/>
      </c>
    </row>
    <row r="129">
      <c r="A129" s="129" t="n"/>
      <c r="B129" s="59" t="n"/>
      <c r="C129" s="59" t="n"/>
      <c r="D129" s="59" t="n"/>
      <c r="E129" s="58" t="n"/>
      <c r="F129" s="58" t="n"/>
      <c r="G129" s="59" t="n"/>
      <c r="H129" s="66" t="str">
        <f>IF(A129="","",COUNTIFS(jr_new,1,jr_type,"BR",jr_tiers,A129,jr_year,p_year))</f>
        <v/>
      </c>
      <c r="I129" s="64" t="str">
        <f>IF(A129="","",SUMIFS(jr_val,jr_type,"BR",jr_tiers,A129,jr_year,p_year))</f>
        <v/>
      </c>
      <c r="J129" s="66" t="str">
        <f>IF(A129="","",COUNTIFS(jr_type,"BR",jr_tiers,A129,jr_etat,"Avec réserves",jr_year,p_year)+COUNTIFS(jr_type,"BR",jr_tiers,A129,jr_etat,"Refusé",jr_year,p_year))</f>
        <v/>
      </c>
      <c r="K129" s="60" t="str">
        <f>IF(A129="",IF(B129="","","Code manquant"),IF(COUNTIF($A$6:$A$205,A129)&gt;1,"Code en double",IF(B129="","Raison sociale manquante","OK")))</f>
        <v/>
      </c>
      <c r="L129" s="130" t="str">
        <f>IF(OR(A129="",N(H129)=0),"",H129+I129/1000000000000)</f>
        <v/>
      </c>
      <c r="M129" s="131" t="str">
        <f>IF(L129="","",RANK(L129,$L$6:$L$205)+COUNTIF($L$6:L128,L129))</f>
        <v/>
      </c>
    </row>
    <row r="130">
      <c r="A130" s="129" t="n"/>
      <c r="B130" s="59" t="n"/>
      <c r="C130" s="59" t="n"/>
      <c r="D130" s="59" t="n"/>
      <c r="E130" s="58" t="n"/>
      <c r="F130" s="58" t="n"/>
      <c r="G130" s="59" t="n"/>
      <c r="H130" s="66" t="str">
        <f>IF(A130="","",COUNTIFS(jr_new,1,jr_type,"BR",jr_tiers,A130,jr_year,p_year))</f>
        <v/>
      </c>
      <c r="I130" s="64" t="str">
        <f>IF(A130="","",SUMIFS(jr_val,jr_type,"BR",jr_tiers,A130,jr_year,p_year))</f>
        <v/>
      </c>
      <c r="J130" s="66" t="str">
        <f>IF(A130="","",COUNTIFS(jr_type,"BR",jr_tiers,A130,jr_etat,"Avec réserves",jr_year,p_year)+COUNTIFS(jr_type,"BR",jr_tiers,A130,jr_etat,"Refusé",jr_year,p_year))</f>
        <v/>
      </c>
      <c r="K130" s="60" t="str">
        <f>IF(A130="",IF(B130="","","Code manquant"),IF(COUNTIF($A$6:$A$205,A130)&gt;1,"Code en double",IF(B130="","Raison sociale manquante","OK")))</f>
        <v/>
      </c>
      <c r="L130" s="130" t="str">
        <f>IF(OR(A130="",N(H130)=0),"",H130+I130/1000000000000)</f>
        <v/>
      </c>
      <c r="M130" s="131" t="str">
        <f>IF(L130="","",RANK(L130,$L$6:$L$205)+COUNTIF($L$6:L129,L130))</f>
        <v/>
      </c>
    </row>
    <row r="131">
      <c r="A131" s="129" t="n"/>
      <c r="B131" s="59" t="n"/>
      <c r="C131" s="59" t="n"/>
      <c r="D131" s="59" t="n"/>
      <c r="E131" s="58" t="n"/>
      <c r="F131" s="58" t="n"/>
      <c r="G131" s="59" t="n"/>
      <c r="H131" s="66" t="str">
        <f>IF(A131="","",COUNTIFS(jr_new,1,jr_type,"BR",jr_tiers,A131,jr_year,p_year))</f>
        <v/>
      </c>
      <c r="I131" s="64" t="str">
        <f>IF(A131="","",SUMIFS(jr_val,jr_type,"BR",jr_tiers,A131,jr_year,p_year))</f>
        <v/>
      </c>
      <c r="J131" s="66" t="str">
        <f>IF(A131="","",COUNTIFS(jr_type,"BR",jr_tiers,A131,jr_etat,"Avec réserves",jr_year,p_year)+COUNTIFS(jr_type,"BR",jr_tiers,A131,jr_etat,"Refusé",jr_year,p_year))</f>
        <v/>
      </c>
      <c r="K131" s="60" t="str">
        <f>IF(A131="",IF(B131="","","Code manquant"),IF(COUNTIF($A$6:$A$205,A131)&gt;1,"Code en double",IF(B131="","Raison sociale manquante","OK")))</f>
        <v/>
      </c>
      <c r="L131" s="130" t="str">
        <f>IF(OR(A131="",N(H131)=0),"",H131+I131/1000000000000)</f>
        <v/>
      </c>
      <c r="M131" s="131" t="str">
        <f>IF(L131="","",RANK(L131,$L$6:$L$205)+COUNTIF($L$6:L130,L131))</f>
        <v/>
      </c>
    </row>
    <row r="132">
      <c r="A132" s="129" t="n"/>
      <c r="B132" s="59" t="n"/>
      <c r="C132" s="59" t="n"/>
      <c r="D132" s="59" t="n"/>
      <c r="E132" s="58" t="n"/>
      <c r="F132" s="58" t="n"/>
      <c r="G132" s="59" t="n"/>
      <c r="H132" s="66" t="str">
        <f>IF(A132="","",COUNTIFS(jr_new,1,jr_type,"BR",jr_tiers,A132,jr_year,p_year))</f>
        <v/>
      </c>
      <c r="I132" s="64" t="str">
        <f>IF(A132="","",SUMIFS(jr_val,jr_type,"BR",jr_tiers,A132,jr_year,p_year))</f>
        <v/>
      </c>
      <c r="J132" s="66" t="str">
        <f>IF(A132="","",COUNTIFS(jr_type,"BR",jr_tiers,A132,jr_etat,"Avec réserves",jr_year,p_year)+COUNTIFS(jr_type,"BR",jr_tiers,A132,jr_etat,"Refusé",jr_year,p_year))</f>
        <v/>
      </c>
      <c r="K132" s="60" t="str">
        <f>IF(A132="",IF(B132="","","Code manquant"),IF(COUNTIF($A$6:$A$205,A132)&gt;1,"Code en double",IF(B132="","Raison sociale manquante","OK")))</f>
        <v/>
      </c>
      <c r="L132" s="130" t="str">
        <f>IF(OR(A132="",N(H132)=0),"",H132+I132/1000000000000)</f>
        <v/>
      </c>
      <c r="M132" s="131" t="str">
        <f>IF(L132="","",RANK(L132,$L$6:$L$205)+COUNTIF($L$6:L131,L132))</f>
        <v/>
      </c>
    </row>
    <row r="133">
      <c r="A133" s="129" t="n"/>
      <c r="B133" s="59" t="n"/>
      <c r="C133" s="59" t="n"/>
      <c r="D133" s="59" t="n"/>
      <c r="E133" s="58" t="n"/>
      <c r="F133" s="58" t="n"/>
      <c r="G133" s="59" t="n"/>
      <c r="H133" s="66" t="str">
        <f>IF(A133="","",COUNTIFS(jr_new,1,jr_type,"BR",jr_tiers,A133,jr_year,p_year))</f>
        <v/>
      </c>
      <c r="I133" s="64" t="str">
        <f>IF(A133="","",SUMIFS(jr_val,jr_type,"BR",jr_tiers,A133,jr_year,p_year))</f>
        <v/>
      </c>
      <c r="J133" s="66" t="str">
        <f>IF(A133="","",COUNTIFS(jr_type,"BR",jr_tiers,A133,jr_etat,"Avec réserves",jr_year,p_year)+COUNTIFS(jr_type,"BR",jr_tiers,A133,jr_etat,"Refusé",jr_year,p_year))</f>
        <v/>
      </c>
      <c r="K133" s="60" t="str">
        <f>IF(A133="",IF(B133="","","Code manquant"),IF(COUNTIF($A$6:$A$205,A133)&gt;1,"Code en double",IF(B133="","Raison sociale manquante","OK")))</f>
        <v/>
      </c>
      <c r="L133" s="130" t="str">
        <f>IF(OR(A133="",N(H133)=0),"",H133+I133/1000000000000)</f>
        <v/>
      </c>
      <c r="M133" s="131" t="str">
        <f>IF(L133="","",RANK(L133,$L$6:$L$205)+COUNTIF($L$6:L132,L133))</f>
        <v/>
      </c>
    </row>
    <row r="134">
      <c r="A134" s="129" t="n"/>
      <c r="B134" s="59" t="n"/>
      <c r="C134" s="59" t="n"/>
      <c r="D134" s="59" t="n"/>
      <c r="E134" s="58" t="n"/>
      <c r="F134" s="58" t="n"/>
      <c r="G134" s="59" t="n"/>
      <c r="H134" s="66" t="str">
        <f>IF(A134="","",COUNTIFS(jr_new,1,jr_type,"BR",jr_tiers,A134,jr_year,p_year))</f>
        <v/>
      </c>
      <c r="I134" s="64" t="str">
        <f>IF(A134="","",SUMIFS(jr_val,jr_type,"BR",jr_tiers,A134,jr_year,p_year))</f>
        <v/>
      </c>
      <c r="J134" s="66" t="str">
        <f>IF(A134="","",COUNTIFS(jr_type,"BR",jr_tiers,A134,jr_etat,"Avec réserves",jr_year,p_year)+COUNTIFS(jr_type,"BR",jr_tiers,A134,jr_etat,"Refusé",jr_year,p_year))</f>
        <v/>
      </c>
      <c r="K134" s="60" t="str">
        <f>IF(A134="",IF(B134="","","Code manquant"),IF(COUNTIF($A$6:$A$205,A134)&gt;1,"Code en double",IF(B134="","Raison sociale manquante","OK")))</f>
        <v/>
      </c>
      <c r="L134" s="130" t="str">
        <f>IF(OR(A134="",N(H134)=0),"",H134+I134/1000000000000)</f>
        <v/>
      </c>
      <c r="M134" s="131" t="str">
        <f>IF(L134="","",RANK(L134,$L$6:$L$205)+COUNTIF($L$6:L133,L134))</f>
        <v/>
      </c>
    </row>
    <row r="135">
      <c r="A135" s="129" t="n"/>
      <c r="B135" s="59" t="n"/>
      <c r="C135" s="59" t="n"/>
      <c r="D135" s="59" t="n"/>
      <c r="E135" s="58" t="n"/>
      <c r="F135" s="58" t="n"/>
      <c r="G135" s="59" t="n"/>
      <c r="H135" s="66" t="str">
        <f>IF(A135="","",COUNTIFS(jr_new,1,jr_type,"BR",jr_tiers,A135,jr_year,p_year))</f>
        <v/>
      </c>
      <c r="I135" s="64" t="str">
        <f>IF(A135="","",SUMIFS(jr_val,jr_type,"BR",jr_tiers,A135,jr_year,p_year))</f>
        <v/>
      </c>
      <c r="J135" s="66" t="str">
        <f>IF(A135="","",COUNTIFS(jr_type,"BR",jr_tiers,A135,jr_etat,"Avec réserves",jr_year,p_year)+COUNTIFS(jr_type,"BR",jr_tiers,A135,jr_etat,"Refusé",jr_year,p_year))</f>
        <v/>
      </c>
      <c r="K135" s="60" t="str">
        <f>IF(A135="",IF(B135="","","Code manquant"),IF(COUNTIF($A$6:$A$205,A135)&gt;1,"Code en double",IF(B135="","Raison sociale manquante","OK")))</f>
        <v/>
      </c>
      <c r="L135" s="130" t="str">
        <f>IF(OR(A135="",N(H135)=0),"",H135+I135/1000000000000)</f>
        <v/>
      </c>
      <c r="M135" s="131" t="str">
        <f>IF(L135="","",RANK(L135,$L$6:$L$205)+COUNTIF($L$6:L134,L135))</f>
        <v/>
      </c>
    </row>
    <row r="136">
      <c r="A136" s="129" t="n"/>
      <c r="B136" s="59" t="n"/>
      <c r="C136" s="59" t="n"/>
      <c r="D136" s="59" t="n"/>
      <c r="E136" s="58" t="n"/>
      <c r="F136" s="58" t="n"/>
      <c r="G136" s="59" t="n"/>
      <c r="H136" s="66" t="str">
        <f>IF(A136="","",COUNTIFS(jr_new,1,jr_type,"BR",jr_tiers,A136,jr_year,p_year))</f>
        <v/>
      </c>
      <c r="I136" s="64" t="str">
        <f>IF(A136="","",SUMIFS(jr_val,jr_type,"BR",jr_tiers,A136,jr_year,p_year))</f>
        <v/>
      </c>
      <c r="J136" s="66" t="str">
        <f>IF(A136="","",COUNTIFS(jr_type,"BR",jr_tiers,A136,jr_etat,"Avec réserves",jr_year,p_year)+COUNTIFS(jr_type,"BR",jr_tiers,A136,jr_etat,"Refusé",jr_year,p_year))</f>
        <v/>
      </c>
      <c r="K136" s="60" t="str">
        <f>IF(A136="",IF(B136="","","Code manquant"),IF(COUNTIF($A$6:$A$205,A136)&gt;1,"Code en double",IF(B136="","Raison sociale manquante","OK")))</f>
        <v/>
      </c>
      <c r="L136" s="130" t="str">
        <f>IF(OR(A136="",N(H136)=0),"",H136+I136/1000000000000)</f>
        <v/>
      </c>
      <c r="M136" s="131" t="str">
        <f>IF(L136="","",RANK(L136,$L$6:$L$205)+COUNTIF($L$6:L135,L136))</f>
        <v/>
      </c>
    </row>
    <row r="137">
      <c r="A137" s="129" t="n"/>
      <c r="B137" s="59" t="n"/>
      <c r="C137" s="59" t="n"/>
      <c r="D137" s="59" t="n"/>
      <c r="E137" s="58" t="n"/>
      <c r="F137" s="58" t="n"/>
      <c r="G137" s="59" t="n"/>
      <c r="H137" s="66" t="str">
        <f>IF(A137="","",COUNTIFS(jr_new,1,jr_type,"BR",jr_tiers,A137,jr_year,p_year))</f>
        <v/>
      </c>
      <c r="I137" s="64" t="str">
        <f>IF(A137="","",SUMIFS(jr_val,jr_type,"BR",jr_tiers,A137,jr_year,p_year))</f>
        <v/>
      </c>
      <c r="J137" s="66" t="str">
        <f>IF(A137="","",COUNTIFS(jr_type,"BR",jr_tiers,A137,jr_etat,"Avec réserves",jr_year,p_year)+COUNTIFS(jr_type,"BR",jr_tiers,A137,jr_etat,"Refusé",jr_year,p_year))</f>
        <v/>
      </c>
      <c r="K137" s="60" t="str">
        <f>IF(A137="",IF(B137="","","Code manquant"),IF(COUNTIF($A$6:$A$205,A137)&gt;1,"Code en double",IF(B137="","Raison sociale manquante","OK")))</f>
        <v/>
      </c>
      <c r="L137" s="130" t="str">
        <f>IF(OR(A137="",N(H137)=0),"",H137+I137/1000000000000)</f>
        <v/>
      </c>
      <c r="M137" s="131" t="str">
        <f>IF(L137="","",RANK(L137,$L$6:$L$205)+COUNTIF($L$6:L136,L137))</f>
        <v/>
      </c>
    </row>
    <row r="138">
      <c r="A138" s="129" t="n"/>
      <c r="B138" s="59" t="n"/>
      <c r="C138" s="59" t="n"/>
      <c r="D138" s="59" t="n"/>
      <c r="E138" s="58" t="n"/>
      <c r="F138" s="58" t="n"/>
      <c r="G138" s="59" t="n"/>
      <c r="H138" s="66" t="str">
        <f>IF(A138="","",COUNTIFS(jr_new,1,jr_type,"BR",jr_tiers,A138,jr_year,p_year))</f>
        <v/>
      </c>
      <c r="I138" s="64" t="str">
        <f>IF(A138="","",SUMIFS(jr_val,jr_type,"BR",jr_tiers,A138,jr_year,p_year))</f>
        <v/>
      </c>
      <c r="J138" s="66" t="str">
        <f>IF(A138="","",COUNTIFS(jr_type,"BR",jr_tiers,A138,jr_etat,"Avec réserves",jr_year,p_year)+COUNTIFS(jr_type,"BR",jr_tiers,A138,jr_etat,"Refusé",jr_year,p_year))</f>
        <v/>
      </c>
      <c r="K138" s="60" t="str">
        <f>IF(A138="",IF(B138="","","Code manquant"),IF(COUNTIF($A$6:$A$205,A138)&gt;1,"Code en double",IF(B138="","Raison sociale manquante","OK")))</f>
        <v/>
      </c>
      <c r="L138" s="130" t="str">
        <f>IF(OR(A138="",N(H138)=0),"",H138+I138/1000000000000)</f>
        <v/>
      </c>
      <c r="M138" s="131" t="str">
        <f>IF(L138="","",RANK(L138,$L$6:$L$205)+COUNTIF($L$6:L137,L138))</f>
        <v/>
      </c>
    </row>
    <row r="139">
      <c r="A139" s="129" t="n"/>
      <c r="B139" s="59" t="n"/>
      <c r="C139" s="59" t="n"/>
      <c r="D139" s="59" t="n"/>
      <c r="E139" s="58" t="n"/>
      <c r="F139" s="58" t="n"/>
      <c r="G139" s="59" t="n"/>
      <c r="H139" s="66" t="str">
        <f>IF(A139="","",COUNTIFS(jr_new,1,jr_type,"BR",jr_tiers,A139,jr_year,p_year))</f>
        <v/>
      </c>
      <c r="I139" s="64" t="str">
        <f>IF(A139="","",SUMIFS(jr_val,jr_type,"BR",jr_tiers,A139,jr_year,p_year))</f>
        <v/>
      </c>
      <c r="J139" s="66" t="str">
        <f>IF(A139="","",COUNTIFS(jr_type,"BR",jr_tiers,A139,jr_etat,"Avec réserves",jr_year,p_year)+COUNTIFS(jr_type,"BR",jr_tiers,A139,jr_etat,"Refusé",jr_year,p_year))</f>
        <v/>
      </c>
      <c r="K139" s="60" t="str">
        <f>IF(A139="",IF(B139="","","Code manquant"),IF(COUNTIF($A$6:$A$205,A139)&gt;1,"Code en double",IF(B139="","Raison sociale manquante","OK")))</f>
        <v/>
      </c>
      <c r="L139" s="130" t="str">
        <f>IF(OR(A139="",N(H139)=0),"",H139+I139/1000000000000)</f>
        <v/>
      </c>
      <c r="M139" s="131" t="str">
        <f>IF(L139="","",RANK(L139,$L$6:$L$205)+COUNTIF($L$6:L138,L139))</f>
        <v/>
      </c>
    </row>
    <row r="140">
      <c r="A140" s="129" t="n"/>
      <c r="B140" s="59" t="n"/>
      <c r="C140" s="59" t="n"/>
      <c r="D140" s="59" t="n"/>
      <c r="E140" s="58" t="n"/>
      <c r="F140" s="58" t="n"/>
      <c r="G140" s="59" t="n"/>
      <c r="H140" s="66" t="str">
        <f>IF(A140="","",COUNTIFS(jr_new,1,jr_type,"BR",jr_tiers,A140,jr_year,p_year))</f>
        <v/>
      </c>
      <c r="I140" s="64" t="str">
        <f>IF(A140="","",SUMIFS(jr_val,jr_type,"BR",jr_tiers,A140,jr_year,p_year))</f>
        <v/>
      </c>
      <c r="J140" s="66" t="str">
        <f>IF(A140="","",COUNTIFS(jr_type,"BR",jr_tiers,A140,jr_etat,"Avec réserves",jr_year,p_year)+COUNTIFS(jr_type,"BR",jr_tiers,A140,jr_etat,"Refusé",jr_year,p_year))</f>
        <v/>
      </c>
      <c r="K140" s="60" t="str">
        <f>IF(A140="",IF(B140="","","Code manquant"),IF(COUNTIF($A$6:$A$205,A140)&gt;1,"Code en double",IF(B140="","Raison sociale manquante","OK")))</f>
        <v/>
      </c>
      <c r="L140" s="130" t="str">
        <f>IF(OR(A140="",N(H140)=0),"",H140+I140/1000000000000)</f>
        <v/>
      </c>
      <c r="M140" s="131" t="str">
        <f>IF(L140="","",RANK(L140,$L$6:$L$205)+COUNTIF($L$6:L139,L140))</f>
        <v/>
      </c>
    </row>
    <row r="141">
      <c r="A141" s="129" t="n"/>
      <c r="B141" s="59" t="n"/>
      <c r="C141" s="59" t="n"/>
      <c r="D141" s="59" t="n"/>
      <c r="E141" s="58" t="n"/>
      <c r="F141" s="58" t="n"/>
      <c r="G141" s="59" t="n"/>
      <c r="H141" s="66" t="str">
        <f>IF(A141="","",COUNTIFS(jr_new,1,jr_type,"BR",jr_tiers,A141,jr_year,p_year))</f>
        <v/>
      </c>
      <c r="I141" s="64" t="str">
        <f>IF(A141="","",SUMIFS(jr_val,jr_type,"BR",jr_tiers,A141,jr_year,p_year))</f>
        <v/>
      </c>
      <c r="J141" s="66" t="str">
        <f>IF(A141="","",COUNTIFS(jr_type,"BR",jr_tiers,A141,jr_etat,"Avec réserves",jr_year,p_year)+COUNTIFS(jr_type,"BR",jr_tiers,A141,jr_etat,"Refusé",jr_year,p_year))</f>
        <v/>
      </c>
      <c r="K141" s="60" t="str">
        <f>IF(A141="",IF(B141="","","Code manquant"),IF(COUNTIF($A$6:$A$205,A141)&gt;1,"Code en double",IF(B141="","Raison sociale manquante","OK")))</f>
        <v/>
      </c>
      <c r="L141" s="130" t="str">
        <f>IF(OR(A141="",N(H141)=0),"",H141+I141/1000000000000)</f>
        <v/>
      </c>
      <c r="M141" s="131" t="str">
        <f>IF(L141="","",RANK(L141,$L$6:$L$205)+COUNTIF($L$6:L140,L141))</f>
        <v/>
      </c>
    </row>
    <row r="142">
      <c r="A142" s="129" t="n"/>
      <c r="B142" s="59" t="n"/>
      <c r="C142" s="59" t="n"/>
      <c r="D142" s="59" t="n"/>
      <c r="E142" s="58" t="n"/>
      <c r="F142" s="58" t="n"/>
      <c r="G142" s="59" t="n"/>
      <c r="H142" s="66" t="str">
        <f>IF(A142="","",COUNTIFS(jr_new,1,jr_type,"BR",jr_tiers,A142,jr_year,p_year))</f>
        <v/>
      </c>
      <c r="I142" s="64" t="str">
        <f>IF(A142="","",SUMIFS(jr_val,jr_type,"BR",jr_tiers,A142,jr_year,p_year))</f>
        <v/>
      </c>
      <c r="J142" s="66" t="str">
        <f>IF(A142="","",COUNTIFS(jr_type,"BR",jr_tiers,A142,jr_etat,"Avec réserves",jr_year,p_year)+COUNTIFS(jr_type,"BR",jr_tiers,A142,jr_etat,"Refusé",jr_year,p_year))</f>
        <v/>
      </c>
      <c r="K142" s="60" t="str">
        <f>IF(A142="",IF(B142="","","Code manquant"),IF(COUNTIF($A$6:$A$205,A142)&gt;1,"Code en double",IF(B142="","Raison sociale manquante","OK")))</f>
        <v/>
      </c>
      <c r="L142" s="130" t="str">
        <f>IF(OR(A142="",N(H142)=0),"",H142+I142/1000000000000)</f>
        <v/>
      </c>
      <c r="M142" s="131" t="str">
        <f>IF(L142="","",RANK(L142,$L$6:$L$205)+COUNTIF($L$6:L141,L142))</f>
        <v/>
      </c>
    </row>
    <row r="143">
      <c r="A143" s="129" t="n"/>
      <c r="B143" s="59" t="n"/>
      <c r="C143" s="59" t="n"/>
      <c r="D143" s="59" t="n"/>
      <c r="E143" s="58" t="n"/>
      <c r="F143" s="58" t="n"/>
      <c r="G143" s="59" t="n"/>
      <c r="H143" s="66" t="str">
        <f>IF(A143="","",COUNTIFS(jr_new,1,jr_type,"BR",jr_tiers,A143,jr_year,p_year))</f>
        <v/>
      </c>
      <c r="I143" s="64" t="str">
        <f>IF(A143="","",SUMIFS(jr_val,jr_type,"BR",jr_tiers,A143,jr_year,p_year))</f>
        <v/>
      </c>
      <c r="J143" s="66" t="str">
        <f>IF(A143="","",COUNTIFS(jr_type,"BR",jr_tiers,A143,jr_etat,"Avec réserves",jr_year,p_year)+COUNTIFS(jr_type,"BR",jr_tiers,A143,jr_etat,"Refusé",jr_year,p_year))</f>
        <v/>
      </c>
      <c r="K143" s="60" t="str">
        <f>IF(A143="",IF(B143="","","Code manquant"),IF(COUNTIF($A$6:$A$205,A143)&gt;1,"Code en double",IF(B143="","Raison sociale manquante","OK")))</f>
        <v/>
      </c>
      <c r="L143" s="130" t="str">
        <f>IF(OR(A143="",N(H143)=0),"",H143+I143/1000000000000)</f>
        <v/>
      </c>
      <c r="M143" s="131" t="str">
        <f>IF(L143="","",RANK(L143,$L$6:$L$205)+COUNTIF($L$6:L142,L143))</f>
        <v/>
      </c>
    </row>
    <row r="144">
      <c r="A144" s="129" t="n"/>
      <c r="B144" s="59" t="n"/>
      <c r="C144" s="59" t="n"/>
      <c r="D144" s="59" t="n"/>
      <c r="E144" s="58" t="n"/>
      <c r="F144" s="58" t="n"/>
      <c r="G144" s="59" t="n"/>
      <c r="H144" s="66" t="str">
        <f>IF(A144="","",COUNTIFS(jr_new,1,jr_type,"BR",jr_tiers,A144,jr_year,p_year))</f>
        <v/>
      </c>
      <c r="I144" s="64" t="str">
        <f>IF(A144="","",SUMIFS(jr_val,jr_type,"BR",jr_tiers,A144,jr_year,p_year))</f>
        <v/>
      </c>
      <c r="J144" s="66" t="str">
        <f>IF(A144="","",COUNTIFS(jr_type,"BR",jr_tiers,A144,jr_etat,"Avec réserves",jr_year,p_year)+COUNTIFS(jr_type,"BR",jr_tiers,A144,jr_etat,"Refusé",jr_year,p_year))</f>
        <v/>
      </c>
      <c r="K144" s="60" t="str">
        <f>IF(A144="",IF(B144="","","Code manquant"),IF(COUNTIF($A$6:$A$205,A144)&gt;1,"Code en double",IF(B144="","Raison sociale manquante","OK")))</f>
        <v/>
      </c>
      <c r="L144" s="130" t="str">
        <f>IF(OR(A144="",N(H144)=0),"",H144+I144/1000000000000)</f>
        <v/>
      </c>
      <c r="M144" s="131" t="str">
        <f>IF(L144="","",RANK(L144,$L$6:$L$205)+COUNTIF($L$6:L143,L144))</f>
        <v/>
      </c>
    </row>
    <row r="145">
      <c r="A145" s="129" t="n"/>
      <c r="B145" s="59" t="n"/>
      <c r="C145" s="59" t="n"/>
      <c r="D145" s="59" t="n"/>
      <c r="E145" s="58" t="n"/>
      <c r="F145" s="58" t="n"/>
      <c r="G145" s="59" t="n"/>
      <c r="H145" s="66" t="str">
        <f>IF(A145="","",COUNTIFS(jr_new,1,jr_type,"BR",jr_tiers,A145,jr_year,p_year))</f>
        <v/>
      </c>
      <c r="I145" s="64" t="str">
        <f>IF(A145="","",SUMIFS(jr_val,jr_type,"BR",jr_tiers,A145,jr_year,p_year))</f>
        <v/>
      </c>
      <c r="J145" s="66" t="str">
        <f>IF(A145="","",COUNTIFS(jr_type,"BR",jr_tiers,A145,jr_etat,"Avec réserves",jr_year,p_year)+COUNTIFS(jr_type,"BR",jr_tiers,A145,jr_etat,"Refusé",jr_year,p_year))</f>
        <v/>
      </c>
      <c r="K145" s="60" t="str">
        <f>IF(A145="",IF(B145="","","Code manquant"),IF(COUNTIF($A$6:$A$205,A145)&gt;1,"Code en double",IF(B145="","Raison sociale manquante","OK")))</f>
        <v/>
      </c>
      <c r="L145" s="130" t="str">
        <f>IF(OR(A145="",N(H145)=0),"",H145+I145/1000000000000)</f>
        <v/>
      </c>
      <c r="M145" s="131" t="str">
        <f>IF(L145="","",RANK(L145,$L$6:$L$205)+COUNTIF($L$6:L144,L145))</f>
        <v/>
      </c>
    </row>
    <row r="146">
      <c r="A146" s="129" t="n"/>
      <c r="B146" s="59" t="n"/>
      <c r="C146" s="59" t="n"/>
      <c r="D146" s="59" t="n"/>
      <c r="E146" s="58" t="n"/>
      <c r="F146" s="58" t="n"/>
      <c r="G146" s="59" t="n"/>
      <c r="H146" s="66" t="str">
        <f>IF(A146="","",COUNTIFS(jr_new,1,jr_type,"BR",jr_tiers,A146,jr_year,p_year))</f>
        <v/>
      </c>
      <c r="I146" s="64" t="str">
        <f>IF(A146="","",SUMIFS(jr_val,jr_type,"BR",jr_tiers,A146,jr_year,p_year))</f>
        <v/>
      </c>
      <c r="J146" s="66" t="str">
        <f>IF(A146="","",COUNTIFS(jr_type,"BR",jr_tiers,A146,jr_etat,"Avec réserves",jr_year,p_year)+COUNTIFS(jr_type,"BR",jr_tiers,A146,jr_etat,"Refusé",jr_year,p_year))</f>
        <v/>
      </c>
      <c r="K146" s="60" t="str">
        <f>IF(A146="",IF(B146="","","Code manquant"),IF(COUNTIF($A$6:$A$205,A146)&gt;1,"Code en double",IF(B146="","Raison sociale manquante","OK")))</f>
        <v/>
      </c>
      <c r="L146" s="130" t="str">
        <f>IF(OR(A146="",N(H146)=0),"",H146+I146/1000000000000)</f>
        <v/>
      </c>
      <c r="M146" s="131" t="str">
        <f>IF(L146="","",RANK(L146,$L$6:$L$205)+COUNTIF($L$6:L145,L146))</f>
        <v/>
      </c>
    </row>
    <row r="147">
      <c r="A147" s="129" t="n"/>
      <c r="B147" s="59" t="n"/>
      <c r="C147" s="59" t="n"/>
      <c r="D147" s="59" t="n"/>
      <c r="E147" s="58" t="n"/>
      <c r="F147" s="58" t="n"/>
      <c r="G147" s="59" t="n"/>
      <c r="H147" s="66" t="str">
        <f>IF(A147="","",COUNTIFS(jr_new,1,jr_type,"BR",jr_tiers,A147,jr_year,p_year))</f>
        <v/>
      </c>
      <c r="I147" s="64" t="str">
        <f>IF(A147="","",SUMIFS(jr_val,jr_type,"BR",jr_tiers,A147,jr_year,p_year))</f>
        <v/>
      </c>
      <c r="J147" s="66" t="str">
        <f>IF(A147="","",COUNTIFS(jr_type,"BR",jr_tiers,A147,jr_etat,"Avec réserves",jr_year,p_year)+COUNTIFS(jr_type,"BR",jr_tiers,A147,jr_etat,"Refusé",jr_year,p_year))</f>
        <v/>
      </c>
      <c r="K147" s="60" t="str">
        <f>IF(A147="",IF(B147="","","Code manquant"),IF(COUNTIF($A$6:$A$205,A147)&gt;1,"Code en double",IF(B147="","Raison sociale manquante","OK")))</f>
        <v/>
      </c>
      <c r="L147" s="130" t="str">
        <f>IF(OR(A147="",N(H147)=0),"",H147+I147/1000000000000)</f>
        <v/>
      </c>
      <c r="M147" s="131" t="str">
        <f>IF(L147="","",RANK(L147,$L$6:$L$205)+COUNTIF($L$6:L146,L147))</f>
        <v/>
      </c>
    </row>
    <row r="148">
      <c r="A148" s="129" t="n"/>
      <c r="B148" s="59" t="n"/>
      <c r="C148" s="59" t="n"/>
      <c r="D148" s="59" t="n"/>
      <c r="E148" s="58" t="n"/>
      <c r="F148" s="58" t="n"/>
      <c r="G148" s="59" t="n"/>
      <c r="H148" s="66" t="str">
        <f>IF(A148="","",COUNTIFS(jr_new,1,jr_type,"BR",jr_tiers,A148,jr_year,p_year))</f>
        <v/>
      </c>
      <c r="I148" s="64" t="str">
        <f>IF(A148="","",SUMIFS(jr_val,jr_type,"BR",jr_tiers,A148,jr_year,p_year))</f>
        <v/>
      </c>
      <c r="J148" s="66" t="str">
        <f>IF(A148="","",COUNTIFS(jr_type,"BR",jr_tiers,A148,jr_etat,"Avec réserves",jr_year,p_year)+COUNTIFS(jr_type,"BR",jr_tiers,A148,jr_etat,"Refusé",jr_year,p_year))</f>
        <v/>
      </c>
      <c r="K148" s="60" t="str">
        <f>IF(A148="",IF(B148="","","Code manquant"),IF(COUNTIF($A$6:$A$205,A148)&gt;1,"Code en double",IF(B148="","Raison sociale manquante","OK")))</f>
        <v/>
      </c>
      <c r="L148" s="130" t="str">
        <f>IF(OR(A148="",N(H148)=0),"",H148+I148/1000000000000)</f>
        <v/>
      </c>
      <c r="M148" s="131" t="str">
        <f>IF(L148="","",RANK(L148,$L$6:$L$205)+COUNTIF($L$6:L147,L148))</f>
        <v/>
      </c>
    </row>
    <row r="149">
      <c r="A149" s="129" t="n"/>
      <c r="B149" s="59" t="n"/>
      <c r="C149" s="59" t="n"/>
      <c r="D149" s="59" t="n"/>
      <c r="E149" s="58" t="n"/>
      <c r="F149" s="58" t="n"/>
      <c r="G149" s="59" t="n"/>
      <c r="H149" s="66" t="str">
        <f>IF(A149="","",COUNTIFS(jr_new,1,jr_type,"BR",jr_tiers,A149,jr_year,p_year))</f>
        <v/>
      </c>
      <c r="I149" s="64" t="str">
        <f>IF(A149="","",SUMIFS(jr_val,jr_type,"BR",jr_tiers,A149,jr_year,p_year))</f>
        <v/>
      </c>
      <c r="J149" s="66" t="str">
        <f>IF(A149="","",COUNTIFS(jr_type,"BR",jr_tiers,A149,jr_etat,"Avec réserves",jr_year,p_year)+COUNTIFS(jr_type,"BR",jr_tiers,A149,jr_etat,"Refusé",jr_year,p_year))</f>
        <v/>
      </c>
      <c r="K149" s="60" t="str">
        <f>IF(A149="",IF(B149="","","Code manquant"),IF(COUNTIF($A$6:$A$205,A149)&gt;1,"Code en double",IF(B149="","Raison sociale manquante","OK")))</f>
        <v/>
      </c>
      <c r="L149" s="130" t="str">
        <f>IF(OR(A149="",N(H149)=0),"",H149+I149/1000000000000)</f>
        <v/>
      </c>
      <c r="M149" s="131" t="str">
        <f>IF(L149="","",RANK(L149,$L$6:$L$205)+COUNTIF($L$6:L148,L149))</f>
        <v/>
      </c>
    </row>
    <row r="150">
      <c r="A150" s="129" t="n"/>
      <c r="B150" s="59" t="n"/>
      <c r="C150" s="59" t="n"/>
      <c r="D150" s="59" t="n"/>
      <c r="E150" s="58" t="n"/>
      <c r="F150" s="58" t="n"/>
      <c r="G150" s="59" t="n"/>
      <c r="H150" s="66" t="str">
        <f>IF(A150="","",COUNTIFS(jr_new,1,jr_type,"BR",jr_tiers,A150,jr_year,p_year))</f>
        <v/>
      </c>
      <c r="I150" s="64" t="str">
        <f>IF(A150="","",SUMIFS(jr_val,jr_type,"BR",jr_tiers,A150,jr_year,p_year))</f>
        <v/>
      </c>
      <c r="J150" s="66" t="str">
        <f>IF(A150="","",COUNTIFS(jr_type,"BR",jr_tiers,A150,jr_etat,"Avec réserves",jr_year,p_year)+COUNTIFS(jr_type,"BR",jr_tiers,A150,jr_etat,"Refusé",jr_year,p_year))</f>
        <v/>
      </c>
      <c r="K150" s="60" t="str">
        <f>IF(A150="",IF(B150="","","Code manquant"),IF(COUNTIF($A$6:$A$205,A150)&gt;1,"Code en double",IF(B150="","Raison sociale manquante","OK")))</f>
        <v/>
      </c>
      <c r="L150" s="130" t="str">
        <f>IF(OR(A150="",N(H150)=0),"",H150+I150/1000000000000)</f>
        <v/>
      </c>
      <c r="M150" s="131" t="str">
        <f>IF(L150="","",RANK(L150,$L$6:$L$205)+COUNTIF($L$6:L149,L150))</f>
        <v/>
      </c>
    </row>
    <row r="151">
      <c r="A151" s="129" t="n"/>
      <c r="B151" s="59" t="n"/>
      <c r="C151" s="59" t="n"/>
      <c r="D151" s="59" t="n"/>
      <c r="E151" s="58" t="n"/>
      <c r="F151" s="58" t="n"/>
      <c r="G151" s="59" t="n"/>
      <c r="H151" s="66" t="str">
        <f>IF(A151="","",COUNTIFS(jr_new,1,jr_type,"BR",jr_tiers,A151,jr_year,p_year))</f>
        <v/>
      </c>
      <c r="I151" s="64" t="str">
        <f>IF(A151="","",SUMIFS(jr_val,jr_type,"BR",jr_tiers,A151,jr_year,p_year))</f>
        <v/>
      </c>
      <c r="J151" s="66" t="str">
        <f>IF(A151="","",COUNTIFS(jr_type,"BR",jr_tiers,A151,jr_etat,"Avec réserves",jr_year,p_year)+COUNTIFS(jr_type,"BR",jr_tiers,A151,jr_etat,"Refusé",jr_year,p_year))</f>
        <v/>
      </c>
      <c r="K151" s="60" t="str">
        <f>IF(A151="",IF(B151="","","Code manquant"),IF(COUNTIF($A$6:$A$205,A151)&gt;1,"Code en double",IF(B151="","Raison sociale manquante","OK")))</f>
        <v/>
      </c>
      <c r="L151" s="130" t="str">
        <f>IF(OR(A151="",N(H151)=0),"",H151+I151/1000000000000)</f>
        <v/>
      </c>
      <c r="M151" s="131" t="str">
        <f>IF(L151="","",RANK(L151,$L$6:$L$205)+COUNTIF($L$6:L150,L151))</f>
        <v/>
      </c>
    </row>
    <row r="152">
      <c r="A152" s="129" t="n"/>
      <c r="B152" s="59" t="n"/>
      <c r="C152" s="59" t="n"/>
      <c r="D152" s="59" t="n"/>
      <c r="E152" s="58" t="n"/>
      <c r="F152" s="58" t="n"/>
      <c r="G152" s="59" t="n"/>
      <c r="H152" s="66" t="str">
        <f>IF(A152="","",COUNTIFS(jr_new,1,jr_type,"BR",jr_tiers,A152,jr_year,p_year))</f>
        <v/>
      </c>
      <c r="I152" s="64" t="str">
        <f>IF(A152="","",SUMIFS(jr_val,jr_type,"BR",jr_tiers,A152,jr_year,p_year))</f>
        <v/>
      </c>
      <c r="J152" s="66" t="str">
        <f>IF(A152="","",COUNTIFS(jr_type,"BR",jr_tiers,A152,jr_etat,"Avec réserves",jr_year,p_year)+COUNTIFS(jr_type,"BR",jr_tiers,A152,jr_etat,"Refusé",jr_year,p_year))</f>
        <v/>
      </c>
      <c r="K152" s="60" t="str">
        <f>IF(A152="",IF(B152="","","Code manquant"),IF(COUNTIF($A$6:$A$205,A152)&gt;1,"Code en double",IF(B152="","Raison sociale manquante","OK")))</f>
        <v/>
      </c>
      <c r="L152" s="130" t="str">
        <f>IF(OR(A152="",N(H152)=0),"",H152+I152/1000000000000)</f>
        <v/>
      </c>
      <c r="M152" s="131" t="str">
        <f>IF(L152="","",RANK(L152,$L$6:$L$205)+COUNTIF($L$6:L151,L152))</f>
        <v/>
      </c>
    </row>
    <row r="153">
      <c r="A153" s="129" t="n"/>
      <c r="B153" s="59" t="n"/>
      <c r="C153" s="59" t="n"/>
      <c r="D153" s="59" t="n"/>
      <c r="E153" s="58" t="n"/>
      <c r="F153" s="58" t="n"/>
      <c r="G153" s="59" t="n"/>
      <c r="H153" s="66" t="str">
        <f>IF(A153="","",COUNTIFS(jr_new,1,jr_type,"BR",jr_tiers,A153,jr_year,p_year))</f>
        <v/>
      </c>
      <c r="I153" s="64" t="str">
        <f>IF(A153="","",SUMIFS(jr_val,jr_type,"BR",jr_tiers,A153,jr_year,p_year))</f>
        <v/>
      </c>
      <c r="J153" s="66" t="str">
        <f>IF(A153="","",COUNTIFS(jr_type,"BR",jr_tiers,A153,jr_etat,"Avec réserves",jr_year,p_year)+COUNTIFS(jr_type,"BR",jr_tiers,A153,jr_etat,"Refusé",jr_year,p_year))</f>
        <v/>
      </c>
      <c r="K153" s="60" t="str">
        <f>IF(A153="",IF(B153="","","Code manquant"),IF(COUNTIF($A$6:$A$205,A153)&gt;1,"Code en double",IF(B153="","Raison sociale manquante","OK")))</f>
        <v/>
      </c>
      <c r="L153" s="130" t="str">
        <f>IF(OR(A153="",N(H153)=0),"",H153+I153/1000000000000)</f>
        <v/>
      </c>
      <c r="M153" s="131" t="str">
        <f>IF(L153="","",RANK(L153,$L$6:$L$205)+COUNTIF($L$6:L152,L153))</f>
        <v/>
      </c>
    </row>
    <row r="154">
      <c r="A154" s="129" t="n"/>
      <c r="B154" s="59" t="n"/>
      <c r="C154" s="59" t="n"/>
      <c r="D154" s="59" t="n"/>
      <c r="E154" s="58" t="n"/>
      <c r="F154" s="58" t="n"/>
      <c r="G154" s="59" t="n"/>
      <c r="H154" s="66" t="str">
        <f>IF(A154="","",COUNTIFS(jr_new,1,jr_type,"BR",jr_tiers,A154,jr_year,p_year))</f>
        <v/>
      </c>
      <c r="I154" s="64" t="str">
        <f>IF(A154="","",SUMIFS(jr_val,jr_type,"BR",jr_tiers,A154,jr_year,p_year))</f>
        <v/>
      </c>
      <c r="J154" s="66" t="str">
        <f>IF(A154="","",COUNTIFS(jr_type,"BR",jr_tiers,A154,jr_etat,"Avec réserves",jr_year,p_year)+COUNTIFS(jr_type,"BR",jr_tiers,A154,jr_etat,"Refusé",jr_year,p_year))</f>
        <v/>
      </c>
      <c r="K154" s="60" t="str">
        <f>IF(A154="",IF(B154="","","Code manquant"),IF(COUNTIF($A$6:$A$205,A154)&gt;1,"Code en double",IF(B154="","Raison sociale manquante","OK")))</f>
        <v/>
      </c>
      <c r="L154" s="130" t="str">
        <f>IF(OR(A154="",N(H154)=0),"",H154+I154/1000000000000)</f>
        <v/>
      </c>
      <c r="M154" s="131" t="str">
        <f>IF(L154="","",RANK(L154,$L$6:$L$205)+COUNTIF($L$6:L153,L154))</f>
        <v/>
      </c>
    </row>
    <row r="155">
      <c r="A155" s="129" t="n"/>
      <c r="B155" s="59" t="n"/>
      <c r="C155" s="59" t="n"/>
      <c r="D155" s="59" t="n"/>
      <c r="E155" s="58" t="n"/>
      <c r="F155" s="58" t="n"/>
      <c r="G155" s="59" t="n"/>
      <c r="H155" s="66" t="str">
        <f>IF(A155="","",COUNTIFS(jr_new,1,jr_type,"BR",jr_tiers,A155,jr_year,p_year))</f>
        <v/>
      </c>
      <c r="I155" s="64" t="str">
        <f>IF(A155="","",SUMIFS(jr_val,jr_type,"BR",jr_tiers,A155,jr_year,p_year))</f>
        <v/>
      </c>
      <c r="J155" s="66" t="str">
        <f>IF(A155="","",COUNTIFS(jr_type,"BR",jr_tiers,A155,jr_etat,"Avec réserves",jr_year,p_year)+COUNTIFS(jr_type,"BR",jr_tiers,A155,jr_etat,"Refusé",jr_year,p_year))</f>
        <v/>
      </c>
      <c r="K155" s="60" t="str">
        <f>IF(A155="",IF(B155="","","Code manquant"),IF(COUNTIF($A$6:$A$205,A155)&gt;1,"Code en double",IF(B155="","Raison sociale manquante","OK")))</f>
        <v/>
      </c>
      <c r="L155" s="130" t="str">
        <f>IF(OR(A155="",N(H155)=0),"",H155+I155/1000000000000)</f>
        <v/>
      </c>
      <c r="M155" s="131" t="str">
        <f>IF(L155="","",RANK(L155,$L$6:$L$205)+COUNTIF($L$6:L154,L155))</f>
        <v/>
      </c>
    </row>
    <row r="156">
      <c r="A156" s="129" t="n"/>
      <c r="B156" s="59" t="n"/>
      <c r="C156" s="59" t="n"/>
      <c r="D156" s="59" t="n"/>
      <c r="E156" s="58" t="n"/>
      <c r="F156" s="58" t="n"/>
      <c r="G156" s="59" t="n"/>
      <c r="H156" s="66" t="str">
        <f>IF(A156="","",COUNTIFS(jr_new,1,jr_type,"BR",jr_tiers,A156,jr_year,p_year))</f>
        <v/>
      </c>
      <c r="I156" s="64" t="str">
        <f>IF(A156="","",SUMIFS(jr_val,jr_type,"BR",jr_tiers,A156,jr_year,p_year))</f>
        <v/>
      </c>
      <c r="J156" s="66" t="str">
        <f>IF(A156="","",COUNTIFS(jr_type,"BR",jr_tiers,A156,jr_etat,"Avec réserves",jr_year,p_year)+COUNTIFS(jr_type,"BR",jr_tiers,A156,jr_etat,"Refusé",jr_year,p_year))</f>
        <v/>
      </c>
      <c r="K156" s="60" t="str">
        <f>IF(A156="",IF(B156="","","Code manquant"),IF(COUNTIF($A$6:$A$205,A156)&gt;1,"Code en double",IF(B156="","Raison sociale manquante","OK")))</f>
        <v/>
      </c>
      <c r="L156" s="130" t="str">
        <f>IF(OR(A156="",N(H156)=0),"",H156+I156/1000000000000)</f>
        <v/>
      </c>
      <c r="M156" s="131" t="str">
        <f>IF(L156="","",RANK(L156,$L$6:$L$205)+COUNTIF($L$6:L155,L156))</f>
        <v/>
      </c>
    </row>
    <row r="157">
      <c r="A157" s="129" t="n"/>
      <c r="B157" s="59" t="n"/>
      <c r="C157" s="59" t="n"/>
      <c r="D157" s="59" t="n"/>
      <c r="E157" s="58" t="n"/>
      <c r="F157" s="58" t="n"/>
      <c r="G157" s="59" t="n"/>
      <c r="H157" s="66" t="str">
        <f>IF(A157="","",COUNTIFS(jr_new,1,jr_type,"BR",jr_tiers,A157,jr_year,p_year))</f>
        <v/>
      </c>
      <c r="I157" s="64" t="str">
        <f>IF(A157="","",SUMIFS(jr_val,jr_type,"BR",jr_tiers,A157,jr_year,p_year))</f>
        <v/>
      </c>
      <c r="J157" s="66" t="str">
        <f>IF(A157="","",COUNTIFS(jr_type,"BR",jr_tiers,A157,jr_etat,"Avec réserves",jr_year,p_year)+COUNTIFS(jr_type,"BR",jr_tiers,A157,jr_etat,"Refusé",jr_year,p_year))</f>
        <v/>
      </c>
      <c r="K157" s="60" t="str">
        <f>IF(A157="",IF(B157="","","Code manquant"),IF(COUNTIF($A$6:$A$205,A157)&gt;1,"Code en double",IF(B157="","Raison sociale manquante","OK")))</f>
        <v/>
      </c>
      <c r="L157" s="130" t="str">
        <f>IF(OR(A157="",N(H157)=0),"",H157+I157/1000000000000)</f>
        <v/>
      </c>
      <c r="M157" s="131" t="str">
        <f>IF(L157="","",RANK(L157,$L$6:$L$205)+COUNTIF($L$6:L156,L157))</f>
        <v/>
      </c>
    </row>
    <row r="158">
      <c r="A158" s="129" t="n"/>
      <c r="B158" s="59" t="n"/>
      <c r="C158" s="59" t="n"/>
      <c r="D158" s="59" t="n"/>
      <c r="E158" s="58" t="n"/>
      <c r="F158" s="58" t="n"/>
      <c r="G158" s="59" t="n"/>
      <c r="H158" s="66" t="str">
        <f>IF(A158="","",COUNTIFS(jr_new,1,jr_type,"BR",jr_tiers,A158,jr_year,p_year))</f>
        <v/>
      </c>
      <c r="I158" s="64" t="str">
        <f>IF(A158="","",SUMIFS(jr_val,jr_type,"BR",jr_tiers,A158,jr_year,p_year))</f>
        <v/>
      </c>
      <c r="J158" s="66" t="str">
        <f>IF(A158="","",COUNTIFS(jr_type,"BR",jr_tiers,A158,jr_etat,"Avec réserves",jr_year,p_year)+COUNTIFS(jr_type,"BR",jr_tiers,A158,jr_etat,"Refusé",jr_year,p_year))</f>
        <v/>
      </c>
      <c r="K158" s="60" t="str">
        <f>IF(A158="",IF(B158="","","Code manquant"),IF(COUNTIF($A$6:$A$205,A158)&gt;1,"Code en double",IF(B158="","Raison sociale manquante","OK")))</f>
        <v/>
      </c>
      <c r="L158" s="130" t="str">
        <f>IF(OR(A158="",N(H158)=0),"",H158+I158/1000000000000)</f>
        <v/>
      </c>
      <c r="M158" s="131" t="str">
        <f>IF(L158="","",RANK(L158,$L$6:$L$205)+COUNTIF($L$6:L157,L158))</f>
        <v/>
      </c>
    </row>
    <row r="159">
      <c r="A159" s="129" t="n"/>
      <c r="B159" s="59" t="n"/>
      <c r="C159" s="59" t="n"/>
      <c r="D159" s="59" t="n"/>
      <c r="E159" s="58" t="n"/>
      <c r="F159" s="58" t="n"/>
      <c r="G159" s="59" t="n"/>
      <c r="H159" s="66" t="str">
        <f>IF(A159="","",COUNTIFS(jr_new,1,jr_type,"BR",jr_tiers,A159,jr_year,p_year))</f>
        <v/>
      </c>
      <c r="I159" s="64" t="str">
        <f>IF(A159="","",SUMIFS(jr_val,jr_type,"BR",jr_tiers,A159,jr_year,p_year))</f>
        <v/>
      </c>
      <c r="J159" s="66" t="str">
        <f>IF(A159="","",COUNTIFS(jr_type,"BR",jr_tiers,A159,jr_etat,"Avec réserves",jr_year,p_year)+COUNTIFS(jr_type,"BR",jr_tiers,A159,jr_etat,"Refusé",jr_year,p_year))</f>
        <v/>
      </c>
      <c r="K159" s="60" t="str">
        <f>IF(A159="",IF(B159="","","Code manquant"),IF(COUNTIF($A$6:$A$205,A159)&gt;1,"Code en double",IF(B159="","Raison sociale manquante","OK")))</f>
        <v/>
      </c>
      <c r="L159" s="130" t="str">
        <f>IF(OR(A159="",N(H159)=0),"",H159+I159/1000000000000)</f>
        <v/>
      </c>
      <c r="M159" s="131" t="str">
        <f>IF(L159="","",RANK(L159,$L$6:$L$205)+COUNTIF($L$6:L158,L159))</f>
        <v/>
      </c>
    </row>
    <row r="160">
      <c r="A160" s="129" t="n"/>
      <c r="B160" s="59" t="n"/>
      <c r="C160" s="59" t="n"/>
      <c r="D160" s="59" t="n"/>
      <c r="E160" s="58" t="n"/>
      <c r="F160" s="58" t="n"/>
      <c r="G160" s="59" t="n"/>
      <c r="H160" s="66" t="str">
        <f>IF(A160="","",COUNTIFS(jr_new,1,jr_type,"BR",jr_tiers,A160,jr_year,p_year))</f>
        <v/>
      </c>
      <c r="I160" s="64" t="str">
        <f>IF(A160="","",SUMIFS(jr_val,jr_type,"BR",jr_tiers,A160,jr_year,p_year))</f>
        <v/>
      </c>
      <c r="J160" s="66" t="str">
        <f>IF(A160="","",COUNTIFS(jr_type,"BR",jr_tiers,A160,jr_etat,"Avec réserves",jr_year,p_year)+COUNTIFS(jr_type,"BR",jr_tiers,A160,jr_etat,"Refusé",jr_year,p_year))</f>
        <v/>
      </c>
      <c r="K160" s="60" t="str">
        <f>IF(A160="",IF(B160="","","Code manquant"),IF(COUNTIF($A$6:$A$205,A160)&gt;1,"Code en double",IF(B160="","Raison sociale manquante","OK")))</f>
        <v/>
      </c>
      <c r="L160" s="130" t="str">
        <f>IF(OR(A160="",N(H160)=0),"",H160+I160/1000000000000)</f>
        <v/>
      </c>
      <c r="M160" s="131" t="str">
        <f>IF(L160="","",RANK(L160,$L$6:$L$205)+COUNTIF($L$6:L159,L160))</f>
        <v/>
      </c>
    </row>
    <row r="161">
      <c r="A161" s="129" t="n"/>
      <c r="B161" s="59" t="n"/>
      <c r="C161" s="59" t="n"/>
      <c r="D161" s="59" t="n"/>
      <c r="E161" s="58" t="n"/>
      <c r="F161" s="58" t="n"/>
      <c r="G161" s="59" t="n"/>
      <c r="H161" s="66" t="str">
        <f>IF(A161="","",COUNTIFS(jr_new,1,jr_type,"BR",jr_tiers,A161,jr_year,p_year))</f>
        <v/>
      </c>
      <c r="I161" s="64" t="str">
        <f>IF(A161="","",SUMIFS(jr_val,jr_type,"BR",jr_tiers,A161,jr_year,p_year))</f>
        <v/>
      </c>
      <c r="J161" s="66" t="str">
        <f>IF(A161="","",COUNTIFS(jr_type,"BR",jr_tiers,A161,jr_etat,"Avec réserves",jr_year,p_year)+COUNTIFS(jr_type,"BR",jr_tiers,A161,jr_etat,"Refusé",jr_year,p_year))</f>
        <v/>
      </c>
      <c r="K161" s="60" t="str">
        <f>IF(A161="",IF(B161="","","Code manquant"),IF(COUNTIF($A$6:$A$205,A161)&gt;1,"Code en double",IF(B161="","Raison sociale manquante","OK")))</f>
        <v/>
      </c>
      <c r="L161" s="130" t="str">
        <f>IF(OR(A161="",N(H161)=0),"",H161+I161/1000000000000)</f>
        <v/>
      </c>
      <c r="M161" s="131" t="str">
        <f>IF(L161="","",RANK(L161,$L$6:$L$205)+COUNTIF($L$6:L160,L161))</f>
        <v/>
      </c>
    </row>
    <row r="162">
      <c r="A162" s="129" t="n"/>
      <c r="B162" s="59" t="n"/>
      <c r="C162" s="59" t="n"/>
      <c r="D162" s="59" t="n"/>
      <c r="E162" s="58" t="n"/>
      <c r="F162" s="58" t="n"/>
      <c r="G162" s="59" t="n"/>
      <c r="H162" s="66" t="str">
        <f>IF(A162="","",COUNTIFS(jr_new,1,jr_type,"BR",jr_tiers,A162,jr_year,p_year))</f>
        <v/>
      </c>
      <c r="I162" s="64" t="str">
        <f>IF(A162="","",SUMIFS(jr_val,jr_type,"BR",jr_tiers,A162,jr_year,p_year))</f>
        <v/>
      </c>
      <c r="J162" s="66" t="str">
        <f>IF(A162="","",COUNTIFS(jr_type,"BR",jr_tiers,A162,jr_etat,"Avec réserves",jr_year,p_year)+COUNTIFS(jr_type,"BR",jr_tiers,A162,jr_etat,"Refusé",jr_year,p_year))</f>
        <v/>
      </c>
      <c r="K162" s="60" t="str">
        <f>IF(A162="",IF(B162="","","Code manquant"),IF(COUNTIF($A$6:$A$205,A162)&gt;1,"Code en double",IF(B162="","Raison sociale manquante","OK")))</f>
        <v/>
      </c>
      <c r="L162" s="130" t="str">
        <f>IF(OR(A162="",N(H162)=0),"",H162+I162/1000000000000)</f>
        <v/>
      </c>
      <c r="M162" s="131" t="str">
        <f>IF(L162="","",RANK(L162,$L$6:$L$205)+COUNTIF($L$6:L161,L162))</f>
        <v/>
      </c>
    </row>
    <row r="163">
      <c r="A163" s="129" t="n"/>
      <c r="B163" s="59" t="n"/>
      <c r="C163" s="59" t="n"/>
      <c r="D163" s="59" t="n"/>
      <c r="E163" s="58" t="n"/>
      <c r="F163" s="58" t="n"/>
      <c r="G163" s="59" t="n"/>
      <c r="H163" s="66" t="str">
        <f>IF(A163="","",COUNTIFS(jr_new,1,jr_type,"BR",jr_tiers,A163,jr_year,p_year))</f>
        <v/>
      </c>
      <c r="I163" s="64" t="str">
        <f>IF(A163="","",SUMIFS(jr_val,jr_type,"BR",jr_tiers,A163,jr_year,p_year))</f>
        <v/>
      </c>
      <c r="J163" s="66" t="str">
        <f>IF(A163="","",COUNTIFS(jr_type,"BR",jr_tiers,A163,jr_etat,"Avec réserves",jr_year,p_year)+COUNTIFS(jr_type,"BR",jr_tiers,A163,jr_etat,"Refusé",jr_year,p_year))</f>
        <v/>
      </c>
      <c r="K163" s="60" t="str">
        <f>IF(A163="",IF(B163="","","Code manquant"),IF(COUNTIF($A$6:$A$205,A163)&gt;1,"Code en double",IF(B163="","Raison sociale manquante","OK")))</f>
        <v/>
      </c>
      <c r="L163" s="130" t="str">
        <f>IF(OR(A163="",N(H163)=0),"",H163+I163/1000000000000)</f>
        <v/>
      </c>
      <c r="M163" s="131" t="str">
        <f>IF(L163="","",RANK(L163,$L$6:$L$205)+COUNTIF($L$6:L162,L163))</f>
        <v/>
      </c>
    </row>
    <row r="164">
      <c r="A164" s="129" t="n"/>
      <c r="B164" s="59" t="n"/>
      <c r="C164" s="59" t="n"/>
      <c r="D164" s="59" t="n"/>
      <c r="E164" s="58" t="n"/>
      <c r="F164" s="58" t="n"/>
      <c r="G164" s="59" t="n"/>
      <c r="H164" s="66" t="str">
        <f>IF(A164="","",COUNTIFS(jr_new,1,jr_type,"BR",jr_tiers,A164,jr_year,p_year))</f>
        <v/>
      </c>
      <c r="I164" s="64" t="str">
        <f>IF(A164="","",SUMIFS(jr_val,jr_type,"BR",jr_tiers,A164,jr_year,p_year))</f>
        <v/>
      </c>
      <c r="J164" s="66" t="str">
        <f>IF(A164="","",COUNTIFS(jr_type,"BR",jr_tiers,A164,jr_etat,"Avec réserves",jr_year,p_year)+COUNTIFS(jr_type,"BR",jr_tiers,A164,jr_etat,"Refusé",jr_year,p_year))</f>
        <v/>
      </c>
      <c r="K164" s="60" t="str">
        <f>IF(A164="",IF(B164="","","Code manquant"),IF(COUNTIF($A$6:$A$205,A164)&gt;1,"Code en double",IF(B164="","Raison sociale manquante","OK")))</f>
        <v/>
      </c>
      <c r="L164" s="130" t="str">
        <f>IF(OR(A164="",N(H164)=0),"",H164+I164/1000000000000)</f>
        <v/>
      </c>
      <c r="M164" s="131" t="str">
        <f>IF(L164="","",RANK(L164,$L$6:$L$205)+COUNTIF($L$6:L163,L164))</f>
        <v/>
      </c>
    </row>
    <row r="165">
      <c r="A165" s="129" t="n"/>
      <c r="B165" s="59" t="n"/>
      <c r="C165" s="59" t="n"/>
      <c r="D165" s="59" t="n"/>
      <c r="E165" s="58" t="n"/>
      <c r="F165" s="58" t="n"/>
      <c r="G165" s="59" t="n"/>
      <c r="H165" s="66" t="str">
        <f>IF(A165="","",COUNTIFS(jr_new,1,jr_type,"BR",jr_tiers,A165,jr_year,p_year))</f>
        <v/>
      </c>
      <c r="I165" s="64" t="str">
        <f>IF(A165="","",SUMIFS(jr_val,jr_type,"BR",jr_tiers,A165,jr_year,p_year))</f>
        <v/>
      </c>
      <c r="J165" s="66" t="str">
        <f>IF(A165="","",COUNTIFS(jr_type,"BR",jr_tiers,A165,jr_etat,"Avec réserves",jr_year,p_year)+COUNTIFS(jr_type,"BR",jr_tiers,A165,jr_etat,"Refusé",jr_year,p_year))</f>
        <v/>
      </c>
      <c r="K165" s="60" t="str">
        <f>IF(A165="",IF(B165="","","Code manquant"),IF(COUNTIF($A$6:$A$205,A165)&gt;1,"Code en double",IF(B165="","Raison sociale manquante","OK")))</f>
        <v/>
      </c>
      <c r="L165" s="130" t="str">
        <f>IF(OR(A165="",N(H165)=0),"",H165+I165/1000000000000)</f>
        <v/>
      </c>
      <c r="M165" s="131" t="str">
        <f>IF(L165="","",RANK(L165,$L$6:$L$205)+COUNTIF($L$6:L164,L165))</f>
        <v/>
      </c>
    </row>
    <row r="166">
      <c r="A166" s="129" t="n"/>
      <c r="B166" s="59" t="n"/>
      <c r="C166" s="59" t="n"/>
      <c r="D166" s="59" t="n"/>
      <c r="E166" s="58" t="n"/>
      <c r="F166" s="58" t="n"/>
      <c r="G166" s="59" t="n"/>
      <c r="H166" s="66" t="str">
        <f>IF(A166="","",COUNTIFS(jr_new,1,jr_type,"BR",jr_tiers,A166,jr_year,p_year))</f>
        <v/>
      </c>
      <c r="I166" s="64" t="str">
        <f>IF(A166="","",SUMIFS(jr_val,jr_type,"BR",jr_tiers,A166,jr_year,p_year))</f>
        <v/>
      </c>
      <c r="J166" s="66" t="str">
        <f>IF(A166="","",COUNTIFS(jr_type,"BR",jr_tiers,A166,jr_etat,"Avec réserves",jr_year,p_year)+COUNTIFS(jr_type,"BR",jr_tiers,A166,jr_etat,"Refusé",jr_year,p_year))</f>
        <v/>
      </c>
      <c r="K166" s="60" t="str">
        <f>IF(A166="",IF(B166="","","Code manquant"),IF(COUNTIF($A$6:$A$205,A166)&gt;1,"Code en double",IF(B166="","Raison sociale manquante","OK")))</f>
        <v/>
      </c>
      <c r="L166" s="130" t="str">
        <f>IF(OR(A166="",N(H166)=0),"",H166+I166/1000000000000)</f>
        <v/>
      </c>
      <c r="M166" s="131" t="str">
        <f>IF(L166="","",RANK(L166,$L$6:$L$205)+COUNTIF($L$6:L165,L166))</f>
        <v/>
      </c>
    </row>
    <row r="167">
      <c r="A167" s="129" t="n"/>
      <c r="B167" s="59" t="n"/>
      <c r="C167" s="59" t="n"/>
      <c r="D167" s="59" t="n"/>
      <c r="E167" s="58" t="n"/>
      <c r="F167" s="58" t="n"/>
      <c r="G167" s="59" t="n"/>
      <c r="H167" s="66" t="str">
        <f>IF(A167="","",COUNTIFS(jr_new,1,jr_type,"BR",jr_tiers,A167,jr_year,p_year))</f>
        <v/>
      </c>
      <c r="I167" s="64" t="str">
        <f>IF(A167="","",SUMIFS(jr_val,jr_type,"BR",jr_tiers,A167,jr_year,p_year))</f>
        <v/>
      </c>
      <c r="J167" s="66" t="str">
        <f>IF(A167="","",COUNTIFS(jr_type,"BR",jr_tiers,A167,jr_etat,"Avec réserves",jr_year,p_year)+COUNTIFS(jr_type,"BR",jr_tiers,A167,jr_etat,"Refusé",jr_year,p_year))</f>
        <v/>
      </c>
      <c r="K167" s="60" t="str">
        <f>IF(A167="",IF(B167="","","Code manquant"),IF(COUNTIF($A$6:$A$205,A167)&gt;1,"Code en double",IF(B167="","Raison sociale manquante","OK")))</f>
        <v/>
      </c>
      <c r="L167" s="130" t="str">
        <f>IF(OR(A167="",N(H167)=0),"",H167+I167/1000000000000)</f>
        <v/>
      </c>
      <c r="M167" s="131" t="str">
        <f>IF(L167="","",RANK(L167,$L$6:$L$205)+COUNTIF($L$6:L166,L167))</f>
        <v/>
      </c>
    </row>
    <row r="168">
      <c r="A168" s="129" t="n"/>
      <c r="B168" s="59" t="n"/>
      <c r="C168" s="59" t="n"/>
      <c r="D168" s="59" t="n"/>
      <c r="E168" s="58" t="n"/>
      <c r="F168" s="58" t="n"/>
      <c r="G168" s="59" t="n"/>
      <c r="H168" s="66" t="str">
        <f>IF(A168="","",COUNTIFS(jr_new,1,jr_type,"BR",jr_tiers,A168,jr_year,p_year))</f>
        <v/>
      </c>
      <c r="I168" s="64" t="str">
        <f>IF(A168="","",SUMIFS(jr_val,jr_type,"BR",jr_tiers,A168,jr_year,p_year))</f>
        <v/>
      </c>
      <c r="J168" s="66" t="str">
        <f>IF(A168="","",COUNTIFS(jr_type,"BR",jr_tiers,A168,jr_etat,"Avec réserves",jr_year,p_year)+COUNTIFS(jr_type,"BR",jr_tiers,A168,jr_etat,"Refusé",jr_year,p_year))</f>
        <v/>
      </c>
      <c r="K168" s="60" t="str">
        <f>IF(A168="",IF(B168="","","Code manquant"),IF(COUNTIF($A$6:$A$205,A168)&gt;1,"Code en double",IF(B168="","Raison sociale manquante","OK")))</f>
        <v/>
      </c>
      <c r="L168" s="130" t="str">
        <f>IF(OR(A168="",N(H168)=0),"",H168+I168/1000000000000)</f>
        <v/>
      </c>
      <c r="M168" s="131" t="str">
        <f>IF(L168="","",RANK(L168,$L$6:$L$205)+COUNTIF($L$6:L167,L168))</f>
        <v/>
      </c>
    </row>
    <row r="169">
      <c r="A169" s="129" t="n"/>
      <c r="B169" s="59" t="n"/>
      <c r="C169" s="59" t="n"/>
      <c r="D169" s="59" t="n"/>
      <c r="E169" s="58" t="n"/>
      <c r="F169" s="58" t="n"/>
      <c r="G169" s="59" t="n"/>
      <c r="H169" s="66" t="str">
        <f>IF(A169="","",COUNTIFS(jr_new,1,jr_type,"BR",jr_tiers,A169,jr_year,p_year))</f>
        <v/>
      </c>
      <c r="I169" s="64" t="str">
        <f>IF(A169="","",SUMIFS(jr_val,jr_type,"BR",jr_tiers,A169,jr_year,p_year))</f>
        <v/>
      </c>
      <c r="J169" s="66" t="str">
        <f>IF(A169="","",COUNTIFS(jr_type,"BR",jr_tiers,A169,jr_etat,"Avec réserves",jr_year,p_year)+COUNTIFS(jr_type,"BR",jr_tiers,A169,jr_etat,"Refusé",jr_year,p_year))</f>
        <v/>
      </c>
      <c r="K169" s="60" t="str">
        <f>IF(A169="",IF(B169="","","Code manquant"),IF(COUNTIF($A$6:$A$205,A169)&gt;1,"Code en double",IF(B169="","Raison sociale manquante","OK")))</f>
        <v/>
      </c>
      <c r="L169" s="130" t="str">
        <f>IF(OR(A169="",N(H169)=0),"",H169+I169/1000000000000)</f>
        <v/>
      </c>
      <c r="M169" s="131" t="str">
        <f>IF(L169="","",RANK(L169,$L$6:$L$205)+COUNTIF($L$6:L168,L169))</f>
        <v/>
      </c>
    </row>
    <row r="170">
      <c r="A170" s="129" t="n"/>
      <c r="B170" s="59" t="n"/>
      <c r="C170" s="59" t="n"/>
      <c r="D170" s="59" t="n"/>
      <c r="E170" s="58" t="n"/>
      <c r="F170" s="58" t="n"/>
      <c r="G170" s="59" t="n"/>
      <c r="H170" s="66" t="str">
        <f>IF(A170="","",COUNTIFS(jr_new,1,jr_type,"BR",jr_tiers,A170,jr_year,p_year))</f>
        <v/>
      </c>
      <c r="I170" s="64" t="str">
        <f>IF(A170="","",SUMIFS(jr_val,jr_type,"BR",jr_tiers,A170,jr_year,p_year))</f>
        <v/>
      </c>
      <c r="J170" s="66" t="str">
        <f>IF(A170="","",COUNTIFS(jr_type,"BR",jr_tiers,A170,jr_etat,"Avec réserves",jr_year,p_year)+COUNTIFS(jr_type,"BR",jr_tiers,A170,jr_etat,"Refusé",jr_year,p_year))</f>
        <v/>
      </c>
      <c r="K170" s="60" t="str">
        <f>IF(A170="",IF(B170="","","Code manquant"),IF(COUNTIF($A$6:$A$205,A170)&gt;1,"Code en double",IF(B170="","Raison sociale manquante","OK")))</f>
        <v/>
      </c>
      <c r="L170" s="130" t="str">
        <f>IF(OR(A170="",N(H170)=0),"",H170+I170/1000000000000)</f>
        <v/>
      </c>
      <c r="M170" s="131" t="str">
        <f>IF(L170="","",RANK(L170,$L$6:$L$205)+COUNTIF($L$6:L169,L170))</f>
        <v/>
      </c>
    </row>
    <row r="171">
      <c r="A171" s="129" t="n"/>
      <c r="B171" s="59" t="n"/>
      <c r="C171" s="59" t="n"/>
      <c r="D171" s="59" t="n"/>
      <c r="E171" s="58" t="n"/>
      <c r="F171" s="58" t="n"/>
      <c r="G171" s="59" t="n"/>
      <c r="H171" s="66" t="str">
        <f>IF(A171="","",COUNTIFS(jr_new,1,jr_type,"BR",jr_tiers,A171,jr_year,p_year))</f>
        <v/>
      </c>
      <c r="I171" s="64" t="str">
        <f>IF(A171="","",SUMIFS(jr_val,jr_type,"BR",jr_tiers,A171,jr_year,p_year))</f>
        <v/>
      </c>
      <c r="J171" s="66" t="str">
        <f>IF(A171="","",COUNTIFS(jr_type,"BR",jr_tiers,A171,jr_etat,"Avec réserves",jr_year,p_year)+COUNTIFS(jr_type,"BR",jr_tiers,A171,jr_etat,"Refusé",jr_year,p_year))</f>
        <v/>
      </c>
      <c r="K171" s="60" t="str">
        <f>IF(A171="",IF(B171="","","Code manquant"),IF(COUNTIF($A$6:$A$205,A171)&gt;1,"Code en double",IF(B171="","Raison sociale manquante","OK")))</f>
        <v/>
      </c>
      <c r="L171" s="130" t="str">
        <f>IF(OR(A171="",N(H171)=0),"",H171+I171/1000000000000)</f>
        <v/>
      </c>
      <c r="M171" s="131" t="str">
        <f>IF(L171="","",RANK(L171,$L$6:$L$205)+COUNTIF($L$6:L170,L171))</f>
        <v/>
      </c>
    </row>
    <row r="172">
      <c r="A172" s="129" t="n"/>
      <c r="B172" s="59" t="n"/>
      <c r="C172" s="59" t="n"/>
      <c r="D172" s="59" t="n"/>
      <c r="E172" s="58" t="n"/>
      <c r="F172" s="58" t="n"/>
      <c r="G172" s="59" t="n"/>
      <c r="H172" s="66" t="str">
        <f>IF(A172="","",COUNTIFS(jr_new,1,jr_type,"BR",jr_tiers,A172,jr_year,p_year))</f>
        <v/>
      </c>
      <c r="I172" s="64" t="str">
        <f>IF(A172="","",SUMIFS(jr_val,jr_type,"BR",jr_tiers,A172,jr_year,p_year))</f>
        <v/>
      </c>
      <c r="J172" s="66" t="str">
        <f>IF(A172="","",COUNTIFS(jr_type,"BR",jr_tiers,A172,jr_etat,"Avec réserves",jr_year,p_year)+COUNTIFS(jr_type,"BR",jr_tiers,A172,jr_etat,"Refusé",jr_year,p_year))</f>
        <v/>
      </c>
      <c r="K172" s="60" t="str">
        <f>IF(A172="",IF(B172="","","Code manquant"),IF(COUNTIF($A$6:$A$205,A172)&gt;1,"Code en double",IF(B172="","Raison sociale manquante","OK")))</f>
        <v/>
      </c>
      <c r="L172" s="130" t="str">
        <f>IF(OR(A172="",N(H172)=0),"",H172+I172/1000000000000)</f>
        <v/>
      </c>
      <c r="M172" s="131" t="str">
        <f>IF(L172="","",RANK(L172,$L$6:$L$205)+COUNTIF($L$6:L171,L172))</f>
        <v/>
      </c>
    </row>
    <row r="173">
      <c r="A173" s="129" t="n"/>
      <c r="B173" s="59" t="n"/>
      <c r="C173" s="59" t="n"/>
      <c r="D173" s="59" t="n"/>
      <c r="E173" s="58" t="n"/>
      <c r="F173" s="58" t="n"/>
      <c r="G173" s="59" t="n"/>
      <c r="H173" s="66" t="str">
        <f>IF(A173="","",COUNTIFS(jr_new,1,jr_type,"BR",jr_tiers,A173,jr_year,p_year))</f>
        <v/>
      </c>
      <c r="I173" s="64" t="str">
        <f>IF(A173="","",SUMIFS(jr_val,jr_type,"BR",jr_tiers,A173,jr_year,p_year))</f>
        <v/>
      </c>
      <c r="J173" s="66" t="str">
        <f>IF(A173="","",COUNTIFS(jr_type,"BR",jr_tiers,A173,jr_etat,"Avec réserves",jr_year,p_year)+COUNTIFS(jr_type,"BR",jr_tiers,A173,jr_etat,"Refusé",jr_year,p_year))</f>
        <v/>
      </c>
      <c r="K173" s="60" t="str">
        <f>IF(A173="",IF(B173="","","Code manquant"),IF(COUNTIF($A$6:$A$205,A173)&gt;1,"Code en double",IF(B173="","Raison sociale manquante","OK")))</f>
        <v/>
      </c>
      <c r="L173" s="130" t="str">
        <f>IF(OR(A173="",N(H173)=0),"",H173+I173/1000000000000)</f>
        <v/>
      </c>
      <c r="M173" s="131" t="str">
        <f>IF(L173="","",RANK(L173,$L$6:$L$205)+COUNTIF($L$6:L172,L173))</f>
        <v/>
      </c>
    </row>
    <row r="174">
      <c r="A174" s="129" t="n"/>
      <c r="B174" s="59" t="n"/>
      <c r="C174" s="59" t="n"/>
      <c r="D174" s="59" t="n"/>
      <c r="E174" s="58" t="n"/>
      <c r="F174" s="58" t="n"/>
      <c r="G174" s="59" t="n"/>
      <c r="H174" s="66" t="str">
        <f>IF(A174="","",COUNTIFS(jr_new,1,jr_type,"BR",jr_tiers,A174,jr_year,p_year))</f>
        <v/>
      </c>
      <c r="I174" s="64" t="str">
        <f>IF(A174="","",SUMIFS(jr_val,jr_type,"BR",jr_tiers,A174,jr_year,p_year))</f>
        <v/>
      </c>
      <c r="J174" s="66" t="str">
        <f>IF(A174="","",COUNTIFS(jr_type,"BR",jr_tiers,A174,jr_etat,"Avec réserves",jr_year,p_year)+COUNTIFS(jr_type,"BR",jr_tiers,A174,jr_etat,"Refusé",jr_year,p_year))</f>
        <v/>
      </c>
      <c r="K174" s="60" t="str">
        <f>IF(A174="",IF(B174="","","Code manquant"),IF(COUNTIF($A$6:$A$205,A174)&gt;1,"Code en double",IF(B174="","Raison sociale manquante","OK")))</f>
        <v/>
      </c>
      <c r="L174" s="130" t="str">
        <f>IF(OR(A174="",N(H174)=0),"",H174+I174/1000000000000)</f>
        <v/>
      </c>
      <c r="M174" s="131" t="str">
        <f>IF(L174="","",RANK(L174,$L$6:$L$205)+COUNTIF($L$6:L173,L174))</f>
        <v/>
      </c>
    </row>
    <row r="175">
      <c r="A175" s="129" t="n"/>
      <c r="B175" s="59" t="n"/>
      <c r="C175" s="59" t="n"/>
      <c r="D175" s="59" t="n"/>
      <c r="E175" s="58" t="n"/>
      <c r="F175" s="58" t="n"/>
      <c r="G175" s="59" t="n"/>
      <c r="H175" s="66" t="str">
        <f>IF(A175="","",COUNTIFS(jr_new,1,jr_type,"BR",jr_tiers,A175,jr_year,p_year))</f>
        <v/>
      </c>
      <c r="I175" s="64" t="str">
        <f>IF(A175="","",SUMIFS(jr_val,jr_type,"BR",jr_tiers,A175,jr_year,p_year))</f>
        <v/>
      </c>
      <c r="J175" s="66" t="str">
        <f>IF(A175="","",COUNTIFS(jr_type,"BR",jr_tiers,A175,jr_etat,"Avec réserves",jr_year,p_year)+COUNTIFS(jr_type,"BR",jr_tiers,A175,jr_etat,"Refusé",jr_year,p_year))</f>
        <v/>
      </c>
      <c r="K175" s="60" t="str">
        <f>IF(A175="",IF(B175="","","Code manquant"),IF(COUNTIF($A$6:$A$205,A175)&gt;1,"Code en double",IF(B175="","Raison sociale manquante","OK")))</f>
        <v/>
      </c>
      <c r="L175" s="130" t="str">
        <f>IF(OR(A175="",N(H175)=0),"",H175+I175/1000000000000)</f>
        <v/>
      </c>
      <c r="M175" s="131" t="str">
        <f>IF(L175="","",RANK(L175,$L$6:$L$205)+COUNTIF($L$6:L174,L175))</f>
        <v/>
      </c>
    </row>
    <row r="176">
      <c r="A176" s="129" t="n"/>
      <c r="B176" s="59" t="n"/>
      <c r="C176" s="59" t="n"/>
      <c r="D176" s="59" t="n"/>
      <c r="E176" s="58" t="n"/>
      <c r="F176" s="58" t="n"/>
      <c r="G176" s="59" t="n"/>
      <c r="H176" s="66" t="str">
        <f>IF(A176="","",COUNTIFS(jr_new,1,jr_type,"BR",jr_tiers,A176,jr_year,p_year))</f>
        <v/>
      </c>
      <c r="I176" s="64" t="str">
        <f>IF(A176="","",SUMIFS(jr_val,jr_type,"BR",jr_tiers,A176,jr_year,p_year))</f>
        <v/>
      </c>
      <c r="J176" s="66" t="str">
        <f>IF(A176="","",COUNTIFS(jr_type,"BR",jr_tiers,A176,jr_etat,"Avec réserves",jr_year,p_year)+COUNTIFS(jr_type,"BR",jr_tiers,A176,jr_etat,"Refusé",jr_year,p_year))</f>
        <v/>
      </c>
      <c r="K176" s="60" t="str">
        <f>IF(A176="",IF(B176="","","Code manquant"),IF(COUNTIF($A$6:$A$205,A176)&gt;1,"Code en double",IF(B176="","Raison sociale manquante","OK")))</f>
        <v/>
      </c>
      <c r="L176" s="130" t="str">
        <f>IF(OR(A176="",N(H176)=0),"",H176+I176/1000000000000)</f>
        <v/>
      </c>
      <c r="M176" s="131" t="str">
        <f>IF(L176="","",RANK(L176,$L$6:$L$205)+COUNTIF($L$6:L175,L176))</f>
        <v/>
      </c>
    </row>
    <row r="177">
      <c r="A177" s="129" t="n"/>
      <c r="B177" s="59" t="n"/>
      <c r="C177" s="59" t="n"/>
      <c r="D177" s="59" t="n"/>
      <c r="E177" s="58" t="n"/>
      <c r="F177" s="58" t="n"/>
      <c r="G177" s="59" t="n"/>
      <c r="H177" s="66" t="str">
        <f>IF(A177="","",COUNTIFS(jr_new,1,jr_type,"BR",jr_tiers,A177,jr_year,p_year))</f>
        <v/>
      </c>
      <c r="I177" s="64" t="str">
        <f>IF(A177="","",SUMIFS(jr_val,jr_type,"BR",jr_tiers,A177,jr_year,p_year))</f>
        <v/>
      </c>
      <c r="J177" s="66" t="str">
        <f>IF(A177="","",COUNTIFS(jr_type,"BR",jr_tiers,A177,jr_etat,"Avec réserves",jr_year,p_year)+COUNTIFS(jr_type,"BR",jr_tiers,A177,jr_etat,"Refusé",jr_year,p_year))</f>
        <v/>
      </c>
      <c r="K177" s="60" t="str">
        <f>IF(A177="",IF(B177="","","Code manquant"),IF(COUNTIF($A$6:$A$205,A177)&gt;1,"Code en double",IF(B177="","Raison sociale manquante","OK")))</f>
        <v/>
      </c>
      <c r="L177" s="130" t="str">
        <f>IF(OR(A177="",N(H177)=0),"",H177+I177/1000000000000)</f>
        <v/>
      </c>
      <c r="M177" s="131" t="str">
        <f>IF(L177="","",RANK(L177,$L$6:$L$205)+COUNTIF($L$6:L176,L177))</f>
        <v/>
      </c>
    </row>
    <row r="178">
      <c r="A178" s="129" t="n"/>
      <c r="B178" s="59" t="n"/>
      <c r="C178" s="59" t="n"/>
      <c r="D178" s="59" t="n"/>
      <c r="E178" s="58" t="n"/>
      <c r="F178" s="58" t="n"/>
      <c r="G178" s="59" t="n"/>
      <c r="H178" s="66" t="str">
        <f>IF(A178="","",COUNTIFS(jr_new,1,jr_type,"BR",jr_tiers,A178,jr_year,p_year))</f>
        <v/>
      </c>
      <c r="I178" s="64" t="str">
        <f>IF(A178="","",SUMIFS(jr_val,jr_type,"BR",jr_tiers,A178,jr_year,p_year))</f>
        <v/>
      </c>
      <c r="J178" s="66" t="str">
        <f>IF(A178="","",COUNTIFS(jr_type,"BR",jr_tiers,A178,jr_etat,"Avec réserves",jr_year,p_year)+COUNTIFS(jr_type,"BR",jr_tiers,A178,jr_etat,"Refusé",jr_year,p_year))</f>
        <v/>
      </c>
      <c r="K178" s="60" t="str">
        <f>IF(A178="",IF(B178="","","Code manquant"),IF(COUNTIF($A$6:$A$205,A178)&gt;1,"Code en double",IF(B178="","Raison sociale manquante","OK")))</f>
        <v/>
      </c>
      <c r="L178" s="130" t="str">
        <f>IF(OR(A178="",N(H178)=0),"",H178+I178/1000000000000)</f>
        <v/>
      </c>
      <c r="M178" s="131" t="str">
        <f>IF(L178="","",RANK(L178,$L$6:$L$205)+COUNTIF($L$6:L177,L178))</f>
        <v/>
      </c>
    </row>
    <row r="179">
      <c r="A179" s="129" t="n"/>
      <c r="B179" s="59" t="n"/>
      <c r="C179" s="59" t="n"/>
      <c r="D179" s="59" t="n"/>
      <c r="E179" s="58" t="n"/>
      <c r="F179" s="58" t="n"/>
      <c r="G179" s="59" t="n"/>
      <c r="H179" s="66" t="str">
        <f>IF(A179="","",COUNTIFS(jr_new,1,jr_type,"BR",jr_tiers,A179,jr_year,p_year))</f>
        <v/>
      </c>
      <c r="I179" s="64" t="str">
        <f>IF(A179="","",SUMIFS(jr_val,jr_type,"BR",jr_tiers,A179,jr_year,p_year))</f>
        <v/>
      </c>
      <c r="J179" s="66" t="str">
        <f>IF(A179="","",COUNTIFS(jr_type,"BR",jr_tiers,A179,jr_etat,"Avec réserves",jr_year,p_year)+COUNTIFS(jr_type,"BR",jr_tiers,A179,jr_etat,"Refusé",jr_year,p_year))</f>
        <v/>
      </c>
      <c r="K179" s="60" t="str">
        <f>IF(A179="",IF(B179="","","Code manquant"),IF(COUNTIF($A$6:$A$205,A179)&gt;1,"Code en double",IF(B179="","Raison sociale manquante","OK")))</f>
        <v/>
      </c>
      <c r="L179" s="130" t="str">
        <f>IF(OR(A179="",N(H179)=0),"",H179+I179/1000000000000)</f>
        <v/>
      </c>
      <c r="M179" s="131" t="str">
        <f>IF(L179="","",RANK(L179,$L$6:$L$205)+COUNTIF($L$6:L178,L179))</f>
        <v/>
      </c>
    </row>
    <row r="180">
      <c r="A180" s="129" t="n"/>
      <c r="B180" s="59" t="n"/>
      <c r="C180" s="59" t="n"/>
      <c r="D180" s="59" t="n"/>
      <c r="E180" s="58" t="n"/>
      <c r="F180" s="58" t="n"/>
      <c r="G180" s="59" t="n"/>
      <c r="H180" s="66" t="str">
        <f>IF(A180="","",COUNTIFS(jr_new,1,jr_type,"BR",jr_tiers,A180,jr_year,p_year))</f>
        <v/>
      </c>
      <c r="I180" s="64" t="str">
        <f>IF(A180="","",SUMIFS(jr_val,jr_type,"BR",jr_tiers,A180,jr_year,p_year))</f>
        <v/>
      </c>
      <c r="J180" s="66" t="str">
        <f>IF(A180="","",COUNTIFS(jr_type,"BR",jr_tiers,A180,jr_etat,"Avec réserves",jr_year,p_year)+COUNTIFS(jr_type,"BR",jr_tiers,A180,jr_etat,"Refusé",jr_year,p_year))</f>
        <v/>
      </c>
      <c r="K180" s="60" t="str">
        <f>IF(A180="",IF(B180="","","Code manquant"),IF(COUNTIF($A$6:$A$205,A180)&gt;1,"Code en double",IF(B180="","Raison sociale manquante","OK")))</f>
        <v/>
      </c>
      <c r="L180" s="130" t="str">
        <f>IF(OR(A180="",N(H180)=0),"",H180+I180/1000000000000)</f>
        <v/>
      </c>
      <c r="M180" s="131" t="str">
        <f>IF(L180="","",RANK(L180,$L$6:$L$205)+COUNTIF($L$6:L179,L180))</f>
        <v/>
      </c>
    </row>
    <row r="181">
      <c r="A181" s="129" t="n"/>
      <c r="B181" s="59" t="n"/>
      <c r="C181" s="59" t="n"/>
      <c r="D181" s="59" t="n"/>
      <c r="E181" s="58" t="n"/>
      <c r="F181" s="58" t="n"/>
      <c r="G181" s="59" t="n"/>
      <c r="H181" s="66" t="str">
        <f>IF(A181="","",COUNTIFS(jr_new,1,jr_type,"BR",jr_tiers,A181,jr_year,p_year))</f>
        <v/>
      </c>
      <c r="I181" s="64" t="str">
        <f>IF(A181="","",SUMIFS(jr_val,jr_type,"BR",jr_tiers,A181,jr_year,p_year))</f>
        <v/>
      </c>
      <c r="J181" s="66" t="str">
        <f>IF(A181="","",COUNTIFS(jr_type,"BR",jr_tiers,A181,jr_etat,"Avec réserves",jr_year,p_year)+COUNTIFS(jr_type,"BR",jr_tiers,A181,jr_etat,"Refusé",jr_year,p_year))</f>
        <v/>
      </c>
      <c r="K181" s="60" t="str">
        <f>IF(A181="",IF(B181="","","Code manquant"),IF(COUNTIF($A$6:$A$205,A181)&gt;1,"Code en double",IF(B181="","Raison sociale manquante","OK")))</f>
        <v/>
      </c>
      <c r="L181" s="130" t="str">
        <f>IF(OR(A181="",N(H181)=0),"",H181+I181/1000000000000)</f>
        <v/>
      </c>
      <c r="M181" s="131" t="str">
        <f>IF(L181="","",RANK(L181,$L$6:$L$205)+COUNTIF($L$6:L180,L181))</f>
        <v/>
      </c>
    </row>
    <row r="182">
      <c r="A182" s="129" t="n"/>
      <c r="B182" s="59" t="n"/>
      <c r="C182" s="59" t="n"/>
      <c r="D182" s="59" t="n"/>
      <c r="E182" s="58" t="n"/>
      <c r="F182" s="58" t="n"/>
      <c r="G182" s="59" t="n"/>
      <c r="H182" s="66" t="str">
        <f>IF(A182="","",COUNTIFS(jr_new,1,jr_type,"BR",jr_tiers,A182,jr_year,p_year))</f>
        <v/>
      </c>
      <c r="I182" s="64" t="str">
        <f>IF(A182="","",SUMIFS(jr_val,jr_type,"BR",jr_tiers,A182,jr_year,p_year))</f>
        <v/>
      </c>
      <c r="J182" s="66" t="str">
        <f>IF(A182="","",COUNTIFS(jr_type,"BR",jr_tiers,A182,jr_etat,"Avec réserves",jr_year,p_year)+COUNTIFS(jr_type,"BR",jr_tiers,A182,jr_etat,"Refusé",jr_year,p_year))</f>
        <v/>
      </c>
      <c r="K182" s="60" t="str">
        <f>IF(A182="",IF(B182="","","Code manquant"),IF(COUNTIF($A$6:$A$205,A182)&gt;1,"Code en double",IF(B182="","Raison sociale manquante","OK")))</f>
        <v/>
      </c>
      <c r="L182" s="130" t="str">
        <f>IF(OR(A182="",N(H182)=0),"",H182+I182/1000000000000)</f>
        <v/>
      </c>
      <c r="M182" s="131" t="str">
        <f>IF(L182="","",RANK(L182,$L$6:$L$205)+COUNTIF($L$6:L181,L182))</f>
        <v/>
      </c>
    </row>
    <row r="183">
      <c r="A183" s="129" t="n"/>
      <c r="B183" s="59" t="n"/>
      <c r="C183" s="59" t="n"/>
      <c r="D183" s="59" t="n"/>
      <c r="E183" s="58" t="n"/>
      <c r="F183" s="58" t="n"/>
      <c r="G183" s="59" t="n"/>
      <c r="H183" s="66" t="str">
        <f>IF(A183="","",COUNTIFS(jr_new,1,jr_type,"BR",jr_tiers,A183,jr_year,p_year))</f>
        <v/>
      </c>
      <c r="I183" s="64" t="str">
        <f>IF(A183="","",SUMIFS(jr_val,jr_type,"BR",jr_tiers,A183,jr_year,p_year))</f>
        <v/>
      </c>
      <c r="J183" s="66" t="str">
        <f>IF(A183="","",COUNTIFS(jr_type,"BR",jr_tiers,A183,jr_etat,"Avec réserves",jr_year,p_year)+COUNTIFS(jr_type,"BR",jr_tiers,A183,jr_etat,"Refusé",jr_year,p_year))</f>
        <v/>
      </c>
      <c r="K183" s="60" t="str">
        <f>IF(A183="",IF(B183="","","Code manquant"),IF(COUNTIF($A$6:$A$205,A183)&gt;1,"Code en double",IF(B183="","Raison sociale manquante","OK")))</f>
        <v/>
      </c>
      <c r="L183" s="130" t="str">
        <f>IF(OR(A183="",N(H183)=0),"",H183+I183/1000000000000)</f>
        <v/>
      </c>
      <c r="M183" s="131" t="str">
        <f>IF(L183="","",RANK(L183,$L$6:$L$205)+COUNTIF($L$6:L182,L183))</f>
        <v/>
      </c>
    </row>
    <row r="184">
      <c r="A184" s="129" t="n"/>
      <c r="B184" s="59" t="n"/>
      <c r="C184" s="59" t="n"/>
      <c r="D184" s="59" t="n"/>
      <c r="E184" s="58" t="n"/>
      <c r="F184" s="58" t="n"/>
      <c r="G184" s="59" t="n"/>
      <c r="H184" s="66" t="str">
        <f>IF(A184="","",COUNTIFS(jr_new,1,jr_type,"BR",jr_tiers,A184,jr_year,p_year))</f>
        <v/>
      </c>
      <c r="I184" s="64" t="str">
        <f>IF(A184="","",SUMIFS(jr_val,jr_type,"BR",jr_tiers,A184,jr_year,p_year))</f>
        <v/>
      </c>
      <c r="J184" s="66" t="str">
        <f>IF(A184="","",COUNTIFS(jr_type,"BR",jr_tiers,A184,jr_etat,"Avec réserves",jr_year,p_year)+COUNTIFS(jr_type,"BR",jr_tiers,A184,jr_etat,"Refusé",jr_year,p_year))</f>
        <v/>
      </c>
      <c r="K184" s="60" t="str">
        <f>IF(A184="",IF(B184="","","Code manquant"),IF(COUNTIF($A$6:$A$205,A184)&gt;1,"Code en double",IF(B184="","Raison sociale manquante","OK")))</f>
        <v/>
      </c>
      <c r="L184" s="130" t="str">
        <f>IF(OR(A184="",N(H184)=0),"",H184+I184/1000000000000)</f>
        <v/>
      </c>
      <c r="M184" s="131" t="str">
        <f>IF(L184="","",RANK(L184,$L$6:$L$205)+COUNTIF($L$6:L183,L184))</f>
        <v/>
      </c>
    </row>
    <row r="185">
      <c r="A185" s="129" t="n"/>
      <c r="B185" s="59" t="n"/>
      <c r="C185" s="59" t="n"/>
      <c r="D185" s="59" t="n"/>
      <c r="E185" s="58" t="n"/>
      <c r="F185" s="58" t="n"/>
      <c r="G185" s="59" t="n"/>
      <c r="H185" s="66" t="str">
        <f>IF(A185="","",COUNTIFS(jr_new,1,jr_type,"BR",jr_tiers,A185,jr_year,p_year))</f>
        <v/>
      </c>
      <c r="I185" s="64" t="str">
        <f>IF(A185="","",SUMIFS(jr_val,jr_type,"BR",jr_tiers,A185,jr_year,p_year))</f>
        <v/>
      </c>
      <c r="J185" s="66" t="str">
        <f>IF(A185="","",COUNTIFS(jr_type,"BR",jr_tiers,A185,jr_etat,"Avec réserves",jr_year,p_year)+COUNTIFS(jr_type,"BR",jr_tiers,A185,jr_etat,"Refusé",jr_year,p_year))</f>
        <v/>
      </c>
      <c r="K185" s="60" t="str">
        <f>IF(A185="",IF(B185="","","Code manquant"),IF(COUNTIF($A$6:$A$205,A185)&gt;1,"Code en double",IF(B185="","Raison sociale manquante","OK")))</f>
        <v/>
      </c>
      <c r="L185" s="130" t="str">
        <f>IF(OR(A185="",N(H185)=0),"",H185+I185/1000000000000)</f>
        <v/>
      </c>
      <c r="M185" s="131" t="str">
        <f>IF(L185="","",RANK(L185,$L$6:$L$205)+COUNTIF($L$6:L184,L185))</f>
        <v/>
      </c>
    </row>
    <row r="186">
      <c r="A186" s="129" t="n"/>
      <c r="B186" s="59" t="n"/>
      <c r="C186" s="59" t="n"/>
      <c r="D186" s="59" t="n"/>
      <c r="E186" s="58" t="n"/>
      <c r="F186" s="58" t="n"/>
      <c r="G186" s="59" t="n"/>
      <c r="H186" s="66" t="str">
        <f>IF(A186="","",COUNTIFS(jr_new,1,jr_type,"BR",jr_tiers,A186,jr_year,p_year))</f>
        <v/>
      </c>
      <c r="I186" s="64" t="str">
        <f>IF(A186="","",SUMIFS(jr_val,jr_type,"BR",jr_tiers,A186,jr_year,p_year))</f>
        <v/>
      </c>
      <c r="J186" s="66" t="str">
        <f>IF(A186="","",COUNTIFS(jr_type,"BR",jr_tiers,A186,jr_etat,"Avec réserves",jr_year,p_year)+COUNTIFS(jr_type,"BR",jr_tiers,A186,jr_etat,"Refusé",jr_year,p_year))</f>
        <v/>
      </c>
      <c r="K186" s="60" t="str">
        <f>IF(A186="",IF(B186="","","Code manquant"),IF(COUNTIF($A$6:$A$205,A186)&gt;1,"Code en double",IF(B186="","Raison sociale manquante","OK")))</f>
        <v/>
      </c>
      <c r="L186" s="130" t="str">
        <f>IF(OR(A186="",N(H186)=0),"",H186+I186/1000000000000)</f>
        <v/>
      </c>
      <c r="M186" s="131" t="str">
        <f>IF(L186="","",RANK(L186,$L$6:$L$205)+COUNTIF($L$6:L185,L186))</f>
        <v/>
      </c>
    </row>
    <row r="187">
      <c r="A187" s="129" t="n"/>
      <c r="B187" s="59" t="n"/>
      <c r="C187" s="59" t="n"/>
      <c r="D187" s="59" t="n"/>
      <c r="E187" s="58" t="n"/>
      <c r="F187" s="58" t="n"/>
      <c r="G187" s="59" t="n"/>
      <c r="H187" s="66" t="str">
        <f>IF(A187="","",COUNTIFS(jr_new,1,jr_type,"BR",jr_tiers,A187,jr_year,p_year))</f>
        <v/>
      </c>
      <c r="I187" s="64" t="str">
        <f>IF(A187="","",SUMIFS(jr_val,jr_type,"BR",jr_tiers,A187,jr_year,p_year))</f>
        <v/>
      </c>
      <c r="J187" s="66" t="str">
        <f>IF(A187="","",COUNTIFS(jr_type,"BR",jr_tiers,A187,jr_etat,"Avec réserves",jr_year,p_year)+COUNTIFS(jr_type,"BR",jr_tiers,A187,jr_etat,"Refusé",jr_year,p_year))</f>
        <v/>
      </c>
      <c r="K187" s="60" t="str">
        <f>IF(A187="",IF(B187="","","Code manquant"),IF(COUNTIF($A$6:$A$205,A187)&gt;1,"Code en double",IF(B187="","Raison sociale manquante","OK")))</f>
        <v/>
      </c>
      <c r="L187" s="130" t="str">
        <f>IF(OR(A187="",N(H187)=0),"",H187+I187/1000000000000)</f>
        <v/>
      </c>
      <c r="M187" s="131" t="str">
        <f>IF(L187="","",RANK(L187,$L$6:$L$205)+COUNTIF($L$6:L186,L187))</f>
        <v/>
      </c>
    </row>
    <row r="188">
      <c r="A188" s="129" t="n"/>
      <c r="B188" s="59" t="n"/>
      <c r="C188" s="59" t="n"/>
      <c r="D188" s="59" t="n"/>
      <c r="E188" s="58" t="n"/>
      <c r="F188" s="58" t="n"/>
      <c r="G188" s="59" t="n"/>
      <c r="H188" s="66" t="str">
        <f>IF(A188="","",COUNTIFS(jr_new,1,jr_type,"BR",jr_tiers,A188,jr_year,p_year))</f>
        <v/>
      </c>
      <c r="I188" s="64" t="str">
        <f>IF(A188="","",SUMIFS(jr_val,jr_type,"BR",jr_tiers,A188,jr_year,p_year))</f>
        <v/>
      </c>
      <c r="J188" s="66" t="str">
        <f>IF(A188="","",COUNTIFS(jr_type,"BR",jr_tiers,A188,jr_etat,"Avec réserves",jr_year,p_year)+COUNTIFS(jr_type,"BR",jr_tiers,A188,jr_etat,"Refusé",jr_year,p_year))</f>
        <v/>
      </c>
      <c r="K188" s="60" t="str">
        <f>IF(A188="",IF(B188="","","Code manquant"),IF(COUNTIF($A$6:$A$205,A188)&gt;1,"Code en double",IF(B188="","Raison sociale manquante","OK")))</f>
        <v/>
      </c>
      <c r="L188" s="130" t="str">
        <f>IF(OR(A188="",N(H188)=0),"",H188+I188/1000000000000)</f>
        <v/>
      </c>
      <c r="M188" s="131" t="str">
        <f>IF(L188="","",RANK(L188,$L$6:$L$205)+COUNTIF($L$6:L187,L188))</f>
        <v/>
      </c>
    </row>
    <row r="189">
      <c r="A189" s="129" t="n"/>
      <c r="B189" s="59" t="n"/>
      <c r="C189" s="59" t="n"/>
      <c r="D189" s="59" t="n"/>
      <c r="E189" s="58" t="n"/>
      <c r="F189" s="58" t="n"/>
      <c r="G189" s="59" t="n"/>
      <c r="H189" s="66" t="str">
        <f>IF(A189="","",COUNTIFS(jr_new,1,jr_type,"BR",jr_tiers,A189,jr_year,p_year))</f>
        <v/>
      </c>
      <c r="I189" s="64" t="str">
        <f>IF(A189="","",SUMIFS(jr_val,jr_type,"BR",jr_tiers,A189,jr_year,p_year))</f>
        <v/>
      </c>
      <c r="J189" s="66" t="str">
        <f>IF(A189="","",COUNTIFS(jr_type,"BR",jr_tiers,A189,jr_etat,"Avec réserves",jr_year,p_year)+COUNTIFS(jr_type,"BR",jr_tiers,A189,jr_etat,"Refusé",jr_year,p_year))</f>
        <v/>
      </c>
      <c r="K189" s="60" t="str">
        <f>IF(A189="",IF(B189="","","Code manquant"),IF(COUNTIF($A$6:$A$205,A189)&gt;1,"Code en double",IF(B189="","Raison sociale manquante","OK")))</f>
        <v/>
      </c>
      <c r="L189" s="130" t="str">
        <f>IF(OR(A189="",N(H189)=0),"",H189+I189/1000000000000)</f>
        <v/>
      </c>
      <c r="M189" s="131" t="str">
        <f>IF(L189="","",RANK(L189,$L$6:$L$205)+COUNTIF($L$6:L188,L189))</f>
        <v/>
      </c>
    </row>
    <row r="190">
      <c r="A190" s="129" t="n"/>
      <c r="B190" s="59" t="n"/>
      <c r="C190" s="59" t="n"/>
      <c r="D190" s="59" t="n"/>
      <c r="E190" s="58" t="n"/>
      <c r="F190" s="58" t="n"/>
      <c r="G190" s="59" t="n"/>
      <c r="H190" s="66" t="str">
        <f>IF(A190="","",COUNTIFS(jr_new,1,jr_type,"BR",jr_tiers,A190,jr_year,p_year))</f>
        <v/>
      </c>
      <c r="I190" s="64" t="str">
        <f>IF(A190="","",SUMIFS(jr_val,jr_type,"BR",jr_tiers,A190,jr_year,p_year))</f>
        <v/>
      </c>
      <c r="J190" s="66" t="str">
        <f>IF(A190="","",COUNTIFS(jr_type,"BR",jr_tiers,A190,jr_etat,"Avec réserves",jr_year,p_year)+COUNTIFS(jr_type,"BR",jr_tiers,A190,jr_etat,"Refusé",jr_year,p_year))</f>
        <v/>
      </c>
      <c r="K190" s="60" t="str">
        <f>IF(A190="",IF(B190="","","Code manquant"),IF(COUNTIF($A$6:$A$205,A190)&gt;1,"Code en double",IF(B190="","Raison sociale manquante","OK")))</f>
        <v/>
      </c>
      <c r="L190" s="130" t="str">
        <f>IF(OR(A190="",N(H190)=0),"",H190+I190/1000000000000)</f>
        <v/>
      </c>
      <c r="M190" s="131" t="str">
        <f>IF(L190="","",RANK(L190,$L$6:$L$205)+COUNTIF($L$6:L189,L190))</f>
        <v/>
      </c>
    </row>
    <row r="191">
      <c r="A191" s="129" t="n"/>
      <c r="B191" s="59" t="n"/>
      <c r="C191" s="59" t="n"/>
      <c r="D191" s="59" t="n"/>
      <c r="E191" s="58" t="n"/>
      <c r="F191" s="58" t="n"/>
      <c r="G191" s="59" t="n"/>
      <c r="H191" s="66" t="str">
        <f>IF(A191="","",COUNTIFS(jr_new,1,jr_type,"BR",jr_tiers,A191,jr_year,p_year))</f>
        <v/>
      </c>
      <c r="I191" s="64" t="str">
        <f>IF(A191="","",SUMIFS(jr_val,jr_type,"BR",jr_tiers,A191,jr_year,p_year))</f>
        <v/>
      </c>
      <c r="J191" s="66" t="str">
        <f>IF(A191="","",COUNTIFS(jr_type,"BR",jr_tiers,A191,jr_etat,"Avec réserves",jr_year,p_year)+COUNTIFS(jr_type,"BR",jr_tiers,A191,jr_etat,"Refusé",jr_year,p_year))</f>
        <v/>
      </c>
      <c r="K191" s="60" t="str">
        <f>IF(A191="",IF(B191="","","Code manquant"),IF(COUNTIF($A$6:$A$205,A191)&gt;1,"Code en double",IF(B191="","Raison sociale manquante","OK")))</f>
        <v/>
      </c>
      <c r="L191" s="130" t="str">
        <f>IF(OR(A191="",N(H191)=0),"",H191+I191/1000000000000)</f>
        <v/>
      </c>
      <c r="M191" s="131" t="str">
        <f>IF(L191="","",RANK(L191,$L$6:$L$205)+COUNTIF($L$6:L190,L191))</f>
        <v/>
      </c>
    </row>
    <row r="192">
      <c r="A192" s="129" t="n"/>
      <c r="B192" s="59" t="n"/>
      <c r="C192" s="59" t="n"/>
      <c r="D192" s="59" t="n"/>
      <c r="E192" s="58" t="n"/>
      <c r="F192" s="58" t="n"/>
      <c r="G192" s="59" t="n"/>
      <c r="H192" s="66" t="str">
        <f>IF(A192="","",COUNTIFS(jr_new,1,jr_type,"BR",jr_tiers,A192,jr_year,p_year))</f>
        <v/>
      </c>
      <c r="I192" s="64" t="str">
        <f>IF(A192="","",SUMIFS(jr_val,jr_type,"BR",jr_tiers,A192,jr_year,p_year))</f>
        <v/>
      </c>
      <c r="J192" s="66" t="str">
        <f>IF(A192="","",COUNTIFS(jr_type,"BR",jr_tiers,A192,jr_etat,"Avec réserves",jr_year,p_year)+COUNTIFS(jr_type,"BR",jr_tiers,A192,jr_etat,"Refusé",jr_year,p_year))</f>
        <v/>
      </c>
      <c r="K192" s="60" t="str">
        <f>IF(A192="",IF(B192="","","Code manquant"),IF(COUNTIF($A$6:$A$205,A192)&gt;1,"Code en double",IF(B192="","Raison sociale manquante","OK")))</f>
        <v/>
      </c>
      <c r="L192" s="130" t="str">
        <f>IF(OR(A192="",N(H192)=0),"",H192+I192/1000000000000)</f>
        <v/>
      </c>
      <c r="M192" s="131" t="str">
        <f>IF(L192="","",RANK(L192,$L$6:$L$205)+COUNTIF($L$6:L191,L192))</f>
        <v/>
      </c>
    </row>
    <row r="193">
      <c r="A193" s="129" t="n"/>
      <c r="B193" s="59" t="n"/>
      <c r="C193" s="59" t="n"/>
      <c r="D193" s="59" t="n"/>
      <c r="E193" s="58" t="n"/>
      <c r="F193" s="58" t="n"/>
      <c r="G193" s="59" t="n"/>
      <c r="H193" s="66" t="str">
        <f>IF(A193="","",COUNTIFS(jr_new,1,jr_type,"BR",jr_tiers,A193,jr_year,p_year))</f>
        <v/>
      </c>
      <c r="I193" s="64" t="str">
        <f>IF(A193="","",SUMIFS(jr_val,jr_type,"BR",jr_tiers,A193,jr_year,p_year))</f>
        <v/>
      </c>
      <c r="J193" s="66" t="str">
        <f>IF(A193="","",COUNTIFS(jr_type,"BR",jr_tiers,A193,jr_etat,"Avec réserves",jr_year,p_year)+COUNTIFS(jr_type,"BR",jr_tiers,A193,jr_etat,"Refusé",jr_year,p_year))</f>
        <v/>
      </c>
      <c r="K193" s="60" t="str">
        <f>IF(A193="",IF(B193="","","Code manquant"),IF(COUNTIF($A$6:$A$205,A193)&gt;1,"Code en double",IF(B193="","Raison sociale manquante","OK")))</f>
        <v/>
      </c>
      <c r="L193" s="130" t="str">
        <f>IF(OR(A193="",N(H193)=0),"",H193+I193/1000000000000)</f>
        <v/>
      </c>
      <c r="M193" s="131" t="str">
        <f>IF(L193="","",RANK(L193,$L$6:$L$205)+COUNTIF($L$6:L192,L193))</f>
        <v/>
      </c>
    </row>
    <row r="194">
      <c r="A194" s="129" t="n"/>
      <c r="B194" s="59" t="n"/>
      <c r="C194" s="59" t="n"/>
      <c r="D194" s="59" t="n"/>
      <c r="E194" s="58" t="n"/>
      <c r="F194" s="58" t="n"/>
      <c r="G194" s="59" t="n"/>
      <c r="H194" s="66" t="str">
        <f>IF(A194="","",COUNTIFS(jr_new,1,jr_type,"BR",jr_tiers,A194,jr_year,p_year))</f>
        <v/>
      </c>
      <c r="I194" s="64" t="str">
        <f>IF(A194="","",SUMIFS(jr_val,jr_type,"BR",jr_tiers,A194,jr_year,p_year))</f>
        <v/>
      </c>
      <c r="J194" s="66" t="str">
        <f>IF(A194="","",COUNTIFS(jr_type,"BR",jr_tiers,A194,jr_etat,"Avec réserves",jr_year,p_year)+COUNTIFS(jr_type,"BR",jr_tiers,A194,jr_etat,"Refusé",jr_year,p_year))</f>
        <v/>
      </c>
      <c r="K194" s="60" t="str">
        <f>IF(A194="",IF(B194="","","Code manquant"),IF(COUNTIF($A$6:$A$205,A194)&gt;1,"Code en double",IF(B194="","Raison sociale manquante","OK")))</f>
        <v/>
      </c>
      <c r="L194" s="130" t="str">
        <f>IF(OR(A194="",N(H194)=0),"",H194+I194/1000000000000)</f>
        <v/>
      </c>
      <c r="M194" s="131" t="str">
        <f>IF(L194="","",RANK(L194,$L$6:$L$205)+COUNTIF($L$6:L193,L194))</f>
        <v/>
      </c>
    </row>
    <row r="195">
      <c r="A195" s="129" t="n"/>
      <c r="B195" s="59" t="n"/>
      <c r="C195" s="59" t="n"/>
      <c r="D195" s="59" t="n"/>
      <c r="E195" s="58" t="n"/>
      <c r="F195" s="58" t="n"/>
      <c r="G195" s="59" t="n"/>
      <c r="H195" s="66" t="str">
        <f>IF(A195="","",COUNTIFS(jr_new,1,jr_type,"BR",jr_tiers,A195,jr_year,p_year))</f>
        <v/>
      </c>
      <c r="I195" s="64" t="str">
        <f>IF(A195="","",SUMIFS(jr_val,jr_type,"BR",jr_tiers,A195,jr_year,p_year))</f>
        <v/>
      </c>
      <c r="J195" s="66" t="str">
        <f>IF(A195="","",COUNTIFS(jr_type,"BR",jr_tiers,A195,jr_etat,"Avec réserves",jr_year,p_year)+COUNTIFS(jr_type,"BR",jr_tiers,A195,jr_etat,"Refusé",jr_year,p_year))</f>
        <v/>
      </c>
      <c r="K195" s="60" t="str">
        <f>IF(A195="",IF(B195="","","Code manquant"),IF(COUNTIF($A$6:$A$205,A195)&gt;1,"Code en double",IF(B195="","Raison sociale manquante","OK")))</f>
        <v/>
      </c>
      <c r="L195" s="130" t="str">
        <f>IF(OR(A195="",N(H195)=0),"",H195+I195/1000000000000)</f>
        <v/>
      </c>
      <c r="M195" s="131" t="str">
        <f>IF(L195="","",RANK(L195,$L$6:$L$205)+COUNTIF($L$6:L194,L195))</f>
        <v/>
      </c>
    </row>
    <row r="196">
      <c r="A196" s="129" t="n"/>
      <c r="B196" s="59" t="n"/>
      <c r="C196" s="59" t="n"/>
      <c r="D196" s="59" t="n"/>
      <c r="E196" s="58" t="n"/>
      <c r="F196" s="58" t="n"/>
      <c r="G196" s="59" t="n"/>
      <c r="H196" s="66" t="str">
        <f>IF(A196="","",COUNTIFS(jr_new,1,jr_type,"BR",jr_tiers,A196,jr_year,p_year))</f>
        <v/>
      </c>
      <c r="I196" s="64" t="str">
        <f>IF(A196="","",SUMIFS(jr_val,jr_type,"BR",jr_tiers,A196,jr_year,p_year))</f>
        <v/>
      </c>
      <c r="J196" s="66" t="str">
        <f>IF(A196="","",COUNTIFS(jr_type,"BR",jr_tiers,A196,jr_etat,"Avec réserves",jr_year,p_year)+COUNTIFS(jr_type,"BR",jr_tiers,A196,jr_etat,"Refusé",jr_year,p_year))</f>
        <v/>
      </c>
      <c r="K196" s="60" t="str">
        <f>IF(A196="",IF(B196="","","Code manquant"),IF(COUNTIF($A$6:$A$205,A196)&gt;1,"Code en double",IF(B196="","Raison sociale manquante","OK")))</f>
        <v/>
      </c>
      <c r="L196" s="130" t="str">
        <f>IF(OR(A196="",N(H196)=0),"",H196+I196/1000000000000)</f>
        <v/>
      </c>
      <c r="M196" s="131" t="str">
        <f>IF(L196="","",RANK(L196,$L$6:$L$205)+COUNTIF($L$6:L195,L196))</f>
        <v/>
      </c>
    </row>
    <row r="197">
      <c r="A197" s="129" t="n"/>
      <c r="B197" s="59" t="n"/>
      <c r="C197" s="59" t="n"/>
      <c r="D197" s="59" t="n"/>
      <c r="E197" s="58" t="n"/>
      <c r="F197" s="58" t="n"/>
      <c r="G197" s="59" t="n"/>
      <c r="H197" s="66" t="str">
        <f>IF(A197="","",COUNTIFS(jr_new,1,jr_type,"BR",jr_tiers,A197,jr_year,p_year))</f>
        <v/>
      </c>
      <c r="I197" s="64" t="str">
        <f>IF(A197="","",SUMIFS(jr_val,jr_type,"BR",jr_tiers,A197,jr_year,p_year))</f>
        <v/>
      </c>
      <c r="J197" s="66" t="str">
        <f>IF(A197="","",COUNTIFS(jr_type,"BR",jr_tiers,A197,jr_etat,"Avec réserves",jr_year,p_year)+COUNTIFS(jr_type,"BR",jr_tiers,A197,jr_etat,"Refusé",jr_year,p_year))</f>
        <v/>
      </c>
      <c r="K197" s="60" t="str">
        <f>IF(A197="",IF(B197="","","Code manquant"),IF(COUNTIF($A$6:$A$205,A197)&gt;1,"Code en double",IF(B197="","Raison sociale manquante","OK")))</f>
        <v/>
      </c>
      <c r="L197" s="130" t="str">
        <f>IF(OR(A197="",N(H197)=0),"",H197+I197/1000000000000)</f>
        <v/>
      </c>
      <c r="M197" s="131" t="str">
        <f>IF(L197="","",RANK(L197,$L$6:$L$205)+COUNTIF($L$6:L196,L197))</f>
        <v/>
      </c>
    </row>
    <row r="198">
      <c r="A198" s="129" t="n"/>
      <c r="B198" s="59" t="n"/>
      <c r="C198" s="59" t="n"/>
      <c r="D198" s="59" t="n"/>
      <c r="E198" s="58" t="n"/>
      <c r="F198" s="58" t="n"/>
      <c r="G198" s="59" t="n"/>
      <c r="H198" s="66" t="str">
        <f>IF(A198="","",COUNTIFS(jr_new,1,jr_type,"BR",jr_tiers,A198,jr_year,p_year))</f>
        <v/>
      </c>
      <c r="I198" s="64" t="str">
        <f>IF(A198="","",SUMIFS(jr_val,jr_type,"BR",jr_tiers,A198,jr_year,p_year))</f>
        <v/>
      </c>
      <c r="J198" s="66" t="str">
        <f>IF(A198="","",COUNTIFS(jr_type,"BR",jr_tiers,A198,jr_etat,"Avec réserves",jr_year,p_year)+COUNTIFS(jr_type,"BR",jr_tiers,A198,jr_etat,"Refusé",jr_year,p_year))</f>
        <v/>
      </c>
      <c r="K198" s="60" t="str">
        <f>IF(A198="",IF(B198="","","Code manquant"),IF(COUNTIF($A$6:$A$205,A198)&gt;1,"Code en double",IF(B198="","Raison sociale manquante","OK")))</f>
        <v/>
      </c>
      <c r="L198" s="130" t="str">
        <f>IF(OR(A198="",N(H198)=0),"",H198+I198/1000000000000)</f>
        <v/>
      </c>
      <c r="M198" s="131" t="str">
        <f>IF(L198="","",RANK(L198,$L$6:$L$205)+COUNTIF($L$6:L197,L198))</f>
        <v/>
      </c>
    </row>
    <row r="199">
      <c r="A199" s="129" t="n"/>
      <c r="B199" s="59" t="n"/>
      <c r="C199" s="59" t="n"/>
      <c r="D199" s="59" t="n"/>
      <c r="E199" s="58" t="n"/>
      <c r="F199" s="58" t="n"/>
      <c r="G199" s="59" t="n"/>
      <c r="H199" s="66" t="str">
        <f>IF(A199="","",COUNTIFS(jr_new,1,jr_type,"BR",jr_tiers,A199,jr_year,p_year))</f>
        <v/>
      </c>
      <c r="I199" s="64" t="str">
        <f>IF(A199="","",SUMIFS(jr_val,jr_type,"BR",jr_tiers,A199,jr_year,p_year))</f>
        <v/>
      </c>
      <c r="J199" s="66" t="str">
        <f>IF(A199="","",COUNTIFS(jr_type,"BR",jr_tiers,A199,jr_etat,"Avec réserves",jr_year,p_year)+COUNTIFS(jr_type,"BR",jr_tiers,A199,jr_etat,"Refusé",jr_year,p_year))</f>
        <v/>
      </c>
      <c r="K199" s="60" t="str">
        <f>IF(A199="",IF(B199="","","Code manquant"),IF(COUNTIF($A$6:$A$205,A199)&gt;1,"Code en double",IF(B199="","Raison sociale manquante","OK")))</f>
        <v/>
      </c>
      <c r="L199" s="130" t="str">
        <f>IF(OR(A199="",N(H199)=0),"",H199+I199/1000000000000)</f>
        <v/>
      </c>
      <c r="M199" s="131" t="str">
        <f>IF(L199="","",RANK(L199,$L$6:$L$205)+COUNTIF($L$6:L198,L199))</f>
        <v/>
      </c>
    </row>
    <row r="200">
      <c r="A200" s="129" t="n"/>
      <c r="B200" s="59" t="n"/>
      <c r="C200" s="59" t="n"/>
      <c r="D200" s="59" t="n"/>
      <c r="E200" s="58" t="n"/>
      <c r="F200" s="58" t="n"/>
      <c r="G200" s="59" t="n"/>
      <c r="H200" s="66" t="str">
        <f>IF(A200="","",COUNTIFS(jr_new,1,jr_type,"BR",jr_tiers,A200,jr_year,p_year))</f>
        <v/>
      </c>
      <c r="I200" s="64" t="str">
        <f>IF(A200="","",SUMIFS(jr_val,jr_type,"BR",jr_tiers,A200,jr_year,p_year))</f>
        <v/>
      </c>
      <c r="J200" s="66" t="str">
        <f>IF(A200="","",COUNTIFS(jr_type,"BR",jr_tiers,A200,jr_etat,"Avec réserves",jr_year,p_year)+COUNTIFS(jr_type,"BR",jr_tiers,A200,jr_etat,"Refusé",jr_year,p_year))</f>
        <v/>
      </c>
      <c r="K200" s="60" t="str">
        <f>IF(A200="",IF(B200="","","Code manquant"),IF(COUNTIF($A$6:$A$205,A200)&gt;1,"Code en double",IF(B200="","Raison sociale manquante","OK")))</f>
        <v/>
      </c>
      <c r="L200" s="130" t="str">
        <f>IF(OR(A200="",N(H200)=0),"",H200+I200/1000000000000)</f>
        <v/>
      </c>
      <c r="M200" s="131" t="str">
        <f>IF(L200="","",RANK(L200,$L$6:$L$205)+COUNTIF($L$6:L199,L200))</f>
        <v/>
      </c>
    </row>
    <row r="201">
      <c r="A201" s="129" t="n"/>
      <c r="B201" s="59" t="n"/>
      <c r="C201" s="59" t="n"/>
      <c r="D201" s="59" t="n"/>
      <c r="E201" s="58" t="n"/>
      <c r="F201" s="58" t="n"/>
      <c r="G201" s="59" t="n"/>
      <c r="H201" s="66" t="str">
        <f>IF(A201="","",COUNTIFS(jr_new,1,jr_type,"BR",jr_tiers,A201,jr_year,p_year))</f>
        <v/>
      </c>
      <c r="I201" s="64" t="str">
        <f>IF(A201="","",SUMIFS(jr_val,jr_type,"BR",jr_tiers,A201,jr_year,p_year))</f>
        <v/>
      </c>
      <c r="J201" s="66" t="str">
        <f>IF(A201="","",COUNTIFS(jr_type,"BR",jr_tiers,A201,jr_etat,"Avec réserves",jr_year,p_year)+COUNTIFS(jr_type,"BR",jr_tiers,A201,jr_etat,"Refusé",jr_year,p_year))</f>
        <v/>
      </c>
      <c r="K201" s="60" t="str">
        <f>IF(A201="",IF(B201="","","Code manquant"),IF(COUNTIF($A$6:$A$205,A201)&gt;1,"Code en double",IF(B201="","Raison sociale manquante","OK")))</f>
        <v/>
      </c>
      <c r="L201" s="130" t="str">
        <f>IF(OR(A201="",N(H201)=0),"",H201+I201/1000000000000)</f>
        <v/>
      </c>
      <c r="M201" s="131" t="str">
        <f>IF(L201="","",RANK(L201,$L$6:$L$205)+COUNTIF($L$6:L200,L201))</f>
        <v/>
      </c>
    </row>
    <row r="202">
      <c r="A202" s="129" t="n"/>
      <c r="B202" s="59" t="n"/>
      <c r="C202" s="59" t="n"/>
      <c r="D202" s="59" t="n"/>
      <c r="E202" s="58" t="n"/>
      <c r="F202" s="58" t="n"/>
      <c r="G202" s="59" t="n"/>
      <c r="H202" s="66" t="str">
        <f>IF(A202="","",COUNTIFS(jr_new,1,jr_type,"BR",jr_tiers,A202,jr_year,p_year))</f>
        <v/>
      </c>
      <c r="I202" s="64" t="str">
        <f>IF(A202="","",SUMIFS(jr_val,jr_type,"BR",jr_tiers,A202,jr_year,p_year))</f>
        <v/>
      </c>
      <c r="J202" s="66" t="str">
        <f>IF(A202="","",COUNTIFS(jr_type,"BR",jr_tiers,A202,jr_etat,"Avec réserves",jr_year,p_year)+COUNTIFS(jr_type,"BR",jr_tiers,A202,jr_etat,"Refusé",jr_year,p_year))</f>
        <v/>
      </c>
      <c r="K202" s="60" t="str">
        <f>IF(A202="",IF(B202="","","Code manquant"),IF(COUNTIF($A$6:$A$205,A202)&gt;1,"Code en double",IF(B202="","Raison sociale manquante","OK")))</f>
        <v/>
      </c>
      <c r="L202" s="130" t="str">
        <f>IF(OR(A202="",N(H202)=0),"",H202+I202/1000000000000)</f>
        <v/>
      </c>
      <c r="M202" s="131" t="str">
        <f>IF(L202="","",RANK(L202,$L$6:$L$205)+COUNTIF($L$6:L201,L202))</f>
        <v/>
      </c>
    </row>
    <row r="203">
      <c r="A203" s="129" t="n"/>
      <c r="B203" s="59" t="n"/>
      <c r="C203" s="59" t="n"/>
      <c r="D203" s="59" t="n"/>
      <c r="E203" s="58" t="n"/>
      <c r="F203" s="58" t="n"/>
      <c r="G203" s="59" t="n"/>
      <c r="H203" s="66" t="str">
        <f>IF(A203="","",COUNTIFS(jr_new,1,jr_type,"BR",jr_tiers,A203,jr_year,p_year))</f>
        <v/>
      </c>
      <c r="I203" s="64" t="str">
        <f>IF(A203="","",SUMIFS(jr_val,jr_type,"BR",jr_tiers,A203,jr_year,p_year))</f>
        <v/>
      </c>
      <c r="J203" s="66" t="str">
        <f>IF(A203="","",COUNTIFS(jr_type,"BR",jr_tiers,A203,jr_etat,"Avec réserves",jr_year,p_year)+COUNTIFS(jr_type,"BR",jr_tiers,A203,jr_etat,"Refusé",jr_year,p_year))</f>
        <v/>
      </c>
      <c r="K203" s="60" t="str">
        <f>IF(A203="",IF(B203="","","Code manquant"),IF(COUNTIF($A$6:$A$205,A203)&gt;1,"Code en double",IF(B203="","Raison sociale manquante","OK")))</f>
        <v/>
      </c>
      <c r="L203" s="130" t="str">
        <f>IF(OR(A203="",N(H203)=0),"",H203+I203/1000000000000)</f>
        <v/>
      </c>
      <c r="M203" s="131" t="str">
        <f>IF(L203="","",RANK(L203,$L$6:$L$205)+COUNTIF($L$6:L202,L203))</f>
        <v/>
      </c>
    </row>
    <row r="204">
      <c r="A204" s="129" t="n"/>
      <c r="B204" s="59" t="n"/>
      <c r="C204" s="59" t="n"/>
      <c r="D204" s="59" t="n"/>
      <c r="E204" s="58" t="n"/>
      <c r="F204" s="58" t="n"/>
      <c r="G204" s="59" t="n"/>
      <c r="H204" s="66" t="str">
        <f>IF(A204="","",COUNTIFS(jr_new,1,jr_type,"BR",jr_tiers,A204,jr_year,p_year))</f>
        <v/>
      </c>
      <c r="I204" s="64" t="str">
        <f>IF(A204="","",SUMIFS(jr_val,jr_type,"BR",jr_tiers,A204,jr_year,p_year))</f>
        <v/>
      </c>
      <c r="J204" s="66" t="str">
        <f>IF(A204="","",COUNTIFS(jr_type,"BR",jr_tiers,A204,jr_etat,"Avec réserves",jr_year,p_year)+COUNTIFS(jr_type,"BR",jr_tiers,A204,jr_etat,"Refusé",jr_year,p_year))</f>
        <v/>
      </c>
      <c r="K204" s="60" t="str">
        <f>IF(A204="",IF(B204="","","Code manquant"),IF(COUNTIF($A$6:$A$205,A204)&gt;1,"Code en double",IF(B204="","Raison sociale manquante","OK")))</f>
        <v/>
      </c>
      <c r="L204" s="130" t="str">
        <f>IF(OR(A204="",N(H204)=0),"",H204+I204/1000000000000)</f>
        <v/>
      </c>
      <c r="M204" s="131" t="str">
        <f>IF(L204="","",RANK(L204,$L$6:$L$205)+COUNTIF($L$6:L203,L204))</f>
        <v/>
      </c>
    </row>
    <row r="205">
      <c r="A205" s="129" t="n"/>
      <c r="B205" s="59" t="n"/>
      <c r="C205" s="59" t="n"/>
      <c r="D205" s="59" t="n"/>
      <c r="E205" s="58" t="n"/>
      <c r="F205" s="58" t="n"/>
      <c r="G205" s="59" t="n"/>
      <c r="H205" s="66" t="str">
        <f>IF(A205="","",COUNTIFS(jr_new,1,jr_type,"BR",jr_tiers,A205,jr_year,p_year))</f>
        <v/>
      </c>
      <c r="I205" s="64" t="str">
        <f>IF(A205="","",SUMIFS(jr_val,jr_type,"BR",jr_tiers,A205,jr_year,p_year))</f>
        <v/>
      </c>
      <c r="J205" s="66" t="str">
        <f>IF(A205="","",COUNTIFS(jr_type,"BR",jr_tiers,A205,jr_etat,"Avec réserves",jr_year,p_year)+COUNTIFS(jr_type,"BR",jr_tiers,A205,jr_etat,"Refusé",jr_year,p_year))</f>
        <v/>
      </c>
      <c r="K205" s="60" t="str">
        <f>IF(A205="",IF(B205="","","Code manquant"),IF(COUNTIF($A$6:$A$205,A205)&gt;1,"Code en double",IF(B205="","Raison sociale manquante","OK")))</f>
        <v/>
      </c>
      <c r="L205" s="130" t="str">
        <f>IF(OR(A205="",N(H205)=0),"",H205+I205/1000000000000)</f>
        <v/>
      </c>
      <c r="M205" s="131" t="str">
        <f>IF(L205="","",RANK(L205,$L$6:$L$205)+COUNTIF($L$6:L204,L205))</f>
        <v/>
      </c>
    </row>
  </sheetData>
  <autoFilter ref="A5:K205"/>
  <conditionalFormatting sqref="K6:K205">
    <cfRule type="expression" priority="1" dxfId="0">
      <formula>$K6="OK"</formula>
    </cfRule>
    <cfRule type="expression" priority="2" dxfId="2">
      <formula>AND($K6&lt;&gt;"",$K6&lt;&gt;"OK")</formula>
    </cfRule>
  </conditionalFormatting>
  <conditionalFormatting sqref="J6:J205">
    <cfRule type="expression" priority="3" dxfId="1">
      <formula>N($J6)&gt;0</formula>
    </cfRule>
  </conditionalFormatting>
  <conditionalFormatting sqref="I6:I205">
    <cfRule type="expression" priority="4" dxfId="11">
      <formula>p_currency="MAD"</formula>
    </cfRule>
    <cfRule type="expression" priority="5" dxfId="12">
      <formula>p_currency="EUR"</formula>
    </cfRule>
    <cfRule type="expression" priority="6" dxfId="13">
      <formula>p_currency="USD"</formula>
    </cfRule>
  </conditionalFormatting>
  <dataValidations count="2">
    <dataValidation sqref="A6:A205" showDropDown="0" showInputMessage="1" showErrorMessage="1" allowBlank="1" errorTitle="Code" error="20 caractères au maximum." promptTitle="Code" prompt="Code court et unique du fournisseur, sans espace (ATLAS, C001...)." type="textLength" operator="lessThanOrEqual">
      <formula1>20</formula1>
    </dataValidation>
    <dataValidation sqref="B6:G205" showDropDown="0" showInputMessage="1" showErrorMessage="1" allowBlank="1" errorTitle="Fiche fournisseur" error="120 caractères au maximum." promptTitle="Fiche fournisseur" prompt="Texte libre. La raison sociale, l'adresse, la ville et l'ICE s'impriment sur les bons." type="textLength" operator="lessThanOrEqual">
      <formula1>120</formula1>
    </dataValidation>
  </dataValidations>
  <hyperlinks>
    <hyperlink ref="K1" location="'Mode d''emploi'!A1"/>
  </hyperlinks>
  <printOptions horizontalCentered="1"/>
  <pageMargins left="0.4" right="0.4" top="0.5" bottom="0.5" header="0.5" footer="0.5"/>
  <pageSetup orientation="landscape" paperSize="9" fitToHeight="0" fitToWidth="1"/>
</worksheet>
</file>

<file path=xl/worksheets/sheet11.xml><?xml version="1.0" encoding="utf-8"?>
<worksheet xmlns="http://schemas.openxmlformats.org/spreadsheetml/2006/main">
  <sheetPr>
    <tabColor rgb="FF94A3B8"/>
    <outlinePr summaryBelow="1" summaryRight="1"/>
    <pageSetUpPr fitToPage="1"/>
  </sheetPr>
  <dimension ref="A1:I517"/>
  <sheetViews>
    <sheetView showGridLines="0" tabSelected="0" zoomScale="100" workbookViewId="0">
      <selection activeCell="A1" sqref="A1"/>
    </sheetView>
  </sheetViews>
  <sheetFormatPr baseColWidth="8" defaultRowHeight="15"/>
  <cols>
    <col width="32" customWidth="1" min="1" max="1"/>
    <col width="48" customWidth="1" min="2" max="2"/>
    <col width="3" customWidth="1" min="3" max="3"/>
    <col width="20" customWidth="1" min="4" max="4"/>
    <col width="22" customWidth="1" min="5" max="5"/>
    <col width="26" customWidth="1" min="6" max="6"/>
    <col width="12" customWidth="1" min="7" max="7"/>
    <col width="3" customWidth="1" min="8" max="8"/>
    <col hidden="1" width="14" customWidth="1" min="9" max="9"/>
  </cols>
  <sheetData>
    <row r="1" ht="38" customHeight="1">
      <c r="A1" s="2" t="inlineStr">
        <is>
          <t>Paramètres</t>
        </is>
      </c>
      <c r="B1" s="1" t="n"/>
      <c r="C1" s="1" t="n"/>
      <c r="D1" s="1" t="n"/>
      <c r="E1" s="1" t="n"/>
      <c r="F1" s="1" t="n"/>
      <c r="G1" s="18" t="inlineStr">
        <is>
          <t>⌂ Mode d'emploi</t>
        </is>
      </c>
    </row>
    <row r="2" ht="22" customHeight="1">
      <c r="A2" s="4" t="inlineStr">
        <is>
          <t>Votre entreprise, les mentions imprimées et les listes déroulantes. Les cellules blanches sont à remplir.</t>
        </is>
      </c>
      <c r="B2" s="3" t="n"/>
      <c r="C2" s="3" t="n"/>
      <c r="D2" s="3" t="n"/>
      <c r="E2" s="3" t="n"/>
      <c r="F2" s="3" t="n"/>
      <c r="G2" s="3" t="n"/>
    </row>
    <row r="3" ht="18" customHeight="1"/>
    <row r="4" ht="22" customHeight="1">
      <c r="A4" s="5" t="inlineStr">
        <is>
          <t>Votre entreprise</t>
        </is>
      </c>
      <c r="B4" s="6" t="n"/>
    </row>
    <row r="5" ht="20" customHeight="1">
      <c r="A5" s="132" t="inlineStr">
        <is>
          <t>Raison sociale</t>
        </is>
      </c>
      <c r="B5" s="133" t="n"/>
      <c r="D5" s="42" t="inlineStr">
        <is>
          <t>Services internes</t>
        </is>
      </c>
      <c r="E5" s="42" t="inlineStr">
        <is>
          <t>Transporteurs</t>
        </is>
      </c>
      <c r="F5" s="42" t="inlineStr">
        <is>
          <t>Motifs de sortie</t>
        </is>
      </c>
      <c r="G5" s="42" t="inlineStr">
        <is>
          <t>Unités</t>
        </is>
      </c>
    </row>
    <row r="6">
      <c r="A6" s="132" t="inlineStr">
        <is>
          <t>Adresse</t>
        </is>
      </c>
      <c r="B6" s="133" t="n"/>
      <c r="D6" s="134" t="inlineStr">
        <is>
          <t>Production</t>
        </is>
      </c>
      <c r="E6" s="134" t="inlineStr">
        <is>
          <t>Nos moyens</t>
        </is>
      </c>
      <c r="F6" s="134" t="inlineStr">
        <is>
          <t>Fabrication (OF)</t>
        </is>
      </c>
      <c r="G6" s="134" t="inlineStr">
        <is>
          <t>pièce</t>
        </is>
      </c>
      <c r="I6" t="str">
        <f>IF(1&lt;=COUNTA(cl_code),INDEX(cl_code,1)&amp;"",IF(1&lt;=COUNTA(cl_code)+COUNTA(fo_code),INDEX(fo_code,1-COUNTA(cl_code))&amp;"",IF(1&lt;=COUNTA(cl_code)+COUNTA(fo_code)+COUNTA(p_services),INDEX(p_services,1-COUNTA(cl_code)-COUNTA(fo_code))&amp;"","")))</f>
        <v>Production</v>
      </c>
    </row>
    <row r="7">
      <c r="A7" s="132" t="inlineStr">
        <is>
          <t>Code postal et ville</t>
        </is>
      </c>
      <c r="B7" s="133" t="n"/>
      <c r="D7" s="134" t="inlineStr">
        <is>
          <t>Maintenance</t>
        </is>
      </c>
      <c r="E7" s="134" t="inlineStr">
        <is>
          <t>Enlèvement client</t>
        </is>
      </c>
      <c r="F7" s="134" t="inlineStr">
        <is>
          <t>Maintenance</t>
        </is>
      </c>
      <c r="G7" s="134" t="inlineStr">
        <is>
          <t>kg</t>
        </is>
      </c>
      <c r="I7" t="str">
        <f>IF(2&lt;=COUNTA(cl_code),INDEX(cl_code,2)&amp;"",IF(2&lt;=COUNTA(cl_code)+COUNTA(fo_code),INDEX(fo_code,2-COUNTA(cl_code))&amp;"",IF(2&lt;=COUNTA(cl_code)+COUNTA(fo_code)+COUNTA(p_services),INDEX(p_services,2-COUNTA(cl_code)-COUNTA(fo_code))&amp;"","")))</f>
        <v>Maintenance</v>
      </c>
    </row>
    <row r="8">
      <c r="A8" s="132" t="inlineStr">
        <is>
          <t>Téléphone</t>
        </is>
      </c>
      <c r="B8" s="133" t="n"/>
      <c r="D8" s="134" t="inlineStr">
        <is>
          <t>Qualité</t>
        </is>
      </c>
      <c r="E8" s="134" t="n"/>
      <c r="F8" s="134" t="inlineStr">
        <is>
          <t>Échantillon client</t>
        </is>
      </c>
      <c r="G8" s="134" t="inlineStr">
        <is>
          <t>m</t>
        </is>
      </c>
      <c r="I8" t="str">
        <f>IF(3&lt;=COUNTA(cl_code),INDEX(cl_code,3)&amp;"",IF(3&lt;=COUNTA(cl_code)+COUNTA(fo_code),INDEX(fo_code,3-COUNTA(cl_code))&amp;"",IF(3&lt;=COUNTA(cl_code)+COUNTA(fo_code)+COUNTA(p_services),INDEX(p_services,3-COUNTA(cl_code)-COUNTA(fo_code))&amp;"","")))</f>
        <v>Qualité</v>
      </c>
    </row>
    <row r="9">
      <c r="A9" s="132" t="inlineStr">
        <is>
          <t>E-mail</t>
        </is>
      </c>
      <c r="B9" s="133" t="n"/>
      <c r="D9" s="134" t="inlineStr">
        <is>
          <t>Expédition</t>
        </is>
      </c>
      <c r="E9" s="134" t="n"/>
      <c r="F9" s="134" t="inlineStr">
        <is>
          <t>Usage interne</t>
        </is>
      </c>
      <c r="G9" s="134" t="inlineStr">
        <is>
          <t>litre</t>
        </is>
      </c>
      <c r="I9" t="str">
        <f>IF(4&lt;=COUNTA(cl_code),INDEX(cl_code,4)&amp;"",IF(4&lt;=COUNTA(cl_code)+COUNTA(fo_code),INDEX(fo_code,4-COUNTA(cl_code))&amp;"",IF(4&lt;=COUNTA(cl_code)+COUNTA(fo_code)+COUNTA(p_services),INDEX(p_services,4-COUNTA(cl_code)-COUNTA(fo_code))&amp;"","")))</f>
        <v>Expédition</v>
      </c>
    </row>
    <row r="10">
      <c r="A10" s="132" t="inlineStr">
        <is>
          <t>ICE</t>
        </is>
      </c>
      <c r="B10" s="133" t="n"/>
      <c r="D10" s="134" t="n"/>
      <c r="E10" s="134" t="n"/>
      <c r="F10" s="134" t="inlineStr">
        <is>
          <t>Rebut</t>
        </is>
      </c>
      <c r="G10" s="134" t="inlineStr">
        <is>
          <t>carton</t>
        </is>
      </c>
      <c r="I10" t="str">
        <f>IF(5&lt;=COUNTA(cl_code),INDEX(cl_code,5)&amp;"",IF(5&lt;=COUNTA(cl_code)+COUNTA(fo_code),INDEX(fo_code,5-COUNTA(cl_code))&amp;"",IF(5&lt;=COUNTA(cl_code)+COUNTA(fo_code)+COUNTA(p_services),INDEX(p_services,5-COUNTA(cl_code)-COUNTA(fo_code))&amp;"","")))</f>
        <v/>
      </c>
    </row>
    <row r="11">
      <c r="A11" s="132" t="inlineStr">
        <is>
          <t>IF (identifiant fiscal)</t>
        </is>
      </c>
      <c r="B11" s="133" t="n"/>
      <c r="D11" s="134" t="n"/>
      <c r="E11" s="134" t="n"/>
      <c r="F11" s="134" t="inlineStr">
        <is>
          <t>Autre</t>
        </is>
      </c>
      <c r="G11" s="134" t="inlineStr">
        <is>
          <t>lot</t>
        </is>
      </c>
      <c r="I11" t="str">
        <f>IF(6&lt;=COUNTA(cl_code),INDEX(cl_code,6)&amp;"",IF(6&lt;=COUNTA(cl_code)+COUNTA(fo_code),INDEX(fo_code,6-COUNTA(cl_code))&amp;"",IF(6&lt;=COUNTA(cl_code)+COUNTA(fo_code)+COUNTA(p_services),INDEX(p_services,6-COUNTA(cl_code)-COUNTA(fo_code))&amp;"","")))</f>
        <v/>
      </c>
    </row>
    <row r="12">
      <c r="A12" s="132" t="inlineStr">
        <is>
          <t>RC (registre du commerce)</t>
        </is>
      </c>
      <c r="B12" s="133" t="n"/>
      <c r="D12" s="134" t="n"/>
      <c r="E12" s="134" t="n"/>
      <c r="F12" s="134" t="n"/>
      <c r="G12" s="134" t="n"/>
      <c r="I12" t="str">
        <f>IF(7&lt;=COUNTA(cl_code),INDEX(cl_code,7)&amp;"",IF(7&lt;=COUNTA(cl_code)+COUNTA(fo_code),INDEX(fo_code,7-COUNTA(cl_code))&amp;"",IF(7&lt;=COUNTA(cl_code)+COUNTA(fo_code)+COUNTA(p_services),INDEX(p_services,7-COUNTA(cl_code)-COUNTA(fo_code))&amp;"","")))</f>
        <v/>
      </c>
    </row>
    <row r="13">
      <c r="A13" s="132" t="inlineStr">
        <is>
          <t>SIRET / n° TVA (France)</t>
        </is>
      </c>
      <c r="B13" s="133" t="n"/>
      <c r="D13" s="134" t="n"/>
      <c r="E13" s="134" t="n"/>
      <c r="F13" s="134" t="n"/>
      <c r="G13" s="134" t="n"/>
      <c r="I13" t="str">
        <f>IF(8&lt;=COUNTA(cl_code),INDEX(cl_code,8)&amp;"",IF(8&lt;=COUNTA(cl_code)+COUNTA(fo_code),INDEX(fo_code,8-COUNTA(cl_code))&amp;"",IF(8&lt;=COUNTA(cl_code)+COUNTA(fo_code)+COUNTA(p_services),INDEX(p_services,8-COUNTA(cl_code)-COUNTA(fo_code))&amp;"","")))</f>
        <v/>
      </c>
    </row>
    <row r="14">
      <c r="A14" s="132" t="inlineStr">
        <is>
          <t>Devise</t>
        </is>
      </c>
      <c r="B14" s="135" t="inlineStr">
        <is>
          <t>MAD</t>
        </is>
      </c>
      <c r="D14" s="134" t="n"/>
      <c r="E14" s="134" t="n"/>
      <c r="F14" s="134" t="n"/>
      <c r="G14" s="134" t="n"/>
      <c r="I14" t="str">
        <f>IF(9&lt;=COUNTA(cl_code),INDEX(cl_code,9)&amp;"",IF(9&lt;=COUNTA(cl_code)+COUNTA(fo_code),INDEX(fo_code,9-COUNTA(cl_code))&amp;"",IF(9&lt;=COUNTA(cl_code)+COUNTA(fo_code)+COUNTA(p_services),INDEX(p_services,9-COUNTA(cl_code)-COUNTA(fo_code))&amp;"","")))</f>
        <v/>
      </c>
    </row>
    <row r="15">
      <c r="A15" s="132" t="inlineStr">
        <is>
          <t>Afficher les prix sur les bons</t>
        </is>
      </c>
      <c r="B15" s="136" t="inlineStr">
        <is>
          <t>Non</t>
        </is>
      </c>
      <c r="D15" s="134" t="n"/>
      <c r="E15" s="134" t="n"/>
      <c r="F15" s="134" t="n"/>
      <c r="G15" s="134" t="n"/>
      <c r="I15" t="str">
        <f>IF(10&lt;=COUNTA(cl_code),INDEX(cl_code,10)&amp;"",IF(10&lt;=COUNTA(cl_code)+COUNTA(fo_code),INDEX(fo_code,10-COUNTA(cl_code))&amp;"",IF(10&lt;=COUNTA(cl_code)+COUNTA(fo_code)+COUNTA(p_services),INDEX(p_services,10-COUNTA(cl_code)-COUNTA(fo_code))&amp;"","")))</f>
        <v/>
      </c>
    </row>
    <row r="16">
      <c r="D16" s="134" t="n"/>
      <c r="E16" s="134" t="n"/>
      <c r="F16" s="134" t="n"/>
      <c r="G16" s="134" t="n"/>
      <c r="I16" t="str">
        <f>IF(11&lt;=COUNTA(cl_code),INDEX(cl_code,11)&amp;"",IF(11&lt;=COUNTA(cl_code)+COUNTA(fo_code),INDEX(fo_code,11-COUNTA(cl_code))&amp;"",IF(11&lt;=COUNTA(cl_code)+COUNTA(fo_code)+COUNTA(p_services),INDEX(p_services,11-COUNTA(cl_code)-COUNTA(fo_code))&amp;"","")))</f>
        <v/>
      </c>
    </row>
    <row r="17" ht="22" customHeight="1">
      <c r="A17" s="5" t="inlineStr">
        <is>
          <t>Mentions imprimées en bas des bons</t>
        </is>
      </c>
      <c r="B17" s="6" t="n"/>
      <c r="D17" s="134" t="n"/>
      <c r="E17" s="134" t="n"/>
      <c r="F17" s="134" t="n"/>
      <c r="G17" s="134" t="n"/>
      <c r="I17" t="str">
        <f>IF(12&lt;=COUNTA(cl_code),INDEX(cl_code,12)&amp;"",IF(12&lt;=COUNTA(cl_code)+COUNTA(fo_code),INDEX(fo_code,12-COUNTA(cl_code))&amp;"",IF(12&lt;=COUNTA(cl_code)+COUNTA(fo_code)+COUNTA(p_services),INDEX(p_services,12-COUNTA(cl_code)-COUNTA(fo_code))&amp;"","")))</f>
        <v/>
      </c>
    </row>
    <row r="18" ht="42" customHeight="1">
      <c r="A18" s="137" t="inlineStr">
        <is>
          <t>Bon de livraison</t>
        </is>
      </c>
      <c r="B18" s="138" t="inlineStr">
        <is>
          <t>Vérifiez la marchandise à la livraison et notez toute réserve sur ce bon, en présence du transporteur.</t>
        </is>
      </c>
      <c r="G18" s="134" t="n"/>
      <c r="I18" t="str">
        <f>IF(13&lt;=COUNTA(cl_code),INDEX(cl_code,13)&amp;"",IF(13&lt;=COUNTA(cl_code)+COUNTA(fo_code),INDEX(fo_code,13-COUNTA(cl_code))&amp;"",IF(13&lt;=COUNTA(cl_code)+COUNTA(fo_code)+COUNTA(p_services),INDEX(p_services,13-COUNTA(cl_code)-COUNTA(fo_code))&amp;"","")))</f>
        <v/>
      </c>
    </row>
    <row r="19" ht="42" customHeight="1">
      <c r="A19" s="137" t="inlineStr">
        <is>
          <t>Bon de réception</t>
        </is>
      </c>
      <c r="B19" s="138" t="n"/>
      <c r="G19" s="134" t="n"/>
      <c r="I19" t="str">
        <f>IF(14&lt;=COUNTA(cl_code),INDEX(cl_code,14)&amp;"",IF(14&lt;=COUNTA(cl_code)+COUNTA(fo_code),INDEX(fo_code,14-COUNTA(cl_code))&amp;"",IF(14&lt;=COUNTA(cl_code)+COUNTA(fo_code)+COUNTA(p_services),INDEX(p_services,14-COUNTA(cl_code)-COUNTA(fo_code))&amp;"","")))</f>
        <v/>
      </c>
    </row>
    <row r="20" ht="42" customHeight="1">
      <c r="A20" s="137" t="inlineStr">
        <is>
          <t>Bon de sortie</t>
        </is>
      </c>
      <c r="B20" s="138" t="n"/>
      <c r="G20" s="134" t="n"/>
      <c r="I20" t="str">
        <f>IF(15&lt;=COUNTA(cl_code),INDEX(cl_code,15)&amp;"",IF(15&lt;=COUNTA(cl_code)+COUNTA(fo_code),INDEX(fo_code,15-COUNTA(cl_code))&amp;"",IF(15&lt;=COUNTA(cl_code)+COUNTA(fo_code)+COUNTA(p_services),INDEX(p_services,15-COUNTA(cl_code)-COUNTA(fo_code))&amp;"","")))</f>
        <v/>
      </c>
    </row>
    <row r="21">
      <c r="I21" t="str">
        <f>IF(16&lt;=COUNTA(cl_code),INDEX(cl_code,16)&amp;"",IF(16&lt;=COUNTA(cl_code)+COUNTA(fo_code),INDEX(fo_code,16-COUNTA(cl_code))&amp;"",IF(16&lt;=COUNTA(cl_code)+COUNTA(fo_code)+COUNTA(p_services),INDEX(p_services,16-COUNTA(cl_code)-COUNTA(fo_code))&amp;"","")))</f>
        <v/>
      </c>
    </row>
    <row r="22" ht="30" customHeight="1">
      <c r="A22" s="5" t="inlineStr">
        <is>
          <t>Valeurs utilisées par les formules</t>
        </is>
      </c>
      <c r="B22" s="6" t="n"/>
      <c r="D22" s="139" t="inlineStr">
        <is>
          <t>Écrivez chaque valeur une seule fois, sans ligne vide au milieu : ces listes alimentent les menus déroulants du journal.</t>
        </is>
      </c>
      <c r="I22" t="str">
        <f>IF(17&lt;=COUNTA(cl_code),INDEX(cl_code,17)&amp;"",IF(17&lt;=COUNTA(cl_code)+COUNTA(fo_code),INDEX(fo_code,17-COUNTA(cl_code))&amp;"",IF(17&lt;=COUNTA(cl_code)+COUNTA(fo_code)+COUNTA(p_services),INDEX(p_services,17-COUNTA(cl_code)-COUNTA(fo_code))&amp;"","")))</f>
        <v/>
      </c>
    </row>
    <row r="23" ht="28" customHeight="1">
      <c r="A23" s="140" t="inlineStr">
        <is>
          <t>Identifiants imprimés</t>
        </is>
      </c>
      <c r="B23" s="141" t="str">
        <f>IF(p_ice&lt;&gt;"","ICE : "&amp;p_ice,"")&amp;IF(AND(p_ice&lt;&gt;"",p_if&lt;&gt;""),"   •   ","")&amp;IF(p_if&lt;&gt;"","IF : "&amp;p_if,"")&amp;IF(AND(p_ice&amp;p_if&lt;&gt;"",p_rc&lt;&gt;""),"   •   ","")&amp;IF(p_rc&lt;&gt;"","RC : "&amp;p_rc,"")&amp;IF(AND(p_ice&amp;p_if&amp;p_rc&lt;&gt;"",p_siret&lt;&gt;""),"   •   ","")&amp;IF(p_siret&lt;&gt;"",p_siret,"")</f>
        <v/>
      </c>
      <c r="I23" t="str">
        <f>IF(18&lt;=COUNTA(cl_code),INDEX(cl_code,18)&amp;"",IF(18&lt;=COUNTA(cl_code)+COUNTA(fo_code),INDEX(fo_code,18-COUNTA(cl_code))&amp;"",IF(18&lt;=COUNTA(cl_code)+COUNTA(fo_code)+COUNTA(p_services),INDEX(p_services,18-COUNTA(cl_code)-COUNTA(fo_code))&amp;"","")))</f>
        <v/>
      </c>
    </row>
    <row r="24">
      <c r="A24" s="140" t="inlineStr">
        <is>
          <t>Année du tableau de bord</t>
        </is>
      </c>
      <c r="B24" s="142">
        <f>IF(N(db_year_in)&gt;0,INT(db_year_in),YEAR(TODAY()))</f>
        <v>2026.0</v>
      </c>
      <c r="I24" t="str">
        <f>IF(19&lt;=COUNTA(cl_code),INDEX(cl_code,19)&amp;"",IF(19&lt;=COUNTA(cl_code)+COUNTA(fo_code),INDEX(fo_code,19-COUNTA(cl_code))&amp;"",IF(19&lt;=COUNTA(cl_code)+COUNTA(fo_code)+COUNTA(p_services),INDEX(p_services,19-COUNTA(cl_code)-COUNTA(fo_code))&amp;"","")))</f>
        <v/>
      </c>
    </row>
    <row r="25">
      <c r="I25" t="str">
        <f>IF(20&lt;=COUNTA(cl_code),INDEX(cl_code,20)&amp;"",IF(20&lt;=COUNTA(cl_code)+COUNTA(fo_code),INDEX(fo_code,20-COUNTA(cl_code))&amp;"",IF(20&lt;=COUNTA(cl_code)+COUNTA(fo_code)+COUNTA(p_services),INDEX(p_services,20-COUNTA(cl_code)-COUNTA(fo_code))&amp;"","")))</f>
        <v/>
      </c>
    </row>
    <row r="26">
      <c r="I26" t="str">
        <f>IF(21&lt;=COUNTA(cl_code),INDEX(cl_code,21)&amp;"",IF(21&lt;=COUNTA(cl_code)+COUNTA(fo_code),INDEX(fo_code,21-COUNTA(cl_code))&amp;"",IF(21&lt;=COUNTA(cl_code)+COUNTA(fo_code)+COUNTA(p_services),INDEX(p_services,21-COUNTA(cl_code)-COUNTA(fo_code))&amp;"","")))</f>
        <v/>
      </c>
    </row>
    <row r="27">
      <c r="I27" t="str">
        <f>IF(22&lt;=COUNTA(cl_code),INDEX(cl_code,22)&amp;"",IF(22&lt;=COUNTA(cl_code)+COUNTA(fo_code),INDEX(fo_code,22-COUNTA(cl_code))&amp;"",IF(22&lt;=COUNTA(cl_code)+COUNTA(fo_code)+COUNTA(p_services),INDEX(p_services,22-COUNTA(cl_code)-COUNTA(fo_code))&amp;"","")))</f>
        <v/>
      </c>
    </row>
    <row r="28">
      <c r="I28" t="str">
        <f>IF(23&lt;=COUNTA(cl_code),INDEX(cl_code,23)&amp;"",IF(23&lt;=COUNTA(cl_code)+COUNTA(fo_code),INDEX(fo_code,23-COUNTA(cl_code))&amp;"",IF(23&lt;=COUNTA(cl_code)+COUNTA(fo_code)+COUNTA(p_services),INDEX(p_services,23-COUNTA(cl_code)-COUNTA(fo_code))&amp;"","")))</f>
        <v/>
      </c>
    </row>
    <row r="29">
      <c r="I29" t="str">
        <f>IF(24&lt;=COUNTA(cl_code),INDEX(cl_code,24)&amp;"",IF(24&lt;=COUNTA(cl_code)+COUNTA(fo_code),INDEX(fo_code,24-COUNTA(cl_code))&amp;"",IF(24&lt;=COUNTA(cl_code)+COUNTA(fo_code)+COUNTA(p_services),INDEX(p_services,24-COUNTA(cl_code)-COUNTA(fo_code))&amp;"","")))</f>
        <v/>
      </c>
    </row>
    <row r="30">
      <c r="I30" t="str">
        <f>IF(25&lt;=COUNTA(cl_code),INDEX(cl_code,25)&amp;"",IF(25&lt;=COUNTA(cl_code)+COUNTA(fo_code),INDEX(fo_code,25-COUNTA(cl_code))&amp;"",IF(25&lt;=COUNTA(cl_code)+COUNTA(fo_code)+COUNTA(p_services),INDEX(p_services,25-COUNTA(cl_code)-COUNTA(fo_code))&amp;"","")))</f>
        <v/>
      </c>
    </row>
    <row r="31">
      <c r="I31" t="str">
        <f>IF(26&lt;=COUNTA(cl_code),INDEX(cl_code,26)&amp;"",IF(26&lt;=COUNTA(cl_code)+COUNTA(fo_code),INDEX(fo_code,26-COUNTA(cl_code))&amp;"",IF(26&lt;=COUNTA(cl_code)+COUNTA(fo_code)+COUNTA(p_services),INDEX(p_services,26-COUNTA(cl_code)-COUNTA(fo_code))&amp;"","")))</f>
        <v/>
      </c>
    </row>
    <row r="32">
      <c r="I32" t="str">
        <f>IF(27&lt;=COUNTA(cl_code),INDEX(cl_code,27)&amp;"",IF(27&lt;=COUNTA(cl_code)+COUNTA(fo_code),INDEX(fo_code,27-COUNTA(cl_code))&amp;"",IF(27&lt;=COUNTA(cl_code)+COUNTA(fo_code)+COUNTA(p_services),INDEX(p_services,27-COUNTA(cl_code)-COUNTA(fo_code))&amp;"","")))</f>
        <v/>
      </c>
    </row>
    <row r="33">
      <c r="I33" t="str">
        <f>IF(28&lt;=COUNTA(cl_code),INDEX(cl_code,28)&amp;"",IF(28&lt;=COUNTA(cl_code)+COUNTA(fo_code),INDEX(fo_code,28-COUNTA(cl_code))&amp;"",IF(28&lt;=COUNTA(cl_code)+COUNTA(fo_code)+COUNTA(p_services),INDEX(p_services,28-COUNTA(cl_code)-COUNTA(fo_code))&amp;"","")))</f>
        <v/>
      </c>
    </row>
    <row r="34">
      <c r="I34" t="str">
        <f>IF(29&lt;=COUNTA(cl_code),INDEX(cl_code,29)&amp;"",IF(29&lt;=COUNTA(cl_code)+COUNTA(fo_code),INDEX(fo_code,29-COUNTA(cl_code))&amp;"",IF(29&lt;=COUNTA(cl_code)+COUNTA(fo_code)+COUNTA(p_services),INDEX(p_services,29-COUNTA(cl_code)-COUNTA(fo_code))&amp;"","")))</f>
        <v/>
      </c>
    </row>
    <row r="35">
      <c r="I35" t="str">
        <f>IF(30&lt;=COUNTA(cl_code),INDEX(cl_code,30)&amp;"",IF(30&lt;=COUNTA(cl_code)+COUNTA(fo_code),INDEX(fo_code,30-COUNTA(cl_code))&amp;"",IF(30&lt;=COUNTA(cl_code)+COUNTA(fo_code)+COUNTA(p_services),INDEX(p_services,30-COUNTA(cl_code)-COUNTA(fo_code))&amp;"","")))</f>
        <v/>
      </c>
    </row>
    <row r="36">
      <c r="I36" t="str">
        <f>IF(31&lt;=COUNTA(cl_code),INDEX(cl_code,31)&amp;"",IF(31&lt;=COUNTA(cl_code)+COUNTA(fo_code),INDEX(fo_code,31-COUNTA(cl_code))&amp;"",IF(31&lt;=COUNTA(cl_code)+COUNTA(fo_code)+COUNTA(p_services),INDEX(p_services,31-COUNTA(cl_code)-COUNTA(fo_code))&amp;"","")))</f>
        <v/>
      </c>
    </row>
    <row r="37">
      <c r="I37" t="str">
        <f>IF(32&lt;=COUNTA(cl_code),INDEX(cl_code,32)&amp;"",IF(32&lt;=COUNTA(cl_code)+COUNTA(fo_code),INDEX(fo_code,32-COUNTA(cl_code))&amp;"",IF(32&lt;=COUNTA(cl_code)+COUNTA(fo_code)+COUNTA(p_services),INDEX(p_services,32-COUNTA(cl_code)-COUNTA(fo_code))&amp;"","")))</f>
        <v/>
      </c>
    </row>
    <row r="38">
      <c r="I38" t="str">
        <f>IF(33&lt;=COUNTA(cl_code),INDEX(cl_code,33)&amp;"",IF(33&lt;=COUNTA(cl_code)+COUNTA(fo_code),INDEX(fo_code,33-COUNTA(cl_code))&amp;"",IF(33&lt;=COUNTA(cl_code)+COUNTA(fo_code)+COUNTA(p_services),INDEX(p_services,33-COUNTA(cl_code)-COUNTA(fo_code))&amp;"","")))</f>
        <v/>
      </c>
    </row>
    <row r="39">
      <c r="I39" t="str">
        <f>IF(34&lt;=COUNTA(cl_code),INDEX(cl_code,34)&amp;"",IF(34&lt;=COUNTA(cl_code)+COUNTA(fo_code),INDEX(fo_code,34-COUNTA(cl_code))&amp;"",IF(34&lt;=COUNTA(cl_code)+COUNTA(fo_code)+COUNTA(p_services),INDEX(p_services,34-COUNTA(cl_code)-COUNTA(fo_code))&amp;"","")))</f>
        <v/>
      </c>
    </row>
    <row r="40">
      <c r="I40" t="str">
        <f>IF(35&lt;=COUNTA(cl_code),INDEX(cl_code,35)&amp;"",IF(35&lt;=COUNTA(cl_code)+COUNTA(fo_code),INDEX(fo_code,35-COUNTA(cl_code))&amp;"",IF(35&lt;=COUNTA(cl_code)+COUNTA(fo_code)+COUNTA(p_services),INDEX(p_services,35-COUNTA(cl_code)-COUNTA(fo_code))&amp;"","")))</f>
        <v/>
      </c>
    </row>
    <row r="41">
      <c r="I41" t="str">
        <f>IF(36&lt;=COUNTA(cl_code),INDEX(cl_code,36)&amp;"",IF(36&lt;=COUNTA(cl_code)+COUNTA(fo_code),INDEX(fo_code,36-COUNTA(cl_code))&amp;"",IF(36&lt;=COUNTA(cl_code)+COUNTA(fo_code)+COUNTA(p_services),INDEX(p_services,36-COUNTA(cl_code)-COUNTA(fo_code))&amp;"","")))</f>
        <v/>
      </c>
    </row>
    <row r="42">
      <c r="I42" t="str">
        <f>IF(37&lt;=COUNTA(cl_code),INDEX(cl_code,37)&amp;"",IF(37&lt;=COUNTA(cl_code)+COUNTA(fo_code),INDEX(fo_code,37-COUNTA(cl_code))&amp;"",IF(37&lt;=COUNTA(cl_code)+COUNTA(fo_code)+COUNTA(p_services),INDEX(p_services,37-COUNTA(cl_code)-COUNTA(fo_code))&amp;"","")))</f>
        <v/>
      </c>
    </row>
    <row r="43">
      <c r="I43" t="str">
        <f>IF(38&lt;=COUNTA(cl_code),INDEX(cl_code,38)&amp;"",IF(38&lt;=COUNTA(cl_code)+COUNTA(fo_code),INDEX(fo_code,38-COUNTA(cl_code))&amp;"",IF(38&lt;=COUNTA(cl_code)+COUNTA(fo_code)+COUNTA(p_services),INDEX(p_services,38-COUNTA(cl_code)-COUNTA(fo_code))&amp;"","")))</f>
        <v/>
      </c>
    </row>
    <row r="44">
      <c r="I44" t="str">
        <f>IF(39&lt;=COUNTA(cl_code),INDEX(cl_code,39)&amp;"",IF(39&lt;=COUNTA(cl_code)+COUNTA(fo_code),INDEX(fo_code,39-COUNTA(cl_code))&amp;"",IF(39&lt;=COUNTA(cl_code)+COUNTA(fo_code)+COUNTA(p_services),INDEX(p_services,39-COUNTA(cl_code)-COUNTA(fo_code))&amp;"","")))</f>
        <v/>
      </c>
    </row>
    <row r="45">
      <c r="I45" t="str">
        <f>IF(40&lt;=COUNTA(cl_code),INDEX(cl_code,40)&amp;"",IF(40&lt;=COUNTA(cl_code)+COUNTA(fo_code),INDEX(fo_code,40-COUNTA(cl_code))&amp;"",IF(40&lt;=COUNTA(cl_code)+COUNTA(fo_code)+COUNTA(p_services),INDEX(p_services,40-COUNTA(cl_code)-COUNTA(fo_code))&amp;"","")))</f>
        <v/>
      </c>
    </row>
    <row r="46">
      <c r="I46" t="str">
        <f>IF(41&lt;=COUNTA(cl_code),INDEX(cl_code,41)&amp;"",IF(41&lt;=COUNTA(cl_code)+COUNTA(fo_code),INDEX(fo_code,41-COUNTA(cl_code))&amp;"",IF(41&lt;=COUNTA(cl_code)+COUNTA(fo_code)+COUNTA(p_services),INDEX(p_services,41-COUNTA(cl_code)-COUNTA(fo_code))&amp;"","")))</f>
        <v/>
      </c>
    </row>
    <row r="47">
      <c r="I47" t="str">
        <f>IF(42&lt;=COUNTA(cl_code),INDEX(cl_code,42)&amp;"",IF(42&lt;=COUNTA(cl_code)+COUNTA(fo_code),INDEX(fo_code,42-COUNTA(cl_code))&amp;"",IF(42&lt;=COUNTA(cl_code)+COUNTA(fo_code)+COUNTA(p_services),INDEX(p_services,42-COUNTA(cl_code)-COUNTA(fo_code))&amp;"","")))</f>
        <v/>
      </c>
    </row>
    <row r="48">
      <c r="I48" t="str">
        <f>IF(43&lt;=COUNTA(cl_code),INDEX(cl_code,43)&amp;"",IF(43&lt;=COUNTA(cl_code)+COUNTA(fo_code),INDEX(fo_code,43-COUNTA(cl_code))&amp;"",IF(43&lt;=COUNTA(cl_code)+COUNTA(fo_code)+COUNTA(p_services),INDEX(p_services,43-COUNTA(cl_code)-COUNTA(fo_code))&amp;"","")))</f>
        <v/>
      </c>
    </row>
    <row r="49">
      <c r="I49" t="str">
        <f>IF(44&lt;=COUNTA(cl_code),INDEX(cl_code,44)&amp;"",IF(44&lt;=COUNTA(cl_code)+COUNTA(fo_code),INDEX(fo_code,44-COUNTA(cl_code))&amp;"",IF(44&lt;=COUNTA(cl_code)+COUNTA(fo_code)+COUNTA(p_services),INDEX(p_services,44-COUNTA(cl_code)-COUNTA(fo_code))&amp;"","")))</f>
        <v/>
      </c>
    </row>
    <row r="50">
      <c r="I50" t="str">
        <f>IF(45&lt;=COUNTA(cl_code),INDEX(cl_code,45)&amp;"",IF(45&lt;=COUNTA(cl_code)+COUNTA(fo_code),INDEX(fo_code,45-COUNTA(cl_code))&amp;"",IF(45&lt;=COUNTA(cl_code)+COUNTA(fo_code)+COUNTA(p_services),INDEX(p_services,45-COUNTA(cl_code)-COUNTA(fo_code))&amp;"","")))</f>
        <v/>
      </c>
    </row>
    <row r="51">
      <c r="I51" t="str">
        <f>IF(46&lt;=COUNTA(cl_code),INDEX(cl_code,46)&amp;"",IF(46&lt;=COUNTA(cl_code)+COUNTA(fo_code),INDEX(fo_code,46-COUNTA(cl_code))&amp;"",IF(46&lt;=COUNTA(cl_code)+COUNTA(fo_code)+COUNTA(p_services),INDEX(p_services,46-COUNTA(cl_code)-COUNTA(fo_code))&amp;"","")))</f>
        <v/>
      </c>
    </row>
    <row r="52">
      <c r="I52" t="str">
        <f>IF(47&lt;=COUNTA(cl_code),INDEX(cl_code,47)&amp;"",IF(47&lt;=COUNTA(cl_code)+COUNTA(fo_code),INDEX(fo_code,47-COUNTA(cl_code))&amp;"",IF(47&lt;=COUNTA(cl_code)+COUNTA(fo_code)+COUNTA(p_services),INDEX(p_services,47-COUNTA(cl_code)-COUNTA(fo_code))&amp;"","")))</f>
        <v/>
      </c>
    </row>
    <row r="53">
      <c r="I53" t="str">
        <f>IF(48&lt;=COUNTA(cl_code),INDEX(cl_code,48)&amp;"",IF(48&lt;=COUNTA(cl_code)+COUNTA(fo_code),INDEX(fo_code,48-COUNTA(cl_code))&amp;"",IF(48&lt;=COUNTA(cl_code)+COUNTA(fo_code)+COUNTA(p_services),INDEX(p_services,48-COUNTA(cl_code)-COUNTA(fo_code))&amp;"","")))</f>
        <v/>
      </c>
    </row>
    <row r="54">
      <c r="I54" t="str">
        <f>IF(49&lt;=COUNTA(cl_code),INDEX(cl_code,49)&amp;"",IF(49&lt;=COUNTA(cl_code)+COUNTA(fo_code),INDEX(fo_code,49-COUNTA(cl_code))&amp;"",IF(49&lt;=COUNTA(cl_code)+COUNTA(fo_code)+COUNTA(p_services),INDEX(p_services,49-COUNTA(cl_code)-COUNTA(fo_code))&amp;"","")))</f>
        <v/>
      </c>
    </row>
    <row r="55">
      <c r="I55" t="str">
        <f>IF(50&lt;=COUNTA(cl_code),INDEX(cl_code,50)&amp;"",IF(50&lt;=COUNTA(cl_code)+COUNTA(fo_code),INDEX(fo_code,50-COUNTA(cl_code))&amp;"",IF(50&lt;=COUNTA(cl_code)+COUNTA(fo_code)+COUNTA(p_services),INDEX(p_services,50-COUNTA(cl_code)-COUNTA(fo_code))&amp;"","")))</f>
        <v/>
      </c>
    </row>
    <row r="56">
      <c r="I56" t="str">
        <f>IF(51&lt;=COUNTA(cl_code),INDEX(cl_code,51)&amp;"",IF(51&lt;=COUNTA(cl_code)+COUNTA(fo_code),INDEX(fo_code,51-COUNTA(cl_code))&amp;"",IF(51&lt;=COUNTA(cl_code)+COUNTA(fo_code)+COUNTA(p_services),INDEX(p_services,51-COUNTA(cl_code)-COUNTA(fo_code))&amp;"","")))</f>
        <v/>
      </c>
    </row>
    <row r="57">
      <c r="I57" t="str">
        <f>IF(52&lt;=COUNTA(cl_code),INDEX(cl_code,52)&amp;"",IF(52&lt;=COUNTA(cl_code)+COUNTA(fo_code),INDEX(fo_code,52-COUNTA(cl_code))&amp;"",IF(52&lt;=COUNTA(cl_code)+COUNTA(fo_code)+COUNTA(p_services),INDEX(p_services,52-COUNTA(cl_code)-COUNTA(fo_code))&amp;"","")))</f>
        <v/>
      </c>
    </row>
    <row r="58">
      <c r="I58" t="str">
        <f>IF(53&lt;=COUNTA(cl_code),INDEX(cl_code,53)&amp;"",IF(53&lt;=COUNTA(cl_code)+COUNTA(fo_code),INDEX(fo_code,53-COUNTA(cl_code))&amp;"",IF(53&lt;=COUNTA(cl_code)+COUNTA(fo_code)+COUNTA(p_services),INDEX(p_services,53-COUNTA(cl_code)-COUNTA(fo_code))&amp;"","")))</f>
        <v/>
      </c>
    </row>
    <row r="59">
      <c r="I59" t="str">
        <f>IF(54&lt;=COUNTA(cl_code),INDEX(cl_code,54)&amp;"",IF(54&lt;=COUNTA(cl_code)+COUNTA(fo_code),INDEX(fo_code,54-COUNTA(cl_code))&amp;"",IF(54&lt;=COUNTA(cl_code)+COUNTA(fo_code)+COUNTA(p_services),INDEX(p_services,54-COUNTA(cl_code)-COUNTA(fo_code))&amp;"","")))</f>
        <v/>
      </c>
    </row>
    <row r="60">
      <c r="I60" t="str">
        <f>IF(55&lt;=COUNTA(cl_code),INDEX(cl_code,55)&amp;"",IF(55&lt;=COUNTA(cl_code)+COUNTA(fo_code),INDEX(fo_code,55-COUNTA(cl_code))&amp;"",IF(55&lt;=COUNTA(cl_code)+COUNTA(fo_code)+COUNTA(p_services),INDEX(p_services,55-COUNTA(cl_code)-COUNTA(fo_code))&amp;"","")))</f>
        <v/>
      </c>
    </row>
    <row r="61">
      <c r="I61" t="str">
        <f>IF(56&lt;=COUNTA(cl_code),INDEX(cl_code,56)&amp;"",IF(56&lt;=COUNTA(cl_code)+COUNTA(fo_code),INDEX(fo_code,56-COUNTA(cl_code))&amp;"",IF(56&lt;=COUNTA(cl_code)+COUNTA(fo_code)+COUNTA(p_services),INDEX(p_services,56-COUNTA(cl_code)-COUNTA(fo_code))&amp;"","")))</f>
        <v/>
      </c>
    </row>
    <row r="62">
      <c r="I62" t="str">
        <f>IF(57&lt;=COUNTA(cl_code),INDEX(cl_code,57)&amp;"",IF(57&lt;=COUNTA(cl_code)+COUNTA(fo_code),INDEX(fo_code,57-COUNTA(cl_code))&amp;"",IF(57&lt;=COUNTA(cl_code)+COUNTA(fo_code)+COUNTA(p_services),INDEX(p_services,57-COUNTA(cl_code)-COUNTA(fo_code))&amp;"","")))</f>
        <v/>
      </c>
    </row>
    <row r="63">
      <c r="I63" t="str">
        <f>IF(58&lt;=COUNTA(cl_code),INDEX(cl_code,58)&amp;"",IF(58&lt;=COUNTA(cl_code)+COUNTA(fo_code),INDEX(fo_code,58-COUNTA(cl_code))&amp;"",IF(58&lt;=COUNTA(cl_code)+COUNTA(fo_code)+COUNTA(p_services),INDEX(p_services,58-COUNTA(cl_code)-COUNTA(fo_code))&amp;"","")))</f>
        <v/>
      </c>
    </row>
    <row r="64">
      <c r="I64" t="str">
        <f>IF(59&lt;=COUNTA(cl_code),INDEX(cl_code,59)&amp;"",IF(59&lt;=COUNTA(cl_code)+COUNTA(fo_code),INDEX(fo_code,59-COUNTA(cl_code))&amp;"",IF(59&lt;=COUNTA(cl_code)+COUNTA(fo_code)+COUNTA(p_services),INDEX(p_services,59-COUNTA(cl_code)-COUNTA(fo_code))&amp;"","")))</f>
        <v/>
      </c>
    </row>
    <row r="65">
      <c r="I65" t="str">
        <f>IF(60&lt;=COUNTA(cl_code),INDEX(cl_code,60)&amp;"",IF(60&lt;=COUNTA(cl_code)+COUNTA(fo_code),INDEX(fo_code,60-COUNTA(cl_code))&amp;"",IF(60&lt;=COUNTA(cl_code)+COUNTA(fo_code)+COUNTA(p_services),INDEX(p_services,60-COUNTA(cl_code)-COUNTA(fo_code))&amp;"","")))</f>
        <v/>
      </c>
    </row>
    <row r="66">
      <c r="I66" t="str">
        <f>IF(61&lt;=COUNTA(cl_code),INDEX(cl_code,61)&amp;"",IF(61&lt;=COUNTA(cl_code)+COUNTA(fo_code),INDEX(fo_code,61-COUNTA(cl_code))&amp;"",IF(61&lt;=COUNTA(cl_code)+COUNTA(fo_code)+COUNTA(p_services),INDEX(p_services,61-COUNTA(cl_code)-COUNTA(fo_code))&amp;"","")))</f>
        <v/>
      </c>
    </row>
    <row r="67">
      <c r="I67" t="str">
        <f>IF(62&lt;=COUNTA(cl_code),INDEX(cl_code,62)&amp;"",IF(62&lt;=COUNTA(cl_code)+COUNTA(fo_code),INDEX(fo_code,62-COUNTA(cl_code))&amp;"",IF(62&lt;=COUNTA(cl_code)+COUNTA(fo_code)+COUNTA(p_services),INDEX(p_services,62-COUNTA(cl_code)-COUNTA(fo_code))&amp;"","")))</f>
        <v/>
      </c>
    </row>
    <row r="68">
      <c r="I68" t="str">
        <f>IF(63&lt;=COUNTA(cl_code),INDEX(cl_code,63)&amp;"",IF(63&lt;=COUNTA(cl_code)+COUNTA(fo_code),INDEX(fo_code,63-COUNTA(cl_code))&amp;"",IF(63&lt;=COUNTA(cl_code)+COUNTA(fo_code)+COUNTA(p_services),INDEX(p_services,63-COUNTA(cl_code)-COUNTA(fo_code))&amp;"","")))</f>
        <v/>
      </c>
    </row>
    <row r="69">
      <c r="I69" t="str">
        <f>IF(64&lt;=COUNTA(cl_code),INDEX(cl_code,64)&amp;"",IF(64&lt;=COUNTA(cl_code)+COUNTA(fo_code),INDEX(fo_code,64-COUNTA(cl_code))&amp;"",IF(64&lt;=COUNTA(cl_code)+COUNTA(fo_code)+COUNTA(p_services),INDEX(p_services,64-COUNTA(cl_code)-COUNTA(fo_code))&amp;"","")))</f>
        <v/>
      </c>
    </row>
    <row r="70">
      <c r="I70" t="str">
        <f>IF(65&lt;=COUNTA(cl_code),INDEX(cl_code,65)&amp;"",IF(65&lt;=COUNTA(cl_code)+COUNTA(fo_code),INDEX(fo_code,65-COUNTA(cl_code))&amp;"",IF(65&lt;=COUNTA(cl_code)+COUNTA(fo_code)+COUNTA(p_services),INDEX(p_services,65-COUNTA(cl_code)-COUNTA(fo_code))&amp;"","")))</f>
        <v/>
      </c>
    </row>
    <row r="71">
      <c r="I71" t="str">
        <f>IF(66&lt;=COUNTA(cl_code),INDEX(cl_code,66)&amp;"",IF(66&lt;=COUNTA(cl_code)+COUNTA(fo_code),INDEX(fo_code,66-COUNTA(cl_code))&amp;"",IF(66&lt;=COUNTA(cl_code)+COUNTA(fo_code)+COUNTA(p_services),INDEX(p_services,66-COUNTA(cl_code)-COUNTA(fo_code))&amp;"","")))</f>
        <v/>
      </c>
    </row>
    <row r="72">
      <c r="I72" t="str">
        <f>IF(67&lt;=COUNTA(cl_code),INDEX(cl_code,67)&amp;"",IF(67&lt;=COUNTA(cl_code)+COUNTA(fo_code),INDEX(fo_code,67-COUNTA(cl_code))&amp;"",IF(67&lt;=COUNTA(cl_code)+COUNTA(fo_code)+COUNTA(p_services),INDEX(p_services,67-COUNTA(cl_code)-COUNTA(fo_code))&amp;"","")))</f>
        <v/>
      </c>
    </row>
    <row r="73">
      <c r="I73" t="str">
        <f>IF(68&lt;=COUNTA(cl_code),INDEX(cl_code,68)&amp;"",IF(68&lt;=COUNTA(cl_code)+COUNTA(fo_code),INDEX(fo_code,68-COUNTA(cl_code))&amp;"",IF(68&lt;=COUNTA(cl_code)+COUNTA(fo_code)+COUNTA(p_services),INDEX(p_services,68-COUNTA(cl_code)-COUNTA(fo_code))&amp;"","")))</f>
        <v/>
      </c>
    </row>
    <row r="74">
      <c r="I74" t="str">
        <f>IF(69&lt;=COUNTA(cl_code),INDEX(cl_code,69)&amp;"",IF(69&lt;=COUNTA(cl_code)+COUNTA(fo_code),INDEX(fo_code,69-COUNTA(cl_code))&amp;"",IF(69&lt;=COUNTA(cl_code)+COUNTA(fo_code)+COUNTA(p_services),INDEX(p_services,69-COUNTA(cl_code)-COUNTA(fo_code))&amp;"","")))</f>
        <v/>
      </c>
    </row>
    <row r="75">
      <c r="I75" t="str">
        <f>IF(70&lt;=COUNTA(cl_code),INDEX(cl_code,70)&amp;"",IF(70&lt;=COUNTA(cl_code)+COUNTA(fo_code),INDEX(fo_code,70-COUNTA(cl_code))&amp;"",IF(70&lt;=COUNTA(cl_code)+COUNTA(fo_code)+COUNTA(p_services),INDEX(p_services,70-COUNTA(cl_code)-COUNTA(fo_code))&amp;"","")))</f>
        <v/>
      </c>
    </row>
    <row r="76">
      <c r="I76" t="str">
        <f>IF(71&lt;=COUNTA(cl_code),INDEX(cl_code,71)&amp;"",IF(71&lt;=COUNTA(cl_code)+COUNTA(fo_code),INDEX(fo_code,71-COUNTA(cl_code))&amp;"",IF(71&lt;=COUNTA(cl_code)+COUNTA(fo_code)+COUNTA(p_services),INDEX(p_services,71-COUNTA(cl_code)-COUNTA(fo_code))&amp;"","")))</f>
        <v/>
      </c>
    </row>
    <row r="77">
      <c r="I77" t="str">
        <f>IF(72&lt;=COUNTA(cl_code),INDEX(cl_code,72)&amp;"",IF(72&lt;=COUNTA(cl_code)+COUNTA(fo_code),INDEX(fo_code,72-COUNTA(cl_code))&amp;"",IF(72&lt;=COUNTA(cl_code)+COUNTA(fo_code)+COUNTA(p_services),INDEX(p_services,72-COUNTA(cl_code)-COUNTA(fo_code))&amp;"","")))</f>
        <v/>
      </c>
    </row>
    <row r="78">
      <c r="I78" t="str">
        <f>IF(73&lt;=COUNTA(cl_code),INDEX(cl_code,73)&amp;"",IF(73&lt;=COUNTA(cl_code)+COUNTA(fo_code),INDEX(fo_code,73-COUNTA(cl_code))&amp;"",IF(73&lt;=COUNTA(cl_code)+COUNTA(fo_code)+COUNTA(p_services),INDEX(p_services,73-COUNTA(cl_code)-COUNTA(fo_code))&amp;"","")))</f>
        <v/>
      </c>
    </row>
    <row r="79">
      <c r="I79" t="str">
        <f>IF(74&lt;=COUNTA(cl_code),INDEX(cl_code,74)&amp;"",IF(74&lt;=COUNTA(cl_code)+COUNTA(fo_code),INDEX(fo_code,74-COUNTA(cl_code))&amp;"",IF(74&lt;=COUNTA(cl_code)+COUNTA(fo_code)+COUNTA(p_services),INDEX(p_services,74-COUNTA(cl_code)-COUNTA(fo_code))&amp;"","")))</f>
        <v/>
      </c>
    </row>
    <row r="80">
      <c r="I80" t="str">
        <f>IF(75&lt;=COUNTA(cl_code),INDEX(cl_code,75)&amp;"",IF(75&lt;=COUNTA(cl_code)+COUNTA(fo_code),INDEX(fo_code,75-COUNTA(cl_code))&amp;"",IF(75&lt;=COUNTA(cl_code)+COUNTA(fo_code)+COUNTA(p_services),INDEX(p_services,75-COUNTA(cl_code)-COUNTA(fo_code))&amp;"","")))</f>
        <v/>
      </c>
    </row>
    <row r="81">
      <c r="I81" t="str">
        <f>IF(76&lt;=COUNTA(cl_code),INDEX(cl_code,76)&amp;"",IF(76&lt;=COUNTA(cl_code)+COUNTA(fo_code),INDEX(fo_code,76-COUNTA(cl_code))&amp;"",IF(76&lt;=COUNTA(cl_code)+COUNTA(fo_code)+COUNTA(p_services),INDEX(p_services,76-COUNTA(cl_code)-COUNTA(fo_code))&amp;"","")))</f>
        <v/>
      </c>
    </row>
    <row r="82">
      <c r="I82" t="str">
        <f>IF(77&lt;=COUNTA(cl_code),INDEX(cl_code,77)&amp;"",IF(77&lt;=COUNTA(cl_code)+COUNTA(fo_code),INDEX(fo_code,77-COUNTA(cl_code))&amp;"",IF(77&lt;=COUNTA(cl_code)+COUNTA(fo_code)+COUNTA(p_services),INDEX(p_services,77-COUNTA(cl_code)-COUNTA(fo_code))&amp;"","")))</f>
        <v/>
      </c>
    </row>
    <row r="83">
      <c r="I83" t="str">
        <f>IF(78&lt;=COUNTA(cl_code),INDEX(cl_code,78)&amp;"",IF(78&lt;=COUNTA(cl_code)+COUNTA(fo_code),INDEX(fo_code,78-COUNTA(cl_code))&amp;"",IF(78&lt;=COUNTA(cl_code)+COUNTA(fo_code)+COUNTA(p_services),INDEX(p_services,78-COUNTA(cl_code)-COUNTA(fo_code))&amp;"","")))</f>
        <v/>
      </c>
    </row>
    <row r="84">
      <c r="I84" t="str">
        <f>IF(79&lt;=COUNTA(cl_code),INDEX(cl_code,79)&amp;"",IF(79&lt;=COUNTA(cl_code)+COUNTA(fo_code),INDEX(fo_code,79-COUNTA(cl_code))&amp;"",IF(79&lt;=COUNTA(cl_code)+COUNTA(fo_code)+COUNTA(p_services),INDEX(p_services,79-COUNTA(cl_code)-COUNTA(fo_code))&amp;"","")))</f>
        <v/>
      </c>
    </row>
    <row r="85">
      <c r="I85" t="str">
        <f>IF(80&lt;=COUNTA(cl_code),INDEX(cl_code,80)&amp;"",IF(80&lt;=COUNTA(cl_code)+COUNTA(fo_code),INDEX(fo_code,80-COUNTA(cl_code))&amp;"",IF(80&lt;=COUNTA(cl_code)+COUNTA(fo_code)+COUNTA(p_services),INDEX(p_services,80-COUNTA(cl_code)-COUNTA(fo_code))&amp;"","")))</f>
        <v/>
      </c>
    </row>
    <row r="86">
      <c r="I86" t="str">
        <f>IF(81&lt;=COUNTA(cl_code),INDEX(cl_code,81)&amp;"",IF(81&lt;=COUNTA(cl_code)+COUNTA(fo_code),INDEX(fo_code,81-COUNTA(cl_code))&amp;"",IF(81&lt;=COUNTA(cl_code)+COUNTA(fo_code)+COUNTA(p_services),INDEX(p_services,81-COUNTA(cl_code)-COUNTA(fo_code))&amp;"","")))</f>
        <v/>
      </c>
    </row>
    <row r="87">
      <c r="I87" t="str">
        <f>IF(82&lt;=COUNTA(cl_code),INDEX(cl_code,82)&amp;"",IF(82&lt;=COUNTA(cl_code)+COUNTA(fo_code),INDEX(fo_code,82-COUNTA(cl_code))&amp;"",IF(82&lt;=COUNTA(cl_code)+COUNTA(fo_code)+COUNTA(p_services),INDEX(p_services,82-COUNTA(cl_code)-COUNTA(fo_code))&amp;"","")))</f>
        <v/>
      </c>
    </row>
    <row r="88">
      <c r="I88" t="str">
        <f>IF(83&lt;=COUNTA(cl_code),INDEX(cl_code,83)&amp;"",IF(83&lt;=COUNTA(cl_code)+COUNTA(fo_code),INDEX(fo_code,83-COUNTA(cl_code))&amp;"",IF(83&lt;=COUNTA(cl_code)+COUNTA(fo_code)+COUNTA(p_services),INDEX(p_services,83-COUNTA(cl_code)-COUNTA(fo_code))&amp;"","")))</f>
        <v/>
      </c>
    </row>
    <row r="89">
      <c r="I89" t="str">
        <f>IF(84&lt;=COUNTA(cl_code),INDEX(cl_code,84)&amp;"",IF(84&lt;=COUNTA(cl_code)+COUNTA(fo_code),INDEX(fo_code,84-COUNTA(cl_code))&amp;"",IF(84&lt;=COUNTA(cl_code)+COUNTA(fo_code)+COUNTA(p_services),INDEX(p_services,84-COUNTA(cl_code)-COUNTA(fo_code))&amp;"","")))</f>
        <v/>
      </c>
    </row>
    <row r="90">
      <c r="I90" t="str">
        <f>IF(85&lt;=COUNTA(cl_code),INDEX(cl_code,85)&amp;"",IF(85&lt;=COUNTA(cl_code)+COUNTA(fo_code),INDEX(fo_code,85-COUNTA(cl_code))&amp;"",IF(85&lt;=COUNTA(cl_code)+COUNTA(fo_code)+COUNTA(p_services),INDEX(p_services,85-COUNTA(cl_code)-COUNTA(fo_code))&amp;"","")))</f>
        <v/>
      </c>
    </row>
    <row r="91">
      <c r="I91" t="str">
        <f>IF(86&lt;=COUNTA(cl_code),INDEX(cl_code,86)&amp;"",IF(86&lt;=COUNTA(cl_code)+COUNTA(fo_code),INDEX(fo_code,86-COUNTA(cl_code))&amp;"",IF(86&lt;=COUNTA(cl_code)+COUNTA(fo_code)+COUNTA(p_services),INDEX(p_services,86-COUNTA(cl_code)-COUNTA(fo_code))&amp;"","")))</f>
        <v/>
      </c>
    </row>
    <row r="92">
      <c r="I92" t="str">
        <f>IF(87&lt;=COUNTA(cl_code),INDEX(cl_code,87)&amp;"",IF(87&lt;=COUNTA(cl_code)+COUNTA(fo_code),INDEX(fo_code,87-COUNTA(cl_code))&amp;"",IF(87&lt;=COUNTA(cl_code)+COUNTA(fo_code)+COUNTA(p_services),INDEX(p_services,87-COUNTA(cl_code)-COUNTA(fo_code))&amp;"","")))</f>
        <v/>
      </c>
    </row>
    <row r="93">
      <c r="I93" t="str">
        <f>IF(88&lt;=COUNTA(cl_code),INDEX(cl_code,88)&amp;"",IF(88&lt;=COUNTA(cl_code)+COUNTA(fo_code),INDEX(fo_code,88-COUNTA(cl_code))&amp;"",IF(88&lt;=COUNTA(cl_code)+COUNTA(fo_code)+COUNTA(p_services),INDEX(p_services,88-COUNTA(cl_code)-COUNTA(fo_code))&amp;"","")))</f>
        <v/>
      </c>
    </row>
    <row r="94">
      <c r="I94" t="str">
        <f>IF(89&lt;=COUNTA(cl_code),INDEX(cl_code,89)&amp;"",IF(89&lt;=COUNTA(cl_code)+COUNTA(fo_code),INDEX(fo_code,89-COUNTA(cl_code))&amp;"",IF(89&lt;=COUNTA(cl_code)+COUNTA(fo_code)+COUNTA(p_services),INDEX(p_services,89-COUNTA(cl_code)-COUNTA(fo_code))&amp;"","")))</f>
        <v/>
      </c>
    </row>
    <row r="95">
      <c r="I95" t="str">
        <f>IF(90&lt;=COUNTA(cl_code),INDEX(cl_code,90)&amp;"",IF(90&lt;=COUNTA(cl_code)+COUNTA(fo_code),INDEX(fo_code,90-COUNTA(cl_code))&amp;"",IF(90&lt;=COUNTA(cl_code)+COUNTA(fo_code)+COUNTA(p_services),INDEX(p_services,90-COUNTA(cl_code)-COUNTA(fo_code))&amp;"","")))</f>
        <v/>
      </c>
    </row>
    <row r="96">
      <c r="I96" t="str">
        <f>IF(91&lt;=COUNTA(cl_code),INDEX(cl_code,91)&amp;"",IF(91&lt;=COUNTA(cl_code)+COUNTA(fo_code),INDEX(fo_code,91-COUNTA(cl_code))&amp;"",IF(91&lt;=COUNTA(cl_code)+COUNTA(fo_code)+COUNTA(p_services),INDEX(p_services,91-COUNTA(cl_code)-COUNTA(fo_code))&amp;"","")))</f>
        <v/>
      </c>
    </row>
    <row r="97">
      <c r="I97" t="str">
        <f>IF(92&lt;=COUNTA(cl_code),INDEX(cl_code,92)&amp;"",IF(92&lt;=COUNTA(cl_code)+COUNTA(fo_code),INDEX(fo_code,92-COUNTA(cl_code))&amp;"",IF(92&lt;=COUNTA(cl_code)+COUNTA(fo_code)+COUNTA(p_services),INDEX(p_services,92-COUNTA(cl_code)-COUNTA(fo_code))&amp;"","")))</f>
        <v/>
      </c>
    </row>
    <row r="98">
      <c r="I98" t="str">
        <f>IF(93&lt;=COUNTA(cl_code),INDEX(cl_code,93)&amp;"",IF(93&lt;=COUNTA(cl_code)+COUNTA(fo_code),INDEX(fo_code,93-COUNTA(cl_code))&amp;"",IF(93&lt;=COUNTA(cl_code)+COUNTA(fo_code)+COUNTA(p_services),INDEX(p_services,93-COUNTA(cl_code)-COUNTA(fo_code))&amp;"","")))</f>
        <v/>
      </c>
    </row>
    <row r="99">
      <c r="I99" t="str">
        <f>IF(94&lt;=COUNTA(cl_code),INDEX(cl_code,94)&amp;"",IF(94&lt;=COUNTA(cl_code)+COUNTA(fo_code),INDEX(fo_code,94-COUNTA(cl_code))&amp;"",IF(94&lt;=COUNTA(cl_code)+COUNTA(fo_code)+COUNTA(p_services),INDEX(p_services,94-COUNTA(cl_code)-COUNTA(fo_code))&amp;"","")))</f>
        <v/>
      </c>
    </row>
    <row r="100">
      <c r="I100" t="str">
        <f>IF(95&lt;=COUNTA(cl_code),INDEX(cl_code,95)&amp;"",IF(95&lt;=COUNTA(cl_code)+COUNTA(fo_code),INDEX(fo_code,95-COUNTA(cl_code))&amp;"",IF(95&lt;=COUNTA(cl_code)+COUNTA(fo_code)+COUNTA(p_services),INDEX(p_services,95-COUNTA(cl_code)-COUNTA(fo_code))&amp;"","")))</f>
        <v/>
      </c>
    </row>
    <row r="101">
      <c r="I101" t="str">
        <f>IF(96&lt;=COUNTA(cl_code),INDEX(cl_code,96)&amp;"",IF(96&lt;=COUNTA(cl_code)+COUNTA(fo_code),INDEX(fo_code,96-COUNTA(cl_code))&amp;"",IF(96&lt;=COUNTA(cl_code)+COUNTA(fo_code)+COUNTA(p_services),INDEX(p_services,96-COUNTA(cl_code)-COUNTA(fo_code))&amp;"","")))</f>
        <v/>
      </c>
    </row>
    <row r="102">
      <c r="I102" t="str">
        <f>IF(97&lt;=COUNTA(cl_code),INDEX(cl_code,97)&amp;"",IF(97&lt;=COUNTA(cl_code)+COUNTA(fo_code),INDEX(fo_code,97-COUNTA(cl_code))&amp;"",IF(97&lt;=COUNTA(cl_code)+COUNTA(fo_code)+COUNTA(p_services),INDEX(p_services,97-COUNTA(cl_code)-COUNTA(fo_code))&amp;"","")))</f>
        <v/>
      </c>
    </row>
    <row r="103">
      <c r="I103" t="str">
        <f>IF(98&lt;=COUNTA(cl_code),INDEX(cl_code,98)&amp;"",IF(98&lt;=COUNTA(cl_code)+COUNTA(fo_code),INDEX(fo_code,98-COUNTA(cl_code))&amp;"",IF(98&lt;=COUNTA(cl_code)+COUNTA(fo_code)+COUNTA(p_services),INDEX(p_services,98-COUNTA(cl_code)-COUNTA(fo_code))&amp;"","")))</f>
        <v/>
      </c>
    </row>
    <row r="104">
      <c r="I104" t="str">
        <f>IF(99&lt;=COUNTA(cl_code),INDEX(cl_code,99)&amp;"",IF(99&lt;=COUNTA(cl_code)+COUNTA(fo_code),INDEX(fo_code,99-COUNTA(cl_code))&amp;"",IF(99&lt;=COUNTA(cl_code)+COUNTA(fo_code)+COUNTA(p_services),INDEX(p_services,99-COUNTA(cl_code)-COUNTA(fo_code))&amp;"","")))</f>
        <v/>
      </c>
    </row>
    <row r="105">
      <c r="I105" t="str">
        <f>IF(100&lt;=COUNTA(cl_code),INDEX(cl_code,100)&amp;"",IF(100&lt;=COUNTA(cl_code)+COUNTA(fo_code),INDEX(fo_code,100-COUNTA(cl_code))&amp;"",IF(100&lt;=COUNTA(cl_code)+COUNTA(fo_code)+COUNTA(p_services),INDEX(p_services,100-COUNTA(cl_code)-COUNTA(fo_code))&amp;"","")))</f>
        <v/>
      </c>
    </row>
    <row r="106">
      <c r="I106" t="str">
        <f>IF(101&lt;=COUNTA(cl_code),INDEX(cl_code,101)&amp;"",IF(101&lt;=COUNTA(cl_code)+COUNTA(fo_code),INDEX(fo_code,101-COUNTA(cl_code))&amp;"",IF(101&lt;=COUNTA(cl_code)+COUNTA(fo_code)+COUNTA(p_services),INDEX(p_services,101-COUNTA(cl_code)-COUNTA(fo_code))&amp;"","")))</f>
        <v/>
      </c>
    </row>
    <row r="107">
      <c r="I107" t="str">
        <f>IF(102&lt;=COUNTA(cl_code),INDEX(cl_code,102)&amp;"",IF(102&lt;=COUNTA(cl_code)+COUNTA(fo_code),INDEX(fo_code,102-COUNTA(cl_code))&amp;"",IF(102&lt;=COUNTA(cl_code)+COUNTA(fo_code)+COUNTA(p_services),INDEX(p_services,102-COUNTA(cl_code)-COUNTA(fo_code))&amp;"","")))</f>
        <v/>
      </c>
    </row>
    <row r="108">
      <c r="I108" t="str">
        <f>IF(103&lt;=COUNTA(cl_code),INDEX(cl_code,103)&amp;"",IF(103&lt;=COUNTA(cl_code)+COUNTA(fo_code),INDEX(fo_code,103-COUNTA(cl_code))&amp;"",IF(103&lt;=COUNTA(cl_code)+COUNTA(fo_code)+COUNTA(p_services),INDEX(p_services,103-COUNTA(cl_code)-COUNTA(fo_code))&amp;"","")))</f>
        <v/>
      </c>
    </row>
    <row r="109">
      <c r="I109" t="str">
        <f>IF(104&lt;=COUNTA(cl_code),INDEX(cl_code,104)&amp;"",IF(104&lt;=COUNTA(cl_code)+COUNTA(fo_code),INDEX(fo_code,104-COUNTA(cl_code))&amp;"",IF(104&lt;=COUNTA(cl_code)+COUNTA(fo_code)+COUNTA(p_services),INDEX(p_services,104-COUNTA(cl_code)-COUNTA(fo_code))&amp;"","")))</f>
        <v/>
      </c>
    </row>
    <row r="110">
      <c r="I110" t="str">
        <f>IF(105&lt;=COUNTA(cl_code),INDEX(cl_code,105)&amp;"",IF(105&lt;=COUNTA(cl_code)+COUNTA(fo_code),INDEX(fo_code,105-COUNTA(cl_code))&amp;"",IF(105&lt;=COUNTA(cl_code)+COUNTA(fo_code)+COUNTA(p_services),INDEX(p_services,105-COUNTA(cl_code)-COUNTA(fo_code))&amp;"","")))</f>
        <v/>
      </c>
    </row>
    <row r="111">
      <c r="I111" t="str">
        <f>IF(106&lt;=COUNTA(cl_code),INDEX(cl_code,106)&amp;"",IF(106&lt;=COUNTA(cl_code)+COUNTA(fo_code),INDEX(fo_code,106-COUNTA(cl_code))&amp;"",IF(106&lt;=COUNTA(cl_code)+COUNTA(fo_code)+COUNTA(p_services),INDEX(p_services,106-COUNTA(cl_code)-COUNTA(fo_code))&amp;"","")))</f>
        <v/>
      </c>
    </row>
    <row r="112">
      <c r="I112" t="str">
        <f>IF(107&lt;=COUNTA(cl_code),INDEX(cl_code,107)&amp;"",IF(107&lt;=COUNTA(cl_code)+COUNTA(fo_code),INDEX(fo_code,107-COUNTA(cl_code))&amp;"",IF(107&lt;=COUNTA(cl_code)+COUNTA(fo_code)+COUNTA(p_services),INDEX(p_services,107-COUNTA(cl_code)-COUNTA(fo_code))&amp;"","")))</f>
        <v/>
      </c>
    </row>
    <row r="113">
      <c r="I113" t="str">
        <f>IF(108&lt;=COUNTA(cl_code),INDEX(cl_code,108)&amp;"",IF(108&lt;=COUNTA(cl_code)+COUNTA(fo_code),INDEX(fo_code,108-COUNTA(cl_code))&amp;"",IF(108&lt;=COUNTA(cl_code)+COUNTA(fo_code)+COUNTA(p_services),INDEX(p_services,108-COUNTA(cl_code)-COUNTA(fo_code))&amp;"","")))</f>
        <v/>
      </c>
    </row>
    <row r="114">
      <c r="I114" t="str">
        <f>IF(109&lt;=COUNTA(cl_code),INDEX(cl_code,109)&amp;"",IF(109&lt;=COUNTA(cl_code)+COUNTA(fo_code),INDEX(fo_code,109-COUNTA(cl_code))&amp;"",IF(109&lt;=COUNTA(cl_code)+COUNTA(fo_code)+COUNTA(p_services),INDEX(p_services,109-COUNTA(cl_code)-COUNTA(fo_code))&amp;"","")))</f>
        <v/>
      </c>
    </row>
    <row r="115">
      <c r="I115" t="str">
        <f>IF(110&lt;=COUNTA(cl_code),INDEX(cl_code,110)&amp;"",IF(110&lt;=COUNTA(cl_code)+COUNTA(fo_code),INDEX(fo_code,110-COUNTA(cl_code))&amp;"",IF(110&lt;=COUNTA(cl_code)+COUNTA(fo_code)+COUNTA(p_services),INDEX(p_services,110-COUNTA(cl_code)-COUNTA(fo_code))&amp;"","")))</f>
        <v/>
      </c>
    </row>
    <row r="116">
      <c r="I116" t="str">
        <f>IF(111&lt;=COUNTA(cl_code),INDEX(cl_code,111)&amp;"",IF(111&lt;=COUNTA(cl_code)+COUNTA(fo_code),INDEX(fo_code,111-COUNTA(cl_code))&amp;"",IF(111&lt;=COUNTA(cl_code)+COUNTA(fo_code)+COUNTA(p_services),INDEX(p_services,111-COUNTA(cl_code)-COUNTA(fo_code))&amp;"","")))</f>
        <v/>
      </c>
    </row>
    <row r="117">
      <c r="I117" t="str">
        <f>IF(112&lt;=COUNTA(cl_code),INDEX(cl_code,112)&amp;"",IF(112&lt;=COUNTA(cl_code)+COUNTA(fo_code),INDEX(fo_code,112-COUNTA(cl_code))&amp;"",IF(112&lt;=COUNTA(cl_code)+COUNTA(fo_code)+COUNTA(p_services),INDEX(p_services,112-COUNTA(cl_code)-COUNTA(fo_code))&amp;"","")))</f>
        <v/>
      </c>
    </row>
    <row r="118">
      <c r="I118" t="str">
        <f>IF(113&lt;=COUNTA(cl_code),INDEX(cl_code,113)&amp;"",IF(113&lt;=COUNTA(cl_code)+COUNTA(fo_code),INDEX(fo_code,113-COUNTA(cl_code))&amp;"",IF(113&lt;=COUNTA(cl_code)+COUNTA(fo_code)+COUNTA(p_services),INDEX(p_services,113-COUNTA(cl_code)-COUNTA(fo_code))&amp;"","")))</f>
        <v/>
      </c>
    </row>
    <row r="119">
      <c r="I119" t="str">
        <f>IF(114&lt;=COUNTA(cl_code),INDEX(cl_code,114)&amp;"",IF(114&lt;=COUNTA(cl_code)+COUNTA(fo_code),INDEX(fo_code,114-COUNTA(cl_code))&amp;"",IF(114&lt;=COUNTA(cl_code)+COUNTA(fo_code)+COUNTA(p_services),INDEX(p_services,114-COUNTA(cl_code)-COUNTA(fo_code))&amp;"","")))</f>
        <v/>
      </c>
    </row>
    <row r="120">
      <c r="I120" t="str">
        <f>IF(115&lt;=COUNTA(cl_code),INDEX(cl_code,115)&amp;"",IF(115&lt;=COUNTA(cl_code)+COUNTA(fo_code),INDEX(fo_code,115-COUNTA(cl_code))&amp;"",IF(115&lt;=COUNTA(cl_code)+COUNTA(fo_code)+COUNTA(p_services),INDEX(p_services,115-COUNTA(cl_code)-COUNTA(fo_code))&amp;"","")))</f>
        <v/>
      </c>
    </row>
    <row r="121">
      <c r="I121" t="str">
        <f>IF(116&lt;=COUNTA(cl_code),INDEX(cl_code,116)&amp;"",IF(116&lt;=COUNTA(cl_code)+COUNTA(fo_code),INDEX(fo_code,116-COUNTA(cl_code))&amp;"",IF(116&lt;=COUNTA(cl_code)+COUNTA(fo_code)+COUNTA(p_services),INDEX(p_services,116-COUNTA(cl_code)-COUNTA(fo_code))&amp;"","")))</f>
        <v/>
      </c>
    </row>
    <row r="122">
      <c r="I122" t="str">
        <f>IF(117&lt;=COUNTA(cl_code),INDEX(cl_code,117)&amp;"",IF(117&lt;=COUNTA(cl_code)+COUNTA(fo_code),INDEX(fo_code,117-COUNTA(cl_code))&amp;"",IF(117&lt;=COUNTA(cl_code)+COUNTA(fo_code)+COUNTA(p_services),INDEX(p_services,117-COUNTA(cl_code)-COUNTA(fo_code))&amp;"","")))</f>
        <v/>
      </c>
    </row>
    <row r="123">
      <c r="I123" t="str">
        <f>IF(118&lt;=COUNTA(cl_code),INDEX(cl_code,118)&amp;"",IF(118&lt;=COUNTA(cl_code)+COUNTA(fo_code),INDEX(fo_code,118-COUNTA(cl_code))&amp;"",IF(118&lt;=COUNTA(cl_code)+COUNTA(fo_code)+COUNTA(p_services),INDEX(p_services,118-COUNTA(cl_code)-COUNTA(fo_code))&amp;"","")))</f>
        <v/>
      </c>
    </row>
    <row r="124">
      <c r="I124" t="str">
        <f>IF(119&lt;=COUNTA(cl_code),INDEX(cl_code,119)&amp;"",IF(119&lt;=COUNTA(cl_code)+COUNTA(fo_code),INDEX(fo_code,119-COUNTA(cl_code))&amp;"",IF(119&lt;=COUNTA(cl_code)+COUNTA(fo_code)+COUNTA(p_services),INDEX(p_services,119-COUNTA(cl_code)-COUNTA(fo_code))&amp;"","")))</f>
        <v/>
      </c>
    </row>
    <row r="125">
      <c r="I125" t="str">
        <f>IF(120&lt;=COUNTA(cl_code),INDEX(cl_code,120)&amp;"",IF(120&lt;=COUNTA(cl_code)+COUNTA(fo_code),INDEX(fo_code,120-COUNTA(cl_code))&amp;"",IF(120&lt;=COUNTA(cl_code)+COUNTA(fo_code)+COUNTA(p_services),INDEX(p_services,120-COUNTA(cl_code)-COUNTA(fo_code))&amp;"","")))</f>
        <v/>
      </c>
    </row>
    <row r="126">
      <c r="I126" t="str">
        <f>IF(121&lt;=COUNTA(cl_code),INDEX(cl_code,121)&amp;"",IF(121&lt;=COUNTA(cl_code)+COUNTA(fo_code),INDEX(fo_code,121-COUNTA(cl_code))&amp;"",IF(121&lt;=COUNTA(cl_code)+COUNTA(fo_code)+COUNTA(p_services),INDEX(p_services,121-COUNTA(cl_code)-COUNTA(fo_code))&amp;"","")))</f>
        <v/>
      </c>
    </row>
    <row r="127">
      <c r="I127" t="str">
        <f>IF(122&lt;=COUNTA(cl_code),INDEX(cl_code,122)&amp;"",IF(122&lt;=COUNTA(cl_code)+COUNTA(fo_code),INDEX(fo_code,122-COUNTA(cl_code))&amp;"",IF(122&lt;=COUNTA(cl_code)+COUNTA(fo_code)+COUNTA(p_services),INDEX(p_services,122-COUNTA(cl_code)-COUNTA(fo_code))&amp;"","")))</f>
        <v/>
      </c>
    </row>
    <row r="128">
      <c r="I128" t="str">
        <f>IF(123&lt;=COUNTA(cl_code),INDEX(cl_code,123)&amp;"",IF(123&lt;=COUNTA(cl_code)+COUNTA(fo_code),INDEX(fo_code,123-COUNTA(cl_code))&amp;"",IF(123&lt;=COUNTA(cl_code)+COUNTA(fo_code)+COUNTA(p_services),INDEX(p_services,123-COUNTA(cl_code)-COUNTA(fo_code))&amp;"","")))</f>
        <v/>
      </c>
    </row>
    <row r="129">
      <c r="I129" t="str">
        <f>IF(124&lt;=COUNTA(cl_code),INDEX(cl_code,124)&amp;"",IF(124&lt;=COUNTA(cl_code)+COUNTA(fo_code),INDEX(fo_code,124-COUNTA(cl_code))&amp;"",IF(124&lt;=COUNTA(cl_code)+COUNTA(fo_code)+COUNTA(p_services),INDEX(p_services,124-COUNTA(cl_code)-COUNTA(fo_code))&amp;"","")))</f>
        <v/>
      </c>
    </row>
    <row r="130">
      <c r="I130" t="str">
        <f>IF(125&lt;=COUNTA(cl_code),INDEX(cl_code,125)&amp;"",IF(125&lt;=COUNTA(cl_code)+COUNTA(fo_code),INDEX(fo_code,125-COUNTA(cl_code))&amp;"",IF(125&lt;=COUNTA(cl_code)+COUNTA(fo_code)+COUNTA(p_services),INDEX(p_services,125-COUNTA(cl_code)-COUNTA(fo_code))&amp;"","")))</f>
        <v/>
      </c>
    </row>
    <row r="131">
      <c r="I131" t="str">
        <f>IF(126&lt;=COUNTA(cl_code),INDEX(cl_code,126)&amp;"",IF(126&lt;=COUNTA(cl_code)+COUNTA(fo_code),INDEX(fo_code,126-COUNTA(cl_code))&amp;"",IF(126&lt;=COUNTA(cl_code)+COUNTA(fo_code)+COUNTA(p_services),INDEX(p_services,126-COUNTA(cl_code)-COUNTA(fo_code))&amp;"","")))</f>
        <v/>
      </c>
    </row>
    <row r="132">
      <c r="I132" t="str">
        <f>IF(127&lt;=COUNTA(cl_code),INDEX(cl_code,127)&amp;"",IF(127&lt;=COUNTA(cl_code)+COUNTA(fo_code),INDEX(fo_code,127-COUNTA(cl_code))&amp;"",IF(127&lt;=COUNTA(cl_code)+COUNTA(fo_code)+COUNTA(p_services),INDEX(p_services,127-COUNTA(cl_code)-COUNTA(fo_code))&amp;"","")))</f>
        <v/>
      </c>
    </row>
    <row r="133">
      <c r="I133" t="str">
        <f>IF(128&lt;=COUNTA(cl_code),INDEX(cl_code,128)&amp;"",IF(128&lt;=COUNTA(cl_code)+COUNTA(fo_code),INDEX(fo_code,128-COUNTA(cl_code))&amp;"",IF(128&lt;=COUNTA(cl_code)+COUNTA(fo_code)+COUNTA(p_services),INDEX(p_services,128-COUNTA(cl_code)-COUNTA(fo_code))&amp;"","")))</f>
        <v/>
      </c>
    </row>
    <row r="134">
      <c r="I134" t="str">
        <f>IF(129&lt;=COUNTA(cl_code),INDEX(cl_code,129)&amp;"",IF(129&lt;=COUNTA(cl_code)+COUNTA(fo_code),INDEX(fo_code,129-COUNTA(cl_code))&amp;"",IF(129&lt;=COUNTA(cl_code)+COUNTA(fo_code)+COUNTA(p_services),INDEX(p_services,129-COUNTA(cl_code)-COUNTA(fo_code))&amp;"","")))</f>
        <v/>
      </c>
    </row>
    <row r="135">
      <c r="I135" t="str">
        <f>IF(130&lt;=COUNTA(cl_code),INDEX(cl_code,130)&amp;"",IF(130&lt;=COUNTA(cl_code)+COUNTA(fo_code),INDEX(fo_code,130-COUNTA(cl_code))&amp;"",IF(130&lt;=COUNTA(cl_code)+COUNTA(fo_code)+COUNTA(p_services),INDEX(p_services,130-COUNTA(cl_code)-COUNTA(fo_code))&amp;"","")))</f>
        <v/>
      </c>
    </row>
    <row r="136">
      <c r="I136" t="str">
        <f>IF(131&lt;=COUNTA(cl_code),INDEX(cl_code,131)&amp;"",IF(131&lt;=COUNTA(cl_code)+COUNTA(fo_code),INDEX(fo_code,131-COUNTA(cl_code))&amp;"",IF(131&lt;=COUNTA(cl_code)+COUNTA(fo_code)+COUNTA(p_services),INDEX(p_services,131-COUNTA(cl_code)-COUNTA(fo_code))&amp;"","")))</f>
        <v/>
      </c>
    </row>
    <row r="137">
      <c r="I137" t="str">
        <f>IF(132&lt;=COUNTA(cl_code),INDEX(cl_code,132)&amp;"",IF(132&lt;=COUNTA(cl_code)+COUNTA(fo_code),INDEX(fo_code,132-COUNTA(cl_code))&amp;"",IF(132&lt;=COUNTA(cl_code)+COUNTA(fo_code)+COUNTA(p_services),INDEX(p_services,132-COUNTA(cl_code)-COUNTA(fo_code))&amp;"","")))</f>
        <v/>
      </c>
    </row>
    <row r="138">
      <c r="I138" t="str">
        <f>IF(133&lt;=COUNTA(cl_code),INDEX(cl_code,133)&amp;"",IF(133&lt;=COUNTA(cl_code)+COUNTA(fo_code),INDEX(fo_code,133-COUNTA(cl_code))&amp;"",IF(133&lt;=COUNTA(cl_code)+COUNTA(fo_code)+COUNTA(p_services),INDEX(p_services,133-COUNTA(cl_code)-COUNTA(fo_code))&amp;"","")))</f>
        <v/>
      </c>
    </row>
    <row r="139">
      <c r="I139" t="str">
        <f>IF(134&lt;=COUNTA(cl_code),INDEX(cl_code,134)&amp;"",IF(134&lt;=COUNTA(cl_code)+COUNTA(fo_code),INDEX(fo_code,134-COUNTA(cl_code))&amp;"",IF(134&lt;=COUNTA(cl_code)+COUNTA(fo_code)+COUNTA(p_services),INDEX(p_services,134-COUNTA(cl_code)-COUNTA(fo_code))&amp;"","")))</f>
        <v/>
      </c>
    </row>
    <row r="140">
      <c r="I140" t="str">
        <f>IF(135&lt;=COUNTA(cl_code),INDEX(cl_code,135)&amp;"",IF(135&lt;=COUNTA(cl_code)+COUNTA(fo_code),INDEX(fo_code,135-COUNTA(cl_code))&amp;"",IF(135&lt;=COUNTA(cl_code)+COUNTA(fo_code)+COUNTA(p_services),INDEX(p_services,135-COUNTA(cl_code)-COUNTA(fo_code))&amp;"","")))</f>
        <v/>
      </c>
    </row>
    <row r="141">
      <c r="I141" t="str">
        <f>IF(136&lt;=COUNTA(cl_code),INDEX(cl_code,136)&amp;"",IF(136&lt;=COUNTA(cl_code)+COUNTA(fo_code),INDEX(fo_code,136-COUNTA(cl_code))&amp;"",IF(136&lt;=COUNTA(cl_code)+COUNTA(fo_code)+COUNTA(p_services),INDEX(p_services,136-COUNTA(cl_code)-COUNTA(fo_code))&amp;"","")))</f>
        <v/>
      </c>
    </row>
    <row r="142">
      <c r="I142" t="str">
        <f>IF(137&lt;=COUNTA(cl_code),INDEX(cl_code,137)&amp;"",IF(137&lt;=COUNTA(cl_code)+COUNTA(fo_code),INDEX(fo_code,137-COUNTA(cl_code))&amp;"",IF(137&lt;=COUNTA(cl_code)+COUNTA(fo_code)+COUNTA(p_services),INDEX(p_services,137-COUNTA(cl_code)-COUNTA(fo_code))&amp;"","")))</f>
        <v/>
      </c>
    </row>
    <row r="143">
      <c r="I143" t="str">
        <f>IF(138&lt;=COUNTA(cl_code),INDEX(cl_code,138)&amp;"",IF(138&lt;=COUNTA(cl_code)+COUNTA(fo_code),INDEX(fo_code,138-COUNTA(cl_code))&amp;"",IF(138&lt;=COUNTA(cl_code)+COUNTA(fo_code)+COUNTA(p_services),INDEX(p_services,138-COUNTA(cl_code)-COUNTA(fo_code))&amp;"","")))</f>
        <v/>
      </c>
    </row>
    <row r="144">
      <c r="I144" t="str">
        <f>IF(139&lt;=COUNTA(cl_code),INDEX(cl_code,139)&amp;"",IF(139&lt;=COUNTA(cl_code)+COUNTA(fo_code),INDEX(fo_code,139-COUNTA(cl_code))&amp;"",IF(139&lt;=COUNTA(cl_code)+COUNTA(fo_code)+COUNTA(p_services),INDEX(p_services,139-COUNTA(cl_code)-COUNTA(fo_code))&amp;"","")))</f>
        <v/>
      </c>
    </row>
    <row r="145">
      <c r="I145" t="str">
        <f>IF(140&lt;=COUNTA(cl_code),INDEX(cl_code,140)&amp;"",IF(140&lt;=COUNTA(cl_code)+COUNTA(fo_code),INDEX(fo_code,140-COUNTA(cl_code))&amp;"",IF(140&lt;=COUNTA(cl_code)+COUNTA(fo_code)+COUNTA(p_services),INDEX(p_services,140-COUNTA(cl_code)-COUNTA(fo_code))&amp;"","")))</f>
        <v/>
      </c>
    </row>
    <row r="146">
      <c r="I146" t="str">
        <f>IF(141&lt;=COUNTA(cl_code),INDEX(cl_code,141)&amp;"",IF(141&lt;=COUNTA(cl_code)+COUNTA(fo_code),INDEX(fo_code,141-COUNTA(cl_code))&amp;"",IF(141&lt;=COUNTA(cl_code)+COUNTA(fo_code)+COUNTA(p_services),INDEX(p_services,141-COUNTA(cl_code)-COUNTA(fo_code))&amp;"","")))</f>
        <v/>
      </c>
    </row>
    <row r="147">
      <c r="I147" t="str">
        <f>IF(142&lt;=COUNTA(cl_code),INDEX(cl_code,142)&amp;"",IF(142&lt;=COUNTA(cl_code)+COUNTA(fo_code),INDEX(fo_code,142-COUNTA(cl_code))&amp;"",IF(142&lt;=COUNTA(cl_code)+COUNTA(fo_code)+COUNTA(p_services),INDEX(p_services,142-COUNTA(cl_code)-COUNTA(fo_code))&amp;"","")))</f>
        <v/>
      </c>
    </row>
    <row r="148">
      <c r="I148" t="str">
        <f>IF(143&lt;=COUNTA(cl_code),INDEX(cl_code,143)&amp;"",IF(143&lt;=COUNTA(cl_code)+COUNTA(fo_code),INDEX(fo_code,143-COUNTA(cl_code))&amp;"",IF(143&lt;=COUNTA(cl_code)+COUNTA(fo_code)+COUNTA(p_services),INDEX(p_services,143-COUNTA(cl_code)-COUNTA(fo_code))&amp;"","")))</f>
        <v/>
      </c>
    </row>
    <row r="149">
      <c r="I149" t="str">
        <f>IF(144&lt;=COUNTA(cl_code),INDEX(cl_code,144)&amp;"",IF(144&lt;=COUNTA(cl_code)+COUNTA(fo_code),INDEX(fo_code,144-COUNTA(cl_code))&amp;"",IF(144&lt;=COUNTA(cl_code)+COUNTA(fo_code)+COUNTA(p_services),INDEX(p_services,144-COUNTA(cl_code)-COUNTA(fo_code))&amp;"","")))</f>
        <v/>
      </c>
    </row>
    <row r="150">
      <c r="I150" t="str">
        <f>IF(145&lt;=COUNTA(cl_code),INDEX(cl_code,145)&amp;"",IF(145&lt;=COUNTA(cl_code)+COUNTA(fo_code),INDEX(fo_code,145-COUNTA(cl_code))&amp;"",IF(145&lt;=COUNTA(cl_code)+COUNTA(fo_code)+COUNTA(p_services),INDEX(p_services,145-COUNTA(cl_code)-COUNTA(fo_code))&amp;"","")))</f>
        <v/>
      </c>
    </row>
    <row r="151">
      <c r="I151" t="str">
        <f>IF(146&lt;=COUNTA(cl_code),INDEX(cl_code,146)&amp;"",IF(146&lt;=COUNTA(cl_code)+COUNTA(fo_code),INDEX(fo_code,146-COUNTA(cl_code))&amp;"",IF(146&lt;=COUNTA(cl_code)+COUNTA(fo_code)+COUNTA(p_services),INDEX(p_services,146-COUNTA(cl_code)-COUNTA(fo_code))&amp;"","")))</f>
        <v/>
      </c>
    </row>
    <row r="152">
      <c r="I152" t="str">
        <f>IF(147&lt;=COUNTA(cl_code),INDEX(cl_code,147)&amp;"",IF(147&lt;=COUNTA(cl_code)+COUNTA(fo_code),INDEX(fo_code,147-COUNTA(cl_code))&amp;"",IF(147&lt;=COUNTA(cl_code)+COUNTA(fo_code)+COUNTA(p_services),INDEX(p_services,147-COUNTA(cl_code)-COUNTA(fo_code))&amp;"","")))</f>
        <v/>
      </c>
    </row>
    <row r="153">
      <c r="I153" t="str">
        <f>IF(148&lt;=COUNTA(cl_code),INDEX(cl_code,148)&amp;"",IF(148&lt;=COUNTA(cl_code)+COUNTA(fo_code),INDEX(fo_code,148-COUNTA(cl_code))&amp;"",IF(148&lt;=COUNTA(cl_code)+COUNTA(fo_code)+COUNTA(p_services),INDEX(p_services,148-COUNTA(cl_code)-COUNTA(fo_code))&amp;"","")))</f>
        <v/>
      </c>
    </row>
    <row r="154">
      <c r="I154" t="str">
        <f>IF(149&lt;=COUNTA(cl_code),INDEX(cl_code,149)&amp;"",IF(149&lt;=COUNTA(cl_code)+COUNTA(fo_code),INDEX(fo_code,149-COUNTA(cl_code))&amp;"",IF(149&lt;=COUNTA(cl_code)+COUNTA(fo_code)+COUNTA(p_services),INDEX(p_services,149-COUNTA(cl_code)-COUNTA(fo_code))&amp;"","")))</f>
        <v/>
      </c>
    </row>
    <row r="155">
      <c r="I155" t="str">
        <f>IF(150&lt;=COUNTA(cl_code),INDEX(cl_code,150)&amp;"",IF(150&lt;=COUNTA(cl_code)+COUNTA(fo_code),INDEX(fo_code,150-COUNTA(cl_code))&amp;"",IF(150&lt;=COUNTA(cl_code)+COUNTA(fo_code)+COUNTA(p_services),INDEX(p_services,150-COUNTA(cl_code)-COUNTA(fo_code))&amp;"","")))</f>
        <v/>
      </c>
    </row>
    <row r="156">
      <c r="I156" t="str">
        <f>IF(151&lt;=COUNTA(cl_code),INDEX(cl_code,151)&amp;"",IF(151&lt;=COUNTA(cl_code)+COUNTA(fo_code),INDEX(fo_code,151-COUNTA(cl_code))&amp;"",IF(151&lt;=COUNTA(cl_code)+COUNTA(fo_code)+COUNTA(p_services),INDEX(p_services,151-COUNTA(cl_code)-COUNTA(fo_code))&amp;"","")))</f>
        <v/>
      </c>
    </row>
    <row r="157">
      <c r="I157" t="str">
        <f>IF(152&lt;=COUNTA(cl_code),INDEX(cl_code,152)&amp;"",IF(152&lt;=COUNTA(cl_code)+COUNTA(fo_code),INDEX(fo_code,152-COUNTA(cl_code))&amp;"",IF(152&lt;=COUNTA(cl_code)+COUNTA(fo_code)+COUNTA(p_services),INDEX(p_services,152-COUNTA(cl_code)-COUNTA(fo_code))&amp;"","")))</f>
        <v/>
      </c>
    </row>
    <row r="158">
      <c r="I158" t="str">
        <f>IF(153&lt;=COUNTA(cl_code),INDEX(cl_code,153)&amp;"",IF(153&lt;=COUNTA(cl_code)+COUNTA(fo_code),INDEX(fo_code,153-COUNTA(cl_code))&amp;"",IF(153&lt;=COUNTA(cl_code)+COUNTA(fo_code)+COUNTA(p_services),INDEX(p_services,153-COUNTA(cl_code)-COUNTA(fo_code))&amp;"","")))</f>
        <v/>
      </c>
    </row>
    <row r="159">
      <c r="I159" t="str">
        <f>IF(154&lt;=COUNTA(cl_code),INDEX(cl_code,154)&amp;"",IF(154&lt;=COUNTA(cl_code)+COUNTA(fo_code),INDEX(fo_code,154-COUNTA(cl_code))&amp;"",IF(154&lt;=COUNTA(cl_code)+COUNTA(fo_code)+COUNTA(p_services),INDEX(p_services,154-COUNTA(cl_code)-COUNTA(fo_code))&amp;"","")))</f>
        <v/>
      </c>
    </row>
    <row r="160">
      <c r="I160" t="str">
        <f>IF(155&lt;=COUNTA(cl_code),INDEX(cl_code,155)&amp;"",IF(155&lt;=COUNTA(cl_code)+COUNTA(fo_code),INDEX(fo_code,155-COUNTA(cl_code))&amp;"",IF(155&lt;=COUNTA(cl_code)+COUNTA(fo_code)+COUNTA(p_services),INDEX(p_services,155-COUNTA(cl_code)-COUNTA(fo_code))&amp;"","")))</f>
        <v/>
      </c>
    </row>
    <row r="161">
      <c r="I161" t="str">
        <f>IF(156&lt;=COUNTA(cl_code),INDEX(cl_code,156)&amp;"",IF(156&lt;=COUNTA(cl_code)+COUNTA(fo_code),INDEX(fo_code,156-COUNTA(cl_code))&amp;"",IF(156&lt;=COUNTA(cl_code)+COUNTA(fo_code)+COUNTA(p_services),INDEX(p_services,156-COUNTA(cl_code)-COUNTA(fo_code))&amp;"","")))</f>
        <v/>
      </c>
    </row>
    <row r="162">
      <c r="I162" t="str">
        <f>IF(157&lt;=COUNTA(cl_code),INDEX(cl_code,157)&amp;"",IF(157&lt;=COUNTA(cl_code)+COUNTA(fo_code),INDEX(fo_code,157-COUNTA(cl_code))&amp;"",IF(157&lt;=COUNTA(cl_code)+COUNTA(fo_code)+COUNTA(p_services),INDEX(p_services,157-COUNTA(cl_code)-COUNTA(fo_code))&amp;"","")))</f>
        <v/>
      </c>
    </row>
    <row r="163">
      <c r="I163" t="str">
        <f>IF(158&lt;=COUNTA(cl_code),INDEX(cl_code,158)&amp;"",IF(158&lt;=COUNTA(cl_code)+COUNTA(fo_code),INDEX(fo_code,158-COUNTA(cl_code))&amp;"",IF(158&lt;=COUNTA(cl_code)+COUNTA(fo_code)+COUNTA(p_services),INDEX(p_services,158-COUNTA(cl_code)-COUNTA(fo_code))&amp;"","")))</f>
        <v/>
      </c>
    </row>
    <row r="164">
      <c r="I164" t="str">
        <f>IF(159&lt;=COUNTA(cl_code),INDEX(cl_code,159)&amp;"",IF(159&lt;=COUNTA(cl_code)+COUNTA(fo_code),INDEX(fo_code,159-COUNTA(cl_code))&amp;"",IF(159&lt;=COUNTA(cl_code)+COUNTA(fo_code)+COUNTA(p_services),INDEX(p_services,159-COUNTA(cl_code)-COUNTA(fo_code))&amp;"","")))</f>
        <v/>
      </c>
    </row>
    <row r="165">
      <c r="I165" t="str">
        <f>IF(160&lt;=COUNTA(cl_code),INDEX(cl_code,160)&amp;"",IF(160&lt;=COUNTA(cl_code)+COUNTA(fo_code),INDEX(fo_code,160-COUNTA(cl_code))&amp;"",IF(160&lt;=COUNTA(cl_code)+COUNTA(fo_code)+COUNTA(p_services),INDEX(p_services,160-COUNTA(cl_code)-COUNTA(fo_code))&amp;"","")))</f>
        <v/>
      </c>
    </row>
    <row r="166">
      <c r="I166" t="str">
        <f>IF(161&lt;=COUNTA(cl_code),INDEX(cl_code,161)&amp;"",IF(161&lt;=COUNTA(cl_code)+COUNTA(fo_code),INDEX(fo_code,161-COUNTA(cl_code))&amp;"",IF(161&lt;=COUNTA(cl_code)+COUNTA(fo_code)+COUNTA(p_services),INDEX(p_services,161-COUNTA(cl_code)-COUNTA(fo_code))&amp;"","")))</f>
        <v/>
      </c>
    </row>
    <row r="167">
      <c r="I167" t="str">
        <f>IF(162&lt;=COUNTA(cl_code),INDEX(cl_code,162)&amp;"",IF(162&lt;=COUNTA(cl_code)+COUNTA(fo_code),INDEX(fo_code,162-COUNTA(cl_code))&amp;"",IF(162&lt;=COUNTA(cl_code)+COUNTA(fo_code)+COUNTA(p_services),INDEX(p_services,162-COUNTA(cl_code)-COUNTA(fo_code))&amp;"","")))</f>
        <v/>
      </c>
    </row>
    <row r="168">
      <c r="I168" t="str">
        <f>IF(163&lt;=COUNTA(cl_code),INDEX(cl_code,163)&amp;"",IF(163&lt;=COUNTA(cl_code)+COUNTA(fo_code),INDEX(fo_code,163-COUNTA(cl_code))&amp;"",IF(163&lt;=COUNTA(cl_code)+COUNTA(fo_code)+COUNTA(p_services),INDEX(p_services,163-COUNTA(cl_code)-COUNTA(fo_code))&amp;"","")))</f>
        <v/>
      </c>
    </row>
    <row r="169">
      <c r="I169" t="str">
        <f>IF(164&lt;=COUNTA(cl_code),INDEX(cl_code,164)&amp;"",IF(164&lt;=COUNTA(cl_code)+COUNTA(fo_code),INDEX(fo_code,164-COUNTA(cl_code))&amp;"",IF(164&lt;=COUNTA(cl_code)+COUNTA(fo_code)+COUNTA(p_services),INDEX(p_services,164-COUNTA(cl_code)-COUNTA(fo_code))&amp;"","")))</f>
        <v/>
      </c>
    </row>
    <row r="170">
      <c r="I170" t="str">
        <f>IF(165&lt;=COUNTA(cl_code),INDEX(cl_code,165)&amp;"",IF(165&lt;=COUNTA(cl_code)+COUNTA(fo_code),INDEX(fo_code,165-COUNTA(cl_code))&amp;"",IF(165&lt;=COUNTA(cl_code)+COUNTA(fo_code)+COUNTA(p_services),INDEX(p_services,165-COUNTA(cl_code)-COUNTA(fo_code))&amp;"","")))</f>
        <v/>
      </c>
    </row>
    <row r="171">
      <c r="I171" t="str">
        <f>IF(166&lt;=COUNTA(cl_code),INDEX(cl_code,166)&amp;"",IF(166&lt;=COUNTA(cl_code)+COUNTA(fo_code),INDEX(fo_code,166-COUNTA(cl_code))&amp;"",IF(166&lt;=COUNTA(cl_code)+COUNTA(fo_code)+COUNTA(p_services),INDEX(p_services,166-COUNTA(cl_code)-COUNTA(fo_code))&amp;"","")))</f>
        <v/>
      </c>
    </row>
    <row r="172">
      <c r="I172" t="str">
        <f>IF(167&lt;=COUNTA(cl_code),INDEX(cl_code,167)&amp;"",IF(167&lt;=COUNTA(cl_code)+COUNTA(fo_code),INDEX(fo_code,167-COUNTA(cl_code))&amp;"",IF(167&lt;=COUNTA(cl_code)+COUNTA(fo_code)+COUNTA(p_services),INDEX(p_services,167-COUNTA(cl_code)-COUNTA(fo_code))&amp;"","")))</f>
        <v/>
      </c>
    </row>
    <row r="173">
      <c r="I173" t="str">
        <f>IF(168&lt;=COUNTA(cl_code),INDEX(cl_code,168)&amp;"",IF(168&lt;=COUNTA(cl_code)+COUNTA(fo_code),INDEX(fo_code,168-COUNTA(cl_code))&amp;"",IF(168&lt;=COUNTA(cl_code)+COUNTA(fo_code)+COUNTA(p_services),INDEX(p_services,168-COUNTA(cl_code)-COUNTA(fo_code))&amp;"","")))</f>
        <v/>
      </c>
    </row>
    <row r="174">
      <c r="I174" t="str">
        <f>IF(169&lt;=COUNTA(cl_code),INDEX(cl_code,169)&amp;"",IF(169&lt;=COUNTA(cl_code)+COUNTA(fo_code),INDEX(fo_code,169-COUNTA(cl_code))&amp;"",IF(169&lt;=COUNTA(cl_code)+COUNTA(fo_code)+COUNTA(p_services),INDEX(p_services,169-COUNTA(cl_code)-COUNTA(fo_code))&amp;"","")))</f>
        <v/>
      </c>
    </row>
    <row r="175">
      <c r="I175" t="str">
        <f>IF(170&lt;=COUNTA(cl_code),INDEX(cl_code,170)&amp;"",IF(170&lt;=COUNTA(cl_code)+COUNTA(fo_code),INDEX(fo_code,170-COUNTA(cl_code))&amp;"",IF(170&lt;=COUNTA(cl_code)+COUNTA(fo_code)+COUNTA(p_services),INDEX(p_services,170-COUNTA(cl_code)-COUNTA(fo_code))&amp;"","")))</f>
        <v/>
      </c>
    </row>
    <row r="176">
      <c r="I176" t="str">
        <f>IF(171&lt;=COUNTA(cl_code),INDEX(cl_code,171)&amp;"",IF(171&lt;=COUNTA(cl_code)+COUNTA(fo_code),INDEX(fo_code,171-COUNTA(cl_code))&amp;"",IF(171&lt;=COUNTA(cl_code)+COUNTA(fo_code)+COUNTA(p_services),INDEX(p_services,171-COUNTA(cl_code)-COUNTA(fo_code))&amp;"","")))</f>
        <v/>
      </c>
    </row>
    <row r="177">
      <c r="I177" t="str">
        <f>IF(172&lt;=COUNTA(cl_code),INDEX(cl_code,172)&amp;"",IF(172&lt;=COUNTA(cl_code)+COUNTA(fo_code),INDEX(fo_code,172-COUNTA(cl_code))&amp;"",IF(172&lt;=COUNTA(cl_code)+COUNTA(fo_code)+COUNTA(p_services),INDEX(p_services,172-COUNTA(cl_code)-COUNTA(fo_code))&amp;"","")))</f>
        <v/>
      </c>
    </row>
    <row r="178">
      <c r="I178" t="str">
        <f>IF(173&lt;=COUNTA(cl_code),INDEX(cl_code,173)&amp;"",IF(173&lt;=COUNTA(cl_code)+COUNTA(fo_code),INDEX(fo_code,173-COUNTA(cl_code))&amp;"",IF(173&lt;=COUNTA(cl_code)+COUNTA(fo_code)+COUNTA(p_services),INDEX(p_services,173-COUNTA(cl_code)-COUNTA(fo_code))&amp;"","")))</f>
        <v/>
      </c>
    </row>
    <row r="179">
      <c r="I179" t="str">
        <f>IF(174&lt;=COUNTA(cl_code),INDEX(cl_code,174)&amp;"",IF(174&lt;=COUNTA(cl_code)+COUNTA(fo_code),INDEX(fo_code,174-COUNTA(cl_code))&amp;"",IF(174&lt;=COUNTA(cl_code)+COUNTA(fo_code)+COUNTA(p_services),INDEX(p_services,174-COUNTA(cl_code)-COUNTA(fo_code))&amp;"","")))</f>
        <v/>
      </c>
    </row>
    <row r="180">
      <c r="I180" t="str">
        <f>IF(175&lt;=COUNTA(cl_code),INDEX(cl_code,175)&amp;"",IF(175&lt;=COUNTA(cl_code)+COUNTA(fo_code),INDEX(fo_code,175-COUNTA(cl_code))&amp;"",IF(175&lt;=COUNTA(cl_code)+COUNTA(fo_code)+COUNTA(p_services),INDEX(p_services,175-COUNTA(cl_code)-COUNTA(fo_code))&amp;"","")))</f>
        <v/>
      </c>
    </row>
    <row r="181">
      <c r="I181" t="str">
        <f>IF(176&lt;=COUNTA(cl_code),INDEX(cl_code,176)&amp;"",IF(176&lt;=COUNTA(cl_code)+COUNTA(fo_code),INDEX(fo_code,176-COUNTA(cl_code))&amp;"",IF(176&lt;=COUNTA(cl_code)+COUNTA(fo_code)+COUNTA(p_services),INDEX(p_services,176-COUNTA(cl_code)-COUNTA(fo_code))&amp;"","")))</f>
        <v/>
      </c>
    </row>
    <row r="182">
      <c r="I182" t="str">
        <f>IF(177&lt;=COUNTA(cl_code),INDEX(cl_code,177)&amp;"",IF(177&lt;=COUNTA(cl_code)+COUNTA(fo_code),INDEX(fo_code,177-COUNTA(cl_code))&amp;"",IF(177&lt;=COUNTA(cl_code)+COUNTA(fo_code)+COUNTA(p_services),INDEX(p_services,177-COUNTA(cl_code)-COUNTA(fo_code))&amp;"","")))</f>
        <v/>
      </c>
    </row>
    <row r="183">
      <c r="I183" t="str">
        <f>IF(178&lt;=COUNTA(cl_code),INDEX(cl_code,178)&amp;"",IF(178&lt;=COUNTA(cl_code)+COUNTA(fo_code),INDEX(fo_code,178-COUNTA(cl_code))&amp;"",IF(178&lt;=COUNTA(cl_code)+COUNTA(fo_code)+COUNTA(p_services),INDEX(p_services,178-COUNTA(cl_code)-COUNTA(fo_code))&amp;"","")))</f>
        <v/>
      </c>
    </row>
    <row r="184">
      <c r="I184" t="str">
        <f>IF(179&lt;=COUNTA(cl_code),INDEX(cl_code,179)&amp;"",IF(179&lt;=COUNTA(cl_code)+COUNTA(fo_code),INDEX(fo_code,179-COUNTA(cl_code))&amp;"",IF(179&lt;=COUNTA(cl_code)+COUNTA(fo_code)+COUNTA(p_services),INDEX(p_services,179-COUNTA(cl_code)-COUNTA(fo_code))&amp;"","")))</f>
        <v/>
      </c>
    </row>
    <row r="185">
      <c r="I185" t="str">
        <f>IF(180&lt;=COUNTA(cl_code),INDEX(cl_code,180)&amp;"",IF(180&lt;=COUNTA(cl_code)+COUNTA(fo_code),INDEX(fo_code,180-COUNTA(cl_code))&amp;"",IF(180&lt;=COUNTA(cl_code)+COUNTA(fo_code)+COUNTA(p_services),INDEX(p_services,180-COUNTA(cl_code)-COUNTA(fo_code))&amp;"","")))</f>
        <v/>
      </c>
    </row>
    <row r="186">
      <c r="I186" t="str">
        <f>IF(181&lt;=COUNTA(cl_code),INDEX(cl_code,181)&amp;"",IF(181&lt;=COUNTA(cl_code)+COUNTA(fo_code),INDEX(fo_code,181-COUNTA(cl_code))&amp;"",IF(181&lt;=COUNTA(cl_code)+COUNTA(fo_code)+COUNTA(p_services),INDEX(p_services,181-COUNTA(cl_code)-COUNTA(fo_code))&amp;"","")))</f>
        <v/>
      </c>
    </row>
    <row r="187">
      <c r="I187" t="str">
        <f>IF(182&lt;=COUNTA(cl_code),INDEX(cl_code,182)&amp;"",IF(182&lt;=COUNTA(cl_code)+COUNTA(fo_code),INDEX(fo_code,182-COUNTA(cl_code))&amp;"",IF(182&lt;=COUNTA(cl_code)+COUNTA(fo_code)+COUNTA(p_services),INDEX(p_services,182-COUNTA(cl_code)-COUNTA(fo_code))&amp;"","")))</f>
        <v/>
      </c>
    </row>
    <row r="188">
      <c r="I188" t="str">
        <f>IF(183&lt;=COUNTA(cl_code),INDEX(cl_code,183)&amp;"",IF(183&lt;=COUNTA(cl_code)+COUNTA(fo_code),INDEX(fo_code,183-COUNTA(cl_code))&amp;"",IF(183&lt;=COUNTA(cl_code)+COUNTA(fo_code)+COUNTA(p_services),INDEX(p_services,183-COUNTA(cl_code)-COUNTA(fo_code))&amp;"","")))</f>
        <v/>
      </c>
    </row>
    <row r="189">
      <c r="I189" t="str">
        <f>IF(184&lt;=COUNTA(cl_code),INDEX(cl_code,184)&amp;"",IF(184&lt;=COUNTA(cl_code)+COUNTA(fo_code),INDEX(fo_code,184-COUNTA(cl_code))&amp;"",IF(184&lt;=COUNTA(cl_code)+COUNTA(fo_code)+COUNTA(p_services),INDEX(p_services,184-COUNTA(cl_code)-COUNTA(fo_code))&amp;"","")))</f>
        <v/>
      </c>
    </row>
    <row r="190">
      <c r="I190" t="str">
        <f>IF(185&lt;=COUNTA(cl_code),INDEX(cl_code,185)&amp;"",IF(185&lt;=COUNTA(cl_code)+COUNTA(fo_code),INDEX(fo_code,185-COUNTA(cl_code))&amp;"",IF(185&lt;=COUNTA(cl_code)+COUNTA(fo_code)+COUNTA(p_services),INDEX(p_services,185-COUNTA(cl_code)-COUNTA(fo_code))&amp;"","")))</f>
        <v/>
      </c>
    </row>
    <row r="191">
      <c r="I191" t="str">
        <f>IF(186&lt;=COUNTA(cl_code),INDEX(cl_code,186)&amp;"",IF(186&lt;=COUNTA(cl_code)+COUNTA(fo_code),INDEX(fo_code,186-COUNTA(cl_code))&amp;"",IF(186&lt;=COUNTA(cl_code)+COUNTA(fo_code)+COUNTA(p_services),INDEX(p_services,186-COUNTA(cl_code)-COUNTA(fo_code))&amp;"","")))</f>
        <v/>
      </c>
    </row>
    <row r="192">
      <c r="I192" t="str">
        <f>IF(187&lt;=COUNTA(cl_code),INDEX(cl_code,187)&amp;"",IF(187&lt;=COUNTA(cl_code)+COUNTA(fo_code),INDEX(fo_code,187-COUNTA(cl_code))&amp;"",IF(187&lt;=COUNTA(cl_code)+COUNTA(fo_code)+COUNTA(p_services),INDEX(p_services,187-COUNTA(cl_code)-COUNTA(fo_code))&amp;"","")))</f>
        <v/>
      </c>
    </row>
    <row r="193">
      <c r="I193" t="str">
        <f>IF(188&lt;=COUNTA(cl_code),INDEX(cl_code,188)&amp;"",IF(188&lt;=COUNTA(cl_code)+COUNTA(fo_code),INDEX(fo_code,188-COUNTA(cl_code))&amp;"",IF(188&lt;=COUNTA(cl_code)+COUNTA(fo_code)+COUNTA(p_services),INDEX(p_services,188-COUNTA(cl_code)-COUNTA(fo_code))&amp;"","")))</f>
        <v/>
      </c>
    </row>
    <row r="194">
      <c r="I194" t="str">
        <f>IF(189&lt;=COUNTA(cl_code),INDEX(cl_code,189)&amp;"",IF(189&lt;=COUNTA(cl_code)+COUNTA(fo_code),INDEX(fo_code,189-COUNTA(cl_code))&amp;"",IF(189&lt;=COUNTA(cl_code)+COUNTA(fo_code)+COUNTA(p_services),INDEX(p_services,189-COUNTA(cl_code)-COUNTA(fo_code))&amp;"","")))</f>
        <v/>
      </c>
    </row>
    <row r="195">
      <c r="I195" t="str">
        <f>IF(190&lt;=COUNTA(cl_code),INDEX(cl_code,190)&amp;"",IF(190&lt;=COUNTA(cl_code)+COUNTA(fo_code),INDEX(fo_code,190-COUNTA(cl_code))&amp;"",IF(190&lt;=COUNTA(cl_code)+COUNTA(fo_code)+COUNTA(p_services),INDEX(p_services,190-COUNTA(cl_code)-COUNTA(fo_code))&amp;"","")))</f>
        <v/>
      </c>
    </row>
    <row r="196">
      <c r="I196" t="str">
        <f>IF(191&lt;=COUNTA(cl_code),INDEX(cl_code,191)&amp;"",IF(191&lt;=COUNTA(cl_code)+COUNTA(fo_code),INDEX(fo_code,191-COUNTA(cl_code))&amp;"",IF(191&lt;=COUNTA(cl_code)+COUNTA(fo_code)+COUNTA(p_services),INDEX(p_services,191-COUNTA(cl_code)-COUNTA(fo_code))&amp;"","")))</f>
        <v/>
      </c>
    </row>
    <row r="197">
      <c r="I197" t="str">
        <f>IF(192&lt;=COUNTA(cl_code),INDEX(cl_code,192)&amp;"",IF(192&lt;=COUNTA(cl_code)+COUNTA(fo_code),INDEX(fo_code,192-COUNTA(cl_code))&amp;"",IF(192&lt;=COUNTA(cl_code)+COUNTA(fo_code)+COUNTA(p_services),INDEX(p_services,192-COUNTA(cl_code)-COUNTA(fo_code))&amp;"","")))</f>
        <v/>
      </c>
    </row>
    <row r="198">
      <c r="I198" t="str">
        <f>IF(193&lt;=COUNTA(cl_code),INDEX(cl_code,193)&amp;"",IF(193&lt;=COUNTA(cl_code)+COUNTA(fo_code),INDEX(fo_code,193-COUNTA(cl_code))&amp;"",IF(193&lt;=COUNTA(cl_code)+COUNTA(fo_code)+COUNTA(p_services),INDEX(p_services,193-COUNTA(cl_code)-COUNTA(fo_code))&amp;"","")))</f>
        <v/>
      </c>
    </row>
    <row r="199">
      <c r="I199" t="str">
        <f>IF(194&lt;=COUNTA(cl_code),INDEX(cl_code,194)&amp;"",IF(194&lt;=COUNTA(cl_code)+COUNTA(fo_code),INDEX(fo_code,194-COUNTA(cl_code))&amp;"",IF(194&lt;=COUNTA(cl_code)+COUNTA(fo_code)+COUNTA(p_services),INDEX(p_services,194-COUNTA(cl_code)-COUNTA(fo_code))&amp;"","")))</f>
        <v/>
      </c>
    </row>
    <row r="200">
      <c r="I200" t="str">
        <f>IF(195&lt;=COUNTA(cl_code),INDEX(cl_code,195)&amp;"",IF(195&lt;=COUNTA(cl_code)+COUNTA(fo_code),INDEX(fo_code,195-COUNTA(cl_code))&amp;"",IF(195&lt;=COUNTA(cl_code)+COUNTA(fo_code)+COUNTA(p_services),INDEX(p_services,195-COUNTA(cl_code)-COUNTA(fo_code))&amp;"","")))</f>
        <v/>
      </c>
    </row>
    <row r="201">
      <c r="I201" t="str">
        <f>IF(196&lt;=COUNTA(cl_code),INDEX(cl_code,196)&amp;"",IF(196&lt;=COUNTA(cl_code)+COUNTA(fo_code),INDEX(fo_code,196-COUNTA(cl_code))&amp;"",IF(196&lt;=COUNTA(cl_code)+COUNTA(fo_code)+COUNTA(p_services),INDEX(p_services,196-COUNTA(cl_code)-COUNTA(fo_code))&amp;"","")))</f>
        <v/>
      </c>
    </row>
    <row r="202">
      <c r="I202" t="str">
        <f>IF(197&lt;=COUNTA(cl_code),INDEX(cl_code,197)&amp;"",IF(197&lt;=COUNTA(cl_code)+COUNTA(fo_code),INDEX(fo_code,197-COUNTA(cl_code))&amp;"",IF(197&lt;=COUNTA(cl_code)+COUNTA(fo_code)+COUNTA(p_services),INDEX(p_services,197-COUNTA(cl_code)-COUNTA(fo_code))&amp;"","")))</f>
        <v/>
      </c>
    </row>
    <row r="203">
      <c r="I203" t="str">
        <f>IF(198&lt;=COUNTA(cl_code),INDEX(cl_code,198)&amp;"",IF(198&lt;=COUNTA(cl_code)+COUNTA(fo_code),INDEX(fo_code,198-COUNTA(cl_code))&amp;"",IF(198&lt;=COUNTA(cl_code)+COUNTA(fo_code)+COUNTA(p_services),INDEX(p_services,198-COUNTA(cl_code)-COUNTA(fo_code))&amp;"","")))</f>
        <v/>
      </c>
    </row>
    <row r="204">
      <c r="I204" t="str">
        <f>IF(199&lt;=COUNTA(cl_code),INDEX(cl_code,199)&amp;"",IF(199&lt;=COUNTA(cl_code)+COUNTA(fo_code),INDEX(fo_code,199-COUNTA(cl_code))&amp;"",IF(199&lt;=COUNTA(cl_code)+COUNTA(fo_code)+COUNTA(p_services),INDEX(p_services,199-COUNTA(cl_code)-COUNTA(fo_code))&amp;"","")))</f>
        <v/>
      </c>
    </row>
    <row r="205">
      <c r="I205" t="str">
        <f>IF(200&lt;=COUNTA(cl_code),INDEX(cl_code,200)&amp;"",IF(200&lt;=COUNTA(cl_code)+COUNTA(fo_code),INDEX(fo_code,200-COUNTA(cl_code))&amp;"",IF(200&lt;=COUNTA(cl_code)+COUNTA(fo_code)+COUNTA(p_services),INDEX(p_services,200-COUNTA(cl_code)-COUNTA(fo_code))&amp;"","")))</f>
        <v/>
      </c>
    </row>
    <row r="206">
      <c r="I206" t="str">
        <f>IF(201&lt;=COUNTA(cl_code),INDEX(cl_code,201)&amp;"",IF(201&lt;=COUNTA(cl_code)+COUNTA(fo_code),INDEX(fo_code,201-COUNTA(cl_code))&amp;"",IF(201&lt;=COUNTA(cl_code)+COUNTA(fo_code)+COUNTA(p_services),INDEX(p_services,201-COUNTA(cl_code)-COUNTA(fo_code))&amp;"","")))</f>
        <v/>
      </c>
    </row>
    <row r="207">
      <c r="I207" t="str">
        <f>IF(202&lt;=COUNTA(cl_code),INDEX(cl_code,202)&amp;"",IF(202&lt;=COUNTA(cl_code)+COUNTA(fo_code),INDEX(fo_code,202-COUNTA(cl_code))&amp;"",IF(202&lt;=COUNTA(cl_code)+COUNTA(fo_code)+COUNTA(p_services),INDEX(p_services,202-COUNTA(cl_code)-COUNTA(fo_code))&amp;"","")))</f>
        <v/>
      </c>
    </row>
    <row r="208">
      <c r="I208" t="str">
        <f>IF(203&lt;=COUNTA(cl_code),INDEX(cl_code,203)&amp;"",IF(203&lt;=COUNTA(cl_code)+COUNTA(fo_code),INDEX(fo_code,203-COUNTA(cl_code))&amp;"",IF(203&lt;=COUNTA(cl_code)+COUNTA(fo_code)+COUNTA(p_services),INDEX(p_services,203-COUNTA(cl_code)-COUNTA(fo_code))&amp;"","")))</f>
        <v/>
      </c>
    </row>
    <row r="209">
      <c r="I209" t="str">
        <f>IF(204&lt;=COUNTA(cl_code),INDEX(cl_code,204)&amp;"",IF(204&lt;=COUNTA(cl_code)+COUNTA(fo_code),INDEX(fo_code,204-COUNTA(cl_code))&amp;"",IF(204&lt;=COUNTA(cl_code)+COUNTA(fo_code)+COUNTA(p_services),INDEX(p_services,204-COUNTA(cl_code)-COUNTA(fo_code))&amp;"","")))</f>
        <v/>
      </c>
    </row>
    <row r="210">
      <c r="I210" t="str">
        <f>IF(205&lt;=COUNTA(cl_code),INDEX(cl_code,205)&amp;"",IF(205&lt;=COUNTA(cl_code)+COUNTA(fo_code),INDEX(fo_code,205-COUNTA(cl_code))&amp;"",IF(205&lt;=COUNTA(cl_code)+COUNTA(fo_code)+COUNTA(p_services),INDEX(p_services,205-COUNTA(cl_code)-COUNTA(fo_code))&amp;"","")))</f>
        <v/>
      </c>
    </row>
    <row r="211">
      <c r="I211" t="str">
        <f>IF(206&lt;=COUNTA(cl_code),INDEX(cl_code,206)&amp;"",IF(206&lt;=COUNTA(cl_code)+COUNTA(fo_code),INDEX(fo_code,206-COUNTA(cl_code))&amp;"",IF(206&lt;=COUNTA(cl_code)+COUNTA(fo_code)+COUNTA(p_services),INDEX(p_services,206-COUNTA(cl_code)-COUNTA(fo_code))&amp;"","")))</f>
        <v/>
      </c>
    </row>
    <row r="212">
      <c r="I212" t="str">
        <f>IF(207&lt;=COUNTA(cl_code),INDEX(cl_code,207)&amp;"",IF(207&lt;=COUNTA(cl_code)+COUNTA(fo_code),INDEX(fo_code,207-COUNTA(cl_code))&amp;"",IF(207&lt;=COUNTA(cl_code)+COUNTA(fo_code)+COUNTA(p_services),INDEX(p_services,207-COUNTA(cl_code)-COUNTA(fo_code))&amp;"","")))</f>
        <v/>
      </c>
    </row>
    <row r="213">
      <c r="I213" t="str">
        <f>IF(208&lt;=COUNTA(cl_code),INDEX(cl_code,208)&amp;"",IF(208&lt;=COUNTA(cl_code)+COUNTA(fo_code),INDEX(fo_code,208-COUNTA(cl_code))&amp;"",IF(208&lt;=COUNTA(cl_code)+COUNTA(fo_code)+COUNTA(p_services),INDEX(p_services,208-COUNTA(cl_code)-COUNTA(fo_code))&amp;"","")))</f>
        <v/>
      </c>
    </row>
    <row r="214">
      <c r="I214" t="str">
        <f>IF(209&lt;=COUNTA(cl_code),INDEX(cl_code,209)&amp;"",IF(209&lt;=COUNTA(cl_code)+COUNTA(fo_code),INDEX(fo_code,209-COUNTA(cl_code))&amp;"",IF(209&lt;=COUNTA(cl_code)+COUNTA(fo_code)+COUNTA(p_services),INDEX(p_services,209-COUNTA(cl_code)-COUNTA(fo_code))&amp;"","")))</f>
        <v/>
      </c>
    </row>
    <row r="215">
      <c r="I215" t="str">
        <f>IF(210&lt;=COUNTA(cl_code),INDEX(cl_code,210)&amp;"",IF(210&lt;=COUNTA(cl_code)+COUNTA(fo_code),INDEX(fo_code,210-COUNTA(cl_code))&amp;"",IF(210&lt;=COUNTA(cl_code)+COUNTA(fo_code)+COUNTA(p_services),INDEX(p_services,210-COUNTA(cl_code)-COUNTA(fo_code))&amp;"","")))</f>
        <v/>
      </c>
    </row>
    <row r="216">
      <c r="I216" t="str">
        <f>IF(211&lt;=COUNTA(cl_code),INDEX(cl_code,211)&amp;"",IF(211&lt;=COUNTA(cl_code)+COUNTA(fo_code),INDEX(fo_code,211-COUNTA(cl_code))&amp;"",IF(211&lt;=COUNTA(cl_code)+COUNTA(fo_code)+COUNTA(p_services),INDEX(p_services,211-COUNTA(cl_code)-COUNTA(fo_code))&amp;"","")))</f>
        <v/>
      </c>
    </row>
    <row r="217">
      <c r="I217" t="str">
        <f>IF(212&lt;=COUNTA(cl_code),INDEX(cl_code,212)&amp;"",IF(212&lt;=COUNTA(cl_code)+COUNTA(fo_code),INDEX(fo_code,212-COUNTA(cl_code))&amp;"",IF(212&lt;=COUNTA(cl_code)+COUNTA(fo_code)+COUNTA(p_services),INDEX(p_services,212-COUNTA(cl_code)-COUNTA(fo_code))&amp;"","")))</f>
        <v/>
      </c>
    </row>
    <row r="218">
      <c r="I218" t="str">
        <f>IF(213&lt;=COUNTA(cl_code),INDEX(cl_code,213)&amp;"",IF(213&lt;=COUNTA(cl_code)+COUNTA(fo_code),INDEX(fo_code,213-COUNTA(cl_code))&amp;"",IF(213&lt;=COUNTA(cl_code)+COUNTA(fo_code)+COUNTA(p_services),INDEX(p_services,213-COUNTA(cl_code)-COUNTA(fo_code))&amp;"","")))</f>
        <v/>
      </c>
    </row>
    <row r="219">
      <c r="I219" t="str">
        <f>IF(214&lt;=COUNTA(cl_code),INDEX(cl_code,214)&amp;"",IF(214&lt;=COUNTA(cl_code)+COUNTA(fo_code),INDEX(fo_code,214-COUNTA(cl_code))&amp;"",IF(214&lt;=COUNTA(cl_code)+COUNTA(fo_code)+COUNTA(p_services),INDEX(p_services,214-COUNTA(cl_code)-COUNTA(fo_code))&amp;"","")))</f>
        <v/>
      </c>
    </row>
    <row r="220">
      <c r="I220" t="str">
        <f>IF(215&lt;=COUNTA(cl_code),INDEX(cl_code,215)&amp;"",IF(215&lt;=COUNTA(cl_code)+COUNTA(fo_code),INDEX(fo_code,215-COUNTA(cl_code))&amp;"",IF(215&lt;=COUNTA(cl_code)+COUNTA(fo_code)+COUNTA(p_services),INDEX(p_services,215-COUNTA(cl_code)-COUNTA(fo_code))&amp;"","")))</f>
        <v/>
      </c>
    </row>
    <row r="221">
      <c r="I221" t="str">
        <f>IF(216&lt;=COUNTA(cl_code),INDEX(cl_code,216)&amp;"",IF(216&lt;=COUNTA(cl_code)+COUNTA(fo_code),INDEX(fo_code,216-COUNTA(cl_code))&amp;"",IF(216&lt;=COUNTA(cl_code)+COUNTA(fo_code)+COUNTA(p_services),INDEX(p_services,216-COUNTA(cl_code)-COUNTA(fo_code))&amp;"","")))</f>
        <v/>
      </c>
    </row>
    <row r="222">
      <c r="I222" t="str">
        <f>IF(217&lt;=COUNTA(cl_code),INDEX(cl_code,217)&amp;"",IF(217&lt;=COUNTA(cl_code)+COUNTA(fo_code),INDEX(fo_code,217-COUNTA(cl_code))&amp;"",IF(217&lt;=COUNTA(cl_code)+COUNTA(fo_code)+COUNTA(p_services),INDEX(p_services,217-COUNTA(cl_code)-COUNTA(fo_code))&amp;"","")))</f>
        <v/>
      </c>
    </row>
    <row r="223">
      <c r="I223" t="str">
        <f>IF(218&lt;=COUNTA(cl_code),INDEX(cl_code,218)&amp;"",IF(218&lt;=COUNTA(cl_code)+COUNTA(fo_code),INDEX(fo_code,218-COUNTA(cl_code))&amp;"",IF(218&lt;=COUNTA(cl_code)+COUNTA(fo_code)+COUNTA(p_services),INDEX(p_services,218-COUNTA(cl_code)-COUNTA(fo_code))&amp;"","")))</f>
        <v/>
      </c>
    </row>
    <row r="224">
      <c r="I224" t="str">
        <f>IF(219&lt;=COUNTA(cl_code),INDEX(cl_code,219)&amp;"",IF(219&lt;=COUNTA(cl_code)+COUNTA(fo_code),INDEX(fo_code,219-COUNTA(cl_code))&amp;"",IF(219&lt;=COUNTA(cl_code)+COUNTA(fo_code)+COUNTA(p_services),INDEX(p_services,219-COUNTA(cl_code)-COUNTA(fo_code))&amp;"","")))</f>
        <v/>
      </c>
    </row>
    <row r="225">
      <c r="I225" t="str">
        <f>IF(220&lt;=COUNTA(cl_code),INDEX(cl_code,220)&amp;"",IF(220&lt;=COUNTA(cl_code)+COUNTA(fo_code),INDEX(fo_code,220-COUNTA(cl_code))&amp;"",IF(220&lt;=COUNTA(cl_code)+COUNTA(fo_code)+COUNTA(p_services),INDEX(p_services,220-COUNTA(cl_code)-COUNTA(fo_code))&amp;"","")))</f>
        <v/>
      </c>
    </row>
    <row r="226">
      <c r="I226" t="str">
        <f>IF(221&lt;=COUNTA(cl_code),INDEX(cl_code,221)&amp;"",IF(221&lt;=COUNTA(cl_code)+COUNTA(fo_code),INDEX(fo_code,221-COUNTA(cl_code))&amp;"",IF(221&lt;=COUNTA(cl_code)+COUNTA(fo_code)+COUNTA(p_services),INDEX(p_services,221-COUNTA(cl_code)-COUNTA(fo_code))&amp;"","")))</f>
        <v/>
      </c>
    </row>
    <row r="227">
      <c r="I227" t="str">
        <f>IF(222&lt;=COUNTA(cl_code),INDEX(cl_code,222)&amp;"",IF(222&lt;=COUNTA(cl_code)+COUNTA(fo_code),INDEX(fo_code,222-COUNTA(cl_code))&amp;"",IF(222&lt;=COUNTA(cl_code)+COUNTA(fo_code)+COUNTA(p_services),INDEX(p_services,222-COUNTA(cl_code)-COUNTA(fo_code))&amp;"","")))</f>
        <v/>
      </c>
    </row>
    <row r="228">
      <c r="I228" t="str">
        <f>IF(223&lt;=COUNTA(cl_code),INDEX(cl_code,223)&amp;"",IF(223&lt;=COUNTA(cl_code)+COUNTA(fo_code),INDEX(fo_code,223-COUNTA(cl_code))&amp;"",IF(223&lt;=COUNTA(cl_code)+COUNTA(fo_code)+COUNTA(p_services),INDEX(p_services,223-COUNTA(cl_code)-COUNTA(fo_code))&amp;"","")))</f>
        <v/>
      </c>
    </row>
    <row r="229">
      <c r="I229" t="str">
        <f>IF(224&lt;=COUNTA(cl_code),INDEX(cl_code,224)&amp;"",IF(224&lt;=COUNTA(cl_code)+COUNTA(fo_code),INDEX(fo_code,224-COUNTA(cl_code))&amp;"",IF(224&lt;=COUNTA(cl_code)+COUNTA(fo_code)+COUNTA(p_services),INDEX(p_services,224-COUNTA(cl_code)-COUNTA(fo_code))&amp;"","")))</f>
        <v/>
      </c>
    </row>
    <row r="230">
      <c r="I230" t="str">
        <f>IF(225&lt;=COUNTA(cl_code),INDEX(cl_code,225)&amp;"",IF(225&lt;=COUNTA(cl_code)+COUNTA(fo_code),INDEX(fo_code,225-COUNTA(cl_code))&amp;"",IF(225&lt;=COUNTA(cl_code)+COUNTA(fo_code)+COUNTA(p_services),INDEX(p_services,225-COUNTA(cl_code)-COUNTA(fo_code))&amp;"","")))</f>
        <v/>
      </c>
    </row>
    <row r="231">
      <c r="I231" t="str">
        <f>IF(226&lt;=COUNTA(cl_code),INDEX(cl_code,226)&amp;"",IF(226&lt;=COUNTA(cl_code)+COUNTA(fo_code),INDEX(fo_code,226-COUNTA(cl_code))&amp;"",IF(226&lt;=COUNTA(cl_code)+COUNTA(fo_code)+COUNTA(p_services),INDEX(p_services,226-COUNTA(cl_code)-COUNTA(fo_code))&amp;"","")))</f>
        <v/>
      </c>
    </row>
    <row r="232">
      <c r="I232" t="str">
        <f>IF(227&lt;=COUNTA(cl_code),INDEX(cl_code,227)&amp;"",IF(227&lt;=COUNTA(cl_code)+COUNTA(fo_code),INDEX(fo_code,227-COUNTA(cl_code))&amp;"",IF(227&lt;=COUNTA(cl_code)+COUNTA(fo_code)+COUNTA(p_services),INDEX(p_services,227-COUNTA(cl_code)-COUNTA(fo_code))&amp;"","")))</f>
        <v/>
      </c>
    </row>
    <row r="233">
      <c r="I233" t="str">
        <f>IF(228&lt;=COUNTA(cl_code),INDEX(cl_code,228)&amp;"",IF(228&lt;=COUNTA(cl_code)+COUNTA(fo_code),INDEX(fo_code,228-COUNTA(cl_code))&amp;"",IF(228&lt;=COUNTA(cl_code)+COUNTA(fo_code)+COUNTA(p_services),INDEX(p_services,228-COUNTA(cl_code)-COUNTA(fo_code))&amp;"","")))</f>
        <v/>
      </c>
    </row>
    <row r="234">
      <c r="I234" t="str">
        <f>IF(229&lt;=COUNTA(cl_code),INDEX(cl_code,229)&amp;"",IF(229&lt;=COUNTA(cl_code)+COUNTA(fo_code),INDEX(fo_code,229-COUNTA(cl_code))&amp;"",IF(229&lt;=COUNTA(cl_code)+COUNTA(fo_code)+COUNTA(p_services),INDEX(p_services,229-COUNTA(cl_code)-COUNTA(fo_code))&amp;"","")))</f>
        <v/>
      </c>
    </row>
    <row r="235">
      <c r="I235" t="str">
        <f>IF(230&lt;=COUNTA(cl_code),INDEX(cl_code,230)&amp;"",IF(230&lt;=COUNTA(cl_code)+COUNTA(fo_code),INDEX(fo_code,230-COUNTA(cl_code))&amp;"",IF(230&lt;=COUNTA(cl_code)+COUNTA(fo_code)+COUNTA(p_services),INDEX(p_services,230-COUNTA(cl_code)-COUNTA(fo_code))&amp;"","")))</f>
        <v/>
      </c>
    </row>
    <row r="236">
      <c r="I236" t="str">
        <f>IF(231&lt;=COUNTA(cl_code),INDEX(cl_code,231)&amp;"",IF(231&lt;=COUNTA(cl_code)+COUNTA(fo_code),INDEX(fo_code,231-COUNTA(cl_code))&amp;"",IF(231&lt;=COUNTA(cl_code)+COUNTA(fo_code)+COUNTA(p_services),INDEX(p_services,231-COUNTA(cl_code)-COUNTA(fo_code))&amp;"","")))</f>
        <v/>
      </c>
    </row>
    <row r="237">
      <c r="I237" t="str">
        <f>IF(232&lt;=COUNTA(cl_code),INDEX(cl_code,232)&amp;"",IF(232&lt;=COUNTA(cl_code)+COUNTA(fo_code),INDEX(fo_code,232-COUNTA(cl_code))&amp;"",IF(232&lt;=COUNTA(cl_code)+COUNTA(fo_code)+COUNTA(p_services),INDEX(p_services,232-COUNTA(cl_code)-COUNTA(fo_code))&amp;"","")))</f>
        <v/>
      </c>
    </row>
    <row r="238">
      <c r="I238" t="str">
        <f>IF(233&lt;=COUNTA(cl_code),INDEX(cl_code,233)&amp;"",IF(233&lt;=COUNTA(cl_code)+COUNTA(fo_code),INDEX(fo_code,233-COUNTA(cl_code))&amp;"",IF(233&lt;=COUNTA(cl_code)+COUNTA(fo_code)+COUNTA(p_services),INDEX(p_services,233-COUNTA(cl_code)-COUNTA(fo_code))&amp;"","")))</f>
        <v/>
      </c>
    </row>
    <row r="239">
      <c r="I239" t="str">
        <f>IF(234&lt;=COUNTA(cl_code),INDEX(cl_code,234)&amp;"",IF(234&lt;=COUNTA(cl_code)+COUNTA(fo_code),INDEX(fo_code,234-COUNTA(cl_code))&amp;"",IF(234&lt;=COUNTA(cl_code)+COUNTA(fo_code)+COUNTA(p_services),INDEX(p_services,234-COUNTA(cl_code)-COUNTA(fo_code))&amp;"","")))</f>
        <v/>
      </c>
    </row>
    <row r="240">
      <c r="I240" t="str">
        <f>IF(235&lt;=COUNTA(cl_code),INDEX(cl_code,235)&amp;"",IF(235&lt;=COUNTA(cl_code)+COUNTA(fo_code),INDEX(fo_code,235-COUNTA(cl_code))&amp;"",IF(235&lt;=COUNTA(cl_code)+COUNTA(fo_code)+COUNTA(p_services),INDEX(p_services,235-COUNTA(cl_code)-COUNTA(fo_code))&amp;"","")))</f>
        <v/>
      </c>
    </row>
    <row r="241">
      <c r="I241" t="str">
        <f>IF(236&lt;=COUNTA(cl_code),INDEX(cl_code,236)&amp;"",IF(236&lt;=COUNTA(cl_code)+COUNTA(fo_code),INDEX(fo_code,236-COUNTA(cl_code))&amp;"",IF(236&lt;=COUNTA(cl_code)+COUNTA(fo_code)+COUNTA(p_services),INDEX(p_services,236-COUNTA(cl_code)-COUNTA(fo_code))&amp;"","")))</f>
        <v/>
      </c>
    </row>
    <row r="242">
      <c r="I242" t="str">
        <f>IF(237&lt;=COUNTA(cl_code),INDEX(cl_code,237)&amp;"",IF(237&lt;=COUNTA(cl_code)+COUNTA(fo_code),INDEX(fo_code,237-COUNTA(cl_code))&amp;"",IF(237&lt;=COUNTA(cl_code)+COUNTA(fo_code)+COUNTA(p_services),INDEX(p_services,237-COUNTA(cl_code)-COUNTA(fo_code))&amp;"","")))</f>
        <v/>
      </c>
    </row>
    <row r="243">
      <c r="I243" t="str">
        <f>IF(238&lt;=COUNTA(cl_code),INDEX(cl_code,238)&amp;"",IF(238&lt;=COUNTA(cl_code)+COUNTA(fo_code),INDEX(fo_code,238-COUNTA(cl_code))&amp;"",IF(238&lt;=COUNTA(cl_code)+COUNTA(fo_code)+COUNTA(p_services),INDEX(p_services,238-COUNTA(cl_code)-COUNTA(fo_code))&amp;"","")))</f>
        <v/>
      </c>
    </row>
    <row r="244">
      <c r="I244" t="str">
        <f>IF(239&lt;=COUNTA(cl_code),INDEX(cl_code,239)&amp;"",IF(239&lt;=COUNTA(cl_code)+COUNTA(fo_code),INDEX(fo_code,239-COUNTA(cl_code))&amp;"",IF(239&lt;=COUNTA(cl_code)+COUNTA(fo_code)+COUNTA(p_services),INDEX(p_services,239-COUNTA(cl_code)-COUNTA(fo_code))&amp;"","")))</f>
        <v/>
      </c>
    </row>
    <row r="245">
      <c r="I245" t="str">
        <f>IF(240&lt;=COUNTA(cl_code),INDEX(cl_code,240)&amp;"",IF(240&lt;=COUNTA(cl_code)+COUNTA(fo_code),INDEX(fo_code,240-COUNTA(cl_code))&amp;"",IF(240&lt;=COUNTA(cl_code)+COUNTA(fo_code)+COUNTA(p_services),INDEX(p_services,240-COUNTA(cl_code)-COUNTA(fo_code))&amp;"","")))</f>
        <v/>
      </c>
    </row>
    <row r="246">
      <c r="I246" t="str">
        <f>IF(241&lt;=COUNTA(cl_code),INDEX(cl_code,241)&amp;"",IF(241&lt;=COUNTA(cl_code)+COUNTA(fo_code),INDEX(fo_code,241-COUNTA(cl_code))&amp;"",IF(241&lt;=COUNTA(cl_code)+COUNTA(fo_code)+COUNTA(p_services),INDEX(p_services,241-COUNTA(cl_code)-COUNTA(fo_code))&amp;"","")))</f>
        <v/>
      </c>
    </row>
    <row r="247">
      <c r="I247" t="str">
        <f>IF(242&lt;=COUNTA(cl_code),INDEX(cl_code,242)&amp;"",IF(242&lt;=COUNTA(cl_code)+COUNTA(fo_code),INDEX(fo_code,242-COUNTA(cl_code))&amp;"",IF(242&lt;=COUNTA(cl_code)+COUNTA(fo_code)+COUNTA(p_services),INDEX(p_services,242-COUNTA(cl_code)-COUNTA(fo_code))&amp;"","")))</f>
        <v/>
      </c>
    </row>
    <row r="248">
      <c r="I248" t="str">
        <f>IF(243&lt;=COUNTA(cl_code),INDEX(cl_code,243)&amp;"",IF(243&lt;=COUNTA(cl_code)+COUNTA(fo_code),INDEX(fo_code,243-COUNTA(cl_code))&amp;"",IF(243&lt;=COUNTA(cl_code)+COUNTA(fo_code)+COUNTA(p_services),INDEX(p_services,243-COUNTA(cl_code)-COUNTA(fo_code))&amp;"","")))</f>
        <v/>
      </c>
    </row>
    <row r="249">
      <c r="I249" t="str">
        <f>IF(244&lt;=COUNTA(cl_code),INDEX(cl_code,244)&amp;"",IF(244&lt;=COUNTA(cl_code)+COUNTA(fo_code),INDEX(fo_code,244-COUNTA(cl_code))&amp;"",IF(244&lt;=COUNTA(cl_code)+COUNTA(fo_code)+COUNTA(p_services),INDEX(p_services,244-COUNTA(cl_code)-COUNTA(fo_code))&amp;"","")))</f>
        <v/>
      </c>
    </row>
    <row r="250">
      <c r="I250" t="str">
        <f>IF(245&lt;=COUNTA(cl_code),INDEX(cl_code,245)&amp;"",IF(245&lt;=COUNTA(cl_code)+COUNTA(fo_code),INDEX(fo_code,245-COUNTA(cl_code))&amp;"",IF(245&lt;=COUNTA(cl_code)+COUNTA(fo_code)+COUNTA(p_services),INDEX(p_services,245-COUNTA(cl_code)-COUNTA(fo_code))&amp;"","")))</f>
        <v/>
      </c>
    </row>
    <row r="251">
      <c r="I251" t="str">
        <f>IF(246&lt;=COUNTA(cl_code),INDEX(cl_code,246)&amp;"",IF(246&lt;=COUNTA(cl_code)+COUNTA(fo_code),INDEX(fo_code,246-COUNTA(cl_code))&amp;"",IF(246&lt;=COUNTA(cl_code)+COUNTA(fo_code)+COUNTA(p_services),INDEX(p_services,246-COUNTA(cl_code)-COUNTA(fo_code))&amp;"","")))</f>
        <v/>
      </c>
    </row>
    <row r="252">
      <c r="I252" t="str">
        <f>IF(247&lt;=COUNTA(cl_code),INDEX(cl_code,247)&amp;"",IF(247&lt;=COUNTA(cl_code)+COUNTA(fo_code),INDEX(fo_code,247-COUNTA(cl_code))&amp;"",IF(247&lt;=COUNTA(cl_code)+COUNTA(fo_code)+COUNTA(p_services),INDEX(p_services,247-COUNTA(cl_code)-COUNTA(fo_code))&amp;"","")))</f>
        <v/>
      </c>
    </row>
    <row r="253">
      <c r="I253" t="str">
        <f>IF(248&lt;=COUNTA(cl_code),INDEX(cl_code,248)&amp;"",IF(248&lt;=COUNTA(cl_code)+COUNTA(fo_code),INDEX(fo_code,248-COUNTA(cl_code))&amp;"",IF(248&lt;=COUNTA(cl_code)+COUNTA(fo_code)+COUNTA(p_services),INDEX(p_services,248-COUNTA(cl_code)-COUNTA(fo_code))&amp;"","")))</f>
        <v/>
      </c>
    </row>
    <row r="254">
      <c r="I254" t="str">
        <f>IF(249&lt;=COUNTA(cl_code),INDEX(cl_code,249)&amp;"",IF(249&lt;=COUNTA(cl_code)+COUNTA(fo_code),INDEX(fo_code,249-COUNTA(cl_code))&amp;"",IF(249&lt;=COUNTA(cl_code)+COUNTA(fo_code)+COUNTA(p_services),INDEX(p_services,249-COUNTA(cl_code)-COUNTA(fo_code))&amp;"","")))</f>
        <v/>
      </c>
    </row>
    <row r="255">
      <c r="I255" t="str">
        <f>IF(250&lt;=COUNTA(cl_code),INDEX(cl_code,250)&amp;"",IF(250&lt;=COUNTA(cl_code)+COUNTA(fo_code),INDEX(fo_code,250-COUNTA(cl_code))&amp;"",IF(250&lt;=COUNTA(cl_code)+COUNTA(fo_code)+COUNTA(p_services),INDEX(p_services,250-COUNTA(cl_code)-COUNTA(fo_code))&amp;"","")))</f>
        <v/>
      </c>
    </row>
    <row r="256">
      <c r="I256" t="str">
        <f>IF(251&lt;=COUNTA(cl_code),INDEX(cl_code,251)&amp;"",IF(251&lt;=COUNTA(cl_code)+COUNTA(fo_code),INDEX(fo_code,251-COUNTA(cl_code))&amp;"",IF(251&lt;=COUNTA(cl_code)+COUNTA(fo_code)+COUNTA(p_services),INDEX(p_services,251-COUNTA(cl_code)-COUNTA(fo_code))&amp;"","")))</f>
        <v/>
      </c>
    </row>
    <row r="257">
      <c r="I257" t="str">
        <f>IF(252&lt;=COUNTA(cl_code),INDEX(cl_code,252)&amp;"",IF(252&lt;=COUNTA(cl_code)+COUNTA(fo_code),INDEX(fo_code,252-COUNTA(cl_code))&amp;"",IF(252&lt;=COUNTA(cl_code)+COUNTA(fo_code)+COUNTA(p_services),INDEX(p_services,252-COUNTA(cl_code)-COUNTA(fo_code))&amp;"","")))</f>
        <v/>
      </c>
    </row>
    <row r="258">
      <c r="I258" t="str">
        <f>IF(253&lt;=COUNTA(cl_code),INDEX(cl_code,253)&amp;"",IF(253&lt;=COUNTA(cl_code)+COUNTA(fo_code),INDEX(fo_code,253-COUNTA(cl_code))&amp;"",IF(253&lt;=COUNTA(cl_code)+COUNTA(fo_code)+COUNTA(p_services),INDEX(p_services,253-COUNTA(cl_code)-COUNTA(fo_code))&amp;"","")))</f>
        <v/>
      </c>
    </row>
    <row r="259">
      <c r="I259" t="str">
        <f>IF(254&lt;=COUNTA(cl_code),INDEX(cl_code,254)&amp;"",IF(254&lt;=COUNTA(cl_code)+COUNTA(fo_code),INDEX(fo_code,254-COUNTA(cl_code))&amp;"",IF(254&lt;=COUNTA(cl_code)+COUNTA(fo_code)+COUNTA(p_services),INDEX(p_services,254-COUNTA(cl_code)-COUNTA(fo_code))&amp;"","")))</f>
        <v/>
      </c>
    </row>
    <row r="260">
      <c r="I260" t="str">
        <f>IF(255&lt;=COUNTA(cl_code),INDEX(cl_code,255)&amp;"",IF(255&lt;=COUNTA(cl_code)+COUNTA(fo_code),INDEX(fo_code,255-COUNTA(cl_code))&amp;"",IF(255&lt;=COUNTA(cl_code)+COUNTA(fo_code)+COUNTA(p_services),INDEX(p_services,255-COUNTA(cl_code)-COUNTA(fo_code))&amp;"","")))</f>
        <v/>
      </c>
    </row>
    <row r="261">
      <c r="I261" t="str">
        <f>IF(256&lt;=COUNTA(cl_code),INDEX(cl_code,256)&amp;"",IF(256&lt;=COUNTA(cl_code)+COUNTA(fo_code),INDEX(fo_code,256-COUNTA(cl_code))&amp;"",IF(256&lt;=COUNTA(cl_code)+COUNTA(fo_code)+COUNTA(p_services),INDEX(p_services,256-COUNTA(cl_code)-COUNTA(fo_code))&amp;"","")))</f>
        <v/>
      </c>
    </row>
    <row r="262">
      <c r="I262" t="str">
        <f>IF(257&lt;=COUNTA(cl_code),INDEX(cl_code,257)&amp;"",IF(257&lt;=COUNTA(cl_code)+COUNTA(fo_code),INDEX(fo_code,257-COUNTA(cl_code))&amp;"",IF(257&lt;=COUNTA(cl_code)+COUNTA(fo_code)+COUNTA(p_services),INDEX(p_services,257-COUNTA(cl_code)-COUNTA(fo_code))&amp;"","")))</f>
        <v/>
      </c>
    </row>
    <row r="263">
      <c r="I263" t="str">
        <f>IF(258&lt;=COUNTA(cl_code),INDEX(cl_code,258)&amp;"",IF(258&lt;=COUNTA(cl_code)+COUNTA(fo_code),INDEX(fo_code,258-COUNTA(cl_code))&amp;"",IF(258&lt;=COUNTA(cl_code)+COUNTA(fo_code)+COUNTA(p_services),INDEX(p_services,258-COUNTA(cl_code)-COUNTA(fo_code))&amp;"","")))</f>
        <v/>
      </c>
    </row>
    <row r="264">
      <c r="I264" t="str">
        <f>IF(259&lt;=COUNTA(cl_code),INDEX(cl_code,259)&amp;"",IF(259&lt;=COUNTA(cl_code)+COUNTA(fo_code),INDEX(fo_code,259-COUNTA(cl_code))&amp;"",IF(259&lt;=COUNTA(cl_code)+COUNTA(fo_code)+COUNTA(p_services),INDEX(p_services,259-COUNTA(cl_code)-COUNTA(fo_code))&amp;"","")))</f>
        <v/>
      </c>
    </row>
    <row r="265">
      <c r="I265" t="str">
        <f>IF(260&lt;=COUNTA(cl_code),INDEX(cl_code,260)&amp;"",IF(260&lt;=COUNTA(cl_code)+COUNTA(fo_code),INDEX(fo_code,260-COUNTA(cl_code))&amp;"",IF(260&lt;=COUNTA(cl_code)+COUNTA(fo_code)+COUNTA(p_services),INDEX(p_services,260-COUNTA(cl_code)-COUNTA(fo_code))&amp;"","")))</f>
        <v/>
      </c>
    </row>
    <row r="266">
      <c r="I266" t="str">
        <f>IF(261&lt;=COUNTA(cl_code),INDEX(cl_code,261)&amp;"",IF(261&lt;=COUNTA(cl_code)+COUNTA(fo_code),INDEX(fo_code,261-COUNTA(cl_code))&amp;"",IF(261&lt;=COUNTA(cl_code)+COUNTA(fo_code)+COUNTA(p_services),INDEX(p_services,261-COUNTA(cl_code)-COUNTA(fo_code))&amp;"","")))</f>
        <v/>
      </c>
    </row>
    <row r="267">
      <c r="I267" t="str">
        <f>IF(262&lt;=COUNTA(cl_code),INDEX(cl_code,262)&amp;"",IF(262&lt;=COUNTA(cl_code)+COUNTA(fo_code),INDEX(fo_code,262-COUNTA(cl_code))&amp;"",IF(262&lt;=COUNTA(cl_code)+COUNTA(fo_code)+COUNTA(p_services),INDEX(p_services,262-COUNTA(cl_code)-COUNTA(fo_code))&amp;"","")))</f>
        <v/>
      </c>
    </row>
    <row r="268">
      <c r="I268" t="str">
        <f>IF(263&lt;=COUNTA(cl_code),INDEX(cl_code,263)&amp;"",IF(263&lt;=COUNTA(cl_code)+COUNTA(fo_code),INDEX(fo_code,263-COUNTA(cl_code))&amp;"",IF(263&lt;=COUNTA(cl_code)+COUNTA(fo_code)+COUNTA(p_services),INDEX(p_services,263-COUNTA(cl_code)-COUNTA(fo_code))&amp;"","")))</f>
        <v/>
      </c>
    </row>
    <row r="269">
      <c r="I269" t="str">
        <f>IF(264&lt;=COUNTA(cl_code),INDEX(cl_code,264)&amp;"",IF(264&lt;=COUNTA(cl_code)+COUNTA(fo_code),INDEX(fo_code,264-COUNTA(cl_code))&amp;"",IF(264&lt;=COUNTA(cl_code)+COUNTA(fo_code)+COUNTA(p_services),INDEX(p_services,264-COUNTA(cl_code)-COUNTA(fo_code))&amp;"","")))</f>
        <v/>
      </c>
    </row>
    <row r="270">
      <c r="I270" t="str">
        <f>IF(265&lt;=COUNTA(cl_code),INDEX(cl_code,265)&amp;"",IF(265&lt;=COUNTA(cl_code)+COUNTA(fo_code),INDEX(fo_code,265-COUNTA(cl_code))&amp;"",IF(265&lt;=COUNTA(cl_code)+COUNTA(fo_code)+COUNTA(p_services),INDEX(p_services,265-COUNTA(cl_code)-COUNTA(fo_code))&amp;"","")))</f>
        <v/>
      </c>
    </row>
    <row r="271">
      <c r="I271" t="str">
        <f>IF(266&lt;=COUNTA(cl_code),INDEX(cl_code,266)&amp;"",IF(266&lt;=COUNTA(cl_code)+COUNTA(fo_code),INDEX(fo_code,266-COUNTA(cl_code))&amp;"",IF(266&lt;=COUNTA(cl_code)+COUNTA(fo_code)+COUNTA(p_services),INDEX(p_services,266-COUNTA(cl_code)-COUNTA(fo_code))&amp;"","")))</f>
        <v/>
      </c>
    </row>
    <row r="272">
      <c r="I272" t="str">
        <f>IF(267&lt;=COUNTA(cl_code),INDEX(cl_code,267)&amp;"",IF(267&lt;=COUNTA(cl_code)+COUNTA(fo_code),INDEX(fo_code,267-COUNTA(cl_code))&amp;"",IF(267&lt;=COUNTA(cl_code)+COUNTA(fo_code)+COUNTA(p_services),INDEX(p_services,267-COUNTA(cl_code)-COUNTA(fo_code))&amp;"","")))</f>
        <v/>
      </c>
    </row>
    <row r="273">
      <c r="I273" t="str">
        <f>IF(268&lt;=COUNTA(cl_code),INDEX(cl_code,268)&amp;"",IF(268&lt;=COUNTA(cl_code)+COUNTA(fo_code),INDEX(fo_code,268-COUNTA(cl_code))&amp;"",IF(268&lt;=COUNTA(cl_code)+COUNTA(fo_code)+COUNTA(p_services),INDEX(p_services,268-COUNTA(cl_code)-COUNTA(fo_code))&amp;"","")))</f>
        <v/>
      </c>
    </row>
    <row r="274">
      <c r="I274" t="str">
        <f>IF(269&lt;=COUNTA(cl_code),INDEX(cl_code,269)&amp;"",IF(269&lt;=COUNTA(cl_code)+COUNTA(fo_code),INDEX(fo_code,269-COUNTA(cl_code))&amp;"",IF(269&lt;=COUNTA(cl_code)+COUNTA(fo_code)+COUNTA(p_services),INDEX(p_services,269-COUNTA(cl_code)-COUNTA(fo_code))&amp;"","")))</f>
        <v/>
      </c>
    </row>
    <row r="275">
      <c r="I275" t="str">
        <f>IF(270&lt;=COUNTA(cl_code),INDEX(cl_code,270)&amp;"",IF(270&lt;=COUNTA(cl_code)+COUNTA(fo_code),INDEX(fo_code,270-COUNTA(cl_code))&amp;"",IF(270&lt;=COUNTA(cl_code)+COUNTA(fo_code)+COUNTA(p_services),INDEX(p_services,270-COUNTA(cl_code)-COUNTA(fo_code))&amp;"","")))</f>
        <v/>
      </c>
    </row>
    <row r="276">
      <c r="I276" t="str">
        <f>IF(271&lt;=COUNTA(cl_code),INDEX(cl_code,271)&amp;"",IF(271&lt;=COUNTA(cl_code)+COUNTA(fo_code),INDEX(fo_code,271-COUNTA(cl_code))&amp;"",IF(271&lt;=COUNTA(cl_code)+COUNTA(fo_code)+COUNTA(p_services),INDEX(p_services,271-COUNTA(cl_code)-COUNTA(fo_code))&amp;"","")))</f>
        <v/>
      </c>
    </row>
    <row r="277">
      <c r="I277" t="str">
        <f>IF(272&lt;=COUNTA(cl_code),INDEX(cl_code,272)&amp;"",IF(272&lt;=COUNTA(cl_code)+COUNTA(fo_code),INDEX(fo_code,272-COUNTA(cl_code))&amp;"",IF(272&lt;=COUNTA(cl_code)+COUNTA(fo_code)+COUNTA(p_services),INDEX(p_services,272-COUNTA(cl_code)-COUNTA(fo_code))&amp;"","")))</f>
        <v/>
      </c>
    </row>
    <row r="278">
      <c r="I278" t="str">
        <f>IF(273&lt;=COUNTA(cl_code),INDEX(cl_code,273)&amp;"",IF(273&lt;=COUNTA(cl_code)+COUNTA(fo_code),INDEX(fo_code,273-COUNTA(cl_code))&amp;"",IF(273&lt;=COUNTA(cl_code)+COUNTA(fo_code)+COUNTA(p_services),INDEX(p_services,273-COUNTA(cl_code)-COUNTA(fo_code))&amp;"","")))</f>
        <v/>
      </c>
    </row>
    <row r="279">
      <c r="I279" t="str">
        <f>IF(274&lt;=COUNTA(cl_code),INDEX(cl_code,274)&amp;"",IF(274&lt;=COUNTA(cl_code)+COUNTA(fo_code),INDEX(fo_code,274-COUNTA(cl_code))&amp;"",IF(274&lt;=COUNTA(cl_code)+COUNTA(fo_code)+COUNTA(p_services),INDEX(p_services,274-COUNTA(cl_code)-COUNTA(fo_code))&amp;"","")))</f>
        <v/>
      </c>
    </row>
    <row r="280">
      <c r="I280" t="str">
        <f>IF(275&lt;=COUNTA(cl_code),INDEX(cl_code,275)&amp;"",IF(275&lt;=COUNTA(cl_code)+COUNTA(fo_code),INDEX(fo_code,275-COUNTA(cl_code))&amp;"",IF(275&lt;=COUNTA(cl_code)+COUNTA(fo_code)+COUNTA(p_services),INDEX(p_services,275-COUNTA(cl_code)-COUNTA(fo_code))&amp;"","")))</f>
        <v/>
      </c>
    </row>
    <row r="281">
      <c r="I281" t="str">
        <f>IF(276&lt;=COUNTA(cl_code),INDEX(cl_code,276)&amp;"",IF(276&lt;=COUNTA(cl_code)+COUNTA(fo_code),INDEX(fo_code,276-COUNTA(cl_code))&amp;"",IF(276&lt;=COUNTA(cl_code)+COUNTA(fo_code)+COUNTA(p_services),INDEX(p_services,276-COUNTA(cl_code)-COUNTA(fo_code))&amp;"","")))</f>
        <v/>
      </c>
    </row>
    <row r="282">
      <c r="I282" t="str">
        <f>IF(277&lt;=COUNTA(cl_code),INDEX(cl_code,277)&amp;"",IF(277&lt;=COUNTA(cl_code)+COUNTA(fo_code),INDEX(fo_code,277-COUNTA(cl_code))&amp;"",IF(277&lt;=COUNTA(cl_code)+COUNTA(fo_code)+COUNTA(p_services),INDEX(p_services,277-COUNTA(cl_code)-COUNTA(fo_code))&amp;"","")))</f>
        <v/>
      </c>
    </row>
    <row r="283">
      <c r="I283" t="str">
        <f>IF(278&lt;=COUNTA(cl_code),INDEX(cl_code,278)&amp;"",IF(278&lt;=COUNTA(cl_code)+COUNTA(fo_code),INDEX(fo_code,278-COUNTA(cl_code))&amp;"",IF(278&lt;=COUNTA(cl_code)+COUNTA(fo_code)+COUNTA(p_services),INDEX(p_services,278-COUNTA(cl_code)-COUNTA(fo_code))&amp;"","")))</f>
        <v/>
      </c>
    </row>
    <row r="284">
      <c r="I284" t="str">
        <f>IF(279&lt;=COUNTA(cl_code),INDEX(cl_code,279)&amp;"",IF(279&lt;=COUNTA(cl_code)+COUNTA(fo_code),INDEX(fo_code,279-COUNTA(cl_code))&amp;"",IF(279&lt;=COUNTA(cl_code)+COUNTA(fo_code)+COUNTA(p_services),INDEX(p_services,279-COUNTA(cl_code)-COUNTA(fo_code))&amp;"","")))</f>
        <v/>
      </c>
    </row>
    <row r="285">
      <c r="I285" t="str">
        <f>IF(280&lt;=COUNTA(cl_code),INDEX(cl_code,280)&amp;"",IF(280&lt;=COUNTA(cl_code)+COUNTA(fo_code),INDEX(fo_code,280-COUNTA(cl_code))&amp;"",IF(280&lt;=COUNTA(cl_code)+COUNTA(fo_code)+COUNTA(p_services),INDEX(p_services,280-COUNTA(cl_code)-COUNTA(fo_code))&amp;"","")))</f>
        <v/>
      </c>
    </row>
    <row r="286">
      <c r="I286" t="str">
        <f>IF(281&lt;=COUNTA(cl_code),INDEX(cl_code,281)&amp;"",IF(281&lt;=COUNTA(cl_code)+COUNTA(fo_code),INDEX(fo_code,281-COUNTA(cl_code))&amp;"",IF(281&lt;=COUNTA(cl_code)+COUNTA(fo_code)+COUNTA(p_services),INDEX(p_services,281-COUNTA(cl_code)-COUNTA(fo_code))&amp;"","")))</f>
        <v/>
      </c>
    </row>
    <row r="287">
      <c r="I287" t="str">
        <f>IF(282&lt;=COUNTA(cl_code),INDEX(cl_code,282)&amp;"",IF(282&lt;=COUNTA(cl_code)+COUNTA(fo_code),INDEX(fo_code,282-COUNTA(cl_code))&amp;"",IF(282&lt;=COUNTA(cl_code)+COUNTA(fo_code)+COUNTA(p_services),INDEX(p_services,282-COUNTA(cl_code)-COUNTA(fo_code))&amp;"","")))</f>
        <v/>
      </c>
    </row>
    <row r="288">
      <c r="I288" t="str">
        <f>IF(283&lt;=COUNTA(cl_code),INDEX(cl_code,283)&amp;"",IF(283&lt;=COUNTA(cl_code)+COUNTA(fo_code),INDEX(fo_code,283-COUNTA(cl_code))&amp;"",IF(283&lt;=COUNTA(cl_code)+COUNTA(fo_code)+COUNTA(p_services),INDEX(p_services,283-COUNTA(cl_code)-COUNTA(fo_code))&amp;"","")))</f>
        <v/>
      </c>
    </row>
    <row r="289">
      <c r="I289" t="str">
        <f>IF(284&lt;=COUNTA(cl_code),INDEX(cl_code,284)&amp;"",IF(284&lt;=COUNTA(cl_code)+COUNTA(fo_code),INDEX(fo_code,284-COUNTA(cl_code))&amp;"",IF(284&lt;=COUNTA(cl_code)+COUNTA(fo_code)+COUNTA(p_services),INDEX(p_services,284-COUNTA(cl_code)-COUNTA(fo_code))&amp;"","")))</f>
        <v/>
      </c>
    </row>
    <row r="290">
      <c r="I290" t="str">
        <f>IF(285&lt;=COUNTA(cl_code),INDEX(cl_code,285)&amp;"",IF(285&lt;=COUNTA(cl_code)+COUNTA(fo_code),INDEX(fo_code,285-COUNTA(cl_code))&amp;"",IF(285&lt;=COUNTA(cl_code)+COUNTA(fo_code)+COUNTA(p_services),INDEX(p_services,285-COUNTA(cl_code)-COUNTA(fo_code))&amp;"","")))</f>
        <v/>
      </c>
    </row>
    <row r="291">
      <c r="I291" t="str">
        <f>IF(286&lt;=COUNTA(cl_code),INDEX(cl_code,286)&amp;"",IF(286&lt;=COUNTA(cl_code)+COUNTA(fo_code),INDEX(fo_code,286-COUNTA(cl_code))&amp;"",IF(286&lt;=COUNTA(cl_code)+COUNTA(fo_code)+COUNTA(p_services),INDEX(p_services,286-COUNTA(cl_code)-COUNTA(fo_code))&amp;"","")))</f>
        <v/>
      </c>
    </row>
    <row r="292">
      <c r="I292" t="str">
        <f>IF(287&lt;=COUNTA(cl_code),INDEX(cl_code,287)&amp;"",IF(287&lt;=COUNTA(cl_code)+COUNTA(fo_code),INDEX(fo_code,287-COUNTA(cl_code))&amp;"",IF(287&lt;=COUNTA(cl_code)+COUNTA(fo_code)+COUNTA(p_services),INDEX(p_services,287-COUNTA(cl_code)-COUNTA(fo_code))&amp;"","")))</f>
        <v/>
      </c>
    </row>
    <row r="293">
      <c r="I293" t="str">
        <f>IF(288&lt;=COUNTA(cl_code),INDEX(cl_code,288)&amp;"",IF(288&lt;=COUNTA(cl_code)+COUNTA(fo_code),INDEX(fo_code,288-COUNTA(cl_code))&amp;"",IF(288&lt;=COUNTA(cl_code)+COUNTA(fo_code)+COUNTA(p_services),INDEX(p_services,288-COUNTA(cl_code)-COUNTA(fo_code))&amp;"","")))</f>
        <v/>
      </c>
    </row>
    <row r="294">
      <c r="I294" t="str">
        <f>IF(289&lt;=COUNTA(cl_code),INDEX(cl_code,289)&amp;"",IF(289&lt;=COUNTA(cl_code)+COUNTA(fo_code),INDEX(fo_code,289-COUNTA(cl_code))&amp;"",IF(289&lt;=COUNTA(cl_code)+COUNTA(fo_code)+COUNTA(p_services),INDEX(p_services,289-COUNTA(cl_code)-COUNTA(fo_code))&amp;"","")))</f>
        <v/>
      </c>
    </row>
    <row r="295">
      <c r="I295" t="str">
        <f>IF(290&lt;=COUNTA(cl_code),INDEX(cl_code,290)&amp;"",IF(290&lt;=COUNTA(cl_code)+COUNTA(fo_code),INDEX(fo_code,290-COUNTA(cl_code))&amp;"",IF(290&lt;=COUNTA(cl_code)+COUNTA(fo_code)+COUNTA(p_services),INDEX(p_services,290-COUNTA(cl_code)-COUNTA(fo_code))&amp;"","")))</f>
        <v/>
      </c>
    </row>
    <row r="296">
      <c r="I296" t="str">
        <f>IF(291&lt;=COUNTA(cl_code),INDEX(cl_code,291)&amp;"",IF(291&lt;=COUNTA(cl_code)+COUNTA(fo_code),INDEX(fo_code,291-COUNTA(cl_code))&amp;"",IF(291&lt;=COUNTA(cl_code)+COUNTA(fo_code)+COUNTA(p_services),INDEX(p_services,291-COUNTA(cl_code)-COUNTA(fo_code))&amp;"","")))</f>
        <v/>
      </c>
    </row>
    <row r="297">
      <c r="I297" t="str">
        <f>IF(292&lt;=COUNTA(cl_code),INDEX(cl_code,292)&amp;"",IF(292&lt;=COUNTA(cl_code)+COUNTA(fo_code),INDEX(fo_code,292-COUNTA(cl_code))&amp;"",IF(292&lt;=COUNTA(cl_code)+COUNTA(fo_code)+COUNTA(p_services),INDEX(p_services,292-COUNTA(cl_code)-COUNTA(fo_code))&amp;"","")))</f>
        <v/>
      </c>
    </row>
    <row r="298">
      <c r="I298" t="str">
        <f>IF(293&lt;=COUNTA(cl_code),INDEX(cl_code,293)&amp;"",IF(293&lt;=COUNTA(cl_code)+COUNTA(fo_code),INDEX(fo_code,293-COUNTA(cl_code))&amp;"",IF(293&lt;=COUNTA(cl_code)+COUNTA(fo_code)+COUNTA(p_services),INDEX(p_services,293-COUNTA(cl_code)-COUNTA(fo_code))&amp;"","")))</f>
        <v/>
      </c>
    </row>
    <row r="299">
      <c r="I299" t="str">
        <f>IF(294&lt;=COUNTA(cl_code),INDEX(cl_code,294)&amp;"",IF(294&lt;=COUNTA(cl_code)+COUNTA(fo_code),INDEX(fo_code,294-COUNTA(cl_code))&amp;"",IF(294&lt;=COUNTA(cl_code)+COUNTA(fo_code)+COUNTA(p_services),INDEX(p_services,294-COUNTA(cl_code)-COUNTA(fo_code))&amp;"","")))</f>
        <v/>
      </c>
    </row>
    <row r="300">
      <c r="I300" t="str">
        <f>IF(295&lt;=COUNTA(cl_code),INDEX(cl_code,295)&amp;"",IF(295&lt;=COUNTA(cl_code)+COUNTA(fo_code),INDEX(fo_code,295-COUNTA(cl_code))&amp;"",IF(295&lt;=COUNTA(cl_code)+COUNTA(fo_code)+COUNTA(p_services),INDEX(p_services,295-COUNTA(cl_code)-COUNTA(fo_code))&amp;"","")))</f>
        <v/>
      </c>
    </row>
    <row r="301">
      <c r="I301" t="str">
        <f>IF(296&lt;=COUNTA(cl_code),INDEX(cl_code,296)&amp;"",IF(296&lt;=COUNTA(cl_code)+COUNTA(fo_code),INDEX(fo_code,296-COUNTA(cl_code))&amp;"",IF(296&lt;=COUNTA(cl_code)+COUNTA(fo_code)+COUNTA(p_services),INDEX(p_services,296-COUNTA(cl_code)-COUNTA(fo_code))&amp;"","")))</f>
        <v/>
      </c>
    </row>
    <row r="302">
      <c r="I302" t="str">
        <f>IF(297&lt;=COUNTA(cl_code),INDEX(cl_code,297)&amp;"",IF(297&lt;=COUNTA(cl_code)+COUNTA(fo_code),INDEX(fo_code,297-COUNTA(cl_code))&amp;"",IF(297&lt;=COUNTA(cl_code)+COUNTA(fo_code)+COUNTA(p_services),INDEX(p_services,297-COUNTA(cl_code)-COUNTA(fo_code))&amp;"","")))</f>
        <v/>
      </c>
    </row>
    <row r="303">
      <c r="I303" t="str">
        <f>IF(298&lt;=COUNTA(cl_code),INDEX(cl_code,298)&amp;"",IF(298&lt;=COUNTA(cl_code)+COUNTA(fo_code),INDEX(fo_code,298-COUNTA(cl_code))&amp;"",IF(298&lt;=COUNTA(cl_code)+COUNTA(fo_code)+COUNTA(p_services),INDEX(p_services,298-COUNTA(cl_code)-COUNTA(fo_code))&amp;"","")))</f>
        <v/>
      </c>
    </row>
    <row r="304">
      <c r="I304" t="str">
        <f>IF(299&lt;=COUNTA(cl_code),INDEX(cl_code,299)&amp;"",IF(299&lt;=COUNTA(cl_code)+COUNTA(fo_code),INDEX(fo_code,299-COUNTA(cl_code))&amp;"",IF(299&lt;=COUNTA(cl_code)+COUNTA(fo_code)+COUNTA(p_services),INDEX(p_services,299-COUNTA(cl_code)-COUNTA(fo_code))&amp;"","")))</f>
        <v/>
      </c>
    </row>
    <row r="305">
      <c r="I305" t="str">
        <f>IF(300&lt;=COUNTA(cl_code),INDEX(cl_code,300)&amp;"",IF(300&lt;=COUNTA(cl_code)+COUNTA(fo_code),INDEX(fo_code,300-COUNTA(cl_code))&amp;"",IF(300&lt;=COUNTA(cl_code)+COUNTA(fo_code)+COUNTA(p_services),INDEX(p_services,300-COUNTA(cl_code)-COUNTA(fo_code))&amp;"","")))</f>
        <v/>
      </c>
    </row>
    <row r="306">
      <c r="I306" t="str">
        <f>IF(301&lt;=COUNTA(cl_code),INDEX(cl_code,301)&amp;"",IF(301&lt;=COUNTA(cl_code)+COUNTA(fo_code),INDEX(fo_code,301-COUNTA(cl_code))&amp;"",IF(301&lt;=COUNTA(cl_code)+COUNTA(fo_code)+COUNTA(p_services),INDEX(p_services,301-COUNTA(cl_code)-COUNTA(fo_code))&amp;"","")))</f>
        <v/>
      </c>
    </row>
    <row r="307">
      <c r="I307" t="str">
        <f>IF(302&lt;=COUNTA(cl_code),INDEX(cl_code,302)&amp;"",IF(302&lt;=COUNTA(cl_code)+COUNTA(fo_code),INDEX(fo_code,302-COUNTA(cl_code))&amp;"",IF(302&lt;=COUNTA(cl_code)+COUNTA(fo_code)+COUNTA(p_services),INDEX(p_services,302-COUNTA(cl_code)-COUNTA(fo_code))&amp;"","")))</f>
        <v/>
      </c>
    </row>
    <row r="308">
      <c r="I308" t="str">
        <f>IF(303&lt;=COUNTA(cl_code),INDEX(cl_code,303)&amp;"",IF(303&lt;=COUNTA(cl_code)+COUNTA(fo_code),INDEX(fo_code,303-COUNTA(cl_code))&amp;"",IF(303&lt;=COUNTA(cl_code)+COUNTA(fo_code)+COUNTA(p_services),INDEX(p_services,303-COUNTA(cl_code)-COUNTA(fo_code))&amp;"","")))</f>
        <v/>
      </c>
    </row>
    <row r="309">
      <c r="I309" t="str">
        <f>IF(304&lt;=COUNTA(cl_code),INDEX(cl_code,304)&amp;"",IF(304&lt;=COUNTA(cl_code)+COUNTA(fo_code),INDEX(fo_code,304-COUNTA(cl_code))&amp;"",IF(304&lt;=COUNTA(cl_code)+COUNTA(fo_code)+COUNTA(p_services),INDEX(p_services,304-COUNTA(cl_code)-COUNTA(fo_code))&amp;"","")))</f>
        <v/>
      </c>
    </row>
    <row r="310">
      <c r="I310" t="str">
        <f>IF(305&lt;=COUNTA(cl_code),INDEX(cl_code,305)&amp;"",IF(305&lt;=COUNTA(cl_code)+COUNTA(fo_code),INDEX(fo_code,305-COUNTA(cl_code))&amp;"",IF(305&lt;=COUNTA(cl_code)+COUNTA(fo_code)+COUNTA(p_services),INDEX(p_services,305-COUNTA(cl_code)-COUNTA(fo_code))&amp;"","")))</f>
        <v/>
      </c>
    </row>
    <row r="311">
      <c r="I311" t="str">
        <f>IF(306&lt;=COUNTA(cl_code),INDEX(cl_code,306)&amp;"",IF(306&lt;=COUNTA(cl_code)+COUNTA(fo_code),INDEX(fo_code,306-COUNTA(cl_code))&amp;"",IF(306&lt;=COUNTA(cl_code)+COUNTA(fo_code)+COUNTA(p_services),INDEX(p_services,306-COUNTA(cl_code)-COUNTA(fo_code))&amp;"","")))</f>
        <v/>
      </c>
    </row>
    <row r="312">
      <c r="I312" t="str">
        <f>IF(307&lt;=COUNTA(cl_code),INDEX(cl_code,307)&amp;"",IF(307&lt;=COUNTA(cl_code)+COUNTA(fo_code),INDEX(fo_code,307-COUNTA(cl_code))&amp;"",IF(307&lt;=COUNTA(cl_code)+COUNTA(fo_code)+COUNTA(p_services),INDEX(p_services,307-COUNTA(cl_code)-COUNTA(fo_code))&amp;"","")))</f>
        <v/>
      </c>
    </row>
    <row r="313">
      <c r="I313" t="str">
        <f>IF(308&lt;=COUNTA(cl_code),INDEX(cl_code,308)&amp;"",IF(308&lt;=COUNTA(cl_code)+COUNTA(fo_code),INDEX(fo_code,308-COUNTA(cl_code))&amp;"",IF(308&lt;=COUNTA(cl_code)+COUNTA(fo_code)+COUNTA(p_services),INDEX(p_services,308-COUNTA(cl_code)-COUNTA(fo_code))&amp;"","")))</f>
        <v/>
      </c>
    </row>
    <row r="314">
      <c r="I314" t="str">
        <f>IF(309&lt;=COUNTA(cl_code),INDEX(cl_code,309)&amp;"",IF(309&lt;=COUNTA(cl_code)+COUNTA(fo_code),INDEX(fo_code,309-COUNTA(cl_code))&amp;"",IF(309&lt;=COUNTA(cl_code)+COUNTA(fo_code)+COUNTA(p_services),INDEX(p_services,309-COUNTA(cl_code)-COUNTA(fo_code))&amp;"","")))</f>
        <v/>
      </c>
    </row>
    <row r="315">
      <c r="I315" t="str">
        <f>IF(310&lt;=COUNTA(cl_code),INDEX(cl_code,310)&amp;"",IF(310&lt;=COUNTA(cl_code)+COUNTA(fo_code),INDEX(fo_code,310-COUNTA(cl_code))&amp;"",IF(310&lt;=COUNTA(cl_code)+COUNTA(fo_code)+COUNTA(p_services),INDEX(p_services,310-COUNTA(cl_code)-COUNTA(fo_code))&amp;"","")))</f>
        <v/>
      </c>
    </row>
    <row r="316">
      <c r="I316" t="str">
        <f>IF(311&lt;=COUNTA(cl_code),INDEX(cl_code,311)&amp;"",IF(311&lt;=COUNTA(cl_code)+COUNTA(fo_code),INDEX(fo_code,311-COUNTA(cl_code))&amp;"",IF(311&lt;=COUNTA(cl_code)+COUNTA(fo_code)+COUNTA(p_services),INDEX(p_services,311-COUNTA(cl_code)-COUNTA(fo_code))&amp;"","")))</f>
        <v/>
      </c>
    </row>
    <row r="317">
      <c r="I317" t="str">
        <f>IF(312&lt;=COUNTA(cl_code),INDEX(cl_code,312)&amp;"",IF(312&lt;=COUNTA(cl_code)+COUNTA(fo_code),INDEX(fo_code,312-COUNTA(cl_code))&amp;"",IF(312&lt;=COUNTA(cl_code)+COUNTA(fo_code)+COUNTA(p_services),INDEX(p_services,312-COUNTA(cl_code)-COUNTA(fo_code))&amp;"","")))</f>
        <v/>
      </c>
    </row>
    <row r="318">
      <c r="I318" t="str">
        <f>IF(313&lt;=COUNTA(cl_code),INDEX(cl_code,313)&amp;"",IF(313&lt;=COUNTA(cl_code)+COUNTA(fo_code),INDEX(fo_code,313-COUNTA(cl_code))&amp;"",IF(313&lt;=COUNTA(cl_code)+COUNTA(fo_code)+COUNTA(p_services),INDEX(p_services,313-COUNTA(cl_code)-COUNTA(fo_code))&amp;"","")))</f>
        <v/>
      </c>
    </row>
    <row r="319">
      <c r="I319" t="str">
        <f>IF(314&lt;=COUNTA(cl_code),INDEX(cl_code,314)&amp;"",IF(314&lt;=COUNTA(cl_code)+COUNTA(fo_code),INDEX(fo_code,314-COUNTA(cl_code))&amp;"",IF(314&lt;=COUNTA(cl_code)+COUNTA(fo_code)+COUNTA(p_services),INDEX(p_services,314-COUNTA(cl_code)-COUNTA(fo_code))&amp;"","")))</f>
        <v/>
      </c>
    </row>
    <row r="320">
      <c r="I320" t="str">
        <f>IF(315&lt;=COUNTA(cl_code),INDEX(cl_code,315)&amp;"",IF(315&lt;=COUNTA(cl_code)+COUNTA(fo_code),INDEX(fo_code,315-COUNTA(cl_code))&amp;"",IF(315&lt;=COUNTA(cl_code)+COUNTA(fo_code)+COUNTA(p_services),INDEX(p_services,315-COUNTA(cl_code)-COUNTA(fo_code))&amp;"","")))</f>
        <v/>
      </c>
    </row>
    <row r="321">
      <c r="I321" t="str">
        <f>IF(316&lt;=COUNTA(cl_code),INDEX(cl_code,316)&amp;"",IF(316&lt;=COUNTA(cl_code)+COUNTA(fo_code),INDEX(fo_code,316-COUNTA(cl_code))&amp;"",IF(316&lt;=COUNTA(cl_code)+COUNTA(fo_code)+COUNTA(p_services),INDEX(p_services,316-COUNTA(cl_code)-COUNTA(fo_code))&amp;"","")))</f>
        <v/>
      </c>
    </row>
    <row r="322">
      <c r="I322" t="str">
        <f>IF(317&lt;=COUNTA(cl_code),INDEX(cl_code,317)&amp;"",IF(317&lt;=COUNTA(cl_code)+COUNTA(fo_code),INDEX(fo_code,317-COUNTA(cl_code))&amp;"",IF(317&lt;=COUNTA(cl_code)+COUNTA(fo_code)+COUNTA(p_services),INDEX(p_services,317-COUNTA(cl_code)-COUNTA(fo_code))&amp;"","")))</f>
        <v/>
      </c>
    </row>
    <row r="323">
      <c r="I323" t="str">
        <f>IF(318&lt;=COUNTA(cl_code),INDEX(cl_code,318)&amp;"",IF(318&lt;=COUNTA(cl_code)+COUNTA(fo_code),INDEX(fo_code,318-COUNTA(cl_code))&amp;"",IF(318&lt;=COUNTA(cl_code)+COUNTA(fo_code)+COUNTA(p_services),INDEX(p_services,318-COUNTA(cl_code)-COUNTA(fo_code))&amp;"","")))</f>
        <v/>
      </c>
    </row>
    <row r="324">
      <c r="I324" t="str">
        <f>IF(319&lt;=COUNTA(cl_code),INDEX(cl_code,319)&amp;"",IF(319&lt;=COUNTA(cl_code)+COUNTA(fo_code),INDEX(fo_code,319-COUNTA(cl_code))&amp;"",IF(319&lt;=COUNTA(cl_code)+COUNTA(fo_code)+COUNTA(p_services),INDEX(p_services,319-COUNTA(cl_code)-COUNTA(fo_code))&amp;"","")))</f>
        <v/>
      </c>
    </row>
    <row r="325">
      <c r="I325" t="str">
        <f>IF(320&lt;=COUNTA(cl_code),INDEX(cl_code,320)&amp;"",IF(320&lt;=COUNTA(cl_code)+COUNTA(fo_code),INDEX(fo_code,320-COUNTA(cl_code))&amp;"",IF(320&lt;=COUNTA(cl_code)+COUNTA(fo_code)+COUNTA(p_services),INDEX(p_services,320-COUNTA(cl_code)-COUNTA(fo_code))&amp;"","")))</f>
        <v/>
      </c>
    </row>
    <row r="326">
      <c r="I326" t="str">
        <f>IF(321&lt;=COUNTA(cl_code),INDEX(cl_code,321)&amp;"",IF(321&lt;=COUNTA(cl_code)+COUNTA(fo_code),INDEX(fo_code,321-COUNTA(cl_code))&amp;"",IF(321&lt;=COUNTA(cl_code)+COUNTA(fo_code)+COUNTA(p_services),INDEX(p_services,321-COUNTA(cl_code)-COUNTA(fo_code))&amp;"","")))</f>
        <v/>
      </c>
    </row>
    <row r="327">
      <c r="I327" t="str">
        <f>IF(322&lt;=COUNTA(cl_code),INDEX(cl_code,322)&amp;"",IF(322&lt;=COUNTA(cl_code)+COUNTA(fo_code),INDEX(fo_code,322-COUNTA(cl_code))&amp;"",IF(322&lt;=COUNTA(cl_code)+COUNTA(fo_code)+COUNTA(p_services),INDEX(p_services,322-COUNTA(cl_code)-COUNTA(fo_code))&amp;"","")))</f>
        <v/>
      </c>
    </row>
    <row r="328">
      <c r="I328" t="str">
        <f>IF(323&lt;=COUNTA(cl_code),INDEX(cl_code,323)&amp;"",IF(323&lt;=COUNTA(cl_code)+COUNTA(fo_code),INDEX(fo_code,323-COUNTA(cl_code))&amp;"",IF(323&lt;=COUNTA(cl_code)+COUNTA(fo_code)+COUNTA(p_services),INDEX(p_services,323-COUNTA(cl_code)-COUNTA(fo_code))&amp;"","")))</f>
        <v/>
      </c>
    </row>
    <row r="329">
      <c r="I329" t="str">
        <f>IF(324&lt;=COUNTA(cl_code),INDEX(cl_code,324)&amp;"",IF(324&lt;=COUNTA(cl_code)+COUNTA(fo_code),INDEX(fo_code,324-COUNTA(cl_code))&amp;"",IF(324&lt;=COUNTA(cl_code)+COUNTA(fo_code)+COUNTA(p_services),INDEX(p_services,324-COUNTA(cl_code)-COUNTA(fo_code))&amp;"","")))</f>
        <v/>
      </c>
    </row>
    <row r="330">
      <c r="I330" t="str">
        <f>IF(325&lt;=COUNTA(cl_code),INDEX(cl_code,325)&amp;"",IF(325&lt;=COUNTA(cl_code)+COUNTA(fo_code),INDEX(fo_code,325-COUNTA(cl_code))&amp;"",IF(325&lt;=COUNTA(cl_code)+COUNTA(fo_code)+COUNTA(p_services),INDEX(p_services,325-COUNTA(cl_code)-COUNTA(fo_code))&amp;"","")))</f>
        <v/>
      </c>
    </row>
    <row r="331">
      <c r="I331" t="str">
        <f>IF(326&lt;=COUNTA(cl_code),INDEX(cl_code,326)&amp;"",IF(326&lt;=COUNTA(cl_code)+COUNTA(fo_code),INDEX(fo_code,326-COUNTA(cl_code))&amp;"",IF(326&lt;=COUNTA(cl_code)+COUNTA(fo_code)+COUNTA(p_services),INDEX(p_services,326-COUNTA(cl_code)-COUNTA(fo_code))&amp;"","")))</f>
        <v/>
      </c>
    </row>
    <row r="332">
      <c r="I332" t="str">
        <f>IF(327&lt;=COUNTA(cl_code),INDEX(cl_code,327)&amp;"",IF(327&lt;=COUNTA(cl_code)+COUNTA(fo_code),INDEX(fo_code,327-COUNTA(cl_code))&amp;"",IF(327&lt;=COUNTA(cl_code)+COUNTA(fo_code)+COUNTA(p_services),INDEX(p_services,327-COUNTA(cl_code)-COUNTA(fo_code))&amp;"","")))</f>
        <v/>
      </c>
    </row>
    <row r="333">
      <c r="I333" t="str">
        <f>IF(328&lt;=COUNTA(cl_code),INDEX(cl_code,328)&amp;"",IF(328&lt;=COUNTA(cl_code)+COUNTA(fo_code),INDEX(fo_code,328-COUNTA(cl_code))&amp;"",IF(328&lt;=COUNTA(cl_code)+COUNTA(fo_code)+COUNTA(p_services),INDEX(p_services,328-COUNTA(cl_code)-COUNTA(fo_code))&amp;"","")))</f>
        <v/>
      </c>
    </row>
    <row r="334">
      <c r="I334" t="str">
        <f>IF(329&lt;=COUNTA(cl_code),INDEX(cl_code,329)&amp;"",IF(329&lt;=COUNTA(cl_code)+COUNTA(fo_code),INDEX(fo_code,329-COUNTA(cl_code))&amp;"",IF(329&lt;=COUNTA(cl_code)+COUNTA(fo_code)+COUNTA(p_services),INDEX(p_services,329-COUNTA(cl_code)-COUNTA(fo_code))&amp;"","")))</f>
        <v/>
      </c>
    </row>
    <row r="335">
      <c r="I335" t="str">
        <f>IF(330&lt;=COUNTA(cl_code),INDEX(cl_code,330)&amp;"",IF(330&lt;=COUNTA(cl_code)+COUNTA(fo_code),INDEX(fo_code,330-COUNTA(cl_code))&amp;"",IF(330&lt;=COUNTA(cl_code)+COUNTA(fo_code)+COUNTA(p_services),INDEX(p_services,330-COUNTA(cl_code)-COUNTA(fo_code))&amp;"","")))</f>
        <v/>
      </c>
    </row>
    <row r="336">
      <c r="I336" t="str">
        <f>IF(331&lt;=COUNTA(cl_code),INDEX(cl_code,331)&amp;"",IF(331&lt;=COUNTA(cl_code)+COUNTA(fo_code),INDEX(fo_code,331-COUNTA(cl_code))&amp;"",IF(331&lt;=COUNTA(cl_code)+COUNTA(fo_code)+COUNTA(p_services),INDEX(p_services,331-COUNTA(cl_code)-COUNTA(fo_code))&amp;"","")))</f>
        <v/>
      </c>
    </row>
    <row r="337">
      <c r="I337" t="str">
        <f>IF(332&lt;=COUNTA(cl_code),INDEX(cl_code,332)&amp;"",IF(332&lt;=COUNTA(cl_code)+COUNTA(fo_code),INDEX(fo_code,332-COUNTA(cl_code))&amp;"",IF(332&lt;=COUNTA(cl_code)+COUNTA(fo_code)+COUNTA(p_services),INDEX(p_services,332-COUNTA(cl_code)-COUNTA(fo_code))&amp;"","")))</f>
        <v/>
      </c>
    </row>
    <row r="338">
      <c r="I338" t="str">
        <f>IF(333&lt;=COUNTA(cl_code),INDEX(cl_code,333)&amp;"",IF(333&lt;=COUNTA(cl_code)+COUNTA(fo_code),INDEX(fo_code,333-COUNTA(cl_code))&amp;"",IF(333&lt;=COUNTA(cl_code)+COUNTA(fo_code)+COUNTA(p_services),INDEX(p_services,333-COUNTA(cl_code)-COUNTA(fo_code))&amp;"","")))</f>
        <v/>
      </c>
    </row>
    <row r="339">
      <c r="I339" t="str">
        <f>IF(334&lt;=COUNTA(cl_code),INDEX(cl_code,334)&amp;"",IF(334&lt;=COUNTA(cl_code)+COUNTA(fo_code),INDEX(fo_code,334-COUNTA(cl_code))&amp;"",IF(334&lt;=COUNTA(cl_code)+COUNTA(fo_code)+COUNTA(p_services),INDEX(p_services,334-COUNTA(cl_code)-COUNTA(fo_code))&amp;"","")))</f>
        <v/>
      </c>
    </row>
    <row r="340">
      <c r="I340" t="str">
        <f>IF(335&lt;=COUNTA(cl_code),INDEX(cl_code,335)&amp;"",IF(335&lt;=COUNTA(cl_code)+COUNTA(fo_code),INDEX(fo_code,335-COUNTA(cl_code))&amp;"",IF(335&lt;=COUNTA(cl_code)+COUNTA(fo_code)+COUNTA(p_services),INDEX(p_services,335-COUNTA(cl_code)-COUNTA(fo_code))&amp;"","")))</f>
        <v/>
      </c>
    </row>
    <row r="341">
      <c r="I341" t="str">
        <f>IF(336&lt;=COUNTA(cl_code),INDEX(cl_code,336)&amp;"",IF(336&lt;=COUNTA(cl_code)+COUNTA(fo_code),INDEX(fo_code,336-COUNTA(cl_code))&amp;"",IF(336&lt;=COUNTA(cl_code)+COUNTA(fo_code)+COUNTA(p_services),INDEX(p_services,336-COUNTA(cl_code)-COUNTA(fo_code))&amp;"","")))</f>
        <v/>
      </c>
    </row>
    <row r="342">
      <c r="I342" t="str">
        <f>IF(337&lt;=COUNTA(cl_code),INDEX(cl_code,337)&amp;"",IF(337&lt;=COUNTA(cl_code)+COUNTA(fo_code),INDEX(fo_code,337-COUNTA(cl_code))&amp;"",IF(337&lt;=COUNTA(cl_code)+COUNTA(fo_code)+COUNTA(p_services),INDEX(p_services,337-COUNTA(cl_code)-COUNTA(fo_code))&amp;"","")))</f>
        <v/>
      </c>
    </row>
    <row r="343">
      <c r="I343" t="str">
        <f>IF(338&lt;=COUNTA(cl_code),INDEX(cl_code,338)&amp;"",IF(338&lt;=COUNTA(cl_code)+COUNTA(fo_code),INDEX(fo_code,338-COUNTA(cl_code))&amp;"",IF(338&lt;=COUNTA(cl_code)+COUNTA(fo_code)+COUNTA(p_services),INDEX(p_services,338-COUNTA(cl_code)-COUNTA(fo_code))&amp;"","")))</f>
        <v/>
      </c>
    </row>
    <row r="344">
      <c r="I344" t="str">
        <f>IF(339&lt;=COUNTA(cl_code),INDEX(cl_code,339)&amp;"",IF(339&lt;=COUNTA(cl_code)+COUNTA(fo_code),INDEX(fo_code,339-COUNTA(cl_code))&amp;"",IF(339&lt;=COUNTA(cl_code)+COUNTA(fo_code)+COUNTA(p_services),INDEX(p_services,339-COUNTA(cl_code)-COUNTA(fo_code))&amp;"","")))</f>
        <v/>
      </c>
    </row>
    <row r="345">
      <c r="I345" t="str">
        <f>IF(340&lt;=COUNTA(cl_code),INDEX(cl_code,340)&amp;"",IF(340&lt;=COUNTA(cl_code)+COUNTA(fo_code),INDEX(fo_code,340-COUNTA(cl_code))&amp;"",IF(340&lt;=COUNTA(cl_code)+COUNTA(fo_code)+COUNTA(p_services),INDEX(p_services,340-COUNTA(cl_code)-COUNTA(fo_code))&amp;"","")))</f>
        <v/>
      </c>
    </row>
    <row r="346">
      <c r="I346" t="str">
        <f>IF(341&lt;=COUNTA(cl_code),INDEX(cl_code,341)&amp;"",IF(341&lt;=COUNTA(cl_code)+COUNTA(fo_code),INDEX(fo_code,341-COUNTA(cl_code))&amp;"",IF(341&lt;=COUNTA(cl_code)+COUNTA(fo_code)+COUNTA(p_services),INDEX(p_services,341-COUNTA(cl_code)-COUNTA(fo_code))&amp;"","")))</f>
        <v/>
      </c>
    </row>
    <row r="347">
      <c r="I347" t="str">
        <f>IF(342&lt;=COUNTA(cl_code),INDEX(cl_code,342)&amp;"",IF(342&lt;=COUNTA(cl_code)+COUNTA(fo_code),INDEX(fo_code,342-COUNTA(cl_code))&amp;"",IF(342&lt;=COUNTA(cl_code)+COUNTA(fo_code)+COUNTA(p_services),INDEX(p_services,342-COUNTA(cl_code)-COUNTA(fo_code))&amp;"","")))</f>
        <v/>
      </c>
    </row>
    <row r="348">
      <c r="I348" t="str">
        <f>IF(343&lt;=COUNTA(cl_code),INDEX(cl_code,343)&amp;"",IF(343&lt;=COUNTA(cl_code)+COUNTA(fo_code),INDEX(fo_code,343-COUNTA(cl_code))&amp;"",IF(343&lt;=COUNTA(cl_code)+COUNTA(fo_code)+COUNTA(p_services),INDEX(p_services,343-COUNTA(cl_code)-COUNTA(fo_code))&amp;"","")))</f>
        <v/>
      </c>
    </row>
    <row r="349">
      <c r="I349" t="str">
        <f>IF(344&lt;=COUNTA(cl_code),INDEX(cl_code,344)&amp;"",IF(344&lt;=COUNTA(cl_code)+COUNTA(fo_code),INDEX(fo_code,344-COUNTA(cl_code))&amp;"",IF(344&lt;=COUNTA(cl_code)+COUNTA(fo_code)+COUNTA(p_services),INDEX(p_services,344-COUNTA(cl_code)-COUNTA(fo_code))&amp;"","")))</f>
        <v/>
      </c>
    </row>
    <row r="350">
      <c r="I350" t="str">
        <f>IF(345&lt;=COUNTA(cl_code),INDEX(cl_code,345)&amp;"",IF(345&lt;=COUNTA(cl_code)+COUNTA(fo_code),INDEX(fo_code,345-COUNTA(cl_code))&amp;"",IF(345&lt;=COUNTA(cl_code)+COUNTA(fo_code)+COUNTA(p_services),INDEX(p_services,345-COUNTA(cl_code)-COUNTA(fo_code))&amp;"","")))</f>
        <v/>
      </c>
    </row>
    <row r="351">
      <c r="I351" t="str">
        <f>IF(346&lt;=COUNTA(cl_code),INDEX(cl_code,346)&amp;"",IF(346&lt;=COUNTA(cl_code)+COUNTA(fo_code),INDEX(fo_code,346-COUNTA(cl_code))&amp;"",IF(346&lt;=COUNTA(cl_code)+COUNTA(fo_code)+COUNTA(p_services),INDEX(p_services,346-COUNTA(cl_code)-COUNTA(fo_code))&amp;"","")))</f>
        <v/>
      </c>
    </row>
    <row r="352">
      <c r="I352" t="str">
        <f>IF(347&lt;=COUNTA(cl_code),INDEX(cl_code,347)&amp;"",IF(347&lt;=COUNTA(cl_code)+COUNTA(fo_code),INDEX(fo_code,347-COUNTA(cl_code))&amp;"",IF(347&lt;=COUNTA(cl_code)+COUNTA(fo_code)+COUNTA(p_services),INDEX(p_services,347-COUNTA(cl_code)-COUNTA(fo_code))&amp;"","")))</f>
        <v/>
      </c>
    </row>
    <row r="353">
      <c r="I353" t="str">
        <f>IF(348&lt;=COUNTA(cl_code),INDEX(cl_code,348)&amp;"",IF(348&lt;=COUNTA(cl_code)+COUNTA(fo_code),INDEX(fo_code,348-COUNTA(cl_code))&amp;"",IF(348&lt;=COUNTA(cl_code)+COUNTA(fo_code)+COUNTA(p_services),INDEX(p_services,348-COUNTA(cl_code)-COUNTA(fo_code))&amp;"","")))</f>
        <v/>
      </c>
    </row>
    <row r="354">
      <c r="I354" t="str">
        <f>IF(349&lt;=COUNTA(cl_code),INDEX(cl_code,349)&amp;"",IF(349&lt;=COUNTA(cl_code)+COUNTA(fo_code),INDEX(fo_code,349-COUNTA(cl_code))&amp;"",IF(349&lt;=COUNTA(cl_code)+COUNTA(fo_code)+COUNTA(p_services),INDEX(p_services,349-COUNTA(cl_code)-COUNTA(fo_code))&amp;"","")))</f>
        <v/>
      </c>
    </row>
    <row r="355">
      <c r="I355" t="str">
        <f>IF(350&lt;=COUNTA(cl_code),INDEX(cl_code,350)&amp;"",IF(350&lt;=COUNTA(cl_code)+COUNTA(fo_code),INDEX(fo_code,350-COUNTA(cl_code))&amp;"",IF(350&lt;=COUNTA(cl_code)+COUNTA(fo_code)+COUNTA(p_services),INDEX(p_services,350-COUNTA(cl_code)-COUNTA(fo_code))&amp;"","")))</f>
        <v/>
      </c>
    </row>
    <row r="356">
      <c r="I356" t="str">
        <f>IF(351&lt;=COUNTA(cl_code),INDEX(cl_code,351)&amp;"",IF(351&lt;=COUNTA(cl_code)+COUNTA(fo_code),INDEX(fo_code,351-COUNTA(cl_code))&amp;"",IF(351&lt;=COUNTA(cl_code)+COUNTA(fo_code)+COUNTA(p_services),INDEX(p_services,351-COUNTA(cl_code)-COUNTA(fo_code))&amp;"","")))</f>
        <v/>
      </c>
    </row>
    <row r="357">
      <c r="I357" t="str">
        <f>IF(352&lt;=COUNTA(cl_code),INDEX(cl_code,352)&amp;"",IF(352&lt;=COUNTA(cl_code)+COUNTA(fo_code),INDEX(fo_code,352-COUNTA(cl_code))&amp;"",IF(352&lt;=COUNTA(cl_code)+COUNTA(fo_code)+COUNTA(p_services),INDEX(p_services,352-COUNTA(cl_code)-COUNTA(fo_code))&amp;"","")))</f>
        <v/>
      </c>
    </row>
    <row r="358">
      <c r="I358" t="str">
        <f>IF(353&lt;=COUNTA(cl_code),INDEX(cl_code,353)&amp;"",IF(353&lt;=COUNTA(cl_code)+COUNTA(fo_code),INDEX(fo_code,353-COUNTA(cl_code))&amp;"",IF(353&lt;=COUNTA(cl_code)+COUNTA(fo_code)+COUNTA(p_services),INDEX(p_services,353-COUNTA(cl_code)-COUNTA(fo_code))&amp;"","")))</f>
        <v/>
      </c>
    </row>
    <row r="359">
      <c r="I359" t="str">
        <f>IF(354&lt;=COUNTA(cl_code),INDEX(cl_code,354)&amp;"",IF(354&lt;=COUNTA(cl_code)+COUNTA(fo_code),INDEX(fo_code,354-COUNTA(cl_code))&amp;"",IF(354&lt;=COUNTA(cl_code)+COUNTA(fo_code)+COUNTA(p_services),INDEX(p_services,354-COUNTA(cl_code)-COUNTA(fo_code))&amp;"","")))</f>
        <v/>
      </c>
    </row>
    <row r="360">
      <c r="I360" t="str">
        <f>IF(355&lt;=COUNTA(cl_code),INDEX(cl_code,355)&amp;"",IF(355&lt;=COUNTA(cl_code)+COUNTA(fo_code),INDEX(fo_code,355-COUNTA(cl_code))&amp;"",IF(355&lt;=COUNTA(cl_code)+COUNTA(fo_code)+COUNTA(p_services),INDEX(p_services,355-COUNTA(cl_code)-COUNTA(fo_code))&amp;"","")))</f>
        <v/>
      </c>
    </row>
    <row r="361">
      <c r="I361" t="str">
        <f>IF(356&lt;=COUNTA(cl_code),INDEX(cl_code,356)&amp;"",IF(356&lt;=COUNTA(cl_code)+COUNTA(fo_code),INDEX(fo_code,356-COUNTA(cl_code))&amp;"",IF(356&lt;=COUNTA(cl_code)+COUNTA(fo_code)+COUNTA(p_services),INDEX(p_services,356-COUNTA(cl_code)-COUNTA(fo_code))&amp;"","")))</f>
        <v/>
      </c>
    </row>
    <row r="362">
      <c r="I362" t="str">
        <f>IF(357&lt;=COUNTA(cl_code),INDEX(cl_code,357)&amp;"",IF(357&lt;=COUNTA(cl_code)+COUNTA(fo_code),INDEX(fo_code,357-COUNTA(cl_code))&amp;"",IF(357&lt;=COUNTA(cl_code)+COUNTA(fo_code)+COUNTA(p_services),INDEX(p_services,357-COUNTA(cl_code)-COUNTA(fo_code))&amp;"","")))</f>
        <v/>
      </c>
    </row>
    <row r="363">
      <c r="I363" t="str">
        <f>IF(358&lt;=COUNTA(cl_code),INDEX(cl_code,358)&amp;"",IF(358&lt;=COUNTA(cl_code)+COUNTA(fo_code),INDEX(fo_code,358-COUNTA(cl_code))&amp;"",IF(358&lt;=COUNTA(cl_code)+COUNTA(fo_code)+COUNTA(p_services),INDEX(p_services,358-COUNTA(cl_code)-COUNTA(fo_code))&amp;"","")))</f>
        <v/>
      </c>
    </row>
    <row r="364">
      <c r="I364" t="str">
        <f>IF(359&lt;=COUNTA(cl_code),INDEX(cl_code,359)&amp;"",IF(359&lt;=COUNTA(cl_code)+COUNTA(fo_code),INDEX(fo_code,359-COUNTA(cl_code))&amp;"",IF(359&lt;=COUNTA(cl_code)+COUNTA(fo_code)+COUNTA(p_services),INDEX(p_services,359-COUNTA(cl_code)-COUNTA(fo_code))&amp;"","")))</f>
        <v/>
      </c>
    </row>
    <row r="365">
      <c r="I365" t="str">
        <f>IF(360&lt;=COUNTA(cl_code),INDEX(cl_code,360)&amp;"",IF(360&lt;=COUNTA(cl_code)+COUNTA(fo_code),INDEX(fo_code,360-COUNTA(cl_code))&amp;"",IF(360&lt;=COUNTA(cl_code)+COUNTA(fo_code)+COUNTA(p_services),INDEX(p_services,360-COUNTA(cl_code)-COUNTA(fo_code))&amp;"","")))</f>
        <v/>
      </c>
    </row>
    <row r="366">
      <c r="I366" t="str">
        <f>IF(361&lt;=COUNTA(cl_code),INDEX(cl_code,361)&amp;"",IF(361&lt;=COUNTA(cl_code)+COUNTA(fo_code),INDEX(fo_code,361-COUNTA(cl_code))&amp;"",IF(361&lt;=COUNTA(cl_code)+COUNTA(fo_code)+COUNTA(p_services),INDEX(p_services,361-COUNTA(cl_code)-COUNTA(fo_code))&amp;"","")))</f>
        <v/>
      </c>
    </row>
    <row r="367">
      <c r="I367" t="str">
        <f>IF(362&lt;=COUNTA(cl_code),INDEX(cl_code,362)&amp;"",IF(362&lt;=COUNTA(cl_code)+COUNTA(fo_code),INDEX(fo_code,362-COUNTA(cl_code))&amp;"",IF(362&lt;=COUNTA(cl_code)+COUNTA(fo_code)+COUNTA(p_services),INDEX(p_services,362-COUNTA(cl_code)-COUNTA(fo_code))&amp;"","")))</f>
        <v/>
      </c>
    </row>
    <row r="368">
      <c r="I368" t="str">
        <f>IF(363&lt;=COUNTA(cl_code),INDEX(cl_code,363)&amp;"",IF(363&lt;=COUNTA(cl_code)+COUNTA(fo_code),INDEX(fo_code,363-COUNTA(cl_code))&amp;"",IF(363&lt;=COUNTA(cl_code)+COUNTA(fo_code)+COUNTA(p_services),INDEX(p_services,363-COUNTA(cl_code)-COUNTA(fo_code))&amp;"","")))</f>
        <v/>
      </c>
    </row>
    <row r="369">
      <c r="I369" t="str">
        <f>IF(364&lt;=COUNTA(cl_code),INDEX(cl_code,364)&amp;"",IF(364&lt;=COUNTA(cl_code)+COUNTA(fo_code),INDEX(fo_code,364-COUNTA(cl_code))&amp;"",IF(364&lt;=COUNTA(cl_code)+COUNTA(fo_code)+COUNTA(p_services),INDEX(p_services,364-COUNTA(cl_code)-COUNTA(fo_code))&amp;"","")))</f>
        <v/>
      </c>
    </row>
    <row r="370">
      <c r="I370" t="str">
        <f>IF(365&lt;=COUNTA(cl_code),INDEX(cl_code,365)&amp;"",IF(365&lt;=COUNTA(cl_code)+COUNTA(fo_code),INDEX(fo_code,365-COUNTA(cl_code))&amp;"",IF(365&lt;=COUNTA(cl_code)+COUNTA(fo_code)+COUNTA(p_services),INDEX(p_services,365-COUNTA(cl_code)-COUNTA(fo_code))&amp;"","")))</f>
        <v/>
      </c>
    </row>
    <row r="371">
      <c r="I371" t="str">
        <f>IF(366&lt;=COUNTA(cl_code),INDEX(cl_code,366)&amp;"",IF(366&lt;=COUNTA(cl_code)+COUNTA(fo_code),INDEX(fo_code,366-COUNTA(cl_code))&amp;"",IF(366&lt;=COUNTA(cl_code)+COUNTA(fo_code)+COUNTA(p_services),INDEX(p_services,366-COUNTA(cl_code)-COUNTA(fo_code))&amp;"","")))</f>
        <v/>
      </c>
    </row>
    <row r="372">
      <c r="I372" t="str">
        <f>IF(367&lt;=COUNTA(cl_code),INDEX(cl_code,367)&amp;"",IF(367&lt;=COUNTA(cl_code)+COUNTA(fo_code),INDEX(fo_code,367-COUNTA(cl_code))&amp;"",IF(367&lt;=COUNTA(cl_code)+COUNTA(fo_code)+COUNTA(p_services),INDEX(p_services,367-COUNTA(cl_code)-COUNTA(fo_code))&amp;"","")))</f>
        <v/>
      </c>
    </row>
    <row r="373">
      <c r="I373" t="str">
        <f>IF(368&lt;=COUNTA(cl_code),INDEX(cl_code,368)&amp;"",IF(368&lt;=COUNTA(cl_code)+COUNTA(fo_code),INDEX(fo_code,368-COUNTA(cl_code))&amp;"",IF(368&lt;=COUNTA(cl_code)+COUNTA(fo_code)+COUNTA(p_services),INDEX(p_services,368-COUNTA(cl_code)-COUNTA(fo_code))&amp;"","")))</f>
        <v/>
      </c>
    </row>
    <row r="374">
      <c r="I374" t="str">
        <f>IF(369&lt;=COUNTA(cl_code),INDEX(cl_code,369)&amp;"",IF(369&lt;=COUNTA(cl_code)+COUNTA(fo_code),INDEX(fo_code,369-COUNTA(cl_code))&amp;"",IF(369&lt;=COUNTA(cl_code)+COUNTA(fo_code)+COUNTA(p_services),INDEX(p_services,369-COUNTA(cl_code)-COUNTA(fo_code))&amp;"","")))</f>
        <v/>
      </c>
    </row>
    <row r="375">
      <c r="I375" t="str">
        <f>IF(370&lt;=COUNTA(cl_code),INDEX(cl_code,370)&amp;"",IF(370&lt;=COUNTA(cl_code)+COUNTA(fo_code),INDEX(fo_code,370-COUNTA(cl_code))&amp;"",IF(370&lt;=COUNTA(cl_code)+COUNTA(fo_code)+COUNTA(p_services),INDEX(p_services,370-COUNTA(cl_code)-COUNTA(fo_code))&amp;"","")))</f>
        <v/>
      </c>
    </row>
    <row r="376">
      <c r="I376" t="str">
        <f>IF(371&lt;=COUNTA(cl_code),INDEX(cl_code,371)&amp;"",IF(371&lt;=COUNTA(cl_code)+COUNTA(fo_code),INDEX(fo_code,371-COUNTA(cl_code))&amp;"",IF(371&lt;=COUNTA(cl_code)+COUNTA(fo_code)+COUNTA(p_services),INDEX(p_services,371-COUNTA(cl_code)-COUNTA(fo_code))&amp;"","")))</f>
        <v/>
      </c>
    </row>
    <row r="377">
      <c r="I377" t="str">
        <f>IF(372&lt;=COUNTA(cl_code),INDEX(cl_code,372)&amp;"",IF(372&lt;=COUNTA(cl_code)+COUNTA(fo_code),INDEX(fo_code,372-COUNTA(cl_code))&amp;"",IF(372&lt;=COUNTA(cl_code)+COUNTA(fo_code)+COUNTA(p_services),INDEX(p_services,372-COUNTA(cl_code)-COUNTA(fo_code))&amp;"","")))</f>
        <v/>
      </c>
    </row>
    <row r="378">
      <c r="I378" t="str">
        <f>IF(373&lt;=COUNTA(cl_code),INDEX(cl_code,373)&amp;"",IF(373&lt;=COUNTA(cl_code)+COUNTA(fo_code),INDEX(fo_code,373-COUNTA(cl_code))&amp;"",IF(373&lt;=COUNTA(cl_code)+COUNTA(fo_code)+COUNTA(p_services),INDEX(p_services,373-COUNTA(cl_code)-COUNTA(fo_code))&amp;"","")))</f>
        <v/>
      </c>
    </row>
    <row r="379">
      <c r="I379" t="str">
        <f>IF(374&lt;=COUNTA(cl_code),INDEX(cl_code,374)&amp;"",IF(374&lt;=COUNTA(cl_code)+COUNTA(fo_code),INDEX(fo_code,374-COUNTA(cl_code))&amp;"",IF(374&lt;=COUNTA(cl_code)+COUNTA(fo_code)+COUNTA(p_services),INDEX(p_services,374-COUNTA(cl_code)-COUNTA(fo_code))&amp;"","")))</f>
        <v/>
      </c>
    </row>
    <row r="380">
      <c r="I380" t="str">
        <f>IF(375&lt;=COUNTA(cl_code),INDEX(cl_code,375)&amp;"",IF(375&lt;=COUNTA(cl_code)+COUNTA(fo_code),INDEX(fo_code,375-COUNTA(cl_code))&amp;"",IF(375&lt;=COUNTA(cl_code)+COUNTA(fo_code)+COUNTA(p_services),INDEX(p_services,375-COUNTA(cl_code)-COUNTA(fo_code))&amp;"","")))</f>
        <v/>
      </c>
    </row>
    <row r="381">
      <c r="I381" t="str">
        <f>IF(376&lt;=COUNTA(cl_code),INDEX(cl_code,376)&amp;"",IF(376&lt;=COUNTA(cl_code)+COUNTA(fo_code),INDEX(fo_code,376-COUNTA(cl_code))&amp;"",IF(376&lt;=COUNTA(cl_code)+COUNTA(fo_code)+COUNTA(p_services),INDEX(p_services,376-COUNTA(cl_code)-COUNTA(fo_code))&amp;"","")))</f>
        <v/>
      </c>
    </row>
    <row r="382">
      <c r="I382" t="str">
        <f>IF(377&lt;=COUNTA(cl_code),INDEX(cl_code,377)&amp;"",IF(377&lt;=COUNTA(cl_code)+COUNTA(fo_code),INDEX(fo_code,377-COUNTA(cl_code))&amp;"",IF(377&lt;=COUNTA(cl_code)+COUNTA(fo_code)+COUNTA(p_services),INDEX(p_services,377-COUNTA(cl_code)-COUNTA(fo_code))&amp;"","")))</f>
        <v/>
      </c>
    </row>
    <row r="383">
      <c r="I383" t="str">
        <f>IF(378&lt;=COUNTA(cl_code),INDEX(cl_code,378)&amp;"",IF(378&lt;=COUNTA(cl_code)+COUNTA(fo_code),INDEX(fo_code,378-COUNTA(cl_code))&amp;"",IF(378&lt;=COUNTA(cl_code)+COUNTA(fo_code)+COUNTA(p_services),INDEX(p_services,378-COUNTA(cl_code)-COUNTA(fo_code))&amp;"","")))</f>
        <v/>
      </c>
    </row>
    <row r="384">
      <c r="I384" t="str">
        <f>IF(379&lt;=COUNTA(cl_code),INDEX(cl_code,379)&amp;"",IF(379&lt;=COUNTA(cl_code)+COUNTA(fo_code),INDEX(fo_code,379-COUNTA(cl_code))&amp;"",IF(379&lt;=COUNTA(cl_code)+COUNTA(fo_code)+COUNTA(p_services),INDEX(p_services,379-COUNTA(cl_code)-COUNTA(fo_code))&amp;"","")))</f>
        <v/>
      </c>
    </row>
    <row r="385">
      <c r="I385" t="str">
        <f>IF(380&lt;=COUNTA(cl_code),INDEX(cl_code,380)&amp;"",IF(380&lt;=COUNTA(cl_code)+COUNTA(fo_code),INDEX(fo_code,380-COUNTA(cl_code))&amp;"",IF(380&lt;=COUNTA(cl_code)+COUNTA(fo_code)+COUNTA(p_services),INDEX(p_services,380-COUNTA(cl_code)-COUNTA(fo_code))&amp;"","")))</f>
        <v/>
      </c>
    </row>
    <row r="386">
      <c r="I386" t="str">
        <f>IF(381&lt;=COUNTA(cl_code),INDEX(cl_code,381)&amp;"",IF(381&lt;=COUNTA(cl_code)+COUNTA(fo_code),INDEX(fo_code,381-COUNTA(cl_code))&amp;"",IF(381&lt;=COUNTA(cl_code)+COUNTA(fo_code)+COUNTA(p_services),INDEX(p_services,381-COUNTA(cl_code)-COUNTA(fo_code))&amp;"","")))</f>
        <v/>
      </c>
    </row>
    <row r="387">
      <c r="I387" t="str">
        <f>IF(382&lt;=COUNTA(cl_code),INDEX(cl_code,382)&amp;"",IF(382&lt;=COUNTA(cl_code)+COUNTA(fo_code),INDEX(fo_code,382-COUNTA(cl_code))&amp;"",IF(382&lt;=COUNTA(cl_code)+COUNTA(fo_code)+COUNTA(p_services),INDEX(p_services,382-COUNTA(cl_code)-COUNTA(fo_code))&amp;"","")))</f>
        <v/>
      </c>
    </row>
    <row r="388">
      <c r="I388" t="str">
        <f>IF(383&lt;=COUNTA(cl_code),INDEX(cl_code,383)&amp;"",IF(383&lt;=COUNTA(cl_code)+COUNTA(fo_code),INDEX(fo_code,383-COUNTA(cl_code))&amp;"",IF(383&lt;=COUNTA(cl_code)+COUNTA(fo_code)+COUNTA(p_services),INDEX(p_services,383-COUNTA(cl_code)-COUNTA(fo_code))&amp;"","")))</f>
        <v/>
      </c>
    </row>
    <row r="389">
      <c r="I389" t="str">
        <f>IF(384&lt;=COUNTA(cl_code),INDEX(cl_code,384)&amp;"",IF(384&lt;=COUNTA(cl_code)+COUNTA(fo_code),INDEX(fo_code,384-COUNTA(cl_code))&amp;"",IF(384&lt;=COUNTA(cl_code)+COUNTA(fo_code)+COUNTA(p_services),INDEX(p_services,384-COUNTA(cl_code)-COUNTA(fo_code))&amp;"","")))</f>
        <v/>
      </c>
    </row>
    <row r="390">
      <c r="I390" t="str">
        <f>IF(385&lt;=COUNTA(cl_code),INDEX(cl_code,385)&amp;"",IF(385&lt;=COUNTA(cl_code)+COUNTA(fo_code),INDEX(fo_code,385-COUNTA(cl_code))&amp;"",IF(385&lt;=COUNTA(cl_code)+COUNTA(fo_code)+COUNTA(p_services),INDEX(p_services,385-COUNTA(cl_code)-COUNTA(fo_code))&amp;"","")))</f>
        <v/>
      </c>
    </row>
    <row r="391">
      <c r="I391" t="str">
        <f>IF(386&lt;=COUNTA(cl_code),INDEX(cl_code,386)&amp;"",IF(386&lt;=COUNTA(cl_code)+COUNTA(fo_code),INDEX(fo_code,386-COUNTA(cl_code))&amp;"",IF(386&lt;=COUNTA(cl_code)+COUNTA(fo_code)+COUNTA(p_services),INDEX(p_services,386-COUNTA(cl_code)-COUNTA(fo_code))&amp;"","")))</f>
        <v/>
      </c>
    </row>
    <row r="392">
      <c r="I392" t="str">
        <f>IF(387&lt;=COUNTA(cl_code),INDEX(cl_code,387)&amp;"",IF(387&lt;=COUNTA(cl_code)+COUNTA(fo_code),INDEX(fo_code,387-COUNTA(cl_code))&amp;"",IF(387&lt;=COUNTA(cl_code)+COUNTA(fo_code)+COUNTA(p_services),INDEX(p_services,387-COUNTA(cl_code)-COUNTA(fo_code))&amp;"","")))</f>
        <v/>
      </c>
    </row>
    <row r="393">
      <c r="I393" t="str">
        <f>IF(388&lt;=COUNTA(cl_code),INDEX(cl_code,388)&amp;"",IF(388&lt;=COUNTA(cl_code)+COUNTA(fo_code),INDEX(fo_code,388-COUNTA(cl_code))&amp;"",IF(388&lt;=COUNTA(cl_code)+COUNTA(fo_code)+COUNTA(p_services),INDEX(p_services,388-COUNTA(cl_code)-COUNTA(fo_code))&amp;"","")))</f>
        <v/>
      </c>
    </row>
    <row r="394">
      <c r="I394" t="str">
        <f>IF(389&lt;=COUNTA(cl_code),INDEX(cl_code,389)&amp;"",IF(389&lt;=COUNTA(cl_code)+COUNTA(fo_code),INDEX(fo_code,389-COUNTA(cl_code))&amp;"",IF(389&lt;=COUNTA(cl_code)+COUNTA(fo_code)+COUNTA(p_services),INDEX(p_services,389-COUNTA(cl_code)-COUNTA(fo_code))&amp;"","")))</f>
        <v/>
      </c>
    </row>
    <row r="395">
      <c r="I395" t="str">
        <f>IF(390&lt;=COUNTA(cl_code),INDEX(cl_code,390)&amp;"",IF(390&lt;=COUNTA(cl_code)+COUNTA(fo_code),INDEX(fo_code,390-COUNTA(cl_code))&amp;"",IF(390&lt;=COUNTA(cl_code)+COUNTA(fo_code)+COUNTA(p_services),INDEX(p_services,390-COUNTA(cl_code)-COUNTA(fo_code))&amp;"","")))</f>
        <v/>
      </c>
    </row>
    <row r="396">
      <c r="I396" t="str">
        <f>IF(391&lt;=COUNTA(cl_code),INDEX(cl_code,391)&amp;"",IF(391&lt;=COUNTA(cl_code)+COUNTA(fo_code),INDEX(fo_code,391-COUNTA(cl_code))&amp;"",IF(391&lt;=COUNTA(cl_code)+COUNTA(fo_code)+COUNTA(p_services),INDEX(p_services,391-COUNTA(cl_code)-COUNTA(fo_code))&amp;"","")))</f>
        <v/>
      </c>
    </row>
    <row r="397">
      <c r="I397" t="str">
        <f>IF(392&lt;=COUNTA(cl_code),INDEX(cl_code,392)&amp;"",IF(392&lt;=COUNTA(cl_code)+COUNTA(fo_code),INDEX(fo_code,392-COUNTA(cl_code))&amp;"",IF(392&lt;=COUNTA(cl_code)+COUNTA(fo_code)+COUNTA(p_services),INDEX(p_services,392-COUNTA(cl_code)-COUNTA(fo_code))&amp;"","")))</f>
        <v/>
      </c>
    </row>
    <row r="398">
      <c r="I398" t="str">
        <f>IF(393&lt;=COUNTA(cl_code),INDEX(cl_code,393)&amp;"",IF(393&lt;=COUNTA(cl_code)+COUNTA(fo_code),INDEX(fo_code,393-COUNTA(cl_code))&amp;"",IF(393&lt;=COUNTA(cl_code)+COUNTA(fo_code)+COUNTA(p_services),INDEX(p_services,393-COUNTA(cl_code)-COUNTA(fo_code))&amp;"","")))</f>
        <v/>
      </c>
    </row>
    <row r="399">
      <c r="I399" t="str">
        <f>IF(394&lt;=COUNTA(cl_code),INDEX(cl_code,394)&amp;"",IF(394&lt;=COUNTA(cl_code)+COUNTA(fo_code),INDEX(fo_code,394-COUNTA(cl_code))&amp;"",IF(394&lt;=COUNTA(cl_code)+COUNTA(fo_code)+COUNTA(p_services),INDEX(p_services,394-COUNTA(cl_code)-COUNTA(fo_code))&amp;"","")))</f>
        <v/>
      </c>
    </row>
    <row r="400">
      <c r="I400" t="str">
        <f>IF(395&lt;=COUNTA(cl_code),INDEX(cl_code,395)&amp;"",IF(395&lt;=COUNTA(cl_code)+COUNTA(fo_code),INDEX(fo_code,395-COUNTA(cl_code))&amp;"",IF(395&lt;=COUNTA(cl_code)+COUNTA(fo_code)+COUNTA(p_services),INDEX(p_services,395-COUNTA(cl_code)-COUNTA(fo_code))&amp;"","")))</f>
        <v/>
      </c>
    </row>
    <row r="401">
      <c r="I401" t="str">
        <f>IF(396&lt;=COUNTA(cl_code),INDEX(cl_code,396)&amp;"",IF(396&lt;=COUNTA(cl_code)+COUNTA(fo_code),INDEX(fo_code,396-COUNTA(cl_code))&amp;"",IF(396&lt;=COUNTA(cl_code)+COUNTA(fo_code)+COUNTA(p_services),INDEX(p_services,396-COUNTA(cl_code)-COUNTA(fo_code))&amp;"","")))</f>
        <v/>
      </c>
    </row>
    <row r="402">
      <c r="I402" t="str">
        <f>IF(397&lt;=COUNTA(cl_code),INDEX(cl_code,397)&amp;"",IF(397&lt;=COUNTA(cl_code)+COUNTA(fo_code),INDEX(fo_code,397-COUNTA(cl_code))&amp;"",IF(397&lt;=COUNTA(cl_code)+COUNTA(fo_code)+COUNTA(p_services),INDEX(p_services,397-COUNTA(cl_code)-COUNTA(fo_code))&amp;"","")))</f>
        <v/>
      </c>
    </row>
    <row r="403">
      <c r="I403" t="str">
        <f>IF(398&lt;=COUNTA(cl_code),INDEX(cl_code,398)&amp;"",IF(398&lt;=COUNTA(cl_code)+COUNTA(fo_code),INDEX(fo_code,398-COUNTA(cl_code))&amp;"",IF(398&lt;=COUNTA(cl_code)+COUNTA(fo_code)+COUNTA(p_services),INDEX(p_services,398-COUNTA(cl_code)-COUNTA(fo_code))&amp;"","")))</f>
        <v/>
      </c>
    </row>
    <row r="404">
      <c r="I404" t="str">
        <f>IF(399&lt;=COUNTA(cl_code),INDEX(cl_code,399)&amp;"",IF(399&lt;=COUNTA(cl_code)+COUNTA(fo_code),INDEX(fo_code,399-COUNTA(cl_code))&amp;"",IF(399&lt;=COUNTA(cl_code)+COUNTA(fo_code)+COUNTA(p_services),INDEX(p_services,399-COUNTA(cl_code)-COUNTA(fo_code))&amp;"","")))</f>
        <v/>
      </c>
    </row>
    <row r="405">
      <c r="I405" t="str">
        <f>IF(400&lt;=COUNTA(cl_code),INDEX(cl_code,400)&amp;"",IF(400&lt;=COUNTA(cl_code)+COUNTA(fo_code),INDEX(fo_code,400-COUNTA(cl_code))&amp;"",IF(400&lt;=COUNTA(cl_code)+COUNTA(fo_code)+COUNTA(p_services),INDEX(p_services,400-COUNTA(cl_code)-COUNTA(fo_code))&amp;"","")))</f>
        <v/>
      </c>
    </row>
    <row r="406">
      <c r="I406" t="str">
        <f>IF(401&lt;=COUNTA(cl_code),INDEX(cl_code,401)&amp;"",IF(401&lt;=COUNTA(cl_code)+COUNTA(fo_code),INDEX(fo_code,401-COUNTA(cl_code))&amp;"",IF(401&lt;=COUNTA(cl_code)+COUNTA(fo_code)+COUNTA(p_services),INDEX(p_services,401-COUNTA(cl_code)-COUNTA(fo_code))&amp;"","")))</f>
        <v/>
      </c>
    </row>
    <row r="407">
      <c r="I407" t="str">
        <f>IF(402&lt;=COUNTA(cl_code),INDEX(cl_code,402)&amp;"",IF(402&lt;=COUNTA(cl_code)+COUNTA(fo_code),INDEX(fo_code,402-COUNTA(cl_code))&amp;"",IF(402&lt;=COUNTA(cl_code)+COUNTA(fo_code)+COUNTA(p_services),INDEX(p_services,402-COUNTA(cl_code)-COUNTA(fo_code))&amp;"","")))</f>
        <v/>
      </c>
    </row>
    <row r="408">
      <c r="I408" t="str">
        <f>IF(403&lt;=COUNTA(cl_code),INDEX(cl_code,403)&amp;"",IF(403&lt;=COUNTA(cl_code)+COUNTA(fo_code),INDEX(fo_code,403-COUNTA(cl_code))&amp;"",IF(403&lt;=COUNTA(cl_code)+COUNTA(fo_code)+COUNTA(p_services),INDEX(p_services,403-COUNTA(cl_code)-COUNTA(fo_code))&amp;"","")))</f>
        <v/>
      </c>
    </row>
    <row r="409">
      <c r="I409" t="str">
        <f>IF(404&lt;=COUNTA(cl_code),INDEX(cl_code,404)&amp;"",IF(404&lt;=COUNTA(cl_code)+COUNTA(fo_code),INDEX(fo_code,404-COUNTA(cl_code))&amp;"",IF(404&lt;=COUNTA(cl_code)+COUNTA(fo_code)+COUNTA(p_services),INDEX(p_services,404-COUNTA(cl_code)-COUNTA(fo_code))&amp;"","")))</f>
        <v/>
      </c>
    </row>
    <row r="410">
      <c r="I410" t="str">
        <f>IF(405&lt;=COUNTA(cl_code),INDEX(cl_code,405)&amp;"",IF(405&lt;=COUNTA(cl_code)+COUNTA(fo_code),INDEX(fo_code,405-COUNTA(cl_code))&amp;"",IF(405&lt;=COUNTA(cl_code)+COUNTA(fo_code)+COUNTA(p_services),INDEX(p_services,405-COUNTA(cl_code)-COUNTA(fo_code))&amp;"","")))</f>
        <v/>
      </c>
    </row>
    <row r="411">
      <c r="I411" t="str">
        <f>IF(406&lt;=COUNTA(cl_code),INDEX(cl_code,406)&amp;"",IF(406&lt;=COUNTA(cl_code)+COUNTA(fo_code),INDEX(fo_code,406-COUNTA(cl_code))&amp;"",IF(406&lt;=COUNTA(cl_code)+COUNTA(fo_code)+COUNTA(p_services),INDEX(p_services,406-COUNTA(cl_code)-COUNTA(fo_code))&amp;"","")))</f>
        <v/>
      </c>
    </row>
    <row r="412">
      <c r="I412" t="str">
        <f>IF(407&lt;=COUNTA(cl_code),INDEX(cl_code,407)&amp;"",IF(407&lt;=COUNTA(cl_code)+COUNTA(fo_code),INDEX(fo_code,407-COUNTA(cl_code))&amp;"",IF(407&lt;=COUNTA(cl_code)+COUNTA(fo_code)+COUNTA(p_services),INDEX(p_services,407-COUNTA(cl_code)-COUNTA(fo_code))&amp;"","")))</f>
        <v/>
      </c>
    </row>
    <row r="413">
      <c r="I413" t="str">
        <f>IF(408&lt;=COUNTA(cl_code),INDEX(cl_code,408)&amp;"",IF(408&lt;=COUNTA(cl_code)+COUNTA(fo_code),INDEX(fo_code,408-COUNTA(cl_code))&amp;"",IF(408&lt;=COUNTA(cl_code)+COUNTA(fo_code)+COUNTA(p_services),INDEX(p_services,408-COUNTA(cl_code)-COUNTA(fo_code))&amp;"","")))</f>
        <v/>
      </c>
    </row>
    <row r="414">
      <c r="I414" t="str">
        <f>IF(409&lt;=COUNTA(cl_code),INDEX(cl_code,409)&amp;"",IF(409&lt;=COUNTA(cl_code)+COUNTA(fo_code),INDEX(fo_code,409-COUNTA(cl_code))&amp;"",IF(409&lt;=COUNTA(cl_code)+COUNTA(fo_code)+COUNTA(p_services),INDEX(p_services,409-COUNTA(cl_code)-COUNTA(fo_code))&amp;"","")))</f>
        <v/>
      </c>
    </row>
    <row r="415">
      <c r="I415" t="str">
        <f>IF(410&lt;=COUNTA(cl_code),INDEX(cl_code,410)&amp;"",IF(410&lt;=COUNTA(cl_code)+COUNTA(fo_code),INDEX(fo_code,410-COUNTA(cl_code))&amp;"",IF(410&lt;=COUNTA(cl_code)+COUNTA(fo_code)+COUNTA(p_services),INDEX(p_services,410-COUNTA(cl_code)-COUNTA(fo_code))&amp;"","")))</f>
        <v/>
      </c>
    </row>
    <row r="416">
      <c r="I416" t="str">
        <f>IF(411&lt;=COUNTA(cl_code),INDEX(cl_code,411)&amp;"",IF(411&lt;=COUNTA(cl_code)+COUNTA(fo_code),INDEX(fo_code,411-COUNTA(cl_code))&amp;"",IF(411&lt;=COUNTA(cl_code)+COUNTA(fo_code)+COUNTA(p_services),INDEX(p_services,411-COUNTA(cl_code)-COUNTA(fo_code))&amp;"","")))</f>
        <v/>
      </c>
    </row>
    <row r="417">
      <c r="I417" t="str">
        <f>IF(412&lt;=COUNTA(cl_code),INDEX(cl_code,412)&amp;"",IF(412&lt;=COUNTA(cl_code)+COUNTA(fo_code),INDEX(fo_code,412-COUNTA(cl_code))&amp;"",IF(412&lt;=COUNTA(cl_code)+COUNTA(fo_code)+COUNTA(p_services),INDEX(p_services,412-COUNTA(cl_code)-COUNTA(fo_code))&amp;"","")))</f>
        <v/>
      </c>
    </row>
    <row r="418">
      <c r="I418" t="str">
        <f>IF(413&lt;=COUNTA(cl_code),INDEX(cl_code,413)&amp;"",IF(413&lt;=COUNTA(cl_code)+COUNTA(fo_code),INDEX(fo_code,413-COUNTA(cl_code))&amp;"",IF(413&lt;=COUNTA(cl_code)+COUNTA(fo_code)+COUNTA(p_services),INDEX(p_services,413-COUNTA(cl_code)-COUNTA(fo_code))&amp;"","")))</f>
        <v/>
      </c>
    </row>
    <row r="419">
      <c r="I419" t="str">
        <f>IF(414&lt;=COUNTA(cl_code),INDEX(cl_code,414)&amp;"",IF(414&lt;=COUNTA(cl_code)+COUNTA(fo_code),INDEX(fo_code,414-COUNTA(cl_code))&amp;"",IF(414&lt;=COUNTA(cl_code)+COUNTA(fo_code)+COUNTA(p_services),INDEX(p_services,414-COUNTA(cl_code)-COUNTA(fo_code))&amp;"","")))</f>
        <v/>
      </c>
    </row>
    <row r="420">
      <c r="I420" t="str">
        <f>IF(415&lt;=COUNTA(cl_code),INDEX(cl_code,415)&amp;"",IF(415&lt;=COUNTA(cl_code)+COUNTA(fo_code),INDEX(fo_code,415-COUNTA(cl_code))&amp;"",IF(415&lt;=COUNTA(cl_code)+COUNTA(fo_code)+COUNTA(p_services),INDEX(p_services,415-COUNTA(cl_code)-COUNTA(fo_code))&amp;"","")))</f>
        <v/>
      </c>
    </row>
    <row r="421">
      <c r="I421" t="str">
        <f>IF(416&lt;=COUNTA(cl_code),INDEX(cl_code,416)&amp;"",IF(416&lt;=COUNTA(cl_code)+COUNTA(fo_code),INDEX(fo_code,416-COUNTA(cl_code))&amp;"",IF(416&lt;=COUNTA(cl_code)+COUNTA(fo_code)+COUNTA(p_services),INDEX(p_services,416-COUNTA(cl_code)-COUNTA(fo_code))&amp;"","")))</f>
        <v/>
      </c>
    </row>
    <row r="422">
      <c r="I422" t="str">
        <f>IF(417&lt;=COUNTA(cl_code),INDEX(cl_code,417)&amp;"",IF(417&lt;=COUNTA(cl_code)+COUNTA(fo_code),INDEX(fo_code,417-COUNTA(cl_code))&amp;"",IF(417&lt;=COUNTA(cl_code)+COUNTA(fo_code)+COUNTA(p_services),INDEX(p_services,417-COUNTA(cl_code)-COUNTA(fo_code))&amp;"","")))</f>
        <v/>
      </c>
    </row>
    <row r="423">
      <c r="I423" t="str">
        <f>IF(418&lt;=COUNTA(cl_code),INDEX(cl_code,418)&amp;"",IF(418&lt;=COUNTA(cl_code)+COUNTA(fo_code),INDEX(fo_code,418-COUNTA(cl_code))&amp;"",IF(418&lt;=COUNTA(cl_code)+COUNTA(fo_code)+COUNTA(p_services),INDEX(p_services,418-COUNTA(cl_code)-COUNTA(fo_code))&amp;"","")))</f>
        <v/>
      </c>
    </row>
    <row r="424">
      <c r="I424" t="str">
        <f>IF(419&lt;=COUNTA(cl_code),INDEX(cl_code,419)&amp;"",IF(419&lt;=COUNTA(cl_code)+COUNTA(fo_code),INDEX(fo_code,419-COUNTA(cl_code))&amp;"",IF(419&lt;=COUNTA(cl_code)+COUNTA(fo_code)+COUNTA(p_services),INDEX(p_services,419-COUNTA(cl_code)-COUNTA(fo_code))&amp;"","")))</f>
        <v/>
      </c>
    </row>
    <row r="425">
      <c r="I425" t="str">
        <f>IF(420&lt;=COUNTA(cl_code),INDEX(cl_code,420)&amp;"",IF(420&lt;=COUNTA(cl_code)+COUNTA(fo_code),INDEX(fo_code,420-COUNTA(cl_code))&amp;"",IF(420&lt;=COUNTA(cl_code)+COUNTA(fo_code)+COUNTA(p_services),INDEX(p_services,420-COUNTA(cl_code)-COUNTA(fo_code))&amp;"","")))</f>
        <v/>
      </c>
    </row>
    <row r="426">
      <c r="I426" t="str">
        <f>IF(421&lt;=COUNTA(cl_code),INDEX(cl_code,421)&amp;"",IF(421&lt;=COUNTA(cl_code)+COUNTA(fo_code),INDEX(fo_code,421-COUNTA(cl_code))&amp;"",IF(421&lt;=COUNTA(cl_code)+COUNTA(fo_code)+COUNTA(p_services),INDEX(p_services,421-COUNTA(cl_code)-COUNTA(fo_code))&amp;"","")))</f>
        <v/>
      </c>
    </row>
    <row r="427">
      <c r="I427" t="str">
        <f>IF(422&lt;=COUNTA(cl_code),INDEX(cl_code,422)&amp;"",IF(422&lt;=COUNTA(cl_code)+COUNTA(fo_code),INDEX(fo_code,422-COUNTA(cl_code))&amp;"",IF(422&lt;=COUNTA(cl_code)+COUNTA(fo_code)+COUNTA(p_services),INDEX(p_services,422-COUNTA(cl_code)-COUNTA(fo_code))&amp;"","")))</f>
        <v/>
      </c>
    </row>
    <row r="428">
      <c r="I428" t="str">
        <f>IF(423&lt;=COUNTA(cl_code),INDEX(cl_code,423)&amp;"",IF(423&lt;=COUNTA(cl_code)+COUNTA(fo_code),INDEX(fo_code,423-COUNTA(cl_code))&amp;"",IF(423&lt;=COUNTA(cl_code)+COUNTA(fo_code)+COUNTA(p_services),INDEX(p_services,423-COUNTA(cl_code)-COUNTA(fo_code))&amp;"","")))</f>
        <v/>
      </c>
    </row>
    <row r="429">
      <c r="I429" t="str">
        <f>IF(424&lt;=COUNTA(cl_code),INDEX(cl_code,424)&amp;"",IF(424&lt;=COUNTA(cl_code)+COUNTA(fo_code),INDEX(fo_code,424-COUNTA(cl_code))&amp;"",IF(424&lt;=COUNTA(cl_code)+COUNTA(fo_code)+COUNTA(p_services),INDEX(p_services,424-COUNTA(cl_code)-COUNTA(fo_code))&amp;"","")))</f>
        <v/>
      </c>
    </row>
    <row r="430">
      <c r="I430" t="str">
        <f>IF(425&lt;=COUNTA(cl_code),INDEX(cl_code,425)&amp;"",IF(425&lt;=COUNTA(cl_code)+COUNTA(fo_code),INDEX(fo_code,425-COUNTA(cl_code))&amp;"",IF(425&lt;=COUNTA(cl_code)+COUNTA(fo_code)+COUNTA(p_services),INDEX(p_services,425-COUNTA(cl_code)-COUNTA(fo_code))&amp;"","")))</f>
        <v/>
      </c>
    </row>
    <row r="431">
      <c r="I431" t="str">
        <f>IF(426&lt;=COUNTA(cl_code),INDEX(cl_code,426)&amp;"",IF(426&lt;=COUNTA(cl_code)+COUNTA(fo_code),INDEX(fo_code,426-COUNTA(cl_code))&amp;"",IF(426&lt;=COUNTA(cl_code)+COUNTA(fo_code)+COUNTA(p_services),INDEX(p_services,426-COUNTA(cl_code)-COUNTA(fo_code))&amp;"","")))</f>
        <v/>
      </c>
    </row>
    <row r="432">
      <c r="I432" t="str">
        <f>IF(427&lt;=COUNTA(cl_code),INDEX(cl_code,427)&amp;"",IF(427&lt;=COUNTA(cl_code)+COUNTA(fo_code),INDEX(fo_code,427-COUNTA(cl_code))&amp;"",IF(427&lt;=COUNTA(cl_code)+COUNTA(fo_code)+COUNTA(p_services),INDEX(p_services,427-COUNTA(cl_code)-COUNTA(fo_code))&amp;"","")))</f>
        <v/>
      </c>
    </row>
    <row r="433">
      <c r="I433" t="str">
        <f>IF(428&lt;=COUNTA(cl_code),INDEX(cl_code,428)&amp;"",IF(428&lt;=COUNTA(cl_code)+COUNTA(fo_code),INDEX(fo_code,428-COUNTA(cl_code))&amp;"",IF(428&lt;=COUNTA(cl_code)+COUNTA(fo_code)+COUNTA(p_services),INDEX(p_services,428-COUNTA(cl_code)-COUNTA(fo_code))&amp;"","")))</f>
        <v/>
      </c>
    </row>
    <row r="434">
      <c r="I434" t="str">
        <f>IF(429&lt;=COUNTA(cl_code),INDEX(cl_code,429)&amp;"",IF(429&lt;=COUNTA(cl_code)+COUNTA(fo_code),INDEX(fo_code,429-COUNTA(cl_code))&amp;"",IF(429&lt;=COUNTA(cl_code)+COUNTA(fo_code)+COUNTA(p_services),INDEX(p_services,429-COUNTA(cl_code)-COUNTA(fo_code))&amp;"","")))</f>
        <v/>
      </c>
    </row>
    <row r="435">
      <c r="I435" t="str">
        <f>IF(430&lt;=COUNTA(cl_code),INDEX(cl_code,430)&amp;"",IF(430&lt;=COUNTA(cl_code)+COUNTA(fo_code),INDEX(fo_code,430-COUNTA(cl_code))&amp;"",IF(430&lt;=COUNTA(cl_code)+COUNTA(fo_code)+COUNTA(p_services),INDEX(p_services,430-COUNTA(cl_code)-COUNTA(fo_code))&amp;"","")))</f>
        <v/>
      </c>
    </row>
    <row r="436">
      <c r="I436" t="str">
        <f>IF(431&lt;=COUNTA(cl_code),INDEX(cl_code,431)&amp;"",IF(431&lt;=COUNTA(cl_code)+COUNTA(fo_code),INDEX(fo_code,431-COUNTA(cl_code))&amp;"",IF(431&lt;=COUNTA(cl_code)+COUNTA(fo_code)+COUNTA(p_services),INDEX(p_services,431-COUNTA(cl_code)-COUNTA(fo_code))&amp;"","")))</f>
        <v/>
      </c>
    </row>
    <row r="437">
      <c r="I437" t="str">
        <f>IF(432&lt;=COUNTA(cl_code),INDEX(cl_code,432)&amp;"",IF(432&lt;=COUNTA(cl_code)+COUNTA(fo_code),INDEX(fo_code,432-COUNTA(cl_code))&amp;"",IF(432&lt;=COUNTA(cl_code)+COUNTA(fo_code)+COUNTA(p_services),INDEX(p_services,432-COUNTA(cl_code)-COUNTA(fo_code))&amp;"","")))</f>
        <v/>
      </c>
    </row>
    <row r="438">
      <c r="I438" t="str">
        <f>IF(433&lt;=COUNTA(cl_code),INDEX(cl_code,433)&amp;"",IF(433&lt;=COUNTA(cl_code)+COUNTA(fo_code),INDEX(fo_code,433-COUNTA(cl_code))&amp;"",IF(433&lt;=COUNTA(cl_code)+COUNTA(fo_code)+COUNTA(p_services),INDEX(p_services,433-COUNTA(cl_code)-COUNTA(fo_code))&amp;"","")))</f>
        <v/>
      </c>
    </row>
    <row r="439">
      <c r="I439" t="str">
        <f>IF(434&lt;=COUNTA(cl_code),INDEX(cl_code,434)&amp;"",IF(434&lt;=COUNTA(cl_code)+COUNTA(fo_code),INDEX(fo_code,434-COUNTA(cl_code))&amp;"",IF(434&lt;=COUNTA(cl_code)+COUNTA(fo_code)+COUNTA(p_services),INDEX(p_services,434-COUNTA(cl_code)-COUNTA(fo_code))&amp;"","")))</f>
        <v/>
      </c>
    </row>
    <row r="440">
      <c r="I440" t="str">
        <f>IF(435&lt;=COUNTA(cl_code),INDEX(cl_code,435)&amp;"",IF(435&lt;=COUNTA(cl_code)+COUNTA(fo_code),INDEX(fo_code,435-COUNTA(cl_code))&amp;"",IF(435&lt;=COUNTA(cl_code)+COUNTA(fo_code)+COUNTA(p_services),INDEX(p_services,435-COUNTA(cl_code)-COUNTA(fo_code))&amp;"","")))</f>
        <v/>
      </c>
    </row>
    <row r="441">
      <c r="I441" t="str">
        <f>IF(436&lt;=COUNTA(cl_code),INDEX(cl_code,436)&amp;"",IF(436&lt;=COUNTA(cl_code)+COUNTA(fo_code),INDEX(fo_code,436-COUNTA(cl_code))&amp;"",IF(436&lt;=COUNTA(cl_code)+COUNTA(fo_code)+COUNTA(p_services),INDEX(p_services,436-COUNTA(cl_code)-COUNTA(fo_code))&amp;"","")))</f>
        <v/>
      </c>
    </row>
    <row r="442">
      <c r="I442" t="str">
        <f>IF(437&lt;=COUNTA(cl_code),INDEX(cl_code,437)&amp;"",IF(437&lt;=COUNTA(cl_code)+COUNTA(fo_code),INDEX(fo_code,437-COUNTA(cl_code))&amp;"",IF(437&lt;=COUNTA(cl_code)+COUNTA(fo_code)+COUNTA(p_services),INDEX(p_services,437-COUNTA(cl_code)-COUNTA(fo_code))&amp;"","")))</f>
        <v/>
      </c>
    </row>
    <row r="443">
      <c r="I443" t="str">
        <f>IF(438&lt;=COUNTA(cl_code),INDEX(cl_code,438)&amp;"",IF(438&lt;=COUNTA(cl_code)+COUNTA(fo_code),INDEX(fo_code,438-COUNTA(cl_code))&amp;"",IF(438&lt;=COUNTA(cl_code)+COUNTA(fo_code)+COUNTA(p_services),INDEX(p_services,438-COUNTA(cl_code)-COUNTA(fo_code))&amp;"","")))</f>
        <v/>
      </c>
    </row>
    <row r="444">
      <c r="I444" t="str">
        <f>IF(439&lt;=COUNTA(cl_code),INDEX(cl_code,439)&amp;"",IF(439&lt;=COUNTA(cl_code)+COUNTA(fo_code),INDEX(fo_code,439-COUNTA(cl_code))&amp;"",IF(439&lt;=COUNTA(cl_code)+COUNTA(fo_code)+COUNTA(p_services),INDEX(p_services,439-COUNTA(cl_code)-COUNTA(fo_code))&amp;"","")))</f>
        <v/>
      </c>
    </row>
    <row r="445">
      <c r="I445" t="str">
        <f>IF(440&lt;=COUNTA(cl_code),INDEX(cl_code,440)&amp;"",IF(440&lt;=COUNTA(cl_code)+COUNTA(fo_code),INDEX(fo_code,440-COUNTA(cl_code))&amp;"",IF(440&lt;=COUNTA(cl_code)+COUNTA(fo_code)+COUNTA(p_services),INDEX(p_services,440-COUNTA(cl_code)-COUNTA(fo_code))&amp;"","")))</f>
        <v/>
      </c>
    </row>
    <row r="446">
      <c r="I446" t="str">
        <f>IF(441&lt;=COUNTA(cl_code),INDEX(cl_code,441)&amp;"",IF(441&lt;=COUNTA(cl_code)+COUNTA(fo_code),INDEX(fo_code,441-COUNTA(cl_code))&amp;"",IF(441&lt;=COUNTA(cl_code)+COUNTA(fo_code)+COUNTA(p_services),INDEX(p_services,441-COUNTA(cl_code)-COUNTA(fo_code))&amp;"","")))</f>
        <v/>
      </c>
    </row>
    <row r="447">
      <c r="I447" t="str">
        <f>IF(442&lt;=COUNTA(cl_code),INDEX(cl_code,442)&amp;"",IF(442&lt;=COUNTA(cl_code)+COUNTA(fo_code),INDEX(fo_code,442-COUNTA(cl_code))&amp;"",IF(442&lt;=COUNTA(cl_code)+COUNTA(fo_code)+COUNTA(p_services),INDEX(p_services,442-COUNTA(cl_code)-COUNTA(fo_code))&amp;"","")))</f>
        <v/>
      </c>
    </row>
    <row r="448">
      <c r="I448" t="str">
        <f>IF(443&lt;=COUNTA(cl_code),INDEX(cl_code,443)&amp;"",IF(443&lt;=COUNTA(cl_code)+COUNTA(fo_code),INDEX(fo_code,443-COUNTA(cl_code))&amp;"",IF(443&lt;=COUNTA(cl_code)+COUNTA(fo_code)+COUNTA(p_services),INDEX(p_services,443-COUNTA(cl_code)-COUNTA(fo_code))&amp;"","")))</f>
        <v/>
      </c>
    </row>
    <row r="449">
      <c r="I449" t="str">
        <f>IF(444&lt;=COUNTA(cl_code),INDEX(cl_code,444)&amp;"",IF(444&lt;=COUNTA(cl_code)+COUNTA(fo_code),INDEX(fo_code,444-COUNTA(cl_code))&amp;"",IF(444&lt;=COUNTA(cl_code)+COUNTA(fo_code)+COUNTA(p_services),INDEX(p_services,444-COUNTA(cl_code)-COUNTA(fo_code))&amp;"","")))</f>
        <v/>
      </c>
    </row>
    <row r="450">
      <c r="I450" t="str">
        <f>IF(445&lt;=COUNTA(cl_code),INDEX(cl_code,445)&amp;"",IF(445&lt;=COUNTA(cl_code)+COUNTA(fo_code),INDEX(fo_code,445-COUNTA(cl_code))&amp;"",IF(445&lt;=COUNTA(cl_code)+COUNTA(fo_code)+COUNTA(p_services),INDEX(p_services,445-COUNTA(cl_code)-COUNTA(fo_code))&amp;"","")))</f>
        <v/>
      </c>
    </row>
    <row r="451">
      <c r="I451" t="str">
        <f>IF(446&lt;=COUNTA(cl_code),INDEX(cl_code,446)&amp;"",IF(446&lt;=COUNTA(cl_code)+COUNTA(fo_code),INDEX(fo_code,446-COUNTA(cl_code))&amp;"",IF(446&lt;=COUNTA(cl_code)+COUNTA(fo_code)+COUNTA(p_services),INDEX(p_services,446-COUNTA(cl_code)-COUNTA(fo_code))&amp;"","")))</f>
        <v/>
      </c>
    </row>
    <row r="452">
      <c r="I452" t="str">
        <f>IF(447&lt;=COUNTA(cl_code),INDEX(cl_code,447)&amp;"",IF(447&lt;=COUNTA(cl_code)+COUNTA(fo_code),INDEX(fo_code,447-COUNTA(cl_code))&amp;"",IF(447&lt;=COUNTA(cl_code)+COUNTA(fo_code)+COUNTA(p_services),INDEX(p_services,447-COUNTA(cl_code)-COUNTA(fo_code))&amp;"","")))</f>
        <v/>
      </c>
    </row>
    <row r="453">
      <c r="I453" t="str">
        <f>IF(448&lt;=COUNTA(cl_code),INDEX(cl_code,448)&amp;"",IF(448&lt;=COUNTA(cl_code)+COUNTA(fo_code),INDEX(fo_code,448-COUNTA(cl_code))&amp;"",IF(448&lt;=COUNTA(cl_code)+COUNTA(fo_code)+COUNTA(p_services),INDEX(p_services,448-COUNTA(cl_code)-COUNTA(fo_code))&amp;"","")))</f>
        <v/>
      </c>
    </row>
    <row r="454">
      <c r="I454" t="str">
        <f>IF(449&lt;=COUNTA(cl_code),INDEX(cl_code,449)&amp;"",IF(449&lt;=COUNTA(cl_code)+COUNTA(fo_code),INDEX(fo_code,449-COUNTA(cl_code))&amp;"",IF(449&lt;=COUNTA(cl_code)+COUNTA(fo_code)+COUNTA(p_services),INDEX(p_services,449-COUNTA(cl_code)-COUNTA(fo_code))&amp;"","")))</f>
        <v/>
      </c>
    </row>
    <row r="455">
      <c r="I455" t="str">
        <f>IF(450&lt;=COUNTA(cl_code),INDEX(cl_code,450)&amp;"",IF(450&lt;=COUNTA(cl_code)+COUNTA(fo_code),INDEX(fo_code,450-COUNTA(cl_code))&amp;"",IF(450&lt;=COUNTA(cl_code)+COUNTA(fo_code)+COUNTA(p_services),INDEX(p_services,450-COUNTA(cl_code)-COUNTA(fo_code))&amp;"","")))</f>
        <v/>
      </c>
    </row>
    <row r="456">
      <c r="I456" t="str">
        <f>IF(451&lt;=COUNTA(cl_code),INDEX(cl_code,451)&amp;"",IF(451&lt;=COUNTA(cl_code)+COUNTA(fo_code),INDEX(fo_code,451-COUNTA(cl_code))&amp;"",IF(451&lt;=COUNTA(cl_code)+COUNTA(fo_code)+COUNTA(p_services),INDEX(p_services,451-COUNTA(cl_code)-COUNTA(fo_code))&amp;"","")))</f>
        <v/>
      </c>
    </row>
    <row r="457">
      <c r="I457" t="str">
        <f>IF(452&lt;=COUNTA(cl_code),INDEX(cl_code,452)&amp;"",IF(452&lt;=COUNTA(cl_code)+COUNTA(fo_code),INDEX(fo_code,452-COUNTA(cl_code))&amp;"",IF(452&lt;=COUNTA(cl_code)+COUNTA(fo_code)+COUNTA(p_services),INDEX(p_services,452-COUNTA(cl_code)-COUNTA(fo_code))&amp;"","")))</f>
        <v/>
      </c>
    </row>
    <row r="458">
      <c r="I458" t="str">
        <f>IF(453&lt;=COUNTA(cl_code),INDEX(cl_code,453)&amp;"",IF(453&lt;=COUNTA(cl_code)+COUNTA(fo_code),INDEX(fo_code,453-COUNTA(cl_code))&amp;"",IF(453&lt;=COUNTA(cl_code)+COUNTA(fo_code)+COUNTA(p_services),INDEX(p_services,453-COUNTA(cl_code)-COUNTA(fo_code))&amp;"","")))</f>
        <v/>
      </c>
    </row>
    <row r="459">
      <c r="I459" t="str">
        <f>IF(454&lt;=COUNTA(cl_code),INDEX(cl_code,454)&amp;"",IF(454&lt;=COUNTA(cl_code)+COUNTA(fo_code),INDEX(fo_code,454-COUNTA(cl_code))&amp;"",IF(454&lt;=COUNTA(cl_code)+COUNTA(fo_code)+COUNTA(p_services),INDEX(p_services,454-COUNTA(cl_code)-COUNTA(fo_code))&amp;"","")))</f>
        <v/>
      </c>
    </row>
    <row r="460">
      <c r="I460" t="str">
        <f>IF(455&lt;=COUNTA(cl_code),INDEX(cl_code,455)&amp;"",IF(455&lt;=COUNTA(cl_code)+COUNTA(fo_code),INDEX(fo_code,455-COUNTA(cl_code))&amp;"",IF(455&lt;=COUNTA(cl_code)+COUNTA(fo_code)+COUNTA(p_services),INDEX(p_services,455-COUNTA(cl_code)-COUNTA(fo_code))&amp;"","")))</f>
        <v/>
      </c>
    </row>
    <row r="461">
      <c r="I461" t="str">
        <f>IF(456&lt;=COUNTA(cl_code),INDEX(cl_code,456)&amp;"",IF(456&lt;=COUNTA(cl_code)+COUNTA(fo_code),INDEX(fo_code,456-COUNTA(cl_code))&amp;"",IF(456&lt;=COUNTA(cl_code)+COUNTA(fo_code)+COUNTA(p_services),INDEX(p_services,456-COUNTA(cl_code)-COUNTA(fo_code))&amp;"","")))</f>
        <v/>
      </c>
    </row>
    <row r="462">
      <c r="I462" t="str">
        <f>IF(457&lt;=COUNTA(cl_code),INDEX(cl_code,457)&amp;"",IF(457&lt;=COUNTA(cl_code)+COUNTA(fo_code),INDEX(fo_code,457-COUNTA(cl_code))&amp;"",IF(457&lt;=COUNTA(cl_code)+COUNTA(fo_code)+COUNTA(p_services),INDEX(p_services,457-COUNTA(cl_code)-COUNTA(fo_code))&amp;"","")))</f>
        <v/>
      </c>
    </row>
    <row r="463">
      <c r="I463" t="str">
        <f>IF(458&lt;=COUNTA(cl_code),INDEX(cl_code,458)&amp;"",IF(458&lt;=COUNTA(cl_code)+COUNTA(fo_code),INDEX(fo_code,458-COUNTA(cl_code))&amp;"",IF(458&lt;=COUNTA(cl_code)+COUNTA(fo_code)+COUNTA(p_services),INDEX(p_services,458-COUNTA(cl_code)-COUNTA(fo_code))&amp;"","")))</f>
        <v/>
      </c>
    </row>
    <row r="464">
      <c r="I464" t="str">
        <f>IF(459&lt;=COUNTA(cl_code),INDEX(cl_code,459)&amp;"",IF(459&lt;=COUNTA(cl_code)+COUNTA(fo_code),INDEX(fo_code,459-COUNTA(cl_code))&amp;"",IF(459&lt;=COUNTA(cl_code)+COUNTA(fo_code)+COUNTA(p_services),INDEX(p_services,459-COUNTA(cl_code)-COUNTA(fo_code))&amp;"","")))</f>
        <v/>
      </c>
    </row>
    <row r="465">
      <c r="I465" t="str">
        <f>IF(460&lt;=COUNTA(cl_code),INDEX(cl_code,460)&amp;"",IF(460&lt;=COUNTA(cl_code)+COUNTA(fo_code),INDEX(fo_code,460-COUNTA(cl_code))&amp;"",IF(460&lt;=COUNTA(cl_code)+COUNTA(fo_code)+COUNTA(p_services),INDEX(p_services,460-COUNTA(cl_code)-COUNTA(fo_code))&amp;"","")))</f>
        <v/>
      </c>
    </row>
    <row r="466">
      <c r="I466" t="str">
        <f>IF(461&lt;=COUNTA(cl_code),INDEX(cl_code,461)&amp;"",IF(461&lt;=COUNTA(cl_code)+COUNTA(fo_code),INDEX(fo_code,461-COUNTA(cl_code))&amp;"",IF(461&lt;=COUNTA(cl_code)+COUNTA(fo_code)+COUNTA(p_services),INDEX(p_services,461-COUNTA(cl_code)-COUNTA(fo_code))&amp;"","")))</f>
        <v/>
      </c>
    </row>
    <row r="467">
      <c r="I467" t="str">
        <f>IF(462&lt;=COUNTA(cl_code),INDEX(cl_code,462)&amp;"",IF(462&lt;=COUNTA(cl_code)+COUNTA(fo_code),INDEX(fo_code,462-COUNTA(cl_code))&amp;"",IF(462&lt;=COUNTA(cl_code)+COUNTA(fo_code)+COUNTA(p_services),INDEX(p_services,462-COUNTA(cl_code)-COUNTA(fo_code))&amp;"","")))</f>
        <v/>
      </c>
    </row>
    <row r="468">
      <c r="I468" t="str">
        <f>IF(463&lt;=COUNTA(cl_code),INDEX(cl_code,463)&amp;"",IF(463&lt;=COUNTA(cl_code)+COUNTA(fo_code),INDEX(fo_code,463-COUNTA(cl_code))&amp;"",IF(463&lt;=COUNTA(cl_code)+COUNTA(fo_code)+COUNTA(p_services),INDEX(p_services,463-COUNTA(cl_code)-COUNTA(fo_code))&amp;"","")))</f>
        <v/>
      </c>
    </row>
    <row r="469">
      <c r="I469" t="str">
        <f>IF(464&lt;=COUNTA(cl_code),INDEX(cl_code,464)&amp;"",IF(464&lt;=COUNTA(cl_code)+COUNTA(fo_code),INDEX(fo_code,464-COUNTA(cl_code))&amp;"",IF(464&lt;=COUNTA(cl_code)+COUNTA(fo_code)+COUNTA(p_services),INDEX(p_services,464-COUNTA(cl_code)-COUNTA(fo_code))&amp;"","")))</f>
        <v/>
      </c>
    </row>
    <row r="470">
      <c r="I470" t="str">
        <f>IF(465&lt;=COUNTA(cl_code),INDEX(cl_code,465)&amp;"",IF(465&lt;=COUNTA(cl_code)+COUNTA(fo_code),INDEX(fo_code,465-COUNTA(cl_code))&amp;"",IF(465&lt;=COUNTA(cl_code)+COUNTA(fo_code)+COUNTA(p_services),INDEX(p_services,465-COUNTA(cl_code)-COUNTA(fo_code))&amp;"","")))</f>
        <v/>
      </c>
    </row>
    <row r="471">
      <c r="I471" t="str">
        <f>IF(466&lt;=COUNTA(cl_code),INDEX(cl_code,466)&amp;"",IF(466&lt;=COUNTA(cl_code)+COUNTA(fo_code),INDEX(fo_code,466-COUNTA(cl_code))&amp;"",IF(466&lt;=COUNTA(cl_code)+COUNTA(fo_code)+COUNTA(p_services),INDEX(p_services,466-COUNTA(cl_code)-COUNTA(fo_code))&amp;"","")))</f>
        <v/>
      </c>
    </row>
    <row r="472">
      <c r="I472" t="str">
        <f>IF(467&lt;=COUNTA(cl_code),INDEX(cl_code,467)&amp;"",IF(467&lt;=COUNTA(cl_code)+COUNTA(fo_code),INDEX(fo_code,467-COUNTA(cl_code))&amp;"",IF(467&lt;=COUNTA(cl_code)+COUNTA(fo_code)+COUNTA(p_services),INDEX(p_services,467-COUNTA(cl_code)-COUNTA(fo_code))&amp;"","")))</f>
        <v/>
      </c>
    </row>
    <row r="473">
      <c r="I473" t="str">
        <f>IF(468&lt;=COUNTA(cl_code),INDEX(cl_code,468)&amp;"",IF(468&lt;=COUNTA(cl_code)+COUNTA(fo_code),INDEX(fo_code,468-COUNTA(cl_code))&amp;"",IF(468&lt;=COUNTA(cl_code)+COUNTA(fo_code)+COUNTA(p_services),INDEX(p_services,468-COUNTA(cl_code)-COUNTA(fo_code))&amp;"","")))</f>
        <v/>
      </c>
    </row>
    <row r="474">
      <c r="I474" t="str">
        <f>IF(469&lt;=COUNTA(cl_code),INDEX(cl_code,469)&amp;"",IF(469&lt;=COUNTA(cl_code)+COUNTA(fo_code),INDEX(fo_code,469-COUNTA(cl_code))&amp;"",IF(469&lt;=COUNTA(cl_code)+COUNTA(fo_code)+COUNTA(p_services),INDEX(p_services,469-COUNTA(cl_code)-COUNTA(fo_code))&amp;"","")))</f>
        <v/>
      </c>
    </row>
    <row r="475">
      <c r="I475" t="str">
        <f>IF(470&lt;=COUNTA(cl_code),INDEX(cl_code,470)&amp;"",IF(470&lt;=COUNTA(cl_code)+COUNTA(fo_code),INDEX(fo_code,470-COUNTA(cl_code))&amp;"",IF(470&lt;=COUNTA(cl_code)+COUNTA(fo_code)+COUNTA(p_services),INDEX(p_services,470-COUNTA(cl_code)-COUNTA(fo_code))&amp;"","")))</f>
        <v/>
      </c>
    </row>
    <row r="476">
      <c r="I476" t="str">
        <f>IF(471&lt;=COUNTA(cl_code),INDEX(cl_code,471)&amp;"",IF(471&lt;=COUNTA(cl_code)+COUNTA(fo_code),INDEX(fo_code,471-COUNTA(cl_code))&amp;"",IF(471&lt;=COUNTA(cl_code)+COUNTA(fo_code)+COUNTA(p_services),INDEX(p_services,471-COUNTA(cl_code)-COUNTA(fo_code))&amp;"","")))</f>
        <v/>
      </c>
    </row>
    <row r="477">
      <c r="I477" t="str">
        <f>IF(472&lt;=COUNTA(cl_code),INDEX(cl_code,472)&amp;"",IF(472&lt;=COUNTA(cl_code)+COUNTA(fo_code),INDEX(fo_code,472-COUNTA(cl_code))&amp;"",IF(472&lt;=COUNTA(cl_code)+COUNTA(fo_code)+COUNTA(p_services),INDEX(p_services,472-COUNTA(cl_code)-COUNTA(fo_code))&amp;"","")))</f>
        <v/>
      </c>
    </row>
    <row r="478">
      <c r="I478" t="str">
        <f>IF(473&lt;=COUNTA(cl_code),INDEX(cl_code,473)&amp;"",IF(473&lt;=COUNTA(cl_code)+COUNTA(fo_code),INDEX(fo_code,473-COUNTA(cl_code))&amp;"",IF(473&lt;=COUNTA(cl_code)+COUNTA(fo_code)+COUNTA(p_services),INDEX(p_services,473-COUNTA(cl_code)-COUNTA(fo_code))&amp;"","")))</f>
        <v/>
      </c>
    </row>
    <row r="479">
      <c r="I479" t="str">
        <f>IF(474&lt;=COUNTA(cl_code),INDEX(cl_code,474)&amp;"",IF(474&lt;=COUNTA(cl_code)+COUNTA(fo_code),INDEX(fo_code,474-COUNTA(cl_code))&amp;"",IF(474&lt;=COUNTA(cl_code)+COUNTA(fo_code)+COUNTA(p_services),INDEX(p_services,474-COUNTA(cl_code)-COUNTA(fo_code))&amp;"","")))</f>
        <v/>
      </c>
    </row>
    <row r="480">
      <c r="I480" t="str">
        <f>IF(475&lt;=COUNTA(cl_code),INDEX(cl_code,475)&amp;"",IF(475&lt;=COUNTA(cl_code)+COUNTA(fo_code),INDEX(fo_code,475-COUNTA(cl_code))&amp;"",IF(475&lt;=COUNTA(cl_code)+COUNTA(fo_code)+COUNTA(p_services),INDEX(p_services,475-COUNTA(cl_code)-COUNTA(fo_code))&amp;"","")))</f>
        <v/>
      </c>
    </row>
    <row r="481">
      <c r="I481" t="str">
        <f>IF(476&lt;=COUNTA(cl_code),INDEX(cl_code,476)&amp;"",IF(476&lt;=COUNTA(cl_code)+COUNTA(fo_code),INDEX(fo_code,476-COUNTA(cl_code))&amp;"",IF(476&lt;=COUNTA(cl_code)+COUNTA(fo_code)+COUNTA(p_services),INDEX(p_services,476-COUNTA(cl_code)-COUNTA(fo_code))&amp;"","")))</f>
        <v/>
      </c>
    </row>
    <row r="482">
      <c r="I482" t="str">
        <f>IF(477&lt;=COUNTA(cl_code),INDEX(cl_code,477)&amp;"",IF(477&lt;=COUNTA(cl_code)+COUNTA(fo_code),INDEX(fo_code,477-COUNTA(cl_code))&amp;"",IF(477&lt;=COUNTA(cl_code)+COUNTA(fo_code)+COUNTA(p_services),INDEX(p_services,477-COUNTA(cl_code)-COUNTA(fo_code))&amp;"","")))</f>
        <v/>
      </c>
    </row>
    <row r="483">
      <c r="I483" t="str">
        <f>IF(478&lt;=COUNTA(cl_code),INDEX(cl_code,478)&amp;"",IF(478&lt;=COUNTA(cl_code)+COUNTA(fo_code),INDEX(fo_code,478-COUNTA(cl_code))&amp;"",IF(478&lt;=COUNTA(cl_code)+COUNTA(fo_code)+COUNTA(p_services),INDEX(p_services,478-COUNTA(cl_code)-COUNTA(fo_code))&amp;"","")))</f>
        <v/>
      </c>
    </row>
    <row r="484">
      <c r="I484" t="str">
        <f>IF(479&lt;=COUNTA(cl_code),INDEX(cl_code,479)&amp;"",IF(479&lt;=COUNTA(cl_code)+COUNTA(fo_code),INDEX(fo_code,479-COUNTA(cl_code))&amp;"",IF(479&lt;=COUNTA(cl_code)+COUNTA(fo_code)+COUNTA(p_services),INDEX(p_services,479-COUNTA(cl_code)-COUNTA(fo_code))&amp;"","")))</f>
        <v/>
      </c>
    </row>
    <row r="485">
      <c r="I485" t="str">
        <f>IF(480&lt;=COUNTA(cl_code),INDEX(cl_code,480)&amp;"",IF(480&lt;=COUNTA(cl_code)+COUNTA(fo_code),INDEX(fo_code,480-COUNTA(cl_code))&amp;"",IF(480&lt;=COUNTA(cl_code)+COUNTA(fo_code)+COUNTA(p_services),INDEX(p_services,480-COUNTA(cl_code)-COUNTA(fo_code))&amp;"","")))</f>
        <v/>
      </c>
    </row>
    <row r="486">
      <c r="I486" t="str">
        <f>IF(481&lt;=COUNTA(cl_code),INDEX(cl_code,481)&amp;"",IF(481&lt;=COUNTA(cl_code)+COUNTA(fo_code),INDEX(fo_code,481-COUNTA(cl_code))&amp;"",IF(481&lt;=COUNTA(cl_code)+COUNTA(fo_code)+COUNTA(p_services),INDEX(p_services,481-COUNTA(cl_code)-COUNTA(fo_code))&amp;"","")))</f>
        <v/>
      </c>
    </row>
    <row r="487">
      <c r="I487" t="str">
        <f>IF(482&lt;=COUNTA(cl_code),INDEX(cl_code,482)&amp;"",IF(482&lt;=COUNTA(cl_code)+COUNTA(fo_code),INDEX(fo_code,482-COUNTA(cl_code))&amp;"",IF(482&lt;=COUNTA(cl_code)+COUNTA(fo_code)+COUNTA(p_services),INDEX(p_services,482-COUNTA(cl_code)-COUNTA(fo_code))&amp;"","")))</f>
        <v/>
      </c>
    </row>
    <row r="488">
      <c r="I488" t="str">
        <f>IF(483&lt;=COUNTA(cl_code),INDEX(cl_code,483)&amp;"",IF(483&lt;=COUNTA(cl_code)+COUNTA(fo_code),INDEX(fo_code,483-COUNTA(cl_code))&amp;"",IF(483&lt;=COUNTA(cl_code)+COUNTA(fo_code)+COUNTA(p_services),INDEX(p_services,483-COUNTA(cl_code)-COUNTA(fo_code))&amp;"","")))</f>
        <v/>
      </c>
    </row>
    <row r="489">
      <c r="I489" t="str">
        <f>IF(484&lt;=COUNTA(cl_code),INDEX(cl_code,484)&amp;"",IF(484&lt;=COUNTA(cl_code)+COUNTA(fo_code),INDEX(fo_code,484-COUNTA(cl_code))&amp;"",IF(484&lt;=COUNTA(cl_code)+COUNTA(fo_code)+COUNTA(p_services),INDEX(p_services,484-COUNTA(cl_code)-COUNTA(fo_code))&amp;"","")))</f>
        <v/>
      </c>
    </row>
    <row r="490">
      <c r="I490" t="str">
        <f>IF(485&lt;=COUNTA(cl_code),INDEX(cl_code,485)&amp;"",IF(485&lt;=COUNTA(cl_code)+COUNTA(fo_code),INDEX(fo_code,485-COUNTA(cl_code))&amp;"",IF(485&lt;=COUNTA(cl_code)+COUNTA(fo_code)+COUNTA(p_services),INDEX(p_services,485-COUNTA(cl_code)-COUNTA(fo_code))&amp;"","")))</f>
        <v/>
      </c>
    </row>
    <row r="491">
      <c r="I491" t="str">
        <f>IF(486&lt;=COUNTA(cl_code),INDEX(cl_code,486)&amp;"",IF(486&lt;=COUNTA(cl_code)+COUNTA(fo_code),INDEX(fo_code,486-COUNTA(cl_code))&amp;"",IF(486&lt;=COUNTA(cl_code)+COUNTA(fo_code)+COUNTA(p_services),INDEX(p_services,486-COUNTA(cl_code)-COUNTA(fo_code))&amp;"","")))</f>
        <v/>
      </c>
    </row>
    <row r="492">
      <c r="I492" t="str">
        <f>IF(487&lt;=COUNTA(cl_code),INDEX(cl_code,487)&amp;"",IF(487&lt;=COUNTA(cl_code)+COUNTA(fo_code),INDEX(fo_code,487-COUNTA(cl_code))&amp;"",IF(487&lt;=COUNTA(cl_code)+COUNTA(fo_code)+COUNTA(p_services),INDEX(p_services,487-COUNTA(cl_code)-COUNTA(fo_code))&amp;"","")))</f>
        <v/>
      </c>
    </row>
    <row r="493">
      <c r="I493" t="str">
        <f>IF(488&lt;=COUNTA(cl_code),INDEX(cl_code,488)&amp;"",IF(488&lt;=COUNTA(cl_code)+COUNTA(fo_code),INDEX(fo_code,488-COUNTA(cl_code))&amp;"",IF(488&lt;=COUNTA(cl_code)+COUNTA(fo_code)+COUNTA(p_services),INDEX(p_services,488-COUNTA(cl_code)-COUNTA(fo_code))&amp;"","")))</f>
        <v/>
      </c>
    </row>
    <row r="494">
      <c r="I494" t="str">
        <f>IF(489&lt;=COUNTA(cl_code),INDEX(cl_code,489)&amp;"",IF(489&lt;=COUNTA(cl_code)+COUNTA(fo_code),INDEX(fo_code,489-COUNTA(cl_code))&amp;"",IF(489&lt;=COUNTA(cl_code)+COUNTA(fo_code)+COUNTA(p_services),INDEX(p_services,489-COUNTA(cl_code)-COUNTA(fo_code))&amp;"","")))</f>
        <v/>
      </c>
    </row>
    <row r="495">
      <c r="I495" t="str">
        <f>IF(490&lt;=COUNTA(cl_code),INDEX(cl_code,490)&amp;"",IF(490&lt;=COUNTA(cl_code)+COUNTA(fo_code),INDEX(fo_code,490-COUNTA(cl_code))&amp;"",IF(490&lt;=COUNTA(cl_code)+COUNTA(fo_code)+COUNTA(p_services),INDEX(p_services,490-COUNTA(cl_code)-COUNTA(fo_code))&amp;"","")))</f>
        <v/>
      </c>
    </row>
    <row r="496">
      <c r="I496" t="str">
        <f>IF(491&lt;=COUNTA(cl_code),INDEX(cl_code,491)&amp;"",IF(491&lt;=COUNTA(cl_code)+COUNTA(fo_code),INDEX(fo_code,491-COUNTA(cl_code))&amp;"",IF(491&lt;=COUNTA(cl_code)+COUNTA(fo_code)+COUNTA(p_services),INDEX(p_services,491-COUNTA(cl_code)-COUNTA(fo_code))&amp;"","")))</f>
        <v/>
      </c>
    </row>
    <row r="497">
      <c r="I497" t="str">
        <f>IF(492&lt;=COUNTA(cl_code),INDEX(cl_code,492)&amp;"",IF(492&lt;=COUNTA(cl_code)+COUNTA(fo_code),INDEX(fo_code,492-COUNTA(cl_code))&amp;"",IF(492&lt;=COUNTA(cl_code)+COUNTA(fo_code)+COUNTA(p_services),INDEX(p_services,492-COUNTA(cl_code)-COUNTA(fo_code))&amp;"","")))</f>
        <v/>
      </c>
    </row>
    <row r="498">
      <c r="I498" t="str">
        <f>IF(493&lt;=COUNTA(cl_code),INDEX(cl_code,493)&amp;"",IF(493&lt;=COUNTA(cl_code)+COUNTA(fo_code),INDEX(fo_code,493-COUNTA(cl_code))&amp;"",IF(493&lt;=COUNTA(cl_code)+COUNTA(fo_code)+COUNTA(p_services),INDEX(p_services,493-COUNTA(cl_code)-COUNTA(fo_code))&amp;"","")))</f>
        <v/>
      </c>
    </row>
    <row r="499">
      <c r="I499" t="str">
        <f>IF(494&lt;=COUNTA(cl_code),INDEX(cl_code,494)&amp;"",IF(494&lt;=COUNTA(cl_code)+COUNTA(fo_code),INDEX(fo_code,494-COUNTA(cl_code))&amp;"",IF(494&lt;=COUNTA(cl_code)+COUNTA(fo_code)+COUNTA(p_services),INDEX(p_services,494-COUNTA(cl_code)-COUNTA(fo_code))&amp;"","")))</f>
        <v/>
      </c>
    </row>
    <row r="500">
      <c r="I500" t="str">
        <f>IF(495&lt;=COUNTA(cl_code),INDEX(cl_code,495)&amp;"",IF(495&lt;=COUNTA(cl_code)+COUNTA(fo_code),INDEX(fo_code,495-COUNTA(cl_code))&amp;"",IF(495&lt;=COUNTA(cl_code)+COUNTA(fo_code)+COUNTA(p_services),INDEX(p_services,495-COUNTA(cl_code)-COUNTA(fo_code))&amp;"","")))</f>
        <v/>
      </c>
    </row>
    <row r="501">
      <c r="I501" t="str">
        <f>IF(496&lt;=COUNTA(cl_code),INDEX(cl_code,496)&amp;"",IF(496&lt;=COUNTA(cl_code)+COUNTA(fo_code),INDEX(fo_code,496-COUNTA(cl_code))&amp;"",IF(496&lt;=COUNTA(cl_code)+COUNTA(fo_code)+COUNTA(p_services),INDEX(p_services,496-COUNTA(cl_code)-COUNTA(fo_code))&amp;"","")))</f>
        <v/>
      </c>
    </row>
    <row r="502">
      <c r="I502" t="str">
        <f>IF(497&lt;=COUNTA(cl_code),INDEX(cl_code,497)&amp;"",IF(497&lt;=COUNTA(cl_code)+COUNTA(fo_code),INDEX(fo_code,497-COUNTA(cl_code))&amp;"",IF(497&lt;=COUNTA(cl_code)+COUNTA(fo_code)+COUNTA(p_services),INDEX(p_services,497-COUNTA(cl_code)-COUNTA(fo_code))&amp;"","")))</f>
        <v/>
      </c>
    </row>
    <row r="503">
      <c r="I503" t="str">
        <f>IF(498&lt;=COUNTA(cl_code),INDEX(cl_code,498)&amp;"",IF(498&lt;=COUNTA(cl_code)+COUNTA(fo_code),INDEX(fo_code,498-COUNTA(cl_code))&amp;"",IF(498&lt;=COUNTA(cl_code)+COUNTA(fo_code)+COUNTA(p_services),INDEX(p_services,498-COUNTA(cl_code)-COUNTA(fo_code))&amp;"","")))</f>
        <v/>
      </c>
    </row>
    <row r="504">
      <c r="I504" t="str">
        <f>IF(499&lt;=COUNTA(cl_code),INDEX(cl_code,499)&amp;"",IF(499&lt;=COUNTA(cl_code)+COUNTA(fo_code),INDEX(fo_code,499-COUNTA(cl_code))&amp;"",IF(499&lt;=COUNTA(cl_code)+COUNTA(fo_code)+COUNTA(p_services),INDEX(p_services,499-COUNTA(cl_code)-COUNTA(fo_code))&amp;"","")))</f>
        <v/>
      </c>
    </row>
    <row r="505">
      <c r="I505" t="str">
        <f>IF(500&lt;=COUNTA(cl_code),INDEX(cl_code,500)&amp;"",IF(500&lt;=COUNTA(cl_code)+COUNTA(fo_code),INDEX(fo_code,500-COUNTA(cl_code))&amp;"",IF(500&lt;=COUNTA(cl_code)+COUNTA(fo_code)+COUNTA(p_services),INDEX(p_services,500-COUNTA(cl_code)-COUNTA(fo_code))&amp;"","")))</f>
        <v/>
      </c>
    </row>
    <row r="506">
      <c r="I506" t="str">
        <f>IF(501&lt;=COUNTA(cl_code),INDEX(cl_code,501)&amp;"",IF(501&lt;=COUNTA(cl_code)+COUNTA(fo_code),INDEX(fo_code,501-COUNTA(cl_code))&amp;"",IF(501&lt;=COUNTA(cl_code)+COUNTA(fo_code)+COUNTA(p_services),INDEX(p_services,501-COUNTA(cl_code)-COUNTA(fo_code))&amp;"","")))</f>
        <v/>
      </c>
    </row>
    <row r="507">
      <c r="I507" t="str">
        <f>IF(502&lt;=COUNTA(cl_code),INDEX(cl_code,502)&amp;"",IF(502&lt;=COUNTA(cl_code)+COUNTA(fo_code),INDEX(fo_code,502-COUNTA(cl_code))&amp;"",IF(502&lt;=COUNTA(cl_code)+COUNTA(fo_code)+COUNTA(p_services),INDEX(p_services,502-COUNTA(cl_code)-COUNTA(fo_code))&amp;"","")))</f>
        <v/>
      </c>
    </row>
    <row r="508">
      <c r="I508" t="str">
        <f>IF(503&lt;=COUNTA(cl_code),INDEX(cl_code,503)&amp;"",IF(503&lt;=COUNTA(cl_code)+COUNTA(fo_code),INDEX(fo_code,503-COUNTA(cl_code))&amp;"",IF(503&lt;=COUNTA(cl_code)+COUNTA(fo_code)+COUNTA(p_services),INDEX(p_services,503-COUNTA(cl_code)-COUNTA(fo_code))&amp;"","")))</f>
        <v/>
      </c>
    </row>
    <row r="509">
      <c r="I509" t="str">
        <f>IF(504&lt;=COUNTA(cl_code),INDEX(cl_code,504)&amp;"",IF(504&lt;=COUNTA(cl_code)+COUNTA(fo_code),INDEX(fo_code,504-COUNTA(cl_code))&amp;"",IF(504&lt;=COUNTA(cl_code)+COUNTA(fo_code)+COUNTA(p_services),INDEX(p_services,504-COUNTA(cl_code)-COUNTA(fo_code))&amp;"","")))</f>
        <v/>
      </c>
    </row>
    <row r="510">
      <c r="I510" t="str">
        <f>IF(505&lt;=COUNTA(cl_code),INDEX(cl_code,505)&amp;"",IF(505&lt;=COUNTA(cl_code)+COUNTA(fo_code),INDEX(fo_code,505-COUNTA(cl_code))&amp;"",IF(505&lt;=COUNTA(cl_code)+COUNTA(fo_code)+COUNTA(p_services),INDEX(p_services,505-COUNTA(cl_code)-COUNTA(fo_code))&amp;"","")))</f>
        <v/>
      </c>
    </row>
    <row r="511">
      <c r="I511" t="str">
        <f>IF(506&lt;=COUNTA(cl_code),INDEX(cl_code,506)&amp;"",IF(506&lt;=COUNTA(cl_code)+COUNTA(fo_code),INDEX(fo_code,506-COUNTA(cl_code))&amp;"",IF(506&lt;=COUNTA(cl_code)+COUNTA(fo_code)+COUNTA(p_services),INDEX(p_services,506-COUNTA(cl_code)-COUNTA(fo_code))&amp;"","")))</f>
        <v/>
      </c>
    </row>
    <row r="512">
      <c r="I512" t="str">
        <f>IF(507&lt;=COUNTA(cl_code),INDEX(cl_code,507)&amp;"",IF(507&lt;=COUNTA(cl_code)+COUNTA(fo_code),INDEX(fo_code,507-COUNTA(cl_code))&amp;"",IF(507&lt;=COUNTA(cl_code)+COUNTA(fo_code)+COUNTA(p_services),INDEX(p_services,507-COUNTA(cl_code)-COUNTA(fo_code))&amp;"","")))</f>
        <v/>
      </c>
    </row>
    <row r="513">
      <c r="I513" t="str">
        <f>IF(508&lt;=COUNTA(cl_code),INDEX(cl_code,508)&amp;"",IF(508&lt;=COUNTA(cl_code)+COUNTA(fo_code),INDEX(fo_code,508-COUNTA(cl_code))&amp;"",IF(508&lt;=COUNTA(cl_code)+COUNTA(fo_code)+COUNTA(p_services),INDEX(p_services,508-COUNTA(cl_code)-COUNTA(fo_code))&amp;"","")))</f>
        <v/>
      </c>
    </row>
    <row r="514">
      <c r="I514" t="str">
        <f>IF(509&lt;=COUNTA(cl_code),INDEX(cl_code,509)&amp;"",IF(509&lt;=COUNTA(cl_code)+COUNTA(fo_code),INDEX(fo_code,509-COUNTA(cl_code))&amp;"",IF(509&lt;=COUNTA(cl_code)+COUNTA(fo_code)+COUNTA(p_services),INDEX(p_services,509-COUNTA(cl_code)-COUNTA(fo_code))&amp;"","")))</f>
        <v/>
      </c>
    </row>
    <row r="515">
      <c r="I515" t="str">
        <f>IF(510&lt;=COUNTA(cl_code),INDEX(cl_code,510)&amp;"",IF(510&lt;=COUNTA(cl_code)+COUNTA(fo_code),INDEX(fo_code,510-COUNTA(cl_code))&amp;"",IF(510&lt;=COUNTA(cl_code)+COUNTA(fo_code)+COUNTA(p_services),INDEX(p_services,510-COUNTA(cl_code)-COUNTA(fo_code))&amp;"","")))</f>
        <v/>
      </c>
    </row>
    <row r="516">
      <c r="I516" t="str">
        <f>IF(511&lt;=COUNTA(cl_code),INDEX(cl_code,511)&amp;"",IF(511&lt;=COUNTA(cl_code)+COUNTA(fo_code),INDEX(fo_code,511-COUNTA(cl_code))&amp;"",IF(511&lt;=COUNTA(cl_code)+COUNTA(fo_code)+COUNTA(p_services),INDEX(p_services,511-COUNTA(cl_code)-COUNTA(fo_code))&amp;"","")))</f>
        <v/>
      </c>
    </row>
    <row r="517">
      <c r="I517" t="str">
        <f>IF(512&lt;=COUNTA(cl_code),INDEX(cl_code,512)&amp;"",IF(512&lt;=COUNTA(cl_code)+COUNTA(fo_code),INDEX(fo_code,512-COUNTA(cl_code))&amp;"",IF(512&lt;=COUNTA(cl_code)+COUNTA(fo_code)+COUNTA(p_services),INDEX(p_services,512-COUNTA(cl_code)-COUNTA(fo_code))&amp;"","")))</f>
        <v/>
      </c>
    </row>
  </sheetData>
  <mergeCells count="1">
    <mergeCell ref="D22:G23"/>
  </mergeCells>
  <dataValidations count="18">
    <dataValidation sqref="B5" showDropDown="0" showInputMessage="1" showErrorMessage="1" allowBlank="1" errorTitle="Raison sociale" error="120 caractères au maximum." promptTitle="Raison sociale" prompt="Nom imprimé en haut de chaque bon." type="textLength" operator="lessThanOrEqual">
      <formula1>120</formula1>
    </dataValidation>
    <dataValidation sqref="B6" showDropDown="0" showInputMessage="1" showErrorMessage="1" allowBlank="1" errorTitle="Adresse" error="120 caractères au maximum." promptTitle="Adresse" prompt="Rue, zone industrielle, lot." type="textLength" operator="lessThanOrEqual">
      <formula1>120</formula1>
    </dataValidation>
    <dataValidation sqref="B7" showDropDown="0" showInputMessage="1" showErrorMessage="1" allowBlank="1" errorTitle="Code postal et ville" error="120 caractères au maximum." promptTitle="Code postal et ville" prompt="Par exemple 20250 Casablanca." type="textLength" operator="lessThanOrEqual">
      <formula1>120</formula1>
    </dataValidation>
    <dataValidation sqref="B8" showDropDown="0" showInputMessage="1" showErrorMessage="1" allowBlank="1" errorTitle="Téléphone" error="120 caractères au maximum." promptTitle="Téléphone" prompt="Numéro imprimé sous l'adresse." type="textLength" operator="lessThanOrEqual">
      <formula1>120</formula1>
    </dataValidation>
    <dataValidation sqref="B9" showDropDown="0" showInputMessage="1" showErrorMessage="1" allowBlank="1" errorTitle="E-mail" error="120 caractères au maximum." promptTitle="E-mail" prompt="Adresse imprimée sous le téléphone." type="textLength" operator="lessThanOrEqual">
      <formula1>120</formula1>
    </dataValidation>
    <dataValidation sqref="B10" showDropDown="0" showInputMessage="1" showErrorMessage="1" allowBlank="1" errorTitle="ICE" error="120 caractères au maximum." promptTitle="ICE" prompt="Identifiant commun de l'entreprise (Maroc), 15 chiffres. Laissez vide en France." type="textLength" operator="lessThanOrEqual">
      <formula1>120</formula1>
    </dataValidation>
    <dataValidation sqref="B11" showDropDown="0" showInputMessage="1" showErrorMessage="1" allowBlank="1" errorTitle="IF (identifiant fiscal)" error="120 caractères au maximum." promptTitle="IF (identifiant fiscal)" prompt="Identifiant fiscal (Maroc). Laissez vide en France." type="textLength" operator="lessThanOrEqual">
      <formula1>120</formula1>
    </dataValidation>
    <dataValidation sqref="B12" showDropDown="0" showInputMessage="1" showErrorMessage="1" allowBlank="1" errorTitle="RC (registre du commerce)" error="120 caractères au maximum." promptTitle="RC (registre du commerce)" prompt="Ville et numéro du registre du commerce." type="textLength" operator="lessThanOrEqual">
      <formula1>120</formula1>
    </dataValidation>
    <dataValidation sqref="B13" showDropDown="0" showInputMessage="1" showErrorMessage="1" allowBlank="1" errorTitle="SIRET / n° TVA (France)" error="120 caractères au maximum." promptTitle="SIRET / n° TVA (France)" prompt="Pour une entreprise française : SIRET ou numéro de TVA intracommunautaire." type="textLength" operator="lessThanOrEqual">
      <formula1>120</formula1>
    </dataValidation>
    <dataValidation sqref="B14" showDropDown="0" showInputMessage="1" showErrorMessage="1" allowBlank="1" errorTitle="Devise" error="Choisissez MAD (dirham), EUR (euro) ou USD (dollar). Tous les montants du classeur changent de format." promptTitle="Devise" prompt="Choisissez MAD (dirham), EUR (euro) ou USD (dollar). Tous les montants du classeur changent de format." type="list">
      <formula1>"MAD,EUR,USD"</formula1>
    </dataValidation>
    <dataValidation sqref="B15" showDropDown="0" showInputMessage="1" showErrorMessage="1" allowBlank="1" errorTitle="Prix sur les bons" error="Oui : le prix unitaire et le montant HT s'impriment (bon valorisé). Non : seulement les quantités." promptTitle="Prix sur les bons" prompt="Oui : le prix unitaire et le montant HT s'impriment (bon valorisé). Non : seulement les quantités." type="list">
      <formula1>"Oui,Non"</formula1>
    </dataValidation>
    <dataValidation sqref="B18" showDropDown="0" showInputMessage="1" showErrorMessage="1" allowBlank="1" errorTitle="Mention" error="300 caractères au maximum." promptTitle="Mention" prompt="Texte imprimé en bas du bon : conditions de livraison, réserves, rappel de procédure." type="textLength" operator="lessThanOrEqual">
      <formula1>300</formula1>
    </dataValidation>
    <dataValidation sqref="B19" showDropDown="0" showInputMessage="1" showErrorMessage="1" allowBlank="1" errorTitle="Mention" error="300 caractères au maximum." promptTitle="Mention" prompt="Texte imprimé en bas du bon : conditions de livraison, réserves, rappel de procédure." type="textLength" operator="lessThanOrEqual">
      <formula1>300</formula1>
    </dataValidation>
    <dataValidation sqref="B20" showDropDown="0" showInputMessage="1" showErrorMessage="1" allowBlank="1" errorTitle="Mention" error="300 caractères au maximum." promptTitle="Mention" prompt="Texte imprimé en bas du bon : conditions de livraison, réserves, rappel de procédure." type="textLength" operator="lessThanOrEqual">
      <formula1>300</formula1>
    </dataValidation>
    <dataValidation sqref="D6:D17" showDropDown="0" showInputMessage="1" showErrorMessage="1" allowBlank="1" errorTitle="Services internes" error="40 caractères au maximum." promptTitle="Services internes" prompt="Service qui demande une sortie de magasin (Production, Maintenance...)." type="textLength" operator="lessThanOrEqual">
      <formula1>40</formula1>
    </dataValidation>
    <dataValidation sqref="E6:E17" showDropDown="0" showInputMessage="1" showErrorMessage="1" allowBlank="1" errorTitle="Transporteurs" error="40 caractères au maximum." promptTitle="Transporteurs" prompt="Transporteur ou mode de livraison (Nos moyens, Enlèvement client...)." type="textLength" operator="lessThanOrEqual">
      <formula1>40</formula1>
    </dataValidation>
    <dataValidation sqref="F6:F17" showDropDown="0" showInputMessage="1" showErrorMessage="1" allowBlank="1" errorTitle="Motifs de sortie" error="40 caractères au maximum." promptTitle="Motifs de sortie" prompt="Motif d'une sortie de magasin (Fabrication, Maintenance, Échantillon...)." type="textLength" operator="lessThanOrEqual">
      <formula1>40</formula1>
    </dataValidation>
    <dataValidation sqref="G6:G20" showDropDown="0" showInputMessage="1" showErrorMessage="1" allowBlank="1" errorTitle="Unités" error="40 caractères au maximum." promptTitle="Unités" prompt="Unité de mesure (pièce, kg, m...)." type="textLength" operator="lessThanOrEqual">
      <formula1>40</formula1>
    </dataValidation>
  </dataValidations>
  <hyperlinks>
    <hyperlink ref="G1" location="'Mode d''emploi'!A1"/>
  </hyperlinks>
  <printOptions horizontalCentered="1"/>
  <pageMargins left="0.4" right="0.4" top="0.5" bottom="0.5" header="0.5" footer="0.5"/>
  <pageSetup orientation="portrait" paperSize="9" fitToHeight="0" fitToWidth="1"/>
</worksheet>
</file>

<file path=xl/worksheets/sheet12.xml><?xml version="1.0" encoding="utf-8"?>
<worksheet xmlns="http://schemas.openxmlformats.org/spreadsheetml/2006/main">
  <sheetPr>
    <tabColor rgb="FF2563EB"/>
    <outlinePr summaryBelow="1" summaryRight="1"/>
    <pageSetUpPr fitToPage="1"/>
  </sheetPr>
  <dimension ref="A1:F79"/>
  <sheetViews>
    <sheetView showGridLines="0" tabSelected="0" workbookViewId="0">
      <selection activeCell="A1" sqref="A1"/>
    </sheetView>
  </sheetViews>
  <sheetFormatPr baseColWidth="8" defaultRowHeight="15"/>
  <cols>
    <col width="3" customWidth="1" min="1" max="1"/>
    <col width="30" customWidth="1" min="2" max="2"/>
    <col width="36" customWidth="1" min="3" max="3"/>
    <col width="40" customWidth="1" min="4" max="4"/>
    <col width="16" customWidth="1" min="5" max="5"/>
    <col width="3" customWidth="1" min="6" max="6"/>
  </cols>
  <sheetData>
    <row r="1">
      <c r="A1" s="143" t="n"/>
      <c r="B1" s="143" t="n"/>
      <c r="C1" s="143" t="n"/>
      <c r="D1" s="143" t="n"/>
      <c r="E1" s="143" t="n"/>
      <c r="F1" s="143" t="n"/>
    </row>
    <row r="2" ht="34" customHeight="1">
      <c r="A2" s="143" t="n"/>
      <c r="B2" s="144" t="inlineStr">
        <is>
          <t>Qualis ERP</t>
        </is>
      </c>
      <c r="C2" s="145" t="n"/>
      <c r="D2" s="145" t="n"/>
      <c r="E2" s="145" t="n"/>
      <c r="F2" s="143" t="n"/>
    </row>
    <row r="3">
      <c r="A3" s="143" t="n"/>
      <c r="B3" s="146" t="inlineStr">
        <is>
          <t>Des bons de livraison reliés au stock, aux commandes et aux lots.</t>
        </is>
      </c>
      <c r="F3" s="143" t="n"/>
    </row>
    <row r="4" ht="46" customHeight="1">
      <c r="A4" s="143" t="n"/>
      <c r="B4" s="147" t="inlineStr">
        <is>
          <t>Ce fichier numérote et imprime vos bons de livraison, de réception et de sortie, et suit les reliquats. Voici ce qu'il ne peut pas faire, ce que Qualis ERP fait à la place, et ce que vous payez, ou pas.</t>
        </is>
      </c>
      <c r="F4" s="143" t="n"/>
    </row>
    <row r="5">
      <c r="A5" s="143" t="n"/>
      <c r="B5" s="143" t="n"/>
      <c r="C5" s="143" t="n"/>
      <c r="D5" s="143" t="n"/>
      <c r="E5" s="143" t="n"/>
      <c r="F5" s="143" t="n"/>
    </row>
    <row r="6" ht="22" customHeight="1">
      <c r="A6" s="143" t="n"/>
      <c r="B6" s="148" t="inlineStr">
        <is>
          <t>Ce que ce fichier fait bien</t>
        </is>
      </c>
      <c r="C6" s="149" t="n"/>
      <c r="D6" s="149" t="n"/>
      <c r="E6" s="149" t="n"/>
      <c r="F6" s="143" t="n"/>
    </row>
    <row r="7" ht="18" customHeight="1">
      <c r="A7" s="143" t="n"/>
      <c r="B7" s="150" t="inlineStr">
        <is>
          <t>✓  Un seul journal produit trois documents A4 numérotés, avec colis, poids, lots et cadres de signature.</t>
        </is>
      </c>
      <c r="F7" s="143" t="n"/>
    </row>
    <row r="8" ht="18" customHeight="1">
      <c r="A8" s="143" t="n"/>
      <c r="B8" s="150" t="inlineStr">
        <is>
          <t>✓  Il suit les reliquats par commande et article, et les écarts entre commandé et reçu.</t>
        </is>
      </c>
      <c r="F8" s="143" t="n"/>
    </row>
    <row r="9" ht="18" customHeight="1">
      <c r="A9" s="143" t="n"/>
      <c r="B9" s="150" t="inlineStr">
        <is>
          <t>✓  Il est gratuit, sans macro, et s'ouvre dans Excel, LibreOffice ou Google Sheets.</t>
        </is>
      </c>
      <c r="F9" s="143" t="n"/>
    </row>
    <row r="10">
      <c r="A10" s="143" t="n"/>
      <c r="B10" s="143" t="n"/>
      <c r="C10" s="143" t="n"/>
      <c r="D10" s="143" t="n"/>
      <c r="E10" s="143" t="n"/>
      <c r="F10" s="143" t="n"/>
    </row>
    <row r="11" ht="22" customHeight="1">
      <c r="A11" s="143" t="n"/>
      <c r="B11" s="148" t="inlineStr">
        <is>
          <t>Là où un tableur atteint ses limites</t>
        </is>
      </c>
      <c r="C11" s="149" t="n"/>
      <c r="D11" s="149" t="n"/>
      <c r="E11" s="149" t="n"/>
      <c r="F11" s="143" t="n"/>
    </row>
    <row r="12" ht="18" customHeight="1">
      <c r="A12" s="143" t="n"/>
      <c r="B12" s="151" t="inlineStr">
        <is>
          <t>•  Le stock ne bouge pas : un bon de livraison saisi ici ne retire rien de votre stock.</t>
        </is>
      </c>
      <c r="F12" s="143" t="n"/>
    </row>
    <row r="13" ht="18" customHeight="1">
      <c r="A13" s="143" t="n"/>
      <c r="B13" s="151" t="inlineStr">
        <is>
          <t>•  Le fichier ne sait pas ce qui a été commandé : la quantité commandée est recopiée à la main sur chaque bon.</t>
        </is>
      </c>
      <c r="F13" s="143" t="n"/>
    </row>
    <row r="14" ht="18" customHeight="1">
      <c r="A14" s="143" t="n"/>
      <c r="B14" s="151" t="inlineStr">
        <is>
          <t>•  Le magasin et le bureau ne saisissent pas en même temps dans le même fichier.</t>
        </is>
      </c>
      <c r="F14" s="143" t="n"/>
    </row>
    <row r="15" ht="18" customHeight="1">
      <c r="A15" s="143" t="n"/>
      <c r="B15" s="151" t="inlineStr">
        <is>
          <t>•  Un numéro peut changer si une ligne est insérée au-dessus d'un bon déjà imprimé.</t>
        </is>
      </c>
      <c r="F15" s="143" t="n"/>
    </row>
    <row r="16">
      <c r="A16" s="143" t="n"/>
      <c r="B16" s="143" t="n"/>
      <c r="C16" s="143" t="n"/>
      <c r="D16" s="143" t="n"/>
      <c r="E16" s="143" t="n"/>
      <c r="F16" s="143" t="n"/>
    </row>
    <row r="17" ht="22" customHeight="1">
      <c r="A17" s="143" t="n"/>
      <c r="B17" s="148" t="inlineStr">
        <is>
          <t>Ce fichier et Qualis ERP, côte à côte</t>
        </is>
      </c>
      <c r="C17" s="149" t="n"/>
      <c r="D17" s="149" t="n"/>
      <c r="E17" s="149" t="n"/>
      <c r="F17" s="143" t="n"/>
    </row>
    <row r="18" ht="22" customHeight="1">
      <c r="A18" s="143" t="n"/>
      <c r="B18" s="152" t="inlineStr"/>
      <c r="C18" s="153" t="inlineStr">
        <is>
          <t>Ce fichier Excel</t>
        </is>
      </c>
      <c r="D18" s="154" t="inlineStr">
        <is>
          <t>Qualis ERP</t>
        </is>
      </c>
      <c r="E18" s="154" t="inlineStr">
        <is>
          <t>Offre</t>
        </is>
      </c>
      <c r="F18" s="143" t="n"/>
    </row>
    <row r="19" ht="32" customHeight="1">
      <c r="A19" s="143" t="n"/>
      <c r="B19" s="155" t="inlineStr">
        <is>
          <t>Entrées et sorties hors commande</t>
        </is>
      </c>
      <c r="C19" s="156" t="inlineStr">
        <is>
          <t>Bons BR et BS sans effet sur le stock</t>
        </is>
      </c>
      <c r="D19" s="157" t="inlineStr">
        <is>
          <t>Ajustements « Réception » ou « Sortie », avec fournisseur ou client : le stock suit</t>
        </is>
      </c>
      <c r="E19" s="158" t="inlineStr">
        <is>
          <t>Start (gratuit)</t>
        </is>
      </c>
      <c r="F19" s="143" t="n"/>
    </row>
    <row r="20" ht="32" customHeight="1">
      <c r="A20" s="143" t="n"/>
      <c r="B20" s="155" t="inlineStr">
        <is>
          <t>Lots et numéros de série</t>
        </is>
      </c>
      <c r="C20" s="156" t="inlineStr">
        <is>
          <t>Texte libre sur la ligne</t>
        </is>
      </c>
      <c r="D20" s="157" t="inlineStr">
        <is>
          <t>Un article suivi ne bouge pas sans son lot ou son numéro de série</t>
        </is>
      </c>
      <c r="E20" s="158" t="inlineStr">
        <is>
          <t>Start (gratuit)</t>
        </is>
      </c>
      <c r="F20" s="143" t="n"/>
    </row>
    <row r="21" ht="32" customHeight="1">
      <c r="A21" s="143" t="n"/>
      <c r="B21" s="155" t="inlineStr">
        <is>
          <t>Historique</t>
        </is>
      </c>
      <c r="C21" s="156" t="inlineStr">
        <is>
          <t>Non</t>
        </is>
      </c>
      <c r="D21" s="157" t="inlineStr">
        <is>
          <t>Journal de mouvements qui ne se modifie pas : une correction crée un mouvement inverse</t>
        </is>
      </c>
      <c r="E21" s="158" t="inlineStr">
        <is>
          <t>Start (gratuit)</t>
        </is>
      </c>
      <c r="F21" s="143" t="n"/>
    </row>
    <row r="22" ht="32" customHeight="1">
      <c r="A22" s="143" t="n"/>
      <c r="B22" s="155" t="inlineStr">
        <is>
          <t>Livraison client</t>
        </is>
      </c>
      <c r="C22" s="156" t="inlineStr">
        <is>
          <t>Qté commandée recopiée à la main</t>
        </is>
      </c>
      <c r="D22" s="157" t="inlineStr">
        <is>
          <t>Livraison ligne par ligne depuis la commande client, statut « partiellement livrée » tenu seul</t>
        </is>
      </c>
      <c r="E22" s="159" t="inlineStr">
        <is>
          <t>Complete</t>
        </is>
      </c>
      <c r="F22" s="143" t="n"/>
    </row>
    <row r="23" ht="32" customHeight="1">
      <c r="A23" s="143" t="n"/>
      <c r="B23" s="155" t="inlineStr">
        <is>
          <t>Réception fournisseur</t>
        </is>
      </c>
      <c r="C23" s="156" t="inlineStr">
        <is>
          <t>Écart calculé sur la ligne</t>
        </is>
      </c>
      <c r="D23" s="157" t="inlineStr">
        <is>
          <t>Réception depuis le bon de commande, page des réceptions attendues, inspection à l'arrivée</t>
        </is>
      </c>
      <c r="E23" s="159" t="inlineStr">
        <is>
          <t>Complete</t>
        </is>
      </c>
      <c r="F23" s="143" t="n"/>
    </row>
    <row r="24" ht="32" customHeight="1">
      <c r="A24" s="143" t="n"/>
      <c r="B24" s="155" t="inlineStr">
        <is>
          <t>Colis</t>
        </is>
      </c>
      <c r="C24" s="156" t="inlineStr">
        <is>
          <t>Nombre de colis et poids</t>
        </is>
      </c>
      <c r="D24" s="157" t="inlineStr">
        <is>
          <t>Colis avec contenu, lots, poids et statuts jusqu'à « Livré »</t>
        </is>
      </c>
      <c r="E24" s="159" t="inlineStr">
        <is>
          <t>Complete</t>
        </is>
      </c>
      <c r="F24" s="143" t="n"/>
    </row>
    <row r="25">
      <c r="A25" s="143" t="n"/>
      <c r="B25" s="143" t="n"/>
      <c r="C25" s="143" t="n"/>
      <c r="D25" s="143" t="n"/>
      <c r="E25" s="143" t="n"/>
      <c r="F25" s="143" t="n"/>
    </row>
    <row r="26" ht="22" customHeight="1">
      <c r="A26" s="143" t="n"/>
      <c r="B26" s="148" t="inlineStr">
        <is>
          <t>Pourquoi Qualis Start est gratuit, et le reste</t>
        </is>
      </c>
      <c r="C26" s="149" t="n"/>
      <c r="D26" s="149" t="n"/>
      <c r="E26" s="149" t="n"/>
      <c r="F26" s="143" t="n"/>
    </row>
    <row r="27" ht="30" customHeight="1">
      <c r="A27" s="143" t="n"/>
      <c r="B27" s="151" t="inlineStr">
        <is>
          <t>→  Qualis Start est gratuit à vie, sans carte bancaire et sans limite d'utilisateurs : articles, unités, entrepôts, emplacements, stock en temps réel, lots et numéros de série, clients, fournisseurs, personnel, tâches.</t>
        </is>
      </c>
      <c r="F27" s="143" t="n"/>
    </row>
    <row r="28" ht="30" customHeight="1">
      <c r="A28" s="143" t="n"/>
      <c r="B28" s="151" t="inlineStr">
        <is>
          <t>→  Nous le donnons parce que le stock est la base de tout le reste : une entreprise qui y tient son stock ajoute les ventes et les achats le jour où elle en a besoin, sans ressaisir ses articles.</t>
        </is>
      </c>
      <c r="F28" s="143" t="n"/>
    </row>
    <row r="29" ht="30" customHeight="1">
      <c r="A29" s="143" t="n"/>
      <c r="B29" s="151" t="inlineStr">
        <is>
          <t>→  Les modules de production, d'achat, de vente, de facturation, de qualité et de maintenance font partie de Qualis Complete, payé par siège bureau, au mois ou à l'année, à prix public. Les opérateurs d'atelier ont un siège moins cher.</t>
        </is>
      </c>
      <c r="F29" s="143" t="n"/>
    </row>
    <row r="30">
      <c r="A30" s="143" t="n"/>
      <c r="B30" s="143" t="n"/>
      <c r="C30" s="143" t="n"/>
      <c r="D30" s="143" t="n"/>
      <c r="E30" s="143" t="n"/>
      <c r="F30" s="143" t="n"/>
    </row>
    <row r="31" ht="22" customHeight="1">
      <c r="A31" s="143" t="n"/>
      <c r="B31" s="148" t="inlineStr">
        <is>
          <t>Passer du fichier à Qualis ERP</t>
        </is>
      </c>
      <c r="C31" s="149" t="n"/>
      <c r="D31" s="149" t="n"/>
      <c r="E31" s="149" t="n"/>
      <c r="F31" s="143" t="n"/>
    </row>
    <row r="32" ht="18" customHeight="1">
      <c r="A32" s="143" t="n"/>
      <c r="B32" s="151" t="inlineStr">
        <is>
          <t xml:space="preserve">  1.  Créez un compte gratuit sur qualis-erp.com, en deux minutes, sans carte bancaire.</t>
        </is>
      </c>
      <c r="F32" s="143" t="n"/>
    </row>
    <row r="33" ht="30" customHeight="1">
      <c r="A33" s="143" t="n"/>
      <c r="B33" s="151" t="inlineStr">
        <is>
          <t xml:space="preserve">  2.  Importez vos articles, clients et fournisseurs à partir des feuilles du fichier avec les modèles CSV de Qualis ERP.</t>
        </is>
      </c>
      <c r="F33" s="143" t="n"/>
    </row>
    <row r="34" ht="30" customHeight="1">
      <c r="A34" s="143" t="n"/>
      <c r="B34" s="151" t="inlineStr">
        <is>
          <t xml:space="preserve">  3.  Enregistrez vos réceptions et vos sorties dans Qualis Start. Quand vous voulez livrer depuis les commandes clients, ajoutez Qualis Complete.</t>
        </is>
      </c>
      <c r="F34" s="143" t="n"/>
    </row>
    <row r="35">
      <c r="A35" s="143" t="n"/>
      <c r="B35" s="143" t="n"/>
      <c r="C35" s="143" t="n"/>
      <c r="D35" s="143" t="n"/>
      <c r="E35" s="143" t="n"/>
      <c r="F35" s="143" t="n"/>
    </row>
    <row r="36" ht="38" customHeight="1">
      <c r="A36" s="143" t="n"/>
      <c r="B36" s="160" t="inlineStr">
        <is>
          <t>Créer un compte Qualis ERP gratuit  →</t>
        </is>
      </c>
      <c r="C36" s="161" t="n"/>
      <c r="D36" s="162" t="inlineStr">
        <is>
          <t>Voir les tarifs publics</t>
        </is>
      </c>
      <c r="E36" s="163" t="inlineStr">
        <is>
          <t>qualis-erp.com</t>
        </is>
      </c>
      <c r="F36" s="143" t="n"/>
    </row>
    <row r="37">
      <c r="A37" s="143" t="n"/>
      <c r="B37" s="143" t="n"/>
      <c r="C37" s="143" t="n"/>
      <c r="D37" s="143" t="n"/>
      <c r="E37" s="143" t="n"/>
      <c r="F37" s="143" t="n"/>
    </row>
    <row r="38" ht="40" customHeight="1">
      <c r="A38" s="143" t="n"/>
      <c r="B38" s="164" t="inlineStr">
        <is>
          <t>Qualis ERP est un ERP industriel en ligne, en français, pour les PME qui fabriquent sur stock ou à la commande. Édité par BERRYNOON SARLAU, Casablanca.</t>
        </is>
      </c>
      <c r="F38" s="143" t="n"/>
    </row>
    <row r="39">
      <c r="A39" s="143" t="n"/>
      <c r="B39" s="143" t="n"/>
      <c r="C39" s="143" t="n"/>
      <c r="D39" s="143" t="n"/>
      <c r="E39" s="143" t="n"/>
      <c r="F39" s="143" t="n"/>
    </row>
    <row r="40">
      <c r="A40" s="143" t="n"/>
      <c r="B40" s="143" t="n"/>
      <c r="C40" s="143" t="n"/>
      <c r="D40" s="143" t="n"/>
      <c r="E40" s="143" t="n"/>
      <c r="F40" s="143" t="n"/>
    </row>
    <row r="41">
      <c r="A41" s="143" t="n"/>
      <c r="B41" s="143" t="n"/>
      <c r="C41" s="143" t="n"/>
      <c r="D41" s="143" t="n"/>
      <c r="E41" s="143" t="n"/>
      <c r="F41" s="143" t="n"/>
    </row>
    <row r="42">
      <c r="A42" s="143" t="n"/>
      <c r="B42" s="143" t="n"/>
      <c r="C42" s="143" t="n"/>
      <c r="D42" s="143" t="n"/>
      <c r="E42" s="143" t="n"/>
      <c r="F42" s="143" t="n"/>
    </row>
    <row r="43">
      <c r="A43" s="143" t="n"/>
      <c r="B43" s="143" t="n"/>
      <c r="C43" s="143" t="n"/>
      <c r="D43" s="143" t="n"/>
      <c r="E43" s="143" t="n"/>
      <c r="F43" s="143" t="n"/>
    </row>
    <row r="44">
      <c r="A44" s="143" t="n"/>
      <c r="B44" s="143" t="n"/>
      <c r="C44" s="143" t="n"/>
      <c r="D44" s="143" t="n"/>
      <c r="E44" s="143" t="n"/>
      <c r="F44" s="143" t="n"/>
    </row>
    <row r="45">
      <c r="A45" s="143" t="n"/>
      <c r="B45" s="143" t="n"/>
      <c r="C45" s="143" t="n"/>
      <c r="D45" s="143" t="n"/>
      <c r="E45" s="143" t="n"/>
      <c r="F45" s="143" t="n"/>
    </row>
    <row r="46">
      <c r="A46" s="143" t="n"/>
      <c r="B46" s="143" t="n"/>
      <c r="C46" s="143" t="n"/>
      <c r="D46" s="143" t="n"/>
      <c r="E46" s="143" t="n"/>
      <c r="F46" s="143" t="n"/>
    </row>
    <row r="47">
      <c r="A47" s="143" t="n"/>
      <c r="B47" s="143" t="n"/>
      <c r="C47" s="143" t="n"/>
      <c r="D47" s="143" t="n"/>
      <c r="E47" s="143" t="n"/>
      <c r="F47" s="143" t="n"/>
    </row>
    <row r="48">
      <c r="A48" s="143" t="n"/>
      <c r="B48" s="143" t="n"/>
      <c r="C48" s="143" t="n"/>
      <c r="D48" s="143" t="n"/>
      <c r="E48" s="143" t="n"/>
      <c r="F48" s="143" t="n"/>
    </row>
    <row r="49">
      <c r="A49" s="143" t="n"/>
      <c r="B49" s="143" t="n"/>
      <c r="C49" s="143" t="n"/>
      <c r="D49" s="143" t="n"/>
      <c r="E49" s="143" t="n"/>
      <c r="F49" s="143" t="n"/>
    </row>
    <row r="50">
      <c r="A50" s="143" t="n"/>
      <c r="B50" s="143" t="n"/>
      <c r="C50" s="143" t="n"/>
      <c r="D50" s="143" t="n"/>
      <c r="E50" s="143" t="n"/>
      <c r="F50" s="143" t="n"/>
    </row>
    <row r="51">
      <c r="A51" s="143" t="n"/>
      <c r="B51" s="143" t="n"/>
      <c r="C51" s="143" t="n"/>
      <c r="D51" s="143" t="n"/>
      <c r="E51" s="143" t="n"/>
      <c r="F51" s="143" t="n"/>
    </row>
    <row r="52">
      <c r="A52" s="143" t="n"/>
      <c r="B52" s="143" t="n"/>
      <c r="C52" s="143" t="n"/>
      <c r="D52" s="143" t="n"/>
      <c r="E52" s="143" t="n"/>
      <c r="F52" s="143" t="n"/>
    </row>
    <row r="53">
      <c r="A53" s="143" t="n"/>
      <c r="B53" s="143" t="n"/>
      <c r="C53" s="143" t="n"/>
      <c r="D53" s="143" t="n"/>
      <c r="E53" s="143" t="n"/>
      <c r="F53" s="143" t="n"/>
    </row>
    <row r="54">
      <c r="A54" s="143" t="n"/>
      <c r="B54" s="143" t="n"/>
      <c r="C54" s="143" t="n"/>
      <c r="D54" s="143" t="n"/>
      <c r="E54" s="143" t="n"/>
      <c r="F54" s="143" t="n"/>
    </row>
    <row r="55">
      <c r="A55" s="143" t="n"/>
      <c r="B55" s="143" t="n"/>
      <c r="C55" s="143" t="n"/>
      <c r="D55" s="143" t="n"/>
      <c r="E55" s="143" t="n"/>
      <c r="F55" s="143" t="n"/>
    </row>
    <row r="56">
      <c r="A56" s="143" t="n"/>
      <c r="B56" s="143" t="n"/>
      <c r="C56" s="143" t="n"/>
      <c r="D56" s="143" t="n"/>
      <c r="E56" s="143" t="n"/>
      <c r="F56" s="143" t="n"/>
    </row>
    <row r="57">
      <c r="A57" s="143" t="n"/>
      <c r="B57" s="143" t="n"/>
      <c r="C57" s="143" t="n"/>
      <c r="D57" s="143" t="n"/>
      <c r="E57" s="143" t="n"/>
      <c r="F57" s="143" t="n"/>
    </row>
    <row r="58">
      <c r="A58" s="143" t="n"/>
      <c r="B58" s="143" t="n"/>
      <c r="C58" s="143" t="n"/>
      <c r="D58" s="143" t="n"/>
      <c r="E58" s="143" t="n"/>
      <c r="F58" s="143" t="n"/>
    </row>
    <row r="59">
      <c r="A59" s="143" t="n"/>
      <c r="B59" s="143" t="n"/>
      <c r="C59" s="143" t="n"/>
      <c r="D59" s="143" t="n"/>
      <c r="E59" s="143" t="n"/>
      <c r="F59" s="143" t="n"/>
    </row>
    <row r="60">
      <c r="A60" s="143" t="n"/>
      <c r="B60" s="143" t="n"/>
      <c r="C60" s="143" t="n"/>
      <c r="D60" s="143" t="n"/>
      <c r="E60" s="143" t="n"/>
      <c r="F60" s="143" t="n"/>
    </row>
    <row r="61">
      <c r="A61" s="143" t="n"/>
      <c r="B61" s="143" t="n"/>
      <c r="C61" s="143" t="n"/>
      <c r="D61" s="143" t="n"/>
      <c r="E61" s="143" t="n"/>
      <c r="F61" s="143" t="n"/>
    </row>
    <row r="62">
      <c r="A62" s="143" t="n"/>
      <c r="B62" s="143" t="n"/>
      <c r="C62" s="143" t="n"/>
      <c r="D62" s="143" t="n"/>
      <c r="E62" s="143" t="n"/>
      <c r="F62" s="143" t="n"/>
    </row>
    <row r="63">
      <c r="A63" s="143" t="n"/>
      <c r="B63" s="143" t="n"/>
      <c r="C63" s="143" t="n"/>
      <c r="D63" s="143" t="n"/>
      <c r="E63" s="143" t="n"/>
      <c r="F63" s="143" t="n"/>
    </row>
    <row r="64">
      <c r="A64" s="143" t="n"/>
      <c r="B64" s="143" t="n"/>
      <c r="C64" s="143" t="n"/>
      <c r="D64" s="143" t="n"/>
      <c r="E64" s="143" t="n"/>
      <c r="F64" s="143" t="n"/>
    </row>
    <row r="65">
      <c r="A65" s="143" t="n"/>
      <c r="B65" s="143" t="n"/>
      <c r="C65" s="143" t="n"/>
      <c r="D65" s="143" t="n"/>
      <c r="E65" s="143" t="n"/>
      <c r="F65" s="143" t="n"/>
    </row>
    <row r="66">
      <c r="A66" s="143" t="n"/>
      <c r="B66" s="143" t="n"/>
      <c r="C66" s="143" t="n"/>
      <c r="D66" s="143" t="n"/>
      <c r="E66" s="143" t="n"/>
      <c r="F66" s="143" t="n"/>
    </row>
    <row r="67">
      <c r="A67" s="143" t="n"/>
      <c r="B67" s="143" t="n"/>
      <c r="C67" s="143" t="n"/>
      <c r="D67" s="143" t="n"/>
      <c r="E67" s="143" t="n"/>
      <c r="F67" s="143" t="n"/>
    </row>
    <row r="68">
      <c r="A68" s="143" t="n"/>
      <c r="B68" s="143" t="n"/>
      <c r="C68" s="143" t="n"/>
      <c r="D68" s="143" t="n"/>
      <c r="E68" s="143" t="n"/>
      <c r="F68" s="143" t="n"/>
    </row>
    <row r="69">
      <c r="A69" s="143" t="n"/>
      <c r="B69" s="143" t="n"/>
      <c r="C69" s="143" t="n"/>
      <c r="D69" s="143" t="n"/>
      <c r="E69" s="143" t="n"/>
      <c r="F69" s="143" t="n"/>
    </row>
    <row r="70">
      <c r="A70" s="143" t="n"/>
      <c r="B70" s="143" t="n"/>
      <c r="C70" s="143" t="n"/>
      <c r="D70" s="143" t="n"/>
      <c r="E70" s="143" t="n"/>
      <c r="F70" s="143" t="n"/>
    </row>
    <row r="71">
      <c r="A71" s="143" t="n"/>
      <c r="B71" s="143" t="n"/>
      <c r="C71" s="143" t="n"/>
      <c r="D71" s="143" t="n"/>
      <c r="E71" s="143" t="n"/>
      <c r="F71" s="143" t="n"/>
    </row>
    <row r="72">
      <c r="A72" s="143" t="n"/>
      <c r="B72" s="143" t="n"/>
      <c r="C72" s="143" t="n"/>
      <c r="D72" s="143" t="n"/>
      <c r="E72" s="143" t="n"/>
      <c r="F72" s="143" t="n"/>
    </row>
    <row r="73">
      <c r="A73" s="143" t="n"/>
      <c r="B73" s="143" t="n"/>
      <c r="C73" s="143" t="n"/>
      <c r="D73" s="143" t="n"/>
      <c r="E73" s="143" t="n"/>
      <c r="F73" s="143" t="n"/>
    </row>
    <row r="74">
      <c r="A74" s="143" t="n"/>
      <c r="B74" s="143" t="n"/>
      <c r="C74" s="143" t="n"/>
      <c r="D74" s="143" t="n"/>
      <c r="E74" s="143" t="n"/>
      <c r="F74" s="143" t="n"/>
    </row>
    <row r="75">
      <c r="A75" s="143" t="n"/>
      <c r="B75" s="143" t="n"/>
      <c r="C75" s="143" t="n"/>
      <c r="D75" s="143" t="n"/>
      <c r="E75" s="143" t="n"/>
      <c r="F75" s="143" t="n"/>
    </row>
    <row r="76">
      <c r="A76" s="143" t="n"/>
      <c r="B76" s="143" t="n"/>
      <c r="C76" s="143" t="n"/>
      <c r="D76" s="143" t="n"/>
      <c r="E76" s="143" t="n"/>
      <c r="F76" s="143" t="n"/>
    </row>
    <row r="77">
      <c r="A77" s="143" t="n"/>
      <c r="B77" s="143" t="n"/>
      <c r="C77" s="143" t="n"/>
      <c r="D77" s="143" t="n"/>
      <c r="E77" s="143" t="n"/>
      <c r="F77" s="143" t="n"/>
    </row>
    <row r="78">
      <c r="A78" s="143" t="n"/>
      <c r="B78" s="143" t="n"/>
      <c r="C78" s="143" t="n"/>
      <c r="D78" s="143" t="n"/>
      <c r="E78" s="143" t="n"/>
      <c r="F78" s="143" t="n"/>
    </row>
    <row r="79">
      <c r="A79" s="143" t="n"/>
      <c r="B79" s="143" t="n"/>
      <c r="C79" s="143" t="n"/>
      <c r="D79" s="143" t="n"/>
      <c r="E79" s="143" t="n"/>
      <c r="F79" s="143" t="n"/>
    </row>
  </sheetData>
  <mergeCells count="17">
    <mergeCell ref="B9:E9"/>
    <mergeCell ref="B27:E27"/>
    <mergeCell ref="B8:E8"/>
    <mergeCell ref="B4:E4"/>
    <mergeCell ref="B12:E12"/>
    <mergeCell ref="B13:E13"/>
    <mergeCell ref="B38:E38"/>
    <mergeCell ref="B15:E15"/>
    <mergeCell ref="B7:E7"/>
    <mergeCell ref="B29:E29"/>
    <mergeCell ref="B33:E33"/>
    <mergeCell ref="B3:E3"/>
    <mergeCell ref="B36:C36"/>
    <mergeCell ref="B34:E34"/>
    <mergeCell ref="B28:E28"/>
    <mergeCell ref="B14:E14"/>
    <mergeCell ref="B32:E32"/>
  </mergeCells>
  <hyperlinks>
    <hyperlink xmlns:r="http://schemas.openxmlformats.org/officeDocument/2006/relationships" ref="B36" r:id="rId1"/>
    <hyperlink xmlns:r="http://schemas.openxmlformats.org/officeDocument/2006/relationships" ref="D36" r:id="rId2"/>
    <hyperlink xmlns:r="http://schemas.openxmlformats.org/officeDocument/2006/relationships" ref="E36" r:id="rId3"/>
  </hyperlinks>
  <printOptions horizontalCentered="1"/>
  <pageMargins left="0.4" right="0.4" top="0.5" bottom="0.5"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Modèle gratuit</dc:creator>
  <dc:title xmlns:dc="http://purl.org/dc/elements/1.1/">Bon de livraison Excel</dc:title>
  <dc:subject xmlns:dc="http://purl.org/dc/elements/1.1/">Modèle gratuit de bon de livraison, bon de réception et bon de sortie magasin</dc:subject>
  <dc:language xmlns:dc="http://purl.org/dc/elements/1.1/">fr-FR</dc:language>
  <dcterms:created xmlns:dcterms="http://purl.org/dc/terms/" xmlns:xsi="http://www.w3.org/2001/XMLSchema-instance" xsi:type="dcterms:W3CDTF">2026-11-05T21:50:31Z</dcterms:created>
  <dcterms:modified xmlns:dcterms="http://purl.org/dc/terms/" xmlns:xsi="http://www.w3.org/2001/XMLSchema-instance" xsi:type="dcterms:W3CDTF">2026-11-05T21:50:37Z</dcterms:modified>
  <cp:keywords>bon de livraison excel, bon de réception, bon de sortie magasin, reliquat, excel</cp:keywords>
</cp:coreProperties>
</file>